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E:\FOE\"/>
    </mc:Choice>
  </mc:AlternateContent>
  <xr:revisionPtr revIDLastSave="0" documentId="8_{6C396B34-05B8-440A-BD97-ABC6B3F13879}" xr6:coauthVersionLast="47" xr6:coauthVersionMax="47" xr10:uidLastSave="{00000000-0000-0000-0000-000000000000}"/>
  <bookViews>
    <workbookView xWindow="-110" yWindow="-110" windowWidth="22780" windowHeight="14540" tabRatio="619" activeTab="7" xr2:uid="{00000000-000D-0000-FFFF-FFFF00000000}"/>
  </bookViews>
  <sheets>
    <sheet name="All Data" sheetId="8" r:id="rId1"/>
    <sheet name="Sites" sheetId="9" r:id="rId2"/>
    <sheet name="Tables" sheetId="10" r:id="rId3"/>
    <sheet name="Code for MapCustomiser" sheetId="18" state="hidden" r:id="rId4"/>
    <sheet name="Charts" sheetId="13" r:id="rId5"/>
    <sheet name="Map" sheetId="19" r:id="rId6"/>
    <sheet name="Data for Excel 3D Map" sheetId="20" r:id="rId7"/>
    <sheet name="Excluded or Anomalous Readings" sheetId="21" r:id="rId8"/>
  </sheets>
  <definedNames>
    <definedName name="_xlnm._FilterDatabase" localSheetId="1" hidden="1">Sites!$K$2:$L$52</definedName>
    <definedName name="_xlnm._FilterDatabase" localSheetId="2" hidden="1">Tables!$B$11:$BC$101</definedName>
    <definedName name="_xlcn.WorksheetConnection_AllData" hidden="1">AllData[]</definedName>
    <definedName name="_xlcn.WorksheetConnection_AllDataMap" hidden="1">AllDataCorrected[]</definedName>
    <definedName name="_xlcn.WorksheetConnection_CodeforMapCustomiserA1C67" hidden="1">'Code for MapCustomiser'!$A$1:$C$67</definedName>
    <definedName name="_xlcn.WorksheetConnection_Excel3DMapA1I67" hidden="1">'Data for Excel 3D Map'!$A$1:$H$67</definedName>
    <definedName name="_xlcn.WorksheetConnection_TablesB11D77" hidden="1">Tables!$B$11:$D$89</definedName>
    <definedName name="_xlcn.WorksheetConnection_TablesH11H77" hidden="1">Tables!$H$11:$H$89</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Tables!$H$11:$H$77"/>
          <x15:modelTable id="Range 1" name="Range 1" connection="WorksheetConnection_Tables!$B$11:$D$77"/>
          <x15:modelTable id="Range 3" name="Range 3" connection="WorksheetConnection_Excel 3D Map!$A$1:$I$67"/>
          <x15:modelTable id="Range" name="Range" connection="WorksheetConnection_Code for MapCustomiser!$A$1:$C$67"/>
          <x15:modelTable id="AllDataMap" name="AllDataMap" connection="WorksheetConnection_AllDataMap"/>
          <x15:modelTable id="AllData" name="AllData" connection="WorksheetConnection_All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32" i="10" l="1"/>
  <c r="BJ132" i="10"/>
  <c r="U3" i="21"/>
  <c r="S3" i="21"/>
  <c r="H3" i="21"/>
  <c r="F3" i="21"/>
  <c r="C3" i="21" a="1"/>
  <c r="C3" i="21" s="1"/>
  <c r="U2" i="21"/>
  <c r="S2" i="21"/>
  <c r="H2" i="21"/>
  <c r="F2" i="21"/>
  <c r="C2" i="21" a="1"/>
  <c r="C2" i="21" s="1"/>
  <c r="C101" i="10"/>
  <c r="I21" i="13" s="1"/>
  <c r="G98" i="10"/>
  <c r="F98" i="10"/>
  <c r="E98" i="10"/>
  <c r="G97" i="10"/>
  <c r="F97" i="10"/>
  <c r="E97" i="10"/>
  <c r="G96" i="10"/>
  <c r="F96" i="10"/>
  <c r="E96" i="10"/>
  <c r="G95" i="10"/>
  <c r="F95" i="10"/>
  <c r="E95" i="10"/>
  <c r="G94" i="10"/>
  <c r="F94" i="10"/>
  <c r="E94" i="10"/>
  <c r="G93" i="10"/>
  <c r="F93" i="10"/>
  <c r="E93" i="10"/>
  <c r="G92" i="10"/>
  <c r="F92" i="10"/>
  <c r="E92" i="10"/>
  <c r="G91" i="10"/>
  <c r="F91" i="10"/>
  <c r="E91" i="10"/>
  <c r="G90" i="10"/>
  <c r="F90" i="10"/>
  <c r="E90" i="10"/>
  <c r="CE132" i="10"/>
  <c r="CD132" i="10"/>
  <c r="CB132" i="10"/>
  <c r="BX132" i="10"/>
  <c r="BW132" i="10"/>
  <c r="BU132" i="10"/>
  <c r="I48" i="9"/>
  <c r="I91" i="9"/>
  <c r="I92" i="9"/>
  <c r="I93" i="9"/>
  <c r="I94" i="9"/>
  <c r="I95" i="9"/>
  <c r="I96" i="9"/>
  <c r="I67" i="9"/>
  <c r="I68" i="9"/>
  <c r="I69" i="9"/>
  <c r="I65" i="9"/>
  <c r="I90" i="9"/>
  <c r="I66" i="9"/>
  <c r="I77" i="9"/>
  <c r="I61"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I28" i="9"/>
  <c r="T2" i="8"/>
  <c r="T3" i="8"/>
  <c r="T4" i="8"/>
  <c r="T5" i="8"/>
  <c r="T8" i="8"/>
  <c r="T7" i="8"/>
  <c r="T6" i="8"/>
  <c r="T9" i="8"/>
  <c r="T10" i="8"/>
  <c r="T11" i="8"/>
  <c r="T12" i="8"/>
  <c r="T17" i="8"/>
  <c r="T14" i="8"/>
  <c r="T13" i="8"/>
  <c r="T15" i="8"/>
  <c r="T16" i="8"/>
  <c r="T18" i="8"/>
  <c r="T19" i="8"/>
  <c r="T21" i="8"/>
  <c r="T26" i="8"/>
  <c r="T25" i="8"/>
  <c r="T24" i="8"/>
  <c r="T23" i="8"/>
  <c r="T27" i="8"/>
  <c r="T20" i="8"/>
  <c r="T22" i="8"/>
  <c r="T28" i="8"/>
  <c r="T31" i="8"/>
  <c r="T29" i="8"/>
  <c r="T30" i="8"/>
  <c r="T32" i="8"/>
  <c r="T33" i="8"/>
  <c r="T40" i="8"/>
  <c r="T37" i="8"/>
  <c r="T36" i="8"/>
  <c r="T35" i="8"/>
  <c r="T41" i="8"/>
  <c r="T39" i="8"/>
  <c r="T38" i="8"/>
  <c r="T34" i="8"/>
  <c r="T50" i="8"/>
  <c r="T43" i="8"/>
  <c r="T42" i="8"/>
  <c r="T45" i="8"/>
  <c r="T49" i="8"/>
  <c r="T48" i="8"/>
  <c r="T44" i="8"/>
  <c r="T47" i="8"/>
  <c r="T46" i="8"/>
  <c r="T54" i="8"/>
  <c r="T53" i="8"/>
  <c r="T52" i="8"/>
  <c r="T51" i="8"/>
  <c r="T56" i="8"/>
  <c r="T55" i="8"/>
  <c r="T58" i="8"/>
  <c r="T57" i="8"/>
  <c r="T59" i="8"/>
  <c r="T61" i="8"/>
  <c r="T62" i="8"/>
  <c r="T63" i="8"/>
  <c r="T60" i="8"/>
  <c r="T69" i="8"/>
  <c r="T64" i="8"/>
  <c r="T65" i="8"/>
  <c r="T66" i="8"/>
  <c r="T67" i="8"/>
  <c r="T68" i="8"/>
  <c r="T72" i="8"/>
  <c r="T71" i="8"/>
  <c r="T76" i="8"/>
  <c r="T80" i="8"/>
  <c r="T73" i="8"/>
  <c r="T82" i="8"/>
  <c r="T77" i="8"/>
  <c r="T78" i="8"/>
  <c r="T81" i="8"/>
  <c r="T83" i="8"/>
  <c r="T74" i="8"/>
  <c r="T75" i="8"/>
  <c r="T79" i="8"/>
  <c r="T70" i="8"/>
  <c r="T88" i="8"/>
  <c r="T85" i="8"/>
  <c r="T86" i="8"/>
  <c r="T89" i="8"/>
  <c r="T90" i="8"/>
  <c r="T87" i="8"/>
  <c r="T84" i="8"/>
  <c r="T91" i="8"/>
  <c r="T92" i="8"/>
  <c r="T95" i="8"/>
  <c r="T93" i="8"/>
  <c r="T96" i="8"/>
  <c r="T94" i="8"/>
  <c r="T98" i="8"/>
  <c r="T97" i="8"/>
  <c r="T99" i="8"/>
  <c r="T100" i="8"/>
  <c r="T106" i="8"/>
  <c r="T101" i="8"/>
  <c r="T102" i="8"/>
  <c r="T105" i="8"/>
  <c r="T103" i="8"/>
  <c r="T104" i="8"/>
  <c r="T111" i="8"/>
  <c r="T113" i="8"/>
  <c r="T108" i="8"/>
  <c r="T107" i="8"/>
  <c r="T112" i="8"/>
  <c r="T109" i="8"/>
  <c r="T110" i="8"/>
  <c r="T115" i="8"/>
  <c r="T118" i="8"/>
  <c r="T121" i="8"/>
  <c r="T123" i="8"/>
  <c r="T116" i="8"/>
  <c r="T114" i="8"/>
  <c r="T117" i="8"/>
  <c r="T122" i="8"/>
  <c r="T120" i="8"/>
  <c r="T119" i="8"/>
  <c r="T124" i="8"/>
  <c r="T125" i="8"/>
  <c r="T126" i="8"/>
  <c r="T128" i="8"/>
  <c r="T127" i="8"/>
  <c r="T130" i="8"/>
  <c r="T131" i="8"/>
  <c r="T129" i="8"/>
  <c r="T134" i="8"/>
  <c r="T135" i="8"/>
  <c r="T132" i="8"/>
  <c r="T137" i="8"/>
  <c r="T138" i="8"/>
  <c r="T136" i="8"/>
  <c r="T133" i="8"/>
  <c r="T143" i="8"/>
  <c r="T141" i="8"/>
  <c r="T140" i="8"/>
  <c r="T142" i="8"/>
  <c r="T139" i="8"/>
  <c r="T150" i="8"/>
  <c r="T149" i="8"/>
  <c r="T151" i="8"/>
  <c r="T147" i="8"/>
  <c r="T146" i="8"/>
  <c r="T145" i="8"/>
  <c r="T148" i="8"/>
  <c r="T144" i="8"/>
  <c r="T152" i="8"/>
  <c r="T153" i="8"/>
  <c r="T154" i="8"/>
  <c r="T156" i="8"/>
  <c r="T155" i="8"/>
  <c r="T157" i="8"/>
  <c r="T158" i="8"/>
  <c r="T159" i="8"/>
  <c r="T160" i="8"/>
  <c r="T162" i="8"/>
  <c r="T164" i="8"/>
  <c r="T161" i="8"/>
  <c r="T163" i="8"/>
  <c r="T165" i="8"/>
  <c r="T169" i="8"/>
  <c r="T168" i="8"/>
  <c r="T166" i="8"/>
  <c r="T167" i="8"/>
  <c r="T170" i="8"/>
  <c r="T175" i="8"/>
  <c r="T173" i="8"/>
  <c r="T178" i="8"/>
  <c r="T174" i="8"/>
  <c r="T172" i="8"/>
  <c r="T177" i="8"/>
  <c r="T176" i="8"/>
  <c r="T171" i="8"/>
  <c r="T179" i="8"/>
  <c r="T182" i="8"/>
  <c r="T180" i="8"/>
  <c r="T181" i="8"/>
  <c r="T184" i="8"/>
  <c r="T183" i="8"/>
  <c r="T187" i="8"/>
  <c r="T188" i="8"/>
  <c r="T186" i="8"/>
  <c r="T185" i="8"/>
  <c r="T189" i="8"/>
  <c r="T193" i="8"/>
  <c r="T190" i="8"/>
  <c r="T192" i="8"/>
  <c r="T191" i="8"/>
  <c r="T195" i="8"/>
  <c r="T199" i="8"/>
  <c r="T197" i="8"/>
  <c r="T198" i="8"/>
  <c r="T194" i="8"/>
  <c r="T200" i="8"/>
  <c r="T196" i="8"/>
  <c r="T201" i="8"/>
  <c r="T202" i="8"/>
  <c r="T206" i="8"/>
  <c r="T213" i="8"/>
  <c r="T204" i="8"/>
  <c r="T211" i="8"/>
  <c r="T208" i="8"/>
  <c r="T205" i="8"/>
  <c r="T209" i="8"/>
  <c r="T203" i="8"/>
  <c r="T212" i="8"/>
  <c r="T210" i="8"/>
  <c r="T207" i="8"/>
  <c r="T215" i="8"/>
  <c r="T214" i="8"/>
  <c r="T216" i="8"/>
  <c r="T217" i="8"/>
  <c r="T218" i="8"/>
  <c r="T221" i="8"/>
  <c r="T219" i="8"/>
  <c r="T220" i="8"/>
  <c r="T222" i="8"/>
  <c r="T225" i="8"/>
  <c r="T226" i="8"/>
  <c r="T223" i="8"/>
  <c r="T227" i="8"/>
  <c r="T224" i="8"/>
  <c r="T229" i="8"/>
  <c r="T228" i="8"/>
  <c r="T230" i="8"/>
  <c r="T240" i="8"/>
  <c r="T235" i="8"/>
  <c r="T238" i="8"/>
  <c r="T234" i="8"/>
  <c r="T233" i="8"/>
  <c r="T231" i="8"/>
  <c r="T236" i="8"/>
  <c r="T232" i="8"/>
  <c r="T239" i="8"/>
  <c r="T237" i="8"/>
  <c r="T245" i="8"/>
  <c r="T246" i="8"/>
  <c r="T242" i="8"/>
  <c r="T243" i="8"/>
  <c r="T247" i="8"/>
  <c r="T241" i="8"/>
  <c r="T248" i="8"/>
  <c r="T250" i="8"/>
  <c r="T249" i="8"/>
  <c r="T244" i="8"/>
  <c r="T251" i="8"/>
  <c r="T253" i="8"/>
  <c r="T252" i="8"/>
  <c r="T255" i="8"/>
  <c r="T254" i="8"/>
  <c r="T256" i="8"/>
  <c r="T258" i="8"/>
  <c r="T259" i="8"/>
  <c r="T260" i="8"/>
  <c r="T257" i="8"/>
  <c r="T261" i="8"/>
  <c r="T262" i="8"/>
  <c r="T264" i="8"/>
  <c r="T266" i="8"/>
  <c r="T263" i="8"/>
  <c r="T265" i="8"/>
  <c r="T268" i="8"/>
  <c r="T267" i="8"/>
  <c r="T271" i="8"/>
  <c r="T270" i="8"/>
  <c r="T269" i="8"/>
  <c r="T275" i="8"/>
  <c r="T276" i="8"/>
  <c r="T272" i="8"/>
  <c r="T273" i="8"/>
  <c r="T274" i="8"/>
  <c r="T281" i="8"/>
  <c r="T278" i="8"/>
  <c r="T280" i="8"/>
  <c r="T277" i="8"/>
  <c r="T279" i="8"/>
  <c r="T285" i="8"/>
  <c r="T287" i="8"/>
  <c r="T284" i="8"/>
  <c r="T286" i="8"/>
  <c r="T282" i="8"/>
  <c r="T283" i="8"/>
  <c r="T290" i="8"/>
  <c r="T289" i="8"/>
  <c r="T288" i="8"/>
  <c r="T292" i="8"/>
  <c r="T291" i="8"/>
  <c r="T294" i="8"/>
  <c r="T293" i="8"/>
  <c r="T295" i="8"/>
  <c r="T303" i="8"/>
  <c r="T300" i="8"/>
  <c r="T298" i="8"/>
  <c r="T301" i="8"/>
  <c r="T296" i="8"/>
  <c r="T297" i="8"/>
  <c r="T299" i="8"/>
  <c r="T302" i="8"/>
  <c r="T306" i="8"/>
  <c r="T307" i="8"/>
  <c r="T305" i="8"/>
  <c r="T304" i="8"/>
  <c r="T308" i="8"/>
  <c r="T313" i="8"/>
  <c r="T311" i="8"/>
  <c r="T309" i="8"/>
  <c r="T310" i="8"/>
  <c r="T312" i="8"/>
  <c r="T315" i="8"/>
  <c r="T314" i="8"/>
  <c r="T316" i="8"/>
  <c r="T317" i="8"/>
  <c r="T318" i="8"/>
  <c r="T321" i="8"/>
  <c r="T320" i="8"/>
  <c r="T319" i="8"/>
  <c r="T322" i="8"/>
  <c r="T323" i="8"/>
  <c r="T330" i="8"/>
  <c r="T326" i="8"/>
  <c r="T324" i="8"/>
  <c r="T329" i="8"/>
  <c r="T328" i="8"/>
  <c r="T327" i="8"/>
  <c r="T325" i="8"/>
  <c r="T332" i="8"/>
  <c r="T331" i="8"/>
  <c r="T334" i="8"/>
  <c r="T333" i="8"/>
  <c r="T339" i="8"/>
  <c r="T340" i="8"/>
  <c r="T335" i="8"/>
  <c r="T337" i="8"/>
  <c r="T336" i="8"/>
  <c r="T338" i="8"/>
  <c r="T346" i="8"/>
  <c r="T343" i="8"/>
  <c r="T342" i="8"/>
  <c r="T341" i="8"/>
  <c r="T344" i="8"/>
  <c r="T345" i="8"/>
  <c r="T347" i="8"/>
  <c r="T348" i="8"/>
  <c r="T351" i="8"/>
  <c r="T349" i="8"/>
  <c r="T350" i="8"/>
  <c r="T353" i="8"/>
  <c r="T352" i="8"/>
  <c r="T356" i="8"/>
  <c r="T355" i="8"/>
  <c r="T357" i="8"/>
  <c r="T354" i="8"/>
  <c r="T360" i="8"/>
  <c r="T359" i="8"/>
  <c r="T361" i="8"/>
  <c r="T358" i="8"/>
  <c r="T367" i="8"/>
  <c r="T364" i="8"/>
  <c r="T362" i="8"/>
  <c r="T363" i="8"/>
  <c r="T371" i="8"/>
  <c r="T366" i="8"/>
  <c r="T370" i="8"/>
  <c r="T365" i="8"/>
  <c r="T372" i="8"/>
  <c r="T368" i="8"/>
  <c r="T369" i="8"/>
  <c r="T376" i="8"/>
  <c r="T375" i="8"/>
  <c r="T373" i="8"/>
  <c r="T374" i="8"/>
  <c r="T378" i="8"/>
  <c r="T377" i="8"/>
  <c r="T379" i="8"/>
  <c r="T380" i="8"/>
  <c r="T381" i="8"/>
  <c r="T385" i="8"/>
  <c r="T384" i="8"/>
  <c r="T383" i="8"/>
  <c r="T382" i="8"/>
  <c r="T388" i="8"/>
  <c r="T387" i="8"/>
  <c r="T386" i="8"/>
  <c r="T390" i="8"/>
  <c r="T392" i="8"/>
  <c r="T389" i="8"/>
  <c r="T393" i="8"/>
  <c r="T391" i="8"/>
  <c r="T398" i="8"/>
  <c r="T400" i="8"/>
  <c r="T402" i="8"/>
  <c r="T395" i="8"/>
  <c r="T394" i="8"/>
  <c r="T396" i="8"/>
  <c r="T399" i="8"/>
  <c r="T401" i="8"/>
  <c r="T397" i="8"/>
  <c r="T403" i="8"/>
  <c r="T405" i="8"/>
  <c r="T404" i="8"/>
  <c r="T406" i="8"/>
  <c r="T407" i="8"/>
  <c r="T408" i="8"/>
  <c r="T409" i="8"/>
  <c r="T410" i="8"/>
  <c r="T414" i="8"/>
  <c r="T413" i="8"/>
  <c r="T412" i="8"/>
  <c r="T415" i="8"/>
  <c r="T411" i="8"/>
  <c r="T416" i="8"/>
  <c r="T418" i="8"/>
  <c r="T417" i="8"/>
  <c r="T420" i="8"/>
  <c r="T421" i="8"/>
  <c r="T422" i="8"/>
  <c r="T423" i="8"/>
  <c r="T419" i="8"/>
  <c r="T424" i="8"/>
  <c r="T430" i="8"/>
  <c r="T429" i="8"/>
  <c r="T428" i="8"/>
  <c r="T427" i="8"/>
  <c r="T426" i="8"/>
  <c r="T425" i="8"/>
  <c r="T433" i="8"/>
  <c r="T434" i="8"/>
  <c r="T432" i="8"/>
  <c r="T431" i="8"/>
  <c r="T435" i="8"/>
  <c r="T436" i="8"/>
  <c r="T438" i="8"/>
  <c r="T437" i="8"/>
  <c r="T442" i="8"/>
  <c r="T440" i="8"/>
  <c r="T439" i="8"/>
  <c r="T441" i="8"/>
  <c r="T443" i="8"/>
  <c r="T448" i="8"/>
  <c r="T449" i="8"/>
  <c r="T450" i="8"/>
  <c r="T446" i="8"/>
  <c r="T444" i="8"/>
  <c r="T445" i="8"/>
  <c r="T447" i="8"/>
  <c r="T454" i="8"/>
  <c r="T452" i="8"/>
  <c r="T453" i="8"/>
  <c r="T451" i="8"/>
  <c r="T455" i="8"/>
  <c r="T457" i="8"/>
  <c r="T456" i="8"/>
  <c r="T458" i="8"/>
  <c r="T459" i="8"/>
  <c r="T464" i="8"/>
  <c r="T463" i="8"/>
  <c r="T461" i="8"/>
  <c r="T462" i="8"/>
  <c r="T460" i="8"/>
  <c r="T468" i="8"/>
  <c r="T467" i="8"/>
  <c r="T465" i="8"/>
  <c r="T466" i="8"/>
  <c r="T470" i="8"/>
  <c r="R2" i="8"/>
  <c r="R3" i="8"/>
  <c r="R4" i="8"/>
  <c r="R5" i="8"/>
  <c r="R8" i="8"/>
  <c r="R7" i="8"/>
  <c r="R6" i="8"/>
  <c r="R9" i="8"/>
  <c r="R10" i="8"/>
  <c r="R11" i="8"/>
  <c r="R12" i="8"/>
  <c r="R17" i="8"/>
  <c r="R14" i="8"/>
  <c r="R13" i="8"/>
  <c r="R15" i="8"/>
  <c r="R16" i="8"/>
  <c r="R18" i="8"/>
  <c r="R19" i="8"/>
  <c r="R21" i="8"/>
  <c r="R26" i="8"/>
  <c r="R25" i="8"/>
  <c r="R24" i="8"/>
  <c r="R23" i="8"/>
  <c r="R27" i="8"/>
  <c r="R20" i="8"/>
  <c r="R22" i="8"/>
  <c r="R28" i="8"/>
  <c r="R31" i="8"/>
  <c r="R29" i="8"/>
  <c r="R30" i="8"/>
  <c r="R32" i="8"/>
  <c r="R33" i="8"/>
  <c r="R40" i="8"/>
  <c r="R37" i="8"/>
  <c r="R36" i="8"/>
  <c r="R35" i="8"/>
  <c r="R41" i="8"/>
  <c r="R39" i="8"/>
  <c r="R38" i="8"/>
  <c r="R34" i="8"/>
  <c r="R50" i="8"/>
  <c r="R43" i="8"/>
  <c r="R42" i="8"/>
  <c r="R45" i="8"/>
  <c r="R49" i="8"/>
  <c r="R48" i="8"/>
  <c r="R44" i="8"/>
  <c r="R47" i="8"/>
  <c r="R46" i="8"/>
  <c r="R54" i="8"/>
  <c r="R53" i="8"/>
  <c r="R52" i="8"/>
  <c r="R51" i="8"/>
  <c r="R56" i="8"/>
  <c r="R55" i="8"/>
  <c r="R58" i="8"/>
  <c r="R57" i="8"/>
  <c r="R59" i="8"/>
  <c r="R61" i="8"/>
  <c r="R62" i="8"/>
  <c r="R63" i="8"/>
  <c r="R60" i="8"/>
  <c r="R69" i="8"/>
  <c r="R64" i="8"/>
  <c r="R65" i="8"/>
  <c r="R66" i="8"/>
  <c r="R67" i="8"/>
  <c r="R68" i="8"/>
  <c r="R72" i="8"/>
  <c r="R71" i="8"/>
  <c r="R76" i="8"/>
  <c r="R80" i="8"/>
  <c r="R73" i="8"/>
  <c r="R82" i="8"/>
  <c r="R77" i="8"/>
  <c r="R78" i="8"/>
  <c r="R81" i="8"/>
  <c r="R83" i="8"/>
  <c r="R74" i="8"/>
  <c r="R75" i="8"/>
  <c r="R79" i="8"/>
  <c r="R70" i="8"/>
  <c r="R88" i="8"/>
  <c r="R85" i="8"/>
  <c r="R86" i="8"/>
  <c r="R89" i="8"/>
  <c r="R90" i="8"/>
  <c r="R87" i="8"/>
  <c r="R84" i="8"/>
  <c r="R91" i="8"/>
  <c r="R92" i="8"/>
  <c r="R95" i="8"/>
  <c r="R93" i="8"/>
  <c r="R96" i="8"/>
  <c r="R94" i="8"/>
  <c r="R98" i="8"/>
  <c r="R97" i="8"/>
  <c r="R99" i="8"/>
  <c r="R100" i="8"/>
  <c r="R106" i="8"/>
  <c r="R101" i="8"/>
  <c r="R102" i="8"/>
  <c r="R105" i="8"/>
  <c r="R103" i="8"/>
  <c r="R104" i="8"/>
  <c r="R111" i="8"/>
  <c r="R113" i="8"/>
  <c r="R108" i="8"/>
  <c r="R107" i="8"/>
  <c r="R112" i="8"/>
  <c r="R109" i="8"/>
  <c r="R110" i="8"/>
  <c r="R115" i="8"/>
  <c r="R118" i="8"/>
  <c r="R121" i="8"/>
  <c r="R123" i="8"/>
  <c r="R116" i="8"/>
  <c r="R114" i="8"/>
  <c r="R117" i="8"/>
  <c r="R122" i="8"/>
  <c r="R120" i="8"/>
  <c r="R119" i="8"/>
  <c r="R124" i="8"/>
  <c r="R125" i="8"/>
  <c r="R126" i="8"/>
  <c r="R128" i="8"/>
  <c r="R127" i="8"/>
  <c r="R130" i="8"/>
  <c r="R131" i="8"/>
  <c r="R129" i="8"/>
  <c r="R134" i="8"/>
  <c r="R135" i="8"/>
  <c r="R132" i="8"/>
  <c r="R137" i="8"/>
  <c r="R138" i="8"/>
  <c r="R136" i="8"/>
  <c r="R133" i="8"/>
  <c r="R143" i="8"/>
  <c r="R141" i="8"/>
  <c r="R140" i="8"/>
  <c r="R142" i="8"/>
  <c r="R139" i="8"/>
  <c r="R150" i="8"/>
  <c r="R149" i="8"/>
  <c r="R151" i="8"/>
  <c r="R147" i="8"/>
  <c r="R146" i="8"/>
  <c r="R145" i="8"/>
  <c r="R148" i="8"/>
  <c r="R144" i="8"/>
  <c r="R152" i="8"/>
  <c r="R153" i="8"/>
  <c r="R154" i="8"/>
  <c r="R156" i="8"/>
  <c r="R155" i="8"/>
  <c r="R157" i="8"/>
  <c r="R158" i="8"/>
  <c r="R159" i="8"/>
  <c r="R160" i="8"/>
  <c r="R162" i="8"/>
  <c r="R164" i="8"/>
  <c r="R161" i="8"/>
  <c r="R163" i="8"/>
  <c r="R165" i="8"/>
  <c r="R169" i="8"/>
  <c r="R168" i="8"/>
  <c r="R166" i="8"/>
  <c r="R167" i="8"/>
  <c r="R170" i="8"/>
  <c r="R175" i="8"/>
  <c r="R173" i="8"/>
  <c r="R178" i="8"/>
  <c r="R174" i="8"/>
  <c r="R172" i="8"/>
  <c r="R177" i="8"/>
  <c r="R176" i="8"/>
  <c r="R171" i="8"/>
  <c r="R179" i="8"/>
  <c r="R182" i="8"/>
  <c r="R180" i="8"/>
  <c r="R181" i="8"/>
  <c r="R184" i="8"/>
  <c r="R183" i="8"/>
  <c r="R187" i="8"/>
  <c r="R188" i="8"/>
  <c r="R186" i="8"/>
  <c r="R185" i="8"/>
  <c r="R189" i="8"/>
  <c r="R193" i="8"/>
  <c r="R190" i="8"/>
  <c r="R192" i="8"/>
  <c r="R191" i="8"/>
  <c r="R195" i="8"/>
  <c r="R199" i="8"/>
  <c r="R197" i="8"/>
  <c r="R198" i="8"/>
  <c r="R194" i="8"/>
  <c r="R200" i="8"/>
  <c r="R196" i="8"/>
  <c r="R201" i="8"/>
  <c r="R202" i="8"/>
  <c r="R206" i="8"/>
  <c r="R213" i="8"/>
  <c r="R204" i="8"/>
  <c r="R211" i="8"/>
  <c r="R208" i="8"/>
  <c r="R205" i="8"/>
  <c r="R209" i="8"/>
  <c r="R203" i="8"/>
  <c r="R212" i="8"/>
  <c r="R210" i="8"/>
  <c r="R207" i="8"/>
  <c r="R215" i="8"/>
  <c r="R214" i="8"/>
  <c r="R216" i="8"/>
  <c r="R217" i="8"/>
  <c r="R218" i="8"/>
  <c r="R221" i="8"/>
  <c r="R219" i="8"/>
  <c r="R220" i="8"/>
  <c r="R222" i="8"/>
  <c r="R225" i="8"/>
  <c r="R226" i="8"/>
  <c r="R223" i="8"/>
  <c r="R227" i="8"/>
  <c r="R224" i="8"/>
  <c r="R229" i="8"/>
  <c r="R228" i="8"/>
  <c r="R230" i="8"/>
  <c r="R240" i="8"/>
  <c r="R235" i="8"/>
  <c r="R238" i="8"/>
  <c r="R234" i="8"/>
  <c r="R233" i="8"/>
  <c r="R231" i="8"/>
  <c r="R236" i="8"/>
  <c r="R232" i="8"/>
  <c r="R239" i="8"/>
  <c r="R237" i="8"/>
  <c r="R245" i="8"/>
  <c r="R246" i="8"/>
  <c r="R242" i="8"/>
  <c r="R243" i="8"/>
  <c r="R247" i="8"/>
  <c r="R241" i="8"/>
  <c r="R248" i="8"/>
  <c r="R250" i="8"/>
  <c r="R249" i="8"/>
  <c r="R244" i="8"/>
  <c r="R251" i="8"/>
  <c r="R253" i="8"/>
  <c r="R252" i="8"/>
  <c r="R255" i="8"/>
  <c r="R254" i="8"/>
  <c r="R256" i="8"/>
  <c r="R258" i="8"/>
  <c r="R259" i="8"/>
  <c r="R260" i="8"/>
  <c r="R257" i="8"/>
  <c r="R261" i="8"/>
  <c r="R262" i="8"/>
  <c r="R264" i="8"/>
  <c r="R266" i="8"/>
  <c r="R263" i="8"/>
  <c r="R265" i="8"/>
  <c r="R268" i="8"/>
  <c r="R267" i="8"/>
  <c r="R271" i="8"/>
  <c r="R270" i="8"/>
  <c r="R269" i="8"/>
  <c r="R275" i="8"/>
  <c r="R276" i="8"/>
  <c r="R272" i="8"/>
  <c r="R273" i="8"/>
  <c r="R274" i="8"/>
  <c r="R281" i="8"/>
  <c r="R278" i="8"/>
  <c r="R280" i="8"/>
  <c r="R277" i="8"/>
  <c r="R279" i="8"/>
  <c r="R285" i="8"/>
  <c r="R287" i="8"/>
  <c r="R284" i="8"/>
  <c r="R286" i="8"/>
  <c r="R282" i="8"/>
  <c r="R283" i="8"/>
  <c r="R290" i="8"/>
  <c r="R289" i="8"/>
  <c r="R288" i="8"/>
  <c r="R292" i="8"/>
  <c r="R291" i="8"/>
  <c r="R294" i="8"/>
  <c r="R293" i="8"/>
  <c r="R295" i="8"/>
  <c r="R303" i="8"/>
  <c r="R300" i="8"/>
  <c r="R298" i="8"/>
  <c r="R301" i="8"/>
  <c r="R296" i="8"/>
  <c r="R297" i="8"/>
  <c r="R299" i="8"/>
  <c r="R302" i="8"/>
  <c r="R306" i="8"/>
  <c r="R307" i="8"/>
  <c r="R305" i="8"/>
  <c r="R304" i="8"/>
  <c r="R308" i="8"/>
  <c r="R313" i="8"/>
  <c r="R311" i="8"/>
  <c r="R309" i="8"/>
  <c r="R310" i="8"/>
  <c r="R312" i="8"/>
  <c r="R315" i="8"/>
  <c r="R314" i="8"/>
  <c r="R316" i="8"/>
  <c r="R317" i="8"/>
  <c r="R318" i="8"/>
  <c r="R321" i="8"/>
  <c r="R320" i="8"/>
  <c r="R319" i="8"/>
  <c r="R322" i="8"/>
  <c r="R323" i="8"/>
  <c r="R330" i="8"/>
  <c r="R326" i="8"/>
  <c r="R324" i="8"/>
  <c r="R329" i="8"/>
  <c r="R328" i="8"/>
  <c r="R327" i="8"/>
  <c r="R325" i="8"/>
  <c r="R332" i="8"/>
  <c r="R331" i="8"/>
  <c r="R334" i="8"/>
  <c r="R333" i="8"/>
  <c r="R339" i="8"/>
  <c r="R340" i="8"/>
  <c r="R335" i="8"/>
  <c r="R337" i="8"/>
  <c r="R336" i="8"/>
  <c r="R338" i="8"/>
  <c r="R346" i="8"/>
  <c r="R343" i="8"/>
  <c r="R342" i="8"/>
  <c r="R341" i="8"/>
  <c r="R344" i="8"/>
  <c r="R345" i="8"/>
  <c r="R347" i="8"/>
  <c r="R348" i="8"/>
  <c r="R351" i="8"/>
  <c r="R349" i="8"/>
  <c r="R350" i="8"/>
  <c r="R353" i="8"/>
  <c r="R352" i="8"/>
  <c r="R356" i="8"/>
  <c r="R355" i="8"/>
  <c r="R357" i="8"/>
  <c r="R354" i="8"/>
  <c r="R360" i="8"/>
  <c r="R359" i="8"/>
  <c r="R361" i="8"/>
  <c r="R358" i="8"/>
  <c r="R367" i="8"/>
  <c r="R364" i="8"/>
  <c r="R362" i="8"/>
  <c r="R363" i="8"/>
  <c r="R371" i="8"/>
  <c r="R366" i="8"/>
  <c r="R370" i="8"/>
  <c r="R365" i="8"/>
  <c r="R372" i="8"/>
  <c r="R368" i="8"/>
  <c r="R369" i="8"/>
  <c r="R376" i="8"/>
  <c r="R375" i="8"/>
  <c r="R373" i="8"/>
  <c r="R374" i="8"/>
  <c r="R378" i="8"/>
  <c r="R377" i="8"/>
  <c r="R379" i="8"/>
  <c r="R380" i="8"/>
  <c r="R381" i="8"/>
  <c r="R385" i="8"/>
  <c r="R384" i="8"/>
  <c r="R383" i="8"/>
  <c r="R382" i="8"/>
  <c r="R388" i="8"/>
  <c r="R387" i="8"/>
  <c r="R386" i="8"/>
  <c r="R390" i="8"/>
  <c r="R392" i="8"/>
  <c r="R389" i="8"/>
  <c r="R393" i="8"/>
  <c r="R391" i="8"/>
  <c r="R398" i="8"/>
  <c r="R400" i="8"/>
  <c r="R402" i="8"/>
  <c r="R395" i="8"/>
  <c r="R394" i="8"/>
  <c r="R396" i="8"/>
  <c r="R399" i="8"/>
  <c r="R401" i="8"/>
  <c r="R397" i="8"/>
  <c r="R403" i="8"/>
  <c r="R405" i="8"/>
  <c r="R404" i="8"/>
  <c r="R406" i="8"/>
  <c r="R407" i="8"/>
  <c r="R408" i="8"/>
  <c r="R409" i="8"/>
  <c r="R410" i="8"/>
  <c r="R414" i="8"/>
  <c r="R413" i="8"/>
  <c r="R412" i="8"/>
  <c r="R415" i="8"/>
  <c r="R411" i="8"/>
  <c r="R416" i="8"/>
  <c r="R418" i="8"/>
  <c r="R417" i="8"/>
  <c r="R420" i="8"/>
  <c r="R421" i="8"/>
  <c r="R422" i="8"/>
  <c r="R423" i="8"/>
  <c r="R419" i="8"/>
  <c r="R424" i="8"/>
  <c r="R430" i="8"/>
  <c r="R429" i="8"/>
  <c r="R428" i="8"/>
  <c r="R427" i="8"/>
  <c r="R426" i="8"/>
  <c r="R425" i="8"/>
  <c r="R433" i="8"/>
  <c r="R434" i="8"/>
  <c r="R432" i="8"/>
  <c r="R431" i="8"/>
  <c r="R435" i="8"/>
  <c r="R436" i="8"/>
  <c r="R438" i="8"/>
  <c r="R437" i="8"/>
  <c r="R442" i="8"/>
  <c r="R440" i="8"/>
  <c r="R439" i="8"/>
  <c r="R441" i="8"/>
  <c r="R443" i="8"/>
  <c r="R448" i="8"/>
  <c r="R449" i="8"/>
  <c r="R450" i="8"/>
  <c r="R446" i="8"/>
  <c r="R444" i="8"/>
  <c r="R445" i="8"/>
  <c r="R447" i="8"/>
  <c r="R454" i="8"/>
  <c r="R452" i="8"/>
  <c r="R453" i="8"/>
  <c r="R451" i="8"/>
  <c r="R455" i="8"/>
  <c r="R457" i="8"/>
  <c r="R456" i="8"/>
  <c r="R458" i="8"/>
  <c r="R459" i="8"/>
  <c r="R464" i="8"/>
  <c r="R463" i="8"/>
  <c r="R461" i="8"/>
  <c r="R462" i="8"/>
  <c r="R460" i="8"/>
  <c r="R468" i="8"/>
  <c r="R467" i="8"/>
  <c r="R465" i="8"/>
  <c r="R466" i="8"/>
  <c r="R470" i="8"/>
  <c r="G2" i="8"/>
  <c r="G3" i="8"/>
  <c r="G4" i="8"/>
  <c r="G5" i="8"/>
  <c r="G8" i="8"/>
  <c r="G7" i="8"/>
  <c r="G6" i="8"/>
  <c r="G9" i="8"/>
  <c r="G10" i="8"/>
  <c r="G11" i="8"/>
  <c r="G12" i="8"/>
  <c r="G17" i="8"/>
  <c r="G14" i="8"/>
  <c r="G13" i="8"/>
  <c r="G15" i="8"/>
  <c r="G16" i="8"/>
  <c r="G18" i="8"/>
  <c r="G19" i="8"/>
  <c r="G21" i="8"/>
  <c r="G26" i="8"/>
  <c r="G25" i="8"/>
  <c r="G24" i="8"/>
  <c r="G23" i="8"/>
  <c r="G27" i="8"/>
  <c r="G20" i="8"/>
  <c r="G22" i="8"/>
  <c r="G28" i="8"/>
  <c r="G31" i="8"/>
  <c r="G29" i="8"/>
  <c r="G30" i="8"/>
  <c r="G32" i="8"/>
  <c r="G33" i="8"/>
  <c r="G40" i="8"/>
  <c r="G37" i="8"/>
  <c r="G36" i="8"/>
  <c r="G35" i="8"/>
  <c r="G41" i="8"/>
  <c r="G39" i="8"/>
  <c r="G38" i="8"/>
  <c r="G34" i="8"/>
  <c r="G50" i="8"/>
  <c r="G43" i="8"/>
  <c r="G42" i="8"/>
  <c r="G45" i="8"/>
  <c r="G49" i="8"/>
  <c r="G48" i="8"/>
  <c r="G44" i="8"/>
  <c r="G47" i="8"/>
  <c r="G46" i="8"/>
  <c r="G54" i="8"/>
  <c r="G53" i="8"/>
  <c r="G52" i="8"/>
  <c r="G51" i="8"/>
  <c r="G56" i="8"/>
  <c r="G55" i="8"/>
  <c r="G58" i="8"/>
  <c r="G57" i="8"/>
  <c r="G59" i="8"/>
  <c r="G61" i="8"/>
  <c r="G62" i="8"/>
  <c r="G63" i="8"/>
  <c r="G60" i="8"/>
  <c r="G69" i="8"/>
  <c r="G64" i="8"/>
  <c r="G65" i="8"/>
  <c r="G66" i="8"/>
  <c r="G67" i="8"/>
  <c r="G68" i="8"/>
  <c r="G72" i="8"/>
  <c r="G71" i="8"/>
  <c r="G76" i="8"/>
  <c r="G80" i="8"/>
  <c r="G73" i="8"/>
  <c r="G82" i="8"/>
  <c r="G77" i="8"/>
  <c r="G78" i="8"/>
  <c r="G81" i="8"/>
  <c r="G83" i="8"/>
  <c r="G74" i="8"/>
  <c r="G75" i="8"/>
  <c r="G79" i="8"/>
  <c r="G70" i="8"/>
  <c r="G88" i="8"/>
  <c r="G85" i="8"/>
  <c r="G86" i="8"/>
  <c r="G89" i="8"/>
  <c r="G90" i="8"/>
  <c r="G87" i="8"/>
  <c r="G84" i="8"/>
  <c r="G91" i="8"/>
  <c r="G92" i="8"/>
  <c r="G95" i="8"/>
  <c r="G93" i="8"/>
  <c r="G96" i="8"/>
  <c r="G94" i="8"/>
  <c r="G98" i="8"/>
  <c r="G97" i="8"/>
  <c r="G99" i="8"/>
  <c r="G100" i="8"/>
  <c r="G106" i="8"/>
  <c r="G101" i="8"/>
  <c r="G102" i="8"/>
  <c r="G105" i="8"/>
  <c r="G103" i="8"/>
  <c r="G104" i="8"/>
  <c r="G111" i="8"/>
  <c r="G113" i="8"/>
  <c r="G108" i="8"/>
  <c r="G107" i="8"/>
  <c r="G112" i="8"/>
  <c r="G109" i="8"/>
  <c r="G110" i="8"/>
  <c r="G115" i="8"/>
  <c r="G118" i="8"/>
  <c r="G121" i="8"/>
  <c r="G123" i="8"/>
  <c r="G116" i="8"/>
  <c r="G114" i="8"/>
  <c r="G117" i="8"/>
  <c r="G122" i="8"/>
  <c r="G120" i="8"/>
  <c r="G119" i="8"/>
  <c r="G124" i="8"/>
  <c r="G125" i="8"/>
  <c r="G126" i="8"/>
  <c r="G128" i="8"/>
  <c r="G127" i="8"/>
  <c r="G130" i="8"/>
  <c r="G131" i="8"/>
  <c r="G129" i="8"/>
  <c r="G134" i="8"/>
  <c r="G135" i="8"/>
  <c r="G132" i="8"/>
  <c r="G137" i="8"/>
  <c r="G138" i="8"/>
  <c r="G136" i="8"/>
  <c r="G133" i="8"/>
  <c r="G143" i="8"/>
  <c r="G141" i="8"/>
  <c r="G140" i="8"/>
  <c r="G142" i="8"/>
  <c r="G139" i="8"/>
  <c r="G150" i="8"/>
  <c r="G149" i="8"/>
  <c r="G151" i="8"/>
  <c r="G147" i="8"/>
  <c r="G146" i="8"/>
  <c r="G145" i="8"/>
  <c r="G148" i="8"/>
  <c r="G144" i="8"/>
  <c r="G152" i="8"/>
  <c r="G153" i="8"/>
  <c r="G154" i="8"/>
  <c r="G156" i="8"/>
  <c r="G155" i="8"/>
  <c r="G157" i="8"/>
  <c r="G158" i="8"/>
  <c r="G159" i="8"/>
  <c r="G160" i="8"/>
  <c r="G162" i="8"/>
  <c r="G164" i="8"/>
  <c r="G161" i="8"/>
  <c r="G163" i="8"/>
  <c r="G165" i="8"/>
  <c r="G169" i="8"/>
  <c r="G168" i="8"/>
  <c r="G166" i="8"/>
  <c r="G167" i="8"/>
  <c r="G170" i="8"/>
  <c r="G175" i="8"/>
  <c r="G173" i="8"/>
  <c r="G178" i="8"/>
  <c r="G174" i="8"/>
  <c r="G172" i="8"/>
  <c r="G177" i="8"/>
  <c r="G176" i="8"/>
  <c r="G171" i="8"/>
  <c r="G179" i="8"/>
  <c r="G182" i="8"/>
  <c r="G180" i="8"/>
  <c r="G181" i="8"/>
  <c r="G184" i="8"/>
  <c r="G183" i="8"/>
  <c r="G187" i="8"/>
  <c r="G188" i="8"/>
  <c r="G186" i="8"/>
  <c r="G185" i="8"/>
  <c r="G189" i="8"/>
  <c r="G193" i="8"/>
  <c r="G190" i="8"/>
  <c r="G192" i="8"/>
  <c r="G191" i="8"/>
  <c r="G195" i="8"/>
  <c r="G199" i="8"/>
  <c r="G197" i="8"/>
  <c r="G198" i="8"/>
  <c r="G194" i="8"/>
  <c r="G200" i="8"/>
  <c r="G196" i="8"/>
  <c r="G201" i="8"/>
  <c r="G202" i="8"/>
  <c r="G206" i="8"/>
  <c r="G213" i="8"/>
  <c r="G204" i="8"/>
  <c r="G211" i="8"/>
  <c r="G208" i="8"/>
  <c r="G205" i="8"/>
  <c r="G209" i="8"/>
  <c r="G203" i="8"/>
  <c r="G212" i="8"/>
  <c r="G210" i="8"/>
  <c r="G207" i="8"/>
  <c r="G215" i="8"/>
  <c r="G214" i="8"/>
  <c r="G216" i="8"/>
  <c r="G217" i="8"/>
  <c r="G218" i="8"/>
  <c r="G221" i="8"/>
  <c r="G219" i="8"/>
  <c r="G220" i="8"/>
  <c r="G222" i="8"/>
  <c r="G225" i="8"/>
  <c r="G226" i="8"/>
  <c r="G223" i="8"/>
  <c r="G227" i="8"/>
  <c r="G224" i="8"/>
  <c r="G229" i="8"/>
  <c r="G228" i="8"/>
  <c r="G230" i="8"/>
  <c r="G240" i="8"/>
  <c r="G235" i="8"/>
  <c r="G238" i="8"/>
  <c r="G234" i="8"/>
  <c r="G233" i="8"/>
  <c r="G231" i="8"/>
  <c r="G236" i="8"/>
  <c r="G232" i="8"/>
  <c r="G239" i="8"/>
  <c r="G237" i="8"/>
  <c r="G245" i="8"/>
  <c r="G246" i="8"/>
  <c r="G242" i="8"/>
  <c r="G243" i="8"/>
  <c r="G247" i="8"/>
  <c r="G241" i="8"/>
  <c r="G248" i="8"/>
  <c r="G250" i="8"/>
  <c r="G249" i="8"/>
  <c r="G244" i="8"/>
  <c r="G251" i="8"/>
  <c r="G253" i="8"/>
  <c r="G252" i="8"/>
  <c r="G255" i="8"/>
  <c r="G254" i="8"/>
  <c r="G256" i="8"/>
  <c r="G258" i="8"/>
  <c r="G259" i="8"/>
  <c r="G260" i="8"/>
  <c r="G257" i="8"/>
  <c r="G261" i="8"/>
  <c r="G262" i="8"/>
  <c r="G264" i="8"/>
  <c r="G266" i="8"/>
  <c r="G263" i="8"/>
  <c r="G265" i="8"/>
  <c r="G268" i="8"/>
  <c r="G267" i="8"/>
  <c r="G271" i="8"/>
  <c r="G270" i="8"/>
  <c r="G269" i="8"/>
  <c r="G275" i="8"/>
  <c r="G276" i="8"/>
  <c r="G272" i="8"/>
  <c r="G273" i="8"/>
  <c r="G274" i="8"/>
  <c r="G281" i="8"/>
  <c r="G278" i="8"/>
  <c r="G280" i="8"/>
  <c r="G277" i="8"/>
  <c r="G279" i="8"/>
  <c r="G285" i="8"/>
  <c r="G287" i="8"/>
  <c r="G284" i="8"/>
  <c r="G286" i="8"/>
  <c r="G282" i="8"/>
  <c r="G283" i="8"/>
  <c r="G290" i="8"/>
  <c r="G289" i="8"/>
  <c r="G288" i="8"/>
  <c r="G292" i="8"/>
  <c r="G291" i="8"/>
  <c r="G294" i="8"/>
  <c r="G293" i="8"/>
  <c r="G295" i="8"/>
  <c r="G303" i="8"/>
  <c r="G300" i="8"/>
  <c r="G298" i="8"/>
  <c r="G301" i="8"/>
  <c r="G296" i="8"/>
  <c r="G297" i="8"/>
  <c r="G299" i="8"/>
  <c r="G302" i="8"/>
  <c r="G306" i="8"/>
  <c r="G307" i="8"/>
  <c r="G305" i="8"/>
  <c r="G304" i="8"/>
  <c r="G308" i="8"/>
  <c r="G313" i="8"/>
  <c r="G311" i="8"/>
  <c r="G309" i="8"/>
  <c r="G310" i="8"/>
  <c r="G312" i="8"/>
  <c r="G315" i="8"/>
  <c r="G314" i="8"/>
  <c r="G316" i="8"/>
  <c r="G317" i="8"/>
  <c r="G318" i="8"/>
  <c r="G321" i="8"/>
  <c r="G320" i="8"/>
  <c r="G319" i="8"/>
  <c r="G322" i="8"/>
  <c r="G323" i="8"/>
  <c r="G330" i="8"/>
  <c r="G326" i="8"/>
  <c r="G324" i="8"/>
  <c r="G329" i="8"/>
  <c r="G328" i="8"/>
  <c r="G327" i="8"/>
  <c r="G325" i="8"/>
  <c r="G332" i="8"/>
  <c r="G331" i="8"/>
  <c r="G334" i="8"/>
  <c r="G333" i="8"/>
  <c r="G339" i="8"/>
  <c r="G340" i="8"/>
  <c r="G335" i="8"/>
  <c r="G337" i="8"/>
  <c r="G336" i="8"/>
  <c r="G338" i="8"/>
  <c r="G346" i="8"/>
  <c r="G343" i="8"/>
  <c r="G342" i="8"/>
  <c r="G341" i="8"/>
  <c r="G344" i="8"/>
  <c r="G345" i="8"/>
  <c r="G347" i="8"/>
  <c r="G348" i="8"/>
  <c r="G351" i="8"/>
  <c r="G349" i="8"/>
  <c r="G350" i="8"/>
  <c r="G353" i="8"/>
  <c r="G352" i="8"/>
  <c r="G356" i="8"/>
  <c r="G355" i="8"/>
  <c r="G357" i="8"/>
  <c r="G354" i="8"/>
  <c r="G360" i="8"/>
  <c r="G359" i="8"/>
  <c r="G361" i="8"/>
  <c r="G358" i="8"/>
  <c r="G367" i="8"/>
  <c r="G364" i="8"/>
  <c r="G362" i="8"/>
  <c r="G363" i="8"/>
  <c r="G371" i="8"/>
  <c r="G366" i="8"/>
  <c r="G370" i="8"/>
  <c r="G365" i="8"/>
  <c r="G372" i="8"/>
  <c r="G368" i="8"/>
  <c r="G369" i="8"/>
  <c r="G376" i="8"/>
  <c r="G375" i="8"/>
  <c r="G373" i="8"/>
  <c r="G374" i="8"/>
  <c r="G378" i="8"/>
  <c r="G377" i="8"/>
  <c r="G379" i="8"/>
  <c r="G380" i="8"/>
  <c r="G381" i="8"/>
  <c r="G385" i="8"/>
  <c r="G384" i="8"/>
  <c r="G383" i="8"/>
  <c r="G382" i="8"/>
  <c r="G388" i="8"/>
  <c r="G387" i="8"/>
  <c r="G386" i="8"/>
  <c r="G390" i="8"/>
  <c r="G392" i="8"/>
  <c r="G389" i="8"/>
  <c r="G393" i="8"/>
  <c r="G391" i="8"/>
  <c r="G398" i="8"/>
  <c r="G400" i="8"/>
  <c r="G402" i="8"/>
  <c r="G395" i="8"/>
  <c r="G394" i="8"/>
  <c r="G396" i="8"/>
  <c r="G399" i="8"/>
  <c r="G401" i="8"/>
  <c r="G397" i="8"/>
  <c r="G403" i="8"/>
  <c r="G405" i="8"/>
  <c r="G404" i="8"/>
  <c r="G406" i="8"/>
  <c r="G407" i="8"/>
  <c r="G408" i="8"/>
  <c r="G409" i="8"/>
  <c r="G410" i="8"/>
  <c r="G414" i="8"/>
  <c r="G413" i="8"/>
  <c r="G412" i="8"/>
  <c r="G415" i="8"/>
  <c r="G411" i="8"/>
  <c r="G416" i="8"/>
  <c r="G418" i="8"/>
  <c r="G417" i="8"/>
  <c r="G420" i="8"/>
  <c r="G421" i="8"/>
  <c r="G422" i="8"/>
  <c r="G423" i="8"/>
  <c r="G419" i="8"/>
  <c r="G424" i="8"/>
  <c r="G430" i="8"/>
  <c r="G429" i="8"/>
  <c r="G428" i="8"/>
  <c r="G427" i="8"/>
  <c r="G426" i="8"/>
  <c r="G425" i="8"/>
  <c r="G433" i="8"/>
  <c r="G434" i="8"/>
  <c r="G432" i="8"/>
  <c r="G431" i="8"/>
  <c r="G435" i="8"/>
  <c r="G436" i="8"/>
  <c r="G438" i="8"/>
  <c r="G437" i="8"/>
  <c r="G442" i="8"/>
  <c r="G440" i="8"/>
  <c r="G439" i="8"/>
  <c r="G441" i="8"/>
  <c r="G443" i="8"/>
  <c r="G448" i="8"/>
  <c r="G449" i="8"/>
  <c r="G450" i="8"/>
  <c r="G446" i="8"/>
  <c r="G444" i="8"/>
  <c r="G445" i="8"/>
  <c r="G447" i="8"/>
  <c r="G454" i="8"/>
  <c r="G452" i="8"/>
  <c r="G453" i="8"/>
  <c r="G451" i="8"/>
  <c r="G455" i="8"/>
  <c r="G457" i="8"/>
  <c r="G456" i="8"/>
  <c r="G458" i="8"/>
  <c r="G459" i="8"/>
  <c r="G464" i="8"/>
  <c r="G463" i="8"/>
  <c r="G461" i="8"/>
  <c r="G462" i="8"/>
  <c r="G460" i="8"/>
  <c r="G468" i="8"/>
  <c r="G467" i="8"/>
  <c r="G465" i="8"/>
  <c r="G466" i="8"/>
  <c r="G470" i="8"/>
  <c r="F2" i="8"/>
  <c r="F3" i="8"/>
  <c r="F4" i="8"/>
  <c r="F5" i="8"/>
  <c r="F8" i="8"/>
  <c r="F7" i="8"/>
  <c r="F6" i="8"/>
  <c r="F9" i="8"/>
  <c r="F10" i="8"/>
  <c r="F11" i="8"/>
  <c r="F12" i="8"/>
  <c r="F17" i="8"/>
  <c r="F14" i="8"/>
  <c r="F13" i="8"/>
  <c r="F15" i="8"/>
  <c r="F16" i="8"/>
  <c r="F18" i="8"/>
  <c r="F19" i="8"/>
  <c r="F21" i="8"/>
  <c r="F26" i="8"/>
  <c r="F25" i="8"/>
  <c r="F24" i="8"/>
  <c r="F23" i="8"/>
  <c r="F27" i="8"/>
  <c r="F20" i="8"/>
  <c r="F22" i="8"/>
  <c r="F28" i="8"/>
  <c r="F31" i="8"/>
  <c r="F29" i="8"/>
  <c r="F30" i="8"/>
  <c r="F32" i="8"/>
  <c r="F33" i="8"/>
  <c r="F40" i="8"/>
  <c r="F37" i="8"/>
  <c r="F36" i="8"/>
  <c r="F35" i="8"/>
  <c r="F41" i="8"/>
  <c r="F39" i="8"/>
  <c r="F38" i="8"/>
  <c r="F34" i="8"/>
  <c r="F50" i="8"/>
  <c r="F43" i="8"/>
  <c r="F42" i="8"/>
  <c r="F45" i="8"/>
  <c r="F49" i="8"/>
  <c r="F48" i="8"/>
  <c r="F44" i="8"/>
  <c r="F47" i="8"/>
  <c r="F46" i="8"/>
  <c r="F54" i="8"/>
  <c r="F53" i="8"/>
  <c r="F52" i="8"/>
  <c r="F51" i="8"/>
  <c r="F56" i="8"/>
  <c r="F55" i="8"/>
  <c r="F58" i="8"/>
  <c r="F57" i="8"/>
  <c r="F59" i="8"/>
  <c r="F61" i="8"/>
  <c r="F62" i="8"/>
  <c r="F63" i="8"/>
  <c r="F60" i="8"/>
  <c r="F69" i="8"/>
  <c r="F64" i="8"/>
  <c r="F65" i="8"/>
  <c r="F66" i="8"/>
  <c r="F67" i="8"/>
  <c r="F68" i="8"/>
  <c r="F72" i="8"/>
  <c r="F71" i="8"/>
  <c r="F76" i="8"/>
  <c r="F80" i="8"/>
  <c r="F73" i="8"/>
  <c r="F82" i="8"/>
  <c r="F77" i="8"/>
  <c r="F78" i="8"/>
  <c r="F81" i="8"/>
  <c r="F83" i="8"/>
  <c r="F74" i="8"/>
  <c r="F75" i="8"/>
  <c r="F79" i="8"/>
  <c r="F70" i="8"/>
  <c r="F88" i="8"/>
  <c r="F85" i="8"/>
  <c r="F86" i="8"/>
  <c r="F89" i="8"/>
  <c r="F90" i="8"/>
  <c r="F87" i="8"/>
  <c r="F84" i="8"/>
  <c r="F91" i="8"/>
  <c r="F92" i="8"/>
  <c r="F95" i="8"/>
  <c r="F93" i="8"/>
  <c r="F96" i="8"/>
  <c r="F94" i="8"/>
  <c r="F98" i="8"/>
  <c r="F97" i="8"/>
  <c r="F99" i="8"/>
  <c r="F100" i="8"/>
  <c r="F106" i="8"/>
  <c r="F101" i="8"/>
  <c r="F102" i="8"/>
  <c r="F105" i="8"/>
  <c r="F103" i="8"/>
  <c r="F104" i="8"/>
  <c r="F111" i="8"/>
  <c r="F113" i="8"/>
  <c r="F108" i="8"/>
  <c r="F107" i="8"/>
  <c r="F112" i="8"/>
  <c r="F109" i="8"/>
  <c r="F110" i="8"/>
  <c r="F115" i="8"/>
  <c r="F118" i="8"/>
  <c r="F121" i="8"/>
  <c r="F123" i="8"/>
  <c r="F116" i="8"/>
  <c r="F114" i="8"/>
  <c r="F117" i="8"/>
  <c r="F122" i="8"/>
  <c r="F120" i="8"/>
  <c r="F119" i="8"/>
  <c r="F124" i="8"/>
  <c r="F125" i="8"/>
  <c r="F126" i="8"/>
  <c r="F128" i="8"/>
  <c r="F127" i="8"/>
  <c r="F130" i="8"/>
  <c r="F131" i="8"/>
  <c r="F129" i="8"/>
  <c r="F134" i="8"/>
  <c r="F135" i="8"/>
  <c r="F132" i="8"/>
  <c r="F137" i="8"/>
  <c r="F138" i="8"/>
  <c r="F136" i="8"/>
  <c r="F133" i="8"/>
  <c r="F143" i="8"/>
  <c r="F141" i="8"/>
  <c r="F140" i="8"/>
  <c r="F142" i="8"/>
  <c r="F139" i="8"/>
  <c r="F150" i="8"/>
  <c r="F149" i="8"/>
  <c r="F151" i="8"/>
  <c r="F147" i="8"/>
  <c r="F146" i="8"/>
  <c r="F145" i="8"/>
  <c r="F148" i="8"/>
  <c r="F144" i="8"/>
  <c r="F152" i="8"/>
  <c r="F153" i="8"/>
  <c r="F154" i="8"/>
  <c r="F156" i="8"/>
  <c r="F155" i="8"/>
  <c r="F157" i="8"/>
  <c r="F158" i="8"/>
  <c r="F159" i="8"/>
  <c r="F160" i="8"/>
  <c r="F162" i="8"/>
  <c r="F164" i="8"/>
  <c r="F161" i="8"/>
  <c r="F163" i="8"/>
  <c r="F165" i="8"/>
  <c r="F169" i="8"/>
  <c r="F168" i="8"/>
  <c r="F166" i="8"/>
  <c r="F167" i="8"/>
  <c r="F170" i="8"/>
  <c r="F175" i="8"/>
  <c r="F173" i="8"/>
  <c r="F178" i="8"/>
  <c r="F174" i="8"/>
  <c r="F172" i="8"/>
  <c r="F177" i="8"/>
  <c r="F176" i="8"/>
  <c r="F171" i="8"/>
  <c r="F179" i="8"/>
  <c r="F182" i="8"/>
  <c r="F180" i="8"/>
  <c r="F181" i="8"/>
  <c r="F184" i="8"/>
  <c r="F183" i="8"/>
  <c r="F187" i="8"/>
  <c r="F188" i="8"/>
  <c r="F186" i="8"/>
  <c r="F185" i="8"/>
  <c r="F189" i="8"/>
  <c r="F193" i="8"/>
  <c r="F190" i="8"/>
  <c r="F192" i="8"/>
  <c r="F191" i="8"/>
  <c r="F195" i="8"/>
  <c r="F199" i="8"/>
  <c r="F197" i="8"/>
  <c r="F198" i="8"/>
  <c r="F194" i="8"/>
  <c r="F200" i="8"/>
  <c r="F196" i="8"/>
  <c r="F201" i="8"/>
  <c r="F202" i="8"/>
  <c r="F206" i="8"/>
  <c r="F213" i="8"/>
  <c r="F204" i="8"/>
  <c r="F211" i="8"/>
  <c r="F208" i="8"/>
  <c r="F205" i="8"/>
  <c r="F209" i="8"/>
  <c r="F203" i="8"/>
  <c r="F212" i="8"/>
  <c r="F210" i="8"/>
  <c r="F207" i="8"/>
  <c r="F215" i="8"/>
  <c r="F214" i="8"/>
  <c r="F216" i="8"/>
  <c r="F217" i="8"/>
  <c r="F218" i="8"/>
  <c r="F221" i="8"/>
  <c r="F219" i="8"/>
  <c r="F220" i="8"/>
  <c r="F222" i="8"/>
  <c r="F225" i="8"/>
  <c r="F226" i="8"/>
  <c r="F223" i="8"/>
  <c r="F227" i="8"/>
  <c r="F224" i="8"/>
  <c r="F229" i="8"/>
  <c r="F228" i="8"/>
  <c r="F230" i="8"/>
  <c r="F240" i="8"/>
  <c r="F235" i="8"/>
  <c r="F238" i="8"/>
  <c r="F234" i="8"/>
  <c r="F233" i="8"/>
  <c r="F231" i="8"/>
  <c r="F236" i="8"/>
  <c r="F232" i="8"/>
  <c r="F239" i="8"/>
  <c r="F237" i="8"/>
  <c r="F245" i="8"/>
  <c r="F246" i="8"/>
  <c r="F242" i="8"/>
  <c r="F243" i="8"/>
  <c r="F247" i="8"/>
  <c r="F241" i="8"/>
  <c r="F248" i="8"/>
  <c r="F250" i="8"/>
  <c r="F249" i="8"/>
  <c r="F244" i="8"/>
  <c r="F251" i="8"/>
  <c r="F253" i="8"/>
  <c r="F252" i="8"/>
  <c r="F255" i="8"/>
  <c r="F254" i="8"/>
  <c r="F256" i="8"/>
  <c r="F258" i="8"/>
  <c r="F259" i="8"/>
  <c r="F260" i="8"/>
  <c r="F257" i="8"/>
  <c r="F261" i="8"/>
  <c r="F262" i="8"/>
  <c r="F264" i="8"/>
  <c r="F266" i="8"/>
  <c r="F263" i="8"/>
  <c r="F265" i="8"/>
  <c r="F268" i="8"/>
  <c r="F267" i="8"/>
  <c r="F271" i="8"/>
  <c r="F270" i="8"/>
  <c r="F269" i="8"/>
  <c r="F275" i="8"/>
  <c r="F276" i="8"/>
  <c r="F272" i="8"/>
  <c r="F273" i="8"/>
  <c r="F274" i="8"/>
  <c r="F281" i="8"/>
  <c r="F278" i="8"/>
  <c r="F280" i="8"/>
  <c r="F277" i="8"/>
  <c r="F279" i="8"/>
  <c r="F285" i="8"/>
  <c r="F287" i="8"/>
  <c r="F284" i="8"/>
  <c r="F286" i="8"/>
  <c r="F282" i="8"/>
  <c r="F283" i="8"/>
  <c r="F290" i="8"/>
  <c r="F289" i="8"/>
  <c r="F288" i="8"/>
  <c r="F292" i="8"/>
  <c r="F291" i="8"/>
  <c r="F294" i="8"/>
  <c r="F293" i="8"/>
  <c r="F295" i="8"/>
  <c r="F303" i="8"/>
  <c r="F300" i="8"/>
  <c r="F298" i="8"/>
  <c r="F301" i="8"/>
  <c r="F296" i="8"/>
  <c r="F297" i="8"/>
  <c r="F299" i="8"/>
  <c r="F302" i="8"/>
  <c r="F306" i="8"/>
  <c r="F307" i="8"/>
  <c r="F305" i="8"/>
  <c r="F304" i="8"/>
  <c r="F308" i="8"/>
  <c r="F313" i="8"/>
  <c r="F311" i="8"/>
  <c r="F309" i="8"/>
  <c r="F310" i="8"/>
  <c r="F312" i="8"/>
  <c r="F315" i="8"/>
  <c r="F314" i="8"/>
  <c r="F316" i="8"/>
  <c r="F317" i="8"/>
  <c r="F318" i="8"/>
  <c r="F321" i="8"/>
  <c r="F320" i="8"/>
  <c r="F319" i="8"/>
  <c r="F322" i="8"/>
  <c r="F323" i="8"/>
  <c r="F330" i="8"/>
  <c r="F326" i="8"/>
  <c r="F324" i="8"/>
  <c r="F329" i="8"/>
  <c r="F328" i="8"/>
  <c r="F327" i="8"/>
  <c r="F325" i="8"/>
  <c r="F332" i="8"/>
  <c r="F331" i="8"/>
  <c r="F334" i="8"/>
  <c r="F333" i="8"/>
  <c r="F339" i="8"/>
  <c r="F340" i="8"/>
  <c r="F335" i="8"/>
  <c r="F337" i="8"/>
  <c r="F336" i="8"/>
  <c r="F338" i="8"/>
  <c r="F346" i="8"/>
  <c r="F343" i="8"/>
  <c r="F342" i="8"/>
  <c r="F341" i="8"/>
  <c r="F344" i="8"/>
  <c r="F345" i="8"/>
  <c r="F347" i="8"/>
  <c r="F348" i="8"/>
  <c r="F351" i="8"/>
  <c r="F349" i="8"/>
  <c r="F350" i="8"/>
  <c r="F353" i="8"/>
  <c r="F352" i="8"/>
  <c r="F356" i="8"/>
  <c r="F355" i="8"/>
  <c r="F357" i="8"/>
  <c r="F354" i="8"/>
  <c r="F360" i="8"/>
  <c r="F359" i="8"/>
  <c r="F361" i="8"/>
  <c r="F358" i="8"/>
  <c r="F367" i="8"/>
  <c r="F364" i="8"/>
  <c r="F362" i="8"/>
  <c r="F363" i="8"/>
  <c r="F371" i="8"/>
  <c r="F366" i="8"/>
  <c r="F370" i="8"/>
  <c r="F365" i="8"/>
  <c r="F372" i="8"/>
  <c r="F368" i="8"/>
  <c r="F369" i="8"/>
  <c r="F376" i="8"/>
  <c r="F375" i="8"/>
  <c r="F373" i="8"/>
  <c r="F374" i="8"/>
  <c r="F378" i="8"/>
  <c r="F377" i="8"/>
  <c r="F379" i="8"/>
  <c r="F380" i="8"/>
  <c r="F381" i="8"/>
  <c r="F385" i="8"/>
  <c r="F384" i="8"/>
  <c r="F383" i="8"/>
  <c r="F382" i="8"/>
  <c r="F388" i="8"/>
  <c r="F387" i="8"/>
  <c r="F386" i="8"/>
  <c r="F390" i="8"/>
  <c r="F392" i="8"/>
  <c r="F389" i="8"/>
  <c r="F393" i="8"/>
  <c r="F391" i="8"/>
  <c r="F398" i="8"/>
  <c r="F400" i="8"/>
  <c r="F402" i="8"/>
  <c r="F395" i="8"/>
  <c r="F394" i="8"/>
  <c r="F396" i="8"/>
  <c r="F399" i="8"/>
  <c r="F401" i="8"/>
  <c r="F397" i="8"/>
  <c r="F403" i="8"/>
  <c r="F405" i="8"/>
  <c r="F404" i="8"/>
  <c r="F406" i="8"/>
  <c r="F407" i="8"/>
  <c r="F408" i="8"/>
  <c r="F409" i="8"/>
  <c r="F410" i="8"/>
  <c r="F414" i="8"/>
  <c r="F413" i="8"/>
  <c r="F412" i="8"/>
  <c r="F415" i="8"/>
  <c r="F411" i="8"/>
  <c r="F416" i="8"/>
  <c r="F418" i="8"/>
  <c r="F417" i="8"/>
  <c r="F420" i="8"/>
  <c r="F421" i="8"/>
  <c r="F422" i="8"/>
  <c r="F423" i="8"/>
  <c r="F419" i="8"/>
  <c r="F424" i="8"/>
  <c r="F430" i="8"/>
  <c r="F429" i="8"/>
  <c r="F428" i="8"/>
  <c r="F427" i="8"/>
  <c r="F426" i="8"/>
  <c r="F425" i="8"/>
  <c r="F433" i="8"/>
  <c r="F434" i="8"/>
  <c r="F432" i="8"/>
  <c r="F431" i="8"/>
  <c r="F435" i="8"/>
  <c r="F436" i="8"/>
  <c r="F438" i="8"/>
  <c r="F437" i="8"/>
  <c r="F442" i="8"/>
  <c r="F440" i="8"/>
  <c r="F439" i="8"/>
  <c r="F441" i="8"/>
  <c r="F443" i="8"/>
  <c r="F448" i="8"/>
  <c r="F449" i="8"/>
  <c r="F450" i="8"/>
  <c r="F446" i="8"/>
  <c r="F444" i="8"/>
  <c r="F445" i="8"/>
  <c r="F447" i="8"/>
  <c r="F454" i="8"/>
  <c r="F452" i="8"/>
  <c r="F453" i="8"/>
  <c r="F451" i="8"/>
  <c r="F455" i="8"/>
  <c r="F457" i="8"/>
  <c r="F456" i="8"/>
  <c r="F458" i="8"/>
  <c r="F459" i="8"/>
  <c r="F464" i="8"/>
  <c r="F463" i="8"/>
  <c r="F461" i="8"/>
  <c r="F462" i="8"/>
  <c r="F460" i="8"/>
  <c r="F468" i="8"/>
  <c r="F467" i="8"/>
  <c r="F465" i="8"/>
  <c r="F466" i="8"/>
  <c r="F470" i="8"/>
  <c r="D2" i="8"/>
  <c r="D3" i="8"/>
  <c r="D4" i="8"/>
  <c r="D5" i="8"/>
  <c r="D8" i="8"/>
  <c r="D7" i="8"/>
  <c r="D6" i="8"/>
  <c r="D9" i="8"/>
  <c r="D10" i="8"/>
  <c r="D11" i="8"/>
  <c r="D12" i="8"/>
  <c r="D17" i="8"/>
  <c r="D14" i="8"/>
  <c r="D13" i="8"/>
  <c r="D15" i="8"/>
  <c r="D16" i="8"/>
  <c r="D18" i="8"/>
  <c r="D19" i="8"/>
  <c r="D21" i="8"/>
  <c r="D26" i="8"/>
  <c r="D25" i="8"/>
  <c r="D24" i="8"/>
  <c r="D23" i="8"/>
  <c r="D27" i="8"/>
  <c r="D20" i="8"/>
  <c r="D22" i="8"/>
  <c r="D28" i="8"/>
  <c r="D31" i="8"/>
  <c r="D29" i="8"/>
  <c r="D30" i="8"/>
  <c r="D32" i="8"/>
  <c r="D33" i="8"/>
  <c r="D40" i="8"/>
  <c r="D37" i="8"/>
  <c r="D36" i="8"/>
  <c r="D35" i="8"/>
  <c r="D41" i="8"/>
  <c r="D39" i="8"/>
  <c r="D38" i="8"/>
  <c r="D34" i="8"/>
  <c r="D50" i="8"/>
  <c r="D43" i="8"/>
  <c r="D42" i="8"/>
  <c r="D45" i="8"/>
  <c r="D49" i="8"/>
  <c r="D48" i="8"/>
  <c r="D44" i="8"/>
  <c r="D47" i="8"/>
  <c r="D46" i="8"/>
  <c r="D54" i="8"/>
  <c r="D53" i="8"/>
  <c r="D52" i="8"/>
  <c r="D51" i="8"/>
  <c r="D56" i="8"/>
  <c r="D55" i="8"/>
  <c r="D58" i="8"/>
  <c r="D57" i="8"/>
  <c r="D59" i="8"/>
  <c r="D61" i="8"/>
  <c r="D62" i="8"/>
  <c r="D63" i="8"/>
  <c r="D60" i="8"/>
  <c r="D69" i="8"/>
  <c r="D64" i="8"/>
  <c r="D65" i="8"/>
  <c r="D66" i="8"/>
  <c r="D67" i="8"/>
  <c r="D68" i="8"/>
  <c r="D72" i="8"/>
  <c r="D71" i="8"/>
  <c r="D76" i="8"/>
  <c r="D80" i="8"/>
  <c r="D73" i="8"/>
  <c r="D82" i="8"/>
  <c r="D77" i="8"/>
  <c r="D78" i="8"/>
  <c r="D81" i="8"/>
  <c r="D83" i="8"/>
  <c r="D74" i="8"/>
  <c r="D75" i="8"/>
  <c r="D79" i="8"/>
  <c r="D70" i="8"/>
  <c r="D88" i="8"/>
  <c r="D85" i="8"/>
  <c r="D86" i="8"/>
  <c r="D89" i="8"/>
  <c r="D90" i="8"/>
  <c r="D87" i="8"/>
  <c r="D84" i="8"/>
  <c r="D91" i="8"/>
  <c r="D92" i="8"/>
  <c r="D95" i="8"/>
  <c r="D93" i="8"/>
  <c r="D96" i="8"/>
  <c r="D94" i="8"/>
  <c r="D98" i="8"/>
  <c r="D97" i="8"/>
  <c r="D99" i="8"/>
  <c r="D100" i="8"/>
  <c r="D106" i="8"/>
  <c r="D101" i="8"/>
  <c r="D102" i="8"/>
  <c r="D105" i="8"/>
  <c r="D103" i="8"/>
  <c r="D104" i="8"/>
  <c r="D111" i="8"/>
  <c r="D113" i="8"/>
  <c r="D108" i="8"/>
  <c r="D107" i="8"/>
  <c r="D112" i="8"/>
  <c r="D109" i="8"/>
  <c r="D110" i="8"/>
  <c r="D115" i="8"/>
  <c r="D118" i="8"/>
  <c r="D121" i="8"/>
  <c r="D123" i="8"/>
  <c r="D116" i="8"/>
  <c r="D114" i="8"/>
  <c r="D117" i="8"/>
  <c r="D122" i="8"/>
  <c r="D120" i="8"/>
  <c r="D119" i="8"/>
  <c r="D124" i="8"/>
  <c r="D125" i="8"/>
  <c r="D126" i="8"/>
  <c r="D128" i="8"/>
  <c r="D127" i="8"/>
  <c r="D130" i="8"/>
  <c r="D131" i="8"/>
  <c r="D129" i="8"/>
  <c r="D134" i="8"/>
  <c r="D135" i="8"/>
  <c r="D132" i="8"/>
  <c r="D137" i="8"/>
  <c r="D138" i="8"/>
  <c r="D136" i="8"/>
  <c r="D133" i="8"/>
  <c r="D143" i="8"/>
  <c r="D141" i="8"/>
  <c r="D140" i="8"/>
  <c r="D142" i="8"/>
  <c r="D139" i="8"/>
  <c r="D150" i="8"/>
  <c r="D149" i="8"/>
  <c r="D151" i="8"/>
  <c r="D147" i="8"/>
  <c r="D146" i="8"/>
  <c r="D145" i="8"/>
  <c r="D148" i="8"/>
  <c r="D144" i="8"/>
  <c r="D152" i="8"/>
  <c r="D153" i="8"/>
  <c r="D154" i="8"/>
  <c r="D156" i="8"/>
  <c r="D155" i="8"/>
  <c r="D157" i="8"/>
  <c r="D158" i="8"/>
  <c r="D159" i="8"/>
  <c r="D160" i="8"/>
  <c r="D162" i="8"/>
  <c r="D164" i="8"/>
  <c r="D161" i="8"/>
  <c r="D163" i="8"/>
  <c r="D165" i="8"/>
  <c r="D169" i="8"/>
  <c r="D168" i="8"/>
  <c r="D166" i="8"/>
  <c r="D167" i="8"/>
  <c r="D170" i="8"/>
  <c r="D175" i="8"/>
  <c r="D173" i="8"/>
  <c r="D178" i="8"/>
  <c r="D174" i="8"/>
  <c r="D172" i="8"/>
  <c r="D177" i="8"/>
  <c r="D176" i="8"/>
  <c r="D171" i="8"/>
  <c r="D179" i="8"/>
  <c r="D182" i="8"/>
  <c r="D180" i="8"/>
  <c r="D181" i="8"/>
  <c r="D184" i="8"/>
  <c r="D183" i="8"/>
  <c r="D187" i="8"/>
  <c r="D188" i="8"/>
  <c r="D186" i="8"/>
  <c r="D185" i="8"/>
  <c r="D189" i="8"/>
  <c r="D193" i="8"/>
  <c r="D190" i="8"/>
  <c r="D192" i="8"/>
  <c r="D191" i="8"/>
  <c r="D195" i="8"/>
  <c r="D199" i="8"/>
  <c r="D197" i="8"/>
  <c r="D198" i="8"/>
  <c r="D194" i="8"/>
  <c r="D200" i="8"/>
  <c r="D196" i="8"/>
  <c r="D201" i="8"/>
  <c r="D202" i="8"/>
  <c r="D206" i="8"/>
  <c r="D213" i="8"/>
  <c r="D204" i="8"/>
  <c r="D211" i="8"/>
  <c r="D208" i="8"/>
  <c r="D205" i="8"/>
  <c r="D209" i="8"/>
  <c r="D203" i="8"/>
  <c r="D212" i="8"/>
  <c r="D210" i="8"/>
  <c r="D207" i="8"/>
  <c r="D215" i="8"/>
  <c r="D214" i="8"/>
  <c r="D216" i="8"/>
  <c r="D217" i="8"/>
  <c r="D218" i="8"/>
  <c r="D221" i="8"/>
  <c r="D219" i="8"/>
  <c r="D220" i="8"/>
  <c r="D222" i="8"/>
  <c r="D225" i="8"/>
  <c r="D226" i="8"/>
  <c r="D223" i="8"/>
  <c r="D227" i="8"/>
  <c r="D224" i="8"/>
  <c r="D229" i="8"/>
  <c r="D228" i="8"/>
  <c r="D230" i="8"/>
  <c r="D240" i="8"/>
  <c r="D235" i="8"/>
  <c r="D238" i="8"/>
  <c r="D234" i="8"/>
  <c r="D233" i="8"/>
  <c r="D231" i="8"/>
  <c r="D236" i="8"/>
  <c r="D232" i="8"/>
  <c r="D239" i="8"/>
  <c r="D237" i="8"/>
  <c r="D245" i="8"/>
  <c r="D246" i="8"/>
  <c r="D242" i="8"/>
  <c r="D243" i="8"/>
  <c r="D247" i="8"/>
  <c r="D241" i="8"/>
  <c r="D248" i="8"/>
  <c r="D250" i="8"/>
  <c r="D249" i="8"/>
  <c r="D244" i="8"/>
  <c r="C2" i="8" a="1"/>
  <c r="C2" i="8" s="1"/>
  <c r="C3" i="8" a="1"/>
  <c r="C3" i="8" s="1"/>
  <c r="C4" i="8" a="1"/>
  <c r="C4" i="8" s="1"/>
  <c r="C5" i="8" a="1"/>
  <c r="C5" i="8" s="1"/>
  <c r="C8" i="8" a="1"/>
  <c r="C8" i="8" s="1"/>
  <c r="C7" i="8" a="1"/>
  <c r="C7" i="8" s="1"/>
  <c r="C6" i="8" a="1"/>
  <c r="C6" i="8" s="1"/>
  <c r="C9" i="8" a="1"/>
  <c r="C9" i="8" s="1"/>
  <c r="C10" i="8" a="1"/>
  <c r="C10" i="8" s="1"/>
  <c r="C11" i="8" a="1"/>
  <c r="C11" i="8" s="1"/>
  <c r="C12" i="8" a="1"/>
  <c r="C12" i="8" s="1"/>
  <c r="C17" i="8" a="1"/>
  <c r="C17" i="8" s="1"/>
  <c r="C14" i="8" a="1"/>
  <c r="C14" i="8" s="1"/>
  <c r="C13" i="8" a="1"/>
  <c r="C13" i="8" s="1"/>
  <c r="C15" i="8" a="1"/>
  <c r="C15" i="8" s="1"/>
  <c r="C16" i="8" a="1"/>
  <c r="C16" i="8" s="1"/>
  <c r="C18" i="8" a="1"/>
  <c r="C18" i="8" s="1"/>
  <c r="C19" i="8" a="1"/>
  <c r="C19" i="8" s="1"/>
  <c r="C21" i="8" a="1"/>
  <c r="C21" i="8" s="1"/>
  <c r="C26" i="8" a="1"/>
  <c r="C26" i="8" s="1"/>
  <c r="C25" i="8" a="1"/>
  <c r="C25" i="8" s="1"/>
  <c r="C24" i="8" a="1"/>
  <c r="C24" i="8" s="1"/>
  <c r="C23" i="8" a="1"/>
  <c r="C23" i="8" s="1"/>
  <c r="C27" i="8" a="1"/>
  <c r="C27" i="8" s="1"/>
  <c r="C20" i="8" a="1"/>
  <c r="C20" i="8" s="1"/>
  <c r="C22" i="8" a="1"/>
  <c r="C22" i="8" s="1"/>
  <c r="C28" i="8" a="1"/>
  <c r="C28" i="8" s="1"/>
  <c r="C31" i="8" a="1"/>
  <c r="C31" i="8" s="1"/>
  <c r="C29" i="8" a="1"/>
  <c r="C29" i="8" s="1"/>
  <c r="C30" i="8" a="1"/>
  <c r="C30" i="8" s="1"/>
  <c r="C32" i="8" a="1"/>
  <c r="C32" i="8" s="1"/>
  <c r="C33" i="8" a="1"/>
  <c r="C33" i="8" s="1"/>
  <c r="C40" i="8" a="1"/>
  <c r="C40" i="8" s="1"/>
  <c r="C37" i="8" a="1"/>
  <c r="C37" i="8" s="1"/>
  <c r="C36" i="8" a="1"/>
  <c r="C36" i="8" s="1"/>
  <c r="C35" i="8" a="1"/>
  <c r="C35" i="8" s="1"/>
  <c r="C41" i="8" a="1"/>
  <c r="C41" i="8" s="1"/>
  <c r="C39" i="8" a="1"/>
  <c r="C39" i="8" s="1"/>
  <c r="C38" i="8" a="1"/>
  <c r="C38" i="8" s="1"/>
  <c r="C34" i="8" a="1"/>
  <c r="C34" i="8" s="1"/>
  <c r="C50" i="8" a="1"/>
  <c r="C50" i="8" s="1"/>
  <c r="C43" i="8" a="1"/>
  <c r="C43" i="8" s="1"/>
  <c r="C42" i="8" a="1"/>
  <c r="C42" i="8" s="1"/>
  <c r="C45" i="8" a="1"/>
  <c r="C45" i="8" s="1"/>
  <c r="C49" i="8" a="1"/>
  <c r="C49" i="8" s="1"/>
  <c r="C48" i="8" a="1"/>
  <c r="C48" i="8" s="1"/>
  <c r="C44" i="8" a="1"/>
  <c r="C44" i="8" s="1"/>
  <c r="C47" i="8" a="1"/>
  <c r="C47" i="8" s="1"/>
  <c r="C46" i="8" a="1"/>
  <c r="C46" i="8" s="1"/>
  <c r="C54" i="8" a="1"/>
  <c r="C54" i="8" s="1"/>
  <c r="C53" i="8" a="1"/>
  <c r="C53" i="8" s="1"/>
  <c r="C52" i="8" a="1"/>
  <c r="C52" i="8" s="1"/>
  <c r="C51" i="8" a="1"/>
  <c r="C51" i="8" s="1"/>
  <c r="C56" i="8" a="1"/>
  <c r="C56" i="8" s="1"/>
  <c r="C55" i="8" a="1"/>
  <c r="C55" i="8" s="1"/>
  <c r="C58" i="8" a="1"/>
  <c r="C58" i="8" s="1"/>
  <c r="C57" i="8" a="1"/>
  <c r="C57" i="8" s="1"/>
  <c r="C59" i="8" a="1"/>
  <c r="C59" i="8" s="1"/>
  <c r="C61" i="8" a="1"/>
  <c r="C61" i="8" s="1"/>
  <c r="C62" i="8" a="1"/>
  <c r="C62" i="8" s="1"/>
  <c r="C63" i="8" a="1"/>
  <c r="C63" i="8" s="1"/>
  <c r="C60" i="8" a="1"/>
  <c r="C60" i="8" s="1"/>
  <c r="C69" i="8" a="1"/>
  <c r="C69" i="8" s="1"/>
  <c r="C64" i="8" a="1"/>
  <c r="C64" i="8" s="1"/>
  <c r="C65" i="8" a="1"/>
  <c r="C65" i="8" s="1"/>
  <c r="C66" i="8" a="1"/>
  <c r="C66" i="8" s="1"/>
  <c r="C67" i="8" a="1"/>
  <c r="C67" i="8" s="1"/>
  <c r="C68" i="8" a="1"/>
  <c r="C68" i="8" s="1"/>
  <c r="C72" i="8" a="1"/>
  <c r="C72" i="8" s="1"/>
  <c r="C71" i="8" a="1"/>
  <c r="C71" i="8" s="1"/>
  <c r="C76" i="8" a="1"/>
  <c r="C76" i="8" s="1"/>
  <c r="C80" i="8" a="1"/>
  <c r="C80" i="8" s="1"/>
  <c r="C73" i="8" a="1"/>
  <c r="C73" i="8" s="1"/>
  <c r="C82" i="8" a="1"/>
  <c r="C82" i="8" s="1"/>
  <c r="C77" i="8" a="1"/>
  <c r="C77" i="8" s="1"/>
  <c r="C78" i="8" a="1"/>
  <c r="C78" i="8" s="1"/>
  <c r="C81" i="8" a="1"/>
  <c r="C81" i="8" s="1"/>
  <c r="C83" i="8" a="1"/>
  <c r="C83" i="8" s="1"/>
  <c r="C74" i="8" a="1"/>
  <c r="C74" i="8" s="1"/>
  <c r="C75" i="8" a="1"/>
  <c r="C75" i="8" s="1"/>
  <c r="C79" i="8" a="1"/>
  <c r="C79" i="8" s="1"/>
  <c r="C70" i="8" a="1"/>
  <c r="C70" i="8" s="1"/>
  <c r="C88" i="8" a="1"/>
  <c r="C88" i="8" s="1"/>
  <c r="C85" i="8" a="1"/>
  <c r="C85" i="8" s="1"/>
  <c r="C86" i="8" a="1"/>
  <c r="C86" i="8" s="1"/>
  <c r="C89" i="8" a="1"/>
  <c r="C89" i="8" s="1"/>
  <c r="C90" i="8" a="1"/>
  <c r="C90" i="8" s="1"/>
  <c r="C87" i="8" a="1"/>
  <c r="C87" i="8" s="1"/>
  <c r="C84" i="8" a="1"/>
  <c r="C84" i="8" s="1"/>
  <c r="C91" i="8" a="1"/>
  <c r="C91" i="8" s="1"/>
  <c r="C92" i="8" a="1"/>
  <c r="C92" i="8" s="1"/>
  <c r="C95" i="8" a="1"/>
  <c r="C95" i="8" s="1"/>
  <c r="C93" i="8" a="1"/>
  <c r="C93" i="8" s="1"/>
  <c r="C96" i="8" a="1"/>
  <c r="C96" i="8" s="1"/>
  <c r="C94" i="8" a="1"/>
  <c r="C94" i="8" s="1"/>
  <c r="C98" i="8" a="1"/>
  <c r="C98" i="8" s="1"/>
  <c r="C97" i="8" a="1"/>
  <c r="C97" i="8" s="1"/>
  <c r="C99" i="8" a="1"/>
  <c r="C99" i="8" s="1"/>
  <c r="C100" i="8" a="1"/>
  <c r="C100" i="8" s="1"/>
  <c r="C106" i="8" a="1"/>
  <c r="C106" i="8" s="1"/>
  <c r="C101" i="8" a="1"/>
  <c r="C101" i="8" s="1"/>
  <c r="C102" i="8" a="1"/>
  <c r="C102" i="8" s="1"/>
  <c r="C105" i="8" a="1"/>
  <c r="C105" i="8" s="1"/>
  <c r="C103" i="8" a="1"/>
  <c r="C103" i="8" s="1"/>
  <c r="C104" i="8" a="1"/>
  <c r="C104" i="8" s="1"/>
  <c r="C111" i="8" a="1"/>
  <c r="C111" i="8" s="1"/>
  <c r="C113" i="8" a="1"/>
  <c r="C113" i="8" s="1"/>
  <c r="C108" i="8" a="1"/>
  <c r="C108" i="8" s="1"/>
  <c r="C107" i="8" a="1"/>
  <c r="C107" i="8" s="1"/>
  <c r="C112" i="8" a="1"/>
  <c r="C112" i="8" s="1"/>
  <c r="C109" i="8" a="1"/>
  <c r="C109" i="8" s="1"/>
  <c r="C110" i="8" a="1"/>
  <c r="C110" i="8" s="1"/>
  <c r="C115" i="8" a="1"/>
  <c r="C115" i="8" s="1"/>
  <c r="C118" i="8" a="1"/>
  <c r="C118" i="8" s="1"/>
  <c r="C121" i="8" a="1"/>
  <c r="C121" i="8" s="1"/>
  <c r="C123" i="8" a="1"/>
  <c r="C123" i="8" s="1"/>
  <c r="C116" i="8" a="1"/>
  <c r="C116" i="8" s="1"/>
  <c r="C114" i="8" a="1"/>
  <c r="C114" i="8" s="1"/>
  <c r="C117" i="8" a="1"/>
  <c r="C117" i="8" s="1"/>
  <c r="C122" i="8" a="1"/>
  <c r="C122" i="8" s="1"/>
  <c r="C120" i="8" a="1"/>
  <c r="C120" i="8" s="1"/>
  <c r="C119" i="8" a="1"/>
  <c r="C119" i="8" s="1"/>
  <c r="C124" i="8" a="1"/>
  <c r="C124" i="8" s="1"/>
  <c r="C125" i="8" a="1"/>
  <c r="C125" i="8" s="1"/>
  <c r="C126" i="8" a="1"/>
  <c r="C126" i="8" s="1"/>
  <c r="C128" i="8" a="1"/>
  <c r="C128" i="8" s="1"/>
  <c r="C127" i="8" a="1"/>
  <c r="C127" i="8" s="1"/>
  <c r="C130" i="8" a="1"/>
  <c r="C130" i="8" s="1"/>
  <c r="C131" i="8" a="1"/>
  <c r="C131" i="8" s="1"/>
  <c r="C129" i="8" a="1"/>
  <c r="C129" i="8" s="1"/>
  <c r="C134" i="8" a="1"/>
  <c r="C134" i="8" s="1"/>
  <c r="C135" i="8" a="1"/>
  <c r="C135" i="8" s="1"/>
  <c r="C132" i="8" a="1"/>
  <c r="C132" i="8" s="1"/>
  <c r="C137" i="8" a="1"/>
  <c r="C137" i="8" s="1"/>
  <c r="C138" i="8" a="1"/>
  <c r="C138" i="8" s="1"/>
  <c r="C136" i="8" a="1"/>
  <c r="C136" i="8" s="1"/>
  <c r="C133" i="8" a="1"/>
  <c r="C133" i="8" s="1"/>
  <c r="C143" i="8" a="1"/>
  <c r="C143" i="8" s="1"/>
  <c r="C141" i="8" a="1"/>
  <c r="C141" i="8" s="1"/>
  <c r="C140" i="8" a="1"/>
  <c r="C140" i="8" s="1"/>
  <c r="C142" i="8" a="1"/>
  <c r="C142" i="8" s="1"/>
  <c r="C139" i="8" a="1"/>
  <c r="C139" i="8" s="1"/>
  <c r="C150" i="8" a="1"/>
  <c r="C150" i="8" s="1"/>
  <c r="C149" i="8" a="1"/>
  <c r="C149" i="8" s="1"/>
  <c r="C151" i="8" a="1"/>
  <c r="C151" i="8" s="1"/>
  <c r="C147" i="8" a="1"/>
  <c r="C147" i="8" s="1"/>
  <c r="C146" i="8" a="1"/>
  <c r="C146" i="8" s="1"/>
  <c r="C145" i="8" a="1"/>
  <c r="C145" i="8" s="1"/>
  <c r="C148" i="8" a="1"/>
  <c r="C148" i="8" s="1"/>
  <c r="C144" i="8" a="1"/>
  <c r="C144" i="8" s="1"/>
  <c r="C152" i="8" a="1"/>
  <c r="C152" i="8" s="1"/>
  <c r="C153" i="8" a="1"/>
  <c r="C153" i="8" s="1"/>
  <c r="C154" i="8" a="1"/>
  <c r="C154" i="8" s="1"/>
  <c r="C156" i="8" a="1"/>
  <c r="C156" i="8" s="1"/>
  <c r="C155" i="8" a="1"/>
  <c r="C155" i="8" s="1"/>
  <c r="C157" i="8" a="1"/>
  <c r="C157" i="8" s="1"/>
  <c r="C158" i="8" a="1"/>
  <c r="C158" i="8" s="1"/>
  <c r="C159" i="8" a="1"/>
  <c r="C159" i="8" s="1"/>
  <c r="C160" i="8" a="1"/>
  <c r="C160" i="8" s="1"/>
  <c r="C162" i="8" a="1"/>
  <c r="C162" i="8" s="1"/>
  <c r="C164" i="8" a="1"/>
  <c r="C164" i="8" s="1"/>
  <c r="C161" i="8" a="1"/>
  <c r="C161" i="8" s="1"/>
  <c r="C163" i="8" a="1"/>
  <c r="C163" i="8" s="1"/>
  <c r="C165" i="8" a="1"/>
  <c r="C165" i="8" s="1"/>
  <c r="C169" i="8" a="1"/>
  <c r="C169" i="8" s="1"/>
  <c r="C168" i="8" a="1"/>
  <c r="C168" i="8" s="1"/>
  <c r="C166" i="8" a="1"/>
  <c r="C166" i="8" s="1"/>
  <c r="C167" i="8" a="1"/>
  <c r="C167" i="8" s="1"/>
  <c r="C170" i="8" a="1"/>
  <c r="C170" i="8" s="1"/>
  <c r="C175" i="8" a="1"/>
  <c r="C175" i="8" s="1"/>
  <c r="C173" i="8" a="1"/>
  <c r="C173" i="8" s="1"/>
  <c r="C178" i="8" a="1"/>
  <c r="C178" i="8" s="1"/>
  <c r="C174" i="8" a="1"/>
  <c r="C174" i="8" s="1"/>
  <c r="C172" i="8" a="1"/>
  <c r="C172" i="8" s="1"/>
  <c r="C177" i="8" a="1"/>
  <c r="C177" i="8" s="1"/>
  <c r="C176" i="8" a="1"/>
  <c r="C176" i="8" s="1"/>
  <c r="C171" i="8" a="1"/>
  <c r="C171" i="8" s="1"/>
  <c r="C179" i="8" a="1"/>
  <c r="C179" i="8" s="1"/>
  <c r="C182" i="8" a="1"/>
  <c r="C182" i="8" s="1"/>
  <c r="C180" i="8" a="1"/>
  <c r="C180" i="8" s="1"/>
  <c r="C181" i="8" a="1"/>
  <c r="C181" i="8" s="1"/>
  <c r="C184" i="8" a="1"/>
  <c r="C184" i="8" s="1"/>
  <c r="C183" i="8" a="1"/>
  <c r="C183" i="8" s="1"/>
  <c r="C187" i="8" a="1"/>
  <c r="C187" i="8" s="1"/>
  <c r="C188" i="8" a="1"/>
  <c r="C188" i="8" s="1"/>
  <c r="C186" i="8" a="1"/>
  <c r="C186" i="8" s="1"/>
  <c r="C185" i="8" a="1"/>
  <c r="C185" i="8" s="1"/>
  <c r="C189" i="8" a="1"/>
  <c r="C189" i="8" s="1"/>
  <c r="C193" i="8" a="1"/>
  <c r="C193" i="8" s="1"/>
  <c r="C190" i="8" a="1"/>
  <c r="C190" i="8" s="1"/>
  <c r="C192" i="8" a="1"/>
  <c r="C192" i="8" s="1"/>
  <c r="C191" i="8" a="1"/>
  <c r="C191" i="8" s="1"/>
  <c r="C195" i="8" a="1"/>
  <c r="C195" i="8" s="1"/>
  <c r="C199" i="8" a="1"/>
  <c r="C199" i="8" s="1"/>
  <c r="C197" i="8" a="1"/>
  <c r="C197" i="8" s="1"/>
  <c r="C198" i="8" a="1"/>
  <c r="C198" i="8" s="1"/>
  <c r="C194" i="8" a="1"/>
  <c r="C194" i="8" s="1"/>
  <c r="C200" i="8" a="1"/>
  <c r="C200" i="8" s="1"/>
  <c r="C196" i="8" a="1"/>
  <c r="C196" i="8" s="1"/>
  <c r="C201" i="8" a="1"/>
  <c r="C201" i="8" s="1"/>
  <c r="C202" i="8" a="1"/>
  <c r="C202" i="8" s="1"/>
  <c r="C206" i="8" a="1"/>
  <c r="C206" i="8" s="1"/>
  <c r="C213" i="8" a="1"/>
  <c r="C213" i="8" s="1"/>
  <c r="C204" i="8" a="1"/>
  <c r="C204" i="8" s="1"/>
  <c r="C211" i="8" a="1"/>
  <c r="C211" i="8" s="1"/>
  <c r="C208" i="8" a="1"/>
  <c r="C208" i="8" s="1"/>
  <c r="C205" i="8" a="1"/>
  <c r="C205" i="8" s="1"/>
  <c r="C209" i="8" a="1"/>
  <c r="C209" i="8" s="1"/>
  <c r="C203" i="8" a="1"/>
  <c r="C203" i="8" s="1"/>
  <c r="C212" i="8" a="1"/>
  <c r="C212" i="8" s="1"/>
  <c r="C210" i="8" a="1"/>
  <c r="C210" i="8" s="1"/>
  <c r="C207" i="8" a="1"/>
  <c r="C207" i="8" s="1"/>
  <c r="C215" i="8" a="1"/>
  <c r="C215" i="8" s="1"/>
  <c r="C214" i="8" a="1"/>
  <c r="C214" i="8" s="1"/>
  <c r="C216" i="8" a="1"/>
  <c r="C216" i="8" s="1"/>
  <c r="C217" i="8" a="1"/>
  <c r="C217" i="8" s="1"/>
  <c r="C218" i="8" a="1"/>
  <c r="C218" i="8" s="1"/>
  <c r="C221" i="8" a="1"/>
  <c r="C221" i="8" s="1"/>
  <c r="C219" i="8" a="1"/>
  <c r="C219" i="8" s="1"/>
  <c r="C220" i="8" a="1"/>
  <c r="C220" i="8" s="1"/>
  <c r="C222" i="8" a="1"/>
  <c r="C222" i="8" s="1"/>
  <c r="C225" i="8" a="1"/>
  <c r="C225" i="8" s="1"/>
  <c r="C226" i="8" a="1"/>
  <c r="C226" i="8" s="1"/>
  <c r="C223" i="8" a="1"/>
  <c r="C223" i="8" s="1"/>
  <c r="C227" i="8" a="1"/>
  <c r="C227" i="8" s="1"/>
  <c r="C224" i="8" a="1"/>
  <c r="C224" i="8" s="1"/>
  <c r="C229" i="8" a="1"/>
  <c r="C229" i="8" s="1"/>
  <c r="C228" i="8" a="1"/>
  <c r="C228" i="8" s="1"/>
  <c r="C230" i="8" a="1"/>
  <c r="C230" i="8" s="1"/>
  <c r="C240" i="8" a="1"/>
  <c r="C240" i="8" s="1"/>
  <c r="C235" i="8" a="1"/>
  <c r="C235" i="8" s="1"/>
  <c r="C238" i="8" a="1"/>
  <c r="C238" i="8" s="1"/>
  <c r="C234" i="8" a="1"/>
  <c r="C234" i="8" s="1"/>
  <c r="C233" i="8" a="1"/>
  <c r="C233" i="8" s="1"/>
  <c r="C231" i="8" a="1"/>
  <c r="C231" i="8" s="1"/>
  <c r="C236" i="8" a="1"/>
  <c r="C236" i="8" s="1"/>
  <c r="C232" i="8" a="1"/>
  <c r="C232" i="8" s="1"/>
  <c r="C239" i="8" a="1"/>
  <c r="C239" i="8" s="1"/>
  <c r="C237" i="8" a="1"/>
  <c r="C237" i="8" s="1"/>
  <c r="C245" i="8" a="1"/>
  <c r="C245" i="8" s="1"/>
  <c r="C246" i="8" a="1"/>
  <c r="C246" i="8" s="1"/>
  <c r="C242" i="8" a="1"/>
  <c r="C242" i="8" s="1"/>
  <c r="C243" i="8" a="1"/>
  <c r="C243" i="8" s="1"/>
  <c r="C247" i="8" a="1"/>
  <c r="C247" i="8" s="1"/>
  <c r="C241" i="8" a="1"/>
  <c r="C241" i="8" s="1"/>
  <c r="C248" i="8" a="1"/>
  <c r="C248" i="8" s="1"/>
  <c r="C250" i="8" a="1"/>
  <c r="C250" i="8" s="1"/>
  <c r="C249" i="8" a="1"/>
  <c r="C249" i="8" s="1"/>
  <c r="C244" i="8" a="1"/>
  <c r="C244" i="8" s="1"/>
  <c r="C251" i="8" a="1"/>
  <c r="C251" i="8" s="1"/>
  <c r="C253" i="8" a="1"/>
  <c r="C253" i="8" s="1"/>
  <c r="C252" i="8" a="1"/>
  <c r="C252" i="8" s="1"/>
  <c r="C255" i="8" a="1"/>
  <c r="C255" i="8" s="1"/>
  <c r="C254" i="8" a="1"/>
  <c r="C254" i="8" s="1"/>
  <c r="C256" i="8" a="1"/>
  <c r="C256" i="8" s="1"/>
  <c r="C258" i="8" a="1"/>
  <c r="C258" i="8" s="1"/>
  <c r="C259" i="8" a="1"/>
  <c r="C259" i="8" s="1"/>
  <c r="C260" i="8" a="1"/>
  <c r="C260" i="8" s="1"/>
  <c r="C257" i="8" a="1"/>
  <c r="C257" i="8" s="1"/>
  <c r="C261" i="8" a="1"/>
  <c r="C261" i="8" s="1"/>
  <c r="C262" i="8" a="1"/>
  <c r="C262" i="8" s="1"/>
  <c r="C264" i="8" a="1"/>
  <c r="C264" i="8" s="1"/>
  <c r="C266" i="8" a="1"/>
  <c r="C266" i="8" s="1"/>
  <c r="C263" i="8" a="1"/>
  <c r="C263" i="8" s="1"/>
  <c r="C265" i="8" a="1"/>
  <c r="C265" i="8" s="1"/>
  <c r="C268" i="8" a="1"/>
  <c r="C268" i="8" s="1"/>
  <c r="C267" i="8" a="1"/>
  <c r="C267" i="8" s="1"/>
  <c r="C271" i="8" a="1"/>
  <c r="C271" i="8" s="1"/>
  <c r="C270" i="8" a="1"/>
  <c r="C270" i="8" s="1"/>
  <c r="C269" i="8" a="1"/>
  <c r="C269" i="8" s="1"/>
  <c r="C275" i="8" a="1"/>
  <c r="C275" i="8" s="1"/>
  <c r="C276" i="8" a="1"/>
  <c r="C276" i="8" s="1"/>
  <c r="C272" i="8" a="1"/>
  <c r="C272" i="8" s="1"/>
  <c r="C273" i="8" a="1"/>
  <c r="C273" i="8" s="1"/>
  <c r="C274" i="8" a="1"/>
  <c r="C274" i="8" s="1"/>
  <c r="C281" i="8" a="1"/>
  <c r="C281" i="8" s="1"/>
  <c r="C278" i="8" a="1"/>
  <c r="C278" i="8" s="1"/>
  <c r="C280" i="8" a="1"/>
  <c r="C280" i="8" s="1"/>
  <c r="C277" i="8" a="1"/>
  <c r="C277" i="8" s="1"/>
  <c r="C279" i="8" a="1"/>
  <c r="C279" i="8" s="1"/>
  <c r="C285" i="8" a="1"/>
  <c r="C285" i="8" s="1"/>
  <c r="C287" i="8" a="1"/>
  <c r="C287" i="8" s="1"/>
  <c r="C284" i="8" a="1"/>
  <c r="C284" i="8" s="1"/>
  <c r="C286" i="8" a="1"/>
  <c r="C286" i="8" s="1"/>
  <c r="C282" i="8" a="1"/>
  <c r="C282" i="8" s="1"/>
  <c r="C283" i="8" a="1"/>
  <c r="C283" i="8" s="1"/>
  <c r="C290" i="8" a="1"/>
  <c r="C290" i="8" s="1"/>
  <c r="C289" i="8" a="1"/>
  <c r="C289" i="8" s="1"/>
  <c r="C288" i="8" a="1"/>
  <c r="C288" i="8" s="1"/>
  <c r="C292" i="8" a="1"/>
  <c r="C292" i="8" s="1"/>
  <c r="C291" i="8" a="1"/>
  <c r="C291" i="8" s="1"/>
  <c r="C294" i="8" a="1"/>
  <c r="C294" i="8" s="1"/>
  <c r="C293" i="8" a="1"/>
  <c r="C293" i="8" s="1"/>
  <c r="C295" i="8" a="1"/>
  <c r="C295" i="8" s="1"/>
  <c r="C303" i="8" a="1"/>
  <c r="C303" i="8" s="1"/>
  <c r="C300" i="8" a="1"/>
  <c r="C300" i="8" s="1"/>
  <c r="C298" i="8" a="1"/>
  <c r="C298" i="8" s="1"/>
  <c r="C301" i="8" a="1"/>
  <c r="C301" i="8" s="1"/>
  <c r="C296" i="8" a="1"/>
  <c r="C296" i="8" s="1"/>
  <c r="C297" i="8" a="1"/>
  <c r="C297" i="8" s="1"/>
  <c r="C299" i="8" a="1"/>
  <c r="C299" i="8" s="1"/>
  <c r="C302" i="8" a="1"/>
  <c r="C302" i="8" s="1"/>
  <c r="C306" i="8" a="1"/>
  <c r="C306" i="8" s="1"/>
  <c r="C307" i="8" a="1"/>
  <c r="C307" i="8" s="1"/>
  <c r="C305" i="8" a="1"/>
  <c r="C305" i="8" s="1"/>
  <c r="C304" i="8" a="1"/>
  <c r="C304" i="8" s="1"/>
  <c r="C308" i="8" a="1"/>
  <c r="C308" i="8" s="1"/>
  <c r="C313" i="8" a="1"/>
  <c r="C313" i="8" s="1"/>
  <c r="C311" i="8" a="1"/>
  <c r="C311" i="8" s="1"/>
  <c r="C309" i="8" a="1"/>
  <c r="C309" i="8" s="1"/>
  <c r="C310" i="8" a="1"/>
  <c r="C310" i="8" s="1"/>
  <c r="C312" i="8" a="1"/>
  <c r="C312" i="8" s="1"/>
  <c r="C315" i="8" a="1"/>
  <c r="C315" i="8" s="1"/>
  <c r="C314" i="8" a="1"/>
  <c r="C314" i="8" s="1"/>
  <c r="C316" i="8" a="1"/>
  <c r="C316" i="8" s="1"/>
  <c r="C317" i="8" a="1"/>
  <c r="C317" i="8" s="1"/>
  <c r="C318" i="8" a="1"/>
  <c r="C318" i="8" s="1"/>
  <c r="C321" i="8" a="1"/>
  <c r="C321" i="8" s="1"/>
  <c r="C320" i="8" a="1"/>
  <c r="C320" i="8" s="1"/>
  <c r="C319" i="8" a="1"/>
  <c r="C319" i="8" s="1"/>
  <c r="C322" i="8" a="1"/>
  <c r="C322" i="8" s="1"/>
  <c r="C323" i="8" a="1"/>
  <c r="C323" i="8" s="1"/>
  <c r="C330" i="8" a="1"/>
  <c r="C330" i="8" s="1"/>
  <c r="C326" i="8" a="1"/>
  <c r="C326" i="8" s="1"/>
  <c r="C324" i="8" a="1"/>
  <c r="C324" i="8" s="1"/>
  <c r="C329" i="8" a="1"/>
  <c r="C329" i="8" s="1"/>
  <c r="C328" i="8" a="1"/>
  <c r="C328" i="8" s="1"/>
  <c r="C327" i="8" a="1"/>
  <c r="C327" i="8" s="1"/>
  <c r="C325" i="8" a="1"/>
  <c r="C325" i="8" s="1"/>
  <c r="C332" i="8" a="1"/>
  <c r="C332" i="8" s="1"/>
  <c r="C331" i="8" a="1"/>
  <c r="C331" i="8" s="1"/>
  <c r="C334" i="8" a="1"/>
  <c r="C334" i="8" s="1"/>
  <c r="C333" i="8" a="1"/>
  <c r="C333" i="8" s="1"/>
  <c r="C339" i="8" a="1"/>
  <c r="C339" i="8" s="1"/>
  <c r="C340" i="8" a="1"/>
  <c r="C340" i="8" s="1"/>
  <c r="C335" i="8" a="1"/>
  <c r="C335" i="8" s="1"/>
  <c r="C337" i="8" a="1"/>
  <c r="C337" i="8" s="1"/>
  <c r="C336" i="8" a="1"/>
  <c r="C336" i="8" s="1"/>
  <c r="C338" i="8" a="1"/>
  <c r="C338" i="8" s="1"/>
  <c r="C346" i="8" a="1"/>
  <c r="C346" i="8" s="1"/>
  <c r="C343" i="8" a="1"/>
  <c r="C343" i="8" s="1"/>
  <c r="C342" i="8" a="1"/>
  <c r="C342" i="8" s="1"/>
  <c r="C341" i="8" a="1"/>
  <c r="C341" i="8" s="1"/>
  <c r="C344" i="8" a="1"/>
  <c r="C344" i="8" s="1"/>
  <c r="C345" i="8" a="1"/>
  <c r="C345" i="8" s="1"/>
  <c r="C347" i="8" a="1"/>
  <c r="C347" i="8" s="1"/>
  <c r="C348" i="8" a="1"/>
  <c r="C348" i="8" s="1"/>
  <c r="C351" i="8" a="1"/>
  <c r="C351" i="8" s="1"/>
  <c r="C349" i="8" a="1"/>
  <c r="C349" i="8" s="1"/>
  <c r="C350" i="8" a="1"/>
  <c r="C350" i="8" s="1"/>
  <c r="C353" i="8" a="1"/>
  <c r="C353" i="8" s="1"/>
  <c r="C352" i="8" a="1"/>
  <c r="C352" i="8" s="1"/>
  <c r="C356" i="8" a="1"/>
  <c r="C356" i="8" s="1"/>
  <c r="C355" i="8" a="1"/>
  <c r="C355" i="8" s="1"/>
  <c r="C357" i="8" a="1"/>
  <c r="C357" i="8" s="1"/>
  <c r="C354" i="8" a="1"/>
  <c r="C354" i="8" s="1"/>
  <c r="C360" i="8" a="1"/>
  <c r="C360" i="8" s="1"/>
  <c r="C359" i="8" a="1"/>
  <c r="C359" i="8" s="1"/>
  <c r="C361" i="8" a="1"/>
  <c r="C361" i="8" s="1"/>
  <c r="C358" i="8" a="1"/>
  <c r="C358" i="8" s="1"/>
  <c r="C367" i="8" a="1"/>
  <c r="C367" i="8" s="1"/>
  <c r="C364" i="8" a="1"/>
  <c r="C364" i="8" s="1"/>
  <c r="C362" i="8" a="1"/>
  <c r="C362" i="8" s="1"/>
  <c r="C363" i="8" a="1"/>
  <c r="C363" i="8" s="1"/>
  <c r="C371" i="8" a="1"/>
  <c r="C371" i="8" s="1"/>
  <c r="C366" i="8" a="1"/>
  <c r="C366" i="8" s="1"/>
  <c r="C370" i="8" a="1"/>
  <c r="C370" i="8" s="1"/>
  <c r="C365" i="8" a="1"/>
  <c r="C365" i="8" s="1"/>
  <c r="C372" i="8" a="1"/>
  <c r="C372" i="8" s="1"/>
  <c r="C368" i="8" a="1"/>
  <c r="C368" i="8" s="1"/>
  <c r="C369" i="8" a="1"/>
  <c r="C369" i="8" s="1"/>
  <c r="C376" i="8" a="1"/>
  <c r="C376" i="8" s="1"/>
  <c r="C375" i="8" a="1"/>
  <c r="C375" i="8" s="1"/>
  <c r="C373" i="8" a="1"/>
  <c r="C373" i="8" s="1"/>
  <c r="C374" i="8" a="1"/>
  <c r="C374" i="8" s="1"/>
  <c r="C378" i="8" a="1"/>
  <c r="C378" i="8" s="1"/>
  <c r="C377" i="8" a="1"/>
  <c r="C377" i="8" s="1"/>
  <c r="C379" i="8" a="1"/>
  <c r="C379" i="8" s="1"/>
  <c r="C380" i="8" a="1"/>
  <c r="C380" i="8" s="1"/>
  <c r="C381" i="8" a="1"/>
  <c r="C381" i="8" s="1"/>
  <c r="C385" i="8" a="1"/>
  <c r="C385" i="8" s="1"/>
  <c r="C384" i="8" a="1"/>
  <c r="C384" i="8" s="1"/>
  <c r="C383" i="8" a="1"/>
  <c r="C383" i="8" s="1"/>
  <c r="C382" i="8" a="1"/>
  <c r="C382" i="8" s="1"/>
  <c r="C388" i="8" a="1"/>
  <c r="C388" i="8" s="1"/>
  <c r="C387" i="8" a="1"/>
  <c r="C387" i="8" s="1"/>
  <c r="C386" i="8" a="1"/>
  <c r="C386" i="8" s="1"/>
  <c r="C390" i="8" a="1"/>
  <c r="C390" i="8" s="1"/>
  <c r="C392" i="8" a="1"/>
  <c r="C392" i="8" s="1"/>
  <c r="C389" i="8" a="1"/>
  <c r="C389" i="8" s="1"/>
  <c r="C393" i="8" a="1"/>
  <c r="C393" i="8" s="1"/>
  <c r="C391" i="8" a="1"/>
  <c r="C391" i="8" s="1"/>
  <c r="C398" i="8" a="1"/>
  <c r="C398" i="8" s="1"/>
  <c r="C400" i="8" a="1"/>
  <c r="C400" i="8" s="1"/>
  <c r="C402" i="8" a="1"/>
  <c r="C402" i="8" s="1"/>
  <c r="C395" i="8" a="1"/>
  <c r="C395" i="8" s="1"/>
  <c r="C394" i="8" a="1"/>
  <c r="C394" i="8" s="1"/>
  <c r="C396" i="8" a="1"/>
  <c r="C396" i="8" s="1"/>
  <c r="C399" i="8" a="1"/>
  <c r="C399" i="8" s="1"/>
  <c r="C401" i="8" a="1"/>
  <c r="C401" i="8" s="1"/>
  <c r="C397" i="8" a="1"/>
  <c r="C397" i="8" s="1"/>
  <c r="C403" i="8" a="1"/>
  <c r="C403" i="8" s="1"/>
  <c r="C405" i="8" a="1"/>
  <c r="C405" i="8" s="1"/>
  <c r="C404" i="8" a="1"/>
  <c r="C404" i="8" s="1"/>
  <c r="C406" i="8" a="1"/>
  <c r="C406" i="8" s="1"/>
  <c r="C407" i="8" a="1"/>
  <c r="C407" i="8" s="1"/>
  <c r="C408" i="8" a="1"/>
  <c r="C408" i="8" s="1"/>
  <c r="C409" i="8" a="1"/>
  <c r="C409" i="8" s="1"/>
  <c r="C410" i="8" a="1"/>
  <c r="C410" i="8" s="1"/>
  <c r="C414" i="8" a="1"/>
  <c r="C414" i="8" s="1"/>
  <c r="C413" i="8" a="1"/>
  <c r="C413" i="8" s="1"/>
  <c r="C412" i="8" a="1"/>
  <c r="C412" i="8" s="1"/>
  <c r="C415" i="8" a="1"/>
  <c r="C415" i="8" s="1"/>
  <c r="C411" i="8" a="1"/>
  <c r="C411" i="8" s="1"/>
  <c r="C416" i="8" a="1"/>
  <c r="C416" i="8" s="1"/>
  <c r="C418" i="8" a="1"/>
  <c r="C418" i="8" s="1"/>
  <c r="C417" i="8" a="1"/>
  <c r="C417" i="8" s="1"/>
  <c r="C420" i="8" a="1"/>
  <c r="C420" i="8" s="1"/>
  <c r="C421" i="8" a="1"/>
  <c r="C421" i="8" s="1"/>
  <c r="C422" i="8" a="1"/>
  <c r="C422" i="8" s="1"/>
  <c r="C423" i="8" a="1"/>
  <c r="C423" i="8" s="1"/>
  <c r="C419" i="8" a="1"/>
  <c r="C419" i="8" s="1"/>
  <c r="C424" i="8" a="1"/>
  <c r="C424" i="8" s="1"/>
  <c r="C430" i="8" a="1"/>
  <c r="C430" i="8" s="1"/>
  <c r="C429" i="8" a="1"/>
  <c r="C429" i="8" s="1"/>
  <c r="C428" i="8" a="1"/>
  <c r="C428" i="8" s="1"/>
  <c r="C427" i="8" a="1"/>
  <c r="C427" i="8" s="1"/>
  <c r="C426" i="8" a="1"/>
  <c r="C426" i="8" s="1"/>
  <c r="C425" i="8" a="1"/>
  <c r="C425" i="8" s="1"/>
  <c r="C433" i="8" a="1"/>
  <c r="C433" i="8" s="1"/>
  <c r="C434" i="8" a="1"/>
  <c r="C434" i="8" s="1"/>
  <c r="C432" i="8" a="1"/>
  <c r="C432" i="8" s="1"/>
  <c r="C431" i="8" a="1"/>
  <c r="C431" i="8" s="1"/>
  <c r="C435" i="8" a="1"/>
  <c r="C435" i="8" s="1"/>
  <c r="C436" i="8" a="1"/>
  <c r="C436" i="8" s="1"/>
  <c r="C438" i="8" a="1"/>
  <c r="C438" i="8" s="1"/>
  <c r="C437" i="8" a="1"/>
  <c r="C437" i="8" s="1"/>
  <c r="C442" i="8" a="1"/>
  <c r="C442" i="8" s="1"/>
  <c r="C440" i="8" a="1"/>
  <c r="C440" i="8" s="1"/>
  <c r="C439" i="8" a="1"/>
  <c r="C439" i="8" s="1"/>
  <c r="C441" i="8" a="1"/>
  <c r="C441" i="8" s="1"/>
  <c r="C443" i="8" a="1"/>
  <c r="C443" i="8" s="1"/>
  <c r="C448" i="8" a="1"/>
  <c r="C448" i="8" s="1"/>
  <c r="C449" i="8" a="1"/>
  <c r="C449" i="8" s="1"/>
  <c r="C450" i="8" a="1"/>
  <c r="C450" i="8" s="1"/>
  <c r="C446" i="8" a="1"/>
  <c r="C446" i="8" s="1"/>
  <c r="C444" i="8" a="1"/>
  <c r="C444" i="8" s="1"/>
  <c r="C445" i="8" a="1"/>
  <c r="C445" i="8" s="1"/>
  <c r="C447" i="8" a="1"/>
  <c r="C447" i="8" s="1"/>
  <c r="C454" i="8" a="1"/>
  <c r="C454" i="8" s="1"/>
  <c r="C452" i="8" a="1"/>
  <c r="C452" i="8" s="1"/>
  <c r="C453" i="8" a="1"/>
  <c r="C453" i="8" s="1"/>
  <c r="C451" i="8" a="1"/>
  <c r="C451" i="8" s="1"/>
  <c r="C455" i="8" a="1"/>
  <c r="C455" i="8" s="1"/>
  <c r="C457" i="8" a="1"/>
  <c r="C457" i="8" s="1"/>
  <c r="C456" i="8" a="1"/>
  <c r="C456" i="8" s="1"/>
  <c r="C458" i="8" a="1"/>
  <c r="C458" i="8" s="1"/>
  <c r="C459" i="8" a="1"/>
  <c r="C459" i="8" s="1"/>
  <c r="C464" i="8" a="1"/>
  <c r="C464" i="8" s="1"/>
  <c r="C463" i="8" a="1"/>
  <c r="C463" i="8" s="1"/>
  <c r="C461" i="8" a="1"/>
  <c r="C461" i="8" s="1"/>
  <c r="C462" i="8" a="1"/>
  <c r="C462" i="8" s="1"/>
  <c r="C460" i="8" a="1"/>
  <c r="C460" i="8" s="1"/>
  <c r="C468" i="8" a="1"/>
  <c r="C468" i="8" s="1"/>
  <c r="C467" i="8" a="1"/>
  <c r="C467" i="8" s="1"/>
  <c r="C465" i="8" a="1"/>
  <c r="C465" i="8" s="1"/>
  <c r="C466" i="8" a="1"/>
  <c r="C466" i="8" s="1"/>
  <c r="C470" i="8" a="1"/>
  <c r="C470" i="8" s="1"/>
  <c r="BC132" i="10"/>
  <c r="BB132" i="10"/>
  <c r="AZ132" i="10"/>
  <c r="E77" i="10"/>
  <c r="F77" i="10"/>
  <c r="G77" i="10"/>
  <c r="E78" i="10"/>
  <c r="F78" i="10"/>
  <c r="G78" i="10"/>
  <c r="E79" i="10"/>
  <c r="F79" i="10"/>
  <c r="G79" i="10"/>
  <c r="E80" i="10"/>
  <c r="F80" i="10"/>
  <c r="G80" i="10"/>
  <c r="E81" i="10"/>
  <c r="F81" i="10"/>
  <c r="G81" i="10"/>
  <c r="E82" i="10"/>
  <c r="F82" i="10"/>
  <c r="G82" i="10"/>
  <c r="E83" i="10"/>
  <c r="F83" i="10"/>
  <c r="G83" i="10"/>
  <c r="E84" i="10"/>
  <c r="F84" i="10"/>
  <c r="G84" i="10"/>
  <c r="E85" i="10"/>
  <c r="F85" i="10"/>
  <c r="G85" i="10"/>
  <c r="E86" i="10"/>
  <c r="F86" i="10"/>
  <c r="G86" i="10"/>
  <c r="E87" i="10"/>
  <c r="F87" i="10"/>
  <c r="G87" i="10"/>
  <c r="E88" i="10"/>
  <c r="F88" i="10"/>
  <c r="G88" i="10"/>
  <c r="I15" i="9"/>
  <c r="I47" i="9"/>
  <c r="I46" i="9"/>
  <c r="I3" i="9"/>
  <c r="I49" i="9"/>
  <c r="I78" i="9"/>
  <c r="I17" i="9"/>
  <c r="I73" i="9"/>
  <c r="I11" i="9"/>
  <c r="I50" i="9"/>
  <c r="I7" i="9"/>
  <c r="I74" i="9"/>
  <c r="AU132" i="10"/>
  <c r="AV132" i="10"/>
  <c r="AS132" i="10"/>
  <c r="C471" i="8" a="1"/>
  <c r="C471" i="8" s="1"/>
  <c r="C469" i="8" a="1"/>
  <c r="C469" i="8" s="1"/>
  <c r="C1166" i="8" a="1"/>
  <c r="C1166" i="8" s="1"/>
  <c r="C1231" i="8" a="1"/>
  <c r="C1231" i="8" s="1"/>
  <c r="C1289" i="8" a="1"/>
  <c r="C1289" i="8" s="1"/>
  <c r="C1322" i="8" a="1"/>
  <c r="C1322" i="8" s="1"/>
  <c r="C1352" i="8" a="1"/>
  <c r="C1352" i="8" s="1"/>
  <c r="C1383" i="8" a="1"/>
  <c r="C1383" i="8" s="1"/>
  <c r="C1412" i="8" a="1"/>
  <c r="C1412" i="8" s="1"/>
  <c r="C1452" i="8" a="1"/>
  <c r="C1452" i="8" s="1"/>
  <c r="C1481" i="8" a="1"/>
  <c r="C1481" i="8" s="1"/>
  <c r="C472" i="8" a="1"/>
  <c r="C472" i="8" s="1"/>
  <c r="C473" i="8" a="1"/>
  <c r="C473" i="8" s="1"/>
  <c r="C475" i="8" a="1"/>
  <c r="C475" i="8" s="1"/>
  <c r="C476" i="8" a="1"/>
  <c r="C476" i="8" s="1"/>
  <c r="C474" i="8" a="1"/>
  <c r="C474" i="8" s="1"/>
  <c r="C1503" i="8" a="1"/>
  <c r="C1503" i="8" s="1"/>
  <c r="C1573" i="8" a="1"/>
  <c r="C1573" i="8" s="1"/>
  <c r="C1609" i="8" a="1"/>
  <c r="C1609" i="8" s="1"/>
  <c r="C1654" i="8" a="1"/>
  <c r="C1654" i="8" s="1"/>
  <c r="C1677" i="8" a="1"/>
  <c r="C1677" i="8" s="1"/>
  <c r="C1721" i="8" a="1"/>
  <c r="C1721" i="8" s="1"/>
  <c r="C1740" i="8" a="1"/>
  <c r="C1740" i="8" s="1"/>
  <c r="C1780" i="8" a="1"/>
  <c r="C1780" i="8" s="1"/>
  <c r="C1809" i="8" a="1"/>
  <c r="C1809" i="8" s="1"/>
  <c r="C1848" i="8" a="1"/>
  <c r="C1848" i="8" s="1"/>
  <c r="C1874" i="8" a="1"/>
  <c r="C1874" i="8" s="1"/>
  <c r="C1899" i="8" a="1"/>
  <c r="C1899" i="8" s="1"/>
  <c r="C1935" i="8" a="1"/>
  <c r="C1935" i="8" s="1"/>
  <c r="C1959" i="8" a="1"/>
  <c r="C1959" i="8" s="1"/>
  <c r="C477" i="8" a="1"/>
  <c r="C477" i="8" s="1"/>
  <c r="C481" i="8" a="1"/>
  <c r="C481" i="8" s="1"/>
  <c r="C479" i="8" a="1"/>
  <c r="C479" i="8" s="1"/>
  <c r="C480" i="8" a="1"/>
  <c r="C480" i="8" s="1"/>
  <c r="C478" i="8" a="1"/>
  <c r="C478" i="8" s="1"/>
  <c r="C482" i="8" a="1"/>
  <c r="C482" i="8" s="1"/>
  <c r="C505" i="8" a="1"/>
  <c r="C505" i="8" s="1"/>
  <c r="C512" i="8" a="1"/>
  <c r="C512" i="8" s="1"/>
  <c r="C487" i="8" a="1"/>
  <c r="C487" i="8" s="1"/>
  <c r="C484" i="8" a="1"/>
  <c r="C484" i="8" s="1"/>
  <c r="C508" i="8" a="1"/>
  <c r="C508" i="8" s="1"/>
  <c r="C493" i="8" a="1"/>
  <c r="C493" i="8" s="1"/>
  <c r="C485" i="8" a="1"/>
  <c r="C485" i="8" s="1"/>
  <c r="C483" i="8" a="1"/>
  <c r="C483" i="8" s="1"/>
  <c r="C488" i="8" a="1"/>
  <c r="C488" i="8" s="1"/>
  <c r="C489" i="8" a="1"/>
  <c r="C489" i="8" s="1"/>
  <c r="C486" i="8" a="1"/>
  <c r="C486" i="8" s="1"/>
  <c r="C537" i="8" a="1"/>
  <c r="C537" i="8" s="1"/>
  <c r="C541" i="8" a="1"/>
  <c r="C541" i="8" s="1"/>
  <c r="C542" i="8" a="1"/>
  <c r="C542" i="8" s="1"/>
  <c r="C491" i="8" a="1"/>
  <c r="C491" i="8" s="1"/>
  <c r="C492" i="8" a="1"/>
  <c r="C492" i="8" s="1"/>
  <c r="C495" i="8" a="1"/>
  <c r="C495" i="8" s="1"/>
  <c r="C496" i="8" a="1"/>
  <c r="C496" i="8" s="1"/>
  <c r="C494" i="8" a="1"/>
  <c r="C494" i="8" s="1"/>
  <c r="C490" i="8" a="1"/>
  <c r="C490" i="8" s="1"/>
  <c r="C500" i="8" a="1"/>
  <c r="C500" i="8" s="1"/>
  <c r="C499" i="8" a="1"/>
  <c r="C499" i="8" s="1"/>
  <c r="C511" i="8" a="1"/>
  <c r="C511" i="8" s="1"/>
  <c r="C497" i="8" a="1"/>
  <c r="C497" i="8" s="1"/>
  <c r="C498" i="8" a="1"/>
  <c r="C498" i="8" s="1"/>
  <c r="C502" i="8" a="1"/>
  <c r="C502" i="8" s="1"/>
  <c r="C503" i="8" a="1"/>
  <c r="C503" i="8" s="1"/>
  <c r="C501" i="8" a="1"/>
  <c r="C501" i="8" s="1"/>
  <c r="C507" i="8" a="1"/>
  <c r="C507" i="8" s="1"/>
  <c r="C504" i="8" a="1"/>
  <c r="C504" i="8" s="1"/>
  <c r="C509" i="8" a="1"/>
  <c r="C509" i="8" s="1"/>
  <c r="C586" i="8" a="1"/>
  <c r="C586" i="8" s="1"/>
  <c r="C510" i="8" a="1"/>
  <c r="C510" i="8" s="1"/>
  <c r="C506" i="8" a="1"/>
  <c r="C506" i="8" s="1"/>
  <c r="C519" i="8" a="1"/>
  <c r="C519" i="8" s="1"/>
  <c r="C520" i="8" a="1"/>
  <c r="C520" i="8" s="1"/>
  <c r="C513" i="8" a="1"/>
  <c r="C513" i="8" s="1"/>
  <c r="C514" i="8" a="1"/>
  <c r="C514" i="8" s="1"/>
  <c r="C515" i="8" a="1"/>
  <c r="C515" i="8" s="1"/>
  <c r="C516" i="8" a="1"/>
  <c r="C516" i="8" s="1"/>
  <c r="C517" i="8" a="1"/>
  <c r="C517" i="8" s="1"/>
  <c r="C518" i="8" a="1"/>
  <c r="C518" i="8" s="1"/>
  <c r="C521" i="8" a="1"/>
  <c r="C521" i="8" s="1"/>
  <c r="C525" i="8" a="1"/>
  <c r="C525" i="8" s="1"/>
  <c r="C524" i="8" a="1"/>
  <c r="C524" i="8" s="1"/>
  <c r="C523" i="8" a="1"/>
  <c r="C523" i="8" s="1"/>
  <c r="C522" i="8" a="1"/>
  <c r="C522" i="8" s="1"/>
  <c r="C528" i="8" a="1"/>
  <c r="C528" i="8" s="1"/>
  <c r="C527" i="8" a="1"/>
  <c r="C527" i="8" s="1"/>
  <c r="C526" i="8" a="1"/>
  <c r="C526" i="8" s="1"/>
  <c r="C533" i="8" a="1"/>
  <c r="C533" i="8" s="1"/>
  <c r="C530" i="8" a="1"/>
  <c r="C530" i="8" s="1"/>
  <c r="C529" i="8" a="1"/>
  <c r="C529" i="8" s="1"/>
  <c r="C532" i="8" a="1"/>
  <c r="C532" i="8" s="1"/>
  <c r="C531" i="8" a="1"/>
  <c r="C531" i="8" s="1"/>
  <c r="C536" i="8" a="1"/>
  <c r="C536" i="8" s="1"/>
  <c r="C546" i="8" a="1"/>
  <c r="C546" i="8" s="1"/>
  <c r="C535" i="8" a="1"/>
  <c r="C535" i="8" s="1"/>
  <c r="C534" i="8" a="1"/>
  <c r="C534" i="8" s="1"/>
  <c r="C540" i="8" a="1"/>
  <c r="C540" i="8" s="1"/>
  <c r="C538" i="8" a="1"/>
  <c r="C538" i="8" s="1"/>
  <c r="C543" i="8" a="1"/>
  <c r="C543" i="8" s="1"/>
  <c r="C539" i="8" a="1"/>
  <c r="C539" i="8" s="1"/>
  <c r="C544" i="8" a="1"/>
  <c r="C544" i="8" s="1"/>
  <c r="C551" i="8" a="1"/>
  <c r="C551" i="8" s="1"/>
  <c r="C552" i="8" a="1"/>
  <c r="C552" i="8" s="1"/>
  <c r="D1166" i="8"/>
  <c r="D1231" i="8"/>
  <c r="D1289" i="8"/>
  <c r="D1322" i="8"/>
  <c r="D1352" i="8"/>
  <c r="D1383" i="8"/>
  <c r="D1412" i="8"/>
  <c r="D1452" i="8"/>
  <c r="D1481" i="8"/>
  <c r="D1503" i="8"/>
  <c r="D1573" i="8"/>
  <c r="D1609" i="8"/>
  <c r="D1654" i="8"/>
  <c r="D1677" i="8"/>
  <c r="D1721" i="8"/>
  <c r="D1740" i="8"/>
  <c r="D1780" i="8"/>
  <c r="D1809" i="8"/>
  <c r="D1848" i="8"/>
  <c r="D1874" i="8"/>
  <c r="D1935" i="8"/>
  <c r="D1959" i="8"/>
  <c r="D505" i="8"/>
  <c r="D512" i="8"/>
  <c r="D508" i="8"/>
  <c r="D537" i="8"/>
  <c r="D541" i="8"/>
  <c r="D542" i="8"/>
  <c r="D511" i="8"/>
  <c r="D502" i="8"/>
  <c r="D503" i="8"/>
  <c r="D501" i="8"/>
  <c r="D507" i="8"/>
  <c r="D504" i="8"/>
  <c r="D509" i="8"/>
  <c r="D586" i="8"/>
  <c r="D510" i="8"/>
  <c r="D506" i="8"/>
  <c r="D519" i="8"/>
  <c r="D520" i="8"/>
  <c r="D513" i="8"/>
  <c r="D514" i="8"/>
  <c r="D515" i="8"/>
  <c r="D516" i="8"/>
  <c r="D517" i="8"/>
  <c r="D518" i="8"/>
  <c r="D521" i="8"/>
  <c r="D525" i="8"/>
  <c r="D524" i="8"/>
  <c r="D523" i="8"/>
  <c r="D522" i="8"/>
  <c r="D528" i="8"/>
  <c r="D527" i="8"/>
  <c r="D526" i="8"/>
  <c r="D533" i="8"/>
  <c r="D530" i="8"/>
  <c r="D529" i="8"/>
  <c r="D532" i="8"/>
  <c r="D531" i="8"/>
  <c r="D536" i="8"/>
  <c r="D546" i="8"/>
  <c r="D535" i="8"/>
  <c r="D534" i="8"/>
  <c r="D540" i="8"/>
  <c r="D538" i="8"/>
  <c r="D543" i="8"/>
  <c r="D539" i="8"/>
  <c r="D544" i="8"/>
  <c r="D551" i="8"/>
  <c r="D552" i="8"/>
  <c r="F471" i="8"/>
  <c r="F469" i="8"/>
  <c r="F1166" i="8"/>
  <c r="F1231" i="8"/>
  <c r="F1289" i="8"/>
  <c r="F1322" i="8"/>
  <c r="F1352" i="8"/>
  <c r="F1383" i="8"/>
  <c r="F1412" i="8"/>
  <c r="F1452" i="8"/>
  <c r="F1481" i="8"/>
  <c r="F472" i="8"/>
  <c r="F473" i="8"/>
  <c r="F475" i="8"/>
  <c r="F476" i="8"/>
  <c r="F474" i="8"/>
  <c r="F1503" i="8"/>
  <c r="F1573" i="8"/>
  <c r="F1609" i="8"/>
  <c r="F1654" i="8"/>
  <c r="F1677" i="8"/>
  <c r="F1721" i="8"/>
  <c r="F1740" i="8"/>
  <c r="F1780" i="8"/>
  <c r="F1809" i="8"/>
  <c r="F1848" i="8"/>
  <c r="F1874" i="8"/>
  <c r="F1899" i="8"/>
  <c r="F1935" i="8"/>
  <c r="F1959" i="8"/>
  <c r="F477" i="8"/>
  <c r="F481" i="8"/>
  <c r="F479" i="8"/>
  <c r="F480" i="8"/>
  <c r="F478" i="8"/>
  <c r="F482" i="8"/>
  <c r="F505" i="8"/>
  <c r="F512" i="8"/>
  <c r="F487" i="8"/>
  <c r="F484" i="8"/>
  <c r="F508" i="8"/>
  <c r="F493" i="8"/>
  <c r="F485" i="8"/>
  <c r="F483" i="8"/>
  <c r="F488" i="8"/>
  <c r="F489" i="8"/>
  <c r="F486" i="8"/>
  <c r="F537" i="8"/>
  <c r="F541" i="8"/>
  <c r="F542" i="8"/>
  <c r="F491" i="8"/>
  <c r="F492" i="8"/>
  <c r="F495" i="8"/>
  <c r="F496" i="8"/>
  <c r="F494" i="8"/>
  <c r="F490" i="8"/>
  <c r="F500" i="8"/>
  <c r="F499" i="8"/>
  <c r="F511" i="8"/>
  <c r="F497" i="8"/>
  <c r="F498" i="8"/>
  <c r="F502" i="8"/>
  <c r="F503" i="8"/>
  <c r="F501" i="8"/>
  <c r="F507" i="8"/>
  <c r="F504" i="8"/>
  <c r="F509" i="8"/>
  <c r="F586" i="8"/>
  <c r="F510" i="8"/>
  <c r="F506" i="8"/>
  <c r="F519" i="8"/>
  <c r="F520" i="8"/>
  <c r="F513" i="8"/>
  <c r="F514" i="8"/>
  <c r="F515" i="8"/>
  <c r="F516" i="8"/>
  <c r="F517" i="8"/>
  <c r="F518" i="8"/>
  <c r="F521" i="8"/>
  <c r="F525" i="8"/>
  <c r="F524" i="8"/>
  <c r="F523" i="8"/>
  <c r="F522" i="8"/>
  <c r="F528" i="8"/>
  <c r="F527" i="8"/>
  <c r="F526" i="8"/>
  <c r="F533" i="8"/>
  <c r="F530" i="8"/>
  <c r="F529" i="8"/>
  <c r="F532" i="8"/>
  <c r="F531" i="8"/>
  <c r="F536" i="8"/>
  <c r="F546" i="8"/>
  <c r="F535" i="8"/>
  <c r="F534" i="8"/>
  <c r="F540" i="8"/>
  <c r="F538" i="8"/>
  <c r="F543" i="8"/>
  <c r="F539" i="8"/>
  <c r="F544" i="8"/>
  <c r="F551" i="8"/>
  <c r="F552" i="8"/>
  <c r="G471" i="8"/>
  <c r="J471" i="8" s="1"/>
  <c r="G469" i="8"/>
  <c r="H469" i="8" s="1"/>
  <c r="G1166" i="8"/>
  <c r="H1166" i="8" s="1"/>
  <c r="G1231" i="8"/>
  <c r="H1231" i="8" s="1"/>
  <c r="G1289" i="8"/>
  <c r="J1289" i="8" s="1"/>
  <c r="G1322" i="8"/>
  <c r="J1322" i="8" s="1"/>
  <c r="G1352" i="8"/>
  <c r="I1352" i="8" s="1"/>
  <c r="G1383" i="8"/>
  <c r="I1383" i="8" s="1"/>
  <c r="G1412" i="8"/>
  <c r="J1412" i="8" s="1"/>
  <c r="G1452" i="8"/>
  <c r="H1452" i="8" s="1"/>
  <c r="G1481" i="8"/>
  <c r="H1481" i="8" s="1"/>
  <c r="G472" i="8"/>
  <c r="H472" i="8" s="1"/>
  <c r="G473" i="8"/>
  <c r="I473" i="8" s="1"/>
  <c r="G475" i="8"/>
  <c r="H475" i="8" s="1"/>
  <c r="G476" i="8"/>
  <c r="I476" i="8" s="1"/>
  <c r="G474" i="8"/>
  <c r="I474" i="8" s="1"/>
  <c r="G1503" i="8"/>
  <c r="J1503" i="8" s="1"/>
  <c r="G1573" i="8"/>
  <c r="H1573" i="8" s="1"/>
  <c r="G1609" i="8"/>
  <c r="I1609" i="8" s="1"/>
  <c r="G1654" i="8"/>
  <c r="I1654" i="8" s="1"/>
  <c r="G1677" i="8"/>
  <c r="H1677" i="8" s="1"/>
  <c r="G1721" i="8"/>
  <c r="I1721" i="8" s="1"/>
  <c r="G1740" i="8"/>
  <c r="I1740" i="8" s="1"/>
  <c r="G1780" i="8"/>
  <c r="I1780" i="8" s="1"/>
  <c r="G1809" i="8"/>
  <c r="J1809" i="8" s="1"/>
  <c r="G1848" i="8"/>
  <c r="H1848" i="8" s="1"/>
  <c r="G1874" i="8"/>
  <c r="I1874" i="8" s="1"/>
  <c r="G1899" i="8"/>
  <c r="H1899" i="8" s="1"/>
  <c r="G1935" i="8"/>
  <c r="H1935" i="8" s="1"/>
  <c r="G1959" i="8"/>
  <c r="H1959" i="8" s="1"/>
  <c r="G477" i="8"/>
  <c r="I477" i="8" s="1"/>
  <c r="G481" i="8"/>
  <c r="J481" i="8" s="1"/>
  <c r="G479" i="8"/>
  <c r="J479" i="8" s="1"/>
  <c r="G480" i="8"/>
  <c r="H480" i="8" s="1"/>
  <c r="G478" i="8"/>
  <c r="H478" i="8" s="1"/>
  <c r="G482" i="8"/>
  <c r="I482" i="8" s="1"/>
  <c r="G505" i="8"/>
  <c r="I505" i="8" s="1"/>
  <c r="G512" i="8"/>
  <c r="I512" i="8" s="1"/>
  <c r="G487" i="8"/>
  <c r="I487" i="8" s="1"/>
  <c r="G484" i="8"/>
  <c r="H484" i="8" s="1"/>
  <c r="G508" i="8"/>
  <c r="J508" i="8" s="1"/>
  <c r="G493" i="8"/>
  <c r="H493" i="8" s="1"/>
  <c r="G485" i="8"/>
  <c r="H485" i="8" s="1"/>
  <c r="G483" i="8"/>
  <c r="H483" i="8" s="1"/>
  <c r="G488" i="8"/>
  <c r="I488" i="8" s="1"/>
  <c r="G489" i="8"/>
  <c r="I489" i="8" s="1"/>
  <c r="G486" i="8"/>
  <c r="I486" i="8" s="1"/>
  <c r="G537" i="8"/>
  <c r="H537" i="8" s="1"/>
  <c r="G541" i="8"/>
  <c r="J541" i="8" s="1"/>
  <c r="G542" i="8"/>
  <c r="H542" i="8" s="1"/>
  <c r="G491" i="8"/>
  <c r="J491" i="8" s="1"/>
  <c r="G492" i="8"/>
  <c r="J492" i="8" s="1"/>
  <c r="G495" i="8"/>
  <c r="H495" i="8" s="1"/>
  <c r="G496" i="8"/>
  <c r="I496" i="8" s="1"/>
  <c r="G494" i="8"/>
  <c r="I494" i="8" s="1"/>
  <c r="G490" i="8"/>
  <c r="H490" i="8" s="1"/>
  <c r="G500" i="8"/>
  <c r="J500" i="8" s="1"/>
  <c r="G499" i="8"/>
  <c r="H499" i="8" s="1"/>
  <c r="G511" i="8"/>
  <c r="H511" i="8" s="1"/>
  <c r="G497" i="8"/>
  <c r="J497" i="8" s="1"/>
  <c r="G498" i="8"/>
  <c r="J498" i="8" s="1"/>
  <c r="G502" i="8"/>
  <c r="J502" i="8" s="1"/>
  <c r="G503" i="8"/>
  <c r="I503" i="8" s="1"/>
  <c r="G501" i="8"/>
  <c r="H501" i="8" s="1"/>
  <c r="G507" i="8"/>
  <c r="J507" i="8" s="1"/>
  <c r="G504" i="8"/>
  <c r="H504" i="8" s="1"/>
  <c r="G509" i="8"/>
  <c r="H509" i="8" s="1"/>
  <c r="G586" i="8"/>
  <c r="H586" i="8" s="1"/>
  <c r="G510" i="8"/>
  <c r="J510" i="8" s="1"/>
  <c r="G506" i="8"/>
  <c r="J506" i="8" s="1"/>
  <c r="G519" i="8"/>
  <c r="I519" i="8" s="1"/>
  <c r="G520" i="8"/>
  <c r="I520" i="8" s="1"/>
  <c r="G513" i="8"/>
  <c r="J513" i="8" s="1"/>
  <c r="G514" i="8"/>
  <c r="H514" i="8" s="1"/>
  <c r="G515" i="8"/>
  <c r="H515" i="8" s="1"/>
  <c r="G516" i="8"/>
  <c r="J516" i="8" s="1"/>
  <c r="G517" i="8"/>
  <c r="I517" i="8" s="1"/>
  <c r="G518" i="8"/>
  <c r="H518" i="8" s="1"/>
  <c r="G521" i="8"/>
  <c r="I521" i="8" s="1"/>
  <c r="G525" i="8"/>
  <c r="I525" i="8" s="1"/>
  <c r="G524" i="8"/>
  <c r="J524" i="8" s="1"/>
  <c r="G523" i="8"/>
  <c r="H523" i="8" s="1"/>
  <c r="G522" i="8"/>
  <c r="J522" i="8" s="1"/>
  <c r="G528" i="8"/>
  <c r="H528" i="8" s="1"/>
  <c r="G527" i="8"/>
  <c r="H527" i="8" s="1"/>
  <c r="G526" i="8"/>
  <c r="I526" i="8" s="1"/>
  <c r="G533" i="8"/>
  <c r="I533" i="8" s="1"/>
  <c r="G530" i="8"/>
  <c r="J530" i="8" s="1"/>
  <c r="G529" i="8"/>
  <c r="J529" i="8" s="1"/>
  <c r="G532" i="8"/>
  <c r="H532" i="8" s="1"/>
  <c r="G531" i="8"/>
  <c r="J531" i="8" s="1"/>
  <c r="G536" i="8"/>
  <c r="J536" i="8" s="1"/>
  <c r="G546" i="8"/>
  <c r="H546" i="8" s="1"/>
  <c r="G535" i="8"/>
  <c r="H535" i="8" s="1"/>
  <c r="G534" i="8"/>
  <c r="I534" i="8" s="1"/>
  <c r="G540" i="8"/>
  <c r="J540" i="8" s="1"/>
  <c r="G538" i="8"/>
  <c r="J538" i="8" s="1"/>
  <c r="G543" i="8"/>
  <c r="H543" i="8" s="1"/>
  <c r="G539" i="8"/>
  <c r="J539" i="8" s="1"/>
  <c r="G544" i="8"/>
  <c r="H544" i="8" s="1"/>
  <c r="G551" i="8"/>
  <c r="I551" i="8" s="1"/>
  <c r="G552" i="8"/>
  <c r="H552" i="8" s="1"/>
  <c r="R471" i="8"/>
  <c r="R469" i="8"/>
  <c r="R1166" i="8"/>
  <c r="R1231" i="8"/>
  <c r="R1289" i="8"/>
  <c r="R1322" i="8"/>
  <c r="R1352" i="8"/>
  <c r="R1383" i="8"/>
  <c r="R1412" i="8"/>
  <c r="R1452" i="8"/>
  <c r="R1481" i="8"/>
  <c r="R472" i="8"/>
  <c r="R473" i="8"/>
  <c r="R475" i="8"/>
  <c r="R476" i="8"/>
  <c r="R474" i="8"/>
  <c r="R1503" i="8"/>
  <c r="R1573" i="8"/>
  <c r="R1609" i="8"/>
  <c r="R1654" i="8"/>
  <c r="R1677" i="8"/>
  <c r="R1721" i="8"/>
  <c r="R1740" i="8"/>
  <c r="R1780" i="8"/>
  <c r="R1809" i="8"/>
  <c r="R1848" i="8"/>
  <c r="R1874" i="8"/>
  <c r="R1899" i="8"/>
  <c r="R1935" i="8"/>
  <c r="R1959" i="8"/>
  <c r="R477" i="8"/>
  <c r="R481" i="8"/>
  <c r="R479" i="8"/>
  <c r="R480" i="8"/>
  <c r="R478" i="8"/>
  <c r="R482" i="8"/>
  <c r="R505" i="8"/>
  <c r="R512" i="8"/>
  <c r="R487" i="8"/>
  <c r="R484" i="8"/>
  <c r="R508" i="8"/>
  <c r="R493" i="8"/>
  <c r="R485" i="8"/>
  <c r="R483" i="8"/>
  <c r="R488" i="8"/>
  <c r="R489" i="8"/>
  <c r="R486" i="8"/>
  <c r="R537" i="8"/>
  <c r="R541" i="8"/>
  <c r="R542" i="8"/>
  <c r="R491" i="8"/>
  <c r="R492" i="8"/>
  <c r="R495" i="8"/>
  <c r="R496" i="8"/>
  <c r="R494" i="8"/>
  <c r="R490" i="8"/>
  <c r="R500" i="8"/>
  <c r="R499" i="8"/>
  <c r="R511" i="8"/>
  <c r="R497" i="8"/>
  <c r="R498" i="8"/>
  <c r="R502" i="8"/>
  <c r="R503" i="8"/>
  <c r="R501" i="8"/>
  <c r="R507" i="8"/>
  <c r="R504" i="8"/>
  <c r="R509" i="8"/>
  <c r="R586" i="8"/>
  <c r="R510" i="8"/>
  <c r="R506" i="8"/>
  <c r="R519" i="8"/>
  <c r="R520" i="8"/>
  <c r="R513" i="8"/>
  <c r="R514" i="8"/>
  <c r="R515" i="8"/>
  <c r="R516" i="8"/>
  <c r="R517" i="8"/>
  <c r="R518" i="8"/>
  <c r="R521" i="8"/>
  <c r="R525" i="8"/>
  <c r="R524" i="8"/>
  <c r="R523" i="8"/>
  <c r="R522" i="8"/>
  <c r="R528" i="8"/>
  <c r="R527" i="8"/>
  <c r="R526" i="8"/>
  <c r="R533" i="8"/>
  <c r="R530" i="8"/>
  <c r="R529" i="8"/>
  <c r="R532" i="8"/>
  <c r="R531" i="8"/>
  <c r="R536" i="8"/>
  <c r="R546" i="8"/>
  <c r="R535" i="8"/>
  <c r="R534" i="8"/>
  <c r="R540" i="8"/>
  <c r="R538" i="8"/>
  <c r="R543" i="8"/>
  <c r="R539" i="8"/>
  <c r="R544" i="8"/>
  <c r="R551" i="8"/>
  <c r="R552" i="8"/>
  <c r="T471" i="8"/>
  <c r="T469" i="8"/>
  <c r="T1166" i="8"/>
  <c r="T1231" i="8"/>
  <c r="T1289" i="8"/>
  <c r="T1322" i="8"/>
  <c r="T1352" i="8"/>
  <c r="T1383" i="8"/>
  <c r="T1412" i="8"/>
  <c r="T1452" i="8"/>
  <c r="T1481" i="8"/>
  <c r="T472" i="8"/>
  <c r="T473" i="8"/>
  <c r="T475" i="8"/>
  <c r="T476" i="8"/>
  <c r="T474" i="8"/>
  <c r="T1503" i="8"/>
  <c r="T1573" i="8"/>
  <c r="T1609" i="8"/>
  <c r="T1654" i="8"/>
  <c r="T1677" i="8"/>
  <c r="T1721" i="8"/>
  <c r="T1740" i="8"/>
  <c r="T1780" i="8"/>
  <c r="T1809" i="8"/>
  <c r="T1848" i="8"/>
  <c r="T1874" i="8"/>
  <c r="T1899" i="8"/>
  <c r="T1935" i="8"/>
  <c r="T1959" i="8"/>
  <c r="T477" i="8"/>
  <c r="T481" i="8"/>
  <c r="T479" i="8"/>
  <c r="T480" i="8"/>
  <c r="T478" i="8"/>
  <c r="T482" i="8"/>
  <c r="T505" i="8"/>
  <c r="T512" i="8"/>
  <c r="T487" i="8"/>
  <c r="T484" i="8"/>
  <c r="T508" i="8"/>
  <c r="T493" i="8"/>
  <c r="T485" i="8"/>
  <c r="T483" i="8"/>
  <c r="T488" i="8"/>
  <c r="T489" i="8"/>
  <c r="T486" i="8"/>
  <c r="T537" i="8"/>
  <c r="T541" i="8"/>
  <c r="T542" i="8"/>
  <c r="T491" i="8"/>
  <c r="T492" i="8"/>
  <c r="T495" i="8"/>
  <c r="T496" i="8"/>
  <c r="T494" i="8"/>
  <c r="T490" i="8"/>
  <c r="T500" i="8"/>
  <c r="T499" i="8"/>
  <c r="T511" i="8"/>
  <c r="T497" i="8"/>
  <c r="T498" i="8"/>
  <c r="T502" i="8"/>
  <c r="T503" i="8"/>
  <c r="T501" i="8"/>
  <c r="T507" i="8"/>
  <c r="T504" i="8"/>
  <c r="T509" i="8"/>
  <c r="T586" i="8"/>
  <c r="T510" i="8"/>
  <c r="T506" i="8"/>
  <c r="T519" i="8"/>
  <c r="T520" i="8"/>
  <c r="T513" i="8"/>
  <c r="T514" i="8"/>
  <c r="T515" i="8"/>
  <c r="T516" i="8"/>
  <c r="T517" i="8"/>
  <c r="T518" i="8"/>
  <c r="T521" i="8"/>
  <c r="T525" i="8"/>
  <c r="T524" i="8"/>
  <c r="T523" i="8"/>
  <c r="T522" i="8"/>
  <c r="T528" i="8"/>
  <c r="T527" i="8"/>
  <c r="T526" i="8"/>
  <c r="T533" i="8"/>
  <c r="T530" i="8"/>
  <c r="T529" i="8"/>
  <c r="T532" i="8"/>
  <c r="T531" i="8"/>
  <c r="T536" i="8"/>
  <c r="T546" i="8"/>
  <c r="T535" i="8"/>
  <c r="T534" i="8"/>
  <c r="T540" i="8"/>
  <c r="T538" i="8"/>
  <c r="T543" i="8"/>
  <c r="T539" i="8"/>
  <c r="T544" i="8"/>
  <c r="T551" i="8"/>
  <c r="T552" i="8"/>
  <c r="D1028" i="8"/>
  <c r="D545" i="8"/>
  <c r="D571" i="8"/>
  <c r="D547" i="8"/>
  <c r="D548" i="8"/>
  <c r="D550" i="8"/>
  <c r="D549" i="8"/>
  <c r="D556" i="8"/>
  <c r="D554" i="8"/>
  <c r="D566" i="8"/>
  <c r="D577" i="8"/>
  <c r="D553" i="8"/>
  <c r="D558" i="8"/>
  <c r="D555" i="8"/>
  <c r="D559" i="8"/>
  <c r="D557" i="8"/>
  <c r="D562" i="8"/>
  <c r="D565" i="8"/>
  <c r="D568" i="8"/>
  <c r="D567" i="8"/>
  <c r="D606" i="8"/>
  <c r="D605" i="8"/>
  <c r="D620" i="8"/>
  <c r="D621" i="8"/>
  <c r="D665" i="8"/>
  <c r="D661" i="8"/>
  <c r="D560" i="8"/>
  <c r="D594" i="8"/>
  <c r="D623" i="8"/>
  <c r="D563" i="8"/>
  <c r="D561" i="8"/>
  <c r="D564" i="8"/>
  <c r="D595" i="8"/>
  <c r="D625" i="8"/>
  <c r="D570" i="8"/>
  <c r="D569" i="8"/>
  <c r="D572" i="8"/>
  <c r="D573" i="8"/>
  <c r="D576" i="8"/>
  <c r="D575" i="8"/>
  <c r="D574" i="8"/>
  <c r="D578" i="8"/>
  <c r="D591" i="8"/>
  <c r="D579" i="8"/>
  <c r="D580" i="8"/>
  <c r="D582" i="8"/>
  <c r="D581" i="8"/>
  <c r="D585" i="8"/>
  <c r="D583" i="8"/>
  <c r="D584" i="8"/>
  <c r="D587" i="8"/>
  <c r="D597" i="8"/>
  <c r="D588" i="8"/>
  <c r="D589" i="8"/>
  <c r="D590" i="8"/>
  <c r="D593" i="8"/>
  <c r="D592" i="8"/>
  <c r="D683" i="8"/>
  <c r="D619" i="8"/>
  <c r="D596" i="8"/>
  <c r="D600" i="8"/>
  <c r="D598" i="8"/>
  <c r="D599" i="8"/>
  <c r="D609" i="8"/>
  <c r="D602" i="8"/>
  <c r="D603" i="8"/>
  <c r="D604" i="8"/>
  <c r="D601" i="8"/>
  <c r="D608" i="8"/>
  <c r="D607" i="8"/>
  <c r="D610" i="8"/>
  <c r="D611" i="8"/>
  <c r="D612" i="8"/>
  <c r="D614" i="8"/>
  <c r="D615" i="8"/>
  <c r="D613" i="8"/>
  <c r="D617" i="8"/>
  <c r="D616" i="8"/>
  <c r="D655" i="8"/>
  <c r="D654" i="8"/>
  <c r="D682" i="8"/>
  <c r="D681" i="8"/>
  <c r="D714" i="8"/>
  <c r="D713" i="8"/>
  <c r="D748" i="8"/>
  <c r="D747" i="8"/>
  <c r="D785" i="8"/>
  <c r="D782" i="8"/>
  <c r="D815" i="8"/>
  <c r="D811" i="8"/>
  <c r="D618" i="8"/>
  <c r="D627" i="8"/>
  <c r="D628" i="8"/>
  <c r="D629" i="8"/>
  <c r="D626" i="8"/>
  <c r="D622" i="8"/>
  <c r="D624" i="8"/>
  <c r="D633" i="8"/>
  <c r="D630" i="8"/>
  <c r="D631" i="8"/>
  <c r="D634" i="8"/>
  <c r="D632" i="8"/>
  <c r="D635" i="8"/>
  <c r="D636" i="8"/>
  <c r="D650" i="8"/>
  <c r="D656" i="8"/>
  <c r="D659" i="8"/>
  <c r="D638" i="8"/>
  <c r="D637" i="8"/>
  <c r="D640" i="8"/>
  <c r="D641" i="8"/>
  <c r="D642" i="8"/>
  <c r="D639" i="8"/>
  <c r="D646" i="8"/>
  <c r="D668" i="8"/>
  <c r="D667" i="8"/>
  <c r="D652" i="8"/>
  <c r="D651" i="8"/>
  <c r="D645" i="8"/>
  <c r="D644" i="8"/>
  <c r="D648" i="8"/>
  <c r="D643" i="8"/>
  <c r="D647" i="8"/>
  <c r="D649" i="8"/>
  <c r="D664" i="8"/>
  <c r="D658" i="8"/>
  <c r="D653" i="8"/>
  <c r="D657" i="8"/>
  <c r="D660" i="8"/>
  <c r="D662" i="8"/>
  <c r="D663" i="8"/>
  <c r="D684" i="8"/>
  <c r="D716" i="8"/>
  <c r="D763" i="8"/>
  <c r="D814" i="8"/>
  <c r="D666" i="8"/>
  <c r="D669" i="8"/>
  <c r="D674" i="8"/>
  <c r="D672" i="8"/>
  <c r="D671" i="8"/>
  <c r="D677" i="8"/>
  <c r="D675" i="8"/>
  <c r="D676" i="8"/>
  <c r="D673" i="8"/>
  <c r="D679" i="8"/>
  <c r="D680" i="8"/>
  <c r="D678" i="8"/>
  <c r="D670" i="8"/>
  <c r="D685" i="8"/>
  <c r="D690" i="8"/>
  <c r="D691" i="8"/>
  <c r="D686" i="8"/>
  <c r="D692" i="8"/>
  <c r="D696" i="8"/>
  <c r="D687" i="8"/>
  <c r="D688" i="8"/>
  <c r="D689" i="8"/>
  <c r="D693" i="8"/>
  <c r="D695" i="8"/>
  <c r="D698" i="8"/>
  <c r="D700" i="8"/>
  <c r="D703" i="8"/>
  <c r="D701" i="8"/>
  <c r="D699" i="8"/>
  <c r="D846" i="8"/>
  <c r="D874" i="8"/>
  <c r="D904" i="8"/>
  <c r="D941" i="8"/>
  <c r="D702" i="8"/>
  <c r="D697" i="8"/>
  <c r="D704" i="8"/>
  <c r="D706" i="8"/>
  <c r="D705" i="8"/>
  <c r="D709" i="8"/>
  <c r="D710" i="8"/>
  <c r="D708" i="8"/>
  <c r="D736" i="8"/>
  <c r="D760" i="8"/>
  <c r="D797" i="8"/>
  <c r="D707" i="8"/>
  <c r="D722" i="8"/>
  <c r="D727" i="8"/>
  <c r="D728" i="8"/>
  <c r="D711" i="8"/>
  <c r="D718" i="8"/>
  <c r="D723" i="8"/>
  <c r="D717" i="8"/>
  <c r="D712" i="8"/>
  <c r="D715" i="8"/>
  <c r="D720" i="8"/>
  <c r="D725" i="8"/>
  <c r="D726" i="8"/>
  <c r="D719" i="8"/>
  <c r="D721" i="8"/>
  <c r="D724" i="8"/>
  <c r="D731" i="8"/>
  <c r="D729" i="8"/>
  <c r="D732" i="8"/>
  <c r="D730" i="8"/>
  <c r="D733" i="8"/>
  <c r="D734" i="8"/>
  <c r="D735" i="8"/>
  <c r="D737" i="8"/>
  <c r="D738" i="8"/>
  <c r="D739" i="8"/>
  <c r="D750" i="8"/>
  <c r="D744" i="8"/>
  <c r="D742" i="8"/>
  <c r="D741" i="8"/>
  <c r="D743" i="8"/>
  <c r="D764" i="8"/>
  <c r="D740" i="8"/>
  <c r="D746" i="8"/>
  <c r="D745" i="8"/>
  <c r="D749" i="8"/>
  <c r="D751" i="8"/>
  <c r="D752" i="8"/>
  <c r="D757" i="8"/>
  <c r="D824" i="8"/>
  <c r="D825" i="8"/>
  <c r="D827" i="8"/>
  <c r="D758" i="8"/>
  <c r="D755" i="8"/>
  <c r="D756" i="8"/>
  <c r="D759" i="8"/>
  <c r="D754" i="8"/>
  <c r="D753" i="8"/>
  <c r="D790" i="8"/>
  <c r="D762" i="8"/>
  <c r="D761" i="8"/>
  <c r="D766" i="8"/>
  <c r="D765" i="8"/>
  <c r="D775" i="8"/>
  <c r="D769" i="8"/>
  <c r="D768" i="8"/>
  <c r="D830" i="8"/>
  <c r="D767" i="8"/>
  <c r="D770" i="8"/>
  <c r="D795" i="8"/>
  <c r="D771" i="8"/>
  <c r="D772" i="8"/>
  <c r="D776" i="8"/>
  <c r="D781" i="8"/>
  <c r="D1043" i="8"/>
  <c r="D1005" i="8"/>
  <c r="D972" i="8"/>
  <c r="D942" i="8"/>
  <c r="D905" i="8"/>
  <c r="D777" i="8"/>
  <c r="D867" i="8"/>
  <c r="D805" i="8"/>
  <c r="D773" i="8"/>
  <c r="D774" i="8"/>
  <c r="D778" i="8"/>
  <c r="D780" i="8"/>
  <c r="D779" i="8"/>
  <c r="D784" i="8"/>
  <c r="D783" i="8"/>
  <c r="D791" i="8"/>
  <c r="D788" i="8"/>
  <c r="D787" i="8"/>
  <c r="D789" i="8"/>
  <c r="D786" i="8"/>
  <c r="D820" i="8"/>
  <c r="D821" i="8"/>
  <c r="D850" i="8"/>
  <c r="D851" i="8"/>
  <c r="D886" i="8"/>
  <c r="D884" i="8"/>
  <c r="D793" i="8"/>
  <c r="D792" i="8"/>
  <c r="D798" i="8"/>
  <c r="D796" i="8"/>
  <c r="D794" i="8"/>
  <c r="D799" i="8"/>
  <c r="D800" i="8"/>
  <c r="D802" i="8"/>
  <c r="D801" i="8"/>
  <c r="D803" i="8"/>
  <c r="D826" i="8"/>
  <c r="D860" i="8"/>
  <c r="D890" i="8"/>
  <c r="D923" i="8"/>
  <c r="D807" i="8"/>
  <c r="D842" i="8"/>
  <c r="D810" i="8"/>
  <c r="D841" i="8"/>
  <c r="D809" i="8"/>
  <c r="D804" i="8"/>
  <c r="D806" i="8"/>
  <c r="D808" i="8"/>
  <c r="D812" i="8"/>
  <c r="D816" i="8"/>
  <c r="D831" i="8"/>
  <c r="D813" i="8"/>
  <c r="D818" i="8"/>
  <c r="D817" i="8"/>
  <c r="D823" i="8"/>
  <c r="D822" i="8"/>
  <c r="D819" i="8"/>
  <c r="D829" i="8"/>
  <c r="D828" i="8"/>
  <c r="D833" i="8"/>
  <c r="D835" i="8"/>
  <c r="D832" i="8"/>
  <c r="D834" i="8"/>
  <c r="D837" i="8"/>
  <c r="D836" i="8"/>
  <c r="D839" i="8"/>
  <c r="D838" i="8"/>
  <c r="D844" i="8"/>
  <c r="D840" i="8"/>
  <c r="D843" i="8"/>
  <c r="D858" i="8"/>
  <c r="D847" i="8"/>
  <c r="D845" i="8"/>
  <c r="D911" i="8"/>
  <c r="D910" i="8"/>
  <c r="D938" i="8"/>
  <c r="D940" i="8"/>
  <c r="D848" i="8"/>
  <c r="D853" i="8"/>
  <c r="D852" i="8"/>
  <c r="D849" i="8"/>
  <c r="D855" i="8"/>
  <c r="D856" i="8"/>
  <c r="D854" i="8"/>
  <c r="D859" i="8"/>
  <c r="D861" i="8"/>
  <c r="D857" i="8"/>
  <c r="D862" i="8"/>
  <c r="D863" i="8"/>
  <c r="D864" i="8"/>
  <c r="D865" i="8"/>
  <c r="D866" i="8"/>
  <c r="D871" i="8"/>
  <c r="D882" i="8"/>
  <c r="D885" i="8"/>
  <c r="D914" i="8"/>
  <c r="D917" i="8"/>
  <c r="D872" i="8"/>
  <c r="D869" i="8"/>
  <c r="D873" i="8"/>
  <c r="D870" i="8"/>
  <c r="D868" i="8"/>
  <c r="D880" i="8"/>
  <c r="D877" i="8"/>
  <c r="D879" i="8"/>
  <c r="D878" i="8"/>
  <c r="D889" i="8"/>
  <c r="D875" i="8"/>
  <c r="D876" i="8"/>
  <c r="D895" i="8"/>
  <c r="D901" i="8"/>
  <c r="D912" i="8"/>
  <c r="D883" i="8"/>
  <c r="D907" i="8"/>
  <c r="D935" i="8"/>
  <c r="D881" i="8"/>
  <c r="D906" i="8"/>
  <c r="D888" i="8"/>
  <c r="D694" i="8"/>
  <c r="D887" i="8"/>
  <c r="D971" i="8"/>
  <c r="D894" i="8"/>
  <c r="D893" i="8"/>
  <c r="D891" i="8"/>
  <c r="D892" i="8"/>
  <c r="D897" i="8"/>
  <c r="D896" i="8"/>
  <c r="D898" i="8"/>
  <c r="D900" i="8"/>
  <c r="D899" i="8"/>
  <c r="D903" i="8"/>
  <c r="D902" i="8"/>
  <c r="D908" i="8"/>
  <c r="D930" i="8"/>
  <c r="D915" i="8"/>
  <c r="D916" i="8"/>
  <c r="D909" i="8"/>
  <c r="D918" i="8"/>
  <c r="D921" i="8"/>
  <c r="D920" i="8"/>
  <c r="D913" i="8"/>
  <c r="D922" i="8"/>
  <c r="D933" i="8"/>
  <c r="D934" i="8"/>
  <c r="D925" i="8"/>
  <c r="D924" i="8"/>
  <c r="D931" i="8"/>
  <c r="D929" i="8"/>
  <c r="D926" i="8"/>
  <c r="D957" i="8"/>
  <c r="D927" i="8"/>
  <c r="D932" i="8"/>
  <c r="D928" i="8"/>
  <c r="D936" i="8"/>
  <c r="D937" i="8"/>
  <c r="D959" i="8"/>
  <c r="D990" i="8"/>
  <c r="D1018" i="8"/>
  <c r="D939" i="8"/>
  <c r="D950" i="8"/>
  <c r="D946" i="8"/>
  <c r="D947" i="8"/>
  <c r="D945" i="8"/>
  <c r="D943" i="8"/>
  <c r="D944" i="8"/>
  <c r="D985" i="8"/>
  <c r="D986" i="8"/>
  <c r="D1009" i="8"/>
  <c r="D1008" i="8"/>
  <c r="D951" i="8"/>
  <c r="D953" i="8"/>
  <c r="D955" i="8"/>
  <c r="D952" i="8"/>
  <c r="D1012" i="8"/>
  <c r="D1017" i="8"/>
  <c r="D1016" i="8"/>
  <c r="D954" i="8"/>
  <c r="D956" i="8"/>
  <c r="D949" i="8"/>
  <c r="D948" i="8"/>
  <c r="D958" i="8"/>
  <c r="D977" i="8"/>
  <c r="D1003" i="8"/>
  <c r="D1040" i="8"/>
  <c r="D1074" i="8"/>
  <c r="D1095" i="8"/>
  <c r="D1122" i="8"/>
  <c r="D1157" i="8"/>
  <c r="D1183" i="8"/>
  <c r="D960" i="8"/>
  <c r="D961" i="8"/>
  <c r="D967" i="8"/>
  <c r="D966" i="8"/>
  <c r="D962" i="8"/>
  <c r="D963" i="8"/>
  <c r="D1209" i="8"/>
  <c r="D1251" i="8"/>
  <c r="D1291" i="8"/>
  <c r="D1335" i="8"/>
  <c r="D1370" i="8"/>
  <c r="D964" i="8"/>
  <c r="D965" i="8"/>
  <c r="D976" i="8"/>
  <c r="D969" i="8"/>
  <c r="D968" i="8"/>
  <c r="D970" i="8"/>
  <c r="D983" i="8"/>
  <c r="D974" i="8"/>
  <c r="D978" i="8"/>
  <c r="D987" i="8"/>
  <c r="D988" i="8"/>
  <c r="D1032" i="8"/>
  <c r="D1033" i="8"/>
  <c r="D984" i="8"/>
  <c r="D1007" i="8"/>
  <c r="D1035" i="8"/>
  <c r="D982" i="8"/>
  <c r="D1006" i="8"/>
  <c r="D1038" i="8"/>
  <c r="D979" i="8"/>
  <c r="D973" i="8"/>
  <c r="D981" i="8"/>
  <c r="D980" i="8"/>
  <c r="D975" i="8"/>
  <c r="D989" i="8"/>
  <c r="D1004" i="8"/>
  <c r="D997" i="8"/>
  <c r="D1025" i="8"/>
  <c r="D1054" i="8"/>
  <c r="D1083" i="8"/>
  <c r="D1135" i="8"/>
  <c r="D1145" i="8"/>
  <c r="D1263" i="8"/>
  <c r="D1297" i="8"/>
  <c r="D1361" i="8"/>
  <c r="D1395" i="8"/>
  <c r="D1404" i="8"/>
  <c r="D1453" i="8"/>
  <c r="D1487" i="8"/>
  <c r="D1515" i="8"/>
  <c r="D1537" i="8"/>
  <c r="D996" i="8"/>
  <c r="D1023" i="8"/>
  <c r="D1053" i="8"/>
  <c r="D1081" i="8"/>
  <c r="D1133" i="8"/>
  <c r="D1144" i="8"/>
  <c r="D1262" i="8"/>
  <c r="D1296" i="8"/>
  <c r="D1360" i="8"/>
  <c r="D1393" i="8"/>
  <c r="D1425" i="8"/>
  <c r="D1486" i="8"/>
  <c r="D1513" i="8"/>
  <c r="D1584" i="8"/>
  <c r="D992" i="8"/>
  <c r="D993" i="8"/>
  <c r="D991" i="8"/>
  <c r="D994" i="8"/>
  <c r="D995" i="8"/>
  <c r="D1011" i="8"/>
  <c r="D1001" i="8"/>
  <c r="D1000" i="8"/>
  <c r="D999" i="8"/>
  <c r="D998" i="8"/>
  <c r="D1010" i="8"/>
  <c r="D1014" i="8"/>
  <c r="D1015" i="8"/>
  <c r="D1193" i="8"/>
  <c r="D1194" i="8"/>
  <c r="D1238" i="8"/>
  <c r="D1241" i="8"/>
  <c r="D1257" i="8"/>
  <c r="D1258" i="8"/>
  <c r="D1295" i="8"/>
  <c r="D1298" i="8"/>
  <c r="D919" i="8"/>
  <c r="D1334" i="8"/>
  <c r="D1359" i="8"/>
  <c r="D1362" i="8"/>
  <c r="D1580" i="8"/>
  <c r="D1581" i="8"/>
  <c r="D1617" i="8"/>
  <c r="D1618" i="8"/>
  <c r="D1643" i="8"/>
  <c r="D1645" i="8"/>
  <c r="D1689" i="8"/>
  <c r="D1688" i="8"/>
  <c r="D1725" i="8"/>
  <c r="D1726" i="8"/>
  <c r="D1756" i="8"/>
  <c r="D1757" i="8"/>
  <c r="D1788" i="8"/>
  <c r="D1002" i="8"/>
  <c r="D1013" i="8"/>
  <c r="D1020" i="8"/>
  <c r="D1019" i="8"/>
  <c r="D1024" i="8"/>
  <c r="D1084" i="8"/>
  <c r="D1027" i="8"/>
  <c r="D1021" i="8"/>
  <c r="D1022" i="8"/>
  <c r="D1026" i="8"/>
  <c r="D1047" i="8"/>
  <c r="D1051" i="8"/>
  <c r="D1078" i="8"/>
  <c r="D1113" i="8"/>
  <c r="D1143" i="8"/>
  <c r="D1175" i="8"/>
  <c r="D1246" i="8"/>
  <c r="D1272" i="8"/>
  <c r="D1305" i="8"/>
  <c r="D1344" i="8"/>
  <c r="D1390" i="8"/>
  <c r="D2076" i="8"/>
  <c r="C545" i="8" a="1"/>
  <c r="C545" i="8" s="1"/>
  <c r="C571" i="8" a="1"/>
  <c r="C571" i="8" s="1"/>
  <c r="C547" i="8" a="1"/>
  <c r="C547" i="8" s="1"/>
  <c r="C548" i="8" a="1"/>
  <c r="C548" i="8" s="1"/>
  <c r="C550" i="8" a="1"/>
  <c r="C550" i="8" s="1"/>
  <c r="C549" i="8" a="1"/>
  <c r="C549" i="8" s="1"/>
  <c r="C556" i="8" a="1"/>
  <c r="C556" i="8" s="1"/>
  <c r="C554" i="8" a="1"/>
  <c r="C554" i="8" s="1"/>
  <c r="C566" i="8" a="1"/>
  <c r="C566" i="8" s="1"/>
  <c r="C577" i="8" a="1"/>
  <c r="C577" i="8" s="1"/>
  <c r="C553" i="8" a="1"/>
  <c r="C553" i="8" s="1"/>
  <c r="C558" i="8" a="1"/>
  <c r="C558" i="8" s="1"/>
  <c r="C555" i="8" a="1"/>
  <c r="C555" i="8" s="1"/>
  <c r="C559" i="8" a="1"/>
  <c r="C559" i="8" s="1"/>
  <c r="C557" i="8" a="1"/>
  <c r="C557" i="8" s="1"/>
  <c r="C562" i="8" a="1"/>
  <c r="C562" i="8" s="1"/>
  <c r="C565" i="8" a="1"/>
  <c r="C565" i="8" s="1"/>
  <c r="C568" i="8" a="1"/>
  <c r="C568" i="8" s="1"/>
  <c r="C567" i="8" a="1"/>
  <c r="C567" i="8" s="1"/>
  <c r="C606" i="8" a="1"/>
  <c r="C606" i="8" s="1"/>
  <c r="C605" i="8" a="1"/>
  <c r="C605" i="8" s="1"/>
  <c r="C620" i="8" a="1"/>
  <c r="C620" i="8" s="1"/>
  <c r="C621" i="8" a="1"/>
  <c r="C621" i="8" s="1"/>
  <c r="C665" i="8" a="1"/>
  <c r="C665" i="8" s="1"/>
  <c r="C661" i="8" a="1"/>
  <c r="C661" i="8" s="1"/>
  <c r="C560" i="8" a="1"/>
  <c r="C560" i="8" s="1"/>
  <c r="C594" i="8" a="1"/>
  <c r="C594" i="8" s="1"/>
  <c r="C623" i="8" a="1"/>
  <c r="C623" i="8" s="1"/>
  <c r="C563" i="8" a="1"/>
  <c r="C563" i="8" s="1"/>
  <c r="C561" i="8" a="1"/>
  <c r="C561" i="8" s="1"/>
  <c r="C564" i="8" a="1"/>
  <c r="C564" i="8" s="1"/>
  <c r="C595" i="8" a="1"/>
  <c r="C595" i="8" s="1"/>
  <c r="C625" i="8" a="1"/>
  <c r="C625" i="8" s="1"/>
  <c r="C570" i="8" a="1"/>
  <c r="C570" i="8" s="1"/>
  <c r="C569" i="8" a="1"/>
  <c r="C569" i="8" s="1"/>
  <c r="C572" i="8" a="1"/>
  <c r="C572" i="8" s="1"/>
  <c r="C573" i="8" a="1"/>
  <c r="C573" i="8" s="1"/>
  <c r="C576" i="8" a="1"/>
  <c r="C576" i="8" s="1"/>
  <c r="C575" i="8" a="1"/>
  <c r="C575" i="8" s="1"/>
  <c r="C574" i="8" a="1"/>
  <c r="C574" i="8" s="1"/>
  <c r="C578" i="8" a="1"/>
  <c r="C578" i="8" s="1"/>
  <c r="C591" i="8" a="1"/>
  <c r="C591" i="8" s="1"/>
  <c r="C579" i="8" a="1"/>
  <c r="C579" i="8" s="1"/>
  <c r="C580" i="8" a="1"/>
  <c r="C580" i="8" s="1"/>
  <c r="C582" i="8" a="1"/>
  <c r="C582" i="8" s="1"/>
  <c r="C581" i="8" a="1"/>
  <c r="C581" i="8" s="1"/>
  <c r="C585" i="8" a="1"/>
  <c r="C585" i="8" s="1"/>
  <c r="C583" i="8" a="1"/>
  <c r="C583" i="8" s="1"/>
  <c r="C584" i="8" a="1"/>
  <c r="C584" i="8" s="1"/>
  <c r="C587" i="8" a="1"/>
  <c r="C587" i="8" s="1"/>
  <c r="C597" i="8" a="1"/>
  <c r="C597" i="8" s="1"/>
  <c r="C588" i="8" a="1"/>
  <c r="C588" i="8" s="1"/>
  <c r="C589" i="8" a="1"/>
  <c r="C589" i="8" s="1"/>
  <c r="C590" i="8" a="1"/>
  <c r="C590" i="8" s="1"/>
  <c r="C593" i="8" a="1"/>
  <c r="C593" i="8" s="1"/>
  <c r="C592" i="8" a="1"/>
  <c r="C592" i="8" s="1"/>
  <c r="C683" i="8" a="1"/>
  <c r="C683" i="8" s="1"/>
  <c r="C619" i="8" a="1"/>
  <c r="C619" i="8" s="1"/>
  <c r="C596" i="8" a="1"/>
  <c r="C596" i="8" s="1"/>
  <c r="C600" i="8" a="1"/>
  <c r="C600" i="8" s="1"/>
  <c r="C598" i="8" a="1"/>
  <c r="C598" i="8" s="1"/>
  <c r="C599" i="8" a="1"/>
  <c r="C599" i="8" s="1"/>
  <c r="C609" i="8" a="1"/>
  <c r="C609" i="8" s="1"/>
  <c r="C602" i="8" a="1"/>
  <c r="C602" i="8" s="1"/>
  <c r="C603" i="8" a="1"/>
  <c r="C603" i="8" s="1"/>
  <c r="C604" i="8" a="1"/>
  <c r="C604" i="8" s="1"/>
  <c r="C601" i="8" a="1"/>
  <c r="C601" i="8" s="1"/>
  <c r="C608" i="8" a="1"/>
  <c r="C608" i="8" s="1"/>
  <c r="C607" i="8" a="1"/>
  <c r="C607" i="8" s="1"/>
  <c r="C610" i="8" a="1"/>
  <c r="C610" i="8" s="1"/>
  <c r="C611" i="8" a="1"/>
  <c r="C611" i="8" s="1"/>
  <c r="C612" i="8" a="1"/>
  <c r="C612" i="8" s="1"/>
  <c r="C614" i="8" a="1"/>
  <c r="C614" i="8" s="1"/>
  <c r="C615" i="8" a="1"/>
  <c r="C615" i="8" s="1"/>
  <c r="C613" i="8" a="1"/>
  <c r="C613" i="8" s="1"/>
  <c r="C617" i="8" a="1"/>
  <c r="C617" i="8" s="1"/>
  <c r="C616" i="8" a="1"/>
  <c r="C616" i="8" s="1"/>
  <c r="C655" i="8" a="1"/>
  <c r="C655" i="8" s="1"/>
  <c r="C654" i="8" a="1"/>
  <c r="C654" i="8" s="1"/>
  <c r="C682" i="8" a="1"/>
  <c r="C682" i="8" s="1"/>
  <c r="C681" i="8" a="1"/>
  <c r="C681" i="8" s="1"/>
  <c r="C714" i="8" a="1"/>
  <c r="C714" i="8" s="1"/>
  <c r="C713" i="8" a="1"/>
  <c r="C713" i="8" s="1"/>
  <c r="C748" i="8" a="1"/>
  <c r="C748" i="8" s="1"/>
  <c r="C747" i="8" a="1"/>
  <c r="C747" i="8" s="1"/>
  <c r="C785" i="8" a="1"/>
  <c r="C785" i="8" s="1"/>
  <c r="C782" i="8" a="1"/>
  <c r="C782" i="8" s="1"/>
  <c r="C815" i="8" a="1"/>
  <c r="C815" i="8" s="1"/>
  <c r="C811" i="8" a="1"/>
  <c r="C811" i="8" s="1"/>
  <c r="C618" i="8" a="1"/>
  <c r="C618" i="8" s="1"/>
  <c r="C627" i="8" a="1"/>
  <c r="C627" i="8" s="1"/>
  <c r="C628" i="8" a="1"/>
  <c r="C628" i="8" s="1"/>
  <c r="C629" i="8" a="1"/>
  <c r="C629" i="8" s="1"/>
  <c r="C626" i="8" a="1"/>
  <c r="C626" i="8" s="1"/>
  <c r="C622" i="8" a="1"/>
  <c r="C622" i="8" s="1"/>
  <c r="C624" i="8" a="1"/>
  <c r="C624" i="8" s="1"/>
  <c r="C633" i="8" a="1"/>
  <c r="C633" i="8" s="1"/>
  <c r="C630" i="8" a="1"/>
  <c r="C630" i="8" s="1"/>
  <c r="C631" i="8" a="1"/>
  <c r="C631" i="8" s="1"/>
  <c r="C634" i="8" a="1"/>
  <c r="C634" i="8" s="1"/>
  <c r="C632" i="8" a="1"/>
  <c r="C632" i="8" s="1"/>
  <c r="C635" i="8" a="1"/>
  <c r="C635" i="8" s="1"/>
  <c r="C636" i="8" a="1"/>
  <c r="C636" i="8" s="1"/>
  <c r="C650" i="8" a="1"/>
  <c r="C650" i="8" s="1"/>
  <c r="C656" i="8" a="1"/>
  <c r="C656" i="8" s="1"/>
  <c r="C659" i="8" a="1"/>
  <c r="C659" i="8" s="1"/>
  <c r="C638" i="8" a="1"/>
  <c r="C638" i="8" s="1"/>
  <c r="C637" i="8" a="1"/>
  <c r="C637" i="8" s="1"/>
  <c r="C640" i="8" a="1"/>
  <c r="C640" i="8" s="1"/>
  <c r="C641" i="8" a="1"/>
  <c r="C641" i="8" s="1"/>
  <c r="C642" i="8" a="1"/>
  <c r="C642" i="8" s="1"/>
  <c r="C639" i="8" a="1"/>
  <c r="C639" i="8" s="1"/>
  <c r="C646" i="8" a="1"/>
  <c r="C646" i="8" s="1"/>
  <c r="C668" i="8" a="1"/>
  <c r="C668" i="8" s="1"/>
  <c r="C667" i="8" a="1"/>
  <c r="C667" i="8" s="1"/>
  <c r="C652" i="8" a="1"/>
  <c r="C652" i="8" s="1"/>
  <c r="C651" i="8" a="1"/>
  <c r="C651" i="8" s="1"/>
  <c r="C645" i="8" a="1"/>
  <c r="C645" i="8" s="1"/>
  <c r="C644" i="8" a="1"/>
  <c r="C644" i="8" s="1"/>
  <c r="C648" i="8" a="1"/>
  <c r="C648" i="8" s="1"/>
  <c r="C643" i="8" a="1"/>
  <c r="C643" i="8" s="1"/>
  <c r="C647" i="8" a="1"/>
  <c r="C647" i="8" s="1"/>
  <c r="C649" i="8" a="1"/>
  <c r="C649" i="8" s="1"/>
  <c r="C664" i="8" a="1"/>
  <c r="C664" i="8" s="1"/>
  <c r="C658" i="8" a="1"/>
  <c r="C658" i="8" s="1"/>
  <c r="C653" i="8" a="1"/>
  <c r="C653" i="8" s="1"/>
  <c r="C657" i="8" a="1"/>
  <c r="C657" i="8" s="1"/>
  <c r="C660" i="8" a="1"/>
  <c r="C660" i="8" s="1"/>
  <c r="C662" i="8" a="1"/>
  <c r="C662" i="8" s="1"/>
  <c r="C663" i="8" a="1"/>
  <c r="C663" i="8" s="1"/>
  <c r="C684" i="8" a="1"/>
  <c r="C684" i="8" s="1"/>
  <c r="C716" i="8" a="1"/>
  <c r="C716" i="8" s="1"/>
  <c r="C763" i="8" a="1"/>
  <c r="C763" i="8" s="1"/>
  <c r="C814" i="8" a="1"/>
  <c r="C814" i="8" s="1"/>
  <c r="C666" i="8" a="1"/>
  <c r="C666" i="8" s="1"/>
  <c r="C669" i="8" a="1"/>
  <c r="C669" i="8" s="1"/>
  <c r="C674" i="8" a="1"/>
  <c r="C674" i="8" s="1"/>
  <c r="C672" i="8" a="1"/>
  <c r="C672" i="8" s="1"/>
  <c r="C671" i="8" a="1"/>
  <c r="C671" i="8" s="1"/>
  <c r="C677" i="8" a="1"/>
  <c r="C677" i="8" s="1"/>
  <c r="C675" i="8" a="1"/>
  <c r="C675" i="8" s="1"/>
  <c r="C676" i="8" a="1"/>
  <c r="C676" i="8" s="1"/>
  <c r="C673" i="8" a="1"/>
  <c r="C673" i="8" s="1"/>
  <c r="C679" i="8" a="1"/>
  <c r="C679" i="8" s="1"/>
  <c r="C680" i="8" a="1"/>
  <c r="C680" i="8" s="1"/>
  <c r="C678" i="8" a="1"/>
  <c r="C678" i="8" s="1"/>
  <c r="C670" i="8" a="1"/>
  <c r="C670" i="8" s="1"/>
  <c r="C685" i="8" a="1"/>
  <c r="C685" i="8" s="1"/>
  <c r="C690" i="8" a="1"/>
  <c r="C690" i="8" s="1"/>
  <c r="C691" i="8" a="1"/>
  <c r="C691" i="8" s="1"/>
  <c r="C686" i="8" a="1"/>
  <c r="C686" i="8" s="1"/>
  <c r="C692" i="8" a="1"/>
  <c r="C692" i="8" s="1"/>
  <c r="C696" i="8" a="1"/>
  <c r="C696" i="8" s="1"/>
  <c r="C687" i="8" a="1"/>
  <c r="C687" i="8" s="1"/>
  <c r="C688" i="8" a="1"/>
  <c r="C688" i="8" s="1"/>
  <c r="C689" i="8" a="1"/>
  <c r="C689" i="8" s="1"/>
  <c r="C693" i="8" a="1"/>
  <c r="C693" i="8" s="1"/>
  <c r="C695" i="8" a="1"/>
  <c r="C695" i="8" s="1"/>
  <c r="C698" i="8" a="1"/>
  <c r="C698" i="8" s="1"/>
  <c r="C700" i="8" a="1"/>
  <c r="C700" i="8" s="1"/>
  <c r="C703" i="8" a="1"/>
  <c r="C703" i="8" s="1"/>
  <c r="C701" i="8" a="1"/>
  <c r="C701" i="8" s="1"/>
  <c r="C699" i="8" a="1"/>
  <c r="C699" i="8" s="1"/>
  <c r="C846" i="8" a="1"/>
  <c r="C846" i="8" s="1"/>
  <c r="C874" i="8" a="1"/>
  <c r="C874" i="8" s="1"/>
  <c r="C904" i="8" a="1"/>
  <c r="C904" i="8" s="1"/>
  <c r="C941" i="8" a="1"/>
  <c r="C941" i="8" s="1"/>
  <c r="C702" i="8" a="1"/>
  <c r="C702" i="8" s="1"/>
  <c r="C697" i="8" a="1"/>
  <c r="C697" i="8" s="1"/>
  <c r="C704" i="8" a="1"/>
  <c r="C704" i="8" s="1"/>
  <c r="C706" i="8" a="1"/>
  <c r="C706" i="8" s="1"/>
  <c r="C705" i="8" a="1"/>
  <c r="C705" i="8" s="1"/>
  <c r="C709" i="8" a="1"/>
  <c r="C709" i="8" s="1"/>
  <c r="C710" i="8" a="1"/>
  <c r="C710" i="8" s="1"/>
  <c r="C708" i="8" a="1"/>
  <c r="C708" i="8" s="1"/>
  <c r="C736" i="8" a="1"/>
  <c r="C736" i="8" s="1"/>
  <c r="C760" i="8" a="1"/>
  <c r="C760" i="8" s="1"/>
  <c r="C797" i="8" a="1"/>
  <c r="C797" i="8" s="1"/>
  <c r="C707" i="8" a="1"/>
  <c r="C707" i="8" s="1"/>
  <c r="C722" i="8" a="1"/>
  <c r="C722" i="8" s="1"/>
  <c r="C727" i="8" a="1"/>
  <c r="C727" i="8" s="1"/>
  <c r="C728" i="8" a="1"/>
  <c r="C728" i="8" s="1"/>
  <c r="C711" i="8" a="1"/>
  <c r="C711" i="8" s="1"/>
  <c r="C718" i="8" a="1"/>
  <c r="C718" i="8" s="1"/>
  <c r="C723" i="8" a="1"/>
  <c r="C723" i="8" s="1"/>
  <c r="C717" i="8" a="1"/>
  <c r="C717" i="8" s="1"/>
  <c r="C712" i="8" a="1"/>
  <c r="C712" i="8" s="1"/>
  <c r="C715" i="8" a="1"/>
  <c r="C715" i="8" s="1"/>
  <c r="C720" i="8" a="1"/>
  <c r="C720" i="8" s="1"/>
  <c r="C725" i="8" a="1"/>
  <c r="C725" i="8" s="1"/>
  <c r="C726" i="8" a="1"/>
  <c r="C726" i="8" s="1"/>
  <c r="C719" i="8" a="1"/>
  <c r="C719" i="8" s="1"/>
  <c r="C721" i="8" a="1"/>
  <c r="C721" i="8" s="1"/>
  <c r="C724" i="8" a="1"/>
  <c r="C724" i="8" s="1"/>
  <c r="C731" i="8" a="1"/>
  <c r="C731" i="8" s="1"/>
  <c r="C729" i="8" a="1"/>
  <c r="C729" i="8" s="1"/>
  <c r="C732" i="8" a="1"/>
  <c r="C732" i="8" s="1"/>
  <c r="C730" i="8" a="1"/>
  <c r="C730" i="8" s="1"/>
  <c r="C733" i="8" a="1"/>
  <c r="C733" i="8" s="1"/>
  <c r="C734" i="8" a="1"/>
  <c r="C734" i="8" s="1"/>
  <c r="C735" i="8" a="1"/>
  <c r="C735" i="8" s="1"/>
  <c r="C737" i="8" a="1"/>
  <c r="C737" i="8" s="1"/>
  <c r="C738" i="8" a="1"/>
  <c r="C738" i="8" s="1"/>
  <c r="C739" i="8" a="1"/>
  <c r="C739" i="8" s="1"/>
  <c r="C750" i="8" a="1"/>
  <c r="C750" i="8" s="1"/>
  <c r="C744" i="8" a="1"/>
  <c r="C744" i="8" s="1"/>
  <c r="C742" i="8" a="1"/>
  <c r="C742" i="8" s="1"/>
  <c r="C741" i="8" a="1"/>
  <c r="C741" i="8" s="1"/>
  <c r="C743" i="8" a="1"/>
  <c r="C743" i="8" s="1"/>
  <c r="C764" i="8" a="1"/>
  <c r="C764" i="8" s="1"/>
  <c r="C740" i="8" a="1"/>
  <c r="C740" i="8" s="1"/>
  <c r="C746" i="8" a="1"/>
  <c r="C746" i="8" s="1"/>
  <c r="C745" i="8" a="1"/>
  <c r="C745" i="8" s="1"/>
  <c r="C749" i="8" a="1"/>
  <c r="C749" i="8" s="1"/>
  <c r="C751" i="8" a="1"/>
  <c r="C751" i="8" s="1"/>
  <c r="C752" i="8" a="1"/>
  <c r="C752" i="8" s="1"/>
  <c r="C757" i="8" a="1"/>
  <c r="C757" i="8" s="1"/>
  <c r="C824" i="8" a="1"/>
  <c r="C824" i="8" s="1"/>
  <c r="C825" i="8" a="1"/>
  <c r="C825" i="8" s="1"/>
  <c r="C827" i="8" a="1"/>
  <c r="C827" i="8" s="1"/>
  <c r="C758" i="8" a="1"/>
  <c r="C758" i="8" s="1"/>
  <c r="C755" i="8" a="1"/>
  <c r="C755" i="8" s="1"/>
  <c r="C756" i="8" a="1"/>
  <c r="C756" i="8" s="1"/>
  <c r="C759" i="8" a="1"/>
  <c r="C759" i="8" s="1"/>
  <c r="C754" i="8" a="1"/>
  <c r="C754" i="8" s="1"/>
  <c r="C753" i="8" a="1"/>
  <c r="C753" i="8" s="1"/>
  <c r="C790" i="8" a="1"/>
  <c r="C790" i="8" s="1"/>
  <c r="C762" i="8" a="1"/>
  <c r="C762" i="8" s="1"/>
  <c r="C761" i="8" a="1"/>
  <c r="C761" i="8" s="1"/>
  <c r="C766" i="8" a="1"/>
  <c r="C766" i="8" s="1"/>
  <c r="C765" i="8" a="1"/>
  <c r="C765" i="8" s="1"/>
  <c r="C775" i="8" a="1"/>
  <c r="C775" i="8" s="1"/>
  <c r="C769" i="8" a="1"/>
  <c r="C769" i="8" s="1"/>
  <c r="C768" i="8" a="1"/>
  <c r="C768" i="8" s="1"/>
  <c r="C830" i="8" a="1"/>
  <c r="C830" i="8" s="1"/>
  <c r="C767" i="8" a="1"/>
  <c r="C767" i="8" s="1"/>
  <c r="C770" i="8" a="1"/>
  <c r="C770" i="8" s="1"/>
  <c r="C795" i="8" a="1"/>
  <c r="C795" i="8" s="1"/>
  <c r="C771" i="8" a="1"/>
  <c r="C771" i="8" s="1"/>
  <c r="C772" i="8" a="1"/>
  <c r="C772" i="8" s="1"/>
  <c r="C776" i="8" a="1"/>
  <c r="C776" i="8" s="1"/>
  <c r="C781" i="8" a="1"/>
  <c r="C781" i="8" s="1"/>
  <c r="C1043" i="8" a="1"/>
  <c r="C1043" i="8" s="1"/>
  <c r="C1005" i="8" a="1"/>
  <c r="C1005" i="8" s="1"/>
  <c r="C972" i="8" a="1"/>
  <c r="C972" i="8" s="1"/>
  <c r="C942" i="8" a="1"/>
  <c r="C942" i="8" s="1"/>
  <c r="C905" i="8" a="1"/>
  <c r="C905" i="8" s="1"/>
  <c r="C777" i="8" a="1"/>
  <c r="C777" i="8" s="1"/>
  <c r="C867" i="8" a="1"/>
  <c r="C867" i="8" s="1"/>
  <c r="C805" i="8" a="1"/>
  <c r="C805" i="8" s="1"/>
  <c r="C773" i="8" a="1"/>
  <c r="C773" i="8" s="1"/>
  <c r="C774" i="8" a="1"/>
  <c r="C774" i="8" s="1"/>
  <c r="C778" i="8" a="1"/>
  <c r="C778" i="8" s="1"/>
  <c r="C780" i="8" a="1"/>
  <c r="C780" i="8" s="1"/>
  <c r="C779" i="8" a="1"/>
  <c r="C779" i="8" s="1"/>
  <c r="C784" i="8" a="1"/>
  <c r="C784" i="8" s="1"/>
  <c r="C783" i="8" a="1"/>
  <c r="C783" i="8" s="1"/>
  <c r="C791" i="8" a="1"/>
  <c r="C791" i="8" s="1"/>
  <c r="C788" i="8" a="1"/>
  <c r="C788" i="8" s="1"/>
  <c r="C787" i="8" a="1"/>
  <c r="C787" i="8" s="1"/>
  <c r="C789" i="8" a="1"/>
  <c r="C789" i="8" s="1"/>
  <c r="C786" i="8" a="1"/>
  <c r="C786" i="8" s="1"/>
  <c r="C820" i="8" a="1"/>
  <c r="C820" i="8" s="1"/>
  <c r="C821" i="8" a="1"/>
  <c r="C821" i="8" s="1"/>
  <c r="C850" i="8" a="1"/>
  <c r="C850" i="8" s="1"/>
  <c r="C851" i="8" a="1"/>
  <c r="C851" i="8" s="1"/>
  <c r="C886" i="8" a="1"/>
  <c r="C886" i="8" s="1"/>
  <c r="C884" i="8" a="1"/>
  <c r="C884" i="8" s="1"/>
  <c r="C793" i="8" a="1"/>
  <c r="C793" i="8" s="1"/>
  <c r="C792" i="8" a="1"/>
  <c r="C792" i="8" s="1"/>
  <c r="C798" i="8" a="1"/>
  <c r="C798" i="8" s="1"/>
  <c r="C796" i="8" a="1"/>
  <c r="C796" i="8" s="1"/>
  <c r="C794" i="8" a="1"/>
  <c r="C794" i="8" s="1"/>
  <c r="C799" i="8" a="1"/>
  <c r="C799" i="8" s="1"/>
  <c r="C800" i="8" a="1"/>
  <c r="C800" i="8" s="1"/>
  <c r="C802" i="8" a="1"/>
  <c r="C802" i="8" s="1"/>
  <c r="C801" i="8" a="1"/>
  <c r="C801" i="8" s="1"/>
  <c r="C803" i="8" a="1"/>
  <c r="C803" i="8" s="1"/>
  <c r="C826" i="8" a="1"/>
  <c r="C826" i="8" s="1"/>
  <c r="C860" i="8" a="1"/>
  <c r="C860" i="8" s="1"/>
  <c r="C890" i="8" a="1"/>
  <c r="C890" i="8" s="1"/>
  <c r="C923" i="8" a="1"/>
  <c r="C923" i="8" s="1"/>
  <c r="C807" i="8" a="1"/>
  <c r="C807" i="8" s="1"/>
  <c r="C842" i="8" a="1"/>
  <c r="C842" i="8" s="1"/>
  <c r="C810" i="8" a="1"/>
  <c r="C810" i="8" s="1"/>
  <c r="C841" i="8" a="1"/>
  <c r="C841" i="8" s="1"/>
  <c r="C809" i="8" a="1"/>
  <c r="C809" i="8" s="1"/>
  <c r="C804" i="8" a="1"/>
  <c r="C804" i="8" s="1"/>
  <c r="C806" i="8" a="1"/>
  <c r="C806" i="8" s="1"/>
  <c r="C808" i="8" a="1"/>
  <c r="C808" i="8" s="1"/>
  <c r="C812" i="8" a="1"/>
  <c r="C812" i="8" s="1"/>
  <c r="C816" i="8" a="1"/>
  <c r="C816" i="8" s="1"/>
  <c r="C831" i="8" a="1"/>
  <c r="C831" i="8" s="1"/>
  <c r="C813" i="8" a="1"/>
  <c r="C813" i="8" s="1"/>
  <c r="C818" i="8" a="1"/>
  <c r="C818" i="8" s="1"/>
  <c r="C817" i="8" a="1"/>
  <c r="C817" i="8" s="1"/>
  <c r="C823" i="8" a="1"/>
  <c r="C823" i="8" s="1"/>
  <c r="C822" i="8" a="1"/>
  <c r="C822" i="8" s="1"/>
  <c r="C819" i="8" a="1"/>
  <c r="C819" i="8" s="1"/>
  <c r="C829" i="8" a="1"/>
  <c r="C829" i="8" s="1"/>
  <c r="C828" i="8" a="1"/>
  <c r="C828" i="8" s="1"/>
  <c r="C833" i="8" a="1"/>
  <c r="C833" i="8" s="1"/>
  <c r="C835" i="8" a="1"/>
  <c r="C835" i="8" s="1"/>
  <c r="C832" i="8" a="1"/>
  <c r="C832" i="8" s="1"/>
  <c r="C834" i="8" a="1"/>
  <c r="C834" i="8" s="1"/>
  <c r="C837" i="8" a="1"/>
  <c r="C837" i="8" s="1"/>
  <c r="C836" i="8" a="1"/>
  <c r="C836" i="8" s="1"/>
  <c r="C839" i="8" a="1"/>
  <c r="C839" i="8" s="1"/>
  <c r="C838" i="8" a="1"/>
  <c r="C838" i="8" s="1"/>
  <c r="C844" i="8" a="1"/>
  <c r="C844" i="8" s="1"/>
  <c r="C840" i="8" a="1"/>
  <c r="C840" i="8" s="1"/>
  <c r="C843" i="8" a="1"/>
  <c r="C843" i="8" s="1"/>
  <c r="C858" i="8" a="1"/>
  <c r="C858" i="8" s="1"/>
  <c r="C847" i="8" a="1"/>
  <c r="C847" i="8" s="1"/>
  <c r="C845" i="8" a="1"/>
  <c r="C845" i="8" s="1"/>
  <c r="C911" i="8" a="1"/>
  <c r="C911" i="8" s="1"/>
  <c r="C910" i="8" a="1"/>
  <c r="C910" i="8" s="1"/>
  <c r="C938" i="8" a="1"/>
  <c r="C938" i="8" s="1"/>
  <c r="C940" i="8" a="1"/>
  <c r="C940" i="8" s="1"/>
  <c r="C848" i="8" a="1"/>
  <c r="C848" i="8" s="1"/>
  <c r="C853" i="8" a="1"/>
  <c r="C853" i="8" s="1"/>
  <c r="C852" i="8" a="1"/>
  <c r="C852" i="8" s="1"/>
  <c r="C849" i="8" a="1"/>
  <c r="C849" i="8" s="1"/>
  <c r="C855" i="8" a="1"/>
  <c r="C855" i="8" s="1"/>
  <c r="C856" i="8" a="1"/>
  <c r="C856" i="8" s="1"/>
  <c r="C854" i="8" a="1"/>
  <c r="C854" i="8" s="1"/>
  <c r="C859" i="8" a="1"/>
  <c r="C859" i="8" s="1"/>
  <c r="C861" i="8" a="1"/>
  <c r="C861" i="8" s="1"/>
  <c r="C857" i="8" a="1"/>
  <c r="C857" i="8" s="1"/>
  <c r="C862" i="8" a="1"/>
  <c r="C862" i="8" s="1"/>
  <c r="C863" i="8" a="1"/>
  <c r="C863" i="8" s="1"/>
  <c r="C864" i="8" a="1"/>
  <c r="C864" i="8" s="1"/>
  <c r="C865" i="8" a="1"/>
  <c r="C865" i="8" s="1"/>
  <c r="C866" i="8" a="1"/>
  <c r="C866" i="8" s="1"/>
  <c r="C871" i="8" a="1"/>
  <c r="C871" i="8" s="1"/>
  <c r="C882" i="8" a="1"/>
  <c r="C882" i="8" s="1"/>
  <c r="C885" i="8" a="1"/>
  <c r="C885" i="8" s="1"/>
  <c r="C914" i="8" a="1"/>
  <c r="C914" i="8" s="1"/>
  <c r="C917" i="8" a="1"/>
  <c r="C917" i="8" s="1"/>
  <c r="C872" i="8" a="1"/>
  <c r="C872" i="8" s="1"/>
  <c r="C869" i="8" a="1"/>
  <c r="C869" i="8" s="1"/>
  <c r="C873" i="8" a="1"/>
  <c r="C873" i="8" s="1"/>
  <c r="C870" i="8" a="1"/>
  <c r="C870" i="8" s="1"/>
  <c r="C868" i="8" a="1"/>
  <c r="C868" i="8" s="1"/>
  <c r="C880" i="8" a="1"/>
  <c r="C880" i="8" s="1"/>
  <c r="C877" i="8" a="1"/>
  <c r="C877" i="8" s="1"/>
  <c r="C879" i="8" a="1"/>
  <c r="C879" i="8" s="1"/>
  <c r="C878" i="8" a="1"/>
  <c r="C878" i="8" s="1"/>
  <c r="C889" i="8" a="1"/>
  <c r="C889" i="8" s="1"/>
  <c r="C875" i="8" a="1"/>
  <c r="C875" i="8" s="1"/>
  <c r="C876" i="8" a="1"/>
  <c r="C876" i="8" s="1"/>
  <c r="C895" i="8" a="1"/>
  <c r="C895" i="8" s="1"/>
  <c r="C901" i="8" a="1"/>
  <c r="C901" i="8" s="1"/>
  <c r="C912" i="8" a="1"/>
  <c r="C912" i="8" s="1"/>
  <c r="C883" i="8" a="1"/>
  <c r="C883" i="8" s="1"/>
  <c r="C907" i="8" a="1"/>
  <c r="C907" i="8" s="1"/>
  <c r="C935" i="8" a="1"/>
  <c r="C935" i="8" s="1"/>
  <c r="C881" i="8" a="1"/>
  <c r="C881" i="8" s="1"/>
  <c r="C906" i="8" a="1"/>
  <c r="C906" i="8" s="1"/>
  <c r="C888" i="8" a="1"/>
  <c r="C888" i="8" s="1"/>
  <c r="C694" i="8" a="1"/>
  <c r="C694" i="8" s="1"/>
  <c r="C887" i="8" a="1"/>
  <c r="C887" i="8" s="1"/>
  <c r="C971" i="8" a="1"/>
  <c r="C971" i="8" s="1"/>
  <c r="C894" i="8" a="1"/>
  <c r="C894" i="8" s="1"/>
  <c r="C893" i="8" a="1"/>
  <c r="C893" i="8" s="1"/>
  <c r="C891" i="8" a="1"/>
  <c r="C891" i="8" s="1"/>
  <c r="C892" i="8" a="1"/>
  <c r="C892" i="8" s="1"/>
  <c r="C897" i="8" a="1"/>
  <c r="C897" i="8" s="1"/>
  <c r="C896" i="8" a="1"/>
  <c r="C896" i="8" s="1"/>
  <c r="C898" i="8" a="1"/>
  <c r="C898" i="8" s="1"/>
  <c r="C900" i="8" a="1"/>
  <c r="C900" i="8" s="1"/>
  <c r="C899" i="8" a="1"/>
  <c r="C899" i="8" s="1"/>
  <c r="C903" i="8" a="1"/>
  <c r="C903" i="8" s="1"/>
  <c r="C902" i="8" a="1"/>
  <c r="C902" i="8" s="1"/>
  <c r="C908" i="8" a="1"/>
  <c r="C908" i="8" s="1"/>
  <c r="C930" i="8" a="1"/>
  <c r="C930" i="8" s="1"/>
  <c r="C915" i="8" a="1"/>
  <c r="C915" i="8" s="1"/>
  <c r="C916" i="8" a="1"/>
  <c r="C916" i="8" s="1"/>
  <c r="C909" i="8" a="1"/>
  <c r="C909" i="8" s="1"/>
  <c r="C918" i="8" a="1"/>
  <c r="C918" i="8" s="1"/>
  <c r="C921" i="8" a="1"/>
  <c r="C921" i="8" s="1"/>
  <c r="C920" i="8" a="1"/>
  <c r="C920" i="8" s="1"/>
  <c r="C913" i="8" a="1"/>
  <c r="C913" i="8" s="1"/>
  <c r="C922" i="8" a="1"/>
  <c r="C922" i="8" s="1"/>
  <c r="C933" i="8" a="1"/>
  <c r="C933" i="8" s="1"/>
  <c r="C934" i="8" a="1"/>
  <c r="C934" i="8" s="1"/>
  <c r="C925" i="8" a="1"/>
  <c r="C925" i="8" s="1"/>
  <c r="C924" i="8" a="1"/>
  <c r="C924" i="8" s="1"/>
  <c r="C931" i="8" a="1"/>
  <c r="C931" i="8" s="1"/>
  <c r="C929" i="8" a="1"/>
  <c r="C929" i="8" s="1"/>
  <c r="C926" i="8" a="1"/>
  <c r="C926" i="8" s="1"/>
  <c r="C957" i="8" a="1"/>
  <c r="C957" i="8" s="1"/>
  <c r="C927" i="8" a="1"/>
  <c r="C927" i="8" s="1"/>
  <c r="C932" i="8" a="1"/>
  <c r="C932" i="8" s="1"/>
  <c r="C928" i="8" a="1"/>
  <c r="C928" i="8" s="1"/>
  <c r="C936" i="8" a="1"/>
  <c r="C936" i="8" s="1"/>
  <c r="C937" i="8" a="1"/>
  <c r="C937" i="8" s="1"/>
  <c r="C959" i="8" a="1"/>
  <c r="C959" i="8" s="1"/>
  <c r="C990" i="8" a="1"/>
  <c r="C990" i="8" s="1"/>
  <c r="C1018" i="8" a="1"/>
  <c r="C1018" i="8" s="1"/>
  <c r="C939" i="8" a="1"/>
  <c r="C939" i="8" s="1"/>
  <c r="C950" i="8" a="1"/>
  <c r="C950" i="8" s="1"/>
  <c r="C946" i="8" a="1"/>
  <c r="C946" i="8" s="1"/>
  <c r="C947" i="8" a="1"/>
  <c r="C947" i="8" s="1"/>
  <c r="C945" i="8" a="1"/>
  <c r="C945" i="8" s="1"/>
  <c r="C943" i="8" a="1"/>
  <c r="C943" i="8" s="1"/>
  <c r="C944" i="8" a="1"/>
  <c r="C944" i="8" s="1"/>
  <c r="C985" i="8" a="1"/>
  <c r="C985" i="8" s="1"/>
  <c r="C986" i="8" a="1"/>
  <c r="C986" i="8" s="1"/>
  <c r="C1009" i="8" a="1"/>
  <c r="C1009" i="8" s="1"/>
  <c r="C1008" i="8" a="1"/>
  <c r="C1008" i="8" s="1"/>
  <c r="C951" i="8" a="1"/>
  <c r="C951" i="8" s="1"/>
  <c r="C953" i="8" a="1"/>
  <c r="C953" i="8" s="1"/>
  <c r="C955" i="8" a="1"/>
  <c r="C955" i="8" s="1"/>
  <c r="C952" i="8" a="1"/>
  <c r="C952" i="8" s="1"/>
  <c r="C1012" i="8" a="1"/>
  <c r="C1012" i="8" s="1"/>
  <c r="C1017" i="8" a="1"/>
  <c r="C1017" i="8" s="1"/>
  <c r="C1016" i="8" a="1"/>
  <c r="C1016" i="8" s="1"/>
  <c r="C954" i="8" a="1"/>
  <c r="C954" i="8" s="1"/>
  <c r="C956" i="8" a="1"/>
  <c r="C956" i="8" s="1"/>
  <c r="C949" i="8" a="1"/>
  <c r="C949" i="8" s="1"/>
  <c r="C948" i="8" a="1"/>
  <c r="C948" i="8" s="1"/>
  <c r="C958" i="8" a="1"/>
  <c r="C958" i="8" s="1"/>
  <c r="C977" i="8" a="1"/>
  <c r="C977" i="8" s="1"/>
  <c r="C1003" i="8" a="1"/>
  <c r="C1003" i="8" s="1"/>
  <c r="C1040" i="8" a="1"/>
  <c r="C1040" i="8" s="1"/>
  <c r="C1074" i="8" a="1"/>
  <c r="C1074" i="8" s="1"/>
  <c r="C1095" i="8" a="1"/>
  <c r="C1095" i="8" s="1"/>
  <c r="C1122" i="8" a="1"/>
  <c r="C1122" i="8" s="1"/>
  <c r="C1157" i="8" a="1"/>
  <c r="C1157" i="8" s="1"/>
  <c r="C1183" i="8" a="1"/>
  <c r="C1183" i="8" s="1"/>
  <c r="C960" i="8" a="1"/>
  <c r="C960" i="8" s="1"/>
  <c r="C961" i="8" a="1"/>
  <c r="C961" i="8" s="1"/>
  <c r="C967" i="8" a="1"/>
  <c r="C967" i="8" s="1"/>
  <c r="C966" i="8" a="1"/>
  <c r="C966" i="8" s="1"/>
  <c r="C962" i="8" a="1"/>
  <c r="C962" i="8" s="1"/>
  <c r="C963" i="8" a="1"/>
  <c r="C963" i="8" s="1"/>
  <c r="C1209" i="8" a="1"/>
  <c r="C1209" i="8" s="1"/>
  <c r="C1251" i="8" a="1"/>
  <c r="C1251" i="8" s="1"/>
  <c r="C1291" i="8" a="1"/>
  <c r="C1291" i="8" s="1"/>
  <c r="C1335" i="8" a="1"/>
  <c r="C1335" i="8" s="1"/>
  <c r="C1370" i="8" a="1"/>
  <c r="C1370" i="8" s="1"/>
  <c r="C964" i="8" a="1"/>
  <c r="C964" i="8" s="1"/>
  <c r="C965" i="8" a="1"/>
  <c r="C965" i="8" s="1"/>
  <c r="C976" i="8" a="1"/>
  <c r="C976" i="8" s="1"/>
  <c r="C969" i="8" a="1"/>
  <c r="C969" i="8" s="1"/>
  <c r="C968" i="8" a="1"/>
  <c r="C968" i="8" s="1"/>
  <c r="C970" i="8" a="1"/>
  <c r="C970" i="8" s="1"/>
  <c r="C983" i="8" a="1"/>
  <c r="C983" i="8" s="1"/>
  <c r="C974" i="8" a="1"/>
  <c r="C974" i="8" s="1"/>
  <c r="C978" i="8" a="1"/>
  <c r="C978" i="8" s="1"/>
  <c r="C987" i="8" a="1"/>
  <c r="C987" i="8" s="1"/>
  <c r="C988" i="8" a="1"/>
  <c r="C988" i="8" s="1"/>
  <c r="C1032" i="8" a="1"/>
  <c r="C1032" i="8" s="1"/>
  <c r="C1033" i="8" a="1"/>
  <c r="C1033" i="8" s="1"/>
  <c r="C984" i="8" a="1"/>
  <c r="C984" i="8" s="1"/>
  <c r="C1007" i="8" a="1"/>
  <c r="C1007" i="8" s="1"/>
  <c r="C1035" i="8" a="1"/>
  <c r="C1035" i="8" s="1"/>
  <c r="C982" i="8" a="1"/>
  <c r="C982" i="8" s="1"/>
  <c r="C1006" i="8" a="1"/>
  <c r="C1006" i="8" s="1"/>
  <c r="C1038" i="8" a="1"/>
  <c r="C1038" i="8" s="1"/>
  <c r="C979" i="8" a="1"/>
  <c r="C979" i="8" s="1"/>
  <c r="C973" i="8" a="1"/>
  <c r="C973" i="8" s="1"/>
  <c r="C981" i="8" a="1"/>
  <c r="C981" i="8" s="1"/>
  <c r="C980" i="8" a="1"/>
  <c r="C980" i="8" s="1"/>
  <c r="C975" i="8" a="1"/>
  <c r="C975" i="8" s="1"/>
  <c r="C989" i="8" a="1"/>
  <c r="C989" i="8" s="1"/>
  <c r="C1004" i="8" a="1"/>
  <c r="C1004" i="8" s="1"/>
  <c r="C997" i="8" a="1"/>
  <c r="C997" i="8" s="1"/>
  <c r="C1025" i="8" a="1"/>
  <c r="C1025" i="8" s="1"/>
  <c r="C1054" i="8" a="1"/>
  <c r="C1054" i="8" s="1"/>
  <c r="C1083" i="8" a="1"/>
  <c r="C1083" i="8" s="1"/>
  <c r="C1135" i="8" a="1"/>
  <c r="C1135" i="8" s="1"/>
  <c r="C1145" i="8" a="1"/>
  <c r="C1145" i="8" s="1"/>
  <c r="C1263" i="8" a="1"/>
  <c r="C1263" i="8" s="1"/>
  <c r="C1297" i="8" a="1"/>
  <c r="C1297" i="8" s="1"/>
  <c r="C1361" i="8" a="1"/>
  <c r="C1361" i="8" s="1"/>
  <c r="C1395" i="8" a="1"/>
  <c r="C1395" i="8" s="1"/>
  <c r="C1404" i="8" a="1"/>
  <c r="C1404" i="8" s="1"/>
  <c r="C1453" i="8" a="1"/>
  <c r="C1453" i="8" s="1"/>
  <c r="C1487" i="8" a="1"/>
  <c r="C1487" i="8" s="1"/>
  <c r="C1515" i="8" a="1"/>
  <c r="C1515" i="8" s="1"/>
  <c r="C1537" i="8" a="1"/>
  <c r="C1537" i="8" s="1"/>
  <c r="C996" i="8" a="1"/>
  <c r="C996" i="8" s="1"/>
  <c r="C1023" i="8" a="1"/>
  <c r="C1023" i="8" s="1"/>
  <c r="C1053" i="8" a="1"/>
  <c r="C1053" i="8" s="1"/>
  <c r="C1081" i="8" a="1"/>
  <c r="C1081" i="8" s="1"/>
  <c r="C1133" i="8" a="1"/>
  <c r="C1133" i="8" s="1"/>
  <c r="C1144" i="8" a="1"/>
  <c r="C1144" i="8" s="1"/>
  <c r="C1262" i="8" a="1"/>
  <c r="C1262" i="8" s="1"/>
  <c r="C1296" i="8" a="1"/>
  <c r="C1296" i="8" s="1"/>
  <c r="C1360" i="8" a="1"/>
  <c r="C1360" i="8" s="1"/>
  <c r="C1393" i="8" a="1"/>
  <c r="C1393" i="8" s="1"/>
  <c r="C1425" i="8" a="1"/>
  <c r="C1425" i="8" s="1"/>
  <c r="C1486" i="8" a="1"/>
  <c r="C1486" i="8" s="1"/>
  <c r="C1513" i="8" a="1"/>
  <c r="C1513" i="8" s="1"/>
  <c r="C1584" i="8" a="1"/>
  <c r="C1584" i="8" s="1"/>
  <c r="C992" i="8" a="1"/>
  <c r="C992" i="8" s="1"/>
  <c r="C993" i="8" a="1"/>
  <c r="C993" i="8" s="1"/>
  <c r="C991" i="8" a="1"/>
  <c r="C991" i="8" s="1"/>
  <c r="C994" i="8" a="1"/>
  <c r="C994" i="8" s="1"/>
  <c r="C995" i="8" a="1"/>
  <c r="C995" i="8" s="1"/>
  <c r="C1011" i="8" a="1"/>
  <c r="C1011" i="8" s="1"/>
  <c r="C1001" i="8" a="1"/>
  <c r="C1001" i="8" s="1"/>
  <c r="C1000" i="8" a="1"/>
  <c r="C1000" i="8" s="1"/>
  <c r="C999" i="8" a="1"/>
  <c r="C999" i="8" s="1"/>
  <c r="C998" i="8" a="1"/>
  <c r="C998" i="8" s="1"/>
  <c r="C1010" i="8" a="1"/>
  <c r="C1010" i="8" s="1"/>
  <c r="C1014" i="8" a="1"/>
  <c r="C1014" i="8" s="1"/>
  <c r="C1015" i="8" a="1"/>
  <c r="C1015" i="8" s="1"/>
  <c r="C1193" i="8" a="1"/>
  <c r="C1193" i="8" s="1"/>
  <c r="C1194" i="8" a="1"/>
  <c r="C1194" i="8" s="1"/>
  <c r="C1238" i="8" a="1"/>
  <c r="C1238" i="8" s="1"/>
  <c r="C1241" i="8" a="1"/>
  <c r="C1241" i="8" s="1"/>
  <c r="C1257" i="8" a="1"/>
  <c r="C1257" i="8" s="1"/>
  <c r="C1258" i="8" a="1"/>
  <c r="C1258" i="8" s="1"/>
  <c r="C1295" i="8" a="1"/>
  <c r="C1295" i="8" s="1"/>
  <c r="C1298" i="8" a="1"/>
  <c r="C1298" i="8" s="1"/>
  <c r="C919" i="8" a="1"/>
  <c r="C919" i="8" s="1"/>
  <c r="C1334" i="8" a="1"/>
  <c r="C1334" i="8" s="1"/>
  <c r="C1359" i="8" a="1"/>
  <c r="C1359" i="8" s="1"/>
  <c r="C1362" i="8" a="1"/>
  <c r="C1362" i="8" s="1"/>
  <c r="C1580" i="8" a="1"/>
  <c r="C1580" i="8" s="1"/>
  <c r="C1581" i="8" a="1"/>
  <c r="C1581" i="8" s="1"/>
  <c r="C1617" i="8" a="1"/>
  <c r="C1617" i="8" s="1"/>
  <c r="C1618" i="8" a="1"/>
  <c r="C1618" i="8" s="1"/>
  <c r="C1643" i="8" a="1"/>
  <c r="C1643" i="8" s="1"/>
  <c r="C1645" i="8" a="1"/>
  <c r="C1645" i="8" s="1"/>
  <c r="C1689" i="8" a="1"/>
  <c r="C1689" i="8" s="1"/>
  <c r="C1688" i="8" a="1"/>
  <c r="C1688" i="8" s="1"/>
  <c r="C1725" i="8" a="1"/>
  <c r="C1725" i="8" s="1"/>
  <c r="C1726" i="8" a="1"/>
  <c r="C1726" i="8" s="1"/>
  <c r="C1756" i="8" a="1"/>
  <c r="C1756" i="8" s="1"/>
  <c r="C1757" i="8" a="1"/>
  <c r="C1757" i="8" s="1"/>
  <c r="C1788" i="8" a="1"/>
  <c r="C1788" i="8" s="1"/>
  <c r="C1002" i="8" a="1"/>
  <c r="C1002" i="8" s="1"/>
  <c r="C1013" i="8" a="1"/>
  <c r="C1013" i="8" s="1"/>
  <c r="C1020" i="8" a="1"/>
  <c r="C1020" i="8" s="1"/>
  <c r="C1019" i="8" a="1"/>
  <c r="C1019" i="8" s="1"/>
  <c r="C1024" i="8" a="1"/>
  <c r="C1024" i="8" s="1"/>
  <c r="C1084" i="8" a="1"/>
  <c r="C1084" i="8" s="1"/>
  <c r="C1027" i="8" a="1"/>
  <c r="C1027" i="8" s="1"/>
  <c r="C1021" i="8" a="1"/>
  <c r="C1021" i="8" s="1"/>
  <c r="C1022" i="8" a="1"/>
  <c r="C1022" i="8" s="1"/>
  <c r="C1026" i="8" a="1"/>
  <c r="C1026" i="8" s="1"/>
  <c r="C1047" i="8" a="1"/>
  <c r="C1047" i="8" s="1"/>
  <c r="C1051" i="8" a="1"/>
  <c r="C1051" i="8" s="1"/>
  <c r="C1078" i="8" a="1"/>
  <c r="C1078" i="8" s="1"/>
  <c r="C1113" i="8" a="1"/>
  <c r="C1113" i="8" s="1"/>
  <c r="C1143" i="8" a="1"/>
  <c r="C1143" i="8" s="1"/>
  <c r="C1175" i="8" a="1"/>
  <c r="C1175" i="8" s="1"/>
  <c r="C1246" i="8" a="1"/>
  <c r="C1246" i="8" s="1"/>
  <c r="C1272" i="8" a="1"/>
  <c r="C1272" i="8" s="1"/>
  <c r="C1305" i="8" a="1"/>
  <c r="C1305" i="8" s="1"/>
  <c r="C1344" i="8" a="1"/>
  <c r="C1344" i="8" s="1"/>
  <c r="C1390" i="8" a="1"/>
  <c r="C1390" i="8" s="1"/>
  <c r="C2076" i="8" a="1"/>
  <c r="C2076" i="8" s="1"/>
  <c r="F545" i="8"/>
  <c r="F571" i="8"/>
  <c r="F547" i="8"/>
  <c r="F548" i="8"/>
  <c r="F550" i="8"/>
  <c r="F549" i="8"/>
  <c r="F556" i="8"/>
  <c r="F554" i="8"/>
  <c r="F566" i="8"/>
  <c r="F577" i="8"/>
  <c r="F553" i="8"/>
  <c r="F558" i="8"/>
  <c r="F555" i="8"/>
  <c r="F559" i="8"/>
  <c r="F557" i="8"/>
  <c r="F562" i="8"/>
  <c r="F565" i="8"/>
  <c r="F568" i="8"/>
  <c r="F567" i="8"/>
  <c r="F606" i="8"/>
  <c r="F605" i="8"/>
  <c r="F620" i="8"/>
  <c r="F621" i="8"/>
  <c r="F665" i="8"/>
  <c r="F661" i="8"/>
  <c r="F560" i="8"/>
  <c r="F594" i="8"/>
  <c r="F623" i="8"/>
  <c r="F563" i="8"/>
  <c r="F561" i="8"/>
  <c r="F564" i="8"/>
  <c r="F595" i="8"/>
  <c r="F625" i="8"/>
  <c r="F570" i="8"/>
  <c r="F569" i="8"/>
  <c r="F572" i="8"/>
  <c r="F573" i="8"/>
  <c r="F576" i="8"/>
  <c r="F575" i="8"/>
  <c r="F574" i="8"/>
  <c r="F578" i="8"/>
  <c r="F591" i="8"/>
  <c r="F579" i="8"/>
  <c r="F580" i="8"/>
  <c r="F582" i="8"/>
  <c r="F581" i="8"/>
  <c r="F585" i="8"/>
  <c r="F583" i="8"/>
  <c r="F584" i="8"/>
  <c r="F587" i="8"/>
  <c r="F597" i="8"/>
  <c r="F588" i="8"/>
  <c r="F589" i="8"/>
  <c r="F590" i="8"/>
  <c r="F593" i="8"/>
  <c r="F592" i="8"/>
  <c r="F683" i="8"/>
  <c r="F619" i="8"/>
  <c r="F596" i="8"/>
  <c r="F600" i="8"/>
  <c r="F598" i="8"/>
  <c r="F599" i="8"/>
  <c r="F609" i="8"/>
  <c r="F602" i="8"/>
  <c r="F603" i="8"/>
  <c r="F604" i="8"/>
  <c r="F601" i="8"/>
  <c r="F608" i="8"/>
  <c r="F607" i="8"/>
  <c r="F610" i="8"/>
  <c r="F611" i="8"/>
  <c r="F612" i="8"/>
  <c r="F614" i="8"/>
  <c r="F615" i="8"/>
  <c r="F613" i="8"/>
  <c r="F617" i="8"/>
  <c r="F616" i="8"/>
  <c r="F655" i="8"/>
  <c r="F654" i="8"/>
  <c r="F682" i="8"/>
  <c r="F681" i="8"/>
  <c r="F714" i="8"/>
  <c r="F713" i="8"/>
  <c r="F748" i="8"/>
  <c r="F747" i="8"/>
  <c r="F785" i="8"/>
  <c r="F782" i="8"/>
  <c r="F815" i="8"/>
  <c r="F811" i="8"/>
  <c r="F618" i="8"/>
  <c r="F627" i="8"/>
  <c r="F628" i="8"/>
  <c r="F629" i="8"/>
  <c r="F626" i="8"/>
  <c r="F622" i="8"/>
  <c r="F624" i="8"/>
  <c r="F633" i="8"/>
  <c r="F630" i="8"/>
  <c r="F631" i="8"/>
  <c r="F634" i="8"/>
  <c r="F632" i="8"/>
  <c r="F635" i="8"/>
  <c r="F636" i="8"/>
  <c r="F650" i="8"/>
  <c r="F656" i="8"/>
  <c r="F659" i="8"/>
  <c r="F638" i="8"/>
  <c r="F637" i="8"/>
  <c r="F640" i="8"/>
  <c r="F641" i="8"/>
  <c r="F642" i="8"/>
  <c r="F639" i="8"/>
  <c r="F646" i="8"/>
  <c r="F668" i="8"/>
  <c r="F667" i="8"/>
  <c r="F652" i="8"/>
  <c r="F651" i="8"/>
  <c r="F645" i="8"/>
  <c r="F644" i="8"/>
  <c r="F648" i="8"/>
  <c r="F643" i="8"/>
  <c r="F647" i="8"/>
  <c r="F649" i="8"/>
  <c r="F664" i="8"/>
  <c r="F658" i="8"/>
  <c r="F653" i="8"/>
  <c r="F657" i="8"/>
  <c r="F660" i="8"/>
  <c r="F662" i="8"/>
  <c r="F663" i="8"/>
  <c r="F684" i="8"/>
  <c r="F716" i="8"/>
  <c r="F763" i="8"/>
  <c r="F814" i="8"/>
  <c r="F666" i="8"/>
  <c r="F669" i="8"/>
  <c r="F674" i="8"/>
  <c r="F672" i="8"/>
  <c r="F671" i="8"/>
  <c r="F677" i="8"/>
  <c r="F675" i="8"/>
  <c r="F676" i="8"/>
  <c r="F673" i="8"/>
  <c r="F679" i="8"/>
  <c r="F680" i="8"/>
  <c r="F678" i="8"/>
  <c r="F670" i="8"/>
  <c r="F685" i="8"/>
  <c r="F690" i="8"/>
  <c r="F691" i="8"/>
  <c r="F686" i="8"/>
  <c r="F692" i="8"/>
  <c r="F696" i="8"/>
  <c r="F687" i="8"/>
  <c r="F688" i="8"/>
  <c r="F689" i="8"/>
  <c r="F693" i="8"/>
  <c r="F695" i="8"/>
  <c r="F698" i="8"/>
  <c r="F700" i="8"/>
  <c r="F703" i="8"/>
  <c r="F701" i="8"/>
  <c r="F699" i="8"/>
  <c r="F846" i="8"/>
  <c r="F874" i="8"/>
  <c r="F904" i="8"/>
  <c r="F941" i="8"/>
  <c r="F702" i="8"/>
  <c r="F697" i="8"/>
  <c r="F704" i="8"/>
  <c r="F706" i="8"/>
  <c r="F705" i="8"/>
  <c r="F709" i="8"/>
  <c r="F710" i="8"/>
  <c r="F708" i="8"/>
  <c r="F736" i="8"/>
  <c r="F760" i="8"/>
  <c r="F797" i="8"/>
  <c r="F707" i="8"/>
  <c r="F722" i="8"/>
  <c r="F727" i="8"/>
  <c r="F728" i="8"/>
  <c r="F711" i="8"/>
  <c r="F718" i="8"/>
  <c r="F723" i="8"/>
  <c r="F717" i="8"/>
  <c r="F712" i="8"/>
  <c r="F715" i="8"/>
  <c r="F720" i="8"/>
  <c r="F725" i="8"/>
  <c r="F726" i="8"/>
  <c r="F719" i="8"/>
  <c r="F721" i="8"/>
  <c r="F724" i="8"/>
  <c r="F731" i="8"/>
  <c r="F729" i="8"/>
  <c r="F732" i="8"/>
  <c r="F730" i="8"/>
  <c r="F733" i="8"/>
  <c r="F734" i="8"/>
  <c r="F735" i="8"/>
  <c r="F737" i="8"/>
  <c r="F738" i="8"/>
  <c r="F739" i="8"/>
  <c r="F750" i="8"/>
  <c r="F744" i="8"/>
  <c r="F742" i="8"/>
  <c r="F741" i="8"/>
  <c r="F743" i="8"/>
  <c r="F764" i="8"/>
  <c r="F740" i="8"/>
  <c r="F746" i="8"/>
  <c r="F745" i="8"/>
  <c r="F749" i="8"/>
  <c r="F751" i="8"/>
  <c r="F752" i="8"/>
  <c r="F757" i="8"/>
  <c r="F824" i="8"/>
  <c r="F825" i="8"/>
  <c r="F827" i="8"/>
  <c r="F758" i="8"/>
  <c r="F755" i="8"/>
  <c r="F756" i="8"/>
  <c r="F759" i="8"/>
  <c r="F754" i="8"/>
  <c r="F753" i="8"/>
  <c r="F790" i="8"/>
  <c r="F762" i="8"/>
  <c r="F761" i="8"/>
  <c r="F766" i="8"/>
  <c r="F765" i="8"/>
  <c r="F775" i="8"/>
  <c r="F769" i="8"/>
  <c r="F768" i="8"/>
  <c r="F830" i="8"/>
  <c r="F767" i="8"/>
  <c r="F770" i="8"/>
  <c r="F795" i="8"/>
  <c r="F771" i="8"/>
  <c r="F772" i="8"/>
  <c r="F776" i="8"/>
  <c r="F781" i="8"/>
  <c r="F1043" i="8"/>
  <c r="F1005" i="8"/>
  <c r="F972" i="8"/>
  <c r="F942" i="8"/>
  <c r="F905" i="8"/>
  <c r="F777" i="8"/>
  <c r="F867" i="8"/>
  <c r="F805" i="8"/>
  <c r="F773" i="8"/>
  <c r="F774" i="8"/>
  <c r="F778" i="8"/>
  <c r="F780" i="8"/>
  <c r="F779" i="8"/>
  <c r="F784" i="8"/>
  <c r="F783" i="8"/>
  <c r="F791" i="8"/>
  <c r="F788" i="8"/>
  <c r="F787" i="8"/>
  <c r="F789" i="8"/>
  <c r="F786" i="8"/>
  <c r="F820" i="8"/>
  <c r="F821" i="8"/>
  <c r="F850" i="8"/>
  <c r="F851" i="8"/>
  <c r="F886" i="8"/>
  <c r="F884" i="8"/>
  <c r="F793" i="8"/>
  <c r="F792" i="8"/>
  <c r="F798" i="8"/>
  <c r="F796" i="8"/>
  <c r="F794" i="8"/>
  <c r="F799" i="8"/>
  <c r="F800" i="8"/>
  <c r="F802" i="8"/>
  <c r="F801" i="8"/>
  <c r="F803" i="8"/>
  <c r="F826" i="8"/>
  <c r="F860" i="8"/>
  <c r="F890" i="8"/>
  <c r="F923" i="8"/>
  <c r="F807" i="8"/>
  <c r="F842" i="8"/>
  <c r="F810" i="8"/>
  <c r="F841" i="8"/>
  <c r="F809" i="8"/>
  <c r="F804" i="8"/>
  <c r="F806" i="8"/>
  <c r="F808" i="8"/>
  <c r="F812" i="8"/>
  <c r="F816" i="8"/>
  <c r="F831" i="8"/>
  <c r="F813" i="8"/>
  <c r="F818" i="8"/>
  <c r="F817" i="8"/>
  <c r="F823" i="8"/>
  <c r="F822" i="8"/>
  <c r="F819" i="8"/>
  <c r="F829" i="8"/>
  <c r="F828" i="8"/>
  <c r="F833" i="8"/>
  <c r="F835" i="8"/>
  <c r="F832" i="8"/>
  <c r="F834" i="8"/>
  <c r="F837" i="8"/>
  <c r="F836" i="8"/>
  <c r="F839" i="8"/>
  <c r="F838" i="8"/>
  <c r="F844" i="8"/>
  <c r="F840" i="8"/>
  <c r="F843" i="8"/>
  <c r="F858" i="8"/>
  <c r="F847" i="8"/>
  <c r="F845" i="8"/>
  <c r="F911" i="8"/>
  <c r="F910" i="8"/>
  <c r="F938" i="8"/>
  <c r="F940" i="8"/>
  <c r="F848" i="8"/>
  <c r="F853" i="8"/>
  <c r="F852" i="8"/>
  <c r="F849" i="8"/>
  <c r="F855" i="8"/>
  <c r="F856" i="8"/>
  <c r="F854" i="8"/>
  <c r="F859" i="8"/>
  <c r="F861" i="8"/>
  <c r="F857" i="8"/>
  <c r="F862" i="8"/>
  <c r="F863" i="8"/>
  <c r="F864" i="8"/>
  <c r="F865" i="8"/>
  <c r="F866" i="8"/>
  <c r="F871" i="8"/>
  <c r="F882" i="8"/>
  <c r="F885" i="8"/>
  <c r="F914" i="8"/>
  <c r="F917" i="8"/>
  <c r="F872" i="8"/>
  <c r="F869" i="8"/>
  <c r="F873" i="8"/>
  <c r="F870" i="8"/>
  <c r="F868" i="8"/>
  <c r="F880" i="8"/>
  <c r="F877" i="8"/>
  <c r="F879" i="8"/>
  <c r="F878" i="8"/>
  <c r="F889" i="8"/>
  <c r="F875" i="8"/>
  <c r="F876" i="8"/>
  <c r="F895" i="8"/>
  <c r="F901" i="8"/>
  <c r="F912" i="8"/>
  <c r="F883" i="8"/>
  <c r="F907" i="8"/>
  <c r="F935" i="8"/>
  <c r="F881" i="8"/>
  <c r="F906" i="8"/>
  <c r="F888" i="8"/>
  <c r="F694" i="8"/>
  <c r="F887" i="8"/>
  <c r="F971" i="8"/>
  <c r="F894" i="8"/>
  <c r="F893" i="8"/>
  <c r="F891" i="8"/>
  <c r="F892" i="8"/>
  <c r="F897" i="8"/>
  <c r="F896" i="8"/>
  <c r="F898" i="8"/>
  <c r="F900" i="8"/>
  <c r="F899" i="8"/>
  <c r="F903" i="8"/>
  <c r="F902" i="8"/>
  <c r="F908" i="8"/>
  <c r="F930" i="8"/>
  <c r="F915" i="8"/>
  <c r="F916" i="8"/>
  <c r="F909" i="8"/>
  <c r="F918" i="8"/>
  <c r="F921" i="8"/>
  <c r="F920" i="8"/>
  <c r="F913" i="8"/>
  <c r="F922" i="8"/>
  <c r="F933" i="8"/>
  <c r="F934" i="8"/>
  <c r="F925" i="8"/>
  <c r="F924" i="8"/>
  <c r="F931" i="8"/>
  <c r="F929" i="8"/>
  <c r="F926" i="8"/>
  <c r="F957" i="8"/>
  <c r="F927" i="8"/>
  <c r="F932" i="8"/>
  <c r="F928" i="8"/>
  <c r="F936" i="8"/>
  <c r="F937" i="8"/>
  <c r="F959" i="8"/>
  <c r="F990" i="8"/>
  <c r="F1018" i="8"/>
  <c r="F939" i="8"/>
  <c r="F950" i="8"/>
  <c r="F946" i="8"/>
  <c r="F947" i="8"/>
  <c r="F945" i="8"/>
  <c r="F943" i="8"/>
  <c r="F944" i="8"/>
  <c r="F985" i="8"/>
  <c r="F986" i="8"/>
  <c r="F1009" i="8"/>
  <c r="F1008" i="8"/>
  <c r="F951" i="8"/>
  <c r="F953" i="8"/>
  <c r="F955" i="8"/>
  <c r="F952" i="8"/>
  <c r="F1012" i="8"/>
  <c r="F1017" i="8"/>
  <c r="F1016" i="8"/>
  <c r="F954" i="8"/>
  <c r="F956" i="8"/>
  <c r="F949" i="8"/>
  <c r="F948" i="8"/>
  <c r="F958" i="8"/>
  <c r="F977" i="8"/>
  <c r="F1003" i="8"/>
  <c r="F1040" i="8"/>
  <c r="F1074" i="8"/>
  <c r="F1095" i="8"/>
  <c r="F1122" i="8"/>
  <c r="F1157" i="8"/>
  <c r="F1183" i="8"/>
  <c r="F960" i="8"/>
  <c r="F961" i="8"/>
  <c r="F967" i="8"/>
  <c r="F966" i="8"/>
  <c r="F962" i="8"/>
  <c r="F963" i="8"/>
  <c r="F1209" i="8"/>
  <c r="F1251" i="8"/>
  <c r="F1291" i="8"/>
  <c r="F1335" i="8"/>
  <c r="F1370" i="8"/>
  <c r="F964" i="8"/>
  <c r="F965" i="8"/>
  <c r="F976" i="8"/>
  <c r="F969" i="8"/>
  <c r="F968" i="8"/>
  <c r="F970" i="8"/>
  <c r="F983" i="8"/>
  <c r="F974" i="8"/>
  <c r="F978" i="8"/>
  <c r="F987" i="8"/>
  <c r="F988" i="8"/>
  <c r="F1032" i="8"/>
  <c r="F1033" i="8"/>
  <c r="F984" i="8"/>
  <c r="F1007" i="8"/>
  <c r="F1035" i="8"/>
  <c r="F982" i="8"/>
  <c r="F1006" i="8"/>
  <c r="F1038" i="8"/>
  <c r="F979" i="8"/>
  <c r="F973" i="8"/>
  <c r="F981" i="8"/>
  <c r="F980" i="8"/>
  <c r="F975" i="8"/>
  <c r="F989" i="8"/>
  <c r="F1004" i="8"/>
  <c r="F997" i="8"/>
  <c r="F1025" i="8"/>
  <c r="F1054" i="8"/>
  <c r="F1083" i="8"/>
  <c r="F1135" i="8"/>
  <c r="F1145" i="8"/>
  <c r="F1263" i="8"/>
  <c r="F1297" i="8"/>
  <c r="F1361" i="8"/>
  <c r="F1395" i="8"/>
  <c r="F1404" i="8"/>
  <c r="F1453" i="8"/>
  <c r="F1487" i="8"/>
  <c r="F1515" i="8"/>
  <c r="F1537" i="8"/>
  <c r="F996" i="8"/>
  <c r="F1023" i="8"/>
  <c r="F1053" i="8"/>
  <c r="F1081" i="8"/>
  <c r="F1133" i="8"/>
  <c r="F1144" i="8"/>
  <c r="F1262" i="8"/>
  <c r="F1296" i="8"/>
  <c r="F1360" i="8"/>
  <c r="F1393" i="8"/>
  <c r="F1425" i="8"/>
  <c r="F1486" i="8"/>
  <c r="F1513" i="8"/>
  <c r="F1584" i="8"/>
  <c r="F992" i="8"/>
  <c r="F993" i="8"/>
  <c r="F991" i="8"/>
  <c r="F994" i="8"/>
  <c r="F995" i="8"/>
  <c r="F1011" i="8"/>
  <c r="F1001" i="8"/>
  <c r="F1000" i="8"/>
  <c r="F999" i="8"/>
  <c r="F998" i="8"/>
  <c r="F1010" i="8"/>
  <c r="F1014" i="8"/>
  <c r="F1015" i="8"/>
  <c r="F1193" i="8"/>
  <c r="F1194" i="8"/>
  <c r="F1238" i="8"/>
  <c r="F1241" i="8"/>
  <c r="F1257" i="8"/>
  <c r="F1258" i="8"/>
  <c r="F1295" i="8"/>
  <c r="F1298" i="8"/>
  <c r="F919" i="8"/>
  <c r="F1334" i="8"/>
  <c r="F1359" i="8"/>
  <c r="F1362" i="8"/>
  <c r="F1580" i="8"/>
  <c r="F1581" i="8"/>
  <c r="F1617" i="8"/>
  <c r="F1618" i="8"/>
  <c r="F1643" i="8"/>
  <c r="F1645" i="8"/>
  <c r="F1689" i="8"/>
  <c r="F1688" i="8"/>
  <c r="F1725" i="8"/>
  <c r="F1726" i="8"/>
  <c r="F1756" i="8"/>
  <c r="F1757" i="8"/>
  <c r="F1788" i="8"/>
  <c r="F1002" i="8"/>
  <c r="F1013" i="8"/>
  <c r="F1020" i="8"/>
  <c r="F1019" i="8"/>
  <c r="F1024" i="8"/>
  <c r="F1084" i="8"/>
  <c r="F1027" i="8"/>
  <c r="F1021" i="8"/>
  <c r="F1022" i="8"/>
  <c r="F1026" i="8"/>
  <c r="F1047" i="8"/>
  <c r="F1051" i="8"/>
  <c r="F1078" i="8"/>
  <c r="F1113" i="8"/>
  <c r="F1143" i="8"/>
  <c r="F1175" i="8"/>
  <c r="F1246" i="8"/>
  <c r="F1272" i="8"/>
  <c r="F1305" i="8"/>
  <c r="F1344" i="8"/>
  <c r="F1390" i="8"/>
  <c r="F2076" i="8"/>
  <c r="G545" i="8"/>
  <c r="I545" i="8" s="1"/>
  <c r="G571" i="8"/>
  <c r="H571" i="8" s="1"/>
  <c r="G547" i="8"/>
  <c r="J547" i="8" s="1"/>
  <c r="G548" i="8"/>
  <c r="G550" i="8"/>
  <c r="H550" i="8" s="1"/>
  <c r="G549" i="8"/>
  <c r="J549" i="8" s="1"/>
  <c r="G556" i="8"/>
  <c r="J556" i="8" s="1"/>
  <c r="G554" i="8"/>
  <c r="J554" i="8" s="1"/>
  <c r="G566" i="8"/>
  <c r="I566" i="8" s="1"/>
  <c r="G577" i="8"/>
  <c r="I577" i="8" s="1"/>
  <c r="G553" i="8"/>
  <c r="J553" i="8" s="1"/>
  <c r="G558" i="8"/>
  <c r="G555" i="8"/>
  <c r="G559" i="8"/>
  <c r="H559" i="8" s="1"/>
  <c r="G557" i="8"/>
  <c r="I557" i="8" s="1"/>
  <c r="G562" i="8"/>
  <c r="I562" i="8" s="1"/>
  <c r="G565" i="8"/>
  <c r="G568" i="8"/>
  <c r="I568" i="8" s="1"/>
  <c r="G567" i="8"/>
  <c r="J567" i="8" s="1"/>
  <c r="G606" i="8"/>
  <c r="G605" i="8"/>
  <c r="J605" i="8" s="1"/>
  <c r="G620" i="8"/>
  <c r="J620" i="8" s="1"/>
  <c r="G621" i="8"/>
  <c r="I621" i="8" s="1"/>
  <c r="G665" i="8"/>
  <c r="J665" i="8" s="1"/>
  <c r="G661" i="8"/>
  <c r="I661" i="8" s="1"/>
  <c r="G560" i="8"/>
  <c r="H560" i="8" s="1"/>
  <c r="G594" i="8"/>
  <c r="G623" i="8"/>
  <c r="G563" i="8"/>
  <c r="J563" i="8" s="1"/>
  <c r="G561" i="8"/>
  <c r="H561" i="8" s="1"/>
  <c r="G564" i="8"/>
  <c r="I564" i="8" s="1"/>
  <c r="G595" i="8"/>
  <c r="I595" i="8" s="1"/>
  <c r="G625" i="8"/>
  <c r="I625" i="8" s="1"/>
  <c r="G570" i="8"/>
  <c r="H570" i="8" s="1"/>
  <c r="G569" i="8"/>
  <c r="J569" i="8" s="1"/>
  <c r="G572" i="8"/>
  <c r="G573" i="8"/>
  <c r="G576" i="8"/>
  <c r="J576" i="8" s="1"/>
  <c r="G575" i="8"/>
  <c r="J575" i="8" s="1"/>
  <c r="G574" i="8"/>
  <c r="H574" i="8" s="1"/>
  <c r="G578" i="8"/>
  <c r="I578" i="8" s="1"/>
  <c r="G591" i="8"/>
  <c r="J591" i="8" s="1"/>
  <c r="G579" i="8"/>
  <c r="G580" i="8"/>
  <c r="H580" i="8" s="1"/>
  <c r="G582" i="8"/>
  <c r="H582" i="8" s="1"/>
  <c r="G581" i="8"/>
  <c r="I581" i="8" s="1"/>
  <c r="G585" i="8"/>
  <c r="I585" i="8" s="1"/>
  <c r="G583" i="8"/>
  <c r="I583" i="8" s="1"/>
  <c r="G584" i="8"/>
  <c r="G587" i="8"/>
  <c r="I587" i="8" s="1"/>
  <c r="G597" i="8"/>
  <c r="J597" i="8" s="1"/>
  <c r="G588" i="8"/>
  <c r="I588" i="8" s="1"/>
  <c r="G589" i="8"/>
  <c r="J589" i="8" s="1"/>
  <c r="G590" i="8"/>
  <c r="H590" i="8" s="1"/>
  <c r="G593" i="8"/>
  <c r="H593" i="8" s="1"/>
  <c r="G592" i="8"/>
  <c r="H592" i="8" s="1"/>
  <c r="G683" i="8"/>
  <c r="I683" i="8" s="1"/>
  <c r="G619" i="8"/>
  <c r="I619" i="8" s="1"/>
  <c r="G596" i="8"/>
  <c r="J596" i="8" s="1"/>
  <c r="G600" i="8"/>
  <c r="J600" i="8" s="1"/>
  <c r="G598" i="8"/>
  <c r="G599" i="8"/>
  <c r="J599" i="8" s="1"/>
  <c r="G609" i="8"/>
  <c r="J609" i="8" s="1"/>
  <c r="G602" i="8"/>
  <c r="J602" i="8" s="1"/>
  <c r="G603" i="8"/>
  <c r="I603" i="8" s="1"/>
  <c r="G604" i="8"/>
  <c r="H604" i="8" s="1"/>
  <c r="G601" i="8"/>
  <c r="J601" i="8" s="1"/>
  <c r="G608" i="8"/>
  <c r="G607" i="8"/>
  <c r="H607" i="8" s="1"/>
  <c r="G610" i="8"/>
  <c r="I610" i="8" s="1"/>
  <c r="G611" i="8"/>
  <c r="I611" i="8" s="1"/>
  <c r="G612" i="8"/>
  <c r="H612" i="8" s="1"/>
  <c r="G614" i="8"/>
  <c r="I614" i="8" s="1"/>
  <c r="G615" i="8"/>
  <c r="J615" i="8" s="1"/>
  <c r="G613" i="8"/>
  <c r="J613" i="8" s="1"/>
  <c r="G617" i="8"/>
  <c r="I617" i="8" s="1"/>
  <c r="G616" i="8"/>
  <c r="H616" i="8" s="1"/>
  <c r="G655" i="8"/>
  <c r="H655" i="8" s="1"/>
  <c r="G654" i="8"/>
  <c r="H654" i="8" s="1"/>
  <c r="G682" i="8"/>
  <c r="I682" i="8" s="1"/>
  <c r="G681" i="8"/>
  <c r="G714" i="8"/>
  <c r="I714" i="8" s="1"/>
  <c r="G713" i="8"/>
  <c r="J713" i="8" s="1"/>
  <c r="G748" i="8"/>
  <c r="I748" i="8" s="1"/>
  <c r="G747" i="8"/>
  <c r="I747" i="8" s="1"/>
  <c r="G785" i="8"/>
  <c r="H785" i="8" s="1"/>
  <c r="G782" i="8"/>
  <c r="H782" i="8" s="1"/>
  <c r="G815" i="8"/>
  <c r="H815" i="8" s="1"/>
  <c r="G811" i="8"/>
  <c r="I811" i="8" s="1"/>
  <c r="G618" i="8"/>
  <c r="H618" i="8" s="1"/>
  <c r="G627" i="8"/>
  <c r="G628" i="8"/>
  <c r="G629" i="8"/>
  <c r="J629" i="8" s="1"/>
  <c r="G626" i="8"/>
  <c r="I626" i="8" s="1"/>
  <c r="G622" i="8"/>
  <c r="H622" i="8" s="1"/>
  <c r="G624" i="8"/>
  <c r="I624" i="8" s="1"/>
  <c r="G633" i="8"/>
  <c r="I633" i="8" s="1"/>
  <c r="G630" i="8"/>
  <c r="H630" i="8" s="1"/>
  <c r="G631" i="8"/>
  <c r="J631" i="8" s="1"/>
  <c r="G634" i="8"/>
  <c r="G632" i="8"/>
  <c r="I632" i="8" s="1"/>
  <c r="G635" i="8"/>
  <c r="H635" i="8" s="1"/>
  <c r="G636" i="8"/>
  <c r="H636" i="8" s="1"/>
  <c r="G650" i="8"/>
  <c r="I650" i="8" s="1"/>
  <c r="G656" i="8"/>
  <c r="I656" i="8" s="1"/>
  <c r="G659" i="8"/>
  <c r="I659" i="8" s="1"/>
  <c r="G638" i="8"/>
  <c r="G637" i="8"/>
  <c r="I637" i="8" s="1"/>
  <c r="G640" i="8"/>
  <c r="G641" i="8"/>
  <c r="I641" i="8" s="1"/>
  <c r="G642" i="8"/>
  <c r="I642" i="8" s="1"/>
  <c r="G639" i="8"/>
  <c r="J639" i="8" s="1"/>
  <c r="G646" i="8"/>
  <c r="G668" i="8"/>
  <c r="J668" i="8" s="1"/>
  <c r="G667" i="8"/>
  <c r="J667" i="8" s="1"/>
  <c r="G652" i="8"/>
  <c r="I652" i="8" s="1"/>
  <c r="G651" i="8"/>
  <c r="H651" i="8" s="1"/>
  <c r="G645" i="8"/>
  <c r="H645" i="8" s="1"/>
  <c r="G644" i="8"/>
  <c r="H644" i="8" s="1"/>
  <c r="G648" i="8"/>
  <c r="H648" i="8" s="1"/>
  <c r="G643" i="8"/>
  <c r="I643" i="8" s="1"/>
  <c r="G647" i="8"/>
  <c r="H647" i="8" s="1"/>
  <c r="G649" i="8"/>
  <c r="J649" i="8" s="1"/>
  <c r="G664" i="8"/>
  <c r="G658" i="8"/>
  <c r="J658" i="8" s="1"/>
  <c r="G653" i="8"/>
  <c r="J653" i="8" s="1"/>
  <c r="G657" i="8"/>
  <c r="I657" i="8" s="1"/>
  <c r="G660" i="8"/>
  <c r="I660" i="8" s="1"/>
  <c r="G662" i="8"/>
  <c r="I662" i="8" s="1"/>
  <c r="G663" i="8"/>
  <c r="H663" i="8" s="1"/>
  <c r="G684" i="8"/>
  <c r="J684" i="8" s="1"/>
  <c r="G716" i="8"/>
  <c r="G763" i="8"/>
  <c r="G814" i="8"/>
  <c r="H814" i="8" s="1"/>
  <c r="G666" i="8"/>
  <c r="I666" i="8" s="1"/>
  <c r="G669" i="8"/>
  <c r="I669" i="8" s="1"/>
  <c r="G674" i="8"/>
  <c r="I674" i="8" s="1"/>
  <c r="G672" i="8"/>
  <c r="J672" i="8" s="1"/>
  <c r="G671" i="8"/>
  <c r="J671" i="8" s="1"/>
  <c r="G677" i="8"/>
  <c r="I677" i="8" s="1"/>
  <c r="G675" i="8"/>
  <c r="H675" i="8" s="1"/>
  <c r="G676" i="8"/>
  <c r="J676" i="8" s="1"/>
  <c r="G673" i="8"/>
  <c r="H673" i="8" s="1"/>
  <c r="G679" i="8"/>
  <c r="H679" i="8" s="1"/>
  <c r="G680" i="8"/>
  <c r="G678" i="8"/>
  <c r="I678" i="8" s="1"/>
  <c r="G670" i="8"/>
  <c r="J670" i="8" s="1"/>
  <c r="G685" i="8"/>
  <c r="I685" i="8" s="1"/>
  <c r="G690" i="8"/>
  <c r="H690" i="8" s="1"/>
  <c r="G691" i="8"/>
  <c r="I691" i="8" s="1"/>
  <c r="G686" i="8"/>
  <c r="I686" i="8" s="1"/>
  <c r="G692" i="8"/>
  <c r="I692" i="8" s="1"/>
  <c r="G696" i="8"/>
  <c r="I696" i="8" s="1"/>
  <c r="G687" i="8"/>
  <c r="H687" i="8" s="1"/>
  <c r="G688" i="8"/>
  <c r="G689" i="8"/>
  <c r="J689" i="8" s="1"/>
  <c r="G693" i="8"/>
  <c r="I693" i="8" s="1"/>
  <c r="G695" i="8"/>
  <c r="J695" i="8" s="1"/>
  <c r="G698" i="8"/>
  <c r="J698" i="8" s="1"/>
  <c r="G700" i="8"/>
  <c r="H700" i="8" s="1"/>
  <c r="G703" i="8"/>
  <c r="I703" i="8" s="1"/>
  <c r="G701" i="8"/>
  <c r="H701" i="8" s="1"/>
  <c r="G699" i="8"/>
  <c r="J699" i="8" s="1"/>
  <c r="G846" i="8"/>
  <c r="G874" i="8"/>
  <c r="G904" i="8"/>
  <c r="J904" i="8" s="1"/>
  <c r="G941" i="8"/>
  <c r="I941" i="8" s="1"/>
  <c r="G702" i="8"/>
  <c r="I702" i="8" s="1"/>
  <c r="G697" i="8"/>
  <c r="I697" i="8" s="1"/>
  <c r="G704" i="8"/>
  <c r="I704" i="8" s="1"/>
  <c r="G706" i="8"/>
  <c r="G705" i="8"/>
  <c r="I705" i="8" s="1"/>
  <c r="G709" i="8"/>
  <c r="H709" i="8" s="1"/>
  <c r="G710" i="8"/>
  <c r="I710" i="8" s="1"/>
  <c r="G708" i="8"/>
  <c r="H708" i="8" s="1"/>
  <c r="G736" i="8"/>
  <c r="H736" i="8" s="1"/>
  <c r="G760" i="8"/>
  <c r="G797" i="8"/>
  <c r="H797" i="8" s="1"/>
  <c r="G707" i="8"/>
  <c r="J707" i="8" s="1"/>
  <c r="G722" i="8"/>
  <c r="I722" i="8" s="1"/>
  <c r="G727" i="8"/>
  <c r="I727" i="8" s="1"/>
  <c r="G728" i="8"/>
  <c r="H728" i="8" s="1"/>
  <c r="G711" i="8"/>
  <c r="H711" i="8" s="1"/>
  <c r="G718" i="8"/>
  <c r="I718" i="8" s="1"/>
  <c r="G723" i="8"/>
  <c r="I723" i="8" s="1"/>
  <c r="G717" i="8"/>
  <c r="H717" i="8" s="1"/>
  <c r="G712" i="8"/>
  <c r="J712" i="8" s="1"/>
  <c r="G715" i="8"/>
  <c r="G720" i="8"/>
  <c r="H720" i="8" s="1"/>
  <c r="G725" i="8"/>
  <c r="H725" i="8" s="1"/>
  <c r="G726" i="8"/>
  <c r="J726" i="8" s="1"/>
  <c r="G719" i="8"/>
  <c r="H719" i="8" s="1"/>
  <c r="G721" i="8"/>
  <c r="I721" i="8" s="1"/>
  <c r="G724" i="8"/>
  <c r="H724" i="8" s="1"/>
  <c r="G731" i="8"/>
  <c r="J731" i="8" s="1"/>
  <c r="G729" i="8"/>
  <c r="G732" i="8"/>
  <c r="G730" i="8"/>
  <c r="I730" i="8" s="1"/>
  <c r="G733" i="8"/>
  <c r="H733" i="8" s="1"/>
  <c r="G734" i="8"/>
  <c r="H734" i="8" s="1"/>
  <c r="G735" i="8"/>
  <c r="I735" i="8" s="1"/>
  <c r="G737" i="8"/>
  <c r="I737" i="8" s="1"/>
  <c r="G738" i="8"/>
  <c r="J738" i="8" s="1"/>
  <c r="G739" i="8"/>
  <c r="I739" i="8" s="1"/>
  <c r="G750" i="8"/>
  <c r="G744" i="8"/>
  <c r="J744" i="8" s="1"/>
  <c r="G742" i="8"/>
  <c r="J742" i="8" s="1"/>
  <c r="G741" i="8"/>
  <c r="J741" i="8" s="1"/>
  <c r="G743" i="8"/>
  <c r="G764" i="8"/>
  <c r="J764" i="8" s="1"/>
  <c r="G740" i="8"/>
  <c r="J740" i="8" s="1"/>
  <c r="G746" i="8"/>
  <c r="I746" i="8" s="1"/>
  <c r="G745" i="8"/>
  <c r="I745" i="8" s="1"/>
  <c r="G749" i="8"/>
  <c r="I749" i="8" s="1"/>
  <c r="G751" i="8"/>
  <c r="H751" i="8" s="1"/>
  <c r="G752" i="8"/>
  <c r="I752" i="8" s="1"/>
  <c r="G757" i="8"/>
  <c r="I757" i="8" s="1"/>
  <c r="G824" i="8"/>
  <c r="H824" i="8" s="1"/>
  <c r="G825" i="8"/>
  <c r="G827" i="8"/>
  <c r="G758" i="8"/>
  <c r="I758" i="8" s="1"/>
  <c r="G755" i="8"/>
  <c r="H755" i="8" s="1"/>
  <c r="G756" i="8"/>
  <c r="J756" i="8" s="1"/>
  <c r="G759" i="8"/>
  <c r="J759" i="8" s="1"/>
  <c r="G754" i="8"/>
  <c r="I754" i="8" s="1"/>
  <c r="G753" i="8"/>
  <c r="J753" i="8" s="1"/>
  <c r="G790" i="8"/>
  <c r="J790" i="8" s="1"/>
  <c r="G762" i="8"/>
  <c r="G761" i="8"/>
  <c r="G766" i="8"/>
  <c r="I766" i="8" s="1"/>
  <c r="G765" i="8"/>
  <c r="H765" i="8" s="1"/>
  <c r="G775" i="8"/>
  <c r="H775" i="8" s="1"/>
  <c r="G769" i="8"/>
  <c r="I769" i="8" s="1"/>
  <c r="G768" i="8"/>
  <c r="I768" i="8" s="1"/>
  <c r="G830" i="8"/>
  <c r="G767" i="8"/>
  <c r="G770" i="8"/>
  <c r="J770" i="8" s="1"/>
  <c r="G795" i="8"/>
  <c r="H795" i="8" s="1"/>
  <c r="G771" i="8"/>
  <c r="H771" i="8" s="1"/>
  <c r="G772" i="8"/>
  <c r="J772" i="8" s="1"/>
  <c r="G776" i="8"/>
  <c r="G781" i="8"/>
  <c r="I781" i="8" s="1"/>
  <c r="G1043" i="8"/>
  <c r="J1043" i="8" s="1"/>
  <c r="G1005" i="8"/>
  <c r="I1005" i="8" s="1"/>
  <c r="G972" i="8"/>
  <c r="I972" i="8" s="1"/>
  <c r="G942" i="8"/>
  <c r="H942" i="8" s="1"/>
  <c r="G905" i="8"/>
  <c r="H905" i="8" s="1"/>
  <c r="G777" i="8"/>
  <c r="H777" i="8" s="1"/>
  <c r="G867" i="8"/>
  <c r="I867" i="8" s="1"/>
  <c r="G805" i="8"/>
  <c r="H805" i="8" s="1"/>
  <c r="G773" i="8"/>
  <c r="J773" i="8" s="1"/>
  <c r="G774" i="8"/>
  <c r="G778" i="8"/>
  <c r="H778" i="8" s="1"/>
  <c r="G780" i="8"/>
  <c r="I780" i="8" s="1"/>
  <c r="G779" i="8"/>
  <c r="I779" i="8" s="1"/>
  <c r="G784" i="8"/>
  <c r="J784" i="8" s="1"/>
  <c r="G783" i="8"/>
  <c r="I783" i="8" s="1"/>
  <c r="G791" i="8"/>
  <c r="J791" i="8" s="1"/>
  <c r="G788" i="8"/>
  <c r="J788" i="8" s="1"/>
  <c r="G787" i="8"/>
  <c r="I787" i="8" s="1"/>
  <c r="G789" i="8"/>
  <c r="H789" i="8" s="1"/>
  <c r="G786" i="8"/>
  <c r="H786" i="8" s="1"/>
  <c r="G820" i="8"/>
  <c r="I820" i="8" s="1"/>
  <c r="G821" i="8"/>
  <c r="I821" i="8" s="1"/>
  <c r="G850" i="8"/>
  <c r="I850" i="8" s="1"/>
  <c r="G851" i="8"/>
  <c r="I851" i="8" s="1"/>
  <c r="G886" i="8"/>
  <c r="J886" i="8" s="1"/>
  <c r="G884" i="8"/>
  <c r="G793" i="8"/>
  <c r="I793" i="8" s="1"/>
  <c r="G792" i="8"/>
  <c r="H792" i="8" s="1"/>
  <c r="G798" i="8"/>
  <c r="I798" i="8" s="1"/>
  <c r="G796" i="8"/>
  <c r="J796" i="8" s="1"/>
  <c r="G794" i="8"/>
  <c r="G799" i="8"/>
  <c r="H799" i="8" s="1"/>
  <c r="G800" i="8"/>
  <c r="J800" i="8" s="1"/>
  <c r="G802" i="8"/>
  <c r="G801" i="8"/>
  <c r="J801" i="8" s="1"/>
  <c r="G803" i="8"/>
  <c r="J803" i="8" s="1"/>
  <c r="G826" i="8"/>
  <c r="J826" i="8" s="1"/>
  <c r="G860" i="8"/>
  <c r="I860" i="8" s="1"/>
  <c r="G890" i="8"/>
  <c r="I890" i="8" s="1"/>
  <c r="G923" i="8"/>
  <c r="I923" i="8" s="1"/>
  <c r="G807" i="8"/>
  <c r="G842" i="8"/>
  <c r="G810" i="8"/>
  <c r="H810" i="8" s="1"/>
  <c r="G841" i="8"/>
  <c r="H841" i="8" s="1"/>
  <c r="G809" i="8"/>
  <c r="H809" i="8" s="1"/>
  <c r="G804" i="8"/>
  <c r="J804" i="8" s="1"/>
  <c r="G806" i="8"/>
  <c r="I806" i="8" s="1"/>
  <c r="G808" i="8"/>
  <c r="I808" i="8" s="1"/>
  <c r="G812" i="8"/>
  <c r="J812" i="8" s="1"/>
  <c r="G816" i="8"/>
  <c r="I816" i="8" s="1"/>
  <c r="G831" i="8"/>
  <c r="I831" i="8" s="1"/>
  <c r="G813" i="8"/>
  <c r="I813" i="8" s="1"/>
  <c r="G818" i="8"/>
  <c r="J818" i="8" s="1"/>
  <c r="G817" i="8"/>
  <c r="I817" i="8" s="1"/>
  <c r="G823" i="8"/>
  <c r="I823" i="8" s="1"/>
  <c r="G822" i="8"/>
  <c r="J822" i="8" s="1"/>
  <c r="G819" i="8"/>
  <c r="G829" i="8"/>
  <c r="H829" i="8" s="1"/>
  <c r="G828" i="8"/>
  <c r="H828" i="8" s="1"/>
  <c r="G833" i="8"/>
  <c r="J833" i="8" s="1"/>
  <c r="G835" i="8"/>
  <c r="H835" i="8" s="1"/>
  <c r="G832" i="8"/>
  <c r="J832" i="8" s="1"/>
  <c r="G834" i="8"/>
  <c r="G837" i="8"/>
  <c r="H837" i="8" s="1"/>
  <c r="G836" i="8"/>
  <c r="J836" i="8" s="1"/>
  <c r="G839" i="8"/>
  <c r="I839" i="8" s="1"/>
  <c r="G838" i="8"/>
  <c r="I838" i="8" s="1"/>
  <c r="G844" i="8"/>
  <c r="H844" i="8" s="1"/>
  <c r="G840" i="8"/>
  <c r="I840" i="8" s="1"/>
  <c r="G843" i="8"/>
  <c r="I843" i="8" s="1"/>
  <c r="G858" i="8"/>
  <c r="I858" i="8" s="1"/>
  <c r="G847" i="8"/>
  <c r="I847" i="8" s="1"/>
  <c r="G845" i="8"/>
  <c r="J845" i="8" s="1"/>
  <c r="G911" i="8"/>
  <c r="I911" i="8" s="1"/>
  <c r="G910" i="8"/>
  <c r="J910" i="8" s="1"/>
  <c r="G938" i="8"/>
  <c r="H938" i="8" s="1"/>
  <c r="G940" i="8"/>
  <c r="I940" i="8" s="1"/>
  <c r="G848" i="8"/>
  <c r="H848" i="8" s="1"/>
  <c r="G853" i="8"/>
  <c r="I853" i="8" s="1"/>
  <c r="G852" i="8"/>
  <c r="H852" i="8" s="1"/>
  <c r="G849" i="8"/>
  <c r="J849" i="8" s="1"/>
  <c r="G855" i="8"/>
  <c r="I855" i="8" s="1"/>
  <c r="G856" i="8"/>
  <c r="J856" i="8" s="1"/>
  <c r="G854" i="8"/>
  <c r="J854" i="8" s="1"/>
  <c r="G859" i="8"/>
  <c r="H859" i="8" s="1"/>
  <c r="G861" i="8"/>
  <c r="I861" i="8" s="1"/>
  <c r="G857" i="8"/>
  <c r="I857" i="8" s="1"/>
  <c r="G862" i="8"/>
  <c r="J862" i="8" s="1"/>
  <c r="G863" i="8"/>
  <c r="J863" i="8" s="1"/>
  <c r="G864" i="8"/>
  <c r="I864" i="8" s="1"/>
  <c r="G865" i="8"/>
  <c r="H865" i="8" s="1"/>
  <c r="G866" i="8"/>
  <c r="H866" i="8" s="1"/>
  <c r="G871" i="8"/>
  <c r="I871" i="8" s="1"/>
  <c r="G882" i="8"/>
  <c r="J882" i="8" s="1"/>
  <c r="G885" i="8"/>
  <c r="G914" i="8"/>
  <c r="H914" i="8" s="1"/>
  <c r="G917" i="8"/>
  <c r="J917" i="8" s="1"/>
  <c r="G872" i="8"/>
  <c r="G869" i="8"/>
  <c r="G873" i="8"/>
  <c r="H873" i="8" s="1"/>
  <c r="G870" i="8"/>
  <c r="H870" i="8" s="1"/>
  <c r="G868" i="8"/>
  <c r="H868" i="8" s="1"/>
  <c r="G880" i="8"/>
  <c r="I880" i="8" s="1"/>
  <c r="G877" i="8"/>
  <c r="J877" i="8" s="1"/>
  <c r="G879" i="8"/>
  <c r="G878" i="8"/>
  <c r="I878" i="8" s="1"/>
  <c r="G889" i="8"/>
  <c r="H889" i="8" s="1"/>
  <c r="G875" i="8"/>
  <c r="I875" i="8" s="1"/>
  <c r="G876" i="8"/>
  <c r="J876" i="8" s="1"/>
  <c r="G895" i="8"/>
  <c r="J895" i="8" s="1"/>
  <c r="G901" i="8"/>
  <c r="I901" i="8" s="1"/>
  <c r="G912" i="8"/>
  <c r="I912" i="8" s="1"/>
  <c r="G883" i="8"/>
  <c r="J883" i="8" s="1"/>
  <c r="G907" i="8"/>
  <c r="I907" i="8" s="1"/>
  <c r="G935" i="8"/>
  <c r="H935" i="8" s="1"/>
  <c r="G881" i="8"/>
  <c r="I881" i="8" s="1"/>
  <c r="G906" i="8"/>
  <c r="J906" i="8" s="1"/>
  <c r="G888" i="8"/>
  <c r="I888" i="8" s="1"/>
  <c r="G694" i="8"/>
  <c r="I694" i="8" s="1"/>
  <c r="G887" i="8"/>
  <c r="I887" i="8" s="1"/>
  <c r="G971" i="8"/>
  <c r="G894" i="8"/>
  <c r="G893" i="8"/>
  <c r="I893" i="8" s="1"/>
  <c r="G891" i="8"/>
  <c r="I891" i="8" s="1"/>
  <c r="G892" i="8"/>
  <c r="J892" i="8" s="1"/>
  <c r="G897" i="8"/>
  <c r="I897" i="8" s="1"/>
  <c r="G896" i="8"/>
  <c r="G898" i="8"/>
  <c r="I898" i="8" s="1"/>
  <c r="G900" i="8"/>
  <c r="J900" i="8" s="1"/>
  <c r="G899" i="8"/>
  <c r="I899" i="8" s="1"/>
  <c r="G903" i="8"/>
  <c r="I903" i="8" s="1"/>
  <c r="G902" i="8"/>
  <c r="H902" i="8" s="1"/>
  <c r="G908" i="8"/>
  <c r="H908" i="8" s="1"/>
  <c r="G930" i="8"/>
  <c r="H930" i="8" s="1"/>
  <c r="G915" i="8"/>
  <c r="I915" i="8" s="1"/>
  <c r="G916" i="8"/>
  <c r="I916" i="8" s="1"/>
  <c r="G909" i="8"/>
  <c r="J909" i="8" s="1"/>
  <c r="G918" i="8"/>
  <c r="I918" i="8" s="1"/>
  <c r="G921" i="8"/>
  <c r="I921" i="8" s="1"/>
  <c r="G920" i="8"/>
  <c r="I920" i="8" s="1"/>
  <c r="G913" i="8"/>
  <c r="I913" i="8" s="1"/>
  <c r="G922" i="8"/>
  <c r="I922" i="8" s="1"/>
  <c r="G933" i="8"/>
  <c r="I933" i="8" s="1"/>
  <c r="G934" i="8"/>
  <c r="I934" i="8" s="1"/>
  <c r="G925" i="8"/>
  <c r="J925" i="8" s="1"/>
  <c r="G924" i="8"/>
  <c r="I924" i="8" s="1"/>
  <c r="G931" i="8"/>
  <c r="I931" i="8" s="1"/>
  <c r="G929" i="8"/>
  <c r="I929" i="8" s="1"/>
  <c r="G926" i="8"/>
  <c r="I926" i="8" s="1"/>
  <c r="G957" i="8"/>
  <c r="H957" i="8" s="1"/>
  <c r="G927" i="8"/>
  <c r="I927" i="8" s="1"/>
  <c r="G932" i="8"/>
  <c r="H932" i="8" s="1"/>
  <c r="G928" i="8"/>
  <c r="J928" i="8" s="1"/>
  <c r="G936" i="8"/>
  <c r="J936" i="8" s="1"/>
  <c r="G937" i="8"/>
  <c r="H937" i="8" s="1"/>
  <c r="G959" i="8"/>
  <c r="H959" i="8" s="1"/>
  <c r="G990" i="8"/>
  <c r="J990" i="8" s="1"/>
  <c r="G1018" i="8"/>
  <c r="J1018" i="8" s="1"/>
  <c r="G939" i="8"/>
  <c r="G950" i="8"/>
  <c r="J950" i="8" s="1"/>
  <c r="G946" i="8"/>
  <c r="J946" i="8" s="1"/>
  <c r="G947" i="8"/>
  <c r="I947" i="8" s="1"/>
  <c r="G945" i="8"/>
  <c r="H945" i="8" s="1"/>
  <c r="G943" i="8"/>
  <c r="I943" i="8" s="1"/>
  <c r="G944" i="8"/>
  <c r="I944" i="8" s="1"/>
  <c r="G985" i="8"/>
  <c r="H985" i="8" s="1"/>
  <c r="G986" i="8"/>
  <c r="I986" i="8" s="1"/>
  <c r="G1009" i="8"/>
  <c r="H1009" i="8" s="1"/>
  <c r="G1008" i="8"/>
  <c r="G951" i="8"/>
  <c r="I951" i="8" s="1"/>
  <c r="G953" i="8"/>
  <c r="H953" i="8" s="1"/>
  <c r="G955" i="8"/>
  <c r="I955" i="8" s="1"/>
  <c r="G952" i="8"/>
  <c r="H952" i="8" s="1"/>
  <c r="G1012" i="8"/>
  <c r="J1012" i="8" s="1"/>
  <c r="G1017" i="8"/>
  <c r="I1017" i="8" s="1"/>
  <c r="G1016" i="8"/>
  <c r="H1016" i="8" s="1"/>
  <c r="G954" i="8"/>
  <c r="J954" i="8" s="1"/>
  <c r="G956" i="8"/>
  <c r="I956" i="8" s="1"/>
  <c r="G949" i="8"/>
  <c r="H949" i="8" s="1"/>
  <c r="G948" i="8"/>
  <c r="H948" i="8" s="1"/>
  <c r="G958" i="8"/>
  <c r="H958" i="8" s="1"/>
  <c r="G977" i="8"/>
  <c r="J977" i="8" s="1"/>
  <c r="G1003" i="8"/>
  <c r="I1003" i="8" s="1"/>
  <c r="G1040" i="8"/>
  <c r="H1040" i="8" s="1"/>
  <c r="G1074" i="8"/>
  <c r="G1095" i="8"/>
  <c r="I1095" i="8" s="1"/>
  <c r="G1122" i="8"/>
  <c r="I1122" i="8" s="1"/>
  <c r="G1157" i="8"/>
  <c r="H1157" i="8" s="1"/>
  <c r="G1183" i="8"/>
  <c r="H1183" i="8" s="1"/>
  <c r="G960" i="8"/>
  <c r="J960" i="8" s="1"/>
  <c r="G961" i="8"/>
  <c r="G967" i="8"/>
  <c r="H967" i="8" s="1"/>
  <c r="G966" i="8"/>
  <c r="J966" i="8" s="1"/>
  <c r="G962" i="8"/>
  <c r="G963" i="8"/>
  <c r="G1209" i="8"/>
  <c r="I1209" i="8" s="1"/>
  <c r="G1251" i="8"/>
  <c r="I1251" i="8" s="1"/>
  <c r="G1291" i="8"/>
  <c r="H1291" i="8" s="1"/>
  <c r="G1335" i="8"/>
  <c r="I1335" i="8" s="1"/>
  <c r="G1370" i="8"/>
  <c r="H1370" i="8" s="1"/>
  <c r="G964" i="8"/>
  <c r="J964" i="8" s="1"/>
  <c r="G965" i="8"/>
  <c r="I965" i="8" s="1"/>
  <c r="G976" i="8"/>
  <c r="J976" i="8" s="1"/>
  <c r="G969" i="8"/>
  <c r="J969" i="8" s="1"/>
  <c r="G968" i="8"/>
  <c r="I968" i="8" s="1"/>
  <c r="G970" i="8"/>
  <c r="I970" i="8" s="1"/>
  <c r="G983" i="8"/>
  <c r="I983" i="8" s="1"/>
  <c r="G974" i="8"/>
  <c r="H974" i="8" s="1"/>
  <c r="G978" i="8"/>
  <c r="J978" i="8" s="1"/>
  <c r="G987" i="8"/>
  <c r="I987" i="8" s="1"/>
  <c r="G988" i="8"/>
  <c r="H988" i="8" s="1"/>
  <c r="G1032" i="8"/>
  <c r="H1032" i="8" s="1"/>
  <c r="G1033" i="8"/>
  <c r="J1033" i="8" s="1"/>
  <c r="G984" i="8"/>
  <c r="I984" i="8" s="1"/>
  <c r="G1007" i="8"/>
  <c r="I1007" i="8" s="1"/>
  <c r="G1035" i="8"/>
  <c r="H1035" i="8" s="1"/>
  <c r="G982" i="8"/>
  <c r="J982" i="8" s="1"/>
  <c r="G1006" i="8"/>
  <c r="I1006" i="8" s="1"/>
  <c r="G1038" i="8"/>
  <c r="I1038" i="8" s="1"/>
  <c r="G979" i="8"/>
  <c r="I979" i="8" s="1"/>
  <c r="G973" i="8"/>
  <c r="H973" i="8" s="1"/>
  <c r="G981" i="8"/>
  <c r="H981" i="8" s="1"/>
  <c r="G980" i="8"/>
  <c r="G975" i="8"/>
  <c r="H975" i="8" s="1"/>
  <c r="G989" i="8"/>
  <c r="J989" i="8" s="1"/>
  <c r="G1004" i="8"/>
  <c r="I1004" i="8" s="1"/>
  <c r="G997" i="8"/>
  <c r="H997" i="8" s="1"/>
  <c r="G1025" i="8"/>
  <c r="H1025" i="8" s="1"/>
  <c r="G1054" i="8"/>
  <c r="I1054" i="8" s="1"/>
  <c r="G1083" i="8"/>
  <c r="H1083" i="8" s="1"/>
  <c r="G1135" i="8"/>
  <c r="I1135" i="8" s="1"/>
  <c r="G1145" i="8"/>
  <c r="H1145" i="8" s="1"/>
  <c r="G1263" i="8"/>
  <c r="G1297" i="8"/>
  <c r="I1297" i="8" s="1"/>
  <c r="G1361" i="8"/>
  <c r="G1395" i="8"/>
  <c r="H1395" i="8" s="1"/>
  <c r="G1404" i="8"/>
  <c r="J1404" i="8" s="1"/>
  <c r="G1453" i="8"/>
  <c r="J1453" i="8" s="1"/>
  <c r="G1487" i="8"/>
  <c r="I1487" i="8" s="1"/>
  <c r="G1515" i="8"/>
  <c r="H1515" i="8" s="1"/>
  <c r="G1537" i="8"/>
  <c r="J1537" i="8" s="1"/>
  <c r="G996" i="8"/>
  <c r="G1023" i="8"/>
  <c r="I1023" i="8" s="1"/>
  <c r="G1053" i="8"/>
  <c r="I1053" i="8" s="1"/>
  <c r="G1081" i="8"/>
  <c r="H1081" i="8" s="1"/>
  <c r="G1133" i="8"/>
  <c r="J1133" i="8" s="1"/>
  <c r="G1144" i="8"/>
  <c r="I1144" i="8" s="1"/>
  <c r="G1262" i="8"/>
  <c r="H1262" i="8" s="1"/>
  <c r="G1296" i="8"/>
  <c r="G1360" i="8"/>
  <c r="I1360" i="8" s="1"/>
  <c r="G1393" i="8"/>
  <c r="I1393" i="8" s="1"/>
  <c r="G1425" i="8"/>
  <c r="J1425" i="8" s="1"/>
  <c r="G1486" i="8"/>
  <c r="J1486" i="8" s="1"/>
  <c r="G1513" i="8"/>
  <c r="H1513" i="8" s="1"/>
  <c r="G1584" i="8"/>
  <c r="I1584" i="8" s="1"/>
  <c r="G992" i="8"/>
  <c r="H992" i="8" s="1"/>
  <c r="G993" i="8"/>
  <c r="J993" i="8" s="1"/>
  <c r="G991" i="8"/>
  <c r="I991" i="8" s="1"/>
  <c r="G994" i="8"/>
  <c r="I994" i="8" s="1"/>
  <c r="G995" i="8"/>
  <c r="I995" i="8" s="1"/>
  <c r="G1011" i="8"/>
  <c r="H1011" i="8" s="1"/>
  <c r="G1001" i="8"/>
  <c r="J1001" i="8" s="1"/>
  <c r="G1000" i="8"/>
  <c r="I1000" i="8" s="1"/>
  <c r="G999" i="8"/>
  <c r="H999" i="8" s="1"/>
  <c r="G998" i="8"/>
  <c r="J998" i="8" s="1"/>
  <c r="G1010" i="8"/>
  <c r="G1014" i="8"/>
  <c r="G1015" i="8"/>
  <c r="H1015" i="8" s="1"/>
  <c r="G1193" i="8"/>
  <c r="I1193" i="8" s="1"/>
  <c r="G1194" i="8"/>
  <c r="I1194" i="8" s="1"/>
  <c r="G1238" i="8"/>
  <c r="I1238" i="8" s="1"/>
  <c r="G1241" i="8"/>
  <c r="H1241" i="8" s="1"/>
  <c r="G1257" i="8"/>
  <c r="J1257" i="8" s="1"/>
  <c r="G1258" i="8"/>
  <c r="I1258" i="8" s="1"/>
  <c r="G1295" i="8"/>
  <c r="I1295" i="8" s="1"/>
  <c r="G1298" i="8"/>
  <c r="H1298" i="8" s="1"/>
  <c r="G919" i="8"/>
  <c r="H919" i="8" s="1"/>
  <c r="G1334" i="8"/>
  <c r="I1334" i="8" s="1"/>
  <c r="G1359" i="8"/>
  <c r="I1359" i="8" s="1"/>
  <c r="G1362" i="8"/>
  <c r="H1362" i="8" s="1"/>
  <c r="G1580" i="8"/>
  <c r="J1580" i="8" s="1"/>
  <c r="G1581" i="8"/>
  <c r="I1581" i="8" s="1"/>
  <c r="G1617" i="8"/>
  <c r="G1618" i="8"/>
  <c r="H1618" i="8" s="1"/>
  <c r="G1643" i="8"/>
  <c r="H1643" i="8" s="1"/>
  <c r="G1645" i="8"/>
  <c r="I1645" i="8" s="1"/>
  <c r="G1689" i="8"/>
  <c r="I1689" i="8" s="1"/>
  <c r="G1688" i="8"/>
  <c r="I1688" i="8" s="1"/>
  <c r="G1725" i="8"/>
  <c r="J1725" i="8" s="1"/>
  <c r="G1726" i="8"/>
  <c r="I1726" i="8" s="1"/>
  <c r="G1756" i="8"/>
  <c r="I1756" i="8" s="1"/>
  <c r="G1757" i="8"/>
  <c r="I1757" i="8" s="1"/>
  <c r="G1788" i="8"/>
  <c r="J1788" i="8" s="1"/>
  <c r="G1002" i="8"/>
  <c r="J1002" i="8" s="1"/>
  <c r="G1013" i="8"/>
  <c r="G1020" i="8"/>
  <c r="G1019" i="8"/>
  <c r="G1024" i="8"/>
  <c r="I1024" i="8" s="1"/>
  <c r="G1084" i="8"/>
  <c r="G1027" i="8"/>
  <c r="H1027" i="8" s="1"/>
  <c r="G1021" i="8"/>
  <c r="J1021" i="8" s="1"/>
  <c r="G1022" i="8"/>
  <c r="H1022" i="8" s="1"/>
  <c r="G1026" i="8"/>
  <c r="I1026" i="8" s="1"/>
  <c r="G1047" i="8"/>
  <c r="H1047" i="8" s="1"/>
  <c r="G1051" i="8"/>
  <c r="J1051" i="8" s="1"/>
  <c r="G1078" i="8"/>
  <c r="I1078" i="8" s="1"/>
  <c r="G1113" i="8"/>
  <c r="I1113" i="8" s="1"/>
  <c r="G1143" i="8"/>
  <c r="H1143" i="8" s="1"/>
  <c r="G1175" i="8"/>
  <c r="H1175" i="8" s="1"/>
  <c r="G1246" i="8"/>
  <c r="H1246" i="8" s="1"/>
  <c r="G1272" i="8"/>
  <c r="I1272" i="8" s="1"/>
  <c r="G1305" i="8"/>
  <c r="G1344" i="8"/>
  <c r="G1390" i="8"/>
  <c r="I1390" i="8" s="1"/>
  <c r="G2076" i="8"/>
  <c r="R545" i="8"/>
  <c r="R571" i="8"/>
  <c r="R547" i="8"/>
  <c r="R548" i="8"/>
  <c r="R550" i="8"/>
  <c r="R549" i="8"/>
  <c r="R556" i="8"/>
  <c r="R554" i="8"/>
  <c r="R566" i="8"/>
  <c r="R577" i="8"/>
  <c r="R553" i="8"/>
  <c r="R558" i="8"/>
  <c r="R555" i="8"/>
  <c r="R559" i="8"/>
  <c r="R557" i="8"/>
  <c r="R562" i="8"/>
  <c r="R565" i="8"/>
  <c r="R568" i="8"/>
  <c r="R567" i="8"/>
  <c r="R606" i="8"/>
  <c r="R605" i="8"/>
  <c r="R620" i="8"/>
  <c r="R621" i="8"/>
  <c r="R665" i="8"/>
  <c r="R661" i="8"/>
  <c r="R560" i="8"/>
  <c r="R594" i="8"/>
  <c r="R623" i="8"/>
  <c r="R563" i="8"/>
  <c r="R561" i="8"/>
  <c r="R564" i="8"/>
  <c r="R595" i="8"/>
  <c r="R625" i="8"/>
  <c r="R570" i="8"/>
  <c r="R569" i="8"/>
  <c r="R572" i="8"/>
  <c r="R573" i="8"/>
  <c r="R576" i="8"/>
  <c r="R575" i="8"/>
  <c r="R574" i="8"/>
  <c r="R578" i="8"/>
  <c r="R591" i="8"/>
  <c r="R579" i="8"/>
  <c r="R580" i="8"/>
  <c r="R582" i="8"/>
  <c r="R581" i="8"/>
  <c r="R585" i="8"/>
  <c r="R583" i="8"/>
  <c r="R584" i="8"/>
  <c r="R587" i="8"/>
  <c r="R597" i="8"/>
  <c r="R588" i="8"/>
  <c r="R589" i="8"/>
  <c r="R590" i="8"/>
  <c r="R593" i="8"/>
  <c r="R592" i="8"/>
  <c r="R683" i="8"/>
  <c r="R619" i="8"/>
  <c r="R596" i="8"/>
  <c r="R600" i="8"/>
  <c r="R598" i="8"/>
  <c r="R599" i="8"/>
  <c r="R609" i="8"/>
  <c r="R602" i="8"/>
  <c r="R603" i="8"/>
  <c r="R604" i="8"/>
  <c r="R601" i="8"/>
  <c r="R608" i="8"/>
  <c r="R607" i="8"/>
  <c r="R610" i="8"/>
  <c r="R611" i="8"/>
  <c r="R612" i="8"/>
  <c r="R614" i="8"/>
  <c r="R615" i="8"/>
  <c r="R613" i="8"/>
  <c r="R617" i="8"/>
  <c r="R616" i="8"/>
  <c r="R655" i="8"/>
  <c r="R654" i="8"/>
  <c r="R682" i="8"/>
  <c r="R681" i="8"/>
  <c r="R714" i="8"/>
  <c r="R713" i="8"/>
  <c r="R748" i="8"/>
  <c r="R747" i="8"/>
  <c r="R785" i="8"/>
  <c r="R782" i="8"/>
  <c r="R815" i="8"/>
  <c r="R811" i="8"/>
  <c r="R618" i="8"/>
  <c r="R627" i="8"/>
  <c r="R628" i="8"/>
  <c r="R629" i="8"/>
  <c r="R626" i="8"/>
  <c r="R622" i="8"/>
  <c r="R624" i="8"/>
  <c r="R633" i="8"/>
  <c r="R630" i="8"/>
  <c r="R631" i="8"/>
  <c r="R632" i="8"/>
  <c r="R635" i="8"/>
  <c r="R636" i="8"/>
  <c r="R650" i="8"/>
  <c r="R656" i="8"/>
  <c r="R659" i="8"/>
  <c r="R638" i="8"/>
  <c r="R637" i="8"/>
  <c r="R640" i="8"/>
  <c r="R641" i="8"/>
  <c r="R642" i="8"/>
  <c r="R639" i="8"/>
  <c r="R646" i="8"/>
  <c r="R668" i="8"/>
  <c r="R667" i="8"/>
  <c r="R652" i="8"/>
  <c r="R651" i="8"/>
  <c r="R645" i="8"/>
  <c r="R644" i="8"/>
  <c r="R648" i="8"/>
  <c r="R643" i="8"/>
  <c r="R647" i="8"/>
  <c r="R649" i="8"/>
  <c r="R664" i="8"/>
  <c r="R658" i="8"/>
  <c r="R653" i="8"/>
  <c r="R657" i="8"/>
  <c r="R660" i="8"/>
  <c r="R662" i="8"/>
  <c r="R663" i="8"/>
  <c r="R684" i="8"/>
  <c r="R716" i="8"/>
  <c r="R763" i="8"/>
  <c r="R814" i="8"/>
  <c r="R666" i="8"/>
  <c r="R669" i="8"/>
  <c r="R674" i="8"/>
  <c r="R672" i="8"/>
  <c r="R671" i="8"/>
  <c r="R677" i="8"/>
  <c r="R675" i="8"/>
  <c r="R676" i="8"/>
  <c r="R673" i="8"/>
  <c r="R679" i="8"/>
  <c r="R680" i="8"/>
  <c r="R678" i="8"/>
  <c r="R670" i="8"/>
  <c r="R685" i="8"/>
  <c r="R690" i="8"/>
  <c r="R691" i="8"/>
  <c r="R686" i="8"/>
  <c r="R692" i="8"/>
  <c r="R696" i="8"/>
  <c r="R687" i="8"/>
  <c r="R688" i="8"/>
  <c r="R689" i="8"/>
  <c r="R693" i="8"/>
  <c r="R695" i="8"/>
  <c r="R698" i="8"/>
  <c r="R700" i="8"/>
  <c r="R703" i="8"/>
  <c r="R701" i="8"/>
  <c r="R699" i="8"/>
  <c r="R846" i="8"/>
  <c r="R874" i="8"/>
  <c r="R904" i="8"/>
  <c r="R941" i="8"/>
  <c r="R702" i="8"/>
  <c r="R697" i="8"/>
  <c r="R704" i="8"/>
  <c r="R706" i="8"/>
  <c r="R705" i="8"/>
  <c r="R709" i="8"/>
  <c r="R710" i="8"/>
  <c r="R708" i="8"/>
  <c r="R736" i="8"/>
  <c r="R760" i="8"/>
  <c r="R797" i="8"/>
  <c r="R707" i="8"/>
  <c r="R722" i="8"/>
  <c r="R727" i="8"/>
  <c r="R728" i="8"/>
  <c r="R711" i="8"/>
  <c r="R718" i="8"/>
  <c r="R723" i="8"/>
  <c r="R717" i="8"/>
  <c r="R712" i="8"/>
  <c r="R715" i="8"/>
  <c r="R720" i="8"/>
  <c r="R725" i="8"/>
  <c r="R726" i="8"/>
  <c r="R719" i="8"/>
  <c r="R721" i="8"/>
  <c r="R724" i="8"/>
  <c r="R731" i="8"/>
  <c r="R729" i="8"/>
  <c r="R732" i="8"/>
  <c r="R730" i="8"/>
  <c r="R733" i="8"/>
  <c r="R734" i="8"/>
  <c r="R735" i="8"/>
  <c r="R737" i="8"/>
  <c r="R738" i="8"/>
  <c r="R739" i="8"/>
  <c r="R750" i="8"/>
  <c r="R744" i="8"/>
  <c r="R742" i="8"/>
  <c r="R741" i="8"/>
  <c r="R743" i="8"/>
  <c r="R764" i="8"/>
  <c r="R740" i="8"/>
  <c r="R746" i="8"/>
  <c r="R745" i="8"/>
  <c r="R749" i="8"/>
  <c r="R751" i="8"/>
  <c r="R752" i="8"/>
  <c r="R757" i="8"/>
  <c r="R824" i="8"/>
  <c r="R825" i="8"/>
  <c r="R827" i="8"/>
  <c r="R758" i="8"/>
  <c r="R755" i="8"/>
  <c r="R756" i="8"/>
  <c r="R759" i="8"/>
  <c r="R754" i="8"/>
  <c r="R753" i="8"/>
  <c r="R790" i="8"/>
  <c r="R762" i="8"/>
  <c r="R761" i="8"/>
  <c r="R766" i="8"/>
  <c r="R765" i="8"/>
  <c r="R775" i="8"/>
  <c r="R769" i="8"/>
  <c r="R768" i="8"/>
  <c r="R830" i="8"/>
  <c r="R767" i="8"/>
  <c r="R770" i="8"/>
  <c r="R795" i="8"/>
  <c r="R771" i="8"/>
  <c r="R772" i="8"/>
  <c r="R776" i="8"/>
  <c r="R781" i="8"/>
  <c r="R1043" i="8"/>
  <c r="R1005" i="8"/>
  <c r="R942" i="8"/>
  <c r="R905" i="8"/>
  <c r="R777" i="8"/>
  <c r="R867" i="8"/>
  <c r="R805" i="8"/>
  <c r="R773" i="8"/>
  <c r="R774" i="8"/>
  <c r="R778" i="8"/>
  <c r="R780" i="8"/>
  <c r="R779" i="8"/>
  <c r="R784" i="8"/>
  <c r="R783" i="8"/>
  <c r="R791" i="8"/>
  <c r="R788" i="8"/>
  <c r="R787" i="8"/>
  <c r="R789" i="8"/>
  <c r="R786" i="8"/>
  <c r="R820" i="8"/>
  <c r="R821" i="8"/>
  <c r="R850" i="8"/>
  <c r="R851" i="8"/>
  <c r="R886" i="8"/>
  <c r="R884" i="8"/>
  <c r="R793" i="8"/>
  <c r="R792" i="8"/>
  <c r="R798" i="8"/>
  <c r="R796" i="8"/>
  <c r="R794" i="8"/>
  <c r="R799" i="8"/>
  <c r="R800" i="8"/>
  <c r="R802" i="8"/>
  <c r="R801" i="8"/>
  <c r="R803" i="8"/>
  <c r="R826" i="8"/>
  <c r="R860" i="8"/>
  <c r="R890" i="8"/>
  <c r="R923" i="8"/>
  <c r="R807" i="8"/>
  <c r="R842" i="8"/>
  <c r="R810" i="8"/>
  <c r="R841" i="8"/>
  <c r="R809" i="8"/>
  <c r="R804" i="8"/>
  <c r="R806" i="8"/>
  <c r="R808" i="8"/>
  <c r="R812" i="8"/>
  <c r="R816" i="8"/>
  <c r="R831" i="8"/>
  <c r="R813" i="8"/>
  <c r="R818" i="8"/>
  <c r="R817" i="8"/>
  <c r="R823" i="8"/>
  <c r="R822" i="8"/>
  <c r="R819" i="8"/>
  <c r="R829" i="8"/>
  <c r="R828" i="8"/>
  <c r="R833" i="8"/>
  <c r="R835" i="8"/>
  <c r="R832" i="8"/>
  <c r="R834" i="8"/>
  <c r="R837" i="8"/>
  <c r="R836" i="8"/>
  <c r="R839" i="8"/>
  <c r="R838" i="8"/>
  <c r="R844" i="8"/>
  <c r="R840" i="8"/>
  <c r="R843" i="8"/>
  <c r="R858" i="8"/>
  <c r="R847" i="8"/>
  <c r="R845" i="8"/>
  <c r="R911" i="8"/>
  <c r="R910" i="8"/>
  <c r="R938" i="8"/>
  <c r="R940" i="8"/>
  <c r="R848" i="8"/>
  <c r="R853" i="8"/>
  <c r="R852" i="8"/>
  <c r="R849" i="8"/>
  <c r="R855" i="8"/>
  <c r="R856" i="8"/>
  <c r="R854" i="8"/>
  <c r="R859" i="8"/>
  <c r="R861" i="8"/>
  <c r="R857" i="8"/>
  <c r="R862" i="8"/>
  <c r="R863" i="8"/>
  <c r="R864" i="8"/>
  <c r="R865" i="8"/>
  <c r="R866" i="8"/>
  <c r="R871" i="8"/>
  <c r="R882" i="8"/>
  <c r="R885" i="8"/>
  <c r="R914" i="8"/>
  <c r="R917" i="8"/>
  <c r="R872" i="8"/>
  <c r="R869" i="8"/>
  <c r="R873" i="8"/>
  <c r="R870" i="8"/>
  <c r="R868" i="8"/>
  <c r="R880" i="8"/>
  <c r="R877" i="8"/>
  <c r="R879" i="8"/>
  <c r="R878" i="8"/>
  <c r="R889" i="8"/>
  <c r="R875" i="8"/>
  <c r="R876" i="8"/>
  <c r="R895" i="8"/>
  <c r="R901" i="8"/>
  <c r="R912" i="8"/>
  <c r="R883" i="8"/>
  <c r="R907" i="8"/>
  <c r="R935" i="8"/>
  <c r="R881" i="8"/>
  <c r="R906" i="8"/>
  <c r="R888" i="8"/>
  <c r="R694" i="8"/>
  <c r="R887" i="8"/>
  <c r="R971" i="8"/>
  <c r="R894" i="8"/>
  <c r="R893" i="8"/>
  <c r="R891" i="8"/>
  <c r="R892" i="8"/>
  <c r="R897" i="8"/>
  <c r="R896" i="8"/>
  <c r="R898" i="8"/>
  <c r="R900" i="8"/>
  <c r="R899" i="8"/>
  <c r="R903" i="8"/>
  <c r="R902" i="8"/>
  <c r="R908" i="8"/>
  <c r="R930" i="8"/>
  <c r="R915" i="8"/>
  <c r="R916" i="8"/>
  <c r="R909" i="8"/>
  <c r="R918" i="8"/>
  <c r="R921" i="8"/>
  <c r="R920" i="8"/>
  <c r="R913" i="8"/>
  <c r="R922" i="8"/>
  <c r="R933" i="8"/>
  <c r="R934" i="8"/>
  <c r="R925" i="8"/>
  <c r="R924" i="8"/>
  <c r="R931" i="8"/>
  <c r="R929" i="8"/>
  <c r="R926" i="8"/>
  <c r="R957" i="8"/>
  <c r="R927" i="8"/>
  <c r="R932" i="8"/>
  <c r="R928" i="8"/>
  <c r="R936" i="8"/>
  <c r="R937" i="8"/>
  <c r="R959" i="8"/>
  <c r="R990" i="8"/>
  <c r="R1018" i="8"/>
  <c r="R939" i="8"/>
  <c r="R950" i="8"/>
  <c r="R946" i="8"/>
  <c r="R947" i="8"/>
  <c r="R945" i="8"/>
  <c r="R943" i="8"/>
  <c r="R944" i="8"/>
  <c r="R985" i="8"/>
  <c r="R986" i="8"/>
  <c r="R1009" i="8"/>
  <c r="R1008" i="8"/>
  <c r="R951" i="8"/>
  <c r="R953" i="8"/>
  <c r="R955" i="8"/>
  <c r="R952" i="8"/>
  <c r="R1012" i="8"/>
  <c r="R1017" i="8"/>
  <c r="R1016" i="8"/>
  <c r="R954" i="8"/>
  <c r="R956" i="8"/>
  <c r="R949" i="8"/>
  <c r="R948" i="8"/>
  <c r="R958" i="8"/>
  <c r="R977" i="8"/>
  <c r="R1003" i="8"/>
  <c r="R1040" i="8"/>
  <c r="R1074" i="8"/>
  <c r="R1095" i="8"/>
  <c r="R1122" i="8"/>
  <c r="R1157" i="8"/>
  <c r="R1183" i="8"/>
  <c r="R960" i="8"/>
  <c r="R961" i="8"/>
  <c r="R967" i="8"/>
  <c r="R966" i="8"/>
  <c r="R962" i="8"/>
  <c r="R963" i="8"/>
  <c r="R1209" i="8"/>
  <c r="R1251" i="8"/>
  <c r="R1291" i="8"/>
  <c r="R1335" i="8"/>
  <c r="R1370" i="8"/>
  <c r="R964" i="8"/>
  <c r="R965" i="8"/>
  <c r="R976" i="8"/>
  <c r="R969" i="8"/>
  <c r="R968" i="8"/>
  <c r="R970" i="8"/>
  <c r="R983" i="8"/>
  <c r="R974" i="8"/>
  <c r="R978" i="8"/>
  <c r="R987" i="8"/>
  <c r="R988" i="8"/>
  <c r="R1032" i="8"/>
  <c r="R1033" i="8"/>
  <c r="R984" i="8"/>
  <c r="R1007" i="8"/>
  <c r="R1035" i="8"/>
  <c r="R982" i="8"/>
  <c r="R1006" i="8"/>
  <c r="R1038" i="8"/>
  <c r="R979" i="8"/>
  <c r="R973" i="8"/>
  <c r="R981" i="8"/>
  <c r="R980" i="8"/>
  <c r="R975" i="8"/>
  <c r="R989" i="8"/>
  <c r="R1004" i="8"/>
  <c r="R997" i="8"/>
  <c r="R1025" i="8"/>
  <c r="R1054" i="8"/>
  <c r="R1083" i="8"/>
  <c r="R1135" i="8"/>
  <c r="R1145" i="8"/>
  <c r="R1263" i="8"/>
  <c r="R1297" i="8"/>
  <c r="R1361" i="8"/>
  <c r="R1395" i="8"/>
  <c r="R1404" i="8"/>
  <c r="R1453" i="8"/>
  <c r="R1487" i="8"/>
  <c r="R1515" i="8"/>
  <c r="R1537" i="8"/>
  <c r="R996" i="8"/>
  <c r="R1023" i="8"/>
  <c r="R1053" i="8"/>
  <c r="R1081" i="8"/>
  <c r="R1133" i="8"/>
  <c r="R1144" i="8"/>
  <c r="R1262" i="8"/>
  <c r="R1296" i="8"/>
  <c r="R1360" i="8"/>
  <c r="R1393" i="8"/>
  <c r="R1425" i="8"/>
  <c r="R1486" i="8"/>
  <c r="R1513" i="8"/>
  <c r="R1584" i="8"/>
  <c r="R992" i="8"/>
  <c r="R993" i="8"/>
  <c r="R991" i="8"/>
  <c r="R994" i="8"/>
  <c r="R995" i="8"/>
  <c r="R1011" i="8"/>
  <c r="R1001" i="8"/>
  <c r="R1000" i="8"/>
  <c r="R999" i="8"/>
  <c r="R998" i="8"/>
  <c r="R1010" i="8"/>
  <c r="R1014" i="8"/>
  <c r="R1015" i="8"/>
  <c r="R1193" i="8"/>
  <c r="R1194" i="8"/>
  <c r="R1238" i="8"/>
  <c r="R1241" i="8"/>
  <c r="R1257" i="8"/>
  <c r="R1258" i="8"/>
  <c r="R1295" i="8"/>
  <c r="R1298" i="8"/>
  <c r="R919" i="8"/>
  <c r="R1334" i="8"/>
  <c r="R1359" i="8"/>
  <c r="R1362" i="8"/>
  <c r="R1580" i="8"/>
  <c r="R1581" i="8"/>
  <c r="R1617" i="8"/>
  <c r="R1618" i="8"/>
  <c r="R1643" i="8"/>
  <c r="R1645" i="8"/>
  <c r="R1689" i="8"/>
  <c r="R1688" i="8"/>
  <c r="R1725" i="8"/>
  <c r="R1726" i="8"/>
  <c r="R1756" i="8"/>
  <c r="R1757" i="8"/>
  <c r="R1788" i="8"/>
  <c r="R1002" i="8"/>
  <c r="R1013" i="8"/>
  <c r="R1020" i="8"/>
  <c r="R1019" i="8"/>
  <c r="R1024" i="8"/>
  <c r="R1084" i="8"/>
  <c r="R1027" i="8"/>
  <c r="R1021" i="8"/>
  <c r="R1022" i="8"/>
  <c r="R1026" i="8"/>
  <c r="R1047" i="8"/>
  <c r="R1051" i="8"/>
  <c r="R1078" i="8"/>
  <c r="R1113" i="8"/>
  <c r="R1143" i="8"/>
  <c r="R1175" i="8"/>
  <c r="R1246" i="8"/>
  <c r="R1272" i="8"/>
  <c r="R1305" i="8"/>
  <c r="R1344" i="8"/>
  <c r="R1390" i="8"/>
  <c r="R2076" i="8"/>
  <c r="T545" i="8"/>
  <c r="T571" i="8"/>
  <c r="T547" i="8"/>
  <c r="T548" i="8"/>
  <c r="T550" i="8"/>
  <c r="T549" i="8"/>
  <c r="T556" i="8"/>
  <c r="T554" i="8"/>
  <c r="T566" i="8"/>
  <c r="T577" i="8"/>
  <c r="T553" i="8"/>
  <c r="T558" i="8"/>
  <c r="T555" i="8"/>
  <c r="T559" i="8"/>
  <c r="T557" i="8"/>
  <c r="T562" i="8"/>
  <c r="T565" i="8"/>
  <c r="T568" i="8"/>
  <c r="T567" i="8"/>
  <c r="T606" i="8"/>
  <c r="T605" i="8"/>
  <c r="T620" i="8"/>
  <c r="T621" i="8"/>
  <c r="T665" i="8"/>
  <c r="T661" i="8"/>
  <c r="T560" i="8"/>
  <c r="T594" i="8"/>
  <c r="T623" i="8"/>
  <c r="T563" i="8"/>
  <c r="T561" i="8"/>
  <c r="T564" i="8"/>
  <c r="T595" i="8"/>
  <c r="T625" i="8"/>
  <c r="T570" i="8"/>
  <c r="T569" i="8"/>
  <c r="T572" i="8"/>
  <c r="T573" i="8"/>
  <c r="T576" i="8"/>
  <c r="T575" i="8"/>
  <c r="T574" i="8"/>
  <c r="T578" i="8"/>
  <c r="T591" i="8"/>
  <c r="T579" i="8"/>
  <c r="T580" i="8"/>
  <c r="T582" i="8"/>
  <c r="T581" i="8"/>
  <c r="T585" i="8"/>
  <c r="T583" i="8"/>
  <c r="T584" i="8"/>
  <c r="T587" i="8"/>
  <c r="T597" i="8"/>
  <c r="T588" i="8"/>
  <c r="T589" i="8"/>
  <c r="T590" i="8"/>
  <c r="T593" i="8"/>
  <c r="T592" i="8"/>
  <c r="T683" i="8"/>
  <c r="T619" i="8"/>
  <c r="T596" i="8"/>
  <c r="T600" i="8"/>
  <c r="T598" i="8"/>
  <c r="T599" i="8"/>
  <c r="T609" i="8"/>
  <c r="T602" i="8"/>
  <c r="T603" i="8"/>
  <c r="T604" i="8"/>
  <c r="T601" i="8"/>
  <c r="T608" i="8"/>
  <c r="T607" i="8"/>
  <c r="T610" i="8"/>
  <c r="T611" i="8"/>
  <c r="T612" i="8"/>
  <c r="T614" i="8"/>
  <c r="T615" i="8"/>
  <c r="T613" i="8"/>
  <c r="T616" i="8"/>
  <c r="T654" i="8"/>
  <c r="T682" i="8"/>
  <c r="T681" i="8"/>
  <c r="T714" i="8"/>
  <c r="T713" i="8"/>
  <c r="T748" i="8"/>
  <c r="T747" i="8"/>
  <c r="T785" i="8"/>
  <c r="T782" i="8"/>
  <c r="T815" i="8"/>
  <c r="T811" i="8"/>
  <c r="T618" i="8"/>
  <c r="T627" i="8"/>
  <c r="T628" i="8"/>
  <c r="T629" i="8"/>
  <c r="T626" i="8"/>
  <c r="T622" i="8"/>
  <c r="T624" i="8"/>
  <c r="T633" i="8"/>
  <c r="T630" i="8"/>
  <c r="T631" i="8"/>
  <c r="T632" i="8"/>
  <c r="T635" i="8"/>
  <c r="T636" i="8"/>
  <c r="T650" i="8"/>
  <c r="T656" i="8"/>
  <c r="T659" i="8"/>
  <c r="T638" i="8"/>
  <c r="T637" i="8"/>
  <c r="T642" i="8"/>
  <c r="T639" i="8"/>
  <c r="T646" i="8"/>
  <c r="T668" i="8"/>
  <c r="T667" i="8"/>
  <c r="T652" i="8"/>
  <c r="T651" i="8"/>
  <c r="T645" i="8"/>
  <c r="T644" i="8"/>
  <c r="T648" i="8"/>
  <c r="T643" i="8"/>
  <c r="T647" i="8"/>
  <c r="T649" i="8"/>
  <c r="T664" i="8"/>
  <c r="T658" i="8"/>
  <c r="T653" i="8"/>
  <c r="T657" i="8"/>
  <c r="T660" i="8"/>
  <c r="T662" i="8"/>
  <c r="T663" i="8"/>
  <c r="T684" i="8"/>
  <c r="T716" i="8"/>
  <c r="T763" i="8"/>
  <c r="T814" i="8"/>
  <c r="T666" i="8"/>
  <c r="T669" i="8"/>
  <c r="T674" i="8"/>
  <c r="T672" i="8"/>
  <c r="T671" i="8"/>
  <c r="T677" i="8"/>
  <c r="T675" i="8"/>
  <c r="T676" i="8"/>
  <c r="T673" i="8"/>
  <c r="T679" i="8"/>
  <c r="T680" i="8"/>
  <c r="T678" i="8"/>
  <c r="T670" i="8"/>
  <c r="T685" i="8"/>
  <c r="T690" i="8"/>
  <c r="T691" i="8"/>
  <c r="T686" i="8"/>
  <c r="T692" i="8"/>
  <c r="T696" i="8"/>
  <c r="T687" i="8"/>
  <c r="T688" i="8"/>
  <c r="T689" i="8"/>
  <c r="T693" i="8"/>
  <c r="T695" i="8"/>
  <c r="T698" i="8"/>
  <c r="T700" i="8"/>
  <c r="T703" i="8"/>
  <c r="T701" i="8"/>
  <c r="T699" i="8"/>
  <c r="T846" i="8"/>
  <c r="T874" i="8"/>
  <c r="T904" i="8"/>
  <c r="T941" i="8"/>
  <c r="T702" i="8"/>
  <c r="T697" i="8"/>
  <c r="T704" i="8"/>
  <c r="T706" i="8"/>
  <c r="T705" i="8"/>
  <c r="T709" i="8"/>
  <c r="T710" i="8"/>
  <c r="T708" i="8"/>
  <c r="T736" i="8"/>
  <c r="T760" i="8"/>
  <c r="T797" i="8"/>
  <c r="T707" i="8"/>
  <c r="T722" i="8"/>
  <c r="T727" i="8"/>
  <c r="T728" i="8"/>
  <c r="T711" i="8"/>
  <c r="T718" i="8"/>
  <c r="T723" i="8"/>
  <c r="T717" i="8"/>
  <c r="T712" i="8"/>
  <c r="T715" i="8"/>
  <c r="T720" i="8"/>
  <c r="T725" i="8"/>
  <c r="T726" i="8"/>
  <c r="T719" i="8"/>
  <c r="T721" i="8"/>
  <c r="T724" i="8"/>
  <c r="T731" i="8"/>
  <c r="T729" i="8"/>
  <c r="T732" i="8"/>
  <c r="T730" i="8"/>
  <c r="T733" i="8"/>
  <c r="T734" i="8"/>
  <c r="T735" i="8"/>
  <c r="T737" i="8"/>
  <c r="T738" i="8"/>
  <c r="T739" i="8"/>
  <c r="T750" i="8"/>
  <c r="T744" i="8"/>
  <c r="T742" i="8"/>
  <c r="T741" i="8"/>
  <c r="T743" i="8"/>
  <c r="T764" i="8"/>
  <c r="T740" i="8"/>
  <c r="T746" i="8"/>
  <c r="T745" i="8"/>
  <c r="T749" i="8"/>
  <c r="T751" i="8"/>
  <c r="T752" i="8"/>
  <c r="T757" i="8"/>
  <c r="T824" i="8"/>
  <c r="T825" i="8"/>
  <c r="T827" i="8"/>
  <c r="T758" i="8"/>
  <c r="T755" i="8"/>
  <c r="T756" i="8"/>
  <c r="T759" i="8"/>
  <c r="T754" i="8"/>
  <c r="T753" i="8"/>
  <c r="T790" i="8"/>
  <c r="T762" i="8"/>
  <c r="T761" i="8"/>
  <c r="T766" i="8"/>
  <c r="T765" i="8"/>
  <c r="T775" i="8"/>
  <c r="T769" i="8"/>
  <c r="T768" i="8"/>
  <c r="T830" i="8"/>
  <c r="T767" i="8"/>
  <c r="T770" i="8"/>
  <c r="T795" i="8"/>
  <c r="T771" i="8"/>
  <c r="T772" i="8"/>
  <c r="T776" i="8"/>
  <c r="T781" i="8"/>
  <c r="T1043" i="8"/>
  <c r="T1005" i="8"/>
  <c r="T972" i="8"/>
  <c r="T942" i="8"/>
  <c r="T905" i="8"/>
  <c r="T777" i="8"/>
  <c r="T867" i="8"/>
  <c r="T805" i="8"/>
  <c r="T773" i="8"/>
  <c r="T774" i="8"/>
  <c r="T778" i="8"/>
  <c r="T780" i="8"/>
  <c r="T779" i="8"/>
  <c r="T784" i="8"/>
  <c r="T783" i="8"/>
  <c r="T791" i="8"/>
  <c r="T788" i="8"/>
  <c r="T787" i="8"/>
  <c r="T789" i="8"/>
  <c r="T786" i="8"/>
  <c r="T820" i="8"/>
  <c r="T821" i="8"/>
  <c r="T850" i="8"/>
  <c r="T851" i="8"/>
  <c r="T886" i="8"/>
  <c r="T884" i="8"/>
  <c r="T793" i="8"/>
  <c r="T792" i="8"/>
  <c r="T798" i="8"/>
  <c r="T796" i="8"/>
  <c r="T794" i="8"/>
  <c r="T799" i="8"/>
  <c r="T800" i="8"/>
  <c r="T802" i="8"/>
  <c r="T801" i="8"/>
  <c r="T803" i="8"/>
  <c r="T826" i="8"/>
  <c r="T860" i="8"/>
  <c r="T890" i="8"/>
  <c r="T923" i="8"/>
  <c r="T807" i="8"/>
  <c r="T842" i="8"/>
  <c r="T810" i="8"/>
  <c r="T841" i="8"/>
  <c r="T809" i="8"/>
  <c r="T804" i="8"/>
  <c r="T806" i="8"/>
  <c r="T808" i="8"/>
  <c r="T812" i="8"/>
  <c r="T816" i="8"/>
  <c r="T831" i="8"/>
  <c r="T813" i="8"/>
  <c r="T818" i="8"/>
  <c r="T817" i="8"/>
  <c r="T823" i="8"/>
  <c r="T822" i="8"/>
  <c r="T819" i="8"/>
  <c r="T829" i="8"/>
  <c r="T828" i="8"/>
  <c r="T833" i="8"/>
  <c r="T835" i="8"/>
  <c r="T832" i="8"/>
  <c r="T834" i="8"/>
  <c r="T837" i="8"/>
  <c r="T836" i="8"/>
  <c r="T839" i="8"/>
  <c r="T838" i="8"/>
  <c r="T844" i="8"/>
  <c r="T840" i="8"/>
  <c r="T843" i="8"/>
  <c r="T858" i="8"/>
  <c r="T847" i="8"/>
  <c r="T845" i="8"/>
  <c r="T911" i="8"/>
  <c r="T910" i="8"/>
  <c r="T938" i="8"/>
  <c r="T940" i="8"/>
  <c r="T848" i="8"/>
  <c r="T853" i="8"/>
  <c r="T852" i="8"/>
  <c r="T849" i="8"/>
  <c r="T855" i="8"/>
  <c r="T856" i="8"/>
  <c r="T854" i="8"/>
  <c r="T859" i="8"/>
  <c r="T861" i="8"/>
  <c r="T857" i="8"/>
  <c r="T862" i="8"/>
  <c r="T863" i="8"/>
  <c r="T864" i="8"/>
  <c r="T865" i="8"/>
  <c r="T866" i="8"/>
  <c r="T871" i="8"/>
  <c r="T882" i="8"/>
  <c r="T885" i="8"/>
  <c r="T914" i="8"/>
  <c r="T917" i="8"/>
  <c r="T872" i="8"/>
  <c r="T869" i="8"/>
  <c r="T873" i="8"/>
  <c r="T870" i="8"/>
  <c r="T868" i="8"/>
  <c r="T880" i="8"/>
  <c r="T877" i="8"/>
  <c r="T879" i="8"/>
  <c r="T878" i="8"/>
  <c r="T889" i="8"/>
  <c r="T875" i="8"/>
  <c r="T876" i="8"/>
  <c r="T895" i="8"/>
  <c r="T901" i="8"/>
  <c r="T912" i="8"/>
  <c r="T883" i="8"/>
  <c r="T907" i="8"/>
  <c r="T935" i="8"/>
  <c r="T881" i="8"/>
  <c r="T906" i="8"/>
  <c r="T888" i="8"/>
  <c r="T694" i="8"/>
  <c r="T887" i="8"/>
  <c r="T971" i="8"/>
  <c r="T894" i="8"/>
  <c r="T893" i="8"/>
  <c r="T891" i="8"/>
  <c r="T892" i="8"/>
  <c r="T897" i="8"/>
  <c r="T896" i="8"/>
  <c r="T898" i="8"/>
  <c r="T900" i="8"/>
  <c r="T899" i="8"/>
  <c r="T903" i="8"/>
  <c r="T902" i="8"/>
  <c r="T908" i="8"/>
  <c r="T930" i="8"/>
  <c r="T915" i="8"/>
  <c r="T916" i="8"/>
  <c r="T909" i="8"/>
  <c r="T918" i="8"/>
  <c r="T921" i="8"/>
  <c r="T920" i="8"/>
  <c r="T913" i="8"/>
  <c r="T922" i="8"/>
  <c r="T933" i="8"/>
  <c r="T934" i="8"/>
  <c r="T925" i="8"/>
  <c r="T924" i="8"/>
  <c r="T931" i="8"/>
  <c r="T929" i="8"/>
  <c r="T926" i="8"/>
  <c r="T957" i="8"/>
  <c r="T927" i="8"/>
  <c r="T932" i="8"/>
  <c r="T928" i="8"/>
  <c r="T936" i="8"/>
  <c r="T937" i="8"/>
  <c r="T959" i="8"/>
  <c r="T990" i="8"/>
  <c r="T1018" i="8"/>
  <c r="T939" i="8"/>
  <c r="T950" i="8"/>
  <c r="T946" i="8"/>
  <c r="T947" i="8"/>
  <c r="T945" i="8"/>
  <c r="T943" i="8"/>
  <c r="T944" i="8"/>
  <c r="T985" i="8"/>
  <c r="T986" i="8"/>
  <c r="T1009" i="8"/>
  <c r="T1008" i="8"/>
  <c r="T951" i="8"/>
  <c r="T953" i="8"/>
  <c r="T955" i="8"/>
  <c r="T952" i="8"/>
  <c r="T1012" i="8"/>
  <c r="T1017" i="8"/>
  <c r="T1016" i="8"/>
  <c r="T954" i="8"/>
  <c r="T956" i="8"/>
  <c r="T949" i="8"/>
  <c r="T948" i="8"/>
  <c r="T958" i="8"/>
  <c r="T977" i="8"/>
  <c r="T1003" i="8"/>
  <c r="T1040" i="8"/>
  <c r="T1074" i="8"/>
  <c r="T1095" i="8"/>
  <c r="T1122" i="8"/>
  <c r="T1157" i="8"/>
  <c r="T1183" i="8"/>
  <c r="T960" i="8"/>
  <c r="T961" i="8"/>
  <c r="T967" i="8"/>
  <c r="T966" i="8"/>
  <c r="T962" i="8"/>
  <c r="T963" i="8"/>
  <c r="T1209" i="8"/>
  <c r="T1251" i="8"/>
  <c r="T1291" i="8"/>
  <c r="T1335" i="8"/>
  <c r="T1370" i="8"/>
  <c r="T964" i="8"/>
  <c r="T965" i="8"/>
  <c r="T976" i="8"/>
  <c r="T969" i="8"/>
  <c r="T968" i="8"/>
  <c r="T970" i="8"/>
  <c r="T983" i="8"/>
  <c r="T974" i="8"/>
  <c r="T978" i="8"/>
  <c r="T987" i="8"/>
  <c r="T988" i="8"/>
  <c r="T1032" i="8"/>
  <c r="T1033" i="8"/>
  <c r="T984" i="8"/>
  <c r="T1007" i="8"/>
  <c r="T1035" i="8"/>
  <c r="T982" i="8"/>
  <c r="T1006" i="8"/>
  <c r="T1038" i="8"/>
  <c r="T979" i="8"/>
  <c r="T973" i="8"/>
  <c r="T981" i="8"/>
  <c r="T980" i="8"/>
  <c r="T975" i="8"/>
  <c r="T989" i="8"/>
  <c r="T1004" i="8"/>
  <c r="T997" i="8"/>
  <c r="T1025" i="8"/>
  <c r="T1054" i="8"/>
  <c r="T1083" i="8"/>
  <c r="T1135" i="8"/>
  <c r="T1145" i="8"/>
  <c r="T1263" i="8"/>
  <c r="T1297" i="8"/>
  <c r="T1361" i="8"/>
  <c r="T1395" i="8"/>
  <c r="T1404" i="8"/>
  <c r="T1453" i="8"/>
  <c r="T1487" i="8"/>
  <c r="T1515" i="8"/>
  <c r="T1537" i="8"/>
  <c r="T996" i="8"/>
  <c r="T1023" i="8"/>
  <c r="T1053" i="8"/>
  <c r="T1081" i="8"/>
  <c r="T1133" i="8"/>
  <c r="T1144" i="8"/>
  <c r="T1262" i="8"/>
  <c r="T1296" i="8"/>
  <c r="T1360" i="8"/>
  <c r="T1393" i="8"/>
  <c r="T1425" i="8"/>
  <c r="T1486" i="8"/>
  <c r="T1513" i="8"/>
  <c r="T1584" i="8"/>
  <c r="T992" i="8"/>
  <c r="T993" i="8"/>
  <c r="T991" i="8"/>
  <c r="T994" i="8"/>
  <c r="T995" i="8"/>
  <c r="T1011" i="8"/>
  <c r="T1001" i="8"/>
  <c r="T1000" i="8"/>
  <c r="T999" i="8"/>
  <c r="T998" i="8"/>
  <c r="T1010" i="8"/>
  <c r="T1014" i="8"/>
  <c r="T1015" i="8"/>
  <c r="T1193" i="8"/>
  <c r="T1194" i="8"/>
  <c r="T1238" i="8"/>
  <c r="T1241" i="8"/>
  <c r="T1257" i="8"/>
  <c r="T1258" i="8"/>
  <c r="T1295" i="8"/>
  <c r="T1298" i="8"/>
  <c r="T919" i="8"/>
  <c r="T1334" i="8"/>
  <c r="T1359" i="8"/>
  <c r="T1362" i="8"/>
  <c r="T1580" i="8"/>
  <c r="T1581" i="8"/>
  <c r="T1617" i="8"/>
  <c r="T1618" i="8"/>
  <c r="T1643" i="8"/>
  <c r="T1645" i="8"/>
  <c r="T1689" i="8"/>
  <c r="T1688" i="8"/>
  <c r="T1725" i="8"/>
  <c r="T1726" i="8"/>
  <c r="T1756" i="8"/>
  <c r="T1757" i="8"/>
  <c r="T1788" i="8"/>
  <c r="T1002" i="8"/>
  <c r="T1013" i="8"/>
  <c r="T1020" i="8"/>
  <c r="T1019" i="8"/>
  <c r="T1024" i="8"/>
  <c r="T1084" i="8"/>
  <c r="T1027" i="8"/>
  <c r="T1021" i="8"/>
  <c r="T1022" i="8"/>
  <c r="T1026" i="8"/>
  <c r="T1047" i="8"/>
  <c r="T1051" i="8"/>
  <c r="T1078" i="8"/>
  <c r="T1113" i="8"/>
  <c r="T1143" i="8"/>
  <c r="T1175" i="8"/>
  <c r="T1246" i="8"/>
  <c r="T1272" i="8"/>
  <c r="T1305" i="8"/>
  <c r="T1344" i="8"/>
  <c r="T1390" i="8"/>
  <c r="T2076" i="8"/>
  <c r="R1238" i="20"/>
  <c r="R1237" i="20"/>
  <c r="R1236" i="20"/>
  <c r="R1235" i="20"/>
  <c r="R1234" i="20"/>
  <c r="R1233" i="20"/>
  <c r="R1232" i="20"/>
  <c r="R1231" i="20"/>
  <c r="R1230" i="20"/>
  <c r="R1229" i="20"/>
  <c r="R1228" i="20"/>
  <c r="R1227" i="20"/>
  <c r="R1226" i="20"/>
  <c r="R1225" i="20"/>
  <c r="R1224" i="20"/>
  <c r="R1223" i="20"/>
  <c r="R1222" i="20"/>
  <c r="R1221" i="20"/>
  <c r="R1220" i="20"/>
  <c r="R1219" i="20"/>
  <c r="R1218" i="20"/>
  <c r="R1217" i="20"/>
  <c r="R1216" i="20"/>
  <c r="R1215" i="20"/>
  <c r="R1214" i="20"/>
  <c r="R1213" i="20"/>
  <c r="R1212" i="20"/>
  <c r="R1211" i="20"/>
  <c r="R1210" i="20"/>
  <c r="R1209" i="20"/>
  <c r="R1208" i="20"/>
  <c r="R1207" i="20"/>
  <c r="R1206" i="20"/>
  <c r="R1205" i="20"/>
  <c r="R1204" i="20"/>
  <c r="R1203" i="20"/>
  <c r="R1202" i="20"/>
  <c r="R1201" i="20"/>
  <c r="R1200" i="20"/>
  <c r="R1199" i="20"/>
  <c r="R1198" i="20"/>
  <c r="R1197" i="20"/>
  <c r="R1196" i="20"/>
  <c r="R1195" i="20"/>
  <c r="R1194" i="20"/>
  <c r="R1193" i="20"/>
  <c r="R1192" i="20"/>
  <c r="R1191" i="20"/>
  <c r="R1190" i="20"/>
  <c r="R1189" i="20"/>
  <c r="R1188" i="20"/>
  <c r="R1187" i="20"/>
  <c r="R1186" i="20"/>
  <c r="R1185" i="20"/>
  <c r="R1184" i="20"/>
  <c r="R1183" i="20"/>
  <c r="R1182" i="20"/>
  <c r="R1181" i="20"/>
  <c r="R1180" i="20"/>
  <c r="R1179" i="20"/>
  <c r="R1178" i="20"/>
  <c r="R1177" i="20"/>
  <c r="R1176" i="20"/>
  <c r="R1175" i="20"/>
  <c r="R1174" i="20"/>
  <c r="R1173" i="20"/>
  <c r="R1172" i="20"/>
  <c r="R1171" i="20"/>
  <c r="R1170" i="20"/>
  <c r="R1169" i="20"/>
  <c r="R1168" i="20"/>
  <c r="R1167" i="20"/>
  <c r="R1166" i="20"/>
  <c r="R1165" i="20"/>
  <c r="R1164" i="20"/>
  <c r="R1163" i="20"/>
  <c r="R1162" i="20"/>
  <c r="R1161" i="20"/>
  <c r="R1160" i="20"/>
  <c r="R1159" i="20"/>
  <c r="R1158" i="20"/>
  <c r="R1157" i="20"/>
  <c r="R1156" i="20"/>
  <c r="R1155" i="20"/>
  <c r="R1154" i="20"/>
  <c r="R1153" i="20"/>
  <c r="R1152" i="20"/>
  <c r="R1151" i="20"/>
  <c r="R1150" i="20"/>
  <c r="R1149" i="20"/>
  <c r="R1148" i="20"/>
  <c r="R1147" i="20"/>
  <c r="R1146" i="20"/>
  <c r="R1145" i="20"/>
  <c r="R1144" i="20"/>
  <c r="R1143" i="20"/>
  <c r="R1142" i="20"/>
  <c r="R1141" i="20"/>
  <c r="R1140" i="20"/>
  <c r="R1139" i="20"/>
  <c r="R1138" i="20"/>
  <c r="R1137" i="20"/>
  <c r="R1136" i="20"/>
  <c r="R1135" i="20"/>
  <c r="R1134" i="20"/>
  <c r="R1133" i="20"/>
  <c r="R1132" i="20"/>
  <c r="R1131" i="20"/>
  <c r="R1130" i="20"/>
  <c r="R1129" i="20"/>
  <c r="R1128" i="20"/>
  <c r="R1127" i="20"/>
  <c r="R1126" i="20"/>
  <c r="R1125" i="20"/>
  <c r="R1124" i="20"/>
  <c r="R1123" i="20"/>
  <c r="R1122" i="20"/>
  <c r="R1121" i="20"/>
  <c r="R1120" i="20"/>
  <c r="R1119" i="20"/>
  <c r="R1118" i="20"/>
  <c r="R1117" i="20"/>
  <c r="R1116" i="20"/>
  <c r="R1115" i="20"/>
  <c r="R1114" i="20"/>
  <c r="R1113" i="20"/>
  <c r="R1112" i="20"/>
  <c r="R1111" i="20"/>
  <c r="R1110" i="20"/>
  <c r="R1109" i="20"/>
  <c r="R1108" i="20"/>
  <c r="R1107" i="20"/>
  <c r="R1106" i="20"/>
  <c r="R1105" i="20"/>
  <c r="R1104" i="20"/>
  <c r="R1103" i="20"/>
  <c r="R1102" i="20"/>
  <c r="R1101" i="20"/>
  <c r="R1100" i="20"/>
  <c r="R1099" i="20"/>
  <c r="R1098" i="20"/>
  <c r="R1097" i="20"/>
  <c r="R1096" i="20"/>
  <c r="R1095" i="20"/>
  <c r="R1094" i="20"/>
  <c r="R1093" i="20"/>
  <c r="R1092" i="20"/>
  <c r="R1091" i="20"/>
  <c r="R1090" i="20"/>
  <c r="R1089" i="20"/>
  <c r="R1088" i="20"/>
  <c r="R1087" i="20"/>
  <c r="R1086" i="20"/>
  <c r="R1085" i="20"/>
  <c r="R1084" i="20"/>
  <c r="R1083" i="20"/>
  <c r="R1082" i="20"/>
  <c r="R1081" i="20"/>
  <c r="R1080" i="20"/>
  <c r="R1079" i="20"/>
  <c r="R1078" i="20"/>
  <c r="R1077" i="20"/>
  <c r="R1076" i="20"/>
  <c r="R1075" i="20"/>
  <c r="R1074" i="20"/>
  <c r="R1073" i="20"/>
  <c r="R1072" i="20"/>
  <c r="R1071" i="20"/>
  <c r="R1070" i="20"/>
  <c r="R1069" i="20"/>
  <c r="R1068" i="20"/>
  <c r="R1067" i="20"/>
  <c r="R1066" i="20"/>
  <c r="R1065" i="20"/>
  <c r="R1064" i="20"/>
  <c r="R1063" i="20"/>
  <c r="R1062" i="20"/>
  <c r="R1061" i="20"/>
  <c r="R1060" i="20"/>
  <c r="R1059" i="20"/>
  <c r="R1058" i="20"/>
  <c r="R1057" i="20"/>
  <c r="R1056" i="20"/>
  <c r="R1055" i="20"/>
  <c r="R1054" i="20"/>
  <c r="R1053" i="20"/>
  <c r="R1052" i="20"/>
  <c r="R1051" i="20"/>
  <c r="R1050" i="20"/>
  <c r="R1049" i="20"/>
  <c r="R1048" i="20"/>
  <c r="R1047" i="20"/>
  <c r="R1046" i="20"/>
  <c r="R1045" i="20"/>
  <c r="R1044" i="20"/>
  <c r="R1043" i="20"/>
  <c r="R1042" i="20"/>
  <c r="R1041" i="20"/>
  <c r="R1040" i="20"/>
  <c r="R1039" i="20"/>
  <c r="R1038" i="20"/>
  <c r="R1037" i="20"/>
  <c r="R1036" i="20"/>
  <c r="R1035" i="20"/>
  <c r="R1034" i="20"/>
  <c r="R1033" i="20"/>
  <c r="R1032" i="20"/>
  <c r="R1031" i="20"/>
  <c r="R1030" i="20"/>
  <c r="R1029" i="20"/>
  <c r="R1028" i="20"/>
  <c r="R1027" i="20"/>
  <c r="R1026" i="20"/>
  <c r="R1025" i="20"/>
  <c r="R1024" i="20"/>
  <c r="R1023" i="20"/>
  <c r="R1022" i="20"/>
  <c r="R1021" i="20"/>
  <c r="R1020" i="20"/>
  <c r="R1019" i="20"/>
  <c r="R1018" i="20"/>
  <c r="R1017" i="20"/>
  <c r="R1016" i="20"/>
  <c r="R1015" i="20"/>
  <c r="R1014" i="20"/>
  <c r="R1013" i="20"/>
  <c r="R1012" i="20"/>
  <c r="R1011" i="20"/>
  <c r="R1010" i="20"/>
  <c r="R1009" i="20"/>
  <c r="R1008" i="20"/>
  <c r="R1007" i="20"/>
  <c r="R1006" i="20"/>
  <c r="R1005" i="20"/>
  <c r="R1004" i="20"/>
  <c r="R1003" i="20"/>
  <c r="R1002" i="20"/>
  <c r="R1001" i="20"/>
  <c r="R1000" i="20"/>
  <c r="R999" i="20"/>
  <c r="R998" i="20"/>
  <c r="R997" i="20"/>
  <c r="R996" i="20"/>
  <c r="R995" i="20"/>
  <c r="R994" i="20"/>
  <c r="R993" i="20"/>
  <c r="R992" i="20"/>
  <c r="R991" i="20"/>
  <c r="R990" i="20"/>
  <c r="R989" i="20"/>
  <c r="R988" i="20"/>
  <c r="R987" i="20"/>
  <c r="R986" i="20"/>
  <c r="R985" i="20"/>
  <c r="R984" i="20"/>
  <c r="R983" i="20"/>
  <c r="R982" i="20"/>
  <c r="R981" i="20"/>
  <c r="R980" i="20"/>
  <c r="R979" i="20"/>
  <c r="R978" i="20"/>
  <c r="R977" i="20"/>
  <c r="R976" i="20"/>
  <c r="R975" i="20"/>
  <c r="R974" i="20"/>
  <c r="R973" i="20"/>
  <c r="R972" i="20"/>
  <c r="R971" i="20"/>
  <c r="R970" i="20"/>
  <c r="R969" i="20"/>
  <c r="R968" i="20"/>
  <c r="R967" i="20"/>
  <c r="R966" i="20"/>
  <c r="R965" i="20"/>
  <c r="R964" i="20"/>
  <c r="R963" i="20"/>
  <c r="R962" i="20"/>
  <c r="R961" i="20"/>
  <c r="R960" i="20"/>
  <c r="R959" i="20"/>
  <c r="R958" i="20"/>
  <c r="R957" i="20"/>
  <c r="R956" i="20"/>
  <c r="R955" i="20"/>
  <c r="R954" i="20"/>
  <c r="R953" i="20"/>
  <c r="R952" i="20"/>
  <c r="R951" i="20"/>
  <c r="R950" i="20"/>
  <c r="R949" i="20"/>
  <c r="R948" i="20"/>
  <c r="R947" i="20"/>
  <c r="R946" i="20"/>
  <c r="R945" i="20"/>
  <c r="R944" i="20"/>
  <c r="R943" i="20"/>
  <c r="R942" i="20"/>
  <c r="R941" i="20"/>
  <c r="R940" i="20"/>
  <c r="R939" i="20"/>
  <c r="R938" i="20"/>
  <c r="R937" i="20"/>
  <c r="R936" i="20"/>
  <c r="R935" i="20"/>
  <c r="R934" i="20"/>
  <c r="R933" i="20"/>
  <c r="R932" i="20"/>
  <c r="R931" i="20"/>
  <c r="R930" i="20"/>
  <c r="R929" i="20"/>
  <c r="R928" i="20"/>
  <c r="R927" i="20"/>
  <c r="R926" i="20"/>
  <c r="R925" i="20"/>
  <c r="R924" i="20"/>
  <c r="R923" i="20"/>
  <c r="R922" i="20"/>
  <c r="R921" i="20"/>
  <c r="R920" i="20"/>
  <c r="R919" i="20"/>
  <c r="R918" i="20"/>
  <c r="R917" i="20"/>
  <c r="R916" i="20"/>
  <c r="R915" i="20"/>
  <c r="R914" i="20"/>
  <c r="R913" i="20"/>
  <c r="R912" i="20"/>
  <c r="R911" i="20"/>
  <c r="R910" i="20"/>
  <c r="R909" i="20"/>
  <c r="R908" i="20"/>
  <c r="R907" i="20"/>
  <c r="R906" i="20"/>
  <c r="R905" i="20"/>
  <c r="R904" i="20"/>
  <c r="R903" i="20"/>
  <c r="R902" i="20"/>
  <c r="R901" i="20"/>
  <c r="R900" i="20"/>
  <c r="R899" i="20"/>
  <c r="R898" i="20"/>
  <c r="R897" i="20"/>
  <c r="R896" i="20"/>
  <c r="R895" i="20"/>
  <c r="R894" i="20"/>
  <c r="R893" i="20"/>
  <c r="R892" i="20"/>
  <c r="R891" i="20"/>
  <c r="R890" i="20"/>
  <c r="R889" i="20"/>
  <c r="R888" i="20"/>
  <c r="R887" i="20"/>
  <c r="R886" i="20"/>
  <c r="R885" i="20"/>
  <c r="R884" i="20"/>
  <c r="R883" i="20"/>
  <c r="R882" i="20"/>
  <c r="R881" i="20"/>
  <c r="R880" i="20"/>
  <c r="R879" i="20"/>
  <c r="R878" i="20"/>
  <c r="R877" i="20"/>
  <c r="R876" i="20"/>
  <c r="R875" i="20"/>
  <c r="R874" i="20"/>
  <c r="R873" i="20"/>
  <c r="R872" i="20"/>
  <c r="R871" i="20"/>
  <c r="R870" i="20"/>
  <c r="R869" i="20"/>
  <c r="R868" i="20"/>
  <c r="R867" i="20"/>
  <c r="R866" i="20"/>
  <c r="R865" i="20"/>
  <c r="R864" i="20"/>
  <c r="R863" i="20"/>
  <c r="R862" i="20"/>
  <c r="R861" i="20"/>
  <c r="R860" i="20"/>
  <c r="R859" i="20"/>
  <c r="R858" i="20"/>
  <c r="R857" i="20"/>
  <c r="R856" i="20"/>
  <c r="R855" i="20"/>
  <c r="R854" i="20"/>
  <c r="R853" i="20"/>
  <c r="R852" i="20"/>
  <c r="R851" i="20"/>
  <c r="R850" i="20"/>
  <c r="R849" i="20"/>
  <c r="R848" i="20"/>
  <c r="R847" i="20"/>
  <c r="R846" i="20"/>
  <c r="R845" i="20"/>
  <c r="R844" i="20"/>
  <c r="R843" i="20"/>
  <c r="R842" i="20"/>
  <c r="R841" i="20"/>
  <c r="R840" i="20"/>
  <c r="R839" i="20"/>
  <c r="R838" i="20"/>
  <c r="R837" i="20"/>
  <c r="R836" i="20"/>
  <c r="R835" i="20"/>
  <c r="R834" i="20"/>
  <c r="R833" i="20"/>
  <c r="R832" i="20"/>
  <c r="R831" i="20"/>
  <c r="R830" i="20"/>
  <c r="R829" i="20"/>
  <c r="R828" i="20"/>
  <c r="R827" i="20"/>
  <c r="R826" i="20"/>
  <c r="R825" i="20"/>
  <c r="R824" i="20"/>
  <c r="R823" i="20"/>
  <c r="R822" i="20"/>
  <c r="R821" i="20"/>
  <c r="R820" i="20"/>
  <c r="R819" i="20"/>
  <c r="R818" i="20"/>
  <c r="R817" i="20"/>
  <c r="R816" i="20"/>
  <c r="R815" i="20"/>
  <c r="R814" i="20"/>
  <c r="R813" i="20"/>
  <c r="R812" i="20"/>
  <c r="R811" i="20"/>
  <c r="R810" i="20"/>
  <c r="R809" i="20"/>
  <c r="R808" i="20"/>
  <c r="R807" i="20"/>
  <c r="R806" i="20"/>
  <c r="R805" i="20"/>
  <c r="R804" i="20"/>
  <c r="R803" i="20"/>
  <c r="R802" i="20"/>
  <c r="R801" i="20"/>
  <c r="R800" i="20"/>
  <c r="R799" i="20"/>
  <c r="R798" i="20"/>
  <c r="R797" i="20"/>
  <c r="R796" i="20"/>
  <c r="R795" i="20"/>
  <c r="R794" i="20"/>
  <c r="R793" i="20"/>
  <c r="R792" i="20"/>
  <c r="R791" i="20"/>
  <c r="R790" i="20"/>
  <c r="R789" i="20"/>
  <c r="R788" i="20"/>
  <c r="R787" i="20"/>
  <c r="R786" i="20"/>
  <c r="R785" i="20"/>
  <c r="R784" i="20"/>
  <c r="R783" i="20"/>
  <c r="R782" i="20"/>
  <c r="R781" i="20"/>
  <c r="R780" i="20"/>
  <c r="R779" i="20"/>
  <c r="R778" i="20"/>
  <c r="R777" i="20"/>
  <c r="R776" i="20"/>
  <c r="R775" i="20"/>
  <c r="R774" i="20"/>
  <c r="R773" i="20"/>
  <c r="R772" i="20"/>
  <c r="R771" i="20"/>
  <c r="R770" i="20"/>
  <c r="R769" i="20"/>
  <c r="R768" i="20"/>
  <c r="R767" i="20"/>
  <c r="R766" i="20"/>
  <c r="R765" i="20"/>
  <c r="R764" i="20"/>
  <c r="R763" i="20"/>
  <c r="R762" i="20"/>
  <c r="R761" i="20"/>
  <c r="R760" i="20"/>
  <c r="R759" i="20"/>
  <c r="R758" i="20"/>
  <c r="R757" i="20"/>
  <c r="R756" i="20"/>
  <c r="R755" i="20"/>
  <c r="R754" i="20"/>
  <c r="R753" i="20"/>
  <c r="R752" i="20"/>
  <c r="R751" i="20"/>
  <c r="R750" i="20"/>
  <c r="R749" i="20"/>
  <c r="R748" i="20"/>
  <c r="R747" i="20"/>
  <c r="R746" i="20"/>
  <c r="R745" i="20"/>
  <c r="R744" i="20"/>
  <c r="R743" i="20"/>
  <c r="R742" i="20"/>
  <c r="R741" i="20"/>
  <c r="R740" i="20"/>
  <c r="R739" i="20"/>
  <c r="R738" i="20"/>
  <c r="R737" i="20"/>
  <c r="R736" i="20"/>
  <c r="R735" i="20"/>
  <c r="R734" i="20"/>
  <c r="R733" i="20"/>
  <c r="R732" i="20"/>
  <c r="R731" i="20"/>
  <c r="R730" i="20"/>
  <c r="R729" i="20"/>
  <c r="R728" i="20"/>
  <c r="R727" i="20"/>
  <c r="R726" i="20"/>
  <c r="R725" i="20"/>
  <c r="R724" i="20"/>
  <c r="R723" i="20"/>
  <c r="R722" i="20"/>
  <c r="R721" i="20"/>
  <c r="R720" i="20"/>
  <c r="R719" i="20"/>
  <c r="R718" i="20"/>
  <c r="R717" i="20"/>
  <c r="R716" i="20"/>
  <c r="R715" i="20"/>
  <c r="R714" i="20"/>
  <c r="R713" i="20"/>
  <c r="R712" i="20"/>
  <c r="R711" i="20"/>
  <c r="R710" i="20"/>
  <c r="R709" i="20"/>
  <c r="R708" i="20"/>
  <c r="R707" i="20"/>
  <c r="R706" i="20"/>
  <c r="R705" i="20"/>
  <c r="R704" i="20"/>
  <c r="R703" i="20"/>
  <c r="R702" i="20"/>
  <c r="R701" i="20"/>
  <c r="R700" i="20"/>
  <c r="R699" i="20"/>
  <c r="R698" i="20"/>
  <c r="R697" i="20"/>
  <c r="R696" i="20"/>
  <c r="R695" i="20"/>
  <c r="R694" i="20"/>
  <c r="R693" i="20"/>
  <c r="R692" i="20"/>
  <c r="R691" i="20"/>
  <c r="R690" i="20"/>
  <c r="R689" i="20"/>
  <c r="R688" i="20"/>
  <c r="R687" i="20"/>
  <c r="R686" i="20"/>
  <c r="R685" i="20"/>
  <c r="R684" i="20"/>
  <c r="R683" i="20"/>
  <c r="R682" i="20"/>
  <c r="R681" i="20"/>
  <c r="R680" i="20"/>
  <c r="R679" i="20"/>
  <c r="R678" i="20"/>
  <c r="R677" i="20"/>
  <c r="R676" i="20"/>
  <c r="R675" i="20"/>
  <c r="R674" i="20"/>
  <c r="R673" i="20"/>
  <c r="R672" i="20"/>
  <c r="R671" i="20"/>
  <c r="R670" i="20"/>
  <c r="R669" i="20"/>
  <c r="R668" i="20"/>
  <c r="R667" i="20"/>
  <c r="R666" i="20"/>
  <c r="R665" i="20"/>
  <c r="R664" i="20"/>
  <c r="R663" i="20"/>
  <c r="R662" i="20"/>
  <c r="R661" i="20"/>
  <c r="R660" i="20"/>
  <c r="R659" i="20"/>
  <c r="R658" i="20"/>
  <c r="R657" i="20"/>
  <c r="R656" i="20"/>
  <c r="R655" i="20"/>
  <c r="R654" i="20"/>
  <c r="R653" i="20"/>
  <c r="R652" i="20"/>
  <c r="R651" i="20"/>
  <c r="R650" i="20"/>
  <c r="R649" i="20"/>
  <c r="R648" i="20"/>
  <c r="R647" i="20"/>
  <c r="R646" i="20"/>
  <c r="R645" i="20"/>
  <c r="R644" i="20"/>
  <c r="R643" i="20"/>
  <c r="R642" i="20"/>
  <c r="R641" i="20"/>
  <c r="R640" i="20"/>
  <c r="R639" i="20"/>
  <c r="R638" i="20"/>
  <c r="R637" i="20"/>
  <c r="R636" i="20"/>
  <c r="R635" i="20"/>
  <c r="R634" i="20"/>
  <c r="R633" i="20"/>
  <c r="R632" i="20"/>
  <c r="R631" i="20"/>
  <c r="R630" i="20"/>
  <c r="R629" i="20"/>
  <c r="R628" i="20"/>
  <c r="R627" i="20"/>
  <c r="R626" i="20"/>
  <c r="R625" i="20"/>
  <c r="R624" i="20"/>
  <c r="R623" i="20"/>
  <c r="R622" i="20"/>
  <c r="R621" i="20"/>
  <c r="R620" i="20"/>
  <c r="R619" i="20"/>
  <c r="R618" i="20"/>
  <c r="R617" i="20"/>
  <c r="R616" i="20"/>
  <c r="R615" i="20"/>
  <c r="R614" i="20"/>
  <c r="R613" i="20"/>
  <c r="R612" i="20"/>
  <c r="R611" i="20"/>
  <c r="R610" i="20"/>
  <c r="R609" i="20"/>
  <c r="R608" i="20"/>
  <c r="R607" i="20"/>
  <c r="R606" i="20"/>
  <c r="R605" i="20"/>
  <c r="R604" i="20"/>
  <c r="R603" i="20"/>
  <c r="R602" i="20"/>
  <c r="R601" i="20"/>
  <c r="R600" i="20"/>
  <c r="R599" i="20"/>
  <c r="R598" i="20"/>
  <c r="R597" i="20"/>
  <c r="R596" i="20"/>
  <c r="R595" i="20"/>
  <c r="R594" i="20"/>
  <c r="R593" i="20"/>
  <c r="R592" i="20"/>
  <c r="R591" i="20"/>
  <c r="R590" i="20"/>
  <c r="R589" i="20"/>
  <c r="R588" i="20"/>
  <c r="R587" i="20"/>
  <c r="R586" i="20"/>
  <c r="R585" i="20"/>
  <c r="R584" i="20"/>
  <c r="R583" i="20"/>
  <c r="R582" i="20"/>
  <c r="R581" i="20"/>
  <c r="R580" i="20"/>
  <c r="R579" i="20"/>
  <c r="R578" i="20"/>
  <c r="R577" i="20"/>
  <c r="R576" i="20"/>
  <c r="R575" i="20"/>
  <c r="R574" i="20"/>
  <c r="R573" i="20"/>
  <c r="R572" i="20"/>
  <c r="R571" i="20"/>
  <c r="R570" i="20"/>
  <c r="R569" i="20"/>
  <c r="R568" i="20"/>
  <c r="R567" i="20"/>
  <c r="R566" i="20"/>
  <c r="R565" i="20"/>
  <c r="R564" i="20"/>
  <c r="R563" i="20"/>
  <c r="R562" i="20"/>
  <c r="R561" i="20"/>
  <c r="R560" i="20"/>
  <c r="R559" i="20"/>
  <c r="R558" i="20"/>
  <c r="R557" i="20"/>
  <c r="R556" i="20"/>
  <c r="R555" i="20"/>
  <c r="R554" i="20"/>
  <c r="R553" i="20"/>
  <c r="R552" i="20"/>
  <c r="R551" i="20"/>
  <c r="R550" i="20"/>
  <c r="R549" i="20"/>
  <c r="R548" i="20"/>
  <c r="R547" i="20"/>
  <c r="R546" i="20"/>
  <c r="R545" i="20"/>
  <c r="R544" i="20"/>
  <c r="R543" i="20"/>
  <c r="R542" i="20"/>
  <c r="R541" i="20"/>
  <c r="R540" i="20"/>
  <c r="R539" i="20"/>
  <c r="R538" i="20"/>
  <c r="R537" i="20"/>
  <c r="R536" i="20"/>
  <c r="R535" i="20"/>
  <c r="R534" i="20"/>
  <c r="R533" i="20"/>
  <c r="R532" i="20"/>
  <c r="R531" i="20"/>
  <c r="R530" i="20"/>
  <c r="R529" i="20"/>
  <c r="R528" i="20"/>
  <c r="R527" i="20"/>
  <c r="R526" i="20"/>
  <c r="R525" i="20"/>
  <c r="R524" i="20"/>
  <c r="R523" i="20"/>
  <c r="R522" i="20"/>
  <c r="R521" i="20"/>
  <c r="R520" i="20"/>
  <c r="R519" i="20"/>
  <c r="R518" i="20"/>
  <c r="R517" i="20"/>
  <c r="R516" i="20"/>
  <c r="R515" i="20"/>
  <c r="R514" i="20"/>
  <c r="R513" i="20"/>
  <c r="R512" i="20"/>
  <c r="R511" i="20"/>
  <c r="R510" i="20"/>
  <c r="R509" i="20"/>
  <c r="R508" i="20"/>
  <c r="R507" i="20"/>
  <c r="R506" i="20"/>
  <c r="R505" i="20"/>
  <c r="R504" i="20"/>
  <c r="R503" i="20"/>
  <c r="R502" i="20"/>
  <c r="R501" i="20"/>
  <c r="R500" i="20"/>
  <c r="R499" i="20"/>
  <c r="R498" i="20"/>
  <c r="R497" i="20"/>
  <c r="R496" i="20"/>
  <c r="R495" i="20"/>
  <c r="R494" i="20"/>
  <c r="R493" i="20"/>
  <c r="R492" i="20"/>
  <c r="R491" i="20"/>
  <c r="R490" i="20"/>
  <c r="R489" i="20"/>
  <c r="R488" i="20"/>
  <c r="R487" i="20"/>
  <c r="R486" i="20"/>
  <c r="R485" i="20"/>
  <c r="R484" i="20"/>
  <c r="R483" i="20"/>
  <c r="R482" i="20"/>
  <c r="R481" i="20"/>
  <c r="R480" i="20"/>
  <c r="R479" i="20"/>
  <c r="R478" i="20"/>
  <c r="R477" i="20"/>
  <c r="R476" i="20"/>
  <c r="R475" i="20"/>
  <c r="R474" i="20"/>
  <c r="R473" i="20"/>
  <c r="R472" i="20"/>
  <c r="R471" i="20"/>
  <c r="R470" i="20"/>
  <c r="R469" i="20"/>
  <c r="R468" i="20"/>
  <c r="R467" i="20"/>
  <c r="R466" i="20"/>
  <c r="R465" i="20"/>
  <c r="R464" i="20"/>
  <c r="R463" i="20"/>
  <c r="R462" i="20"/>
  <c r="R461" i="20"/>
  <c r="R460" i="20"/>
  <c r="R459" i="20"/>
  <c r="R458" i="20"/>
  <c r="R457" i="20"/>
  <c r="R456" i="20"/>
  <c r="R455" i="20"/>
  <c r="R453" i="20"/>
  <c r="R452" i="20"/>
  <c r="R451" i="20"/>
  <c r="R450" i="20"/>
  <c r="R449" i="20"/>
  <c r="R448" i="20"/>
  <c r="R447" i="20"/>
  <c r="R446" i="20"/>
  <c r="R445" i="20"/>
  <c r="R444" i="20"/>
  <c r="R443" i="20"/>
  <c r="R442" i="20"/>
  <c r="R441" i="20"/>
  <c r="R440" i="20"/>
  <c r="R439" i="20"/>
  <c r="R438" i="20"/>
  <c r="R437" i="20"/>
  <c r="R436" i="20"/>
  <c r="R435" i="20"/>
  <c r="R434" i="20"/>
  <c r="R433" i="20"/>
  <c r="R432" i="20"/>
  <c r="R431" i="20"/>
  <c r="R430" i="20"/>
  <c r="R429" i="20"/>
  <c r="R428" i="20"/>
  <c r="R427" i="20"/>
  <c r="R426" i="20"/>
  <c r="R425" i="20"/>
  <c r="R424" i="20"/>
  <c r="R423" i="20"/>
  <c r="R422" i="20"/>
  <c r="R421" i="20"/>
  <c r="R420" i="20"/>
  <c r="R419" i="20"/>
  <c r="R418" i="20"/>
  <c r="R417" i="20"/>
  <c r="R416" i="20"/>
  <c r="R415" i="20"/>
  <c r="R414" i="20"/>
  <c r="R413" i="20"/>
  <c r="R412" i="20"/>
  <c r="R411" i="20"/>
  <c r="R410" i="20"/>
  <c r="R409" i="20"/>
  <c r="R408" i="20"/>
  <c r="R407" i="20"/>
  <c r="R406" i="20"/>
  <c r="R405" i="20"/>
  <c r="R404" i="20"/>
  <c r="R403" i="20"/>
  <c r="R402" i="20"/>
  <c r="R401" i="20"/>
  <c r="R400" i="20"/>
  <c r="R399" i="20"/>
  <c r="R398" i="20"/>
  <c r="R397" i="20"/>
  <c r="R396" i="20"/>
  <c r="R395" i="20"/>
  <c r="R394" i="20"/>
  <c r="R393" i="20"/>
  <c r="R392" i="20"/>
  <c r="R391" i="20"/>
  <c r="R390" i="20"/>
  <c r="R389" i="20"/>
  <c r="R388" i="20"/>
  <c r="R387" i="20"/>
  <c r="R386" i="20"/>
  <c r="R385" i="20"/>
  <c r="R384" i="20"/>
  <c r="R383" i="20"/>
  <c r="R382" i="20"/>
  <c r="R381" i="20"/>
  <c r="R380" i="20"/>
  <c r="R379" i="20"/>
  <c r="R378" i="20"/>
  <c r="R377" i="20"/>
  <c r="R376" i="20"/>
  <c r="R375" i="20"/>
  <c r="R374" i="20"/>
  <c r="R373" i="20"/>
  <c r="R372" i="20"/>
  <c r="R371" i="20"/>
  <c r="R370" i="20"/>
  <c r="R369" i="20"/>
  <c r="R368" i="20"/>
  <c r="R367" i="20"/>
  <c r="R366" i="20"/>
  <c r="R365" i="20"/>
  <c r="R364" i="20"/>
  <c r="R363" i="20"/>
  <c r="R362" i="20"/>
  <c r="R361" i="20"/>
  <c r="R360" i="20"/>
  <c r="R359" i="20"/>
  <c r="R358" i="20"/>
  <c r="R357" i="20"/>
  <c r="R356" i="20"/>
  <c r="R355" i="20"/>
  <c r="R354" i="20"/>
  <c r="R353" i="20"/>
  <c r="R352" i="20"/>
  <c r="R351" i="20"/>
  <c r="R350" i="20"/>
  <c r="R349" i="20"/>
  <c r="R348" i="20"/>
  <c r="R347" i="20"/>
  <c r="R346" i="20"/>
  <c r="R345" i="20"/>
  <c r="R344" i="20"/>
  <c r="R343" i="20"/>
  <c r="R342" i="20"/>
  <c r="R341" i="20"/>
  <c r="R340" i="20"/>
  <c r="R339" i="20"/>
  <c r="R338" i="20"/>
  <c r="R337" i="20"/>
  <c r="R336" i="20"/>
  <c r="R335" i="20"/>
  <c r="R334" i="20"/>
  <c r="R333" i="20"/>
  <c r="R332" i="20"/>
  <c r="R331" i="20"/>
  <c r="R330" i="20"/>
  <c r="R329" i="20"/>
  <c r="R328" i="20"/>
  <c r="R327" i="20"/>
  <c r="R326" i="20"/>
  <c r="R325" i="20"/>
  <c r="R324" i="20"/>
  <c r="R323" i="20"/>
  <c r="R322" i="20"/>
  <c r="R321" i="20"/>
  <c r="R320" i="20"/>
  <c r="R319" i="20"/>
  <c r="R318" i="20"/>
  <c r="R317" i="20"/>
  <c r="R316" i="20"/>
  <c r="R315" i="20"/>
  <c r="R314" i="20"/>
  <c r="R313" i="20"/>
  <c r="R312" i="20"/>
  <c r="R311" i="20"/>
  <c r="R310" i="20"/>
  <c r="R309" i="20"/>
  <c r="R308" i="20"/>
  <c r="R307" i="20"/>
  <c r="R306" i="20"/>
  <c r="R305" i="20"/>
  <c r="R304" i="20"/>
  <c r="R303" i="20"/>
  <c r="R302" i="20"/>
  <c r="R301" i="20"/>
  <c r="R300" i="20"/>
  <c r="R299" i="20"/>
  <c r="R298" i="20"/>
  <c r="R297" i="20"/>
  <c r="R296" i="20"/>
  <c r="R295" i="20"/>
  <c r="R294" i="20"/>
  <c r="R293" i="20"/>
  <c r="R292" i="20"/>
  <c r="R291" i="20"/>
  <c r="R290" i="20"/>
  <c r="R289" i="20"/>
  <c r="R288" i="20"/>
  <c r="R287" i="20"/>
  <c r="R286" i="20"/>
  <c r="R285" i="20"/>
  <c r="R284" i="20"/>
  <c r="R283" i="20"/>
  <c r="R282" i="20"/>
  <c r="R281" i="20"/>
  <c r="R280" i="20"/>
  <c r="R279" i="20"/>
  <c r="R278" i="20"/>
  <c r="R277" i="20"/>
  <c r="R276" i="20"/>
  <c r="R275" i="20"/>
  <c r="R274" i="20"/>
  <c r="R273" i="20"/>
  <c r="R272" i="20"/>
  <c r="R271" i="20"/>
  <c r="R270" i="20"/>
  <c r="R269" i="20"/>
  <c r="R268" i="20"/>
  <c r="R267" i="20"/>
  <c r="R266" i="20"/>
  <c r="R265" i="20"/>
  <c r="R264" i="20"/>
  <c r="R263" i="20"/>
  <c r="R262" i="20"/>
  <c r="R261" i="20"/>
  <c r="R260" i="20"/>
  <c r="R259" i="20"/>
  <c r="R258" i="20"/>
  <c r="R257" i="20"/>
  <c r="R256" i="20"/>
  <c r="R255" i="20"/>
  <c r="R254" i="20"/>
  <c r="R253" i="20"/>
  <c r="R252" i="20"/>
  <c r="R251" i="20"/>
  <c r="R250" i="20"/>
  <c r="R249" i="20"/>
  <c r="R248" i="20"/>
  <c r="R247" i="20"/>
  <c r="R246" i="20"/>
  <c r="R245" i="20"/>
  <c r="R244" i="20"/>
  <c r="R243" i="20"/>
  <c r="R242" i="20"/>
  <c r="R241" i="20"/>
  <c r="R240" i="20"/>
  <c r="R239" i="20"/>
  <c r="R238" i="20"/>
  <c r="R237" i="20"/>
  <c r="R236" i="20"/>
  <c r="R235" i="20"/>
  <c r="R234" i="20"/>
  <c r="R233" i="20"/>
  <c r="R232" i="20"/>
  <c r="R231" i="20"/>
  <c r="R230" i="20"/>
  <c r="R229" i="20"/>
  <c r="R228" i="20"/>
  <c r="R227" i="20"/>
  <c r="R226" i="20"/>
  <c r="R225" i="20"/>
  <c r="R224" i="20"/>
  <c r="R223" i="20"/>
  <c r="R222" i="20"/>
  <c r="R221" i="20"/>
  <c r="R220" i="20"/>
  <c r="R219" i="20"/>
  <c r="R218" i="20"/>
  <c r="R217" i="20"/>
  <c r="R216" i="20"/>
  <c r="R215" i="20"/>
  <c r="R214" i="20"/>
  <c r="R213" i="20"/>
  <c r="R212" i="20"/>
  <c r="R211" i="20"/>
  <c r="R210" i="20"/>
  <c r="R209" i="20"/>
  <c r="R208" i="20"/>
  <c r="R207" i="20"/>
  <c r="R206" i="20"/>
  <c r="R205" i="20"/>
  <c r="R204" i="20"/>
  <c r="R203" i="20"/>
  <c r="R202" i="20"/>
  <c r="R201" i="20"/>
  <c r="R200" i="20"/>
  <c r="R199" i="20"/>
  <c r="R198" i="20"/>
  <c r="R197" i="20"/>
  <c r="R196" i="20"/>
  <c r="R195" i="20"/>
  <c r="R194" i="20"/>
  <c r="R193" i="20"/>
  <c r="R192" i="20"/>
  <c r="R191" i="20"/>
  <c r="R190" i="20"/>
  <c r="R189" i="20"/>
  <c r="R188" i="20"/>
  <c r="R187" i="20"/>
  <c r="R186" i="20"/>
  <c r="R185" i="20"/>
  <c r="R184"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2" i="20"/>
  <c r="R11" i="20"/>
  <c r="R10" i="20"/>
  <c r="R9" i="20"/>
  <c r="R8" i="20"/>
  <c r="R7" i="20"/>
  <c r="R6" i="20"/>
  <c r="R5" i="20"/>
  <c r="R3" i="20"/>
  <c r="R2" i="20"/>
  <c r="T1238" i="20"/>
  <c r="T1237" i="20"/>
  <c r="T1236" i="20"/>
  <c r="T1235" i="20"/>
  <c r="T1234" i="20"/>
  <c r="T1233" i="20"/>
  <c r="T1232" i="20"/>
  <c r="T1231" i="20"/>
  <c r="T1230" i="20"/>
  <c r="T1229" i="20"/>
  <c r="T1228" i="20"/>
  <c r="T1227" i="20"/>
  <c r="T1226" i="20"/>
  <c r="T1225" i="20"/>
  <c r="T1224" i="20"/>
  <c r="T1223" i="20"/>
  <c r="T1222" i="20"/>
  <c r="T1221" i="20"/>
  <c r="T1220" i="20"/>
  <c r="T1219" i="20"/>
  <c r="T1218" i="20"/>
  <c r="T1217" i="20"/>
  <c r="T1216" i="20"/>
  <c r="T1215" i="20"/>
  <c r="T1214" i="20"/>
  <c r="T1213" i="20"/>
  <c r="T1212" i="20"/>
  <c r="T1211" i="20"/>
  <c r="T1210" i="20"/>
  <c r="T1209" i="20"/>
  <c r="T1208" i="20"/>
  <c r="T1207" i="20"/>
  <c r="T1206" i="20"/>
  <c r="T1205" i="20"/>
  <c r="T1204" i="20"/>
  <c r="T1203" i="20"/>
  <c r="T1202" i="20"/>
  <c r="T1201" i="20"/>
  <c r="T1200" i="20"/>
  <c r="T1199" i="20"/>
  <c r="T1198" i="20"/>
  <c r="T1197" i="20"/>
  <c r="T1196" i="20"/>
  <c r="T1195" i="20"/>
  <c r="T1194" i="20"/>
  <c r="T1193" i="20"/>
  <c r="T1192" i="20"/>
  <c r="T1191" i="20"/>
  <c r="T1190" i="20"/>
  <c r="T1189" i="20"/>
  <c r="T1188" i="20"/>
  <c r="T1187" i="20"/>
  <c r="T1186" i="20"/>
  <c r="T1185" i="20"/>
  <c r="T1184" i="20"/>
  <c r="T1183" i="20"/>
  <c r="T1182" i="20"/>
  <c r="T1181" i="20"/>
  <c r="T1180" i="20"/>
  <c r="T1179" i="20"/>
  <c r="T1178" i="20"/>
  <c r="T1177" i="20"/>
  <c r="T1176" i="20"/>
  <c r="T1175" i="20"/>
  <c r="T1174" i="20"/>
  <c r="T1173" i="20"/>
  <c r="T1172" i="20"/>
  <c r="T1171" i="20"/>
  <c r="T1170" i="20"/>
  <c r="T1169" i="20"/>
  <c r="T1168" i="20"/>
  <c r="T1167" i="20"/>
  <c r="T1166" i="20"/>
  <c r="T1165" i="20"/>
  <c r="T1164" i="20"/>
  <c r="T1163" i="20"/>
  <c r="T1162" i="20"/>
  <c r="T1161" i="20"/>
  <c r="T1160" i="20"/>
  <c r="T1159" i="20"/>
  <c r="T1158" i="20"/>
  <c r="T1157" i="20"/>
  <c r="T1156" i="20"/>
  <c r="T1155" i="20"/>
  <c r="T1154" i="20"/>
  <c r="T1153" i="20"/>
  <c r="T1152" i="20"/>
  <c r="T1151" i="20"/>
  <c r="T1150" i="20"/>
  <c r="T1149" i="20"/>
  <c r="T1148" i="20"/>
  <c r="T1147" i="20"/>
  <c r="T1146" i="20"/>
  <c r="T1145" i="20"/>
  <c r="T1144" i="20"/>
  <c r="T1143" i="20"/>
  <c r="T1142" i="20"/>
  <c r="T1141" i="20"/>
  <c r="T1140" i="20"/>
  <c r="T1139" i="20"/>
  <c r="T1138" i="20"/>
  <c r="T1137" i="20"/>
  <c r="T1136" i="20"/>
  <c r="T1135" i="20"/>
  <c r="T1134" i="20"/>
  <c r="T1133" i="20"/>
  <c r="T1132" i="20"/>
  <c r="T1131" i="20"/>
  <c r="T1130" i="20"/>
  <c r="T1129" i="20"/>
  <c r="T1128" i="20"/>
  <c r="T1127" i="20"/>
  <c r="T1126" i="20"/>
  <c r="T1125" i="20"/>
  <c r="T1124" i="20"/>
  <c r="T1123" i="20"/>
  <c r="T1122" i="20"/>
  <c r="T1121" i="20"/>
  <c r="T1120" i="20"/>
  <c r="T1119" i="20"/>
  <c r="T1118" i="20"/>
  <c r="T1117" i="20"/>
  <c r="T1116" i="20"/>
  <c r="T1115" i="20"/>
  <c r="T1114" i="20"/>
  <c r="T1113" i="20"/>
  <c r="T1112" i="20"/>
  <c r="T1111" i="20"/>
  <c r="T1110" i="20"/>
  <c r="T1109" i="20"/>
  <c r="T1108" i="20"/>
  <c r="T1107" i="20"/>
  <c r="T1106" i="20"/>
  <c r="T1105" i="20"/>
  <c r="T1104" i="20"/>
  <c r="T1103" i="20"/>
  <c r="T1102" i="20"/>
  <c r="T1101" i="20"/>
  <c r="T1100" i="20"/>
  <c r="T1099" i="20"/>
  <c r="T1098" i="20"/>
  <c r="T1097" i="20"/>
  <c r="T1096" i="20"/>
  <c r="T1095" i="20"/>
  <c r="T1094" i="20"/>
  <c r="T1093" i="20"/>
  <c r="T1092" i="20"/>
  <c r="T1091" i="20"/>
  <c r="T1090" i="20"/>
  <c r="T1089" i="20"/>
  <c r="T1088" i="20"/>
  <c r="T1087" i="20"/>
  <c r="T1086" i="20"/>
  <c r="T1085" i="20"/>
  <c r="T1084" i="20"/>
  <c r="T1083" i="20"/>
  <c r="T1082" i="20"/>
  <c r="T1081" i="20"/>
  <c r="T1080" i="20"/>
  <c r="T1079" i="20"/>
  <c r="T1078" i="20"/>
  <c r="T1077" i="20"/>
  <c r="T1076" i="20"/>
  <c r="T1075" i="20"/>
  <c r="T1074" i="20"/>
  <c r="T1073" i="20"/>
  <c r="T1072" i="20"/>
  <c r="T1071" i="20"/>
  <c r="T1070" i="20"/>
  <c r="T1069" i="20"/>
  <c r="T1068" i="20"/>
  <c r="T1067" i="20"/>
  <c r="T1066" i="20"/>
  <c r="T1065" i="20"/>
  <c r="T1064" i="20"/>
  <c r="T1063" i="20"/>
  <c r="T1062" i="20"/>
  <c r="T1061" i="20"/>
  <c r="T1060" i="20"/>
  <c r="T1059" i="20"/>
  <c r="T1058" i="20"/>
  <c r="T1057" i="20"/>
  <c r="T1056" i="20"/>
  <c r="T1055" i="20"/>
  <c r="T1054" i="20"/>
  <c r="T1053" i="20"/>
  <c r="T1052" i="20"/>
  <c r="T1051" i="20"/>
  <c r="T1050" i="20"/>
  <c r="T1049" i="20"/>
  <c r="T1048" i="20"/>
  <c r="T1047" i="20"/>
  <c r="T1046" i="20"/>
  <c r="T1045" i="20"/>
  <c r="T1044" i="20"/>
  <c r="T1043" i="20"/>
  <c r="T1042" i="20"/>
  <c r="T1041" i="20"/>
  <c r="T1040" i="20"/>
  <c r="T1039" i="20"/>
  <c r="T1038" i="20"/>
  <c r="T1037" i="20"/>
  <c r="T1036" i="20"/>
  <c r="T1035" i="20"/>
  <c r="T1034" i="20"/>
  <c r="T1033" i="20"/>
  <c r="T1032" i="20"/>
  <c r="T1031" i="20"/>
  <c r="T1030" i="20"/>
  <c r="T1029" i="20"/>
  <c r="T1028" i="20"/>
  <c r="T1027" i="20"/>
  <c r="T1026" i="20"/>
  <c r="T1025" i="20"/>
  <c r="T1024" i="20"/>
  <c r="T1023" i="20"/>
  <c r="T1022" i="20"/>
  <c r="T1021" i="20"/>
  <c r="T1020" i="20"/>
  <c r="T1019" i="20"/>
  <c r="T1018" i="20"/>
  <c r="T1017" i="20"/>
  <c r="T1016" i="20"/>
  <c r="T1015" i="20"/>
  <c r="T1014" i="20"/>
  <c r="T1013" i="20"/>
  <c r="T1012" i="20"/>
  <c r="T1011" i="20"/>
  <c r="T1010" i="20"/>
  <c r="T1009" i="20"/>
  <c r="T1008" i="20"/>
  <c r="T1007" i="20"/>
  <c r="T1006" i="20"/>
  <c r="T1005" i="20"/>
  <c r="T1004" i="20"/>
  <c r="T1003" i="20"/>
  <c r="T1002" i="20"/>
  <c r="T1001" i="20"/>
  <c r="T1000" i="20"/>
  <c r="T999" i="20"/>
  <c r="T998" i="20"/>
  <c r="T997" i="20"/>
  <c r="T996" i="20"/>
  <c r="T995" i="20"/>
  <c r="T994" i="20"/>
  <c r="T993" i="20"/>
  <c r="T992" i="20"/>
  <c r="T991" i="20"/>
  <c r="T990" i="20"/>
  <c r="T989" i="20"/>
  <c r="T988" i="20"/>
  <c r="T987" i="20"/>
  <c r="T986" i="20"/>
  <c r="T985" i="20"/>
  <c r="T984" i="20"/>
  <c r="T983" i="20"/>
  <c r="T982" i="20"/>
  <c r="T981" i="20"/>
  <c r="T980" i="20"/>
  <c r="T979" i="20"/>
  <c r="T978" i="20"/>
  <c r="T977" i="20"/>
  <c r="T976" i="20"/>
  <c r="T975" i="20"/>
  <c r="T974" i="20"/>
  <c r="T973" i="20"/>
  <c r="T972" i="20"/>
  <c r="T971" i="20"/>
  <c r="T970" i="20"/>
  <c r="T969" i="20"/>
  <c r="T968" i="20"/>
  <c r="T967" i="20"/>
  <c r="T966" i="20"/>
  <c r="T965" i="20"/>
  <c r="T964" i="20"/>
  <c r="T963" i="20"/>
  <c r="T962" i="20"/>
  <c r="T961" i="20"/>
  <c r="T960" i="20"/>
  <c r="T959" i="20"/>
  <c r="T958" i="20"/>
  <c r="T957" i="20"/>
  <c r="T956" i="20"/>
  <c r="T955" i="20"/>
  <c r="T954" i="20"/>
  <c r="T953" i="20"/>
  <c r="T952" i="20"/>
  <c r="T951" i="20"/>
  <c r="T950" i="20"/>
  <c r="T949" i="20"/>
  <c r="T948" i="20"/>
  <c r="T947" i="20"/>
  <c r="T946" i="20"/>
  <c r="T945" i="20"/>
  <c r="T944" i="20"/>
  <c r="T943" i="20"/>
  <c r="T942" i="20"/>
  <c r="T941" i="20"/>
  <c r="T940" i="20"/>
  <c r="T939" i="20"/>
  <c r="T938" i="20"/>
  <c r="T937" i="20"/>
  <c r="T936" i="20"/>
  <c r="T935" i="20"/>
  <c r="T934" i="20"/>
  <c r="T933" i="20"/>
  <c r="T932" i="20"/>
  <c r="T931" i="20"/>
  <c r="T930" i="20"/>
  <c r="T929" i="20"/>
  <c r="T928" i="20"/>
  <c r="T927" i="20"/>
  <c r="T926" i="20"/>
  <c r="T925" i="20"/>
  <c r="T924" i="20"/>
  <c r="T923" i="20"/>
  <c r="T922" i="20"/>
  <c r="T921" i="20"/>
  <c r="T920" i="20"/>
  <c r="T919" i="20"/>
  <c r="T918" i="20"/>
  <c r="T917" i="20"/>
  <c r="T916" i="20"/>
  <c r="T915" i="20"/>
  <c r="T914" i="20"/>
  <c r="T913" i="20"/>
  <c r="T912" i="20"/>
  <c r="T911" i="20"/>
  <c r="T910" i="20"/>
  <c r="T909" i="20"/>
  <c r="T908" i="20"/>
  <c r="T907" i="20"/>
  <c r="T906" i="20"/>
  <c r="T905" i="20"/>
  <c r="T904" i="20"/>
  <c r="T903" i="20"/>
  <c r="T902" i="20"/>
  <c r="T901" i="20"/>
  <c r="T900" i="20"/>
  <c r="T899" i="20"/>
  <c r="T898" i="20"/>
  <c r="T897" i="20"/>
  <c r="T896" i="20"/>
  <c r="T895" i="20"/>
  <c r="T894" i="20"/>
  <c r="T893" i="20"/>
  <c r="T892" i="20"/>
  <c r="T891" i="20"/>
  <c r="T890" i="20"/>
  <c r="T889" i="20"/>
  <c r="T888" i="20"/>
  <c r="T887" i="20"/>
  <c r="T886" i="20"/>
  <c r="T885" i="20"/>
  <c r="T884" i="20"/>
  <c r="T883" i="20"/>
  <c r="T882" i="20"/>
  <c r="T881" i="20"/>
  <c r="T880" i="20"/>
  <c r="T879" i="20"/>
  <c r="T878" i="20"/>
  <c r="T877" i="20"/>
  <c r="T876" i="20"/>
  <c r="T875" i="20"/>
  <c r="T874" i="20"/>
  <c r="T873" i="20"/>
  <c r="T872" i="20"/>
  <c r="T871" i="20"/>
  <c r="T870" i="20"/>
  <c r="T869" i="20"/>
  <c r="T868" i="20"/>
  <c r="T867" i="20"/>
  <c r="T866" i="20"/>
  <c r="T865" i="20"/>
  <c r="T864" i="20"/>
  <c r="T863" i="20"/>
  <c r="T862" i="20"/>
  <c r="T861" i="20"/>
  <c r="T860" i="20"/>
  <c r="T859" i="20"/>
  <c r="T858" i="20"/>
  <c r="T857" i="20"/>
  <c r="T856" i="20"/>
  <c r="T855" i="20"/>
  <c r="T854" i="20"/>
  <c r="T853" i="20"/>
  <c r="T852" i="20"/>
  <c r="T851" i="20"/>
  <c r="T850" i="20"/>
  <c r="T849" i="20"/>
  <c r="T848" i="20"/>
  <c r="T847" i="20"/>
  <c r="T846" i="20"/>
  <c r="T845" i="20"/>
  <c r="T844" i="20"/>
  <c r="T843" i="20"/>
  <c r="T842" i="20"/>
  <c r="T841" i="20"/>
  <c r="T840" i="20"/>
  <c r="T839" i="20"/>
  <c r="T838" i="20"/>
  <c r="T837" i="20"/>
  <c r="T836" i="20"/>
  <c r="T835" i="20"/>
  <c r="T834" i="20"/>
  <c r="T833" i="20"/>
  <c r="T832" i="20"/>
  <c r="T831" i="20"/>
  <c r="T830" i="20"/>
  <c r="T829" i="20"/>
  <c r="T828" i="20"/>
  <c r="T827" i="20"/>
  <c r="T826" i="20"/>
  <c r="T825" i="20"/>
  <c r="T824" i="20"/>
  <c r="T823" i="20"/>
  <c r="T822" i="20"/>
  <c r="T821" i="20"/>
  <c r="T820" i="20"/>
  <c r="T819" i="20"/>
  <c r="T818" i="20"/>
  <c r="T817" i="20"/>
  <c r="T816" i="20"/>
  <c r="T815" i="20"/>
  <c r="T814" i="20"/>
  <c r="T813" i="20"/>
  <c r="T812" i="20"/>
  <c r="T811" i="20"/>
  <c r="T810" i="20"/>
  <c r="T809" i="20"/>
  <c r="T808" i="20"/>
  <c r="T807" i="20"/>
  <c r="T806" i="20"/>
  <c r="T805" i="20"/>
  <c r="T804" i="20"/>
  <c r="T803" i="20"/>
  <c r="T802" i="20"/>
  <c r="T801" i="20"/>
  <c r="T800" i="20"/>
  <c r="T799" i="20"/>
  <c r="T798" i="20"/>
  <c r="T797" i="20"/>
  <c r="T796" i="20"/>
  <c r="T795" i="20"/>
  <c r="T794" i="20"/>
  <c r="T793" i="20"/>
  <c r="T792" i="20"/>
  <c r="T791" i="20"/>
  <c r="T790" i="20"/>
  <c r="T789" i="20"/>
  <c r="T788" i="20"/>
  <c r="T787" i="20"/>
  <c r="T786" i="20"/>
  <c r="T785" i="20"/>
  <c r="T784" i="20"/>
  <c r="T783" i="20"/>
  <c r="T782" i="20"/>
  <c r="T781" i="20"/>
  <c r="T780" i="20"/>
  <c r="T779" i="20"/>
  <c r="T778" i="20"/>
  <c r="T777" i="20"/>
  <c r="T776" i="20"/>
  <c r="T775" i="20"/>
  <c r="T774" i="20"/>
  <c r="T773" i="20"/>
  <c r="T772" i="20"/>
  <c r="T771" i="20"/>
  <c r="T770" i="20"/>
  <c r="T769" i="20"/>
  <c r="T768" i="20"/>
  <c r="T767" i="20"/>
  <c r="T766" i="20"/>
  <c r="T765" i="20"/>
  <c r="T764" i="20"/>
  <c r="T763" i="20"/>
  <c r="T762" i="20"/>
  <c r="T761" i="20"/>
  <c r="T760" i="20"/>
  <c r="T759" i="20"/>
  <c r="T758" i="20"/>
  <c r="T757" i="20"/>
  <c r="T756" i="20"/>
  <c r="T755" i="20"/>
  <c r="T754" i="20"/>
  <c r="T753" i="20"/>
  <c r="T752" i="20"/>
  <c r="T751" i="20"/>
  <c r="T750" i="20"/>
  <c r="T749" i="20"/>
  <c r="T748" i="20"/>
  <c r="T747" i="20"/>
  <c r="T746" i="20"/>
  <c r="T745" i="20"/>
  <c r="T744" i="20"/>
  <c r="T743" i="20"/>
  <c r="T742" i="20"/>
  <c r="T741" i="20"/>
  <c r="T740" i="20"/>
  <c r="T739" i="20"/>
  <c r="T738" i="20"/>
  <c r="T737" i="20"/>
  <c r="T736" i="20"/>
  <c r="T735" i="20"/>
  <c r="T734" i="20"/>
  <c r="T733" i="20"/>
  <c r="T732" i="20"/>
  <c r="T731" i="20"/>
  <c r="T730" i="20"/>
  <c r="T729" i="20"/>
  <c r="T728" i="20"/>
  <c r="T727" i="20"/>
  <c r="T726" i="20"/>
  <c r="T725" i="20"/>
  <c r="T724" i="20"/>
  <c r="T723" i="20"/>
  <c r="T722" i="20"/>
  <c r="T721" i="20"/>
  <c r="T720" i="20"/>
  <c r="T719" i="20"/>
  <c r="T718" i="20"/>
  <c r="T717" i="20"/>
  <c r="T716" i="20"/>
  <c r="T715" i="20"/>
  <c r="T714" i="20"/>
  <c r="T713" i="20"/>
  <c r="T712" i="20"/>
  <c r="T711" i="20"/>
  <c r="T710" i="20"/>
  <c r="T709" i="20"/>
  <c r="T708" i="20"/>
  <c r="T707" i="20"/>
  <c r="T706" i="20"/>
  <c r="T705" i="20"/>
  <c r="T704" i="20"/>
  <c r="T703" i="20"/>
  <c r="T702" i="20"/>
  <c r="T701" i="20"/>
  <c r="T700" i="20"/>
  <c r="T699" i="20"/>
  <c r="T698" i="20"/>
  <c r="T697" i="20"/>
  <c r="T696" i="20"/>
  <c r="T695" i="20"/>
  <c r="T694" i="20"/>
  <c r="T693" i="20"/>
  <c r="T692" i="20"/>
  <c r="T691" i="20"/>
  <c r="T690" i="20"/>
  <c r="T689" i="20"/>
  <c r="T688" i="20"/>
  <c r="T687" i="20"/>
  <c r="T686" i="20"/>
  <c r="T685" i="20"/>
  <c r="T684" i="20"/>
  <c r="T683" i="20"/>
  <c r="T682" i="20"/>
  <c r="T681" i="20"/>
  <c r="T680" i="20"/>
  <c r="T679" i="20"/>
  <c r="T678" i="20"/>
  <c r="T677" i="20"/>
  <c r="T676" i="20"/>
  <c r="T675" i="20"/>
  <c r="T674" i="20"/>
  <c r="T673" i="20"/>
  <c r="T672" i="20"/>
  <c r="T671" i="20"/>
  <c r="T670" i="20"/>
  <c r="T669" i="20"/>
  <c r="T668" i="20"/>
  <c r="T667" i="20"/>
  <c r="T666" i="20"/>
  <c r="T665" i="20"/>
  <c r="T664" i="20"/>
  <c r="T663" i="20"/>
  <c r="T662" i="20"/>
  <c r="T661" i="20"/>
  <c r="T660" i="20"/>
  <c r="T659" i="20"/>
  <c r="T658" i="20"/>
  <c r="T657" i="20"/>
  <c r="T656" i="20"/>
  <c r="T655" i="20"/>
  <c r="T654" i="20"/>
  <c r="T653" i="20"/>
  <c r="T652" i="20"/>
  <c r="T651" i="20"/>
  <c r="T650" i="20"/>
  <c r="T649" i="20"/>
  <c r="T648" i="20"/>
  <c r="T647" i="20"/>
  <c r="T646" i="20"/>
  <c r="T645" i="20"/>
  <c r="T644" i="20"/>
  <c r="T643" i="20"/>
  <c r="T642" i="20"/>
  <c r="T641" i="20"/>
  <c r="T640" i="20"/>
  <c r="T639" i="20"/>
  <c r="T638" i="20"/>
  <c r="T637" i="20"/>
  <c r="T636" i="20"/>
  <c r="T635" i="20"/>
  <c r="T634" i="20"/>
  <c r="T633" i="20"/>
  <c r="T632" i="20"/>
  <c r="T631" i="20"/>
  <c r="T630" i="20"/>
  <c r="T629" i="20"/>
  <c r="T628" i="20"/>
  <c r="T627" i="20"/>
  <c r="T626" i="20"/>
  <c r="T625" i="20"/>
  <c r="T624" i="20"/>
  <c r="T623" i="20"/>
  <c r="T622" i="20"/>
  <c r="T621" i="20"/>
  <c r="T620" i="20"/>
  <c r="T619" i="20"/>
  <c r="T618" i="20"/>
  <c r="T617" i="20"/>
  <c r="T616" i="20"/>
  <c r="T615" i="20"/>
  <c r="T614" i="20"/>
  <c r="T613" i="20"/>
  <c r="T612" i="20"/>
  <c r="T611" i="20"/>
  <c r="T610" i="20"/>
  <c r="T609" i="20"/>
  <c r="T608" i="20"/>
  <c r="T607" i="20"/>
  <c r="T606" i="20"/>
  <c r="T605" i="20"/>
  <c r="T604" i="20"/>
  <c r="T603" i="20"/>
  <c r="T602" i="20"/>
  <c r="T601" i="20"/>
  <c r="T600" i="20"/>
  <c r="T599" i="20"/>
  <c r="T598" i="20"/>
  <c r="T597" i="20"/>
  <c r="T596" i="20"/>
  <c r="T595" i="20"/>
  <c r="T594" i="20"/>
  <c r="T593" i="20"/>
  <c r="T592" i="20"/>
  <c r="T591" i="20"/>
  <c r="T590" i="20"/>
  <c r="T589" i="20"/>
  <c r="T588" i="20"/>
  <c r="T587" i="20"/>
  <c r="T586" i="20"/>
  <c r="T585" i="20"/>
  <c r="T584" i="20"/>
  <c r="T583" i="20"/>
  <c r="T582" i="20"/>
  <c r="T581" i="20"/>
  <c r="T580" i="20"/>
  <c r="T579" i="20"/>
  <c r="T578" i="20"/>
  <c r="T577" i="20"/>
  <c r="T576" i="20"/>
  <c r="T575" i="20"/>
  <c r="T574" i="20"/>
  <c r="T573" i="20"/>
  <c r="T572" i="20"/>
  <c r="T571" i="20"/>
  <c r="T570" i="20"/>
  <c r="T569" i="20"/>
  <c r="T568" i="20"/>
  <c r="T567" i="20"/>
  <c r="T566" i="20"/>
  <c r="T565" i="20"/>
  <c r="T564" i="20"/>
  <c r="T563" i="20"/>
  <c r="T562" i="20"/>
  <c r="T561" i="20"/>
  <c r="T560" i="20"/>
  <c r="T559" i="20"/>
  <c r="T558" i="20"/>
  <c r="T557" i="20"/>
  <c r="T556" i="20"/>
  <c r="T555" i="20"/>
  <c r="T554" i="20"/>
  <c r="T553" i="20"/>
  <c r="T552" i="20"/>
  <c r="T551" i="20"/>
  <c r="T550" i="20"/>
  <c r="T549" i="20"/>
  <c r="T548" i="20"/>
  <c r="T547" i="20"/>
  <c r="T546" i="20"/>
  <c r="T545" i="20"/>
  <c r="T544" i="20"/>
  <c r="T543" i="20"/>
  <c r="T542" i="20"/>
  <c r="T541" i="20"/>
  <c r="T540" i="20"/>
  <c r="T539" i="20"/>
  <c r="T538" i="20"/>
  <c r="T537" i="20"/>
  <c r="T536" i="20"/>
  <c r="T535" i="20"/>
  <c r="T534" i="20"/>
  <c r="T533" i="20"/>
  <c r="T532" i="20"/>
  <c r="T531" i="20"/>
  <c r="T530" i="20"/>
  <c r="T529" i="20"/>
  <c r="T528" i="20"/>
  <c r="T527" i="20"/>
  <c r="T526" i="20"/>
  <c r="T525" i="20"/>
  <c r="T524" i="20"/>
  <c r="T523" i="20"/>
  <c r="T522" i="20"/>
  <c r="T521" i="20"/>
  <c r="T520" i="20"/>
  <c r="T519" i="20"/>
  <c r="T518" i="20"/>
  <c r="T517" i="20"/>
  <c r="T516" i="20"/>
  <c r="T515" i="20"/>
  <c r="T514" i="20"/>
  <c r="T513" i="20"/>
  <c r="T512" i="20"/>
  <c r="T511" i="20"/>
  <c r="T510" i="20"/>
  <c r="T509" i="20"/>
  <c r="T508" i="20"/>
  <c r="T507" i="20"/>
  <c r="T506" i="20"/>
  <c r="T505" i="20"/>
  <c r="T504" i="20"/>
  <c r="T503" i="20"/>
  <c r="T502" i="20"/>
  <c r="T501" i="20"/>
  <c r="T500" i="20"/>
  <c r="T499" i="20"/>
  <c r="T498" i="20"/>
  <c r="T497" i="20"/>
  <c r="T496" i="20"/>
  <c r="T495" i="20"/>
  <c r="T494" i="20"/>
  <c r="T493" i="20"/>
  <c r="T492" i="20"/>
  <c r="T491" i="20"/>
  <c r="T490" i="20"/>
  <c r="T489" i="20"/>
  <c r="T488" i="20"/>
  <c r="T487" i="20"/>
  <c r="T486" i="20"/>
  <c r="T485" i="20"/>
  <c r="T484" i="20"/>
  <c r="T483" i="20"/>
  <c r="T482" i="20"/>
  <c r="T481" i="20"/>
  <c r="T480" i="20"/>
  <c r="T479" i="20"/>
  <c r="T478" i="20"/>
  <c r="T477" i="20"/>
  <c r="T476" i="20"/>
  <c r="T475" i="20"/>
  <c r="T474" i="20"/>
  <c r="T473" i="20"/>
  <c r="T472" i="20"/>
  <c r="T471" i="20"/>
  <c r="T470" i="20"/>
  <c r="T469" i="20"/>
  <c r="T468" i="20"/>
  <c r="T467" i="20"/>
  <c r="T466" i="20"/>
  <c r="T465" i="20"/>
  <c r="T464" i="20"/>
  <c r="T463" i="20"/>
  <c r="T462" i="20"/>
  <c r="T461" i="20"/>
  <c r="T460" i="20"/>
  <c r="T459" i="20"/>
  <c r="T458" i="20"/>
  <c r="T457" i="20"/>
  <c r="T456" i="20"/>
  <c r="T455" i="20"/>
  <c r="T454" i="20"/>
  <c r="T453" i="20"/>
  <c r="T452" i="20"/>
  <c r="T451" i="20"/>
  <c r="T450" i="20"/>
  <c r="T449" i="20"/>
  <c r="T448" i="20"/>
  <c r="T447" i="20"/>
  <c r="T446" i="20"/>
  <c r="T445" i="20"/>
  <c r="T444" i="20"/>
  <c r="T443" i="20"/>
  <c r="T442" i="20"/>
  <c r="T441" i="20"/>
  <c r="T440" i="20"/>
  <c r="T439" i="20"/>
  <c r="T438" i="20"/>
  <c r="T437" i="20"/>
  <c r="T436" i="20"/>
  <c r="T435" i="20"/>
  <c r="T434" i="20"/>
  <c r="T433" i="20"/>
  <c r="T432" i="20"/>
  <c r="T431" i="20"/>
  <c r="T430" i="20"/>
  <c r="T429" i="20"/>
  <c r="T428" i="20"/>
  <c r="T427" i="20"/>
  <c r="T426" i="20"/>
  <c r="T425" i="20"/>
  <c r="T424" i="20"/>
  <c r="T423" i="20"/>
  <c r="T422" i="20"/>
  <c r="T421" i="20"/>
  <c r="T420" i="20"/>
  <c r="T419" i="20"/>
  <c r="T418" i="20"/>
  <c r="T417" i="20"/>
  <c r="T416" i="20"/>
  <c r="T415" i="20"/>
  <c r="T414" i="20"/>
  <c r="T413" i="20"/>
  <c r="T412" i="20"/>
  <c r="T411" i="20"/>
  <c r="T410" i="20"/>
  <c r="T409" i="20"/>
  <c r="T408" i="20"/>
  <c r="T407" i="20"/>
  <c r="T406" i="20"/>
  <c r="T405" i="20"/>
  <c r="T404" i="20"/>
  <c r="T403" i="20"/>
  <c r="T402" i="20"/>
  <c r="T401" i="20"/>
  <c r="T400" i="20"/>
  <c r="T399" i="20"/>
  <c r="T398" i="20"/>
  <c r="T397" i="20"/>
  <c r="T396" i="20"/>
  <c r="T395" i="20"/>
  <c r="T394" i="20"/>
  <c r="T393" i="20"/>
  <c r="T392" i="20"/>
  <c r="T391" i="20"/>
  <c r="T390" i="20"/>
  <c r="T389" i="20"/>
  <c r="T388" i="20"/>
  <c r="T387" i="20"/>
  <c r="T386" i="20"/>
  <c r="T385" i="20"/>
  <c r="T384" i="20"/>
  <c r="T383" i="20"/>
  <c r="T382" i="20"/>
  <c r="T381" i="20"/>
  <c r="T380" i="20"/>
  <c r="T379" i="20"/>
  <c r="T378" i="20"/>
  <c r="T377" i="20"/>
  <c r="T376" i="20"/>
  <c r="T375" i="20"/>
  <c r="T374" i="20"/>
  <c r="T373" i="20"/>
  <c r="T372" i="20"/>
  <c r="T371" i="20"/>
  <c r="T370" i="20"/>
  <c r="T369" i="20"/>
  <c r="T368" i="20"/>
  <c r="T367" i="20"/>
  <c r="T366" i="20"/>
  <c r="T365" i="20"/>
  <c r="T364" i="20"/>
  <c r="T363" i="20"/>
  <c r="T362" i="20"/>
  <c r="T361" i="20"/>
  <c r="T360" i="20"/>
  <c r="T359" i="20"/>
  <c r="T358" i="20"/>
  <c r="T357" i="20"/>
  <c r="T356" i="20"/>
  <c r="T355" i="20"/>
  <c r="T354" i="20"/>
  <c r="T353" i="20"/>
  <c r="T352" i="20"/>
  <c r="T351" i="20"/>
  <c r="T350" i="20"/>
  <c r="T349" i="20"/>
  <c r="T348" i="20"/>
  <c r="T347" i="20"/>
  <c r="T346" i="20"/>
  <c r="T345" i="20"/>
  <c r="T344" i="20"/>
  <c r="T343" i="20"/>
  <c r="T342" i="20"/>
  <c r="T341" i="20"/>
  <c r="T340" i="20"/>
  <c r="T339" i="20"/>
  <c r="T338" i="20"/>
  <c r="T337" i="20"/>
  <c r="T336" i="20"/>
  <c r="T335" i="20"/>
  <c r="T334" i="20"/>
  <c r="T333" i="20"/>
  <c r="T332" i="20"/>
  <c r="T331" i="20"/>
  <c r="T330" i="20"/>
  <c r="T329" i="20"/>
  <c r="T328" i="20"/>
  <c r="T327" i="20"/>
  <c r="T326" i="20"/>
  <c r="T325" i="20"/>
  <c r="T324" i="20"/>
  <c r="T323" i="20"/>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T14" i="20"/>
  <c r="T13" i="20"/>
  <c r="T12" i="20"/>
  <c r="T11" i="20"/>
  <c r="T10" i="20"/>
  <c r="T9" i="20"/>
  <c r="T8" i="20"/>
  <c r="T7" i="20"/>
  <c r="T6" i="20"/>
  <c r="T5" i="20"/>
  <c r="T4" i="20"/>
  <c r="T3" i="20"/>
  <c r="T2" i="20"/>
  <c r="G1238" i="20"/>
  <c r="F1238" i="20"/>
  <c r="D1238" i="20"/>
  <c r="C1238" i="20" a="1"/>
  <c r="C1238" i="20" s="1"/>
  <c r="G1237" i="20"/>
  <c r="F1237" i="20"/>
  <c r="D1237" i="20"/>
  <c r="C1237" i="20" a="1"/>
  <c r="C1237" i="20" s="1"/>
  <c r="G1236" i="20"/>
  <c r="F1236" i="20"/>
  <c r="D1236" i="20"/>
  <c r="C1236" i="20" a="1"/>
  <c r="C1236" i="20" s="1"/>
  <c r="G1235" i="20"/>
  <c r="F1235" i="20"/>
  <c r="D1235" i="20"/>
  <c r="C1235" i="20" a="1"/>
  <c r="C1235" i="20" s="1"/>
  <c r="G1234" i="20"/>
  <c r="F1234" i="20"/>
  <c r="D1234" i="20"/>
  <c r="C1234" i="20" a="1"/>
  <c r="C1234" i="20" s="1"/>
  <c r="G1233" i="20"/>
  <c r="I1233" i="20" s="1"/>
  <c r="F1233" i="20"/>
  <c r="D1233" i="20"/>
  <c r="C1233" i="20" a="1"/>
  <c r="C1233" i="20" s="1"/>
  <c r="G1232" i="20"/>
  <c r="F1232" i="20"/>
  <c r="D1232" i="20"/>
  <c r="C1232" i="20" a="1"/>
  <c r="C1232" i="20" s="1"/>
  <c r="G1231" i="20"/>
  <c r="I1231" i="20" s="1"/>
  <c r="F1231" i="20"/>
  <c r="D1231" i="20"/>
  <c r="C1231" i="20" a="1"/>
  <c r="C1231" i="20" s="1"/>
  <c r="G1230" i="20"/>
  <c r="F1230" i="20"/>
  <c r="D1230" i="20"/>
  <c r="C1230" i="20" a="1"/>
  <c r="C1230" i="20" s="1"/>
  <c r="G1229" i="20"/>
  <c r="F1229" i="20"/>
  <c r="D1229" i="20"/>
  <c r="C1229" i="20" a="1"/>
  <c r="C1229" i="20" s="1"/>
  <c r="G1228" i="20"/>
  <c r="F1228" i="20"/>
  <c r="D1228" i="20"/>
  <c r="C1228" i="20" a="1"/>
  <c r="C1228" i="20" s="1"/>
  <c r="G1227" i="20"/>
  <c r="F1227" i="20"/>
  <c r="D1227" i="20"/>
  <c r="C1227" i="20" a="1"/>
  <c r="C1227" i="20" s="1"/>
  <c r="G1226" i="20"/>
  <c r="F1226" i="20"/>
  <c r="D1226" i="20"/>
  <c r="C1226" i="20" a="1"/>
  <c r="C1226" i="20" s="1"/>
  <c r="G1225" i="20"/>
  <c r="F1225" i="20"/>
  <c r="D1225" i="20"/>
  <c r="C1225" i="20" a="1"/>
  <c r="C1225" i="20" s="1"/>
  <c r="G1224" i="20"/>
  <c r="F1224" i="20"/>
  <c r="D1224" i="20"/>
  <c r="C1224" i="20" a="1"/>
  <c r="C1224" i="20" s="1"/>
  <c r="G1223" i="20"/>
  <c r="F1223" i="20"/>
  <c r="D1223" i="20"/>
  <c r="C1223" i="20" a="1"/>
  <c r="C1223" i="20" s="1"/>
  <c r="G1222" i="20"/>
  <c r="F1222" i="20"/>
  <c r="D1222" i="20"/>
  <c r="C1222" i="20" a="1"/>
  <c r="C1222" i="20" s="1"/>
  <c r="G1221" i="20"/>
  <c r="J1221" i="20" s="1"/>
  <c r="F1221" i="20"/>
  <c r="D1221" i="20"/>
  <c r="C1221" i="20" a="1"/>
  <c r="C1221" i="20" s="1"/>
  <c r="G1220" i="20"/>
  <c r="F1220" i="20"/>
  <c r="D1220" i="20"/>
  <c r="C1220" i="20" a="1"/>
  <c r="C1220" i="20" s="1"/>
  <c r="G1219" i="20"/>
  <c r="F1219" i="20"/>
  <c r="D1219" i="20"/>
  <c r="C1219" i="20" a="1"/>
  <c r="C1219" i="20" s="1"/>
  <c r="G1218" i="20"/>
  <c r="F1218" i="20"/>
  <c r="D1218" i="20"/>
  <c r="C1218" i="20" a="1"/>
  <c r="C1218" i="20" s="1"/>
  <c r="G1217" i="20"/>
  <c r="I1217" i="20" s="1"/>
  <c r="F1217" i="20"/>
  <c r="D1217" i="20"/>
  <c r="C1217" i="20" a="1"/>
  <c r="C1217" i="20" s="1"/>
  <c r="G1216" i="20"/>
  <c r="F1216" i="20"/>
  <c r="D1216" i="20"/>
  <c r="C1216" i="20" a="1"/>
  <c r="C1216" i="20" s="1"/>
  <c r="G1215" i="20"/>
  <c r="F1215" i="20"/>
  <c r="D1215" i="20"/>
  <c r="C1215" i="20" a="1"/>
  <c r="C1215" i="20" s="1"/>
  <c r="G1214" i="20"/>
  <c r="F1214" i="20"/>
  <c r="D1214" i="20"/>
  <c r="C1214" i="20" a="1"/>
  <c r="C1214" i="20" s="1"/>
  <c r="G1213" i="20"/>
  <c r="J1213" i="20" s="1"/>
  <c r="F1213" i="20"/>
  <c r="D1213" i="20"/>
  <c r="C1213" i="20" a="1"/>
  <c r="C1213" i="20" s="1"/>
  <c r="G1212" i="20"/>
  <c r="F1212" i="20"/>
  <c r="D1212" i="20"/>
  <c r="C1212" i="20" a="1"/>
  <c r="C1212" i="20" s="1"/>
  <c r="G1211" i="20"/>
  <c r="I1211" i="20" s="1"/>
  <c r="F1211" i="20"/>
  <c r="D1211" i="20"/>
  <c r="C1211" i="20" a="1"/>
  <c r="C1211" i="20" s="1"/>
  <c r="G1210" i="20"/>
  <c r="F1210" i="20"/>
  <c r="D1210" i="20"/>
  <c r="C1210" i="20" a="1"/>
  <c r="C1210" i="20" s="1"/>
  <c r="G1209" i="20"/>
  <c r="F1209" i="20"/>
  <c r="D1209" i="20"/>
  <c r="C1209" i="20" a="1"/>
  <c r="C1209" i="20" s="1"/>
  <c r="G1208" i="20"/>
  <c r="F1208" i="20"/>
  <c r="D1208" i="20"/>
  <c r="C1208" i="20" a="1"/>
  <c r="C1208" i="20" s="1"/>
  <c r="G1207" i="20"/>
  <c r="J1207" i="20" s="1"/>
  <c r="F1207" i="20"/>
  <c r="D1207" i="20"/>
  <c r="C1207" i="20" a="1"/>
  <c r="C1207" i="20" s="1"/>
  <c r="G1206" i="20"/>
  <c r="F1206" i="20"/>
  <c r="D1206" i="20"/>
  <c r="C1206" i="20" a="1"/>
  <c r="C1206" i="20" s="1"/>
  <c r="G1205" i="20"/>
  <c r="F1205" i="20"/>
  <c r="D1205" i="20"/>
  <c r="C1205" i="20" a="1"/>
  <c r="C1205" i="20" s="1"/>
  <c r="G1204" i="20"/>
  <c r="F1204" i="20"/>
  <c r="D1204" i="20"/>
  <c r="C1204" i="20" a="1"/>
  <c r="C1204" i="20" s="1"/>
  <c r="G1203" i="20"/>
  <c r="F1203" i="20"/>
  <c r="D1203" i="20"/>
  <c r="C1203" i="20" a="1"/>
  <c r="C1203" i="20" s="1"/>
  <c r="G1202" i="20"/>
  <c r="F1202" i="20"/>
  <c r="D1202" i="20"/>
  <c r="C1202" i="20" a="1"/>
  <c r="C1202" i="20" s="1"/>
  <c r="G1201" i="20"/>
  <c r="F1201" i="20"/>
  <c r="D1201" i="20"/>
  <c r="C1201" i="20" a="1"/>
  <c r="C1201" i="20" s="1"/>
  <c r="G1200" i="20"/>
  <c r="F1200" i="20"/>
  <c r="D1200" i="20"/>
  <c r="C1200" i="20" a="1"/>
  <c r="C1200" i="20" s="1"/>
  <c r="G1199" i="20"/>
  <c r="F1199" i="20"/>
  <c r="D1199" i="20"/>
  <c r="C1199" i="20" a="1"/>
  <c r="C1199" i="20" s="1"/>
  <c r="G1198" i="20"/>
  <c r="F1198" i="20"/>
  <c r="D1198" i="20"/>
  <c r="C1198" i="20" a="1"/>
  <c r="C1198" i="20" s="1"/>
  <c r="G1197" i="20"/>
  <c r="J1197" i="20" s="1"/>
  <c r="F1197" i="20"/>
  <c r="D1197" i="20"/>
  <c r="C1197" i="20" a="1"/>
  <c r="C1197" i="20" s="1"/>
  <c r="G1196" i="20"/>
  <c r="F1196" i="20"/>
  <c r="D1196" i="20"/>
  <c r="C1196" i="20" a="1"/>
  <c r="C1196" i="20" s="1"/>
  <c r="G1195" i="20"/>
  <c r="F1195" i="20"/>
  <c r="D1195" i="20"/>
  <c r="C1195" i="20" a="1"/>
  <c r="C1195" i="20" s="1"/>
  <c r="G1194" i="20"/>
  <c r="F1194" i="20"/>
  <c r="D1194" i="20"/>
  <c r="C1194" i="20" a="1"/>
  <c r="C1194" i="20" s="1"/>
  <c r="G1193" i="20"/>
  <c r="F1193" i="20"/>
  <c r="D1193" i="20"/>
  <c r="C1193" i="20" a="1"/>
  <c r="C1193" i="20" s="1"/>
  <c r="G1192" i="20"/>
  <c r="F1192" i="20"/>
  <c r="D1192" i="20"/>
  <c r="C1192" i="20" a="1"/>
  <c r="C1192" i="20" s="1"/>
  <c r="G1191" i="20"/>
  <c r="F1191" i="20"/>
  <c r="D1191" i="20"/>
  <c r="C1191" i="20" a="1"/>
  <c r="C1191" i="20" s="1"/>
  <c r="G1190" i="20"/>
  <c r="F1190" i="20"/>
  <c r="D1190" i="20"/>
  <c r="C1190" i="20" a="1"/>
  <c r="C1190" i="20" s="1"/>
  <c r="G1189" i="20"/>
  <c r="F1189" i="20"/>
  <c r="D1189" i="20"/>
  <c r="C1189" i="20" a="1"/>
  <c r="C1189" i="20" s="1"/>
  <c r="G1188" i="20"/>
  <c r="F1188" i="20"/>
  <c r="D1188" i="20"/>
  <c r="C1188" i="20" a="1"/>
  <c r="C1188" i="20" s="1"/>
  <c r="G1187" i="20"/>
  <c r="F1187" i="20"/>
  <c r="D1187" i="20"/>
  <c r="C1187" i="20" a="1"/>
  <c r="C1187" i="20" s="1"/>
  <c r="G1186" i="20"/>
  <c r="F1186" i="20"/>
  <c r="D1186" i="20"/>
  <c r="C1186" i="20" a="1"/>
  <c r="C1186" i="20" s="1"/>
  <c r="G1185" i="20"/>
  <c r="F1185" i="20"/>
  <c r="D1185" i="20"/>
  <c r="C1185" i="20" a="1"/>
  <c r="C1185" i="20" s="1"/>
  <c r="G1184" i="20"/>
  <c r="F1184" i="20"/>
  <c r="D1184" i="20"/>
  <c r="C1184" i="20" a="1"/>
  <c r="C1184" i="20" s="1"/>
  <c r="G1183" i="20"/>
  <c r="F1183" i="20"/>
  <c r="D1183" i="20"/>
  <c r="C1183" i="20" a="1"/>
  <c r="C1183" i="20" s="1"/>
  <c r="G1182" i="20"/>
  <c r="F1182" i="20"/>
  <c r="D1182" i="20"/>
  <c r="C1182" i="20" a="1"/>
  <c r="C1182" i="20" s="1"/>
  <c r="G1181" i="20"/>
  <c r="F1181" i="20"/>
  <c r="D1181" i="20"/>
  <c r="C1181" i="20" a="1"/>
  <c r="C1181" i="20" s="1"/>
  <c r="G1180" i="20"/>
  <c r="F1180" i="20"/>
  <c r="D1180" i="20"/>
  <c r="C1180" i="20" a="1"/>
  <c r="C1180" i="20" s="1"/>
  <c r="G1179" i="20"/>
  <c r="F1179" i="20"/>
  <c r="D1179" i="20"/>
  <c r="C1179" i="20" a="1"/>
  <c r="C1179" i="20" s="1"/>
  <c r="G1178" i="20"/>
  <c r="F1178" i="20"/>
  <c r="D1178" i="20"/>
  <c r="C1178" i="20" a="1"/>
  <c r="C1178" i="20" s="1"/>
  <c r="G1177" i="20"/>
  <c r="F1177" i="20"/>
  <c r="D1177" i="20"/>
  <c r="C1177" i="20" a="1"/>
  <c r="C1177" i="20" s="1"/>
  <c r="G1176" i="20"/>
  <c r="F1176" i="20"/>
  <c r="D1176" i="20"/>
  <c r="C1176" i="20" a="1"/>
  <c r="C1176" i="20" s="1"/>
  <c r="G1175" i="20"/>
  <c r="F1175" i="20"/>
  <c r="D1175" i="20"/>
  <c r="C1175" i="20" a="1"/>
  <c r="C1175" i="20" s="1"/>
  <c r="G1174" i="20"/>
  <c r="F1174" i="20"/>
  <c r="D1174" i="20"/>
  <c r="C1174" i="20" a="1"/>
  <c r="C1174" i="20" s="1"/>
  <c r="G1173" i="20"/>
  <c r="F1173" i="20"/>
  <c r="D1173" i="20"/>
  <c r="C1173" i="20" a="1"/>
  <c r="C1173" i="20" s="1"/>
  <c r="G1172" i="20"/>
  <c r="F1172" i="20"/>
  <c r="D1172" i="20"/>
  <c r="C1172" i="20" a="1"/>
  <c r="C1172" i="20" s="1"/>
  <c r="G1171" i="20"/>
  <c r="F1171" i="20"/>
  <c r="D1171" i="20"/>
  <c r="C1171" i="20" a="1"/>
  <c r="C1171" i="20" s="1"/>
  <c r="G1170" i="20"/>
  <c r="F1170" i="20"/>
  <c r="D1170" i="20"/>
  <c r="C1170" i="20" a="1"/>
  <c r="C1170" i="20" s="1"/>
  <c r="G1169" i="20"/>
  <c r="F1169" i="20"/>
  <c r="D1169" i="20"/>
  <c r="C1169" i="20" a="1"/>
  <c r="C1169" i="20" s="1"/>
  <c r="G1168" i="20"/>
  <c r="F1168" i="20"/>
  <c r="D1168" i="20"/>
  <c r="C1168" i="20" a="1"/>
  <c r="C1168" i="20" s="1"/>
  <c r="G1167" i="20"/>
  <c r="F1167" i="20"/>
  <c r="D1167" i="20"/>
  <c r="C1167" i="20" a="1"/>
  <c r="C1167" i="20" s="1"/>
  <c r="G1166" i="20"/>
  <c r="F1166" i="20"/>
  <c r="D1166" i="20"/>
  <c r="C1166" i="20" a="1"/>
  <c r="C1166" i="20" s="1"/>
  <c r="G1165" i="20"/>
  <c r="J1165" i="20" s="1"/>
  <c r="F1165" i="20"/>
  <c r="D1165" i="20"/>
  <c r="C1165" i="20" a="1"/>
  <c r="C1165" i="20" s="1"/>
  <c r="G1164" i="20"/>
  <c r="F1164" i="20"/>
  <c r="D1164" i="20"/>
  <c r="C1164" i="20" a="1"/>
  <c r="C1164" i="20" s="1"/>
  <c r="G1163" i="20"/>
  <c r="F1163" i="20"/>
  <c r="D1163" i="20"/>
  <c r="C1163" i="20" a="1"/>
  <c r="C1163" i="20" s="1"/>
  <c r="G1162" i="20"/>
  <c r="I1162" i="20" s="1"/>
  <c r="F1162" i="20"/>
  <c r="D1162" i="20"/>
  <c r="C1162" i="20" a="1"/>
  <c r="C1162" i="20" s="1"/>
  <c r="G1161" i="20"/>
  <c r="F1161" i="20"/>
  <c r="D1161" i="20"/>
  <c r="C1161" i="20" a="1"/>
  <c r="C1161" i="20" s="1"/>
  <c r="G1160" i="20"/>
  <c r="F1160" i="20"/>
  <c r="D1160" i="20"/>
  <c r="C1160" i="20" a="1"/>
  <c r="C1160" i="20" s="1"/>
  <c r="G1159" i="20"/>
  <c r="F1159" i="20"/>
  <c r="D1159" i="20"/>
  <c r="C1159" i="20" a="1"/>
  <c r="C1159" i="20" s="1"/>
  <c r="G1158" i="20"/>
  <c r="F1158" i="20"/>
  <c r="D1158" i="20"/>
  <c r="C1158" i="20" a="1"/>
  <c r="C1158" i="20" s="1"/>
  <c r="G1157" i="20"/>
  <c r="F1157" i="20"/>
  <c r="D1157" i="20"/>
  <c r="C1157" i="20" a="1"/>
  <c r="C1157" i="20" s="1"/>
  <c r="G1156" i="20"/>
  <c r="F1156" i="20"/>
  <c r="D1156" i="20"/>
  <c r="C1156" i="20" a="1"/>
  <c r="C1156" i="20" s="1"/>
  <c r="G1155" i="20"/>
  <c r="F1155" i="20"/>
  <c r="D1155" i="20"/>
  <c r="C1155" i="20" a="1"/>
  <c r="C1155" i="20" s="1"/>
  <c r="G1154" i="20"/>
  <c r="F1154" i="20"/>
  <c r="D1154" i="20"/>
  <c r="C1154" i="20" a="1"/>
  <c r="C1154" i="20" s="1"/>
  <c r="G1153" i="20"/>
  <c r="F1153" i="20"/>
  <c r="D1153" i="20"/>
  <c r="C1153" i="20" a="1"/>
  <c r="C1153" i="20" s="1"/>
  <c r="G1152" i="20"/>
  <c r="F1152" i="20"/>
  <c r="D1152" i="20"/>
  <c r="C1152" i="20" a="1"/>
  <c r="C1152" i="20" s="1"/>
  <c r="G1151" i="20"/>
  <c r="F1151" i="20"/>
  <c r="D1151" i="20"/>
  <c r="C1151" i="20" a="1"/>
  <c r="C1151" i="20" s="1"/>
  <c r="G1150" i="20"/>
  <c r="F1150" i="20"/>
  <c r="D1150" i="20"/>
  <c r="C1150" i="20" a="1"/>
  <c r="C1150" i="20" s="1"/>
  <c r="G1149" i="20"/>
  <c r="F1149" i="20"/>
  <c r="D1149" i="20"/>
  <c r="C1149" i="20" a="1"/>
  <c r="C1149" i="20" s="1"/>
  <c r="G1148" i="20"/>
  <c r="F1148" i="20"/>
  <c r="D1148" i="20"/>
  <c r="C1148" i="20" a="1"/>
  <c r="C1148" i="20" s="1"/>
  <c r="G1147" i="20"/>
  <c r="F1147" i="20"/>
  <c r="D1147" i="20"/>
  <c r="C1147" i="20" a="1"/>
  <c r="C1147" i="20" s="1"/>
  <c r="G1146" i="20"/>
  <c r="F1146" i="20"/>
  <c r="D1146" i="20"/>
  <c r="C1146" i="20" a="1"/>
  <c r="C1146" i="20" s="1"/>
  <c r="G1145" i="20"/>
  <c r="F1145" i="20"/>
  <c r="D1145" i="20"/>
  <c r="C1145" i="20" a="1"/>
  <c r="C1145" i="20" s="1"/>
  <c r="G1144" i="20"/>
  <c r="F1144" i="20"/>
  <c r="D1144" i="20"/>
  <c r="C1144" i="20" a="1"/>
  <c r="C1144" i="20" s="1"/>
  <c r="G1143" i="20"/>
  <c r="F1143" i="20"/>
  <c r="D1143" i="20"/>
  <c r="C1143" i="20" a="1"/>
  <c r="C1143" i="20" s="1"/>
  <c r="G1142" i="20"/>
  <c r="F1142" i="20"/>
  <c r="D1142" i="20"/>
  <c r="C1142" i="20" a="1"/>
  <c r="C1142" i="20" s="1"/>
  <c r="G1141" i="20"/>
  <c r="F1141" i="20"/>
  <c r="D1141" i="20"/>
  <c r="C1141" i="20" a="1"/>
  <c r="C1141" i="20" s="1"/>
  <c r="G1140" i="20"/>
  <c r="F1140" i="20"/>
  <c r="D1140" i="20"/>
  <c r="C1140" i="20" a="1"/>
  <c r="C1140" i="20" s="1"/>
  <c r="G1139" i="20"/>
  <c r="F1139" i="20"/>
  <c r="D1139" i="20"/>
  <c r="C1139" i="20" a="1"/>
  <c r="C1139" i="20" s="1"/>
  <c r="G1138" i="20"/>
  <c r="F1138" i="20"/>
  <c r="D1138" i="20"/>
  <c r="C1138" i="20" a="1"/>
  <c r="C1138" i="20" s="1"/>
  <c r="G1137" i="20"/>
  <c r="F1137" i="20"/>
  <c r="D1137" i="20"/>
  <c r="C1137" i="20" a="1"/>
  <c r="C1137" i="20" s="1"/>
  <c r="G1136" i="20"/>
  <c r="F1136" i="20"/>
  <c r="D1136" i="20"/>
  <c r="C1136" i="20" a="1"/>
  <c r="C1136" i="20" s="1"/>
  <c r="G1135" i="20"/>
  <c r="F1135" i="20"/>
  <c r="D1135" i="20"/>
  <c r="C1135" i="20" a="1"/>
  <c r="C1135" i="20" s="1"/>
  <c r="G1134" i="20"/>
  <c r="I1134" i="20" s="1"/>
  <c r="F1134" i="20"/>
  <c r="D1134" i="20"/>
  <c r="C1134" i="20" a="1"/>
  <c r="C1134" i="20" s="1"/>
  <c r="G1133" i="20"/>
  <c r="F1133" i="20"/>
  <c r="D1133" i="20"/>
  <c r="C1133" i="20" a="1"/>
  <c r="C1133" i="20" s="1"/>
  <c r="G1132" i="20"/>
  <c r="F1132" i="20"/>
  <c r="D1132" i="20"/>
  <c r="C1132" i="20" a="1"/>
  <c r="C1132" i="20" s="1"/>
  <c r="G1131" i="20"/>
  <c r="F1131" i="20"/>
  <c r="D1131" i="20"/>
  <c r="C1131" i="20" a="1"/>
  <c r="C1131" i="20" s="1"/>
  <c r="G1130" i="20"/>
  <c r="F1130" i="20"/>
  <c r="D1130" i="20"/>
  <c r="C1130" i="20" a="1"/>
  <c r="C1130" i="20" s="1"/>
  <c r="G1129" i="20"/>
  <c r="J1129" i="20" s="1"/>
  <c r="F1129" i="20"/>
  <c r="D1129" i="20"/>
  <c r="C1129" i="20" a="1"/>
  <c r="C1129" i="20" s="1"/>
  <c r="G1128" i="20"/>
  <c r="F1128" i="20"/>
  <c r="D1128" i="20"/>
  <c r="C1128" i="20" a="1"/>
  <c r="C1128" i="20" s="1"/>
  <c r="G1127" i="20"/>
  <c r="F1127" i="20"/>
  <c r="D1127" i="20"/>
  <c r="C1127" i="20" a="1"/>
  <c r="C1127" i="20" s="1"/>
  <c r="G1126" i="20"/>
  <c r="F1126" i="20"/>
  <c r="D1126" i="20"/>
  <c r="C1126" i="20" a="1"/>
  <c r="C1126" i="20" s="1"/>
  <c r="G1125" i="20"/>
  <c r="F1125" i="20"/>
  <c r="D1125" i="20"/>
  <c r="C1125" i="20" a="1"/>
  <c r="C1125" i="20" s="1"/>
  <c r="G1124" i="20"/>
  <c r="F1124" i="20"/>
  <c r="D1124" i="20"/>
  <c r="C1124" i="20" a="1"/>
  <c r="C1124" i="20" s="1"/>
  <c r="G1123" i="20"/>
  <c r="F1123" i="20"/>
  <c r="D1123" i="20"/>
  <c r="C1123" i="20" a="1"/>
  <c r="C1123" i="20" s="1"/>
  <c r="G1122" i="20"/>
  <c r="F1122" i="20"/>
  <c r="D1122" i="20"/>
  <c r="C1122" i="20" a="1"/>
  <c r="C1122" i="20" s="1"/>
  <c r="G1121" i="20"/>
  <c r="F1121" i="20"/>
  <c r="D1121" i="20"/>
  <c r="C1121" i="20" a="1"/>
  <c r="C1121" i="20" s="1"/>
  <c r="G1120" i="20"/>
  <c r="F1120" i="20"/>
  <c r="D1120" i="20"/>
  <c r="C1120" i="20" a="1"/>
  <c r="C1120" i="20" s="1"/>
  <c r="G1119" i="20"/>
  <c r="I1119" i="20" s="1"/>
  <c r="F1119" i="20"/>
  <c r="D1119" i="20"/>
  <c r="C1119" i="20" a="1"/>
  <c r="C1119" i="20" s="1"/>
  <c r="G1118" i="20"/>
  <c r="F1118" i="20"/>
  <c r="D1118" i="20"/>
  <c r="C1118" i="20" a="1"/>
  <c r="C1118" i="20" s="1"/>
  <c r="G1117" i="20"/>
  <c r="F1117" i="20"/>
  <c r="D1117" i="20"/>
  <c r="C1117" i="20" a="1"/>
  <c r="C1117" i="20" s="1"/>
  <c r="G1116" i="20"/>
  <c r="F1116" i="20"/>
  <c r="D1116" i="20"/>
  <c r="C1116" i="20" a="1"/>
  <c r="C1116" i="20" s="1"/>
  <c r="G1115" i="20"/>
  <c r="F1115" i="20"/>
  <c r="D1115" i="20"/>
  <c r="C1115" i="20" a="1"/>
  <c r="C1115" i="20" s="1"/>
  <c r="G1114" i="20"/>
  <c r="F1114" i="20"/>
  <c r="D1114" i="20"/>
  <c r="C1114" i="20" a="1"/>
  <c r="C1114" i="20" s="1"/>
  <c r="G1113" i="20"/>
  <c r="F1113" i="20"/>
  <c r="D1113" i="20"/>
  <c r="C1113" i="20" a="1"/>
  <c r="C1113" i="20" s="1"/>
  <c r="G1112" i="20"/>
  <c r="F1112" i="20"/>
  <c r="D1112" i="20"/>
  <c r="C1112" i="20" a="1"/>
  <c r="C1112" i="20" s="1"/>
  <c r="G1111" i="20"/>
  <c r="H1111" i="20" s="1"/>
  <c r="F1111" i="20"/>
  <c r="D1111" i="20"/>
  <c r="C1111" i="20" a="1"/>
  <c r="C1111" i="20" s="1"/>
  <c r="G1110" i="20"/>
  <c r="F1110" i="20"/>
  <c r="D1110" i="20"/>
  <c r="C1110" i="20" a="1"/>
  <c r="C1110" i="20" s="1"/>
  <c r="G1109" i="20"/>
  <c r="F1109" i="20"/>
  <c r="D1109" i="20"/>
  <c r="C1109" i="20" a="1"/>
  <c r="C1109" i="20" s="1"/>
  <c r="G1108" i="20"/>
  <c r="F1108" i="20"/>
  <c r="D1108" i="20"/>
  <c r="C1108" i="20" a="1"/>
  <c r="C1108" i="20" s="1"/>
  <c r="G1107" i="20"/>
  <c r="J1107" i="20" s="1"/>
  <c r="F1107" i="20"/>
  <c r="D1107" i="20"/>
  <c r="C1107" i="20" a="1"/>
  <c r="C1107" i="20" s="1"/>
  <c r="G1106" i="20"/>
  <c r="F1106" i="20"/>
  <c r="D1106" i="20"/>
  <c r="C1106" i="20" a="1"/>
  <c r="C1106" i="20" s="1"/>
  <c r="G1105" i="20"/>
  <c r="F1105" i="20"/>
  <c r="D1105" i="20"/>
  <c r="C1105" i="20" a="1"/>
  <c r="C1105" i="20" s="1"/>
  <c r="G1104" i="20"/>
  <c r="F1104" i="20"/>
  <c r="D1104" i="20"/>
  <c r="C1104" i="20" a="1"/>
  <c r="C1104" i="20" s="1"/>
  <c r="G1103" i="20"/>
  <c r="I1103" i="20" s="1"/>
  <c r="F1103" i="20"/>
  <c r="D1103" i="20"/>
  <c r="C1103" i="20" a="1"/>
  <c r="C1103" i="20" s="1"/>
  <c r="G1102" i="20"/>
  <c r="F1102" i="20"/>
  <c r="D1102" i="20"/>
  <c r="C1102" i="20" a="1"/>
  <c r="C1102" i="20" s="1"/>
  <c r="G1101" i="20"/>
  <c r="F1101" i="20"/>
  <c r="D1101" i="20"/>
  <c r="C1101" i="20" a="1"/>
  <c r="C1101" i="20" s="1"/>
  <c r="G1100" i="20"/>
  <c r="F1100" i="20"/>
  <c r="D1100" i="20"/>
  <c r="C1100" i="20" a="1"/>
  <c r="C1100" i="20" s="1"/>
  <c r="G1099" i="20"/>
  <c r="F1099" i="20"/>
  <c r="D1099" i="20"/>
  <c r="C1099" i="20" a="1"/>
  <c r="C1099" i="20" s="1"/>
  <c r="G1098" i="20"/>
  <c r="F1098" i="20"/>
  <c r="D1098" i="20"/>
  <c r="C1098" i="20" a="1"/>
  <c r="C1098" i="20" s="1"/>
  <c r="G1097" i="20"/>
  <c r="F1097" i="20"/>
  <c r="D1097" i="20"/>
  <c r="C1097" i="20" a="1"/>
  <c r="C1097" i="20" s="1"/>
  <c r="G1096" i="20"/>
  <c r="F1096" i="20"/>
  <c r="D1096" i="20"/>
  <c r="C1096" i="20" a="1"/>
  <c r="C1096" i="20" s="1"/>
  <c r="G1095" i="20"/>
  <c r="F1095" i="20"/>
  <c r="D1095" i="20"/>
  <c r="C1095" i="20" a="1"/>
  <c r="C1095" i="20" s="1"/>
  <c r="G1094" i="20"/>
  <c r="F1094" i="20"/>
  <c r="D1094" i="20"/>
  <c r="C1094" i="20" a="1"/>
  <c r="C1094" i="20" s="1"/>
  <c r="G1093" i="20"/>
  <c r="F1093" i="20"/>
  <c r="D1093" i="20"/>
  <c r="C1093" i="20" a="1"/>
  <c r="C1093" i="20" s="1"/>
  <c r="G1092" i="20"/>
  <c r="I1092" i="20" s="1"/>
  <c r="F1092" i="20"/>
  <c r="D1092" i="20"/>
  <c r="C1092" i="20" a="1"/>
  <c r="C1092" i="20" s="1"/>
  <c r="G1091" i="20"/>
  <c r="F1091" i="20"/>
  <c r="D1091" i="20"/>
  <c r="C1091" i="20" a="1"/>
  <c r="C1091" i="20" s="1"/>
  <c r="G1090" i="20"/>
  <c r="F1090" i="20"/>
  <c r="D1090" i="20"/>
  <c r="C1090" i="20" a="1"/>
  <c r="C1090" i="20" s="1"/>
  <c r="G1089" i="20"/>
  <c r="F1089" i="20"/>
  <c r="D1089" i="20"/>
  <c r="C1089" i="20" a="1"/>
  <c r="C1089" i="20" s="1"/>
  <c r="G1088" i="20"/>
  <c r="F1088" i="20"/>
  <c r="D1088" i="20"/>
  <c r="C1088" i="20" a="1"/>
  <c r="C1088" i="20" s="1"/>
  <c r="G1087" i="20"/>
  <c r="F1087" i="20"/>
  <c r="D1087" i="20"/>
  <c r="C1087" i="20" a="1"/>
  <c r="C1087" i="20" s="1"/>
  <c r="G1086" i="20"/>
  <c r="F1086" i="20"/>
  <c r="D1086" i="20"/>
  <c r="C1086" i="20" a="1"/>
  <c r="C1086" i="20" s="1"/>
  <c r="G1085" i="20"/>
  <c r="H1085" i="20" s="1"/>
  <c r="F1085" i="20"/>
  <c r="D1085" i="20"/>
  <c r="C1085" i="20" a="1"/>
  <c r="C1085" i="20" s="1"/>
  <c r="G1084" i="20"/>
  <c r="I1084" i="20" s="1"/>
  <c r="F1084" i="20"/>
  <c r="D1084" i="20"/>
  <c r="C1084" i="20" a="1"/>
  <c r="C1084" i="20" s="1"/>
  <c r="G1083" i="20"/>
  <c r="F1083" i="20"/>
  <c r="D1083" i="20"/>
  <c r="C1083" i="20" a="1"/>
  <c r="C1083" i="20" s="1"/>
  <c r="G1082" i="20"/>
  <c r="F1082" i="20"/>
  <c r="D1082" i="20"/>
  <c r="C1082" i="20" a="1"/>
  <c r="C1082" i="20" s="1"/>
  <c r="G1081" i="20"/>
  <c r="F1081" i="20"/>
  <c r="D1081" i="20"/>
  <c r="C1081" i="20" a="1"/>
  <c r="C1081" i="20" s="1"/>
  <c r="G1080" i="20"/>
  <c r="F1080" i="20"/>
  <c r="D1080" i="20"/>
  <c r="C1080" i="20" a="1"/>
  <c r="C1080" i="20" s="1"/>
  <c r="G1079" i="20"/>
  <c r="F1079" i="20"/>
  <c r="D1079" i="20"/>
  <c r="C1079" i="20" a="1"/>
  <c r="C1079" i="20" s="1"/>
  <c r="G1078" i="20"/>
  <c r="F1078" i="20"/>
  <c r="D1078" i="20"/>
  <c r="C1078" i="20" a="1"/>
  <c r="C1078" i="20" s="1"/>
  <c r="G1077" i="20"/>
  <c r="F1077" i="20"/>
  <c r="D1077" i="20"/>
  <c r="C1077" i="20" a="1"/>
  <c r="C1077" i="20" s="1"/>
  <c r="G1076" i="20"/>
  <c r="F1076" i="20"/>
  <c r="D1076" i="20"/>
  <c r="C1076" i="20" a="1"/>
  <c r="C1076" i="20" s="1"/>
  <c r="G1075" i="20"/>
  <c r="F1075" i="20"/>
  <c r="D1075" i="20"/>
  <c r="C1075" i="20" a="1"/>
  <c r="C1075" i="20" s="1"/>
  <c r="G1074" i="20"/>
  <c r="F1074" i="20"/>
  <c r="D1074" i="20"/>
  <c r="C1074" i="20" a="1"/>
  <c r="C1074" i="20" s="1"/>
  <c r="G1073" i="20"/>
  <c r="F1073" i="20"/>
  <c r="D1073" i="20"/>
  <c r="C1073" i="20" a="1"/>
  <c r="C1073" i="20" s="1"/>
  <c r="G1072" i="20"/>
  <c r="F1072" i="20"/>
  <c r="D1072" i="20"/>
  <c r="C1072" i="20" a="1"/>
  <c r="C1072" i="20" s="1"/>
  <c r="G1071" i="20"/>
  <c r="F1071" i="20"/>
  <c r="D1071" i="20"/>
  <c r="C1071" i="20" a="1"/>
  <c r="C1071" i="20" s="1"/>
  <c r="G1070" i="20"/>
  <c r="F1070" i="20"/>
  <c r="D1070" i="20"/>
  <c r="C1070" i="20" a="1"/>
  <c r="C1070" i="20" s="1"/>
  <c r="G1069" i="20"/>
  <c r="I1069" i="20" s="1"/>
  <c r="F1069" i="20"/>
  <c r="D1069" i="20"/>
  <c r="C1069" i="20" a="1"/>
  <c r="C1069" i="20" s="1"/>
  <c r="G1068" i="20"/>
  <c r="J1068" i="20" s="1"/>
  <c r="F1068" i="20"/>
  <c r="D1068" i="20"/>
  <c r="C1068" i="20" a="1"/>
  <c r="C1068" i="20" s="1"/>
  <c r="G1067" i="20"/>
  <c r="F1067" i="20"/>
  <c r="D1067" i="20"/>
  <c r="C1067" i="20" a="1"/>
  <c r="C1067" i="20" s="1"/>
  <c r="G1066" i="20"/>
  <c r="F1066" i="20"/>
  <c r="D1066" i="20"/>
  <c r="C1066" i="20" a="1"/>
  <c r="C1066" i="20" s="1"/>
  <c r="G1065" i="20"/>
  <c r="F1065" i="20"/>
  <c r="D1065" i="20"/>
  <c r="C1065" i="20" a="1"/>
  <c r="C1065" i="20" s="1"/>
  <c r="G1064" i="20"/>
  <c r="F1064" i="20"/>
  <c r="D1064" i="20"/>
  <c r="C1064" i="20" a="1"/>
  <c r="C1064" i="20" s="1"/>
  <c r="G1063" i="20"/>
  <c r="F1063" i="20"/>
  <c r="D1063" i="20"/>
  <c r="C1063" i="20" a="1"/>
  <c r="C1063" i="20" s="1"/>
  <c r="G1062" i="20"/>
  <c r="F1062" i="20"/>
  <c r="D1062" i="20"/>
  <c r="C1062" i="20" a="1"/>
  <c r="C1062" i="20" s="1"/>
  <c r="G1061" i="20"/>
  <c r="F1061" i="20"/>
  <c r="D1061" i="20"/>
  <c r="C1061" i="20" a="1"/>
  <c r="C1061" i="20" s="1"/>
  <c r="G1060" i="20"/>
  <c r="F1060" i="20"/>
  <c r="D1060" i="20"/>
  <c r="C1060" i="20" a="1"/>
  <c r="C1060" i="20" s="1"/>
  <c r="G1059" i="20"/>
  <c r="I1059" i="20" s="1"/>
  <c r="F1059" i="20"/>
  <c r="D1059" i="20"/>
  <c r="C1059" i="20" a="1"/>
  <c r="C1059" i="20" s="1"/>
  <c r="G1058" i="20"/>
  <c r="F1058" i="20"/>
  <c r="D1058" i="20"/>
  <c r="C1058" i="20" a="1"/>
  <c r="C1058" i="20" s="1"/>
  <c r="G1057" i="20"/>
  <c r="F1057" i="20"/>
  <c r="D1057" i="20"/>
  <c r="C1057" i="20" a="1"/>
  <c r="C1057" i="20" s="1"/>
  <c r="G1056" i="20"/>
  <c r="F1056" i="20"/>
  <c r="D1056" i="20"/>
  <c r="C1056" i="20" a="1"/>
  <c r="C1056" i="20" s="1"/>
  <c r="G1055" i="20"/>
  <c r="F1055" i="20"/>
  <c r="D1055" i="20"/>
  <c r="C1055" i="20" a="1"/>
  <c r="C1055" i="20" s="1"/>
  <c r="G1054" i="20"/>
  <c r="I1054" i="20" s="1"/>
  <c r="F1054" i="20"/>
  <c r="D1054" i="20"/>
  <c r="C1054" i="20" a="1"/>
  <c r="C1054" i="20" s="1"/>
  <c r="G1053" i="20"/>
  <c r="F1053" i="20"/>
  <c r="D1053" i="20"/>
  <c r="C1053" i="20" a="1"/>
  <c r="C1053" i="20" s="1"/>
  <c r="G1052" i="20"/>
  <c r="F1052" i="20"/>
  <c r="D1052" i="20"/>
  <c r="C1052" i="20" a="1"/>
  <c r="C1052" i="20" s="1"/>
  <c r="G1051" i="20"/>
  <c r="F1051" i="20"/>
  <c r="D1051" i="20"/>
  <c r="C1051" i="20" a="1"/>
  <c r="C1051" i="20" s="1"/>
  <c r="G1050" i="20"/>
  <c r="F1050" i="20"/>
  <c r="D1050" i="20"/>
  <c r="C1050" i="20" a="1"/>
  <c r="C1050" i="20" s="1"/>
  <c r="G1049" i="20"/>
  <c r="F1049" i="20"/>
  <c r="D1049" i="20"/>
  <c r="C1049" i="20" a="1"/>
  <c r="C1049" i="20" s="1"/>
  <c r="G1048" i="20"/>
  <c r="F1048" i="20"/>
  <c r="D1048" i="20"/>
  <c r="C1048" i="20" a="1"/>
  <c r="C1048" i="20" s="1"/>
  <c r="G1047" i="20"/>
  <c r="F1047" i="20"/>
  <c r="D1047" i="20"/>
  <c r="C1047" i="20" a="1"/>
  <c r="C1047" i="20" s="1"/>
  <c r="G1046" i="20"/>
  <c r="F1046" i="20"/>
  <c r="D1046" i="20"/>
  <c r="C1046" i="20" a="1"/>
  <c r="C1046" i="20" s="1"/>
  <c r="G1045" i="20"/>
  <c r="F1045" i="20"/>
  <c r="D1045" i="20"/>
  <c r="C1045" i="20" a="1"/>
  <c r="C1045" i="20" s="1"/>
  <c r="G1044" i="20"/>
  <c r="J1044" i="20" s="1"/>
  <c r="F1044" i="20"/>
  <c r="D1044" i="20"/>
  <c r="C1044" i="20" a="1"/>
  <c r="C1044" i="20" s="1"/>
  <c r="G1043" i="20"/>
  <c r="F1043" i="20"/>
  <c r="D1043" i="20"/>
  <c r="C1043" i="20" a="1"/>
  <c r="C1043" i="20" s="1"/>
  <c r="G1042" i="20"/>
  <c r="F1042" i="20"/>
  <c r="D1042" i="20"/>
  <c r="C1042" i="20" a="1"/>
  <c r="C1042" i="20" s="1"/>
  <c r="G1041" i="20"/>
  <c r="F1041" i="20"/>
  <c r="D1041" i="20"/>
  <c r="C1041" i="20" a="1"/>
  <c r="C1041" i="20" s="1"/>
  <c r="G1040" i="20"/>
  <c r="J1040" i="20" s="1"/>
  <c r="F1040" i="20"/>
  <c r="D1040" i="20"/>
  <c r="C1040" i="20" a="1"/>
  <c r="C1040" i="20" s="1"/>
  <c r="G1039" i="20"/>
  <c r="F1039" i="20"/>
  <c r="D1039" i="20"/>
  <c r="C1039" i="20" a="1"/>
  <c r="C1039" i="20" s="1"/>
  <c r="G1038" i="20"/>
  <c r="F1038" i="20"/>
  <c r="D1038" i="20"/>
  <c r="C1038" i="20" a="1"/>
  <c r="C1038" i="20" s="1"/>
  <c r="G1037" i="20"/>
  <c r="F1037" i="20"/>
  <c r="D1037" i="20"/>
  <c r="C1037" i="20" a="1"/>
  <c r="C1037" i="20" s="1"/>
  <c r="G1036" i="20"/>
  <c r="F1036" i="20"/>
  <c r="D1036" i="20"/>
  <c r="C1036" i="20" a="1"/>
  <c r="C1036" i="20" s="1"/>
  <c r="G1035" i="20"/>
  <c r="F1035" i="20"/>
  <c r="D1035" i="20"/>
  <c r="C1035" i="20" a="1"/>
  <c r="C1035" i="20" s="1"/>
  <c r="G1034" i="20"/>
  <c r="F1034" i="20"/>
  <c r="D1034" i="20"/>
  <c r="C1034" i="20" a="1"/>
  <c r="C1034" i="20" s="1"/>
  <c r="G1033" i="20"/>
  <c r="F1033" i="20"/>
  <c r="D1033" i="20"/>
  <c r="C1033" i="20" a="1"/>
  <c r="C1033" i="20" s="1"/>
  <c r="G1032" i="20"/>
  <c r="F1032" i="20"/>
  <c r="D1032" i="20"/>
  <c r="C1032" i="20" a="1"/>
  <c r="C1032" i="20" s="1"/>
  <c r="G1031" i="20"/>
  <c r="F1031" i="20"/>
  <c r="D1031" i="20"/>
  <c r="C1031" i="20" a="1"/>
  <c r="C1031" i="20" s="1"/>
  <c r="G1030" i="20"/>
  <c r="F1030" i="20"/>
  <c r="D1030" i="20"/>
  <c r="C1030" i="20" a="1"/>
  <c r="C1030" i="20" s="1"/>
  <c r="G1029" i="20"/>
  <c r="F1029" i="20"/>
  <c r="D1029" i="20"/>
  <c r="C1029" i="20" a="1"/>
  <c r="C1029" i="20" s="1"/>
  <c r="G1028" i="20"/>
  <c r="F1028" i="20"/>
  <c r="D1028" i="20"/>
  <c r="C1028" i="20" a="1"/>
  <c r="C1028" i="20" s="1"/>
  <c r="G1027" i="20"/>
  <c r="F1027" i="20"/>
  <c r="D1027" i="20"/>
  <c r="C1027" i="20" a="1"/>
  <c r="C1027" i="20" s="1"/>
  <c r="G1026" i="20"/>
  <c r="F1026" i="20"/>
  <c r="D1026" i="20"/>
  <c r="C1026" i="20" a="1"/>
  <c r="C1026" i="20" s="1"/>
  <c r="G1025" i="20"/>
  <c r="F1025" i="20"/>
  <c r="D1025" i="20"/>
  <c r="C1025" i="20" a="1"/>
  <c r="C1025" i="20" s="1"/>
  <c r="G1024" i="20"/>
  <c r="I1024" i="20" s="1"/>
  <c r="F1024" i="20"/>
  <c r="D1024" i="20"/>
  <c r="C1024" i="20" a="1"/>
  <c r="C1024" i="20" s="1"/>
  <c r="G1023" i="20"/>
  <c r="F1023" i="20"/>
  <c r="D1023" i="20"/>
  <c r="C1023" i="20" a="1"/>
  <c r="C1023" i="20" s="1"/>
  <c r="G1022" i="20"/>
  <c r="F1022" i="20"/>
  <c r="D1022" i="20"/>
  <c r="C1022" i="20" a="1"/>
  <c r="C1022" i="20" s="1"/>
  <c r="G1021" i="20"/>
  <c r="J1021" i="20" s="1"/>
  <c r="F1021" i="20"/>
  <c r="D1021" i="20"/>
  <c r="C1021" i="20" a="1"/>
  <c r="C1021" i="20" s="1"/>
  <c r="G1020" i="20"/>
  <c r="F1020" i="20"/>
  <c r="D1020" i="20"/>
  <c r="C1020" i="20" a="1"/>
  <c r="C1020" i="20" s="1"/>
  <c r="G1019" i="20"/>
  <c r="F1019" i="20"/>
  <c r="D1019" i="20"/>
  <c r="C1019" i="20" a="1"/>
  <c r="C1019" i="20" s="1"/>
  <c r="G1018" i="20"/>
  <c r="F1018" i="20"/>
  <c r="D1018" i="20"/>
  <c r="C1018" i="20" a="1"/>
  <c r="C1018" i="20" s="1"/>
  <c r="G1017" i="20"/>
  <c r="F1017" i="20"/>
  <c r="D1017" i="20"/>
  <c r="C1017" i="20" a="1"/>
  <c r="C1017" i="20" s="1"/>
  <c r="G1016" i="20"/>
  <c r="I1016" i="20" s="1"/>
  <c r="F1016" i="20"/>
  <c r="D1016" i="20"/>
  <c r="C1016" i="20" a="1"/>
  <c r="C1016" i="20" s="1"/>
  <c r="G1015" i="20"/>
  <c r="F1015" i="20"/>
  <c r="D1015" i="20"/>
  <c r="C1015" i="20" a="1"/>
  <c r="C1015" i="20" s="1"/>
  <c r="G1014" i="20"/>
  <c r="F1014" i="20"/>
  <c r="D1014" i="20"/>
  <c r="C1014" i="20" a="1"/>
  <c r="C1014" i="20" s="1"/>
  <c r="G1013" i="20"/>
  <c r="F1013" i="20"/>
  <c r="D1013" i="20"/>
  <c r="C1013" i="20" a="1"/>
  <c r="C1013" i="20" s="1"/>
  <c r="G1012" i="20"/>
  <c r="J1012" i="20" s="1"/>
  <c r="F1012" i="20"/>
  <c r="D1012" i="20"/>
  <c r="C1012" i="20" a="1"/>
  <c r="C1012" i="20" s="1"/>
  <c r="G1011" i="20"/>
  <c r="I1011" i="20" s="1"/>
  <c r="F1011" i="20"/>
  <c r="D1011" i="20"/>
  <c r="C1011" i="20" a="1"/>
  <c r="C1011" i="20" s="1"/>
  <c r="G1010" i="20"/>
  <c r="H1010" i="20" s="1"/>
  <c r="F1010" i="20"/>
  <c r="D1010" i="20"/>
  <c r="C1010" i="20" a="1"/>
  <c r="C1010" i="20" s="1"/>
  <c r="G1009" i="20"/>
  <c r="F1009" i="20"/>
  <c r="D1009" i="20"/>
  <c r="C1009" i="20" a="1"/>
  <c r="C1009" i="20" s="1"/>
  <c r="G1008" i="20"/>
  <c r="F1008" i="20"/>
  <c r="D1008" i="20"/>
  <c r="C1008" i="20" a="1"/>
  <c r="C1008" i="20" s="1"/>
  <c r="G1007" i="20"/>
  <c r="F1007" i="20"/>
  <c r="D1007" i="20"/>
  <c r="C1007" i="20" a="1"/>
  <c r="C1007" i="20" s="1"/>
  <c r="G1006" i="20"/>
  <c r="H1006" i="20" s="1"/>
  <c r="F1006" i="20"/>
  <c r="D1006" i="20"/>
  <c r="C1006" i="20" a="1"/>
  <c r="C1006" i="20" s="1"/>
  <c r="G1005" i="20"/>
  <c r="F1005" i="20"/>
  <c r="D1005" i="20"/>
  <c r="C1005" i="20" a="1"/>
  <c r="C1005" i="20" s="1"/>
  <c r="G1004" i="20"/>
  <c r="F1004" i="20"/>
  <c r="D1004" i="20"/>
  <c r="C1004" i="20" a="1"/>
  <c r="C1004" i="20" s="1"/>
  <c r="G1003" i="20"/>
  <c r="F1003" i="20"/>
  <c r="D1003" i="20"/>
  <c r="C1003" i="20" a="1"/>
  <c r="C1003" i="20" s="1"/>
  <c r="G1002" i="20"/>
  <c r="F1002" i="20"/>
  <c r="D1002" i="20"/>
  <c r="C1002" i="20" a="1"/>
  <c r="C1002" i="20" s="1"/>
  <c r="G1001" i="20"/>
  <c r="I1001" i="20" s="1"/>
  <c r="F1001" i="20"/>
  <c r="D1001" i="20"/>
  <c r="C1001" i="20" a="1"/>
  <c r="C1001" i="20" s="1"/>
  <c r="G1000" i="20"/>
  <c r="F1000" i="20"/>
  <c r="D1000" i="20"/>
  <c r="C1000" i="20" a="1"/>
  <c r="C1000" i="20" s="1"/>
  <c r="G999" i="20"/>
  <c r="H999" i="20" s="1"/>
  <c r="F999" i="20"/>
  <c r="D999" i="20"/>
  <c r="C999" i="20" a="1"/>
  <c r="C999" i="20" s="1"/>
  <c r="G998" i="20"/>
  <c r="I998" i="20" s="1"/>
  <c r="F998" i="20"/>
  <c r="D998" i="20"/>
  <c r="C998" i="20" a="1"/>
  <c r="C998" i="20" s="1"/>
  <c r="G997" i="20"/>
  <c r="F997" i="20"/>
  <c r="D997" i="20"/>
  <c r="C997" i="20" a="1"/>
  <c r="C997" i="20" s="1"/>
  <c r="G996" i="20"/>
  <c r="F996" i="20"/>
  <c r="D996" i="20"/>
  <c r="C996" i="20" a="1"/>
  <c r="C996" i="20" s="1"/>
  <c r="G995" i="20"/>
  <c r="F995" i="20"/>
  <c r="D995" i="20"/>
  <c r="C995" i="20" a="1"/>
  <c r="C995" i="20" s="1"/>
  <c r="G994" i="20"/>
  <c r="F994" i="20"/>
  <c r="D994" i="20"/>
  <c r="C994" i="20" a="1"/>
  <c r="C994" i="20" s="1"/>
  <c r="G993" i="20"/>
  <c r="F993" i="20"/>
  <c r="D993" i="20"/>
  <c r="C993" i="20" a="1"/>
  <c r="C993" i="20" s="1"/>
  <c r="G992" i="20"/>
  <c r="I992" i="20" s="1"/>
  <c r="F992" i="20"/>
  <c r="D992" i="20"/>
  <c r="C992" i="20" a="1"/>
  <c r="C992" i="20" s="1"/>
  <c r="G991" i="20"/>
  <c r="F991" i="20"/>
  <c r="D991" i="20"/>
  <c r="C991" i="20" a="1"/>
  <c r="C991" i="20" s="1"/>
  <c r="G990" i="20"/>
  <c r="F990" i="20"/>
  <c r="D990" i="20"/>
  <c r="C990" i="20" a="1"/>
  <c r="C990" i="20" s="1"/>
  <c r="G989" i="20"/>
  <c r="J989" i="20" s="1"/>
  <c r="F989" i="20"/>
  <c r="D989" i="20"/>
  <c r="C989" i="20" a="1"/>
  <c r="C989" i="20" s="1"/>
  <c r="G988" i="20"/>
  <c r="F988" i="20"/>
  <c r="D988" i="20"/>
  <c r="C988" i="20" a="1"/>
  <c r="C988" i="20" s="1"/>
  <c r="G987" i="20"/>
  <c r="F987" i="20"/>
  <c r="D987" i="20"/>
  <c r="C987" i="20" a="1"/>
  <c r="C987" i="20" s="1"/>
  <c r="G986" i="20"/>
  <c r="F986" i="20"/>
  <c r="D986" i="20"/>
  <c r="C986" i="20" a="1"/>
  <c r="C986" i="20" s="1"/>
  <c r="G985" i="20"/>
  <c r="F985" i="20"/>
  <c r="D985" i="20"/>
  <c r="C985" i="20" a="1"/>
  <c r="C985" i="20" s="1"/>
  <c r="G984" i="20"/>
  <c r="F984" i="20"/>
  <c r="D984" i="20"/>
  <c r="C984" i="20" a="1"/>
  <c r="C984" i="20" s="1"/>
  <c r="G983" i="20"/>
  <c r="F983" i="20"/>
  <c r="D983" i="20"/>
  <c r="C983" i="20" a="1"/>
  <c r="C983" i="20" s="1"/>
  <c r="G982" i="20"/>
  <c r="F982" i="20"/>
  <c r="D982" i="20"/>
  <c r="C982" i="20" a="1"/>
  <c r="C982" i="20" s="1"/>
  <c r="G981" i="20"/>
  <c r="I981" i="20" s="1"/>
  <c r="F981" i="20"/>
  <c r="D981" i="20"/>
  <c r="C981" i="20" a="1"/>
  <c r="C981" i="20" s="1"/>
  <c r="G980" i="20"/>
  <c r="F980" i="20"/>
  <c r="D980" i="20"/>
  <c r="C980" i="20" a="1"/>
  <c r="C980" i="20" s="1"/>
  <c r="G979" i="20"/>
  <c r="F979" i="20"/>
  <c r="D979" i="20"/>
  <c r="C979" i="20" a="1"/>
  <c r="C979" i="20" s="1"/>
  <c r="G978" i="20"/>
  <c r="F978" i="20"/>
  <c r="D978" i="20"/>
  <c r="C978" i="20" a="1"/>
  <c r="C978" i="20" s="1"/>
  <c r="G977" i="20"/>
  <c r="F977" i="20"/>
  <c r="D977" i="20"/>
  <c r="C977" i="20" a="1"/>
  <c r="C977" i="20" s="1"/>
  <c r="G976" i="20"/>
  <c r="F976" i="20"/>
  <c r="D976" i="20"/>
  <c r="C976" i="20" a="1"/>
  <c r="C976" i="20" s="1"/>
  <c r="G975" i="20"/>
  <c r="H975" i="20" s="1"/>
  <c r="F975" i="20"/>
  <c r="D975" i="20"/>
  <c r="C975" i="20" a="1"/>
  <c r="C975" i="20" s="1"/>
  <c r="G974" i="20"/>
  <c r="F974" i="20"/>
  <c r="D974" i="20"/>
  <c r="C974" i="20" a="1"/>
  <c r="C974" i="20" s="1"/>
  <c r="G973" i="20"/>
  <c r="F973" i="20"/>
  <c r="D973" i="20"/>
  <c r="C973" i="20" a="1"/>
  <c r="C973" i="20" s="1"/>
  <c r="G972" i="20"/>
  <c r="F972" i="20"/>
  <c r="D972" i="20"/>
  <c r="C972" i="20" a="1"/>
  <c r="C972" i="20" s="1"/>
  <c r="G971" i="20"/>
  <c r="F971" i="20"/>
  <c r="D971" i="20"/>
  <c r="C971" i="20" a="1"/>
  <c r="C971" i="20" s="1"/>
  <c r="G970" i="20"/>
  <c r="F970" i="20"/>
  <c r="D970" i="20"/>
  <c r="C970" i="20" a="1"/>
  <c r="C970" i="20" s="1"/>
  <c r="G969" i="20"/>
  <c r="F969" i="20"/>
  <c r="D969" i="20"/>
  <c r="C969" i="20" a="1"/>
  <c r="C969" i="20" s="1"/>
  <c r="G968" i="20"/>
  <c r="F968" i="20"/>
  <c r="D968" i="20"/>
  <c r="C968" i="20" a="1"/>
  <c r="C968" i="20" s="1"/>
  <c r="G967" i="20"/>
  <c r="F967" i="20"/>
  <c r="D967" i="20"/>
  <c r="C967" i="20" a="1"/>
  <c r="C967" i="20" s="1"/>
  <c r="G966" i="20"/>
  <c r="F966" i="20"/>
  <c r="D966" i="20"/>
  <c r="C966" i="20" a="1"/>
  <c r="C966" i="20" s="1"/>
  <c r="G965" i="20"/>
  <c r="F965" i="20"/>
  <c r="D965" i="20"/>
  <c r="C965" i="20" a="1"/>
  <c r="C965" i="20" s="1"/>
  <c r="G964" i="20"/>
  <c r="F964" i="20"/>
  <c r="D964" i="20"/>
  <c r="C964" i="20" a="1"/>
  <c r="C964" i="20" s="1"/>
  <c r="G963" i="20"/>
  <c r="F963" i="20"/>
  <c r="D963" i="20"/>
  <c r="C963" i="20" a="1"/>
  <c r="C963" i="20" s="1"/>
  <c r="G962" i="20"/>
  <c r="F962" i="20"/>
  <c r="D962" i="20"/>
  <c r="C962" i="20" a="1"/>
  <c r="C962" i="20" s="1"/>
  <c r="G961" i="20"/>
  <c r="F961" i="20"/>
  <c r="D961" i="20"/>
  <c r="C961" i="20" a="1"/>
  <c r="C961" i="20" s="1"/>
  <c r="G960" i="20"/>
  <c r="F960" i="20"/>
  <c r="D960" i="20"/>
  <c r="C960" i="20" a="1"/>
  <c r="C960" i="20" s="1"/>
  <c r="G959" i="20"/>
  <c r="H959" i="20" s="1"/>
  <c r="F959" i="20"/>
  <c r="D959" i="20"/>
  <c r="C959" i="20" a="1"/>
  <c r="C959" i="20" s="1"/>
  <c r="G958" i="20"/>
  <c r="F958" i="20"/>
  <c r="D958" i="20"/>
  <c r="C958" i="20" a="1"/>
  <c r="C958" i="20" s="1"/>
  <c r="G957" i="20"/>
  <c r="F957" i="20"/>
  <c r="D957" i="20"/>
  <c r="C957" i="20" a="1"/>
  <c r="C957" i="20" s="1"/>
  <c r="G956" i="20"/>
  <c r="F956" i="20"/>
  <c r="D956" i="20"/>
  <c r="C956" i="20" a="1"/>
  <c r="C956" i="20" s="1"/>
  <c r="G955" i="20"/>
  <c r="F955" i="20"/>
  <c r="D955" i="20"/>
  <c r="C955" i="20" a="1"/>
  <c r="C955" i="20" s="1"/>
  <c r="G954" i="20"/>
  <c r="F954" i="20"/>
  <c r="D954" i="20"/>
  <c r="C954" i="20" a="1"/>
  <c r="C954" i="20" s="1"/>
  <c r="G953" i="20"/>
  <c r="F953" i="20"/>
  <c r="D953" i="20"/>
  <c r="C953" i="20" a="1"/>
  <c r="C953" i="20" s="1"/>
  <c r="G952" i="20"/>
  <c r="F952" i="20"/>
  <c r="D952" i="20"/>
  <c r="C952" i="20" a="1"/>
  <c r="C952" i="20" s="1"/>
  <c r="G951" i="20"/>
  <c r="F951" i="20"/>
  <c r="D951" i="20"/>
  <c r="C951" i="20" a="1"/>
  <c r="C951" i="20" s="1"/>
  <c r="G950" i="20"/>
  <c r="I950" i="20" s="1"/>
  <c r="F950" i="20"/>
  <c r="D950" i="20"/>
  <c r="C950" i="20" a="1"/>
  <c r="C950" i="20" s="1"/>
  <c r="G949" i="20"/>
  <c r="J949" i="20" s="1"/>
  <c r="F949" i="20"/>
  <c r="D949" i="20"/>
  <c r="C949" i="20" a="1"/>
  <c r="C949" i="20" s="1"/>
  <c r="G948" i="20"/>
  <c r="F948" i="20"/>
  <c r="D948" i="20"/>
  <c r="C948" i="20" a="1"/>
  <c r="C948" i="20" s="1"/>
  <c r="G947" i="20"/>
  <c r="F947" i="20"/>
  <c r="D947" i="20"/>
  <c r="C947" i="20" a="1"/>
  <c r="C947" i="20" s="1"/>
  <c r="G946" i="20"/>
  <c r="F946" i="20"/>
  <c r="D946" i="20"/>
  <c r="C946" i="20" a="1"/>
  <c r="C946" i="20" s="1"/>
  <c r="G945" i="20"/>
  <c r="F945" i="20"/>
  <c r="D945" i="20"/>
  <c r="C945" i="20" a="1"/>
  <c r="C945" i="20" s="1"/>
  <c r="G944" i="20"/>
  <c r="F944" i="20"/>
  <c r="D944" i="20"/>
  <c r="C944" i="20" a="1"/>
  <c r="C944" i="20" s="1"/>
  <c r="G943" i="20"/>
  <c r="F943" i="20"/>
  <c r="D943" i="20"/>
  <c r="C943" i="20" a="1"/>
  <c r="C943" i="20" s="1"/>
  <c r="G942" i="20"/>
  <c r="F942" i="20"/>
  <c r="D942" i="20"/>
  <c r="C942" i="20" a="1"/>
  <c r="C942" i="20" s="1"/>
  <c r="G941" i="20"/>
  <c r="F941" i="20"/>
  <c r="D941" i="20"/>
  <c r="C941" i="20" a="1"/>
  <c r="C941" i="20" s="1"/>
  <c r="G940" i="20"/>
  <c r="F940" i="20"/>
  <c r="D940" i="20"/>
  <c r="C940" i="20" a="1"/>
  <c r="C940" i="20" s="1"/>
  <c r="G939" i="20"/>
  <c r="F939" i="20"/>
  <c r="D939" i="20"/>
  <c r="C939" i="20" a="1"/>
  <c r="C939" i="20" s="1"/>
  <c r="G938" i="20"/>
  <c r="F938" i="20"/>
  <c r="D938" i="20"/>
  <c r="C938" i="20" a="1"/>
  <c r="C938" i="20" s="1"/>
  <c r="G937" i="20"/>
  <c r="I937" i="20" s="1"/>
  <c r="F937" i="20"/>
  <c r="D937" i="20"/>
  <c r="C937" i="20" a="1"/>
  <c r="C937" i="20" s="1"/>
  <c r="G936" i="20"/>
  <c r="F936" i="20"/>
  <c r="D936" i="20"/>
  <c r="C936" i="20" a="1"/>
  <c r="C936" i="20" s="1"/>
  <c r="G935" i="20"/>
  <c r="F935" i="20"/>
  <c r="D935" i="20"/>
  <c r="C935" i="20" a="1"/>
  <c r="C935" i="20" s="1"/>
  <c r="G934" i="20"/>
  <c r="F934" i="20"/>
  <c r="D934" i="20"/>
  <c r="C934" i="20" a="1"/>
  <c r="C934" i="20" s="1"/>
  <c r="G933" i="20"/>
  <c r="J933" i="20" s="1"/>
  <c r="F933" i="20"/>
  <c r="D933" i="20"/>
  <c r="C933" i="20" a="1"/>
  <c r="C933" i="20" s="1"/>
  <c r="G932" i="20"/>
  <c r="F932" i="20"/>
  <c r="D932" i="20"/>
  <c r="C932" i="20" a="1"/>
  <c r="C932" i="20" s="1"/>
  <c r="G931" i="20"/>
  <c r="H931" i="20" s="1"/>
  <c r="F931" i="20"/>
  <c r="D931" i="20"/>
  <c r="C931" i="20" a="1"/>
  <c r="C931" i="20" s="1"/>
  <c r="G930" i="20"/>
  <c r="F930" i="20"/>
  <c r="D930" i="20"/>
  <c r="C930" i="20" a="1"/>
  <c r="C930" i="20" s="1"/>
  <c r="G929" i="20"/>
  <c r="F929" i="20"/>
  <c r="D929" i="20"/>
  <c r="C929" i="20" a="1"/>
  <c r="C929" i="20" s="1"/>
  <c r="G928" i="20"/>
  <c r="F928" i="20"/>
  <c r="D928" i="20"/>
  <c r="C928" i="20" a="1"/>
  <c r="C928" i="20" s="1"/>
  <c r="G927" i="20"/>
  <c r="H927" i="20" s="1"/>
  <c r="F927" i="20"/>
  <c r="D927" i="20"/>
  <c r="C927" i="20" a="1"/>
  <c r="C927" i="20" s="1"/>
  <c r="G926" i="20"/>
  <c r="F926" i="20"/>
  <c r="D926" i="20"/>
  <c r="C926" i="20" a="1"/>
  <c r="C926" i="20" s="1"/>
  <c r="G925" i="20"/>
  <c r="F925" i="20"/>
  <c r="D925" i="20"/>
  <c r="C925" i="20" a="1"/>
  <c r="C925" i="20" s="1"/>
  <c r="G924" i="20"/>
  <c r="F924" i="20"/>
  <c r="D924" i="20"/>
  <c r="C924" i="20" a="1"/>
  <c r="C924" i="20" s="1"/>
  <c r="G923" i="20"/>
  <c r="F923" i="20"/>
  <c r="D923" i="20"/>
  <c r="C923" i="20" a="1"/>
  <c r="C923" i="20" s="1"/>
  <c r="G922" i="20"/>
  <c r="F922" i="20"/>
  <c r="D922" i="20"/>
  <c r="C922" i="20" a="1"/>
  <c r="C922" i="20" s="1"/>
  <c r="G921" i="20"/>
  <c r="F921" i="20"/>
  <c r="D921" i="20"/>
  <c r="C921" i="20" a="1"/>
  <c r="C921" i="20" s="1"/>
  <c r="G920" i="20"/>
  <c r="F920" i="20"/>
  <c r="D920" i="20"/>
  <c r="C920" i="20" a="1"/>
  <c r="C920" i="20" s="1"/>
  <c r="G919" i="20"/>
  <c r="F919" i="20"/>
  <c r="D919" i="20"/>
  <c r="C919" i="20" a="1"/>
  <c r="C919" i="20" s="1"/>
  <c r="G918" i="20"/>
  <c r="F918" i="20"/>
  <c r="D918" i="20"/>
  <c r="C918" i="20" a="1"/>
  <c r="C918" i="20" s="1"/>
  <c r="G917" i="20"/>
  <c r="F917" i="20"/>
  <c r="D917" i="20"/>
  <c r="C917" i="20" a="1"/>
  <c r="C917" i="20" s="1"/>
  <c r="G916" i="20"/>
  <c r="F916" i="20"/>
  <c r="D916" i="20"/>
  <c r="C916" i="20" a="1"/>
  <c r="C916" i="20" s="1"/>
  <c r="G915" i="20"/>
  <c r="F915" i="20"/>
  <c r="D915" i="20"/>
  <c r="C915" i="20" a="1"/>
  <c r="C915" i="20" s="1"/>
  <c r="G914" i="20"/>
  <c r="F914" i="20"/>
  <c r="D914" i="20"/>
  <c r="C914" i="20" a="1"/>
  <c r="C914" i="20" s="1"/>
  <c r="G913" i="20"/>
  <c r="F913" i="20"/>
  <c r="D913" i="20"/>
  <c r="C913" i="20" a="1"/>
  <c r="C913" i="20" s="1"/>
  <c r="G912" i="20"/>
  <c r="F912" i="20"/>
  <c r="D912" i="20"/>
  <c r="C912" i="20" a="1"/>
  <c r="C912" i="20" s="1"/>
  <c r="G911" i="20"/>
  <c r="H911" i="20" s="1"/>
  <c r="F911" i="20"/>
  <c r="D911" i="20"/>
  <c r="C911" i="20" a="1"/>
  <c r="C911" i="20" s="1"/>
  <c r="G910" i="20"/>
  <c r="F910" i="20"/>
  <c r="D910" i="20"/>
  <c r="C910" i="20" a="1"/>
  <c r="C910" i="20" s="1"/>
  <c r="G909" i="20"/>
  <c r="F909" i="20"/>
  <c r="D909" i="20"/>
  <c r="C909" i="20" a="1"/>
  <c r="C909" i="20" s="1"/>
  <c r="G908" i="20"/>
  <c r="F908" i="20"/>
  <c r="D908" i="20"/>
  <c r="C908" i="20" a="1"/>
  <c r="C908" i="20" s="1"/>
  <c r="G907" i="20"/>
  <c r="F907" i="20"/>
  <c r="D907" i="20"/>
  <c r="C907" i="20" a="1"/>
  <c r="C907" i="20" s="1"/>
  <c r="G906" i="20"/>
  <c r="I906" i="20" s="1"/>
  <c r="F906" i="20"/>
  <c r="D906" i="20"/>
  <c r="C906" i="20" a="1"/>
  <c r="C906" i="20" s="1"/>
  <c r="G905" i="20"/>
  <c r="F905" i="20"/>
  <c r="D905" i="20"/>
  <c r="C905" i="20" a="1"/>
  <c r="C905" i="20" s="1"/>
  <c r="G904" i="20"/>
  <c r="F904" i="20"/>
  <c r="D904" i="20"/>
  <c r="C904" i="20" a="1"/>
  <c r="C904" i="20" s="1"/>
  <c r="G903" i="20"/>
  <c r="H903" i="20" s="1"/>
  <c r="F903" i="20"/>
  <c r="D903" i="20"/>
  <c r="C903" i="20" a="1"/>
  <c r="C903" i="20" s="1"/>
  <c r="G902" i="20"/>
  <c r="F902" i="20"/>
  <c r="D902" i="20"/>
  <c r="C902" i="20" a="1"/>
  <c r="C902" i="20" s="1"/>
  <c r="G901" i="20"/>
  <c r="F901" i="20"/>
  <c r="D901" i="20"/>
  <c r="C901" i="20" a="1"/>
  <c r="C901" i="20" s="1"/>
  <c r="G900" i="20"/>
  <c r="F900" i="20"/>
  <c r="D900" i="20"/>
  <c r="C900" i="20" a="1"/>
  <c r="C900" i="20" s="1"/>
  <c r="G899" i="20"/>
  <c r="F899" i="20"/>
  <c r="D899" i="20"/>
  <c r="C899" i="20" a="1"/>
  <c r="C899" i="20" s="1"/>
  <c r="G898" i="20"/>
  <c r="F898" i="20"/>
  <c r="D898" i="20"/>
  <c r="C898" i="20" a="1"/>
  <c r="C898" i="20" s="1"/>
  <c r="G897" i="20"/>
  <c r="F897" i="20"/>
  <c r="D897" i="20"/>
  <c r="C897" i="20" a="1"/>
  <c r="C897" i="20" s="1"/>
  <c r="G896" i="20"/>
  <c r="F896" i="20"/>
  <c r="D896" i="20"/>
  <c r="C896" i="20" a="1"/>
  <c r="C896" i="20" s="1"/>
  <c r="G895" i="20"/>
  <c r="H895" i="20" s="1"/>
  <c r="F895" i="20"/>
  <c r="D895" i="20"/>
  <c r="C895" i="20" a="1"/>
  <c r="C895" i="20" s="1"/>
  <c r="G894" i="20"/>
  <c r="F894" i="20"/>
  <c r="D894" i="20"/>
  <c r="C894" i="20" a="1"/>
  <c r="C894" i="20" s="1"/>
  <c r="G893" i="20"/>
  <c r="F893" i="20"/>
  <c r="D893" i="20"/>
  <c r="C893" i="20" a="1"/>
  <c r="C893" i="20" s="1"/>
  <c r="G892" i="20"/>
  <c r="F892" i="20"/>
  <c r="D892" i="20"/>
  <c r="C892" i="20" a="1"/>
  <c r="C892" i="20" s="1"/>
  <c r="G891" i="20"/>
  <c r="F891" i="20"/>
  <c r="D891" i="20"/>
  <c r="C891" i="20" a="1"/>
  <c r="C891" i="20" s="1"/>
  <c r="G890" i="20"/>
  <c r="F890" i="20"/>
  <c r="D890" i="20"/>
  <c r="C890" i="20" a="1"/>
  <c r="C890" i="20" s="1"/>
  <c r="G889" i="20"/>
  <c r="F889" i="20"/>
  <c r="D889" i="20"/>
  <c r="C889" i="20" a="1"/>
  <c r="C889" i="20" s="1"/>
  <c r="G888" i="20"/>
  <c r="F888" i="20"/>
  <c r="D888" i="20"/>
  <c r="C888" i="20" a="1"/>
  <c r="C888" i="20" s="1"/>
  <c r="G887" i="20"/>
  <c r="F887" i="20"/>
  <c r="D887" i="20"/>
  <c r="C887" i="20" a="1"/>
  <c r="C887" i="20" s="1"/>
  <c r="G886" i="20"/>
  <c r="H886" i="20" s="1"/>
  <c r="F886" i="20"/>
  <c r="D886" i="20"/>
  <c r="C886" i="20" a="1"/>
  <c r="C886" i="20" s="1"/>
  <c r="G885" i="20"/>
  <c r="F885" i="20"/>
  <c r="D885" i="20"/>
  <c r="C885" i="20" a="1"/>
  <c r="C885" i="20" s="1"/>
  <c r="G884" i="20"/>
  <c r="F884" i="20"/>
  <c r="D884" i="20"/>
  <c r="C884" i="20" a="1"/>
  <c r="C884" i="20" s="1"/>
  <c r="G883" i="20"/>
  <c r="F883" i="20"/>
  <c r="D883" i="20"/>
  <c r="C883" i="20" a="1"/>
  <c r="C883" i="20" s="1"/>
  <c r="G882" i="20"/>
  <c r="F882" i="20"/>
  <c r="D882" i="20"/>
  <c r="C882" i="20" a="1"/>
  <c r="C882" i="20" s="1"/>
  <c r="G881" i="20"/>
  <c r="F881" i="20"/>
  <c r="D881" i="20"/>
  <c r="C881" i="20" a="1"/>
  <c r="C881" i="20" s="1"/>
  <c r="G880" i="20"/>
  <c r="F880" i="20"/>
  <c r="D880" i="20"/>
  <c r="C880" i="20" a="1"/>
  <c r="C880" i="20" s="1"/>
  <c r="G879" i="20"/>
  <c r="F879" i="20"/>
  <c r="D879" i="20"/>
  <c r="C879" i="20" a="1"/>
  <c r="C879" i="20" s="1"/>
  <c r="G878" i="20"/>
  <c r="F878" i="20"/>
  <c r="D878" i="20"/>
  <c r="C878" i="20" a="1"/>
  <c r="C878" i="20" s="1"/>
  <c r="G877" i="20"/>
  <c r="F877" i="20"/>
  <c r="D877" i="20"/>
  <c r="C877" i="20" a="1"/>
  <c r="C877" i="20" s="1"/>
  <c r="G876" i="20"/>
  <c r="F876" i="20"/>
  <c r="D876" i="20"/>
  <c r="C876" i="20" a="1"/>
  <c r="C876" i="20" s="1"/>
  <c r="G875" i="20"/>
  <c r="F875" i="20"/>
  <c r="D875" i="20"/>
  <c r="C875" i="20" a="1"/>
  <c r="C875" i="20" s="1"/>
  <c r="G874" i="20"/>
  <c r="H874" i="20" s="1"/>
  <c r="F874" i="20"/>
  <c r="D874" i="20"/>
  <c r="C874" i="20" a="1"/>
  <c r="C874" i="20" s="1"/>
  <c r="G873" i="20"/>
  <c r="F873" i="20"/>
  <c r="D873" i="20"/>
  <c r="C873" i="20" a="1"/>
  <c r="C873" i="20" s="1"/>
  <c r="G872" i="20"/>
  <c r="F872" i="20"/>
  <c r="D872" i="20"/>
  <c r="C872" i="20" a="1"/>
  <c r="C872" i="20" s="1"/>
  <c r="G871" i="20"/>
  <c r="F871" i="20"/>
  <c r="D871" i="20"/>
  <c r="C871" i="20" a="1"/>
  <c r="C871" i="20" s="1"/>
  <c r="G870" i="20"/>
  <c r="J870" i="20" s="1"/>
  <c r="F870" i="20"/>
  <c r="D870" i="20"/>
  <c r="C870" i="20" a="1"/>
  <c r="C870" i="20" s="1"/>
  <c r="G869" i="20"/>
  <c r="F869" i="20"/>
  <c r="D869" i="20"/>
  <c r="C869" i="20" a="1"/>
  <c r="C869" i="20" s="1"/>
  <c r="G868" i="20"/>
  <c r="F868" i="20"/>
  <c r="D868" i="20"/>
  <c r="C868" i="20" a="1"/>
  <c r="C868" i="20" s="1"/>
  <c r="G867" i="20"/>
  <c r="F867" i="20"/>
  <c r="D867" i="20"/>
  <c r="C867" i="20" a="1"/>
  <c r="C867" i="20" s="1"/>
  <c r="G866" i="20"/>
  <c r="J866" i="20" s="1"/>
  <c r="F866" i="20"/>
  <c r="D866" i="20"/>
  <c r="C866" i="20" a="1"/>
  <c r="C866" i="20" s="1"/>
  <c r="G865" i="20"/>
  <c r="F865" i="20"/>
  <c r="D865" i="20"/>
  <c r="C865" i="20" a="1"/>
  <c r="C865" i="20" s="1"/>
  <c r="G864" i="20"/>
  <c r="F864" i="20"/>
  <c r="D864" i="20"/>
  <c r="C864" i="20" a="1"/>
  <c r="C864" i="20" s="1"/>
  <c r="G863" i="20"/>
  <c r="I863" i="20" s="1"/>
  <c r="F863" i="20"/>
  <c r="D863" i="20"/>
  <c r="C863" i="20" a="1"/>
  <c r="C863" i="20" s="1"/>
  <c r="G862" i="20"/>
  <c r="J862" i="20" s="1"/>
  <c r="F862" i="20"/>
  <c r="D862" i="20"/>
  <c r="C862" i="20" a="1"/>
  <c r="C862" i="20" s="1"/>
  <c r="G861" i="20"/>
  <c r="F861" i="20"/>
  <c r="D861" i="20"/>
  <c r="C861" i="20" a="1"/>
  <c r="C861" i="20" s="1"/>
  <c r="G860" i="20"/>
  <c r="F860" i="20"/>
  <c r="D860" i="20"/>
  <c r="C860" i="20" a="1"/>
  <c r="C860" i="20" s="1"/>
  <c r="G859" i="20"/>
  <c r="H859" i="20" s="1"/>
  <c r="F859" i="20"/>
  <c r="D859" i="20"/>
  <c r="C859" i="20" a="1"/>
  <c r="C859" i="20" s="1"/>
  <c r="G858" i="20"/>
  <c r="H858" i="20" s="1"/>
  <c r="F858" i="20"/>
  <c r="D858" i="20"/>
  <c r="C858" i="20" a="1"/>
  <c r="C858" i="20" s="1"/>
  <c r="G857" i="20"/>
  <c r="I857" i="20" s="1"/>
  <c r="F857" i="20"/>
  <c r="D857" i="20"/>
  <c r="C857" i="20" a="1"/>
  <c r="C857" i="20" s="1"/>
  <c r="G856" i="20"/>
  <c r="F856" i="20"/>
  <c r="D856" i="20"/>
  <c r="C856" i="20" a="1"/>
  <c r="C856" i="20" s="1"/>
  <c r="G855" i="20"/>
  <c r="I855" i="20" s="1"/>
  <c r="F855" i="20"/>
  <c r="D855" i="20"/>
  <c r="C855" i="20" a="1"/>
  <c r="C855" i="20" s="1"/>
  <c r="G854" i="20"/>
  <c r="J854" i="20" s="1"/>
  <c r="F854" i="20"/>
  <c r="D854" i="20"/>
  <c r="C854" i="20" a="1"/>
  <c r="C854" i="20" s="1"/>
  <c r="G853" i="20"/>
  <c r="J853" i="20" s="1"/>
  <c r="F853" i="20"/>
  <c r="D853" i="20"/>
  <c r="C853" i="20" a="1"/>
  <c r="C853" i="20" s="1"/>
  <c r="G852" i="20"/>
  <c r="F852" i="20"/>
  <c r="D852" i="20"/>
  <c r="C852" i="20" a="1"/>
  <c r="C852" i="20" s="1"/>
  <c r="G851" i="20"/>
  <c r="H851" i="20" s="1"/>
  <c r="F851" i="20"/>
  <c r="D851" i="20"/>
  <c r="C851" i="20" a="1"/>
  <c r="C851" i="20" s="1"/>
  <c r="G850" i="20"/>
  <c r="F850" i="20"/>
  <c r="D850" i="20"/>
  <c r="C850" i="20" a="1"/>
  <c r="C850" i="20" s="1"/>
  <c r="G849" i="20"/>
  <c r="F849" i="20"/>
  <c r="D849" i="20"/>
  <c r="C849" i="20" a="1"/>
  <c r="C849" i="20" s="1"/>
  <c r="G848" i="20"/>
  <c r="F848" i="20"/>
  <c r="D848" i="20"/>
  <c r="C848" i="20" a="1"/>
  <c r="C848" i="20" s="1"/>
  <c r="G847" i="20"/>
  <c r="F847" i="20"/>
  <c r="D847" i="20"/>
  <c r="C847" i="20" a="1"/>
  <c r="C847" i="20" s="1"/>
  <c r="G846" i="20"/>
  <c r="F846" i="20"/>
  <c r="D846" i="20"/>
  <c r="C846" i="20" a="1"/>
  <c r="C846" i="20" s="1"/>
  <c r="G845" i="20"/>
  <c r="F845" i="20"/>
  <c r="D845" i="20"/>
  <c r="C845" i="20" a="1"/>
  <c r="C845" i="20" s="1"/>
  <c r="G844" i="20"/>
  <c r="F844" i="20"/>
  <c r="D844" i="20"/>
  <c r="C844" i="20" a="1"/>
  <c r="C844" i="20" s="1"/>
  <c r="G843" i="20"/>
  <c r="F843" i="20"/>
  <c r="D843" i="20"/>
  <c r="C843" i="20" a="1"/>
  <c r="C843" i="20" s="1"/>
  <c r="G842" i="20"/>
  <c r="I842" i="20" s="1"/>
  <c r="F842" i="20"/>
  <c r="D842" i="20"/>
  <c r="C842" i="20" a="1"/>
  <c r="C842" i="20" s="1"/>
  <c r="G841" i="20"/>
  <c r="J841" i="20" s="1"/>
  <c r="F841" i="20"/>
  <c r="D841" i="20"/>
  <c r="C841" i="20" a="1"/>
  <c r="C841" i="20" s="1"/>
  <c r="G840" i="20"/>
  <c r="I840" i="20" s="1"/>
  <c r="F840" i="20"/>
  <c r="D840" i="20"/>
  <c r="C840" i="20" a="1"/>
  <c r="C840" i="20" s="1"/>
  <c r="G839" i="20"/>
  <c r="F839" i="20"/>
  <c r="D839" i="20"/>
  <c r="C839" i="20" a="1"/>
  <c r="C839" i="20" s="1"/>
  <c r="G838" i="20"/>
  <c r="J838" i="20" s="1"/>
  <c r="F838" i="20"/>
  <c r="D838" i="20"/>
  <c r="C838" i="20" a="1"/>
  <c r="C838" i="20" s="1"/>
  <c r="G837" i="20"/>
  <c r="I837" i="20" s="1"/>
  <c r="F837" i="20"/>
  <c r="D837" i="20"/>
  <c r="C837" i="20" a="1"/>
  <c r="C837" i="20" s="1"/>
  <c r="G836" i="20"/>
  <c r="F836" i="20"/>
  <c r="D836" i="20"/>
  <c r="C836" i="20" a="1"/>
  <c r="C836" i="20" s="1"/>
  <c r="G835" i="20"/>
  <c r="F835" i="20"/>
  <c r="D835" i="20"/>
  <c r="C835" i="20" a="1"/>
  <c r="C835" i="20" s="1"/>
  <c r="G834" i="20"/>
  <c r="J834" i="20" s="1"/>
  <c r="F834" i="20"/>
  <c r="D834" i="20"/>
  <c r="C834" i="20" a="1"/>
  <c r="C834" i="20" s="1"/>
  <c r="G833" i="20"/>
  <c r="F833" i="20"/>
  <c r="D833" i="20"/>
  <c r="C833" i="20" a="1"/>
  <c r="C833" i="20" s="1"/>
  <c r="G832" i="20"/>
  <c r="F832" i="20"/>
  <c r="D832" i="20"/>
  <c r="C832" i="20" a="1"/>
  <c r="C832" i="20" s="1"/>
  <c r="G831" i="20"/>
  <c r="F831" i="20"/>
  <c r="D831" i="20"/>
  <c r="C831" i="20" a="1"/>
  <c r="C831" i="20" s="1"/>
  <c r="G830" i="20"/>
  <c r="F830" i="20"/>
  <c r="D830" i="20"/>
  <c r="C830" i="20" a="1"/>
  <c r="C830" i="20" s="1"/>
  <c r="G829" i="20"/>
  <c r="F829" i="20"/>
  <c r="D829" i="20"/>
  <c r="C829" i="20" a="1"/>
  <c r="C829" i="20" s="1"/>
  <c r="G828" i="20"/>
  <c r="F828" i="20"/>
  <c r="D828" i="20"/>
  <c r="C828" i="20" a="1"/>
  <c r="C828" i="20" s="1"/>
  <c r="G827" i="20"/>
  <c r="F827" i="20"/>
  <c r="D827" i="20"/>
  <c r="C827" i="20" a="1"/>
  <c r="C827" i="20" s="1"/>
  <c r="G826" i="20"/>
  <c r="F826" i="20"/>
  <c r="D826" i="20"/>
  <c r="C826" i="20" a="1"/>
  <c r="C826" i="20" s="1"/>
  <c r="G825" i="20"/>
  <c r="F825" i="20"/>
  <c r="D825" i="20"/>
  <c r="C825" i="20" a="1"/>
  <c r="C825" i="20" s="1"/>
  <c r="G824" i="20"/>
  <c r="F824" i="20"/>
  <c r="D824" i="20"/>
  <c r="C824" i="20" a="1"/>
  <c r="C824" i="20" s="1"/>
  <c r="G823" i="20"/>
  <c r="F823" i="20"/>
  <c r="D823" i="20"/>
  <c r="C823" i="20" a="1"/>
  <c r="C823" i="20" s="1"/>
  <c r="G822" i="20"/>
  <c r="I822" i="20" s="1"/>
  <c r="F822" i="20"/>
  <c r="D822" i="20"/>
  <c r="C822" i="20" a="1"/>
  <c r="C822" i="20" s="1"/>
  <c r="G821" i="20"/>
  <c r="F821" i="20"/>
  <c r="D821" i="20"/>
  <c r="C821" i="20" a="1"/>
  <c r="C821" i="20" s="1"/>
  <c r="G820" i="20"/>
  <c r="F820" i="20"/>
  <c r="D820" i="20"/>
  <c r="C820" i="20" a="1"/>
  <c r="C820" i="20" s="1"/>
  <c r="G819" i="20"/>
  <c r="H819" i="20" s="1"/>
  <c r="F819" i="20"/>
  <c r="D819" i="20"/>
  <c r="C819" i="20" a="1"/>
  <c r="C819" i="20" s="1"/>
  <c r="G818" i="20"/>
  <c r="F818" i="20"/>
  <c r="D818" i="20"/>
  <c r="C818" i="20" a="1"/>
  <c r="C818" i="20" s="1"/>
  <c r="G817" i="20"/>
  <c r="H817" i="20" s="1"/>
  <c r="F817" i="20"/>
  <c r="D817" i="20"/>
  <c r="C817" i="20" a="1"/>
  <c r="C817" i="20" s="1"/>
  <c r="G816" i="20"/>
  <c r="F816" i="20"/>
  <c r="D816" i="20"/>
  <c r="C816" i="20" a="1"/>
  <c r="C816" i="20" s="1"/>
  <c r="G815" i="20"/>
  <c r="F815" i="20"/>
  <c r="D815" i="20"/>
  <c r="C815" i="20" a="1"/>
  <c r="C815" i="20" s="1"/>
  <c r="G814" i="20"/>
  <c r="H814" i="20" s="1"/>
  <c r="F814" i="20"/>
  <c r="D814" i="20"/>
  <c r="C814" i="20" a="1"/>
  <c r="C814" i="20" s="1"/>
  <c r="G813" i="20"/>
  <c r="H813" i="20" s="1"/>
  <c r="F813" i="20"/>
  <c r="D813" i="20"/>
  <c r="C813" i="20" a="1"/>
  <c r="C813" i="20" s="1"/>
  <c r="G812" i="20"/>
  <c r="F812" i="20"/>
  <c r="D812" i="20"/>
  <c r="C812" i="20" a="1"/>
  <c r="C812" i="20" s="1"/>
  <c r="G811" i="20"/>
  <c r="F811" i="20"/>
  <c r="D811" i="20"/>
  <c r="C811" i="20" a="1"/>
  <c r="C811" i="20" s="1"/>
  <c r="G810" i="20"/>
  <c r="F810" i="20"/>
  <c r="D810" i="20"/>
  <c r="C810" i="20" a="1"/>
  <c r="C810" i="20" s="1"/>
  <c r="G809" i="20"/>
  <c r="F809" i="20"/>
  <c r="D809" i="20"/>
  <c r="C809" i="20" a="1"/>
  <c r="C809" i="20" s="1"/>
  <c r="G808" i="20"/>
  <c r="F808" i="20"/>
  <c r="D808" i="20"/>
  <c r="C808" i="20" a="1"/>
  <c r="C808" i="20" s="1"/>
  <c r="G807" i="20"/>
  <c r="F807" i="20"/>
  <c r="D807" i="20"/>
  <c r="C807" i="20" a="1"/>
  <c r="C807" i="20" s="1"/>
  <c r="G806" i="20"/>
  <c r="H806" i="20" s="1"/>
  <c r="F806" i="20"/>
  <c r="D806" i="20"/>
  <c r="C806" i="20" a="1"/>
  <c r="C806" i="20" s="1"/>
  <c r="G805" i="20"/>
  <c r="J805" i="20" s="1"/>
  <c r="F805" i="20"/>
  <c r="D805" i="20"/>
  <c r="C805" i="20" a="1"/>
  <c r="C805" i="20" s="1"/>
  <c r="G804" i="20"/>
  <c r="F804" i="20"/>
  <c r="D804" i="20"/>
  <c r="C804" i="20" a="1"/>
  <c r="C804" i="20" s="1"/>
  <c r="G803" i="20"/>
  <c r="H803" i="20" s="1"/>
  <c r="F803" i="20"/>
  <c r="D803" i="20"/>
  <c r="C803" i="20" a="1"/>
  <c r="C803" i="20" s="1"/>
  <c r="G802" i="20"/>
  <c r="F802" i="20"/>
  <c r="D802" i="20"/>
  <c r="C802" i="20" a="1"/>
  <c r="C802" i="20" s="1"/>
  <c r="G801" i="20"/>
  <c r="F801" i="20"/>
  <c r="D801" i="20"/>
  <c r="C801" i="20" a="1"/>
  <c r="C801" i="20" s="1"/>
  <c r="G800" i="20"/>
  <c r="F800" i="20"/>
  <c r="D800" i="20"/>
  <c r="C800" i="20" a="1"/>
  <c r="C800" i="20" s="1"/>
  <c r="G799" i="20"/>
  <c r="H799" i="20" s="1"/>
  <c r="F799" i="20"/>
  <c r="D799" i="20"/>
  <c r="C799" i="20" a="1"/>
  <c r="C799" i="20" s="1"/>
  <c r="G798" i="20"/>
  <c r="F798" i="20"/>
  <c r="D798" i="20"/>
  <c r="C798" i="20" a="1"/>
  <c r="C798" i="20" s="1"/>
  <c r="G797" i="20"/>
  <c r="H797" i="20" s="1"/>
  <c r="F797" i="20"/>
  <c r="D797" i="20"/>
  <c r="C797" i="20" a="1"/>
  <c r="C797" i="20" s="1"/>
  <c r="G796" i="20"/>
  <c r="F796" i="20"/>
  <c r="D796" i="20"/>
  <c r="C796" i="20" a="1"/>
  <c r="C796" i="20" s="1"/>
  <c r="G795" i="20"/>
  <c r="F795" i="20"/>
  <c r="D795" i="20"/>
  <c r="C795" i="20" a="1"/>
  <c r="C795" i="20" s="1"/>
  <c r="G794" i="20"/>
  <c r="H794" i="20" s="1"/>
  <c r="F794" i="20"/>
  <c r="D794" i="20"/>
  <c r="C794" i="20" a="1"/>
  <c r="C794" i="20" s="1"/>
  <c r="G793" i="20"/>
  <c r="F793" i="20"/>
  <c r="D793" i="20"/>
  <c r="C793" i="20" a="1"/>
  <c r="C793" i="20" s="1"/>
  <c r="G792" i="20"/>
  <c r="F792" i="20"/>
  <c r="D792" i="20"/>
  <c r="C792" i="20" a="1"/>
  <c r="C792" i="20" s="1"/>
  <c r="G791" i="20"/>
  <c r="F791" i="20"/>
  <c r="D791" i="20"/>
  <c r="C791" i="20" a="1"/>
  <c r="C791" i="20" s="1"/>
  <c r="G790" i="20"/>
  <c r="F790" i="20"/>
  <c r="D790" i="20"/>
  <c r="C790" i="20" a="1"/>
  <c r="C790" i="20" s="1"/>
  <c r="G789" i="20"/>
  <c r="F789" i="20"/>
  <c r="D789" i="20"/>
  <c r="C789" i="20" a="1"/>
  <c r="C789" i="20" s="1"/>
  <c r="G788" i="20"/>
  <c r="F788" i="20"/>
  <c r="D788" i="20"/>
  <c r="C788" i="20" a="1"/>
  <c r="C788" i="20" s="1"/>
  <c r="G787" i="20"/>
  <c r="F787" i="20"/>
  <c r="D787" i="20"/>
  <c r="C787" i="20" a="1"/>
  <c r="C787" i="20" s="1"/>
  <c r="G786" i="20"/>
  <c r="F786" i="20"/>
  <c r="D786" i="20"/>
  <c r="C786" i="20" a="1"/>
  <c r="C786" i="20" s="1"/>
  <c r="G785" i="20"/>
  <c r="F785" i="20"/>
  <c r="D785" i="20"/>
  <c r="C785" i="20" a="1"/>
  <c r="C785" i="20" s="1"/>
  <c r="G784" i="20"/>
  <c r="J784" i="20" s="1"/>
  <c r="F784" i="20"/>
  <c r="D784" i="20"/>
  <c r="C784" i="20" a="1"/>
  <c r="C784" i="20" s="1"/>
  <c r="G783" i="20"/>
  <c r="I783" i="20" s="1"/>
  <c r="F783" i="20"/>
  <c r="D783" i="20"/>
  <c r="C783" i="20" a="1"/>
  <c r="C783" i="20" s="1"/>
  <c r="G782" i="20"/>
  <c r="J782" i="20" s="1"/>
  <c r="F782" i="20"/>
  <c r="D782" i="20"/>
  <c r="C782" i="20" a="1"/>
  <c r="C782" i="20" s="1"/>
  <c r="G781" i="20"/>
  <c r="J781" i="20" s="1"/>
  <c r="F781" i="20"/>
  <c r="D781" i="20"/>
  <c r="C781" i="20" a="1"/>
  <c r="C781" i="20" s="1"/>
  <c r="G780" i="20"/>
  <c r="F780" i="20"/>
  <c r="D780" i="20"/>
  <c r="C780" i="20" a="1"/>
  <c r="C780" i="20" s="1"/>
  <c r="G779" i="20"/>
  <c r="F779" i="20"/>
  <c r="D779" i="20"/>
  <c r="C779" i="20" a="1"/>
  <c r="C779" i="20" s="1"/>
  <c r="G778" i="20"/>
  <c r="J778" i="20" s="1"/>
  <c r="F778" i="20"/>
  <c r="D778" i="20"/>
  <c r="C778" i="20" a="1"/>
  <c r="C778" i="20" s="1"/>
  <c r="G777" i="20"/>
  <c r="F777" i="20"/>
  <c r="D777" i="20"/>
  <c r="C777" i="20" a="1"/>
  <c r="C777" i="20" s="1"/>
  <c r="G776" i="20"/>
  <c r="F776" i="20"/>
  <c r="D776" i="20"/>
  <c r="C776" i="20" a="1"/>
  <c r="C776" i="20" s="1"/>
  <c r="G775" i="20"/>
  <c r="F775" i="20"/>
  <c r="D775" i="20"/>
  <c r="C775" i="20" a="1"/>
  <c r="C775" i="20" s="1"/>
  <c r="G774" i="20"/>
  <c r="H774" i="20" s="1"/>
  <c r="F774" i="20"/>
  <c r="D774" i="20"/>
  <c r="C774" i="20" a="1"/>
  <c r="C774" i="20" s="1"/>
  <c r="G773" i="20"/>
  <c r="H773" i="20" s="1"/>
  <c r="F773" i="20"/>
  <c r="D773" i="20"/>
  <c r="C773" i="20" a="1"/>
  <c r="C773" i="20" s="1"/>
  <c r="G772" i="20"/>
  <c r="F772" i="20"/>
  <c r="D772" i="20"/>
  <c r="C772" i="20" a="1"/>
  <c r="C772" i="20" s="1"/>
  <c r="G771" i="20"/>
  <c r="F771" i="20"/>
  <c r="D771" i="20"/>
  <c r="C771" i="20" a="1"/>
  <c r="C771" i="20" s="1"/>
  <c r="G770" i="20"/>
  <c r="H770" i="20" s="1"/>
  <c r="F770" i="20"/>
  <c r="D770" i="20"/>
  <c r="C770" i="20" a="1"/>
  <c r="C770" i="20" s="1"/>
  <c r="G769" i="20"/>
  <c r="H769" i="20" s="1"/>
  <c r="F769" i="20"/>
  <c r="D769" i="20"/>
  <c r="C769" i="20" a="1"/>
  <c r="C769" i="20" s="1"/>
  <c r="G768" i="20"/>
  <c r="J768" i="20" s="1"/>
  <c r="F768" i="20"/>
  <c r="D768" i="20"/>
  <c r="C768" i="20" a="1"/>
  <c r="C768" i="20" s="1"/>
  <c r="G767" i="20"/>
  <c r="I767" i="20" s="1"/>
  <c r="F767" i="20"/>
  <c r="D767" i="20"/>
  <c r="C767" i="20" a="1"/>
  <c r="C767" i="20" s="1"/>
  <c r="G766" i="20"/>
  <c r="F766" i="20"/>
  <c r="D766" i="20"/>
  <c r="C766" i="20" a="1"/>
  <c r="C766" i="20" s="1"/>
  <c r="G765" i="20"/>
  <c r="F765" i="20"/>
  <c r="D765" i="20"/>
  <c r="C765" i="20" a="1"/>
  <c r="C765" i="20" s="1"/>
  <c r="G764" i="20"/>
  <c r="F764" i="20"/>
  <c r="D764" i="20"/>
  <c r="C764" i="20" a="1"/>
  <c r="C764" i="20" s="1"/>
  <c r="G763" i="20"/>
  <c r="H763" i="20" s="1"/>
  <c r="F763" i="20"/>
  <c r="D763" i="20"/>
  <c r="C763" i="20" a="1"/>
  <c r="C763" i="20" s="1"/>
  <c r="G762" i="20"/>
  <c r="F762" i="20"/>
  <c r="D762" i="20"/>
  <c r="C762" i="20" a="1"/>
  <c r="C762" i="20" s="1"/>
  <c r="G761" i="20"/>
  <c r="H761" i="20" s="1"/>
  <c r="F761" i="20"/>
  <c r="D761" i="20"/>
  <c r="C761" i="20" a="1"/>
  <c r="C761" i="20" s="1"/>
  <c r="G760" i="20"/>
  <c r="F760" i="20"/>
  <c r="D760" i="20"/>
  <c r="C760" i="20" a="1"/>
  <c r="C760" i="20" s="1"/>
  <c r="G759" i="20"/>
  <c r="F759" i="20"/>
  <c r="D759" i="20"/>
  <c r="C759" i="20" a="1"/>
  <c r="C759" i="20" s="1"/>
  <c r="G758" i="20"/>
  <c r="F758" i="20"/>
  <c r="D758" i="20"/>
  <c r="C758" i="20" a="1"/>
  <c r="C758" i="20" s="1"/>
  <c r="G757" i="20"/>
  <c r="F757" i="20"/>
  <c r="D757" i="20"/>
  <c r="C757" i="20" a="1"/>
  <c r="C757" i="20" s="1"/>
  <c r="G756" i="20"/>
  <c r="F756" i="20"/>
  <c r="D756" i="20"/>
  <c r="C756" i="20" a="1"/>
  <c r="C756" i="20" s="1"/>
  <c r="G755" i="20"/>
  <c r="I755" i="20" s="1"/>
  <c r="F755" i="20"/>
  <c r="D755" i="20"/>
  <c r="C755" i="20" a="1"/>
  <c r="C755" i="20" s="1"/>
  <c r="G754" i="20"/>
  <c r="J754" i="20" s="1"/>
  <c r="F754" i="20"/>
  <c r="D754" i="20"/>
  <c r="C754" i="20" a="1"/>
  <c r="C754" i="20" s="1"/>
  <c r="G753" i="20"/>
  <c r="J753" i="20" s="1"/>
  <c r="F753" i="20"/>
  <c r="D753" i="20"/>
  <c r="C753" i="20" a="1"/>
  <c r="C753" i="20" s="1"/>
  <c r="G752" i="20"/>
  <c r="F752" i="20"/>
  <c r="D752" i="20"/>
  <c r="C752" i="20" a="1"/>
  <c r="C752" i="20" s="1"/>
  <c r="G751" i="20"/>
  <c r="F751" i="20"/>
  <c r="D751" i="20"/>
  <c r="C751" i="20" a="1"/>
  <c r="C751" i="20" s="1"/>
  <c r="G750" i="20"/>
  <c r="H750" i="20" s="1"/>
  <c r="F750" i="20"/>
  <c r="D750" i="20"/>
  <c r="C750" i="20" a="1"/>
  <c r="C750" i="20" s="1"/>
  <c r="G749" i="20"/>
  <c r="H749" i="20" s="1"/>
  <c r="F749" i="20"/>
  <c r="D749" i="20"/>
  <c r="C749" i="20" a="1"/>
  <c r="C749" i="20" s="1"/>
  <c r="G748" i="20"/>
  <c r="J748" i="20" s="1"/>
  <c r="F748" i="20"/>
  <c r="D748" i="20"/>
  <c r="C748" i="20" a="1"/>
  <c r="C748" i="20" s="1"/>
  <c r="G747" i="20"/>
  <c r="H747" i="20" s="1"/>
  <c r="F747" i="20"/>
  <c r="D747" i="20"/>
  <c r="C747" i="20" a="1"/>
  <c r="C747" i="20" s="1"/>
  <c r="G746" i="20"/>
  <c r="F746" i="20"/>
  <c r="D746" i="20"/>
  <c r="C746" i="20" a="1"/>
  <c r="C746" i="20" s="1"/>
  <c r="G745" i="20"/>
  <c r="H745" i="20" s="1"/>
  <c r="F745" i="20"/>
  <c r="D745" i="20"/>
  <c r="C745" i="20" a="1"/>
  <c r="C745" i="20" s="1"/>
  <c r="G744" i="20"/>
  <c r="F744" i="20"/>
  <c r="D744" i="20"/>
  <c r="C744" i="20" a="1"/>
  <c r="C744" i="20" s="1"/>
  <c r="G743" i="20"/>
  <c r="F743" i="20"/>
  <c r="D743" i="20"/>
  <c r="C743" i="20" a="1"/>
  <c r="C743" i="20" s="1"/>
  <c r="G742" i="20"/>
  <c r="I742" i="20" s="1"/>
  <c r="F742" i="20"/>
  <c r="D742" i="20"/>
  <c r="C742" i="20" a="1"/>
  <c r="C742" i="20" s="1"/>
  <c r="G741" i="20"/>
  <c r="J741" i="20" s="1"/>
  <c r="F741" i="20"/>
  <c r="D741" i="20"/>
  <c r="C741" i="20" a="1"/>
  <c r="C741" i="20" s="1"/>
  <c r="G740" i="20"/>
  <c r="J740" i="20" s="1"/>
  <c r="F740" i="20"/>
  <c r="D740" i="20"/>
  <c r="C740" i="20" a="1"/>
  <c r="C740" i="20" s="1"/>
  <c r="G739" i="20"/>
  <c r="F739" i="20"/>
  <c r="D739" i="20"/>
  <c r="C739" i="20" a="1"/>
  <c r="C739" i="20" s="1"/>
  <c r="G738" i="20"/>
  <c r="I738" i="20" s="1"/>
  <c r="F738" i="20"/>
  <c r="D738" i="20"/>
  <c r="C738" i="20" a="1"/>
  <c r="C738" i="20" s="1"/>
  <c r="G737" i="20"/>
  <c r="F737" i="20"/>
  <c r="D737" i="20"/>
  <c r="C737" i="20" a="1"/>
  <c r="C737" i="20" s="1"/>
  <c r="G736" i="20"/>
  <c r="F736" i="20"/>
  <c r="D736" i="20"/>
  <c r="C736" i="20" a="1"/>
  <c r="C736" i="20" s="1"/>
  <c r="G735" i="20"/>
  <c r="F735" i="20"/>
  <c r="D735" i="20"/>
  <c r="C735" i="20" a="1"/>
  <c r="C735" i="20" s="1"/>
  <c r="G734" i="20"/>
  <c r="I734" i="20" s="1"/>
  <c r="F734" i="20"/>
  <c r="D734" i="20"/>
  <c r="C734" i="20" a="1"/>
  <c r="C734" i="20" s="1"/>
  <c r="G733" i="20"/>
  <c r="F733" i="20"/>
  <c r="D733" i="20"/>
  <c r="C733" i="20" a="1"/>
  <c r="C733" i="20" s="1"/>
  <c r="G732" i="20"/>
  <c r="F732" i="20"/>
  <c r="D732" i="20"/>
  <c r="C732" i="20" a="1"/>
  <c r="C732" i="20" s="1"/>
  <c r="G731" i="20"/>
  <c r="H731" i="20" s="1"/>
  <c r="F731" i="20"/>
  <c r="D731" i="20"/>
  <c r="C731" i="20" a="1"/>
  <c r="C731" i="20" s="1"/>
  <c r="G730" i="20"/>
  <c r="I730" i="20" s="1"/>
  <c r="F730" i="20"/>
  <c r="D730" i="20"/>
  <c r="C730" i="20" a="1"/>
  <c r="C730" i="20" s="1"/>
  <c r="G729" i="20"/>
  <c r="F729" i="20"/>
  <c r="D729" i="20"/>
  <c r="C729" i="20" a="1"/>
  <c r="C729" i="20" s="1"/>
  <c r="G728" i="20"/>
  <c r="F728" i="20"/>
  <c r="D728" i="20"/>
  <c r="C728" i="20" a="1"/>
  <c r="C728" i="20" s="1"/>
  <c r="G727" i="20"/>
  <c r="F727" i="20"/>
  <c r="D727" i="20"/>
  <c r="C727" i="20" a="1"/>
  <c r="C727" i="20" s="1"/>
  <c r="G726" i="20"/>
  <c r="F726" i="20"/>
  <c r="D726" i="20"/>
  <c r="C726" i="20" a="1"/>
  <c r="C726" i="20" s="1"/>
  <c r="G725" i="20"/>
  <c r="J725" i="20" s="1"/>
  <c r="F725" i="20"/>
  <c r="D725" i="20"/>
  <c r="C725" i="20" a="1"/>
  <c r="C725" i="20" s="1"/>
  <c r="G724" i="20"/>
  <c r="F724" i="20"/>
  <c r="D724" i="20"/>
  <c r="C724" i="20" a="1"/>
  <c r="C724" i="20" s="1"/>
  <c r="G723" i="20"/>
  <c r="I723" i="20" s="1"/>
  <c r="F723" i="20"/>
  <c r="D723" i="20"/>
  <c r="C723" i="20" a="1"/>
  <c r="C723" i="20" s="1"/>
  <c r="G722" i="20"/>
  <c r="F722" i="20"/>
  <c r="D722" i="20"/>
  <c r="C722" i="20" a="1"/>
  <c r="C722" i="20" s="1"/>
  <c r="G721" i="20"/>
  <c r="H721" i="20" s="1"/>
  <c r="F721" i="20"/>
  <c r="D721" i="20"/>
  <c r="C721" i="20" a="1"/>
  <c r="C721" i="20" s="1"/>
  <c r="G720" i="20"/>
  <c r="J720" i="20" s="1"/>
  <c r="F720" i="20"/>
  <c r="D720" i="20"/>
  <c r="C720" i="20" a="1"/>
  <c r="C720" i="20" s="1"/>
  <c r="G719" i="20"/>
  <c r="H719" i="20" s="1"/>
  <c r="F719" i="20"/>
  <c r="D719" i="20"/>
  <c r="C719" i="20" a="1"/>
  <c r="C719" i="20" s="1"/>
  <c r="G718" i="20"/>
  <c r="I718" i="20" s="1"/>
  <c r="F718" i="20"/>
  <c r="D718" i="20"/>
  <c r="C718" i="20" a="1"/>
  <c r="C718" i="20" s="1"/>
  <c r="G717" i="20"/>
  <c r="H717" i="20" s="1"/>
  <c r="F717" i="20"/>
  <c r="D717" i="20"/>
  <c r="C717" i="20" a="1"/>
  <c r="C717" i="20" s="1"/>
  <c r="G716" i="20"/>
  <c r="F716" i="20"/>
  <c r="D716" i="20"/>
  <c r="C716" i="20" a="1"/>
  <c r="C716" i="20" s="1"/>
  <c r="G715" i="20"/>
  <c r="F715" i="20"/>
  <c r="D715" i="20"/>
  <c r="C715" i="20" a="1"/>
  <c r="C715" i="20" s="1"/>
  <c r="G714" i="20"/>
  <c r="F714" i="20"/>
  <c r="D714" i="20"/>
  <c r="C714" i="20" a="1"/>
  <c r="C714" i="20" s="1"/>
  <c r="G713" i="20"/>
  <c r="J713" i="20" s="1"/>
  <c r="F713" i="20"/>
  <c r="D713" i="20"/>
  <c r="C713" i="20" a="1"/>
  <c r="C713" i="20" s="1"/>
  <c r="G712" i="20"/>
  <c r="J712" i="20" s="1"/>
  <c r="F712" i="20"/>
  <c r="D712" i="20"/>
  <c r="C712" i="20" a="1"/>
  <c r="C712" i="20" s="1"/>
  <c r="G711" i="20"/>
  <c r="I711" i="20" s="1"/>
  <c r="F711" i="20"/>
  <c r="D711" i="20"/>
  <c r="C711" i="20" a="1"/>
  <c r="C711" i="20" s="1"/>
  <c r="G710" i="20"/>
  <c r="F710" i="20"/>
  <c r="D710" i="20"/>
  <c r="C710" i="20" a="1"/>
  <c r="C710" i="20" s="1"/>
  <c r="G709" i="20"/>
  <c r="J709" i="20" s="1"/>
  <c r="F709" i="20"/>
  <c r="D709" i="20"/>
  <c r="C709" i="20" a="1"/>
  <c r="C709" i="20" s="1"/>
  <c r="G708" i="20"/>
  <c r="F708" i="20"/>
  <c r="D708" i="20"/>
  <c r="C708" i="20" a="1"/>
  <c r="C708" i="20" s="1"/>
  <c r="G707" i="20"/>
  <c r="F707" i="20"/>
  <c r="D707" i="20"/>
  <c r="C707" i="20" a="1"/>
  <c r="C707" i="20" s="1"/>
  <c r="G706" i="20"/>
  <c r="I706" i="20" s="1"/>
  <c r="F706" i="20"/>
  <c r="D706" i="20"/>
  <c r="C706" i="20" a="1"/>
  <c r="C706" i="20" s="1"/>
  <c r="G705" i="20"/>
  <c r="J705" i="20" s="1"/>
  <c r="F705" i="20"/>
  <c r="D705" i="20"/>
  <c r="C705" i="20" a="1"/>
  <c r="C705" i="20" s="1"/>
  <c r="G704" i="20"/>
  <c r="J704" i="20" s="1"/>
  <c r="F704" i="20"/>
  <c r="D704" i="20"/>
  <c r="C704" i="20" a="1"/>
  <c r="C704" i="20" s="1"/>
  <c r="G703" i="20"/>
  <c r="I703" i="20" s="1"/>
  <c r="F703" i="20"/>
  <c r="D703" i="20"/>
  <c r="C703" i="20" a="1"/>
  <c r="C703" i="20" s="1"/>
  <c r="G702" i="20"/>
  <c r="J702" i="20" s="1"/>
  <c r="F702" i="20"/>
  <c r="D702" i="20"/>
  <c r="C702" i="20" a="1"/>
  <c r="C702" i="20" s="1"/>
  <c r="G701" i="20"/>
  <c r="F701" i="20"/>
  <c r="D701" i="20"/>
  <c r="C701" i="20" a="1"/>
  <c r="C701" i="20" s="1"/>
  <c r="G700" i="20"/>
  <c r="F700" i="20"/>
  <c r="D700" i="20"/>
  <c r="C700" i="20" a="1"/>
  <c r="C700" i="20" s="1"/>
  <c r="G699" i="20"/>
  <c r="F699" i="20"/>
  <c r="D699" i="20"/>
  <c r="C699" i="20" a="1"/>
  <c r="C699" i="20" s="1"/>
  <c r="G698" i="20"/>
  <c r="H698" i="20" s="1"/>
  <c r="F698" i="20"/>
  <c r="D698" i="20"/>
  <c r="C698" i="20" a="1"/>
  <c r="C698" i="20" s="1"/>
  <c r="G697" i="20"/>
  <c r="H697" i="20" s="1"/>
  <c r="F697" i="20"/>
  <c r="D697" i="20"/>
  <c r="C697" i="20" a="1"/>
  <c r="C697" i="20" s="1"/>
  <c r="G696" i="20"/>
  <c r="F696" i="20"/>
  <c r="D696" i="20"/>
  <c r="C696" i="20" a="1"/>
  <c r="C696" i="20" s="1"/>
  <c r="G695" i="20"/>
  <c r="F695" i="20"/>
  <c r="D695" i="20"/>
  <c r="C695" i="20" a="1"/>
  <c r="C695" i="20" s="1"/>
  <c r="G694" i="20"/>
  <c r="J694" i="20" s="1"/>
  <c r="F694" i="20"/>
  <c r="D694" i="20"/>
  <c r="C694" i="20" a="1"/>
  <c r="C694" i="20" s="1"/>
  <c r="G693" i="20"/>
  <c r="J693" i="20" s="1"/>
  <c r="F693" i="20"/>
  <c r="D693" i="20"/>
  <c r="C693" i="20" a="1"/>
  <c r="C693" i="20" s="1"/>
  <c r="G692" i="20"/>
  <c r="F692" i="20"/>
  <c r="D692" i="20"/>
  <c r="C692" i="20" a="1"/>
  <c r="C692" i="20" s="1"/>
  <c r="G691" i="20"/>
  <c r="H691" i="20" s="1"/>
  <c r="F691" i="20"/>
  <c r="D691" i="20"/>
  <c r="C691" i="20" a="1"/>
  <c r="C691" i="20" s="1"/>
  <c r="G690" i="20"/>
  <c r="I690" i="20" s="1"/>
  <c r="F690" i="20"/>
  <c r="D690" i="20"/>
  <c r="C690" i="20" a="1"/>
  <c r="C690" i="20" s="1"/>
  <c r="G689" i="20"/>
  <c r="H689" i="20" s="1"/>
  <c r="F689" i="20"/>
  <c r="D689" i="20"/>
  <c r="C689" i="20" a="1"/>
  <c r="C689" i="20" s="1"/>
  <c r="G688" i="20"/>
  <c r="F688" i="20"/>
  <c r="D688" i="20"/>
  <c r="C688" i="20" a="1"/>
  <c r="C688" i="20" s="1"/>
  <c r="G687" i="20"/>
  <c r="I687" i="20" s="1"/>
  <c r="F687" i="20"/>
  <c r="D687" i="20"/>
  <c r="C687" i="20" a="1"/>
  <c r="C687" i="20" s="1"/>
  <c r="G686" i="20"/>
  <c r="J686" i="20" s="1"/>
  <c r="F686" i="20"/>
  <c r="D686" i="20"/>
  <c r="C686" i="20" a="1"/>
  <c r="C686" i="20" s="1"/>
  <c r="G685" i="20"/>
  <c r="J685" i="20" s="1"/>
  <c r="F685" i="20"/>
  <c r="D685" i="20"/>
  <c r="C685" i="20" a="1"/>
  <c r="C685" i="20" s="1"/>
  <c r="G684" i="20"/>
  <c r="J684" i="20" s="1"/>
  <c r="F684" i="20"/>
  <c r="D684" i="20"/>
  <c r="C684" i="20" a="1"/>
  <c r="C684" i="20" s="1"/>
  <c r="G683" i="20"/>
  <c r="F683" i="20"/>
  <c r="D683" i="20"/>
  <c r="C683" i="20" a="1"/>
  <c r="C683" i="20" s="1"/>
  <c r="G682" i="20"/>
  <c r="H682" i="20" s="1"/>
  <c r="F682" i="20"/>
  <c r="D682" i="20"/>
  <c r="C682" i="20" a="1"/>
  <c r="C682" i="20" s="1"/>
  <c r="G681" i="20"/>
  <c r="H681" i="20" s="1"/>
  <c r="F681" i="20"/>
  <c r="D681" i="20"/>
  <c r="C681" i="20" a="1"/>
  <c r="C681" i="20" s="1"/>
  <c r="G680" i="20"/>
  <c r="F680" i="20"/>
  <c r="D680" i="20"/>
  <c r="C680" i="20" a="1"/>
  <c r="C680" i="20" s="1"/>
  <c r="G679" i="20"/>
  <c r="F679" i="20"/>
  <c r="D679" i="20"/>
  <c r="C679" i="20" a="1"/>
  <c r="C679" i="20" s="1"/>
  <c r="G678" i="20"/>
  <c r="H678" i="20" s="1"/>
  <c r="F678" i="20"/>
  <c r="D678" i="20"/>
  <c r="C678" i="20" a="1"/>
  <c r="C678" i="20" s="1"/>
  <c r="G677" i="20"/>
  <c r="J677" i="20" s="1"/>
  <c r="F677" i="20"/>
  <c r="D677" i="20"/>
  <c r="C677" i="20" a="1"/>
  <c r="C677" i="20" s="1"/>
  <c r="G676" i="20"/>
  <c r="J676" i="20" s="1"/>
  <c r="F676" i="20"/>
  <c r="D676" i="20"/>
  <c r="C676" i="20" a="1"/>
  <c r="C676" i="20" s="1"/>
  <c r="G675" i="20"/>
  <c r="F675" i="20"/>
  <c r="D675" i="20"/>
  <c r="C675" i="20" a="1"/>
  <c r="C675" i="20" s="1"/>
  <c r="G674" i="20"/>
  <c r="F674" i="20"/>
  <c r="D674" i="20"/>
  <c r="C674" i="20" a="1"/>
  <c r="C674" i="20" s="1"/>
  <c r="G673" i="20"/>
  <c r="F673" i="20"/>
  <c r="D673" i="20"/>
  <c r="C673" i="20" a="1"/>
  <c r="C673" i="20" s="1"/>
  <c r="G672" i="20"/>
  <c r="F672" i="20"/>
  <c r="D672" i="20"/>
  <c r="C672" i="20" a="1"/>
  <c r="C672" i="20" s="1"/>
  <c r="G671" i="20"/>
  <c r="F671" i="20"/>
  <c r="D671" i="20"/>
  <c r="C671" i="20" a="1"/>
  <c r="C671" i="20" s="1"/>
  <c r="G670" i="20"/>
  <c r="F670" i="20"/>
  <c r="D670" i="20"/>
  <c r="C670" i="20" a="1"/>
  <c r="C670" i="20" s="1"/>
  <c r="G669" i="20"/>
  <c r="F669" i="20"/>
  <c r="D669" i="20"/>
  <c r="C669" i="20" a="1"/>
  <c r="C669" i="20" s="1"/>
  <c r="G668" i="20"/>
  <c r="F668" i="20"/>
  <c r="D668" i="20"/>
  <c r="C668" i="20" a="1"/>
  <c r="C668" i="20" s="1"/>
  <c r="G667" i="20"/>
  <c r="H667" i="20" s="1"/>
  <c r="F667" i="20"/>
  <c r="D667" i="20"/>
  <c r="C667" i="20" a="1"/>
  <c r="C667" i="20" s="1"/>
  <c r="G666" i="20"/>
  <c r="F666" i="20"/>
  <c r="D666" i="20"/>
  <c r="C666" i="20" a="1"/>
  <c r="C666" i="20" s="1"/>
  <c r="G665" i="20"/>
  <c r="F665" i="20"/>
  <c r="D665" i="20"/>
  <c r="C665" i="20" a="1"/>
  <c r="C665" i="20" s="1"/>
  <c r="G664" i="20"/>
  <c r="F664" i="20"/>
  <c r="D664" i="20"/>
  <c r="C664" i="20" a="1"/>
  <c r="C664" i="20" s="1"/>
  <c r="G663" i="20"/>
  <c r="H663" i="20" s="1"/>
  <c r="F663" i="20"/>
  <c r="D663" i="20"/>
  <c r="C663" i="20" a="1"/>
  <c r="C663" i="20" s="1"/>
  <c r="G662" i="20"/>
  <c r="F662" i="20"/>
  <c r="D662" i="20"/>
  <c r="C662" i="20" a="1"/>
  <c r="C662" i="20" s="1"/>
  <c r="G661" i="20"/>
  <c r="F661" i="20"/>
  <c r="D661" i="20"/>
  <c r="C661" i="20" a="1"/>
  <c r="C661" i="20" s="1"/>
  <c r="G660" i="20"/>
  <c r="F660" i="20"/>
  <c r="D660" i="20"/>
  <c r="C660" i="20" a="1"/>
  <c r="C660" i="20" s="1"/>
  <c r="G659" i="20"/>
  <c r="F659" i="20"/>
  <c r="D659" i="20"/>
  <c r="C659" i="20" a="1"/>
  <c r="C659" i="20" s="1"/>
  <c r="G658" i="20"/>
  <c r="F658" i="20"/>
  <c r="D658" i="20"/>
  <c r="C658" i="20" a="1"/>
  <c r="C658" i="20" s="1"/>
  <c r="G657" i="20"/>
  <c r="J657" i="20" s="1"/>
  <c r="F657" i="20"/>
  <c r="D657" i="20"/>
  <c r="C657" i="20" a="1"/>
  <c r="C657" i="20" s="1"/>
  <c r="G656" i="20"/>
  <c r="J656" i="20" s="1"/>
  <c r="F656" i="20"/>
  <c r="D656" i="20"/>
  <c r="C656" i="20" a="1"/>
  <c r="C656" i="20" s="1"/>
  <c r="G655" i="20"/>
  <c r="I655" i="20" s="1"/>
  <c r="F655" i="20"/>
  <c r="D655" i="20"/>
  <c r="C655" i="20" a="1"/>
  <c r="C655" i="20" s="1"/>
  <c r="G654" i="20"/>
  <c r="H654" i="20" s="1"/>
  <c r="F654" i="20"/>
  <c r="D654" i="20"/>
  <c r="C654" i="20" a="1"/>
  <c r="C654" i="20" s="1"/>
  <c r="G653" i="20"/>
  <c r="H653" i="20" s="1"/>
  <c r="F653" i="20"/>
  <c r="D653" i="20"/>
  <c r="C653" i="20" a="1"/>
  <c r="C653" i="20" s="1"/>
  <c r="G652" i="20"/>
  <c r="F652" i="20"/>
  <c r="D652" i="20"/>
  <c r="C652" i="20" a="1"/>
  <c r="C652" i="20" s="1"/>
  <c r="G651" i="20"/>
  <c r="F651" i="20"/>
  <c r="D651" i="20"/>
  <c r="C651" i="20" a="1"/>
  <c r="C651" i="20" s="1"/>
  <c r="G650" i="20"/>
  <c r="I650" i="20" s="1"/>
  <c r="F650" i="20"/>
  <c r="D650" i="20"/>
  <c r="C650" i="20" a="1"/>
  <c r="C650" i="20" s="1"/>
  <c r="G649" i="20"/>
  <c r="F649" i="20"/>
  <c r="D649" i="20"/>
  <c r="C649" i="20" a="1"/>
  <c r="C649" i="20" s="1"/>
  <c r="G648" i="20"/>
  <c r="J648" i="20" s="1"/>
  <c r="F648" i="20"/>
  <c r="D648" i="20"/>
  <c r="C648" i="20" a="1"/>
  <c r="C648" i="20" s="1"/>
  <c r="G647" i="20"/>
  <c r="I647" i="20" s="1"/>
  <c r="F647" i="20"/>
  <c r="D647" i="20"/>
  <c r="C647" i="20" a="1"/>
  <c r="C647" i="20" s="1"/>
  <c r="G646" i="20"/>
  <c r="F646" i="20"/>
  <c r="D646" i="20"/>
  <c r="C646" i="20" a="1"/>
  <c r="C646" i="20" s="1"/>
  <c r="G645" i="20"/>
  <c r="F645" i="20"/>
  <c r="D645" i="20"/>
  <c r="C645" i="20" a="1"/>
  <c r="C645" i="20" s="1"/>
  <c r="G644" i="20"/>
  <c r="J644" i="20" s="1"/>
  <c r="F644" i="20"/>
  <c r="D644" i="20"/>
  <c r="C644" i="20" a="1"/>
  <c r="C644" i="20" s="1"/>
  <c r="G643" i="20"/>
  <c r="F643" i="20"/>
  <c r="D643" i="20"/>
  <c r="C643" i="20" a="1"/>
  <c r="C643" i="20" s="1"/>
  <c r="G642" i="20"/>
  <c r="F642" i="20"/>
  <c r="D642" i="20"/>
  <c r="C642" i="20" a="1"/>
  <c r="C642" i="20" s="1"/>
  <c r="G641" i="20"/>
  <c r="F641" i="20"/>
  <c r="D641" i="20"/>
  <c r="C641" i="20" a="1"/>
  <c r="C641" i="20" s="1"/>
  <c r="G640" i="20"/>
  <c r="I640" i="20" s="1"/>
  <c r="F640" i="20"/>
  <c r="D640" i="20"/>
  <c r="C640" i="20" a="1"/>
  <c r="C640" i="20" s="1"/>
  <c r="G639" i="20"/>
  <c r="J639" i="20" s="1"/>
  <c r="F639" i="20"/>
  <c r="D639" i="20"/>
  <c r="C639" i="20" a="1"/>
  <c r="C639" i="20" s="1"/>
  <c r="G638" i="20"/>
  <c r="J638" i="20" s="1"/>
  <c r="F638" i="20"/>
  <c r="D638" i="20"/>
  <c r="C638" i="20" a="1"/>
  <c r="C638" i="20" s="1"/>
  <c r="G637" i="20"/>
  <c r="F637" i="20"/>
  <c r="D637" i="20"/>
  <c r="C637" i="20" a="1"/>
  <c r="C637" i="20" s="1"/>
  <c r="G636" i="20"/>
  <c r="F636" i="20"/>
  <c r="D636" i="20"/>
  <c r="C636" i="20" a="1"/>
  <c r="C636" i="20" s="1"/>
  <c r="G635" i="20"/>
  <c r="F635" i="20"/>
  <c r="D635" i="20"/>
  <c r="C635" i="20" a="1"/>
  <c r="C635" i="20" s="1"/>
  <c r="G634" i="20"/>
  <c r="H634" i="20" s="1"/>
  <c r="F634" i="20"/>
  <c r="D634" i="20"/>
  <c r="C634" i="20" a="1"/>
  <c r="C634" i="20" s="1"/>
  <c r="G633" i="20"/>
  <c r="F633" i="20"/>
  <c r="D633" i="20"/>
  <c r="C633" i="20" a="1"/>
  <c r="C633" i="20" s="1"/>
  <c r="G632" i="20"/>
  <c r="F632" i="20"/>
  <c r="D632" i="20"/>
  <c r="C632" i="20" a="1"/>
  <c r="C632" i="20" s="1"/>
  <c r="G631" i="20"/>
  <c r="F631" i="20"/>
  <c r="D631" i="20"/>
  <c r="C631" i="20" a="1"/>
  <c r="C631" i="20" s="1"/>
  <c r="G630" i="20"/>
  <c r="H630" i="20" s="1"/>
  <c r="F630" i="20"/>
  <c r="D630" i="20"/>
  <c r="C630" i="20" a="1"/>
  <c r="C630" i="20" s="1"/>
  <c r="G629" i="20"/>
  <c r="F629" i="20"/>
  <c r="D629" i="20"/>
  <c r="C629" i="20" a="1"/>
  <c r="C629" i="20" s="1"/>
  <c r="G628" i="20"/>
  <c r="F628" i="20"/>
  <c r="D628" i="20"/>
  <c r="C628" i="20" a="1"/>
  <c r="C628" i="20" s="1"/>
  <c r="G627" i="20"/>
  <c r="F627" i="20"/>
  <c r="D627" i="20"/>
  <c r="C627" i="20" a="1"/>
  <c r="C627" i="20" s="1"/>
  <c r="G626" i="20"/>
  <c r="J626" i="20" s="1"/>
  <c r="F626" i="20"/>
  <c r="D626" i="20"/>
  <c r="C626" i="20" a="1"/>
  <c r="C626" i="20" s="1"/>
  <c r="G625" i="20"/>
  <c r="F625" i="20"/>
  <c r="D625" i="20"/>
  <c r="C625" i="20" a="1"/>
  <c r="C625" i="20" s="1"/>
  <c r="G624" i="20"/>
  <c r="I624" i="20" s="1"/>
  <c r="F624" i="20"/>
  <c r="D624" i="20"/>
  <c r="C624" i="20" a="1"/>
  <c r="C624" i="20" s="1"/>
  <c r="G623" i="20"/>
  <c r="I623" i="20" s="1"/>
  <c r="F623" i="20"/>
  <c r="D623" i="20"/>
  <c r="C623" i="20" a="1"/>
  <c r="C623" i="20" s="1"/>
  <c r="G622" i="20"/>
  <c r="F622" i="20"/>
  <c r="D622" i="20"/>
  <c r="C622" i="20" a="1"/>
  <c r="C622" i="20" s="1"/>
  <c r="G621" i="20"/>
  <c r="H621" i="20" s="1"/>
  <c r="F621" i="20"/>
  <c r="D621" i="20"/>
  <c r="C621" i="20" a="1"/>
  <c r="C621" i="20" s="1"/>
  <c r="G620" i="20"/>
  <c r="J620" i="20" s="1"/>
  <c r="F620" i="20"/>
  <c r="D620" i="20"/>
  <c r="C620" i="20" a="1"/>
  <c r="C620" i="20" s="1"/>
  <c r="G619" i="20"/>
  <c r="F619" i="20"/>
  <c r="D619" i="20"/>
  <c r="C619" i="20" a="1"/>
  <c r="C619" i="20" s="1"/>
  <c r="G618" i="20"/>
  <c r="I618" i="20" s="1"/>
  <c r="F618" i="20"/>
  <c r="D618" i="20"/>
  <c r="C618" i="20" a="1"/>
  <c r="C618" i="20" s="1"/>
  <c r="G617" i="20"/>
  <c r="H617" i="20" s="1"/>
  <c r="F617" i="20"/>
  <c r="D617" i="20"/>
  <c r="C617" i="20" a="1"/>
  <c r="C617" i="20" s="1"/>
  <c r="G616" i="20"/>
  <c r="F616" i="20"/>
  <c r="D616" i="20"/>
  <c r="C616" i="20" a="1"/>
  <c r="C616" i="20" s="1"/>
  <c r="G615" i="20"/>
  <c r="I615" i="20" s="1"/>
  <c r="F615" i="20"/>
  <c r="D615" i="20"/>
  <c r="C615" i="20" a="1"/>
  <c r="C615" i="20" s="1"/>
  <c r="G614" i="20"/>
  <c r="F614" i="20"/>
  <c r="D614" i="20"/>
  <c r="C614" i="20" a="1"/>
  <c r="C614" i="20" s="1"/>
  <c r="G613" i="20"/>
  <c r="H613" i="20" s="1"/>
  <c r="F613" i="20"/>
  <c r="D613" i="20"/>
  <c r="C613" i="20" a="1"/>
  <c r="C613" i="20" s="1"/>
  <c r="G612" i="20"/>
  <c r="F612" i="20"/>
  <c r="D612" i="20"/>
  <c r="C612" i="20" a="1"/>
  <c r="C612" i="20" s="1"/>
  <c r="G611" i="20"/>
  <c r="I611" i="20" s="1"/>
  <c r="F611" i="20"/>
  <c r="D611" i="20"/>
  <c r="C611" i="20" a="1"/>
  <c r="C611" i="20" s="1"/>
  <c r="G610" i="20"/>
  <c r="F610" i="20"/>
  <c r="D610" i="20"/>
  <c r="C610" i="20" a="1"/>
  <c r="C610" i="20" s="1"/>
  <c r="G609" i="20"/>
  <c r="H609" i="20" s="1"/>
  <c r="F609" i="20"/>
  <c r="D609" i="20"/>
  <c r="C609" i="20" a="1"/>
  <c r="C609" i="20" s="1"/>
  <c r="G608" i="20"/>
  <c r="F608" i="20"/>
  <c r="D608" i="20"/>
  <c r="C608" i="20" a="1"/>
  <c r="C608" i="20" s="1"/>
  <c r="G607" i="20"/>
  <c r="I607" i="20" s="1"/>
  <c r="F607" i="20"/>
  <c r="D607" i="20"/>
  <c r="C607" i="20" a="1"/>
  <c r="C607" i="20" s="1"/>
  <c r="G606" i="20"/>
  <c r="F606" i="20"/>
  <c r="D606" i="20"/>
  <c r="C606" i="20" a="1"/>
  <c r="C606" i="20" s="1"/>
  <c r="G605" i="20"/>
  <c r="H605" i="20" s="1"/>
  <c r="F605" i="20"/>
  <c r="D605" i="20"/>
  <c r="C605" i="20" a="1"/>
  <c r="C605" i="20" s="1"/>
  <c r="G604" i="20"/>
  <c r="I604" i="20" s="1"/>
  <c r="F604" i="20"/>
  <c r="D604" i="20"/>
  <c r="C604" i="20" a="1"/>
  <c r="C604" i="20" s="1"/>
  <c r="G603" i="20"/>
  <c r="F603" i="20"/>
  <c r="D603" i="20"/>
  <c r="C603" i="20" a="1"/>
  <c r="C603" i="20" s="1"/>
  <c r="G602" i="20"/>
  <c r="F602" i="20"/>
  <c r="D602" i="20"/>
  <c r="C602" i="20" a="1"/>
  <c r="C602" i="20" s="1"/>
  <c r="G601" i="20"/>
  <c r="H601" i="20" s="1"/>
  <c r="F601" i="20"/>
  <c r="D601" i="20"/>
  <c r="C601" i="20" a="1"/>
  <c r="C601" i="20" s="1"/>
  <c r="G600" i="20"/>
  <c r="I600" i="20" s="1"/>
  <c r="F600" i="20"/>
  <c r="D600" i="20"/>
  <c r="C600" i="20" a="1"/>
  <c r="C600" i="20" s="1"/>
  <c r="G599" i="20"/>
  <c r="I599" i="20" s="1"/>
  <c r="F599" i="20"/>
  <c r="D599" i="20"/>
  <c r="C599" i="20" a="1"/>
  <c r="C599" i="20" s="1"/>
  <c r="G598" i="20"/>
  <c r="F598" i="20"/>
  <c r="D598" i="20"/>
  <c r="C598" i="20" a="1"/>
  <c r="C598" i="20" s="1"/>
  <c r="G597" i="20"/>
  <c r="H597" i="20" s="1"/>
  <c r="F597" i="20"/>
  <c r="D597" i="20"/>
  <c r="C597" i="20" a="1"/>
  <c r="C597" i="20" s="1"/>
  <c r="G596" i="20"/>
  <c r="I596" i="20" s="1"/>
  <c r="F596" i="20"/>
  <c r="D596" i="20"/>
  <c r="C596" i="20" a="1"/>
  <c r="C596" i="20" s="1"/>
  <c r="G595" i="20"/>
  <c r="I595" i="20" s="1"/>
  <c r="F595" i="20"/>
  <c r="D595" i="20"/>
  <c r="C595" i="20" a="1"/>
  <c r="C595" i="20" s="1"/>
  <c r="G594" i="20"/>
  <c r="F594" i="20"/>
  <c r="D594" i="20"/>
  <c r="C594" i="20" a="1"/>
  <c r="C594" i="20" s="1"/>
  <c r="G593" i="20"/>
  <c r="H593" i="20" s="1"/>
  <c r="F593" i="20"/>
  <c r="D593" i="20"/>
  <c r="C593" i="20" a="1"/>
  <c r="C593" i="20" s="1"/>
  <c r="G592" i="20"/>
  <c r="I592" i="20" s="1"/>
  <c r="F592" i="20"/>
  <c r="D592" i="20"/>
  <c r="C592" i="20" a="1"/>
  <c r="C592" i="20" s="1"/>
  <c r="G591" i="20"/>
  <c r="I591" i="20" s="1"/>
  <c r="F591" i="20"/>
  <c r="D591" i="20"/>
  <c r="C591" i="20" a="1"/>
  <c r="C591" i="20" s="1"/>
  <c r="G590" i="20"/>
  <c r="F590" i="20"/>
  <c r="D590" i="20"/>
  <c r="C590" i="20" a="1"/>
  <c r="C590" i="20" s="1"/>
  <c r="G589" i="20"/>
  <c r="H589" i="20" s="1"/>
  <c r="F589" i="20"/>
  <c r="D589" i="20"/>
  <c r="C589" i="20" a="1"/>
  <c r="C589" i="20" s="1"/>
  <c r="G588" i="20"/>
  <c r="I588" i="20" s="1"/>
  <c r="F588" i="20"/>
  <c r="D588" i="20"/>
  <c r="C588" i="20" a="1"/>
  <c r="C588" i="20" s="1"/>
  <c r="G587" i="20"/>
  <c r="F587" i="20"/>
  <c r="D587" i="20"/>
  <c r="C587" i="20" a="1"/>
  <c r="C587" i="20" s="1"/>
  <c r="G586" i="20"/>
  <c r="F586" i="20"/>
  <c r="D586" i="20"/>
  <c r="C586" i="20" a="1"/>
  <c r="C586" i="20" s="1"/>
  <c r="G585" i="20"/>
  <c r="H585" i="20" s="1"/>
  <c r="F585" i="20"/>
  <c r="D585" i="20"/>
  <c r="C585" i="20" a="1"/>
  <c r="C585" i="20" s="1"/>
  <c r="G584" i="20"/>
  <c r="F584" i="20"/>
  <c r="D584" i="20"/>
  <c r="C584" i="20" a="1"/>
  <c r="C584" i="20" s="1"/>
  <c r="G583" i="20"/>
  <c r="I583" i="20" s="1"/>
  <c r="F583" i="20"/>
  <c r="D583" i="20"/>
  <c r="C583" i="20" a="1"/>
  <c r="C583" i="20" s="1"/>
  <c r="G582" i="20"/>
  <c r="F582" i="20"/>
  <c r="D582" i="20"/>
  <c r="C582" i="20" a="1"/>
  <c r="C582" i="20" s="1"/>
  <c r="G581" i="20"/>
  <c r="H581" i="20" s="1"/>
  <c r="F581" i="20"/>
  <c r="D581" i="20"/>
  <c r="C581" i="20" a="1"/>
  <c r="C581" i="20" s="1"/>
  <c r="G580" i="20"/>
  <c r="I580" i="20" s="1"/>
  <c r="F580" i="20"/>
  <c r="D580" i="20"/>
  <c r="C580" i="20" a="1"/>
  <c r="C580" i="20" s="1"/>
  <c r="G579" i="20"/>
  <c r="I579" i="20" s="1"/>
  <c r="F579" i="20"/>
  <c r="D579" i="20"/>
  <c r="C579" i="20" a="1"/>
  <c r="C579" i="20" s="1"/>
  <c r="G578" i="20"/>
  <c r="F578" i="20"/>
  <c r="D578" i="20"/>
  <c r="C578" i="20" a="1"/>
  <c r="C578" i="20" s="1"/>
  <c r="G577" i="20"/>
  <c r="H577" i="20" s="1"/>
  <c r="F577" i="20"/>
  <c r="D577" i="20"/>
  <c r="C577" i="20" a="1"/>
  <c r="C577" i="20" s="1"/>
  <c r="G576" i="20"/>
  <c r="I576" i="20" s="1"/>
  <c r="F576" i="20"/>
  <c r="D576" i="20"/>
  <c r="C576" i="20" a="1"/>
  <c r="C576" i="20" s="1"/>
  <c r="G575" i="20"/>
  <c r="I575" i="20" s="1"/>
  <c r="F575" i="20"/>
  <c r="D575" i="20"/>
  <c r="C575" i="20" a="1"/>
  <c r="C575" i="20" s="1"/>
  <c r="G574" i="20"/>
  <c r="F574" i="20"/>
  <c r="D574" i="20"/>
  <c r="C574" i="20" a="1"/>
  <c r="C574" i="20" s="1"/>
  <c r="G573" i="20"/>
  <c r="H573" i="20" s="1"/>
  <c r="F573" i="20"/>
  <c r="D573" i="20"/>
  <c r="C573" i="20" a="1"/>
  <c r="C573" i="20" s="1"/>
  <c r="G572" i="20"/>
  <c r="I572" i="20" s="1"/>
  <c r="F572" i="20"/>
  <c r="D572" i="20"/>
  <c r="C572" i="20" a="1"/>
  <c r="C572" i="20" s="1"/>
  <c r="G571" i="20"/>
  <c r="F571" i="20"/>
  <c r="D571" i="20"/>
  <c r="C571" i="20" a="1"/>
  <c r="C571" i="20" s="1"/>
  <c r="G570" i="20"/>
  <c r="F570" i="20"/>
  <c r="D570" i="20"/>
  <c r="C570" i="20" a="1"/>
  <c r="C570" i="20" s="1"/>
  <c r="G569" i="20"/>
  <c r="H569" i="20" s="1"/>
  <c r="F569" i="20"/>
  <c r="D569" i="20"/>
  <c r="C569" i="20" a="1"/>
  <c r="C569" i="20" s="1"/>
  <c r="G568" i="20"/>
  <c r="I568" i="20" s="1"/>
  <c r="F568" i="20"/>
  <c r="D568" i="20"/>
  <c r="C568" i="20" a="1"/>
  <c r="C568" i="20" s="1"/>
  <c r="G567" i="20"/>
  <c r="I567" i="20" s="1"/>
  <c r="F567" i="20"/>
  <c r="D567" i="20"/>
  <c r="C567" i="20" a="1"/>
  <c r="C567" i="20" s="1"/>
  <c r="G566" i="20"/>
  <c r="F566" i="20"/>
  <c r="D566" i="20"/>
  <c r="C566" i="20" a="1"/>
  <c r="C566" i="20" s="1"/>
  <c r="G565" i="20"/>
  <c r="H565" i="20" s="1"/>
  <c r="F565" i="20"/>
  <c r="D565" i="20"/>
  <c r="C565" i="20" a="1"/>
  <c r="C565" i="20" s="1"/>
  <c r="G564" i="20"/>
  <c r="I564" i="20" s="1"/>
  <c r="F564" i="20"/>
  <c r="D564" i="20"/>
  <c r="C564" i="20" a="1"/>
  <c r="C564" i="20" s="1"/>
  <c r="G563" i="20"/>
  <c r="I563" i="20" s="1"/>
  <c r="F563" i="20"/>
  <c r="D563" i="20"/>
  <c r="C563" i="20" a="1"/>
  <c r="C563" i="20" s="1"/>
  <c r="G562" i="20"/>
  <c r="F562" i="20"/>
  <c r="D562" i="20"/>
  <c r="C562" i="20" a="1"/>
  <c r="C562" i="20" s="1"/>
  <c r="G561" i="20"/>
  <c r="H561" i="20" s="1"/>
  <c r="F561" i="20"/>
  <c r="D561" i="20"/>
  <c r="C561" i="20" a="1"/>
  <c r="C561" i="20" s="1"/>
  <c r="G560" i="20"/>
  <c r="I560" i="20" s="1"/>
  <c r="F560" i="20"/>
  <c r="D560" i="20"/>
  <c r="C560" i="20" a="1"/>
  <c r="C560" i="20" s="1"/>
  <c r="G559" i="20"/>
  <c r="I559" i="20" s="1"/>
  <c r="F559" i="20"/>
  <c r="D559" i="20"/>
  <c r="C559" i="20" a="1"/>
  <c r="C559" i="20" s="1"/>
  <c r="G558" i="20"/>
  <c r="F558" i="20"/>
  <c r="D558" i="20"/>
  <c r="C558" i="20" a="1"/>
  <c r="C558" i="20" s="1"/>
  <c r="G557" i="20"/>
  <c r="H557" i="20" s="1"/>
  <c r="F557" i="20"/>
  <c r="D557" i="20"/>
  <c r="C557" i="20" a="1"/>
  <c r="C557" i="20" s="1"/>
  <c r="G556" i="20"/>
  <c r="I556" i="20" s="1"/>
  <c r="F556" i="20"/>
  <c r="D556" i="20"/>
  <c r="C556" i="20" a="1"/>
  <c r="C556" i="20" s="1"/>
  <c r="G555" i="20"/>
  <c r="F555" i="20"/>
  <c r="D555" i="20"/>
  <c r="C555" i="20" a="1"/>
  <c r="C555" i="20" s="1"/>
  <c r="G554" i="20"/>
  <c r="F554" i="20"/>
  <c r="D554" i="20"/>
  <c r="C554" i="20" a="1"/>
  <c r="C554" i="20" s="1"/>
  <c r="G553" i="20"/>
  <c r="F553" i="20"/>
  <c r="D553" i="20"/>
  <c r="C553" i="20" a="1"/>
  <c r="C553" i="20" s="1"/>
  <c r="G552" i="20"/>
  <c r="F552" i="20"/>
  <c r="D552" i="20"/>
  <c r="C552" i="20" a="1"/>
  <c r="C552" i="20" s="1"/>
  <c r="G551" i="20"/>
  <c r="F551" i="20"/>
  <c r="D551" i="20"/>
  <c r="C551" i="20" a="1"/>
  <c r="C551" i="20" s="1"/>
  <c r="G550" i="20"/>
  <c r="H550" i="20" s="1"/>
  <c r="F550" i="20"/>
  <c r="D550" i="20"/>
  <c r="C550" i="20" a="1"/>
  <c r="C550" i="20" s="1"/>
  <c r="G549" i="20"/>
  <c r="H549" i="20" s="1"/>
  <c r="F549" i="20"/>
  <c r="D549" i="20"/>
  <c r="C549" i="20" a="1"/>
  <c r="C549" i="20" s="1"/>
  <c r="G548" i="20"/>
  <c r="F548" i="20"/>
  <c r="D548" i="20"/>
  <c r="C548" i="20" a="1"/>
  <c r="C548" i="20" s="1"/>
  <c r="G547" i="20"/>
  <c r="I547" i="20" s="1"/>
  <c r="F547" i="20"/>
  <c r="D547" i="20"/>
  <c r="C547" i="20" a="1"/>
  <c r="C547" i="20" s="1"/>
  <c r="G546" i="20"/>
  <c r="H546" i="20" s="1"/>
  <c r="F546" i="20"/>
  <c r="D546" i="20"/>
  <c r="C546" i="20" a="1"/>
  <c r="C546" i="20" s="1"/>
  <c r="G545" i="20"/>
  <c r="H545" i="20" s="1"/>
  <c r="F545" i="20"/>
  <c r="D545" i="20"/>
  <c r="C545" i="20" a="1"/>
  <c r="C545" i="20" s="1"/>
  <c r="G544" i="20"/>
  <c r="F544" i="20"/>
  <c r="D544" i="20"/>
  <c r="C544" i="20" a="1"/>
  <c r="C544" i="20" s="1"/>
  <c r="G543" i="20"/>
  <c r="I543" i="20" s="1"/>
  <c r="F543" i="20"/>
  <c r="D543" i="20"/>
  <c r="C543" i="20" a="1"/>
  <c r="C543" i="20" s="1"/>
  <c r="G542" i="20"/>
  <c r="H542" i="20" s="1"/>
  <c r="F542" i="20"/>
  <c r="D542" i="20"/>
  <c r="C542" i="20" a="1"/>
  <c r="C542" i="20" s="1"/>
  <c r="G541" i="20"/>
  <c r="F541" i="20"/>
  <c r="D541" i="20"/>
  <c r="C541" i="20" a="1"/>
  <c r="C541" i="20" s="1"/>
  <c r="G540" i="20"/>
  <c r="H540" i="20" s="1"/>
  <c r="F540" i="20"/>
  <c r="D540" i="20"/>
  <c r="C540" i="20" a="1"/>
  <c r="C540" i="20" s="1"/>
  <c r="G539" i="20"/>
  <c r="F539" i="20"/>
  <c r="D539" i="20"/>
  <c r="C539" i="20" a="1"/>
  <c r="C539" i="20" s="1"/>
  <c r="G538" i="20"/>
  <c r="F538" i="20"/>
  <c r="D538" i="20"/>
  <c r="C538" i="20" a="1"/>
  <c r="C538" i="20" s="1"/>
  <c r="G537" i="20"/>
  <c r="F537" i="20"/>
  <c r="D537" i="20"/>
  <c r="C537" i="20" a="1"/>
  <c r="C537" i="20" s="1"/>
  <c r="G536" i="20"/>
  <c r="F536" i="20"/>
  <c r="D536" i="20"/>
  <c r="C536" i="20" a="1"/>
  <c r="C536" i="20" s="1"/>
  <c r="G535" i="20"/>
  <c r="F535" i="20"/>
  <c r="D535" i="20"/>
  <c r="C535" i="20" a="1"/>
  <c r="C535" i="20" s="1"/>
  <c r="G534" i="20"/>
  <c r="F534" i="20"/>
  <c r="D534" i="20"/>
  <c r="C534" i="20" a="1"/>
  <c r="C534" i="20" s="1"/>
  <c r="G533" i="20"/>
  <c r="F533" i="20"/>
  <c r="D533" i="20"/>
  <c r="C533" i="20" a="1"/>
  <c r="C533" i="20" s="1"/>
  <c r="G532" i="20"/>
  <c r="F532" i="20"/>
  <c r="D532" i="20"/>
  <c r="C532" i="20" a="1"/>
  <c r="C532" i="20" s="1"/>
  <c r="G531" i="20"/>
  <c r="I531" i="20" s="1"/>
  <c r="F531" i="20"/>
  <c r="D531" i="20"/>
  <c r="C531" i="20" a="1"/>
  <c r="C531" i="20" s="1"/>
  <c r="G530" i="20"/>
  <c r="F530" i="20"/>
  <c r="D530" i="20"/>
  <c r="C530" i="20" a="1"/>
  <c r="C530" i="20" s="1"/>
  <c r="G529" i="20"/>
  <c r="H529" i="20" s="1"/>
  <c r="F529" i="20"/>
  <c r="D529" i="20"/>
  <c r="C529" i="20" a="1"/>
  <c r="C529" i="20" s="1"/>
  <c r="G528" i="20"/>
  <c r="I528" i="20" s="1"/>
  <c r="F528" i="20"/>
  <c r="D528" i="20"/>
  <c r="C528" i="20" a="1"/>
  <c r="C528" i="20" s="1"/>
  <c r="G527" i="20"/>
  <c r="J527" i="20" s="1"/>
  <c r="F527" i="20"/>
  <c r="D527" i="20"/>
  <c r="C527" i="20" a="1"/>
  <c r="C527" i="20" s="1"/>
  <c r="G526" i="20"/>
  <c r="I526" i="20" s="1"/>
  <c r="F526" i="20"/>
  <c r="D526" i="20"/>
  <c r="C526" i="20" a="1"/>
  <c r="C526" i="20" s="1"/>
  <c r="G525" i="20"/>
  <c r="H525" i="20" s="1"/>
  <c r="F525" i="20"/>
  <c r="D525" i="20"/>
  <c r="C525" i="20" a="1"/>
  <c r="C525" i="20" s="1"/>
  <c r="G524" i="20"/>
  <c r="J524" i="20" s="1"/>
  <c r="F524" i="20"/>
  <c r="D524" i="20"/>
  <c r="C524" i="20" a="1"/>
  <c r="C524" i="20" s="1"/>
  <c r="G523" i="20"/>
  <c r="F523" i="20"/>
  <c r="D523" i="20"/>
  <c r="C523" i="20" a="1"/>
  <c r="C523" i="20" s="1"/>
  <c r="G522" i="20"/>
  <c r="F522" i="20"/>
  <c r="D522" i="20"/>
  <c r="C522" i="20" a="1"/>
  <c r="C522" i="20" s="1"/>
  <c r="G521" i="20"/>
  <c r="F521" i="20"/>
  <c r="D521" i="20"/>
  <c r="C521" i="20" a="1"/>
  <c r="C521" i="20" s="1"/>
  <c r="G520" i="20"/>
  <c r="F520" i="20"/>
  <c r="D520" i="20"/>
  <c r="C520" i="20" a="1"/>
  <c r="C520" i="20" s="1"/>
  <c r="G519" i="20"/>
  <c r="I519" i="20" s="1"/>
  <c r="F519" i="20"/>
  <c r="D519" i="20"/>
  <c r="C519" i="20" a="1"/>
  <c r="C519" i="20" s="1"/>
  <c r="G518" i="20"/>
  <c r="F518" i="20"/>
  <c r="D518" i="20"/>
  <c r="C518" i="20" a="1"/>
  <c r="C518" i="20" s="1"/>
  <c r="G517" i="20"/>
  <c r="H517" i="20" s="1"/>
  <c r="F517" i="20"/>
  <c r="D517" i="20"/>
  <c r="C517" i="20" a="1"/>
  <c r="C517" i="20" s="1"/>
  <c r="G516" i="20"/>
  <c r="F516" i="20"/>
  <c r="D516" i="20"/>
  <c r="C516" i="20" a="1"/>
  <c r="C516" i="20" s="1"/>
  <c r="G515" i="20"/>
  <c r="F515" i="20"/>
  <c r="D515" i="20"/>
  <c r="C515" i="20" a="1"/>
  <c r="C515" i="20" s="1"/>
  <c r="G514" i="20"/>
  <c r="I514" i="20" s="1"/>
  <c r="F514" i="20"/>
  <c r="D514" i="20"/>
  <c r="C514" i="20" a="1"/>
  <c r="C514" i="20" s="1"/>
  <c r="G513" i="20"/>
  <c r="F513" i="20"/>
  <c r="D513" i="20"/>
  <c r="C513" i="20" a="1"/>
  <c r="C513" i="20" s="1"/>
  <c r="G512" i="20"/>
  <c r="H512" i="20" s="1"/>
  <c r="F512" i="20"/>
  <c r="D512" i="20"/>
  <c r="C512" i="20" a="1"/>
  <c r="C512" i="20" s="1"/>
  <c r="G511" i="20"/>
  <c r="F511" i="20"/>
  <c r="D511" i="20"/>
  <c r="C511" i="20" a="1"/>
  <c r="C511" i="20" s="1"/>
  <c r="G510" i="20"/>
  <c r="F510" i="20"/>
  <c r="D510" i="20"/>
  <c r="C510" i="20" a="1"/>
  <c r="C510" i="20" s="1"/>
  <c r="G509" i="20"/>
  <c r="F509" i="20"/>
  <c r="D509" i="20"/>
  <c r="C509" i="20" a="1"/>
  <c r="C509" i="20" s="1"/>
  <c r="G508" i="20"/>
  <c r="F508" i="20"/>
  <c r="D508" i="20"/>
  <c r="C508" i="20" a="1"/>
  <c r="C508" i="20" s="1"/>
  <c r="G507" i="20"/>
  <c r="F507" i="20"/>
  <c r="D507" i="20"/>
  <c r="C507" i="20" a="1"/>
  <c r="C507" i="20" s="1"/>
  <c r="G506" i="20"/>
  <c r="F506" i="20"/>
  <c r="D506" i="20"/>
  <c r="C506" i="20" a="1"/>
  <c r="C506" i="20" s="1"/>
  <c r="G505" i="20"/>
  <c r="F505" i="20"/>
  <c r="D505" i="20"/>
  <c r="C505" i="20" a="1"/>
  <c r="C505" i="20" s="1"/>
  <c r="G504" i="20"/>
  <c r="F504" i="20"/>
  <c r="D504" i="20"/>
  <c r="C504" i="20" a="1"/>
  <c r="C504" i="20" s="1"/>
  <c r="G503" i="20"/>
  <c r="F503" i="20"/>
  <c r="D503" i="20"/>
  <c r="C503" i="20" a="1"/>
  <c r="C503" i="20" s="1"/>
  <c r="G502" i="20"/>
  <c r="I502" i="20" s="1"/>
  <c r="F502" i="20"/>
  <c r="D502" i="20"/>
  <c r="C502" i="20" a="1"/>
  <c r="C502" i="20" s="1"/>
  <c r="G501" i="20"/>
  <c r="F501" i="20"/>
  <c r="D501" i="20"/>
  <c r="C501" i="20" a="1"/>
  <c r="C501" i="20" s="1"/>
  <c r="G500" i="20"/>
  <c r="F500" i="20"/>
  <c r="D500" i="20"/>
  <c r="C500" i="20" a="1"/>
  <c r="C500" i="20" s="1"/>
  <c r="G499" i="20"/>
  <c r="F499" i="20"/>
  <c r="D499" i="20"/>
  <c r="C499" i="20" a="1"/>
  <c r="C499" i="20" s="1"/>
  <c r="G498" i="20"/>
  <c r="I498" i="20" s="1"/>
  <c r="F498" i="20"/>
  <c r="D498" i="20"/>
  <c r="C498" i="20" a="1"/>
  <c r="C498" i="20" s="1"/>
  <c r="G497" i="20"/>
  <c r="F497" i="20"/>
  <c r="D497" i="20"/>
  <c r="C497" i="20" a="1"/>
  <c r="C497" i="20" s="1"/>
  <c r="G496" i="20"/>
  <c r="J496" i="20" s="1"/>
  <c r="F496" i="20"/>
  <c r="D496" i="20"/>
  <c r="C496" i="20" a="1"/>
  <c r="C496" i="20" s="1"/>
  <c r="G495" i="20"/>
  <c r="I495" i="20" s="1"/>
  <c r="F495" i="20"/>
  <c r="D495" i="20"/>
  <c r="C495" i="20" a="1"/>
  <c r="C495" i="20" s="1"/>
  <c r="G494" i="20"/>
  <c r="I494" i="20" s="1"/>
  <c r="F494" i="20"/>
  <c r="D494" i="20"/>
  <c r="C494" i="20" a="1"/>
  <c r="C494" i="20" s="1"/>
  <c r="G493" i="20"/>
  <c r="H493" i="20" s="1"/>
  <c r="F493" i="20"/>
  <c r="D493" i="20"/>
  <c r="C493" i="20" a="1"/>
  <c r="C493" i="20" s="1"/>
  <c r="G492" i="20"/>
  <c r="F492" i="20"/>
  <c r="D492" i="20"/>
  <c r="C492" i="20" a="1"/>
  <c r="C492" i="20" s="1"/>
  <c r="G491" i="20"/>
  <c r="F491" i="20"/>
  <c r="D491" i="20"/>
  <c r="C491" i="20" a="1"/>
  <c r="C491" i="20" s="1"/>
  <c r="G490" i="20"/>
  <c r="I490" i="20" s="1"/>
  <c r="F490" i="20"/>
  <c r="D490" i="20"/>
  <c r="C490" i="20" a="1"/>
  <c r="C490" i="20" s="1"/>
  <c r="G489" i="20"/>
  <c r="H489" i="20" s="1"/>
  <c r="F489" i="20"/>
  <c r="D489" i="20"/>
  <c r="C489" i="20" a="1"/>
  <c r="C489" i="20" s="1"/>
  <c r="G488" i="20"/>
  <c r="F488" i="20"/>
  <c r="D488" i="20"/>
  <c r="C488" i="20" a="1"/>
  <c r="C488" i="20" s="1"/>
  <c r="G487" i="20"/>
  <c r="F487" i="20"/>
  <c r="D487" i="20"/>
  <c r="C487" i="20" a="1"/>
  <c r="C487" i="20" s="1"/>
  <c r="G486" i="20"/>
  <c r="F486" i="20"/>
  <c r="D486" i="20"/>
  <c r="C486" i="20" a="1"/>
  <c r="C486" i="20" s="1"/>
  <c r="G485" i="20"/>
  <c r="F485" i="20"/>
  <c r="D485" i="20"/>
  <c r="C485" i="20" a="1"/>
  <c r="C485" i="20" s="1"/>
  <c r="G484" i="20"/>
  <c r="F484" i="20"/>
  <c r="D484" i="20"/>
  <c r="C484" i="20" a="1"/>
  <c r="C484" i="20" s="1"/>
  <c r="G483" i="20"/>
  <c r="F483" i="20"/>
  <c r="D483" i="20"/>
  <c r="C483" i="20" a="1"/>
  <c r="C483" i="20" s="1"/>
  <c r="G482" i="20"/>
  <c r="F482" i="20"/>
  <c r="D482" i="20"/>
  <c r="C482" i="20" a="1"/>
  <c r="C482" i="20" s="1"/>
  <c r="G481" i="20"/>
  <c r="H481" i="20" s="1"/>
  <c r="F481" i="20"/>
  <c r="D481" i="20"/>
  <c r="C481" i="20" a="1"/>
  <c r="C481" i="20" s="1"/>
  <c r="G480" i="20"/>
  <c r="I480" i="20" s="1"/>
  <c r="F480" i="20"/>
  <c r="D480" i="20"/>
  <c r="C480" i="20" a="1"/>
  <c r="C480" i="20" s="1"/>
  <c r="G479" i="20"/>
  <c r="I479" i="20" s="1"/>
  <c r="F479" i="20"/>
  <c r="D479" i="20"/>
  <c r="C479" i="20" a="1"/>
  <c r="C479" i="20" s="1"/>
  <c r="G478" i="20"/>
  <c r="I478" i="20" s="1"/>
  <c r="F478" i="20"/>
  <c r="C478" i="20" a="1"/>
  <c r="C478" i="20" s="1"/>
  <c r="G477" i="20"/>
  <c r="H477" i="20" s="1"/>
  <c r="F477" i="20"/>
  <c r="C477" i="20" a="1"/>
  <c r="C477" i="20" s="1"/>
  <c r="G476" i="20"/>
  <c r="H476" i="20" s="1"/>
  <c r="F476" i="20"/>
  <c r="C476" i="20" a="1"/>
  <c r="C476" i="20" s="1"/>
  <c r="G475" i="20"/>
  <c r="I475" i="20" s="1"/>
  <c r="F475" i="20"/>
  <c r="C475" i="20" a="1"/>
  <c r="C475" i="20" s="1"/>
  <c r="G474" i="20"/>
  <c r="J474" i="20" s="1"/>
  <c r="F474" i="20"/>
  <c r="C474" i="20" a="1"/>
  <c r="C474" i="20" s="1"/>
  <c r="G473" i="20"/>
  <c r="J473" i="20" s="1"/>
  <c r="F473" i="20"/>
  <c r="C473" i="20" a="1"/>
  <c r="C473" i="20" s="1"/>
  <c r="G472" i="20"/>
  <c r="F472" i="20"/>
  <c r="C472" i="20" a="1"/>
  <c r="C472" i="20" s="1"/>
  <c r="G471" i="20"/>
  <c r="H471" i="20" s="1"/>
  <c r="F471" i="20"/>
  <c r="C471" i="20" a="1"/>
  <c r="C471" i="20" s="1"/>
  <c r="G470" i="20"/>
  <c r="F470" i="20"/>
  <c r="C470" i="20" a="1"/>
  <c r="C470" i="20" s="1"/>
  <c r="G469" i="20"/>
  <c r="J469" i="20" s="1"/>
  <c r="F469" i="20"/>
  <c r="C469" i="20" a="1"/>
  <c r="C469" i="20" s="1"/>
  <c r="G468" i="20"/>
  <c r="I468" i="20" s="1"/>
  <c r="F468" i="20"/>
  <c r="C468" i="20" a="1"/>
  <c r="C468" i="20" s="1"/>
  <c r="G467" i="20"/>
  <c r="J467" i="20" s="1"/>
  <c r="F467" i="20"/>
  <c r="C467" i="20" a="1"/>
  <c r="C467" i="20" s="1"/>
  <c r="G466" i="20"/>
  <c r="J466" i="20" s="1"/>
  <c r="F466" i="20"/>
  <c r="C466" i="20" a="1"/>
  <c r="C466" i="20" s="1"/>
  <c r="G465" i="20"/>
  <c r="H465" i="20" s="1"/>
  <c r="F465" i="20"/>
  <c r="C465" i="20" a="1"/>
  <c r="C465" i="20" s="1"/>
  <c r="G464" i="20"/>
  <c r="F464" i="20"/>
  <c r="C464" i="20" a="1"/>
  <c r="C464" i="20" s="1"/>
  <c r="G463" i="20"/>
  <c r="J463" i="20" s="1"/>
  <c r="F463" i="20"/>
  <c r="C463" i="20" a="1"/>
  <c r="C463" i="20" s="1"/>
  <c r="G462" i="20"/>
  <c r="F462" i="20"/>
  <c r="C462" i="20" a="1"/>
  <c r="C462" i="20" s="1"/>
  <c r="G461" i="20"/>
  <c r="F461" i="20"/>
  <c r="C461" i="20" a="1"/>
  <c r="C461" i="20" s="1"/>
  <c r="G460" i="20"/>
  <c r="I460" i="20" s="1"/>
  <c r="F460" i="20"/>
  <c r="C460" i="20" a="1"/>
  <c r="C460" i="20" s="1"/>
  <c r="G459" i="20"/>
  <c r="F459" i="20"/>
  <c r="C459" i="20" a="1"/>
  <c r="C459" i="20" s="1"/>
  <c r="G458" i="20"/>
  <c r="I458" i="20" s="1"/>
  <c r="F458" i="20"/>
  <c r="C458" i="20" a="1"/>
  <c r="C458" i="20" s="1"/>
  <c r="G457" i="20"/>
  <c r="I457" i="20" s="1"/>
  <c r="F457" i="20"/>
  <c r="C457" i="20" a="1"/>
  <c r="C457" i="20" s="1"/>
  <c r="G456" i="20"/>
  <c r="F456" i="20"/>
  <c r="C456" i="20" a="1"/>
  <c r="C456" i="20" s="1"/>
  <c r="G455" i="20"/>
  <c r="J455" i="20" s="1"/>
  <c r="F455" i="20"/>
  <c r="C455" i="20" a="1"/>
  <c r="C455" i="20" s="1"/>
  <c r="G454" i="20"/>
  <c r="J454" i="20" s="1"/>
  <c r="F454" i="20"/>
  <c r="C454" i="20" a="1"/>
  <c r="C454" i="20" s="1"/>
  <c r="G453" i="20"/>
  <c r="J453" i="20" s="1"/>
  <c r="F453" i="20"/>
  <c r="C453" i="20" a="1"/>
  <c r="C453" i="20" s="1"/>
  <c r="G452" i="20"/>
  <c r="J452" i="20" s="1"/>
  <c r="F452" i="20"/>
  <c r="C452" i="20" a="1"/>
  <c r="C452" i="20" s="1"/>
  <c r="G451" i="20"/>
  <c r="H451" i="20" s="1"/>
  <c r="F451" i="20"/>
  <c r="C451" i="20" a="1"/>
  <c r="C451" i="20" s="1"/>
  <c r="G450" i="20"/>
  <c r="F450" i="20"/>
  <c r="C450" i="20" a="1"/>
  <c r="C450" i="20" s="1"/>
  <c r="G449" i="20"/>
  <c r="F449" i="20"/>
  <c r="C449" i="20" a="1"/>
  <c r="C449" i="20" s="1"/>
  <c r="G448" i="20"/>
  <c r="F448" i="20"/>
  <c r="C448" i="20" a="1"/>
  <c r="C448" i="20" s="1"/>
  <c r="G447" i="20"/>
  <c r="F447" i="20"/>
  <c r="C447" i="20" a="1"/>
  <c r="C447" i="20" s="1"/>
  <c r="G446" i="20"/>
  <c r="F446" i="20"/>
  <c r="C446" i="20" a="1"/>
  <c r="C446" i="20" s="1"/>
  <c r="G445" i="20"/>
  <c r="I445" i="20" s="1"/>
  <c r="F445" i="20"/>
  <c r="C445" i="20" a="1"/>
  <c r="C445" i="20" s="1"/>
  <c r="G444" i="20"/>
  <c r="H444" i="20" s="1"/>
  <c r="F444" i="20"/>
  <c r="C444" i="20" a="1"/>
  <c r="C444" i="20" s="1"/>
  <c r="G443" i="20"/>
  <c r="F443" i="20"/>
  <c r="C443" i="20" a="1"/>
  <c r="C443" i="20" s="1"/>
  <c r="G442" i="20"/>
  <c r="I442" i="20" s="1"/>
  <c r="F442" i="20"/>
  <c r="C442" i="20" a="1"/>
  <c r="C442" i="20" s="1"/>
  <c r="G441" i="20"/>
  <c r="F441" i="20"/>
  <c r="C441" i="20" a="1"/>
  <c r="C441" i="20" s="1"/>
  <c r="G440" i="20"/>
  <c r="J440" i="20" s="1"/>
  <c r="F440" i="20"/>
  <c r="C440" i="20" a="1"/>
  <c r="C440" i="20" s="1"/>
  <c r="G439" i="20"/>
  <c r="F439" i="20"/>
  <c r="C439" i="20" a="1"/>
  <c r="C439" i="20" s="1"/>
  <c r="G438" i="20"/>
  <c r="F438" i="20"/>
  <c r="C438" i="20" a="1"/>
  <c r="C438" i="20" s="1"/>
  <c r="G437" i="20"/>
  <c r="F437" i="20"/>
  <c r="C437" i="20" a="1"/>
  <c r="C437" i="20" s="1"/>
  <c r="G436" i="20"/>
  <c r="F436" i="20"/>
  <c r="C436" i="20" a="1"/>
  <c r="C436" i="20" s="1"/>
  <c r="G435" i="20"/>
  <c r="H435" i="20" s="1"/>
  <c r="F435" i="20"/>
  <c r="C435" i="20" a="1"/>
  <c r="C435" i="20" s="1"/>
  <c r="G434" i="20"/>
  <c r="H434" i="20" s="1"/>
  <c r="F434" i="20"/>
  <c r="C434" i="20" a="1"/>
  <c r="C434" i="20" s="1"/>
  <c r="G433" i="20"/>
  <c r="F433" i="20"/>
  <c r="C433" i="20" a="1"/>
  <c r="C433" i="20" s="1"/>
  <c r="G432" i="20"/>
  <c r="F432" i="20"/>
  <c r="C432" i="20" a="1"/>
  <c r="C432" i="20" s="1"/>
  <c r="G431" i="20"/>
  <c r="H431" i="20" s="1"/>
  <c r="F431" i="20"/>
  <c r="C431" i="20" a="1"/>
  <c r="C431" i="20" s="1"/>
  <c r="G430" i="20"/>
  <c r="F430" i="20"/>
  <c r="C430" i="20" a="1"/>
  <c r="C430" i="20" s="1"/>
  <c r="G429" i="20"/>
  <c r="F429" i="20"/>
  <c r="C429" i="20" a="1"/>
  <c r="C429" i="20" s="1"/>
  <c r="G428" i="20"/>
  <c r="F428" i="20"/>
  <c r="C428" i="20" a="1"/>
  <c r="C428" i="20" s="1"/>
  <c r="G427" i="20"/>
  <c r="F427" i="20"/>
  <c r="C427" i="20" a="1"/>
  <c r="C427" i="20" s="1"/>
  <c r="G426" i="20"/>
  <c r="H426" i="20" s="1"/>
  <c r="F426" i="20"/>
  <c r="C426" i="20" a="1"/>
  <c r="C426" i="20" s="1"/>
  <c r="G425" i="20"/>
  <c r="F425" i="20"/>
  <c r="C425" i="20" a="1"/>
  <c r="C425" i="20" s="1"/>
  <c r="G424" i="20"/>
  <c r="F424" i="20"/>
  <c r="C424" i="20" a="1"/>
  <c r="C424" i="20" s="1"/>
  <c r="G423" i="20"/>
  <c r="J423" i="20" s="1"/>
  <c r="F423" i="20"/>
  <c r="C423" i="20" a="1"/>
  <c r="C423" i="20" s="1"/>
  <c r="G422" i="20"/>
  <c r="F422" i="20"/>
  <c r="C422" i="20" a="1"/>
  <c r="C422" i="20" s="1"/>
  <c r="G421" i="20"/>
  <c r="H421" i="20" s="1"/>
  <c r="F421" i="20"/>
  <c r="C421" i="20" a="1"/>
  <c r="C421" i="20" s="1"/>
  <c r="G420" i="20"/>
  <c r="F420" i="20"/>
  <c r="C420" i="20" a="1"/>
  <c r="C420" i="20" s="1"/>
  <c r="G419" i="20"/>
  <c r="H419" i="20" s="1"/>
  <c r="F419" i="20"/>
  <c r="C419" i="20" a="1"/>
  <c r="C419" i="20" s="1"/>
  <c r="G418" i="20"/>
  <c r="I418" i="20" s="1"/>
  <c r="F418" i="20"/>
  <c r="C418" i="20" a="1"/>
  <c r="C418" i="20" s="1"/>
  <c r="G417" i="20"/>
  <c r="J417" i="20" s="1"/>
  <c r="F417" i="20"/>
  <c r="C417" i="20" a="1"/>
  <c r="C417" i="20" s="1"/>
  <c r="G416" i="20"/>
  <c r="J416" i="20" s="1"/>
  <c r="F416" i="20"/>
  <c r="C416" i="20" a="1"/>
  <c r="C416" i="20" s="1"/>
  <c r="G415" i="20"/>
  <c r="F415" i="20"/>
  <c r="C415" i="20" a="1"/>
  <c r="C415" i="20" s="1"/>
  <c r="G414" i="20"/>
  <c r="F414" i="20"/>
  <c r="C414" i="20" a="1"/>
  <c r="C414" i="20" s="1"/>
  <c r="G413" i="20"/>
  <c r="H413" i="20" s="1"/>
  <c r="F413" i="20"/>
  <c r="C413" i="20" a="1"/>
  <c r="C413" i="20" s="1"/>
  <c r="G412" i="20"/>
  <c r="F412" i="20"/>
  <c r="C412" i="20" a="1"/>
  <c r="C412" i="20" s="1"/>
  <c r="G411" i="20"/>
  <c r="F411" i="20"/>
  <c r="C411" i="20" a="1"/>
  <c r="C411" i="20" s="1"/>
  <c r="G410" i="20"/>
  <c r="F410" i="20"/>
  <c r="C410" i="20" a="1"/>
  <c r="C410" i="20" s="1"/>
  <c r="G409" i="20"/>
  <c r="F409" i="20"/>
  <c r="C409" i="20" a="1"/>
  <c r="C409" i="20" s="1"/>
  <c r="G408" i="20"/>
  <c r="F408" i="20"/>
  <c r="C408" i="20" a="1"/>
  <c r="C408" i="20" s="1"/>
  <c r="G407" i="20"/>
  <c r="J407" i="20" s="1"/>
  <c r="F407" i="20"/>
  <c r="C407" i="20" a="1"/>
  <c r="C407" i="20" s="1"/>
  <c r="G406" i="20"/>
  <c r="F406" i="20"/>
  <c r="C406" i="20" a="1"/>
  <c r="C406" i="20" s="1"/>
  <c r="G405" i="20"/>
  <c r="H405" i="20" s="1"/>
  <c r="F405" i="20"/>
  <c r="C405" i="20" a="1"/>
  <c r="C405" i="20" s="1"/>
  <c r="G404" i="20"/>
  <c r="F404" i="20"/>
  <c r="C404" i="20" a="1"/>
  <c r="C404" i="20" s="1"/>
  <c r="G403" i="20"/>
  <c r="F403" i="20"/>
  <c r="C403" i="20" a="1"/>
  <c r="C403" i="20" s="1"/>
  <c r="G402" i="20"/>
  <c r="I402" i="20" s="1"/>
  <c r="F402" i="20"/>
  <c r="C402" i="20" a="1"/>
  <c r="C402" i="20" s="1"/>
  <c r="G401" i="20"/>
  <c r="I401" i="20" s="1"/>
  <c r="F401" i="20"/>
  <c r="C401" i="20" a="1"/>
  <c r="C401" i="20" s="1"/>
  <c r="G400" i="20"/>
  <c r="F400" i="20"/>
  <c r="C400" i="20" a="1"/>
  <c r="C400" i="20" s="1"/>
  <c r="G399" i="20"/>
  <c r="J399" i="20" s="1"/>
  <c r="F399" i="20"/>
  <c r="C399" i="20" a="1"/>
  <c r="C399" i="20" s="1"/>
  <c r="G398" i="20"/>
  <c r="F398" i="20"/>
  <c r="C398" i="20" a="1"/>
  <c r="C398" i="20" s="1"/>
  <c r="G397" i="20"/>
  <c r="F397" i="20"/>
  <c r="C397" i="20" a="1"/>
  <c r="C397" i="20" s="1"/>
  <c r="G396" i="20"/>
  <c r="F396" i="20"/>
  <c r="C396" i="20" a="1"/>
  <c r="C396" i="20" s="1"/>
  <c r="G395" i="20"/>
  <c r="F395" i="20"/>
  <c r="C395" i="20" a="1"/>
  <c r="C395" i="20" s="1"/>
  <c r="G394" i="20"/>
  <c r="I394" i="20" s="1"/>
  <c r="F394" i="20"/>
  <c r="C394" i="20" a="1"/>
  <c r="C394" i="20" s="1"/>
  <c r="G393" i="20"/>
  <c r="J393" i="20" s="1"/>
  <c r="F393" i="20"/>
  <c r="C393" i="20" a="1"/>
  <c r="C393" i="20" s="1"/>
  <c r="G392" i="20"/>
  <c r="F392" i="20"/>
  <c r="C392" i="20" a="1"/>
  <c r="C392" i="20" s="1"/>
  <c r="G391" i="20"/>
  <c r="J391" i="20" s="1"/>
  <c r="F391" i="20"/>
  <c r="C391" i="20" a="1"/>
  <c r="C391" i="20" s="1"/>
  <c r="G390" i="20"/>
  <c r="F390" i="20"/>
  <c r="C390" i="20" a="1"/>
  <c r="C390" i="20" s="1"/>
  <c r="G389" i="20"/>
  <c r="H389" i="20" s="1"/>
  <c r="F389" i="20"/>
  <c r="C389" i="20" a="1"/>
  <c r="C389" i="20" s="1"/>
  <c r="G388" i="20"/>
  <c r="F388" i="20"/>
  <c r="C388" i="20" a="1"/>
  <c r="C388" i="20" s="1"/>
  <c r="G387" i="20"/>
  <c r="F387" i="20"/>
  <c r="C387" i="20" a="1"/>
  <c r="C387" i="20" s="1"/>
  <c r="G386" i="20"/>
  <c r="I386" i="20" s="1"/>
  <c r="F386" i="20"/>
  <c r="C386" i="20" a="1"/>
  <c r="C386" i="20" s="1"/>
  <c r="G385" i="20"/>
  <c r="J385" i="20" s="1"/>
  <c r="F385" i="20"/>
  <c r="C385" i="20" a="1"/>
  <c r="C385" i="20" s="1"/>
  <c r="G384" i="20"/>
  <c r="I384" i="20" s="1"/>
  <c r="F384" i="20"/>
  <c r="C384" i="20" a="1"/>
  <c r="C384" i="20" s="1"/>
  <c r="G383" i="20"/>
  <c r="H383" i="20" s="1"/>
  <c r="F383" i="20"/>
  <c r="C383" i="20" a="1"/>
  <c r="C383" i="20" s="1"/>
  <c r="G382" i="20"/>
  <c r="F382" i="20"/>
  <c r="C382" i="20" a="1"/>
  <c r="C382" i="20" s="1"/>
  <c r="G381" i="20"/>
  <c r="F381" i="20"/>
  <c r="C381" i="20" a="1"/>
  <c r="C381" i="20" s="1"/>
  <c r="G380" i="20"/>
  <c r="F380" i="20"/>
  <c r="C380" i="20" a="1"/>
  <c r="C380" i="20" s="1"/>
  <c r="G379" i="20"/>
  <c r="F379" i="20"/>
  <c r="C379" i="20" a="1"/>
  <c r="C379" i="20" s="1"/>
  <c r="G378" i="20"/>
  <c r="I378" i="20" s="1"/>
  <c r="F378" i="20"/>
  <c r="C378" i="20" a="1"/>
  <c r="C378" i="20" s="1"/>
  <c r="G377" i="20"/>
  <c r="H377" i="20" s="1"/>
  <c r="F377" i="20"/>
  <c r="C377" i="20" a="1"/>
  <c r="C377" i="20" s="1"/>
  <c r="G376" i="20"/>
  <c r="F376" i="20"/>
  <c r="C376" i="20" a="1"/>
  <c r="C376" i="20" s="1"/>
  <c r="G375" i="20"/>
  <c r="F375" i="20"/>
  <c r="C375" i="20" a="1"/>
  <c r="C375" i="20" s="1"/>
  <c r="G374" i="20"/>
  <c r="F374" i="20"/>
  <c r="C374" i="20" a="1"/>
  <c r="C374" i="20" s="1"/>
  <c r="G373" i="20"/>
  <c r="F373" i="20"/>
  <c r="C373" i="20" a="1"/>
  <c r="C373" i="20" s="1"/>
  <c r="G372" i="20"/>
  <c r="F372" i="20"/>
  <c r="C372" i="20" a="1"/>
  <c r="C372" i="20" s="1"/>
  <c r="G371" i="20"/>
  <c r="H371" i="20" s="1"/>
  <c r="F371" i="20"/>
  <c r="C371" i="20" a="1"/>
  <c r="C371" i="20" s="1"/>
  <c r="G370" i="20"/>
  <c r="H370" i="20" s="1"/>
  <c r="F370" i="20"/>
  <c r="C370" i="20" a="1"/>
  <c r="C370" i="20" s="1"/>
  <c r="G369" i="20"/>
  <c r="F369" i="20"/>
  <c r="C369" i="20" a="1"/>
  <c r="C369" i="20" s="1"/>
  <c r="G368" i="20"/>
  <c r="J368" i="20" s="1"/>
  <c r="F368" i="20"/>
  <c r="C368" i="20" a="1"/>
  <c r="C368" i="20" s="1"/>
  <c r="G367" i="20"/>
  <c r="J367" i="20" s="1"/>
  <c r="F367" i="20"/>
  <c r="C367" i="20" a="1"/>
  <c r="C367" i="20" s="1"/>
  <c r="G366" i="20"/>
  <c r="F366" i="20"/>
  <c r="C366" i="20" a="1"/>
  <c r="C366" i="20" s="1"/>
  <c r="G365" i="20"/>
  <c r="F365" i="20"/>
  <c r="C365" i="20" a="1"/>
  <c r="C365" i="20" s="1"/>
  <c r="G364" i="20"/>
  <c r="F364" i="20"/>
  <c r="C364" i="20" a="1"/>
  <c r="C364" i="20" s="1"/>
  <c r="G363" i="20"/>
  <c r="F363" i="20"/>
  <c r="C363" i="20" a="1"/>
  <c r="C363" i="20" s="1"/>
  <c r="G362" i="20"/>
  <c r="H362" i="20" s="1"/>
  <c r="F362" i="20"/>
  <c r="C362" i="20" a="1"/>
  <c r="C362" i="20" s="1"/>
  <c r="G361" i="20"/>
  <c r="F361" i="20"/>
  <c r="C361" i="20" a="1"/>
  <c r="C361" i="20" s="1"/>
  <c r="G360" i="20"/>
  <c r="I360" i="20" s="1"/>
  <c r="F360" i="20"/>
  <c r="C360" i="20" a="1"/>
  <c r="C360" i="20" s="1"/>
  <c r="G359" i="20"/>
  <c r="J359" i="20" s="1"/>
  <c r="F359" i="20"/>
  <c r="C359" i="20" a="1"/>
  <c r="C359" i="20" s="1"/>
  <c r="G358" i="20"/>
  <c r="F358" i="20"/>
  <c r="C358" i="20" a="1"/>
  <c r="C358" i="20" s="1"/>
  <c r="G357" i="20"/>
  <c r="F357" i="20"/>
  <c r="C357" i="20" a="1"/>
  <c r="C357" i="20" s="1"/>
  <c r="G356" i="20"/>
  <c r="F356" i="20"/>
  <c r="C356" i="20" a="1"/>
  <c r="C356" i="20" s="1"/>
  <c r="G355" i="20"/>
  <c r="H355" i="20" s="1"/>
  <c r="F355" i="20"/>
  <c r="C355" i="20" a="1"/>
  <c r="C355" i="20" s="1"/>
  <c r="G354" i="20"/>
  <c r="I354" i="20" s="1"/>
  <c r="F354" i="20"/>
  <c r="C354" i="20" a="1"/>
  <c r="C354" i="20" s="1"/>
  <c r="G353" i="20"/>
  <c r="F353" i="20"/>
  <c r="C353" i="20" a="1"/>
  <c r="C353" i="20" s="1"/>
  <c r="G352" i="20"/>
  <c r="J352" i="20" s="1"/>
  <c r="F352" i="20"/>
  <c r="C352" i="20" a="1"/>
  <c r="C352" i="20" s="1"/>
  <c r="G351" i="20"/>
  <c r="H351" i="20" s="1"/>
  <c r="F351" i="20"/>
  <c r="C351" i="20" a="1"/>
  <c r="C351" i="20" s="1"/>
  <c r="G350" i="20"/>
  <c r="F350" i="20"/>
  <c r="C350" i="20" a="1"/>
  <c r="C350" i="20" s="1"/>
  <c r="G349" i="20"/>
  <c r="F349" i="20"/>
  <c r="C349" i="20" a="1"/>
  <c r="C349" i="20" s="1"/>
  <c r="G348" i="20"/>
  <c r="F348" i="20"/>
  <c r="C348" i="20" a="1"/>
  <c r="C348" i="20" s="1"/>
  <c r="G347" i="20"/>
  <c r="F347" i="20"/>
  <c r="C347" i="20" a="1"/>
  <c r="C347" i="20" s="1"/>
  <c r="G346" i="20"/>
  <c r="H346" i="20" s="1"/>
  <c r="F346" i="20"/>
  <c r="C346" i="20" a="1"/>
  <c r="C346" i="20" s="1"/>
  <c r="G345" i="20"/>
  <c r="F345" i="20"/>
  <c r="C345" i="20" a="1"/>
  <c r="C345" i="20" s="1"/>
  <c r="G344" i="20"/>
  <c r="I344" i="20" s="1"/>
  <c r="F344" i="20"/>
  <c r="C344" i="20" a="1"/>
  <c r="C344" i="20" s="1"/>
  <c r="G343" i="20"/>
  <c r="J343" i="20" s="1"/>
  <c r="F343" i="20"/>
  <c r="C343" i="20" a="1"/>
  <c r="C343" i="20" s="1"/>
  <c r="G342" i="20"/>
  <c r="F342" i="20"/>
  <c r="C342" i="20" a="1"/>
  <c r="C342" i="20" s="1"/>
  <c r="G341" i="20"/>
  <c r="H341" i="20" s="1"/>
  <c r="F341" i="20"/>
  <c r="C341" i="20" a="1"/>
  <c r="C341" i="20" s="1"/>
  <c r="G340" i="20"/>
  <c r="F340" i="20"/>
  <c r="C340" i="20" a="1"/>
  <c r="C340" i="20" s="1"/>
  <c r="G339" i="20"/>
  <c r="F339" i="20"/>
  <c r="C339" i="20" a="1"/>
  <c r="C339" i="20" s="1"/>
  <c r="G338" i="20"/>
  <c r="I338" i="20" s="1"/>
  <c r="F338" i="20"/>
  <c r="C338" i="20" a="1"/>
  <c r="C338" i="20" s="1"/>
  <c r="G337" i="20"/>
  <c r="I337" i="20" s="1"/>
  <c r="F337" i="20"/>
  <c r="C337" i="20" a="1"/>
  <c r="C337" i="20" s="1"/>
  <c r="G336" i="20"/>
  <c r="I336" i="20" s="1"/>
  <c r="F336" i="20"/>
  <c r="C336" i="20" a="1"/>
  <c r="C336" i="20" s="1"/>
  <c r="G335" i="20"/>
  <c r="I335" i="20" s="1"/>
  <c r="F335" i="20"/>
  <c r="C335" i="20" a="1"/>
  <c r="C335" i="20" s="1"/>
  <c r="G334" i="20"/>
  <c r="F334" i="20"/>
  <c r="C334" i="20" a="1"/>
  <c r="C334" i="20" s="1"/>
  <c r="G333" i="20"/>
  <c r="H333" i="20" s="1"/>
  <c r="F333" i="20"/>
  <c r="C333" i="20" a="1"/>
  <c r="C333" i="20" s="1"/>
  <c r="G332" i="20"/>
  <c r="F332" i="20"/>
  <c r="C332" i="20" a="1"/>
  <c r="C332" i="20" s="1"/>
  <c r="G331" i="20"/>
  <c r="F331" i="20"/>
  <c r="C331" i="20" a="1"/>
  <c r="C331" i="20" s="1"/>
  <c r="G330" i="20"/>
  <c r="H330" i="20" s="1"/>
  <c r="F330" i="20"/>
  <c r="C330" i="20" a="1"/>
  <c r="C330" i="20" s="1"/>
  <c r="G329" i="20"/>
  <c r="J329" i="20" s="1"/>
  <c r="F329" i="20"/>
  <c r="C329" i="20" a="1"/>
  <c r="C329" i="20" s="1"/>
  <c r="G328" i="20"/>
  <c r="J328" i="20" s="1"/>
  <c r="F328" i="20"/>
  <c r="C328" i="20" a="1"/>
  <c r="C328" i="20" s="1"/>
  <c r="G327" i="20"/>
  <c r="H327" i="20" s="1"/>
  <c r="F327" i="20"/>
  <c r="C327" i="20" a="1"/>
  <c r="C327" i="20" s="1"/>
  <c r="G326" i="20"/>
  <c r="F326" i="20"/>
  <c r="C326" i="20" a="1"/>
  <c r="C326" i="20" s="1"/>
  <c r="G325" i="20"/>
  <c r="F325" i="20"/>
  <c r="C325" i="20" a="1"/>
  <c r="C325" i="20" s="1"/>
  <c r="G324" i="20"/>
  <c r="F324" i="20"/>
  <c r="C324" i="20" a="1"/>
  <c r="C324" i="20" s="1"/>
  <c r="G323" i="20"/>
  <c r="F323" i="20"/>
  <c r="C323" i="20" a="1"/>
  <c r="C323" i="20" s="1"/>
  <c r="G322" i="20"/>
  <c r="J322" i="20" s="1"/>
  <c r="F322" i="20"/>
  <c r="C322" i="20" a="1"/>
  <c r="C322" i="20" s="1"/>
  <c r="G321" i="20"/>
  <c r="J321" i="20" s="1"/>
  <c r="F321" i="20"/>
  <c r="C321" i="20" a="1"/>
  <c r="C321" i="20" s="1"/>
  <c r="G320" i="20"/>
  <c r="I320" i="20" s="1"/>
  <c r="F320" i="20"/>
  <c r="C320" i="20" a="1"/>
  <c r="C320" i="20" s="1"/>
  <c r="G319" i="20"/>
  <c r="J319" i="20" s="1"/>
  <c r="F319" i="20"/>
  <c r="C319" i="20" a="1"/>
  <c r="C319" i="20" s="1"/>
  <c r="G318" i="20"/>
  <c r="F318" i="20"/>
  <c r="C318" i="20" a="1"/>
  <c r="C318" i="20" s="1"/>
  <c r="G317" i="20"/>
  <c r="F317" i="20"/>
  <c r="C317" i="20" a="1"/>
  <c r="C317" i="20" s="1"/>
  <c r="G316" i="20"/>
  <c r="F316" i="20"/>
  <c r="C316" i="20" a="1"/>
  <c r="C316" i="20" s="1"/>
  <c r="G315" i="20"/>
  <c r="F315" i="20"/>
  <c r="C315" i="20" a="1"/>
  <c r="C315" i="20" s="1"/>
  <c r="G314" i="20"/>
  <c r="J314" i="20" s="1"/>
  <c r="F314" i="20"/>
  <c r="C314" i="20" a="1"/>
  <c r="C314" i="20" s="1"/>
  <c r="G313" i="20"/>
  <c r="J313" i="20" s="1"/>
  <c r="F313" i="20"/>
  <c r="C313" i="20" a="1"/>
  <c r="C313" i="20" s="1"/>
  <c r="G312" i="20"/>
  <c r="H312" i="20" s="1"/>
  <c r="F312" i="20"/>
  <c r="C312" i="20" a="1"/>
  <c r="C312" i="20" s="1"/>
  <c r="G311" i="20"/>
  <c r="J311" i="20" s="1"/>
  <c r="F311" i="20"/>
  <c r="C311" i="20" a="1"/>
  <c r="C311" i="20" s="1"/>
  <c r="G310" i="20"/>
  <c r="F310" i="20"/>
  <c r="C310" i="20" a="1"/>
  <c r="C310" i="20" s="1"/>
  <c r="G309" i="20"/>
  <c r="F309" i="20"/>
  <c r="C309" i="20" a="1"/>
  <c r="C309" i="20" s="1"/>
  <c r="G308" i="20"/>
  <c r="F308" i="20"/>
  <c r="C308" i="20" a="1"/>
  <c r="C308" i="20" s="1"/>
  <c r="G307" i="20"/>
  <c r="H307" i="20" s="1"/>
  <c r="F307" i="20"/>
  <c r="C307" i="20" a="1"/>
  <c r="C307" i="20" s="1"/>
  <c r="G306" i="20"/>
  <c r="H306" i="20" s="1"/>
  <c r="F306" i="20"/>
  <c r="C306" i="20" a="1"/>
  <c r="C306" i="20" s="1"/>
  <c r="G305" i="20"/>
  <c r="F305" i="20"/>
  <c r="C305" i="20" a="1"/>
  <c r="C305" i="20" s="1"/>
  <c r="G304" i="20"/>
  <c r="F304" i="20"/>
  <c r="C304" i="20" a="1"/>
  <c r="C304" i="20" s="1"/>
  <c r="G303" i="20"/>
  <c r="F303" i="20"/>
  <c r="C303" i="20" a="1"/>
  <c r="C303" i="20" s="1"/>
  <c r="G302" i="20"/>
  <c r="F302" i="20"/>
  <c r="C302" i="20" a="1"/>
  <c r="C302" i="20" s="1"/>
  <c r="G301" i="20"/>
  <c r="F301" i="20"/>
  <c r="C301" i="20" a="1"/>
  <c r="C301" i="20" s="1"/>
  <c r="G300" i="20"/>
  <c r="F300" i="20"/>
  <c r="D300" i="20"/>
  <c r="C300" i="20" a="1"/>
  <c r="C300" i="20" s="1"/>
  <c r="G299" i="20"/>
  <c r="F299" i="20"/>
  <c r="D299" i="20"/>
  <c r="C299" i="20" a="1"/>
  <c r="C299" i="20" s="1"/>
  <c r="G298" i="20"/>
  <c r="H298" i="20" s="1"/>
  <c r="F298" i="20"/>
  <c r="D298" i="20"/>
  <c r="C298" i="20" a="1"/>
  <c r="C298" i="20" s="1"/>
  <c r="G297" i="20"/>
  <c r="F297" i="20"/>
  <c r="D297" i="20"/>
  <c r="C297" i="20" a="1"/>
  <c r="C297" i="20" s="1"/>
  <c r="G296" i="20"/>
  <c r="F296" i="20"/>
  <c r="D296" i="20"/>
  <c r="C296" i="20" a="1"/>
  <c r="C296" i="20" s="1"/>
  <c r="G295" i="20"/>
  <c r="F295" i="20"/>
  <c r="D295" i="20"/>
  <c r="C295" i="20" a="1"/>
  <c r="C295" i="20" s="1"/>
  <c r="G294" i="20"/>
  <c r="H294" i="20" s="1"/>
  <c r="F294" i="20"/>
  <c r="D294" i="20"/>
  <c r="C294" i="20" a="1"/>
  <c r="C294" i="20" s="1"/>
  <c r="G293" i="20"/>
  <c r="F293" i="20"/>
  <c r="D293" i="20"/>
  <c r="C293" i="20" a="1"/>
  <c r="C293" i="20" s="1"/>
  <c r="G292" i="20"/>
  <c r="F292" i="20"/>
  <c r="D292" i="20"/>
  <c r="C292" i="20" a="1"/>
  <c r="C292" i="20" s="1"/>
  <c r="G291" i="20"/>
  <c r="F291" i="20"/>
  <c r="D291" i="20"/>
  <c r="C291" i="20" a="1"/>
  <c r="C291" i="20" s="1"/>
  <c r="G290" i="20"/>
  <c r="H290" i="20" s="1"/>
  <c r="F290" i="20"/>
  <c r="D290" i="20"/>
  <c r="C290" i="20" a="1"/>
  <c r="C290" i="20" s="1"/>
  <c r="G289" i="20"/>
  <c r="F289" i="20"/>
  <c r="D289" i="20"/>
  <c r="C289" i="20" a="1"/>
  <c r="C289" i="20" s="1"/>
  <c r="G288" i="20"/>
  <c r="F288" i="20"/>
  <c r="D288" i="20"/>
  <c r="C288" i="20" a="1"/>
  <c r="C288" i="20" s="1"/>
  <c r="G287" i="20"/>
  <c r="F287" i="20"/>
  <c r="D287" i="20"/>
  <c r="C287" i="20" a="1"/>
  <c r="C287" i="20" s="1"/>
  <c r="G286" i="20"/>
  <c r="H286" i="20" s="1"/>
  <c r="F286" i="20"/>
  <c r="D286" i="20"/>
  <c r="C286" i="20" a="1"/>
  <c r="C286" i="20" s="1"/>
  <c r="G285" i="20"/>
  <c r="F285" i="20"/>
  <c r="D285" i="20"/>
  <c r="C285" i="20" a="1"/>
  <c r="C285" i="20" s="1"/>
  <c r="G284" i="20"/>
  <c r="F284" i="20"/>
  <c r="D284" i="20"/>
  <c r="C284" i="20" a="1"/>
  <c r="C284" i="20" s="1"/>
  <c r="G283" i="20"/>
  <c r="F283" i="20"/>
  <c r="D283" i="20"/>
  <c r="C283" i="20" a="1"/>
  <c r="C283" i="20" s="1"/>
  <c r="G282" i="20"/>
  <c r="H282" i="20" s="1"/>
  <c r="F282" i="20"/>
  <c r="D282" i="20"/>
  <c r="C282" i="20" a="1"/>
  <c r="C282" i="20" s="1"/>
  <c r="G281" i="20"/>
  <c r="F281" i="20"/>
  <c r="D281" i="20"/>
  <c r="C281" i="20" a="1"/>
  <c r="C281" i="20" s="1"/>
  <c r="G280" i="20"/>
  <c r="F280" i="20"/>
  <c r="D280" i="20"/>
  <c r="C280" i="20" a="1"/>
  <c r="C280" i="20" s="1"/>
  <c r="G279" i="20"/>
  <c r="F279" i="20"/>
  <c r="D279" i="20"/>
  <c r="C279" i="20" a="1"/>
  <c r="C279" i="20" s="1"/>
  <c r="G278" i="20"/>
  <c r="H278" i="20" s="1"/>
  <c r="F278" i="20"/>
  <c r="D278" i="20"/>
  <c r="C278" i="20" a="1"/>
  <c r="C278" i="20" s="1"/>
  <c r="G277" i="20"/>
  <c r="F277" i="20"/>
  <c r="D277" i="20"/>
  <c r="C277" i="20" a="1"/>
  <c r="C277" i="20" s="1"/>
  <c r="G276" i="20"/>
  <c r="F276" i="20"/>
  <c r="D276" i="20"/>
  <c r="C276" i="20" a="1"/>
  <c r="C276" i="20" s="1"/>
  <c r="G275" i="20"/>
  <c r="F275" i="20"/>
  <c r="D275" i="20"/>
  <c r="C275" i="20" a="1"/>
  <c r="C275" i="20" s="1"/>
  <c r="G274" i="20"/>
  <c r="H274" i="20" s="1"/>
  <c r="F274" i="20"/>
  <c r="D274" i="20"/>
  <c r="C274" i="20" a="1"/>
  <c r="C274" i="20" s="1"/>
  <c r="G273" i="20"/>
  <c r="F273" i="20"/>
  <c r="D273" i="20"/>
  <c r="C273" i="20" a="1"/>
  <c r="C273" i="20" s="1"/>
  <c r="G272" i="20"/>
  <c r="F272" i="20"/>
  <c r="D272" i="20"/>
  <c r="C272" i="20" a="1"/>
  <c r="C272" i="20" s="1"/>
  <c r="G271" i="20"/>
  <c r="F271" i="20"/>
  <c r="D271" i="20"/>
  <c r="C271" i="20" a="1"/>
  <c r="C271" i="20" s="1"/>
  <c r="G270" i="20"/>
  <c r="H270" i="20" s="1"/>
  <c r="F270" i="20"/>
  <c r="D270" i="20"/>
  <c r="C270" i="20" a="1"/>
  <c r="C270" i="20" s="1"/>
  <c r="G269" i="20"/>
  <c r="F269" i="20"/>
  <c r="D269" i="20"/>
  <c r="C269" i="20" a="1"/>
  <c r="C269" i="20" s="1"/>
  <c r="G268" i="20"/>
  <c r="F268" i="20"/>
  <c r="D268" i="20"/>
  <c r="C268" i="20" a="1"/>
  <c r="C268" i="20" s="1"/>
  <c r="G267" i="20"/>
  <c r="F267" i="20"/>
  <c r="D267" i="20"/>
  <c r="C267" i="20" a="1"/>
  <c r="C267" i="20" s="1"/>
  <c r="G266" i="20"/>
  <c r="H266" i="20" s="1"/>
  <c r="F266" i="20"/>
  <c r="D266" i="20"/>
  <c r="C266" i="20" a="1"/>
  <c r="C266" i="20" s="1"/>
  <c r="G265" i="20"/>
  <c r="F265" i="20"/>
  <c r="D265" i="20"/>
  <c r="C265" i="20" a="1"/>
  <c r="C265" i="20" s="1"/>
  <c r="G264" i="20"/>
  <c r="F264" i="20"/>
  <c r="D264" i="20"/>
  <c r="C264" i="20" a="1"/>
  <c r="C264" i="20" s="1"/>
  <c r="G263" i="20"/>
  <c r="F263" i="20"/>
  <c r="D263" i="20"/>
  <c r="C263" i="20" a="1"/>
  <c r="C263" i="20" s="1"/>
  <c r="G262" i="20"/>
  <c r="H262" i="20" s="1"/>
  <c r="F262" i="20"/>
  <c r="D262" i="20"/>
  <c r="C262" i="20" a="1"/>
  <c r="C262" i="20" s="1"/>
  <c r="G261" i="20"/>
  <c r="F261" i="20"/>
  <c r="D261" i="20"/>
  <c r="C261" i="20" a="1"/>
  <c r="C261" i="20" s="1"/>
  <c r="G260" i="20"/>
  <c r="F260" i="20"/>
  <c r="D260" i="20"/>
  <c r="C260" i="20" a="1"/>
  <c r="C260" i="20" s="1"/>
  <c r="G259" i="20"/>
  <c r="F259" i="20"/>
  <c r="D259" i="20"/>
  <c r="C259" i="20" a="1"/>
  <c r="C259" i="20" s="1"/>
  <c r="G258" i="20"/>
  <c r="H258" i="20" s="1"/>
  <c r="F258" i="20"/>
  <c r="D258" i="20"/>
  <c r="C258" i="20" a="1"/>
  <c r="C258" i="20" s="1"/>
  <c r="G257" i="20"/>
  <c r="F257" i="20"/>
  <c r="D257" i="20"/>
  <c r="C257" i="20" a="1"/>
  <c r="C257" i="20" s="1"/>
  <c r="G256" i="20"/>
  <c r="F256" i="20"/>
  <c r="D256" i="20"/>
  <c r="C256" i="20" a="1"/>
  <c r="C256" i="20" s="1"/>
  <c r="G255" i="20"/>
  <c r="F255" i="20"/>
  <c r="D255" i="20"/>
  <c r="C255" i="20" a="1"/>
  <c r="C255" i="20" s="1"/>
  <c r="G254" i="20"/>
  <c r="H254" i="20" s="1"/>
  <c r="F254" i="20"/>
  <c r="D254" i="20"/>
  <c r="C254" i="20" a="1"/>
  <c r="C254" i="20" s="1"/>
  <c r="G253" i="20"/>
  <c r="F253" i="20"/>
  <c r="D253" i="20"/>
  <c r="C253" i="20" a="1"/>
  <c r="C253" i="20" s="1"/>
  <c r="G252" i="20"/>
  <c r="F252" i="20"/>
  <c r="D252" i="20"/>
  <c r="C252" i="20" a="1"/>
  <c r="C252" i="20" s="1"/>
  <c r="G251" i="20"/>
  <c r="F251" i="20"/>
  <c r="D251" i="20"/>
  <c r="C251" i="20" a="1"/>
  <c r="C251" i="20" s="1"/>
  <c r="G250" i="20"/>
  <c r="H250" i="20" s="1"/>
  <c r="F250" i="20"/>
  <c r="D250" i="20"/>
  <c r="C250" i="20" a="1"/>
  <c r="C250" i="20" s="1"/>
  <c r="G249" i="20"/>
  <c r="F249" i="20"/>
  <c r="D249" i="20"/>
  <c r="C249" i="20" a="1"/>
  <c r="C249" i="20" s="1"/>
  <c r="G248" i="20"/>
  <c r="F248" i="20"/>
  <c r="D248" i="20"/>
  <c r="C248" i="20" a="1"/>
  <c r="C248" i="20" s="1"/>
  <c r="G247" i="20"/>
  <c r="F247" i="20"/>
  <c r="D247" i="20"/>
  <c r="C247" i="20" a="1"/>
  <c r="C247" i="20" s="1"/>
  <c r="G246" i="20"/>
  <c r="H246" i="20" s="1"/>
  <c r="F246" i="20"/>
  <c r="D246" i="20"/>
  <c r="C246" i="20" a="1"/>
  <c r="C246" i="20" s="1"/>
  <c r="G245" i="20"/>
  <c r="F245" i="20"/>
  <c r="D245" i="20"/>
  <c r="C245" i="20" a="1"/>
  <c r="C245" i="20" s="1"/>
  <c r="G244" i="20"/>
  <c r="F244" i="20"/>
  <c r="D244" i="20"/>
  <c r="C244" i="20" a="1"/>
  <c r="C244" i="20" s="1"/>
  <c r="G243" i="20"/>
  <c r="J243" i="20" s="1"/>
  <c r="F243" i="20"/>
  <c r="D243" i="20"/>
  <c r="C243" i="20" a="1"/>
  <c r="C243" i="20" s="1"/>
  <c r="G242" i="20"/>
  <c r="J242" i="20" s="1"/>
  <c r="F242" i="20"/>
  <c r="D242" i="20"/>
  <c r="C242" i="20" a="1"/>
  <c r="C242" i="20" s="1"/>
  <c r="G241" i="20"/>
  <c r="F241" i="20"/>
  <c r="D241" i="20"/>
  <c r="C241" i="20" a="1"/>
  <c r="C241" i="20" s="1"/>
  <c r="G240" i="20"/>
  <c r="H240" i="20" s="1"/>
  <c r="F240" i="20"/>
  <c r="D240" i="20"/>
  <c r="C240" i="20" a="1"/>
  <c r="C240" i="20" s="1"/>
  <c r="G239" i="20"/>
  <c r="J239" i="20" s="1"/>
  <c r="F239" i="20"/>
  <c r="D239" i="20"/>
  <c r="C239" i="20" a="1"/>
  <c r="C239" i="20" s="1"/>
  <c r="G238" i="20"/>
  <c r="H238" i="20" s="1"/>
  <c r="F238" i="20"/>
  <c r="D238" i="20"/>
  <c r="C238" i="20" a="1"/>
  <c r="C238" i="20" s="1"/>
  <c r="G237" i="20"/>
  <c r="F237" i="20"/>
  <c r="D237" i="20"/>
  <c r="C237" i="20" a="1"/>
  <c r="C237" i="20" s="1"/>
  <c r="G236" i="20"/>
  <c r="F236" i="20"/>
  <c r="D236" i="20"/>
  <c r="C236" i="20" a="1"/>
  <c r="C236" i="20" s="1"/>
  <c r="G235" i="20"/>
  <c r="J235" i="20" s="1"/>
  <c r="F235" i="20"/>
  <c r="D235" i="20"/>
  <c r="C235" i="20" a="1"/>
  <c r="C235" i="20" s="1"/>
  <c r="G234" i="20"/>
  <c r="H234" i="20" s="1"/>
  <c r="F234" i="20"/>
  <c r="D234" i="20"/>
  <c r="C234" i="20" a="1"/>
  <c r="C234" i="20" s="1"/>
  <c r="G233" i="20"/>
  <c r="F233" i="20"/>
  <c r="D233" i="20"/>
  <c r="C233" i="20" a="1"/>
  <c r="C233" i="20" s="1"/>
  <c r="G232" i="20"/>
  <c r="F232" i="20"/>
  <c r="D232" i="20"/>
  <c r="C232" i="20" a="1"/>
  <c r="C232" i="20" s="1"/>
  <c r="G231" i="20"/>
  <c r="J231" i="20" s="1"/>
  <c r="F231" i="20"/>
  <c r="D231" i="20"/>
  <c r="C231" i="20" a="1"/>
  <c r="C231" i="20" s="1"/>
  <c r="G230" i="20"/>
  <c r="H230" i="20" s="1"/>
  <c r="F230" i="20"/>
  <c r="D230" i="20"/>
  <c r="C230" i="20" a="1"/>
  <c r="C230" i="20" s="1"/>
  <c r="G229" i="20"/>
  <c r="F229" i="20"/>
  <c r="D229" i="20"/>
  <c r="C229" i="20" a="1"/>
  <c r="C229" i="20" s="1"/>
  <c r="G228" i="20"/>
  <c r="F228" i="20"/>
  <c r="D228" i="20"/>
  <c r="C228" i="20" a="1"/>
  <c r="C228" i="20" s="1"/>
  <c r="G227" i="20"/>
  <c r="I227" i="20" s="1"/>
  <c r="F227" i="20"/>
  <c r="D227" i="20"/>
  <c r="C227" i="20" a="1"/>
  <c r="C227" i="20" s="1"/>
  <c r="G226" i="20"/>
  <c r="F226" i="20"/>
  <c r="D226" i="20"/>
  <c r="C226" i="20" a="1"/>
  <c r="C226" i="20" s="1"/>
  <c r="G225" i="20"/>
  <c r="F225" i="20"/>
  <c r="D225" i="20"/>
  <c r="C225" i="20" a="1"/>
  <c r="C225" i="20" s="1"/>
  <c r="G224" i="20"/>
  <c r="H224" i="20" s="1"/>
  <c r="F224" i="20"/>
  <c r="D224" i="20"/>
  <c r="C224" i="20" a="1"/>
  <c r="C224" i="20" s="1"/>
  <c r="G223" i="20"/>
  <c r="H223" i="20" s="1"/>
  <c r="F223" i="20"/>
  <c r="D223" i="20"/>
  <c r="C223" i="20" a="1"/>
  <c r="C223" i="20" s="1"/>
  <c r="G222" i="20"/>
  <c r="J222" i="20" s="1"/>
  <c r="F222" i="20"/>
  <c r="D222" i="20"/>
  <c r="C222" i="20" a="1"/>
  <c r="C222" i="20" s="1"/>
  <c r="G221" i="20"/>
  <c r="F221" i="20"/>
  <c r="D221" i="20"/>
  <c r="C221" i="20" a="1"/>
  <c r="C221" i="20" s="1"/>
  <c r="G220" i="20"/>
  <c r="F220" i="20"/>
  <c r="D220" i="20"/>
  <c r="C220" i="20" a="1"/>
  <c r="C220" i="20" s="1"/>
  <c r="G219" i="20"/>
  <c r="H219" i="20" s="1"/>
  <c r="F219" i="20"/>
  <c r="D219" i="20"/>
  <c r="C219" i="20" a="1"/>
  <c r="C219" i="20" s="1"/>
  <c r="G218" i="20"/>
  <c r="F218" i="20"/>
  <c r="D218" i="20"/>
  <c r="C218" i="20" a="1"/>
  <c r="C218" i="20" s="1"/>
  <c r="G217" i="20"/>
  <c r="F217" i="20"/>
  <c r="D217" i="20"/>
  <c r="C217" i="20" a="1"/>
  <c r="C217" i="20" s="1"/>
  <c r="G216" i="20"/>
  <c r="F216" i="20"/>
  <c r="D216" i="20"/>
  <c r="C216" i="20" a="1"/>
  <c r="C216" i="20" s="1"/>
  <c r="G215" i="20"/>
  <c r="F215" i="20"/>
  <c r="D215" i="20"/>
  <c r="C215" i="20" a="1"/>
  <c r="C215" i="20" s="1"/>
  <c r="G214" i="20"/>
  <c r="J214" i="20" s="1"/>
  <c r="F214" i="20"/>
  <c r="D214" i="20"/>
  <c r="C214" i="20" a="1"/>
  <c r="C214" i="20" s="1"/>
  <c r="G213" i="20"/>
  <c r="F213" i="20"/>
  <c r="D213" i="20"/>
  <c r="C213" i="20" a="1"/>
  <c r="C213" i="20" s="1"/>
  <c r="G212" i="20"/>
  <c r="F212" i="20"/>
  <c r="D212" i="20"/>
  <c r="C212" i="20" a="1"/>
  <c r="C212" i="20" s="1"/>
  <c r="G211" i="20"/>
  <c r="F211" i="20"/>
  <c r="D211" i="20"/>
  <c r="C211" i="20" a="1"/>
  <c r="C211" i="20" s="1"/>
  <c r="G210" i="20"/>
  <c r="J210" i="20" s="1"/>
  <c r="F210" i="20"/>
  <c r="D210" i="20"/>
  <c r="C210" i="20" a="1"/>
  <c r="C210" i="20" s="1"/>
  <c r="G209" i="20"/>
  <c r="F209" i="20"/>
  <c r="D209" i="20"/>
  <c r="C209" i="20" a="1"/>
  <c r="C209" i="20" s="1"/>
  <c r="G208" i="20"/>
  <c r="H208" i="20" s="1"/>
  <c r="F208" i="20"/>
  <c r="D208" i="20"/>
  <c r="C208" i="20" a="1"/>
  <c r="C208" i="20" s="1"/>
  <c r="G207" i="20"/>
  <c r="H207" i="20" s="1"/>
  <c r="F207" i="20"/>
  <c r="D207" i="20"/>
  <c r="C207" i="20" a="1"/>
  <c r="C207" i="20" s="1"/>
  <c r="G206" i="20"/>
  <c r="H206" i="20" s="1"/>
  <c r="F206" i="20"/>
  <c r="D206" i="20"/>
  <c r="C206" i="20" a="1"/>
  <c r="C206" i="20" s="1"/>
  <c r="G205" i="20"/>
  <c r="F205" i="20"/>
  <c r="D205" i="20"/>
  <c r="C205" i="20" a="1"/>
  <c r="C205" i="20" s="1"/>
  <c r="G204" i="20"/>
  <c r="F204" i="20"/>
  <c r="D204" i="20"/>
  <c r="C204" i="20" a="1"/>
  <c r="C204" i="20" s="1"/>
  <c r="G203" i="20"/>
  <c r="J203" i="20" s="1"/>
  <c r="F203" i="20"/>
  <c r="D203" i="20"/>
  <c r="C203" i="20" a="1"/>
  <c r="C203" i="20" s="1"/>
  <c r="G202" i="20"/>
  <c r="J202" i="20" s="1"/>
  <c r="F202" i="20"/>
  <c r="D202" i="20"/>
  <c r="C202" i="20" a="1"/>
  <c r="C202" i="20" s="1"/>
  <c r="G201" i="20"/>
  <c r="F201" i="20"/>
  <c r="D201" i="20"/>
  <c r="C201" i="20" a="1"/>
  <c r="C201" i="20" s="1"/>
  <c r="G200" i="20"/>
  <c r="F200" i="20"/>
  <c r="D200" i="20"/>
  <c r="C200" i="20" a="1"/>
  <c r="C200" i="20" s="1"/>
  <c r="G199" i="20"/>
  <c r="I199" i="20" s="1"/>
  <c r="F199" i="20"/>
  <c r="D199" i="20"/>
  <c r="C199" i="20" a="1"/>
  <c r="C199" i="20" s="1"/>
  <c r="G198" i="20"/>
  <c r="I198" i="20" s="1"/>
  <c r="F198" i="20"/>
  <c r="D198" i="20"/>
  <c r="C198" i="20" a="1"/>
  <c r="C198" i="20" s="1"/>
  <c r="G197" i="20"/>
  <c r="F197" i="20"/>
  <c r="D197" i="20"/>
  <c r="C197" i="20" a="1"/>
  <c r="C197" i="20" s="1"/>
  <c r="G196" i="20"/>
  <c r="H196" i="20" s="1"/>
  <c r="F196" i="20"/>
  <c r="D196" i="20"/>
  <c r="C196" i="20" a="1"/>
  <c r="C196" i="20" s="1"/>
  <c r="G195" i="20"/>
  <c r="J195" i="20" s="1"/>
  <c r="F195" i="20"/>
  <c r="D195" i="20"/>
  <c r="C195" i="20" a="1"/>
  <c r="C195" i="20" s="1"/>
  <c r="G194" i="20"/>
  <c r="H194" i="20" s="1"/>
  <c r="F194" i="20"/>
  <c r="D194" i="20"/>
  <c r="C194" i="20" a="1"/>
  <c r="C194" i="20" s="1"/>
  <c r="G193" i="20"/>
  <c r="F193" i="20"/>
  <c r="D193" i="20"/>
  <c r="C193" i="20" a="1"/>
  <c r="C193" i="20" s="1"/>
  <c r="G192" i="20"/>
  <c r="H192" i="20" s="1"/>
  <c r="F192" i="20"/>
  <c r="D192" i="20"/>
  <c r="C192" i="20" a="1"/>
  <c r="C192" i="20" s="1"/>
  <c r="G191" i="20"/>
  <c r="H191" i="20" s="1"/>
  <c r="F191" i="20"/>
  <c r="D191" i="20"/>
  <c r="C191" i="20" a="1"/>
  <c r="C191" i="20" s="1"/>
  <c r="G190" i="20"/>
  <c r="H190" i="20" s="1"/>
  <c r="F190" i="20"/>
  <c r="D190" i="20"/>
  <c r="C190" i="20" a="1"/>
  <c r="C190" i="20" s="1"/>
  <c r="G189" i="20"/>
  <c r="F189" i="20"/>
  <c r="D189" i="20"/>
  <c r="C189" i="20" a="1"/>
  <c r="C189" i="20" s="1"/>
  <c r="G188" i="20"/>
  <c r="F188" i="20"/>
  <c r="D188" i="20"/>
  <c r="C188" i="20" a="1"/>
  <c r="C188" i="20" s="1"/>
  <c r="G187" i="20"/>
  <c r="H187" i="20" s="1"/>
  <c r="F187" i="20"/>
  <c r="D187" i="20"/>
  <c r="C187" i="20" a="1"/>
  <c r="C187" i="20" s="1"/>
  <c r="G186" i="20"/>
  <c r="H186" i="20" s="1"/>
  <c r="F186" i="20"/>
  <c r="D186" i="20"/>
  <c r="C186" i="20" a="1"/>
  <c r="C186" i="20" s="1"/>
  <c r="G185" i="20"/>
  <c r="F185" i="20"/>
  <c r="D185" i="20"/>
  <c r="C185" i="20" a="1"/>
  <c r="C185" i="20" s="1"/>
  <c r="G184" i="20"/>
  <c r="F184" i="20"/>
  <c r="D184" i="20"/>
  <c r="C184" i="20" a="1"/>
  <c r="C184" i="20" s="1"/>
  <c r="G183" i="20"/>
  <c r="F183" i="20"/>
  <c r="D183" i="20"/>
  <c r="C183" i="20" a="1"/>
  <c r="C183" i="20" s="1"/>
  <c r="G182" i="20"/>
  <c r="H182" i="20" s="1"/>
  <c r="F182" i="20"/>
  <c r="D182" i="20"/>
  <c r="C182" i="20" a="1"/>
  <c r="C182" i="20" s="1"/>
  <c r="G181" i="20"/>
  <c r="J181" i="20" s="1"/>
  <c r="F181" i="20"/>
  <c r="D181" i="20"/>
  <c r="C181" i="20" a="1"/>
  <c r="C181" i="20" s="1"/>
  <c r="G180" i="20"/>
  <c r="F180" i="20"/>
  <c r="D180" i="20"/>
  <c r="C180" i="20" a="1"/>
  <c r="C180" i="20" s="1"/>
  <c r="G179" i="20"/>
  <c r="I179" i="20" s="1"/>
  <c r="F179" i="20"/>
  <c r="D179" i="20"/>
  <c r="C179" i="20" a="1"/>
  <c r="C179" i="20" s="1"/>
  <c r="G178" i="20"/>
  <c r="H178" i="20" s="1"/>
  <c r="F178" i="20"/>
  <c r="D178" i="20"/>
  <c r="C178" i="20" a="1"/>
  <c r="C178" i="20" s="1"/>
  <c r="G177" i="20"/>
  <c r="J177" i="20" s="1"/>
  <c r="F177" i="20"/>
  <c r="D177" i="20"/>
  <c r="C177" i="20" a="1"/>
  <c r="C177" i="20" s="1"/>
  <c r="G176" i="20"/>
  <c r="F176" i="20"/>
  <c r="D176" i="20"/>
  <c r="C176" i="20" a="1"/>
  <c r="C176" i="20" s="1"/>
  <c r="G175" i="20"/>
  <c r="F175" i="20"/>
  <c r="D175" i="20"/>
  <c r="C175" i="20" a="1"/>
  <c r="C175" i="20" s="1"/>
  <c r="G174" i="20"/>
  <c r="J174" i="20" s="1"/>
  <c r="F174" i="20"/>
  <c r="D174" i="20"/>
  <c r="C174" i="20" a="1"/>
  <c r="C174" i="20" s="1"/>
  <c r="G173" i="20"/>
  <c r="H173" i="20" s="1"/>
  <c r="F173" i="20"/>
  <c r="D173" i="20"/>
  <c r="C173" i="20" a="1"/>
  <c r="C173" i="20" s="1"/>
  <c r="G172" i="20"/>
  <c r="F172" i="20"/>
  <c r="D172" i="20"/>
  <c r="C172" i="20" a="1"/>
  <c r="C172" i="20" s="1"/>
  <c r="G171" i="20"/>
  <c r="F171" i="20"/>
  <c r="D171" i="20"/>
  <c r="C171" i="20" a="1"/>
  <c r="C171" i="20" s="1"/>
  <c r="G170" i="20"/>
  <c r="F170" i="20"/>
  <c r="D170" i="20"/>
  <c r="C170" i="20" a="1"/>
  <c r="C170" i="20" s="1"/>
  <c r="G169" i="20"/>
  <c r="H169" i="20" s="1"/>
  <c r="F169" i="20"/>
  <c r="D169" i="20"/>
  <c r="C169" i="20" a="1"/>
  <c r="C169" i="20" s="1"/>
  <c r="G168" i="20"/>
  <c r="F168" i="20"/>
  <c r="D168" i="20"/>
  <c r="C168" i="20" a="1"/>
  <c r="C168" i="20" s="1"/>
  <c r="G167" i="20"/>
  <c r="I167" i="20" s="1"/>
  <c r="F167" i="20"/>
  <c r="D167" i="20"/>
  <c r="C167" i="20" a="1"/>
  <c r="C167" i="20" s="1"/>
  <c r="G166" i="20"/>
  <c r="J166" i="20" s="1"/>
  <c r="F166" i="20"/>
  <c r="D166" i="20"/>
  <c r="C166" i="20" a="1"/>
  <c r="C166" i="20" s="1"/>
  <c r="G165" i="20"/>
  <c r="H165" i="20" s="1"/>
  <c r="F165" i="20"/>
  <c r="D165" i="20"/>
  <c r="C165" i="20" a="1"/>
  <c r="C165" i="20" s="1"/>
  <c r="G164" i="20"/>
  <c r="F164" i="20"/>
  <c r="D164" i="20"/>
  <c r="C164" i="20" a="1"/>
  <c r="C164" i="20" s="1"/>
  <c r="G163" i="20"/>
  <c r="F163" i="20"/>
  <c r="D163" i="20"/>
  <c r="C163" i="20" a="1"/>
  <c r="C163" i="20" s="1"/>
  <c r="G162" i="20"/>
  <c r="I162" i="20" s="1"/>
  <c r="F162" i="20"/>
  <c r="D162" i="20"/>
  <c r="C162" i="20" a="1"/>
  <c r="C162" i="20" s="1"/>
  <c r="G161" i="20"/>
  <c r="I161" i="20" s="1"/>
  <c r="F161" i="20"/>
  <c r="D161" i="20"/>
  <c r="C161" i="20" a="1"/>
  <c r="C161" i="20" s="1"/>
  <c r="G160" i="20"/>
  <c r="F160" i="20"/>
  <c r="D160" i="20"/>
  <c r="C160" i="20" a="1"/>
  <c r="C160" i="20" s="1"/>
  <c r="G159" i="20"/>
  <c r="H159" i="20" s="1"/>
  <c r="F159" i="20"/>
  <c r="D159" i="20"/>
  <c r="C159" i="20" a="1"/>
  <c r="C159" i="20" s="1"/>
  <c r="G158" i="20"/>
  <c r="J158" i="20" s="1"/>
  <c r="F158" i="20"/>
  <c r="D158" i="20"/>
  <c r="C158" i="20" a="1"/>
  <c r="C158" i="20" s="1"/>
  <c r="G157" i="20"/>
  <c r="H157" i="20" s="1"/>
  <c r="F157" i="20"/>
  <c r="D157" i="20"/>
  <c r="C157" i="20" a="1"/>
  <c r="C157" i="20" s="1"/>
  <c r="G156" i="20"/>
  <c r="F156" i="20"/>
  <c r="D156" i="20"/>
  <c r="C156" i="20" a="1"/>
  <c r="C156" i="20" s="1"/>
  <c r="G155" i="20"/>
  <c r="F155" i="20"/>
  <c r="D155" i="20"/>
  <c r="C155" i="20" a="1"/>
  <c r="C155" i="20" s="1"/>
  <c r="G154" i="20"/>
  <c r="J154" i="20" s="1"/>
  <c r="F154" i="20"/>
  <c r="D154" i="20"/>
  <c r="C154" i="20" a="1"/>
  <c r="C154" i="20" s="1"/>
  <c r="G153" i="20"/>
  <c r="H153" i="20" s="1"/>
  <c r="F153" i="20"/>
  <c r="D153" i="20"/>
  <c r="C153" i="20" a="1"/>
  <c r="C153" i="20" s="1"/>
  <c r="G152" i="20"/>
  <c r="F152" i="20"/>
  <c r="D152" i="20"/>
  <c r="C152" i="20" a="1"/>
  <c r="C152" i="20" s="1"/>
  <c r="G151" i="20"/>
  <c r="F151" i="20"/>
  <c r="D151" i="20"/>
  <c r="C151" i="20" a="1"/>
  <c r="C151" i="20" s="1"/>
  <c r="G150" i="20"/>
  <c r="H150" i="20" s="1"/>
  <c r="F150" i="20"/>
  <c r="D150" i="20"/>
  <c r="C150" i="20" a="1"/>
  <c r="C150" i="20" s="1"/>
  <c r="G149" i="20"/>
  <c r="H149" i="20" s="1"/>
  <c r="F149" i="20"/>
  <c r="D149" i="20"/>
  <c r="C149" i="20" a="1"/>
  <c r="C149" i="20" s="1"/>
  <c r="G148" i="20"/>
  <c r="F148" i="20"/>
  <c r="D148" i="20"/>
  <c r="C148" i="20" a="1"/>
  <c r="C148" i="20" s="1"/>
  <c r="G147" i="20"/>
  <c r="I147" i="20" s="1"/>
  <c r="F147" i="20"/>
  <c r="D147" i="20"/>
  <c r="C147" i="20" a="1"/>
  <c r="C147" i="20" s="1"/>
  <c r="G146" i="20"/>
  <c r="F146" i="20"/>
  <c r="D146" i="20"/>
  <c r="C146" i="20" a="1"/>
  <c r="C146" i="20" s="1"/>
  <c r="G145" i="20"/>
  <c r="F145" i="20"/>
  <c r="D145" i="20"/>
  <c r="C145" i="20" a="1"/>
  <c r="C145" i="20" s="1"/>
  <c r="G144" i="20"/>
  <c r="F144" i="20"/>
  <c r="D144" i="20"/>
  <c r="C144" i="20" a="1"/>
  <c r="C144" i="20" s="1"/>
  <c r="G143" i="20"/>
  <c r="F143" i="20"/>
  <c r="D143" i="20"/>
  <c r="C143" i="20" a="1"/>
  <c r="C143" i="20" s="1"/>
  <c r="G142" i="20"/>
  <c r="F142" i="20"/>
  <c r="D142" i="20"/>
  <c r="C142" i="20" a="1"/>
  <c r="C142" i="20" s="1"/>
  <c r="G141" i="20"/>
  <c r="H141" i="20" s="1"/>
  <c r="F141" i="20"/>
  <c r="D141" i="20"/>
  <c r="C141" i="20" a="1"/>
  <c r="C141" i="20" s="1"/>
  <c r="G140" i="20"/>
  <c r="F140" i="20"/>
  <c r="D140" i="20"/>
  <c r="C140" i="20" a="1"/>
  <c r="C140" i="20" s="1"/>
  <c r="G139" i="20"/>
  <c r="F139" i="20"/>
  <c r="D139" i="20"/>
  <c r="C139" i="20" a="1"/>
  <c r="C139" i="20" s="1"/>
  <c r="G138" i="20"/>
  <c r="F138" i="20"/>
  <c r="D138" i="20"/>
  <c r="C138" i="20" a="1"/>
  <c r="C138" i="20" s="1"/>
  <c r="G137" i="20"/>
  <c r="F137" i="20"/>
  <c r="D137" i="20"/>
  <c r="C137" i="20" a="1"/>
  <c r="C137" i="20" s="1"/>
  <c r="G136" i="20"/>
  <c r="F136" i="20"/>
  <c r="D136" i="20"/>
  <c r="C136" i="20" a="1"/>
  <c r="C136" i="20" s="1"/>
  <c r="G135" i="20"/>
  <c r="F135" i="20"/>
  <c r="D135" i="20"/>
  <c r="C135" i="20" a="1"/>
  <c r="C135" i="20" s="1"/>
  <c r="G134" i="20"/>
  <c r="J134" i="20" s="1"/>
  <c r="F134" i="20"/>
  <c r="D134" i="20"/>
  <c r="C134" i="20" a="1"/>
  <c r="C134" i="20" s="1"/>
  <c r="G133" i="20"/>
  <c r="J133" i="20" s="1"/>
  <c r="F133" i="20"/>
  <c r="D133" i="20"/>
  <c r="C133" i="20" a="1"/>
  <c r="C133" i="20" s="1"/>
  <c r="G132" i="20"/>
  <c r="F132" i="20"/>
  <c r="D132" i="20"/>
  <c r="C132" i="20" a="1"/>
  <c r="C132" i="20" s="1"/>
  <c r="G131" i="20"/>
  <c r="H131" i="20" s="1"/>
  <c r="F131" i="20"/>
  <c r="D131" i="20"/>
  <c r="C131" i="20" a="1"/>
  <c r="C131" i="20" s="1"/>
  <c r="G130" i="20"/>
  <c r="J130" i="20" s="1"/>
  <c r="F130" i="20"/>
  <c r="D130" i="20"/>
  <c r="C130" i="20" a="1"/>
  <c r="C130" i="20" s="1"/>
  <c r="G129" i="20"/>
  <c r="H129" i="20" s="1"/>
  <c r="F129" i="20"/>
  <c r="D129" i="20"/>
  <c r="C129" i="20" a="1"/>
  <c r="C129" i="20" s="1"/>
  <c r="G128" i="20"/>
  <c r="F128" i="20"/>
  <c r="D128" i="20"/>
  <c r="C128" i="20" a="1"/>
  <c r="C128" i="20" s="1"/>
  <c r="G127" i="20"/>
  <c r="F127" i="20"/>
  <c r="D127" i="20"/>
  <c r="C127" i="20" a="1"/>
  <c r="C127" i="20" s="1"/>
  <c r="G126" i="20"/>
  <c r="J126" i="20" s="1"/>
  <c r="F126" i="20"/>
  <c r="D126" i="20"/>
  <c r="C126" i="20" a="1"/>
  <c r="C126" i="20" s="1"/>
  <c r="G125" i="20"/>
  <c r="H125" i="20" s="1"/>
  <c r="F125" i="20"/>
  <c r="D125" i="20"/>
  <c r="C125" i="20" a="1"/>
  <c r="C125" i="20" s="1"/>
  <c r="G124" i="20"/>
  <c r="F124" i="20"/>
  <c r="D124" i="20"/>
  <c r="C124" i="20" a="1"/>
  <c r="C124" i="20" s="1"/>
  <c r="G123" i="20"/>
  <c r="F123" i="20"/>
  <c r="D123" i="20"/>
  <c r="C123" i="20" a="1"/>
  <c r="C123" i="20" s="1"/>
  <c r="G122" i="20"/>
  <c r="J122" i="20" s="1"/>
  <c r="F122" i="20"/>
  <c r="D122" i="20"/>
  <c r="C122" i="20" a="1"/>
  <c r="C122" i="20" s="1"/>
  <c r="G121" i="20"/>
  <c r="F121" i="20"/>
  <c r="D121" i="20"/>
  <c r="C121" i="20" a="1"/>
  <c r="C121" i="20" s="1"/>
  <c r="G120" i="20"/>
  <c r="F120" i="20"/>
  <c r="D120" i="20"/>
  <c r="C120" i="20" a="1"/>
  <c r="C120" i="20" s="1"/>
  <c r="G119" i="20"/>
  <c r="F119" i="20"/>
  <c r="D119" i="20"/>
  <c r="C119" i="20" a="1"/>
  <c r="C119" i="20" s="1"/>
  <c r="G118" i="20"/>
  <c r="H118" i="20" s="1"/>
  <c r="F118" i="20"/>
  <c r="D118" i="20"/>
  <c r="C118" i="20" a="1"/>
  <c r="C118" i="20" s="1"/>
  <c r="G117" i="20"/>
  <c r="F117" i="20"/>
  <c r="D117" i="20"/>
  <c r="C117" i="20" a="1"/>
  <c r="C117" i="20" s="1"/>
  <c r="G116" i="20"/>
  <c r="F116" i="20"/>
  <c r="D116" i="20"/>
  <c r="C116" i="20" a="1"/>
  <c r="C116" i="20" s="1"/>
  <c r="G115" i="20"/>
  <c r="F115" i="20"/>
  <c r="D115" i="20"/>
  <c r="C115" i="20" a="1"/>
  <c r="C115" i="20" s="1"/>
  <c r="G114" i="20"/>
  <c r="H114" i="20" s="1"/>
  <c r="F114" i="20"/>
  <c r="D114" i="20"/>
  <c r="C114" i="20" a="1"/>
  <c r="C114" i="20" s="1"/>
  <c r="G113" i="20"/>
  <c r="H113" i="20" s="1"/>
  <c r="F113" i="20"/>
  <c r="D113" i="20"/>
  <c r="C113" i="20" a="1"/>
  <c r="C113" i="20" s="1"/>
  <c r="G112" i="20"/>
  <c r="F112" i="20"/>
  <c r="D112" i="20"/>
  <c r="C112" i="20" a="1"/>
  <c r="C112" i="20" s="1"/>
  <c r="G111" i="20"/>
  <c r="F111" i="20"/>
  <c r="D111" i="20"/>
  <c r="C111" i="20" a="1"/>
  <c r="C111" i="20" s="1"/>
  <c r="G110" i="20"/>
  <c r="J110" i="20" s="1"/>
  <c r="F110" i="20"/>
  <c r="D110" i="20"/>
  <c r="C110" i="20" a="1"/>
  <c r="C110" i="20" s="1"/>
  <c r="G109" i="20"/>
  <c r="J109" i="20" s="1"/>
  <c r="F109" i="20"/>
  <c r="D109" i="20"/>
  <c r="C109" i="20" a="1"/>
  <c r="C109" i="20" s="1"/>
  <c r="G108" i="20"/>
  <c r="F108" i="20"/>
  <c r="D108" i="20"/>
  <c r="C108" i="20" a="1"/>
  <c r="C108" i="20" s="1"/>
  <c r="G107" i="20"/>
  <c r="F107" i="20"/>
  <c r="D107" i="20"/>
  <c r="C107" i="20" a="1"/>
  <c r="C107" i="20" s="1"/>
  <c r="G106" i="20"/>
  <c r="J106" i="20" s="1"/>
  <c r="F106" i="20"/>
  <c r="D106" i="20"/>
  <c r="C106" i="20" a="1"/>
  <c r="C106" i="20" s="1"/>
  <c r="G105" i="20"/>
  <c r="J105" i="20" s="1"/>
  <c r="F105" i="20"/>
  <c r="D105" i="20"/>
  <c r="C105" i="20" a="1"/>
  <c r="C105" i="20" s="1"/>
  <c r="G104" i="20"/>
  <c r="F104" i="20"/>
  <c r="D104" i="20"/>
  <c r="C104" i="20" a="1"/>
  <c r="C104" i="20" s="1"/>
  <c r="G103" i="20"/>
  <c r="I103" i="20" s="1"/>
  <c r="F103" i="20"/>
  <c r="D103" i="20"/>
  <c r="C103" i="20" a="1"/>
  <c r="C103" i="20" s="1"/>
  <c r="G102" i="20"/>
  <c r="J102" i="20" s="1"/>
  <c r="F102" i="20"/>
  <c r="D102" i="20"/>
  <c r="C102" i="20" a="1"/>
  <c r="C102" i="20" s="1"/>
  <c r="G101" i="20"/>
  <c r="H101" i="20" s="1"/>
  <c r="F101" i="20"/>
  <c r="D101" i="20"/>
  <c r="C101" i="20" a="1"/>
  <c r="C101" i="20" s="1"/>
  <c r="G100" i="20"/>
  <c r="F100" i="20"/>
  <c r="D100" i="20"/>
  <c r="C100" i="20" a="1"/>
  <c r="C100" i="20" s="1"/>
  <c r="G99" i="20"/>
  <c r="F99" i="20"/>
  <c r="D99" i="20"/>
  <c r="C99" i="20" a="1"/>
  <c r="C99" i="20" s="1"/>
  <c r="G98" i="20"/>
  <c r="H98" i="20" s="1"/>
  <c r="F98" i="20"/>
  <c r="D98" i="20"/>
  <c r="C98" i="20" a="1"/>
  <c r="C98" i="20" s="1"/>
  <c r="G97" i="20"/>
  <c r="I97" i="20" s="1"/>
  <c r="F97" i="20"/>
  <c r="D97" i="20"/>
  <c r="C97" i="20" a="1"/>
  <c r="C97" i="20" s="1"/>
  <c r="G96" i="20"/>
  <c r="F96" i="20"/>
  <c r="D96" i="20"/>
  <c r="C96" i="20" a="1"/>
  <c r="C96" i="20" s="1"/>
  <c r="G95" i="20"/>
  <c r="F95" i="20"/>
  <c r="D95" i="20"/>
  <c r="C95" i="20" a="1"/>
  <c r="C95" i="20" s="1"/>
  <c r="G94" i="20"/>
  <c r="H94" i="20" s="1"/>
  <c r="F94" i="20"/>
  <c r="D94" i="20"/>
  <c r="C94" i="20" a="1"/>
  <c r="C94" i="20" s="1"/>
  <c r="G93" i="20"/>
  <c r="H93" i="20" s="1"/>
  <c r="F93" i="20"/>
  <c r="D93" i="20"/>
  <c r="C93" i="20" a="1"/>
  <c r="C93" i="20" s="1"/>
  <c r="G92" i="20"/>
  <c r="F92" i="20"/>
  <c r="D92" i="20"/>
  <c r="C92" i="20" a="1"/>
  <c r="C92" i="20" s="1"/>
  <c r="G91" i="20"/>
  <c r="F91" i="20"/>
  <c r="D91" i="20"/>
  <c r="C91" i="20" a="1"/>
  <c r="C91" i="20" s="1"/>
  <c r="G90" i="20"/>
  <c r="H90" i="20" s="1"/>
  <c r="F90" i="20"/>
  <c r="D90" i="20"/>
  <c r="C90" i="20" a="1"/>
  <c r="C90" i="20" s="1"/>
  <c r="G89" i="20"/>
  <c r="H89" i="20" s="1"/>
  <c r="F89" i="20"/>
  <c r="D89" i="20"/>
  <c r="C89" i="20" a="1"/>
  <c r="C89" i="20" s="1"/>
  <c r="G88" i="20"/>
  <c r="F88" i="20"/>
  <c r="D88" i="20"/>
  <c r="C88" i="20" a="1"/>
  <c r="C88" i="20" s="1"/>
  <c r="G87" i="20"/>
  <c r="H87" i="20" s="1"/>
  <c r="F87" i="20"/>
  <c r="D87" i="20"/>
  <c r="C87" i="20" a="1"/>
  <c r="C87" i="20" s="1"/>
  <c r="G86" i="20"/>
  <c r="F86" i="20"/>
  <c r="D86" i="20"/>
  <c r="C86" i="20" a="1"/>
  <c r="C86" i="20" s="1"/>
  <c r="G85" i="20"/>
  <c r="J85" i="20" s="1"/>
  <c r="F85" i="20"/>
  <c r="D85" i="20"/>
  <c r="C85" i="20" a="1"/>
  <c r="C85" i="20" s="1"/>
  <c r="G84" i="20"/>
  <c r="F84" i="20"/>
  <c r="D84" i="20"/>
  <c r="C84" i="20" a="1"/>
  <c r="C84" i="20" s="1"/>
  <c r="G83" i="20"/>
  <c r="F83" i="20"/>
  <c r="D83" i="20"/>
  <c r="C83" i="20" a="1"/>
  <c r="C83" i="20" s="1"/>
  <c r="G82" i="20"/>
  <c r="F82" i="20"/>
  <c r="D82" i="20"/>
  <c r="C82" i="20" a="1"/>
  <c r="C82" i="20" s="1"/>
  <c r="G81" i="20"/>
  <c r="H81" i="20" s="1"/>
  <c r="F81" i="20"/>
  <c r="D81" i="20"/>
  <c r="C81" i="20" a="1"/>
  <c r="C81" i="20" s="1"/>
  <c r="G80" i="20"/>
  <c r="F80" i="20"/>
  <c r="D80" i="20"/>
  <c r="C80" i="20" a="1"/>
  <c r="C80" i="20" s="1"/>
  <c r="G79" i="20"/>
  <c r="F79" i="20"/>
  <c r="D79" i="20"/>
  <c r="C79" i="20" a="1"/>
  <c r="C79" i="20" s="1"/>
  <c r="G78" i="20"/>
  <c r="F78" i="20"/>
  <c r="D78" i="20"/>
  <c r="C78" i="20" a="1"/>
  <c r="C78" i="20" s="1"/>
  <c r="G77" i="20"/>
  <c r="H77" i="20" s="1"/>
  <c r="F77" i="20"/>
  <c r="D77" i="20"/>
  <c r="C77" i="20" a="1"/>
  <c r="C77" i="20" s="1"/>
  <c r="G76" i="20"/>
  <c r="J76" i="20" s="1"/>
  <c r="F76" i="20"/>
  <c r="D76" i="20"/>
  <c r="C76" i="20" a="1"/>
  <c r="C76" i="20" s="1"/>
  <c r="G75" i="20"/>
  <c r="F75" i="20"/>
  <c r="D75" i="20"/>
  <c r="C75" i="20" a="1"/>
  <c r="C75" i="20" s="1"/>
  <c r="G74" i="20"/>
  <c r="F74" i="20"/>
  <c r="D74" i="20"/>
  <c r="C74" i="20" a="1"/>
  <c r="C74" i="20" s="1"/>
  <c r="G73" i="20"/>
  <c r="H73" i="20" s="1"/>
  <c r="F73" i="20"/>
  <c r="D73" i="20"/>
  <c r="C73" i="20" a="1"/>
  <c r="C73" i="20" s="1"/>
  <c r="G72" i="20"/>
  <c r="J72" i="20" s="1"/>
  <c r="F72" i="20"/>
  <c r="D72" i="20"/>
  <c r="C72" i="20" a="1"/>
  <c r="C72" i="20" s="1"/>
  <c r="G71" i="20"/>
  <c r="F71" i="20"/>
  <c r="D71" i="20"/>
  <c r="C71" i="20" a="1"/>
  <c r="C71" i="20" s="1"/>
  <c r="G70" i="20"/>
  <c r="H70" i="20" s="1"/>
  <c r="F70" i="20"/>
  <c r="D70" i="20"/>
  <c r="C70" i="20" a="1"/>
  <c r="C70" i="20" s="1"/>
  <c r="G69" i="20"/>
  <c r="H69" i="20" s="1"/>
  <c r="F69" i="20"/>
  <c r="D69" i="20"/>
  <c r="C69" i="20" a="1"/>
  <c r="C69" i="20" s="1"/>
  <c r="G68" i="20"/>
  <c r="H68" i="20" s="1"/>
  <c r="F68" i="20"/>
  <c r="D68" i="20"/>
  <c r="C68" i="20" a="1"/>
  <c r="C68" i="20" s="1"/>
  <c r="G67" i="20"/>
  <c r="F67" i="20"/>
  <c r="D67" i="20"/>
  <c r="C67" i="20" a="1"/>
  <c r="C67" i="20" s="1"/>
  <c r="G66" i="20"/>
  <c r="H66" i="20" s="1"/>
  <c r="F66" i="20"/>
  <c r="D66" i="20"/>
  <c r="C66" i="20" a="1"/>
  <c r="C66" i="20" s="1"/>
  <c r="G65" i="20"/>
  <c r="F65" i="20"/>
  <c r="D65" i="20"/>
  <c r="C65" i="20" a="1"/>
  <c r="C65" i="20" s="1"/>
  <c r="G64" i="20"/>
  <c r="F64" i="20"/>
  <c r="D64" i="20"/>
  <c r="C64" i="20" a="1"/>
  <c r="C64" i="20" s="1"/>
  <c r="G63" i="20"/>
  <c r="F63" i="20"/>
  <c r="D63" i="20"/>
  <c r="C63" i="20" a="1"/>
  <c r="C63" i="20" s="1"/>
  <c r="G62" i="20"/>
  <c r="F62" i="20"/>
  <c r="D62" i="20"/>
  <c r="C62" i="20" a="1"/>
  <c r="C62" i="20" s="1"/>
  <c r="G61" i="20"/>
  <c r="H61" i="20" s="1"/>
  <c r="F61" i="20"/>
  <c r="D61" i="20"/>
  <c r="C61" i="20" a="1"/>
  <c r="C61" i="20" s="1"/>
  <c r="G60" i="20"/>
  <c r="F60" i="20"/>
  <c r="D60" i="20"/>
  <c r="C60" i="20" a="1"/>
  <c r="C60" i="20" s="1"/>
  <c r="G59" i="20"/>
  <c r="F59" i="20"/>
  <c r="D59" i="20"/>
  <c r="C59" i="20" a="1"/>
  <c r="C59" i="20" s="1"/>
  <c r="G58" i="20"/>
  <c r="F58" i="20"/>
  <c r="D58" i="20"/>
  <c r="C58" i="20" a="1"/>
  <c r="C58" i="20" s="1"/>
  <c r="G57" i="20"/>
  <c r="F57" i="20"/>
  <c r="D57" i="20"/>
  <c r="C57" i="20" a="1"/>
  <c r="C57" i="20" s="1"/>
  <c r="G56" i="20"/>
  <c r="F56" i="20"/>
  <c r="D56" i="20"/>
  <c r="C56" i="20" a="1"/>
  <c r="C56" i="20" s="1"/>
  <c r="G55" i="20"/>
  <c r="F55" i="20"/>
  <c r="D55" i="20"/>
  <c r="C55" i="20" a="1"/>
  <c r="C55" i="20" s="1"/>
  <c r="G54" i="20"/>
  <c r="F54" i="20"/>
  <c r="D54" i="20"/>
  <c r="C54" i="20" a="1"/>
  <c r="C54" i="20" s="1"/>
  <c r="G53" i="20"/>
  <c r="H53" i="20" s="1"/>
  <c r="F53" i="20"/>
  <c r="D53" i="20"/>
  <c r="C53" i="20" a="1"/>
  <c r="C53" i="20" s="1"/>
  <c r="G52" i="20"/>
  <c r="H52" i="20" s="1"/>
  <c r="F52" i="20"/>
  <c r="D52" i="20"/>
  <c r="C52" i="20" a="1"/>
  <c r="C52" i="20" s="1"/>
  <c r="G51" i="20"/>
  <c r="F51" i="20"/>
  <c r="D51" i="20"/>
  <c r="C51" i="20" a="1"/>
  <c r="C51" i="20" s="1"/>
  <c r="G50" i="20"/>
  <c r="F50" i="20"/>
  <c r="D50" i="20"/>
  <c r="C50" i="20" a="1"/>
  <c r="C50" i="20" s="1"/>
  <c r="G49" i="20"/>
  <c r="J49" i="20" s="1"/>
  <c r="F49" i="20"/>
  <c r="D49" i="20"/>
  <c r="C49" i="20" a="1"/>
  <c r="C49" i="20" s="1"/>
  <c r="G48" i="20"/>
  <c r="J48" i="20" s="1"/>
  <c r="F48" i="20"/>
  <c r="D48" i="20"/>
  <c r="C48" i="20" a="1"/>
  <c r="C48" i="20" s="1"/>
  <c r="G47" i="20"/>
  <c r="F47" i="20"/>
  <c r="D47" i="20"/>
  <c r="C47" i="20" a="1"/>
  <c r="C47" i="20" s="1"/>
  <c r="G46" i="20"/>
  <c r="F46" i="20"/>
  <c r="D46" i="20"/>
  <c r="C46" i="20" a="1"/>
  <c r="C46" i="20" s="1"/>
  <c r="G45" i="20"/>
  <c r="I45" i="20" s="1"/>
  <c r="F45" i="20"/>
  <c r="D45" i="20"/>
  <c r="C45" i="20" a="1"/>
  <c r="C45" i="20" s="1"/>
  <c r="G44" i="20"/>
  <c r="J44" i="20" s="1"/>
  <c r="F44" i="20"/>
  <c r="D44" i="20"/>
  <c r="C44" i="20" a="1"/>
  <c r="C44" i="20" s="1"/>
  <c r="G43" i="20"/>
  <c r="F43" i="20"/>
  <c r="D43" i="20"/>
  <c r="C43" i="20" a="1"/>
  <c r="C43" i="20" s="1"/>
  <c r="G42" i="20"/>
  <c r="I42" i="20" s="1"/>
  <c r="F42" i="20"/>
  <c r="D42" i="20"/>
  <c r="C42" i="20" a="1"/>
  <c r="C42" i="20" s="1"/>
  <c r="G41" i="20"/>
  <c r="H41" i="20" s="1"/>
  <c r="F41" i="20"/>
  <c r="D41" i="20"/>
  <c r="C41" i="20" a="1"/>
  <c r="C41" i="20" s="1"/>
  <c r="G40" i="20"/>
  <c r="I40" i="20" s="1"/>
  <c r="F40" i="20"/>
  <c r="D40" i="20"/>
  <c r="C40" i="20" a="1"/>
  <c r="C40" i="20" s="1"/>
  <c r="G39" i="20"/>
  <c r="F39" i="20"/>
  <c r="D39" i="20"/>
  <c r="C39" i="20" a="1"/>
  <c r="C39" i="20" s="1"/>
  <c r="G38" i="20"/>
  <c r="H38" i="20" s="1"/>
  <c r="F38" i="20"/>
  <c r="D38" i="20"/>
  <c r="C38" i="20" a="1"/>
  <c r="C38" i="20" s="1"/>
  <c r="G37" i="20"/>
  <c r="F37" i="20"/>
  <c r="D37" i="20"/>
  <c r="C37" i="20" a="1"/>
  <c r="C37" i="20" s="1"/>
  <c r="G36" i="20"/>
  <c r="F36" i="20"/>
  <c r="D36" i="20"/>
  <c r="C36" i="20" a="1"/>
  <c r="C36" i="20" s="1"/>
  <c r="G35" i="20"/>
  <c r="F35" i="20"/>
  <c r="D35" i="20"/>
  <c r="C35" i="20" a="1"/>
  <c r="C35" i="20" s="1"/>
  <c r="G34" i="20"/>
  <c r="F34" i="20"/>
  <c r="D34" i="20"/>
  <c r="C34" i="20" a="1"/>
  <c r="C34" i="20" s="1"/>
  <c r="G33" i="20"/>
  <c r="H33" i="20" s="1"/>
  <c r="F33" i="20"/>
  <c r="D33" i="20"/>
  <c r="C33" i="20" a="1"/>
  <c r="C33" i="20" s="1"/>
  <c r="G32" i="20"/>
  <c r="H32" i="20" s="1"/>
  <c r="F32" i="20"/>
  <c r="D32" i="20"/>
  <c r="C32" i="20" a="1"/>
  <c r="C32" i="20" s="1"/>
  <c r="G31" i="20"/>
  <c r="F31" i="20"/>
  <c r="D31" i="20"/>
  <c r="C31" i="20" a="1"/>
  <c r="C31" i="20" s="1"/>
  <c r="G30" i="20"/>
  <c r="F30" i="20"/>
  <c r="D30" i="20"/>
  <c r="C30" i="20" a="1"/>
  <c r="C30" i="20" s="1"/>
  <c r="G29" i="20"/>
  <c r="F29" i="20"/>
  <c r="D29" i="20"/>
  <c r="C29" i="20" a="1"/>
  <c r="C29" i="20" s="1"/>
  <c r="G28" i="20"/>
  <c r="H28" i="20" s="1"/>
  <c r="F28" i="20"/>
  <c r="D28" i="20"/>
  <c r="C28" i="20" a="1"/>
  <c r="C28" i="20" s="1"/>
  <c r="G27" i="20"/>
  <c r="F27" i="20"/>
  <c r="D27" i="20"/>
  <c r="C27" i="20" a="1"/>
  <c r="C27" i="20" s="1"/>
  <c r="G26" i="20"/>
  <c r="F26" i="20"/>
  <c r="D26" i="20"/>
  <c r="C26" i="20" a="1"/>
  <c r="C26" i="20" s="1"/>
  <c r="G25" i="20"/>
  <c r="J25" i="20" s="1"/>
  <c r="F25" i="20"/>
  <c r="D25" i="20"/>
  <c r="C25" i="20" a="1"/>
  <c r="C25" i="20" s="1"/>
  <c r="G24" i="20"/>
  <c r="I24" i="20" s="1"/>
  <c r="F24" i="20"/>
  <c r="D24" i="20"/>
  <c r="C24" i="20" a="1"/>
  <c r="C24" i="20" s="1"/>
  <c r="G23" i="20"/>
  <c r="F23" i="20"/>
  <c r="D23" i="20"/>
  <c r="C23" i="20" a="1"/>
  <c r="C23" i="20" s="1"/>
  <c r="G22" i="20"/>
  <c r="I22" i="20" s="1"/>
  <c r="F22" i="20"/>
  <c r="D22" i="20"/>
  <c r="C22" i="20" a="1"/>
  <c r="C22" i="20" s="1"/>
  <c r="G21" i="20"/>
  <c r="H21" i="20" s="1"/>
  <c r="F21" i="20"/>
  <c r="D21" i="20"/>
  <c r="C21" i="20" a="1"/>
  <c r="C21" i="20" s="1"/>
  <c r="G20" i="20"/>
  <c r="H20" i="20" s="1"/>
  <c r="F20" i="20"/>
  <c r="D20" i="20"/>
  <c r="C20" i="20" a="1"/>
  <c r="C20" i="20" s="1"/>
  <c r="G19" i="20"/>
  <c r="F19" i="20"/>
  <c r="D19" i="20"/>
  <c r="C19" i="20" a="1"/>
  <c r="C19" i="20" s="1"/>
  <c r="G18" i="20"/>
  <c r="F18" i="20"/>
  <c r="D18" i="20"/>
  <c r="C18" i="20" a="1"/>
  <c r="C18" i="20" s="1"/>
  <c r="G17" i="20"/>
  <c r="H17" i="20" s="1"/>
  <c r="F17" i="20"/>
  <c r="D17" i="20"/>
  <c r="C17" i="20" a="1"/>
  <c r="C17" i="20" s="1"/>
  <c r="G16" i="20"/>
  <c r="H16" i="20" s="1"/>
  <c r="F16" i="20"/>
  <c r="D16" i="20"/>
  <c r="C16" i="20" a="1"/>
  <c r="C16" i="20" s="1"/>
  <c r="G15" i="20"/>
  <c r="F15" i="20"/>
  <c r="D15" i="20"/>
  <c r="C15" i="20" a="1"/>
  <c r="C15" i="20" s="1"/>
  <c r="G14" i="20"/>
  <c r="F14" i="20"/>
  <c r="D14" i="20"/>
  <c r="C14" i="20" a="1"/>
  <c r="C14" i="20" s="1"/>
  <c r="G13" i="20"/>
  <c r="H13" i="20" s="1"/>
  <c r="F13" i="20"/>
  <c r="D13" i="20"/>
  <c r="C13" i="20" a="1"/>
  <c r="C13" i="20" s="1"/>
  <c r="G12" i="20"/>
  <c r="I12" i="20" s="1"/>
  <c r="F12" i="20"/>
  <c r="D12" i="20"/>
  <c r="C12" i="20" a="1"/>
  <c r="C12" i="20" s="1"/>
  <c r="G11" i="20"/>
  <c r="F11" i="20"/>
  <c r="D11" i="20"/>
  <c r="C11" i="20" a="1"/>
  <c r="C11" i="20" s="1"/>
  <c r="G10" i="20"/>
  <c r="H10" i="20" s="1"/>
  <c r="F10" i="20"/>
  <c r="D10" i="20"/>
  <c r="C10" i="20" a="1"/>
  <c r="C10" i="20" s="1"/>
  <c r="G9" i="20"/>
  <c r="F9" i="20"/>
  <c r="D9" i="20"/>
  <c r="C9" i="20" a="1"/>
  <c r="C9" i="20" s="1"/>
  <c r="G8" i="20"/>
  <c r="F8" i="20"/>
  <c r="D8" i="20"/>
  <c r="C8" i="20" a="1"/>
  <c r="C8" i="20" s="1"/>
  <c r="G7" i="20"/>
  <c r="F7" i="20"/>
  <c r="D7" i="20"/>
  <c r="C7" i="20" a="1"/>
  <c r="C7" i="20" s="1"/>
  <c r="G6" i="20"/>
  <c r="F6" i="20"/>
  <c r="D6" i="20"/>
  <c r="C6" i="20" a="1"/>
  <c r="C6" i="20" s="1"/>
  <c r="G5" i="20"/>
  <c r="H5" i="20" s="1"/>
  <c r="F5" i="20"/>
  <c r="D5" i="20"/>
  <c r="C5" i="20" a="1"/>
  <c r="C5" i="20" s="1"/>
  <c r="G4" i="20"/>
  <c r="H4" i="20" s="1"/>
  <c r="F4" i="20"/>
  <c r="D4" i="20"/>
  <c r="C4" i="20" a="1"/>
  <c r="C4" i="20" s="1"/>
  <c r="G3" i="20"/>
  <c r="F3" i="20"/>
  <c r="D3" i="20"/>
  <c r="C3" i="20" a="1"/>
  <c r="C3" i="20" s="1"/>
  <c r="G2" i="20"/>
  <c r="F2" i="20"/>
  <c r="D2" i="20"/>
  <c r="C2" i="20" a="1"/>
  <c r="C2" i="20" s="1"/>
  <c r="E28" i="10"/>
  <c r="E29" i="10"/>
  <c r="E30" i="10"/>
  <c r="E35" i="10"/>
  <c r="F15" i="10"/>
  <c r="F16" i="10"/>
  <c r="F17" i="10"/>
  <c r="F13" i="10"/>
  <c r="F14"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89" i="10"/>
  <c r="F12" i="10"/>
  <c r="N11" i="10"/>
  <c r="M11" i="10"/>
  <c r="E73" i="10"/>
  <c r="G73" i="10"/>
  <c r="E74" i="10"/>
  <c r="G74" i="10"/>
  <c r="E75" i="10"/>
  <c r="G75" i="10"/>
  <c r="E76" i="10"/>
  <c r="G76" i="10"/>
  <c r="E89" i="10"/>
  <c r="G89" i="10"/>
  <c r="G72" i="10"/>
  <c r="E72" i="10"/>
  <c r="E51" i="10"/>
  <c r="G51" i="10"/>
  <c r="E52" i="10"/>
  <c r="G52" i="10"/>
  <c r="E53" i="10"/>
  <c r="G53" i="10"/>
  <c r="E41" i="10"/>
  <c r="G41" i="10"/>
  <c r="E42" i="10"/>
  <c r="G42" i="10"/>
  <c r="E43" i="10"/>
  <c r="G43" i="10"/>
  <c r="G30" i="10"/>
  <c r="G29" i="10"/>
  <c r="G28" i="10"/>
  <c r="G26" i="10"/>
  <c r="E26" i="10"/>
  <c r="G21" i="10"/>
  <c r="E21" i="10"/>
  <c r="G20" i="10"/>
  <c r="E20" i="10"/>
  <c r="G13" i="10"/>
  <c r="G14" i="10"/>
  <c r="G15" i="10"/>
  <c r="G16" i="10"/>
  <c r="G17" i="10"/>
  <c r="G18" i="10"/>
  <c r="G19" i="10"/>
  <c r="G22" i="10"/>
  <c r="G23" i="10"/>
  <c r="G24" i="10"/>
  <c r="G25" i="10"/>
  <c r="G27" i="10"/>
  <c r="G31" i="10"/>
  <c r="G32" i="10"/>
  <c r="G33" i="10"/>
  <c r="G34" i="10"/>
  <c r="G35" i="10"/>
  <c r="G36" i="10"/>
  <c r="G37" i="10"/>
  <c r="G38" i="10"/>
  <c r="G39" i="10"/>
  <c r="G40" i="10"/>
  <c r="G44" i="10"/>
  <c r="G45" i="10"/>
  <c r="G46" i="10"/>
  <c r="G47" i="10"/>
  <c r="G48" i="10"/>
  <c r="G49" i="10"/>
  <c r="G50" i="10"/>
  <c r="G54" i="10"/>
  <c r="G55" i="10"/>
  <c r="G56" i="10"/>
  <c r="G57" i="10"/>
  <c r="G58" i="10"/>
  <c r="G59" i="10"/>
  <c r="G60" i="10"/>
  <c r="G61" i="10"/>
  <c r="G62" i="10"/>
  <c r="G63" i="10"/>
  <c r="G64" i="10"/>
  <c r="G65" i="10"/>
  <c r="G66" i="10"/>
  <c r="G67" i="10"/>
  <c r="G68" i="10"/>
  <c r="G69" i="10"/>
  <c r="G70" i="10"/>
  <c r="G71" i="10"/>
  <c r="G12" i="10"/>
  <c r="E13" i="10"/>
  <c r="E14" i="10"/>
  <c r="E15" i="10"/>
  <c r="E16" i="10"/>
  <c r="E17" i="10"/>
  <c r="E18" i="10"/>
  <c r="E19" i="10"/>
  <c r="E22" i="10"/>
  <c r="E23" i="10"/>
  <c r="E24" i="10"/>
  <c r="E25" i="10"/>
  <c r="E27" i="10"/>
  <c r="E31" i="10"/>
  <c r="E32" i="10"/>
  <c r="E33" i="10"/>
  <c r="E34" i="10"/>
  <c r="E36" i="10"/>
  <c r="E37" i="10"/>
  <c r="E38" i="10"/>
  <c r="E39" i="10"/>
  <c r="E40" i="10"/>
  <c r="E44" i="10"/>
  <c r="E45" i="10"/>
  <c r="E46" i="10"/>
  <c r="E47" i="10"/>
  <c r="E48" i="10"/>
  <c r="E49" i="10"/>
  <c r="E50" i="10"/>
  <c r="E54" i="10"/>
  <c r="E55" i="10"/>
  <c r="E56" i="10"/>
  <c r="E57" i="10"/>
  <c r="E58" i="10"/>
  <c r="E59" i="10"/>
  <c r="E60" i="10"/>
  <c r="E61" i="10"/>
  <c r="E62" i="10"/>
  <c r="E63" i="10"/>
  <c r="E64" i="10"/>
  <c r="E65" i="10"/>
  <c r="E66" i="10"/>
  <c r="E67" i="10"/>
  <c r="E68" i="10"/>
  <c r="E69" i="10"/>
  <c r="E70" i="10"/>
  <c r="E71" i="10"/>
  <c r="E12" i="10"/>
  <c r="I85" i="9"/>
  <c r="I89" i="9"/>
  <c r="I57" i="9"/>
  <c r="I4" i="9"/>
  <c r="I27" i="9"/>
  <c r="I25" i="9"/>
  <c r="I26" i="9"/>
  <c r="G1039" i="8"/>
  <c r="H1039" i="8" s="1"/>
  <c r="G1031" i="8"/>
  <c r="H1031" i="8" s="1"/>
  <c r="G1076" i="8"/>
  <c r="J1076" i="8" s="1"/>
  <c r="G1099" i="8"/>
  <c r="H1099" i="8" s="1"/>
  <c r="G1029" i="8"/>
  <c r="H1029" i="8" s="1"/>
  <c r="G1034" i="8"/>
  <c r="J1034" i="8" s="1"/>
  <c r="G1037" i="8"/>
  <c r="I1037" i="8" s="1"/>
  <c r="G1063" i="8"/>
  <c r="J1063" i="8" s="1"/>
  <c r="G1064" i="8"/>
  <c r="H1064" i="8" s="1"/>
  <c r="G1130" i="8"/>
  <c r="H1130" i="8" s="1"/>
  <c r="G1131" i="8"/>
  <c r="H1131" i="8" s="1"/>
  <c r="G1048" i="8"/>
  <c r="J1048" i="8" s="1"/>
  <c r="G1046" i="8"/>
  <c r="H1046" i="8" s="1"/>
  <c r="G1044" i="8"/>
  <c r="J1044" i="8" s="1"/>
  <c r="G1045" i="8"/>
  <c r="H1045" i="8" s="1"/>
  <c r="G1049" i="8"/>
  <c r="J1049" i="8" s="1"/>
  <c r="G1052" i="8"/>
  <c r="H1052" i="8" s="1"/>
  <c r="G1050" i="8"/>
  <c r="J1050" i="8" s="1"/>
  <c r="G1056" i="8"/>
  <c r="H1056" i="8" s="1"/>
  <c r="G1030" i="8"/>
  <c r="J1030" i="8" s="1"/>
  <c r="G1059" i="8"/>
  <c r="H1059" i="8" s="1"/>
  <c r="G1057" i="8"/>
  <c r="H1057" i="8" s="1"/>
  <c r="G1055" i="8"/>
  <c r="J1055" i="8" s="1"/>
  <c r="G1060" i="8"/>
  <c r="H1060" i="8" s="1"/>
  <c r="G1061" i="8"/>
  <c r="H1061" i="8" s="1"/>
  <c r="G1092" i="8"/>
  <c r="H1092" i="8" s="1"/>
  <c r="G1094" i="8"/>
  <c r="H1094" i="8" s="1"/>
  <c r="G1114" i="8"/>
  <c r="H1114" i="8" s="1"/>
  <c r="G1116" i="8"/>
  <c r="H1116" i="8" s="1"/>
  <c r="G1155" i="8"/>
  <c r="J1155" i="8" s="1"/>
  <c r="G1154" i="8"/>
  <c r="J1154" i="8" s="1"/>
  <c r="G1182" i="8"/>
  <c r="H1182" i="8" s="1"/>
  <c r="G1181" i="8"/>
  <c r="H1181" i="8" s="1"/>
  <c r="G1212" i="8"/>
  <c r="J1212" i="8" s="1"/>
  <c r="G1211" i="8"/>
  <c r="H1211" i="8" s="1"/>
  <c r="G1252" i="8"/>
  <c r="H1252" i="8" s="1"/>
  <c r="G1249" i="8"/>
  <c r="H1249" i="8" s="1"/>
  <c r="G1085" i="8"/>
  <c r="J1085" i="8" s="1"/>
  <c r="G1062" i="8"/>
  <c r="J1062" i="8" s="1"/>
  <c r="G1068" i="8"/>
  <c r="H1068" i="8" s="1"/>
  <c r="G1073" i="8"/>
  <c r="J1073" i="8" s="1"/>
  <c r="G1070" i="8"/>
  <c r="H1070" i="8" s="1"/>
  <c r="G1067" i="8"/>
  <c r="J1067" i="8" s="1"/>
  <c r="G1065" i="8"/>
  <c r="H1065" i="8" s="1"/>
  <c r="G1082" i="8"/>
  <c r="H1082" i="8" s="1"/>
  <c r="G1108" i="8"/>
  <c r="H1108" i="8" s="1"/>
  <c r="G1103" i="8"/>
  <c r="J1103" i="8" s="1"/>
  <c r="G1101" i="8"/>
  <c r="H1101" i="8" s="1"/>
  <c r="G1075" i="8"/>
  <c r="J1075" i="8" s="1"/>
  <c r="G1077" i="8"/>
  <c r="H1077" i="8" s="1"/>
  <c r="G1080" i="8"/>
  <c r="H1080" i="8" s="1"/>
  <c r="G1079" i="8"/>
  <c r="J1079" i="8" s="1"/>
  <c r="G1087" i="8"/>
  <c r="H1087" i="8" s="1"/>
  <c r="G1090" i="8"/>
  <c r="J1090" i="8" s="1"/>
  <c r="G1086" i="8"/>
  <c r="J1086" i="8" s="1"/>
  <c r="G1088" i="8"/>
  <c r="H1088" i="8" s="1"/>
  <c r="G1089" i="8"/>
  <c r="J1089" i="8" s="1"/>
  <c r="G1102" i="8"/>
  <c r="H1102" i="8" s="1"/>
  <c r="G1096" i="8"/>
  <c r="J1096" i="8" s="1"/>
  <c r="G1098" i="8"/>
  <c r="H1098" i="8" s="1"/>
  <c r="G1093" i="8"/>
  <c r="H1093" i="8" s="1"/>
  <c r="G1105" i="8"/>
  <c r="H1105" i="8" s="1"/>
  <c r="G1104" i="8"/>
  <c r="J1104" i="8" s="1"/>
  <c r="G1100" i="8"/>
  <c r="H1100" i="8" s="1"/>
  <c r="G1106" i="8"/>
  <c r="J1106" i="8" s="1"/>
  <c r="G1107" i="8"/>
  <c r="H1107" i="8" s="1"/>
  <c r="G1109" i="8"/>
  <c r="J1109" i="8" s="1"/>
  <c r="G1125" i="8"/>
  <c r="H1125" i="8" s="1"/>
  <c r="G1127" i="8"/>
  <c r="H1127" i="8" s="1"/>
  <c r="G1111" i="8"/>
  <c r="J1111" i="8" s="1"/>
  <c r="G1112" i="8"/>
  <c r="H1112" i="8" s="1"/>
  <c r="G1110" i="8"/>
  <c r="J1110" i="8" s="1"/>
  <c r="G1119" i="8"/>
  <c r="G1124" i="8"/>
  <c r="H1124" i="8" s="1"/>
  <c r="G1115" i="8"/>
  <c r="J1115" i="8" s="1"/>
  <c r="G1118" i="8"/>
  <c r="H1118" i="8" s="1"/>
  <c r="G1117" i="8"/>
  <c r="H1117" i="8" s="1"/>
  <c r="G1121" i="8"/>
  <c r="H1121" i="8" s="1"/>
  <c r="G1958" i="8"/>
  <c r="G1934" i="8"/>
  <c r="G1898" i="8"/>
  <c r="G1873" i="8"/>
  <c r="G1808" i="8"/>
  <c r="G1981" i="8"/>
  <c r="G1937" i="8"/>
  <c r="G1903" i="8"/>
  <c r="J1903" i="8" s="1"/>
  <c r="G1876" i="8"/>
  <c r="G1811" i="8"/>
  <c r="H1811" i="8" s="1"/>
  <c r="G1952" i="8"/>
  <c r="G1930" i="8"/>
  <c r="G1895" i="8"/>
  <c r="G1864" i="8"/>
  <c r="G1806" i="8"/>
  <c r="H1806" i="8" s="1"/>
  <c r="G1720" i="8"/>
  <c r="G1718" i="8"/>
  <c r="G1712" i="8"/>
  <c r="G1779" i="8"/>
  <c r="G1773" i="8"/>
  <c r="G1767" i="8"/>
  <c r="G1653" i="8"/>
  <c r="G1651" i="8"/>
  <c r="G1648" i="8"/>
  <c r="G1608" i="8"/>
  <c r="G1612" i="8"/>
  <c r="G1603" i="8"/>
  <c r="G1500" i="8"/>
  <c r="H1500" i="8" s="1"/>
  <c r="G1498" i="8"/>
  <c r="G1502" i="8"/>
  <c r="G1544" i="8"/>
  <c r="J1544" i="8" s="1"/>
  <c r="G1542" i="8"/>
  <c r="G1540" i="8"/>
  <c r="G1451" i="8"/>
  <c r="G1449" i="8"/>
  <c r="G1445" i="8"/>
  <c r="J1445" i="8" s="1"/>
  <c r="G1739" i="8"/>
  <c r="G1847" i="8"/>
  <c r="G1742" i="8"/>
  <c r="G1737" i="8"/>
  <c r="G1845" i="8"/>
  <c r="G1838" i="8"/>
  <c r="G1411" i="8"/>
  <c r="G1409" i="8"/>
  <c r="G1406" i="8"/>
  <c r="H1406" i="8" s="1"/>
  <c r="G1351" i="8"/>
  <c r="H1351" i="8" s="1"/>
  <c r="G1354" i="8"/>
  <c r="G1349" i="8"/>
  <c r="G1321" i="8"/>
  <c r="J1321" i="8" s="1"/>
  <c r="G1324" i="8"/>
  <c r="J1324" i="8" s="1"/>
  <c r="G1315" i="8"/>
  <c r="G1230" i="8"/>
  <c r="H1230" i="8" s="1"/>
  <c r="G1233" i="8"/>
  <c r="J1233" i="8" s="1"/>
  <c r="G1219" i="8"/>
  <c r="H1219" i="8" s="1"/>
  <c r="G1382" i="8"/>
  <c r="G1380" i="8"/>
  <c r="H1380" i="8" s="1"/>
  <c r="G1376" i="8"/>
  <c r="J1376" i="8" s="1"/>
  <c r="G1480" i="8"/>
  <c r="G1478" i="8"/>
  <c r="G1474" i="8"/>
  <c r="J1474" i="8" s="1"/>
  <c r="G1572" i="8"/>
  <c r="G1569" i="8"/>
  <c r="G1562" i="8"/>
  <c r="G1676" i="8"/>
  <c r="G1674" i="8"/>
  <c r="G1668" i="8"/>
  <c r="J1668" i="8" s="1"/>
  <c r="G1288" i="8"/>
  <c r="H1288" i="8" s="1"/>
  <c r="G1286" i="8"/>
  <c r="H1286" i="8" s="1"/>
  <c r="G1281" i="8"/>
  <c r="H1281" i="8" s="1"/>
  <c r="G1137" i="8"/>
  <c r="H1137" i="8" s="1"/>
  <c r="G1120" i="8"/>
  <c r="H1120" i="8" s="1"/>
  <c r="G1132" i="8"/>
  <c r="H1132" i="8" s="1"/>
  <c r="G1129" i="8"/>
  <c r="J1129" i="8" s="1"/>
  <c r="G1126" i="8"/>
  <c r="J1126" i="8" s="1"/>
  <c r="G1139" i="8"/>
  <c r="H1139" i="8" s="1"/>
  <c r="G1140" i="8"/>
  <c r="H1140" i="8" s="1"/>
  <c r="G1138" i="8"/>
  <c r="J1138" i="8" s="1"/>
  <c r="G1141" i="8"/>
  <c r="J1141" i="8" s="1"/>
  <c r="G1148" i="8"/>
  <c r="J1148" i="8" s="1"/>
  <c r="G1142" i="8"/>
  <c r="J1142" i="8" s="1"/>
  <c r="G1206" i="8"/>
  <c r="J1206" i="8" s="1"/>
  <c r="G1156" i="8"/>
  <c r="H1156" i="8" s="1"/>
  <c r="G1172" i="8"/>
  <c r="H1172" i="8" s="1"/>
  <c r="G1164" i="8"/>
  <c r="J1164" i="8" s="1"/>
  <c r="G1151" i="8"/>
  <c r="H1151" i="8" s="1"/>
  <c r="G1152" i="8"/>
  <c r="J1152" i="8" s="1"/>
  <c r="G1147" i="8"/>
  <c r="J1147" i="8" s="1"/>
  <c r="G1153" i="8"/>
  <c r="J1153" i="8" s="1"/>
  <c r="G1146" i="8"/>
  <c r="H1146" i="8" s="1"/>
  <c r="G1150" i="8"/>
  <c r="H1150" i="8" s="1"/>
  <c r="G1149" i="8"/>
  <c r="H1149" i="8" s="1"/>
  <c r="G1158" i="8"/>
  <c r="H1158" i="8" s="1"/>
  <c r="G1159" i="8"/>
  <c r="H1159" i="8" s="1"/>
  <c r="G1161" i="8"/>
  <c r="J1161" i="8" s="1"/>
  <c r="G1167" i="8"/>
  <c r="J1167" i="8" s="1"/>
  <c r="G1163" i="8"/>
  <c r="H1163" i="8" s="1"/>
  <c r="G1160" i="8"/>
  <c r="J1160" i="8" s="1"/>
  <c r="G1170" i="8"/>
  <c r="H1170" i="8" s="1"/>
  <c r="G1168" i="8"/>
  <c r="H1168" i="8" s="1"/>
  <c r="C1168" i="8" a="1"/>
  <c r="C1168" i="8" s="1"/>
  <c r="D1168" i="8"/>
  <c r="F1168" i="8"/>
  <c r="R1168" i="8"/>
  <c r="T1168" i="8"/>
  <c r="C1039" i="8" a="1"/>
  <c r="C1039" i="8" s="1"/>
  <c r="C1028" i="8" a="1"/>
  <c r="C1028" i="8" s="1"/>
  <c r="C1031" i="8" a="1"/>
  <c r="C1031" i="8" s="1"/>
  <c r="C1076" i="8" a="1"/>
  <c r="C1076" i="8" s="1"/>
  <c r="C1099" i="8" a="1"/>
  <c r="C1099" i="8" s="1"/>
  <c r="C1029" i="8" a="1"/>
  <c r="C1029" i="8" s="1"/>
  <c r="C1034" i="8" a="1"/>
  <c r="C1034" i="8" s="1"/>
  <c r="C1037" i="8" a="1"/>
  <c r="C1037" i="8" s="1"/>
  <c r="C1091" i="8" a="1"/>
  <c r="C1091" i="8" s="1"/>
  <c r="C1097" i="8" a="1"/>
  <c r="C1097" i="8" s="1"/>
  <c r="C1036" i="8" a="1"/>
  <c r="C1036" i="8" s="1"/>
  <c r="C1042" i="8" a="1"/>
  <c r="C1042" i="8" s="1"/>
  <c r="C1041" i="8" a="1"/>
  <c r="C1041" i="8" s="1"/>
  <c r="C1063" i="8" a="1"/>
  <c r="C1063" i="8" s="1"/>
  <c r="C1064" i="8" a="1"/>
  <c r="C1064" i="8" s="1"/>
  <c r="C1130" i="8" a="1"/>
  <c r="C1130" i="8" s="1"/>
  <c r="C1131" i="8" a="1"/>
  <c r="C1131" i="8" s="1"/>
  <c r="C1048" i="8" a="1"/>
  <c r="C1048" i="8" s="1"/>
  <c r="C1046" i="8" a="1"/>
  <c r="C1046" i="8" s="1"/>
  <c r="C1044" i="8" a="1"/>
  <c r="C1044" i="8" s="1"/>
  <c r="C1045" i="8" a="1"/>
  <c r="C1045" i="8" s="1"/>
  <c r="C1049" i="8" a="1"/>
  <c r="C1049" i="8" s="1"/>
  <c r="C1058" i="8" a="1"/>
  <c r="C1058" i="8" s="1"/>
  <c r="C1052" i="8" a="1"/>
  <c r="C1052" i="8" s="1"/>
  <c r="C1050" i="8" a="1"/>
  <c r="C1050" i="8" s="1"/>
  <c r="C1056" i="8" a="1"/>
  <c r="C1056" i="8" s="1"/>
  <c r="C1030" i="8" a="1"/>
  <c r="C1030" i="8" s="1"/>
  <c r="C1059" i="8" a="1"/>
  <c r="C1059" i="8" s="1"/>
  <c r="C1057" i="8" a="1"/>
  <c r="C1057" i="8" s="1"/>
  <c r="C1055" i="8" a="1"/>
  <c r="C1055" i="8" s="1"/>
  <c r="C1060" i="8" a="1"/>
  <c r="C1060" i="8" s="1"/>
  <c r="C1061" i="8" a="1"/>
  <c r="C1061" i="8" s="1"/>
  <c r="C1092" i="8" a="1"/>
  <c r="C1092" i="8" s="1"/>
  <c r="C1094" i="8" a="1"/>
  <c r="C1094" i="8" s="1"/>
  <c r="C1114" i="8" a="1"/>
  <c r="C1114" i="8" s="1"/>
  <c r="C1116" i="8" a="1"/>
  <c r="C1116" i="8" s="1"/>
  <c r="C1155" i="8" a="1"/>
  <c r="C1155" i="8" s="1"/>
  <c r="C1154" i="8" a="1"/>
  <c r="C1154" i="8" s="1"/>
  <c r="C1182" i="8" a="1"/>
  <c r="C1182" i="8" s="1"/>
  <c r="C1181" i="8" a="1"/>
  <c r="C1181" i="8" s="1"/>
  <c r="C1212" i="8" a="1"/>
  <c r="C1212" i="8" s="1"/>
  <c r="C1211" i="8" a="1"/>
  <c r="C1211" i="8" s="1"/>
  <c r="C1252" i="8" a="1"/>
  <c r="C1252" i="8" s="1"/>
  <c r="C1249" i="8" a="1"/>
  <c r="C1249" i="8" s="1"/>
  <c r="C1085" i="8" a="1"/>
  <c r="C1085" i="8" s="1"/>
  <c r="C1062" i="8" a="1"/>
  <c r="C1062" i="8" s="1"/>
  <c r="C1068" i="8" a="1"/>
  <c r="C1068" i="8" s="1"/>
  <c r="C1066" i="8" a="1"/>
  <c r="C1066" i="8" s="1"/>
  <c r="C1072" i="8" a="1"/>
  <c r="C1072" i="8" s="1"/>
  <c r="C1073" i="8" a="1"/>
  <c r="C1073" i="8" s="1"/>
  <c r="C1070" i="8" a="1"/>
  <c r="C1070" i="8" s="1"/>
  <c r="C1071" i="8" a="1"/>
  <c r="C1071" i="8" s="1"/>
  <c r="C1069" i="8" a="1"/>
  <c r="C1069" i="8" s="1"/>
  <c r="C1067" i="8" a="1"/>
  <c r="C1067" i="8" s="1"/>
  <c r="C1065" i="8" a="1"/>
  <c r="C1065" i="8" s="1"/>
  <c r="C1082" i="8" a="1"/>
  <c r="C1082" i="8" s="1"/>
  <c r="C1108" i="8" a="1"/>
  <c r="C1108" i="8" s="1"/>
  <c r="C1103" i="8" a="1"/>
  <c r="C1103" i="8" s="1"/>
  <c r="C1101" i="8" a="1"/>
  <c r="C1101" i="8" s="1"/>
  <c r="C1075" i="8" a="1"/>
  <c r="C1075" i="8" s="1"/>
  <c r="C1077" i="8" a="1"/>
  <c r="C1077" i="8" s="1"/>
  <c r="C1080" i="8" a="1"/>
  <c r="C1080" i="8" s="1"/>
  <c r="C1079" i="8" a="1"/>
  <c r="C1079" i="8" s="1"/>
  <c r="C1087" i="8" a="1"/>
  <c r="C1087" i="8" s="1"/>
  <c r="C1090" i="8" a="1"/>
  <c r="C1090" i="8" s="1"/>
  <c r="C1086" i="8" a="1"/>
  <c r="C1086" i="8" s="1"/>
  <c r="C1088" i="8" a="1"/>
  <c r="C1088" i="8" s="1"/>
  <c r="C1089" i="8" a="1"/>
  <c r="C1089" i="8" s="1"/>
  <c r="C1102" i="8" a="1"/>
  <c r="C1102" i="8" s="1"/>
  <c r="C1096" i="8" a="1"/>
  <c r="C1096" i="8" s="1"/>
  <c r="C1098" i="8" a="1"/>
  <c r="C1098" i="8" s="1"/>
  <c r="C1093" i="8" a="1"/>
  <c r="C1093" i="8" s="1"/>
  <c r="C1105" i="8" a="1"/>
  <c r="C1105" i="8" s="1"/>
  <c r="C1104" i="8" a="1"/>
  <c r="C1104" i="8" s="1"/>
  <c r="C1100" i="8" a="1"/>
  <c r="C1100" i="8" s="1"/>
  <c r="C1106" i="8" a="1"/>
  <c r="C1106" i="8" s="1"/>
  <c r="C1107" i="8" a="1"/>
  <c r="C1107" i="8" s="1"/>
  <c r="C1109" i="8" a="1"/>
  <c r="C1109" i="8" s="1"/>
  <c r="C1125" i="8" a="1"/>
  <c r="C1125" i="8" s="1"/>
  <c r="C1127" i="8" a="1"/>
  <c r="C1127" i="8" s="1"/>
  <c r="C1111" i="8" a="1"/>
  <c r="C1111" i="8" s="1"/>
  <c r="C1112" i="8" a="1"/>
  <c r="C1112" i="8" s="1"/>
  <c r="C1110" i="8" a="1"/>
  <c r="C1110" i="8" s="1"/>
  <c r="C1119" i="8" a="1"/>
  <c r="C1119" i="8" s="1"/>
  <c r="C1124" i="8" a="1"/>
  <c r="C1124" i="8" s="1"/>
  <c r="C1115" i="8" a="1"/>
  <c r="C1115" i="8" s="1"/>
  <c r="C1118" i="8" a="1"/>
  <c r="C1118" i="8" s="1"/>
  <c r="C1117" i="8" a="1"/>
  <c r="C1117" i="8" s="1"/>
  <c r="C1121" i="8" a="1"/>
  <c r="C1121" i="8" s="1"/>
  <c r="C1123" i="8" a="1"/>
  <c r="C1123" i="8" s="1"/>
  <c r="C1958" i="8" a="1"/>
  <c r="C1958" i="8" s="1"/>
  <c r="C1934" i="8" a="1"/>
  <c r="C1934" i="8" s="1"/>
  <c r="C1898" i="8" a="1"/>
  <c r="C1898" i="8" s="1"/>
  <c r="C1873" i="8" a="1"/>
  <c r="C1873" i="8" s="1"/>
  <c r="C1808" i="8" a="1"/>
  <c r="C1808" i="8" s="1"/>
  <c r="C1981" i="8" a="1"/>
  <c r="C1981" i="8" s="1"/>
  <c r="C1937" i="8" a="1"/>
  <c r="C1937" i="8" s="1"/>
  <c r="C1903" i="8" a="1"/>
  <c r="C1903" i="8" s="1"/>
  <c r="C1876" i="8" a="1"/>
  <c r="C1876" i="8" s="1"/>
  <c r="C1811" i="8" a="1"/>
  <c r="C1811" i="8" s="1"/>
  <c r="C1952" i="8" a="1"/>
  <c r="C1952" i="8" s="1"/>
  <c r="C1930" i="8" a="1"/>
  <c r="C1930" i="8" s="1"/>
  <c r="C1895" i="8" a="1"/>
  <c r="C1895" i="8" s="1"/>
  <c r="C1864" i="8" a="1"/>
  <c r="C1864" i="8" s="1"/>
  <c r="C1806" i="8" a="1"/>
  <c r="C1806" i="8" s="1"/>
  <c r="C1720" i="8" a="1"/>
  <c r="C1720" i="8" s="1"/>
  <c r="C1718" i="8" a="1"/>
  <c r="C1718" i="8" s="1"/>
  <c r="C1712" i="8" a="1"/>
  <c r="C1712" i="8" s="1"/>
  <c r="C1779" i="8" a="1"/>
  <c r="C1779" i="8" s="1"/>
  <c r="C1773" i="8" a="1"/>
  <c r="C1773" i="8" s="1"/>
  <c r="C1767" i="8" a="1"/>
  <c r="C1767" i="8" s="1"/>
  <c r="C1653" i="8" a="1"/>
  <c r="C1653" i="8" s="1"/>
  <c r="C1651" i="8" a="1"/>
  <c r="C1651" i="8" s="1"/>
  <c r="C1648" i="8" a="1"/>
  <c r="C1648" i="8" s="1"/>
  <c r="C1608" i="8" a="1"/>
  <c r="C1608" i="8" s="1"/>
  <c r="C1612" i="8" a="1"/>
  <c r="C1612" i="8" s="1"/>
  <c r="C1603" i="8" a="1"/>
  <c r="C1603" i="8" s="1"/>
  <c r="C1500" i="8" a="1"/>
  <c r="C1500" i="8" s="1"/>
  <c r="C1498" i="8" a="1"/>
  <c r="C1498" i="8" s="1"/>
  <c r="C1502" i="8" a="1"/>
  <c r="C1502" i="8" s="1"/>
  <c r="C1544" i="8" a="1"/>
  <c r="C1544" i="8" s="1"/>
  <c r="C1542" i="8" a="1"/>
  <c r="C1542" i="8" s="1"/>
  <c r="C1540" i="8" a="1"/>
  <c r="C1540" i="8" s="1"/>
  <c r="C1451" i="8" a="1"/>
  <c r="C1451" i="8" s="1"/>
  <c r="C1449" i="8" a="1"/>
  <c r="C1449" i="8" s="1"/>
  <c r="C1445" i="8" a="1"/>
  <c r="C1445" i="8" s="1"/>
  <c r="C1739" i="8" a="1"/>
  <c r="C1739" i="8" s="1"/>
  <c r="C1847" i="8" a="1"/>
  <c r="C1847" i="8" s="1"/>
  <c r="C1742" i="8" a="1"/>
  <c r="C1742" i="8" s="1"/>
  <c r="C1737" i="8" a="1"/>
  <c r="C1737" i="8" s="1"/>
  <c r="C1845" i="8" a="1"/>
  <c r="C1845" i="8" s="1"/>
  <c r="C1838" i="8" a="1"/>
  <c r="C1838" i="8" s="1"/>
  <c r="C1411" i="8" a="1"/>
  <c r="C1411" i="8" s="1"/>
  <c r="C1409" i="8" a="1"/>
  <c r="C1409" i="8" s="1"/>
  <c r="C1406" i="8" a="1"/>
  <c r="C1406" i="8" s="1"/>
  <c r="C1351" i="8" a="1"/>
  <c r="C1351" i="8" s="1"/>
  <c r="C1354" i="8" a="1"/>
  <c r="C1354" i="8" s="1"/>
  <c r="C1349" i="8" a="1"/>
  <c r="C1349" i="8" s="1"/>
  <c r="C1321" i="8" a="1"/>
  <c r="C1321" i="8" s="1"/>
  <c r="C1324" i="8" a="1"/>
  <c r="C1324" i="8" s="1"/>
  <c r="C1315" i="8" a="1"/>
  <c r="C1315" i="8" s="1"/>
  <c r="C1230" i="8" a="1"/>
  <c r="C1230" i="8" s="1"/>
  <c r="C1233" i="8" a="1"/>
  <c r="C1233" i="8" s="1"/>
  <c r="C1219" i="8" a="1"/>
  <c r="C1219" i="8" s="1"/>
  <c r="C1382" i="8" a="1"/>
  <c r="C1382" i="8" s="1"/>
  <c r="C1380" i="8" a="1"/>
  <c r="C1380" i="8" s="1"/>
  <c r="C1376" i="8" a="1"/>
  <c r="C1376" i="8" s="1"/>
  <c r="C1480" i="8" a="1"/>
  <c r="C1480" i="8" s="1"/>
  <c r="C1478" i="8" a="1"/>
  <c r="C1478" i="8" s="1"/>
  <c r="C1474" i="8" a="1"/>
  <c r="C1474" i="8" s="1"/>
  <c r="C1572" i="8" a="1"/>
  <c r="C1572" i="8" s="1"/>
  <c r="C1569" i="8" a="1"/>
  <c r="C1569" i="8" s="1"/>
  <c r="C1562" i="8" a="1"/>
  <c r="C1562" i="8" s="1"/>
  <c r="C1676" i="8" a="1"/>
  <c r="C1676" i="8" s="1"/>
  <c r="C1674" i="8" a="1"/>
  <c r="C1674" i="8" s="1"/>
  <c r="C1668" i="8" a="1"/>
  <c r="C1668" i="8" s="1"/>
  <c r="C1288" i="8" a="1"/>
  <c r="C1288" i="8" s="1"/>
  <c r="C1286" i="8" a="1"/>
  <c r="C1286" i="8" s="1"/>
  <c r="C1281" i="8" a="1"/>
  <c r="C1281" i="8" s="1"/>
  <c r="C1137" i="8" a="1"/>
  <c r="C1137" i="8" s="1"/>
  <c r="C1120" i="8" a="1"/>
  <c r="C1120" i="8" s="1"/>
  <c r="C1132" i="8" a="1"/>
  <c r="C1132" i="8" s="1"/>
  <c r="C1129" i="8" a="1"/>
  <c r="C1129" i="8" s="1"/>
  <c r="C1128" i="8" a="1"/>
  <c r="C1128" i="8" s="1"/>
  <c r="C1126" i="8" a="1"/>
  <c r="C1126" i="8" s="1"/>
  <c r="C1136" i="8" a="1"/>
  <c r="C1136" i="8" s="1"/>
  <c r="C1134" i="8" a="1"/>
  <c r="C1134" i="8" s="1"/>
  <c r="C1139" i="8" a="1"/>
  <c r="C1139" i="8" s="1"/>
  <c r="C1140" i="8" a="1"/>
  <c r="C1140" i="8" s="1"/>
  <c r="C1138" i="8" a="1"/>
  <c r="C1138" i="8" s="1"/>
  <c r="C1141" i="8" a="1"/>
  <c r="C1141" i="8" s="1"/>
  <c r="C1148" i="8" a="1"/>
  <c r="C1148" i="8" s="1"/>
  <c r="C1142" i="8" a="1"/>
  <c r="C1142" i="8" s="1"/>
  <c r="C1206" i="8" a="1"/>
  <c r="C1206" i="8" s="1"/>
  <c r="C1156" i="8" a="1"/>
  <c r="C1156" i="8" s="1"/>
  <c r="C1172" i="8" a="1"/>
  <c r="C1172" i="8" s="1"/>
  <c r="C1164" i="8" a="1"/>
  <c r="C1164" i="8" s="1"/>
  <c r="C1151" i="8" a="1"/>
  <c r="C1151" i="8" s="1"/>
  <c r="C1152" i="8" a="1"/>
  <c r="C1152" i="8" s="1"/>
  <c r="C1147" i="8" a="1"/>
  <c r="C1147" i="8" s="1"/>
  <c r="C1153" i="8" a="1"/>
  <c r="C1153" i="8" s="1"/>
  <c r="C1146" i="8" a="1"/>
  <c r="C1146" i="8" s="1"/>
  <c r="C1150" i="8" a="1"/>
  <c r="C1150" i="8" s="1"/>
  <c r="C1149" i="8" a="1"/>
  <c r="C1149" i="8" s="1"/>
  <c r="C1158" i="8" a="1"/>
  <c r="C1158" i="8" s="1"/>
  <c r="C1159" i="8" a="1"/>
  <c r="C1159" i="8" s="1"/>
  <c r="C1171" i="8" a="1"/>
  <c r="C1171" i="8" s="1"/>
  <c r="C1161" i="8" a="1"/>
  <c r="C1161" i="8" s="1"/>
  <c r="C1162" i="8" a="1"/>
  <c r="C1162" i="8" s="1"/>
  <c r="C1165" i="8" a="1"/>
  <c r="C1165" i="8" s="1"/>
  <c r="C1167" i="8" a="1"/>
  <c r="C1167" i="8" s="1"/>
  <c r="C1163" i="8" a="1"/>
  <c r="C1163" i="8" s="1"/>
  <c r="C1160" i="8" a="1"/>
  <c r="C1160" i="8" s="1"/>
  <c r="C1170" i="8" a="1"/>
  <c r="C1170" i="8" s="1"/>
  <c r="D1039" i="8"/>
  <c r="D1031" i="8"/>
  <c r="D1076" i="8"/>
  <c r="D1099" i="8"/>
  <c r="D1029" i="8"/>
  <c r="D1034" i="8"/>
  <c r="D1037" i="8"/>
  <c r="D1091" i="8"/>
  <c r="D1097" i="8"/>
  <c r="D1036" i="8"/>
  <c r="D1042" i="8"/>
  <c r="D1041" i="8"/>
  <c r="D1063" i="8"/>
  <c r="D1064" i="8"/>
  <c r="D1130" i="8"/>
  <c r="D1131" i="8"/>
  <c r="D1048" i="8"/>
  <c r="D1046" i="8"/>
  <c r="D1044" i="8"/>
  <c r="D1045" i="8"/>
  <c r="D1049" i="8"/>
  <c r="D1058" i="8"/>
  <c r="D1052" i="8"/>
  <c r="D1050" i="8"/>
  <c r="D1056" i="8"/>
  <c r="D1030" i="8"/>
  <c r="D1059" i="8"/>
  <c r="D1057" i="8"/>
  <c r="D1055" i="8"/>
  <c r="D1060" i="8"/>
  <c r="D1061" i="8"/>
  <c r="D1092" i="8"/>
  <c r="D1094" i="8"/>
  <c r="D1114" i="8"/>
  <c r="D1116" i="8"/>
  <c r="D1155" i="8"/>
  <c r="D1154" i="8"/>
  <c r="D1182" i="8"/>
  <c r="D1181" i="8"/>
  <c r="D1212" i="8"/>
  <c r="D1211" i="8"/>
  <c r="D1252" i="8"/>
  <c r="D1249" i="8"/>
  <c r="D1085" i="8"/>
  <c r="D1062" i="8"/>
  <c r="D1068" i="8"/>
  <c r="D1066" i="8"/>
  <c r="D1072" i="8"/>
  <c r="D1073" i="8"/>
  <c r="D1070" i="8"/>
  <c r="D1071" i="8"/>
  <c r="D1069" i="8"/>
  <c r="D1067" i="8"/>
  <c r="D1065" i="8"/>
  <c r="D1082" i="8"/>
  <c r="D1108" i="8"/>
  <c r="D1103" i="8"/>
  <c r="D1101" i="8"/>
  <c r="D1075" i="8"/>
  <c r="D1077" i="8"/>
  <c r="D1080" i="8"/>
  <c r="D1079" i="8"/>
  <c r="D1087" i="8"/>
  <c r="D1090" i="8"/>
  <c r="D1086" i="8"/>
  <c r="D1088" i="8"/>
  <c r="D1089" i="8"/>
  <c r="D1102" i="8"/>
  <c r="D1096" i="8"/>
  <c r="D1098" i="8"/>
  <c r="D1093" i="8"/>
  <c r="D1105" i="8"/>
  <c r="D1104" i="8"/>
  <c r="D1100" i="8"/>
  <c r="D1106" i="8"/>
  <c r="D1107" i="8"/>
  <c r="D1109" i="8"/>
  <c r="D1125" i="8"/>
  <c r="D1127" i="8"/>
  <c r="D1111" i="8"/>
  <c r="D1112" i="8"/>
  <c r="D1110" i="8"/>
  <c r="D1119" i="8"/>
  <c r="D1124" i="8"/>
  <c r="D1115" i="8"/>
  <c r="D1118" i="8"/>
  <c r="D1117" i="8"/>
  <c r="D1121" i="8"/>
  <c r="D1123" i="8"/>
  <c r="D1873" i="8"/>
  <c r="D1808" i="8"/>
  <c r="D1876" i="8"/>
  <c r="D1811" i="8"/>
  <c r="D1864" i="8"/>
  <c r="D1806" i="8"/>
  <c r="D1720" i="8"/>
  <c r="D1718" i="8"/>
  <c r="D1712" i="8"/>
  <c r="D1779" i="8"/>
  <c r="D1773" i="8"/>
  <c r="D1767" i="8"/>
  <c r="D1653" i="8"/>
  <c r="D1651" i="8"/>
  <c r="D1648" i="8"/>
  <c r="D1608" i="8"/>
  <c r="D1612" i="8"/>
  <c r="D1603" i="8"/>
  <c r="D1500" i="8"/>
  <c r="D1498" i="8"/>
  <c r="D1502" i="8"/>
  <c r="D1544" i="8"/>
  <c r="D1542" i="8"/>
  <c r="D1540" i="8"/>
  <c r="D1451" i="8"/>
  <c r="D1449" i="8"/>
  <c r="D1445" i="8"/>
  <c r="D1739" i="8"/>
  <c r="D1847" i="8"/>
  <c r="D1742" i="8"/>
  <c r="D1737" i="8"/>
  <c r="D1845" i="8"/>
  <c r="D1838" i="8"/>
  <c r="D1411" i="8"/>
  <c r="D1409" i="8"/>
  <c r="D1406" i="8"/>
  <c r="D1351" i="8"/>
  <c r="D1354" i="8"/>
  <c r="D1349" i="8"/>
  <c r="D1321" i="8"/>
  <c r="D1324" i="8"/>
  <c r="D1315" i="8"/>
  <c r="D1230" i="8"/>
  <c r="D1233" i="8"/>
  <c r="D1219" i="8"/>
  <c r="D1382" i="8"/>
  <c r="D1380" i="8"/>
  <c r="D1376" i="8"/>
  <c r="D1480" i="8"/>
  <c r="D1478" i="8"/>
  <c r="D1474" i="8"/>
  <c r="D1572" i="8"/>
  <c r="D1569" i="8"/>
  <c r="D1562" i="8"/>
  <c r="D1676" i="8"/>
  <c r="D1674" i="8"/>
  <c r="D1668" i="8"/>
  <c r="D1288" i="8"/>
  <c r="D1286" i="8"/>
  <c r="D1281" i="8"/>
  <c r="D1137" i="8"/>
  <c r="D1120" i="8"/>
  <c r="D1132" i="8"/>
  <c r="D1129" i="8"/>
  <c r="D1128" i="8"/>
  <c r="D1126" i="8"/>
  <c r="D1136" i="8"/>
  <c r="D1134" i="8"/>
  <c r="D1139" i="8"/>
  <c r="D1140" i="8"/>
  <c r="D1138" i="8"/>
  <c r="D1141" i="8"/>
  <c r="D1148" i="8"/>
  <c r="D1142" i="8"/>
  <c r="D1206" i="8"/>
  <c r="D1156" i="8"/>
  <c r="D1172" i="8"/>
  <c r="D1164" i="8"/>
  <c r="D1151" i="8"/>
  <c r="D1152" i="8"/>
  <c r="D1147" i="8"/>
  <c r="D1153" i="8"/>
  <c r="D1146" i="8"/>
  <c r="D1150" i="8"/>
  <c r="D1149" i="8"/>
  <c r="D1158" i="8"/>
  <c r="D1159" i="8"/>
  <c r="D1171" i="8"/>
  <c r="D1161" i="8"/>
  <c r="D1162" i="8"/>
  <c r="D1165" i="8"/>
  <c r="D1167" i="8"/>
  <c r="D1163" i="8"/>
  <c r="D1160" i="8"/>
  <c r="D1170" i="8"/>
  <c r="F1039" i="8"/>
  <c r="F1028" i="8"/>
  <c r="F1031" i="8"/>
  <c r="F1076" i="8"/>
  <c r="F1099" i="8"/>
  <c r="F1029" i="8"/>
  <c r="F1034" i="8"/>
  <c r="F1037" i="8"/>
  <c r="F1091" i="8"/>
  <c r="F1097" i="8"/>
  <c r="F1036" i="8"/>
  <c r="F1042" i="8"/>
  <c r="F1041" i="8"/>
  <c r="F1063" i="8"/>
  <c r="F1064" i="8"/>
  <c r="F1130" i="8"/>
  <c r="F1131" i="8"/>
  <c r="F1048" i="8"/>
  <c r="F1046" i="8"/>
  <c r="F1044" i="8"/>
  <c r="F1045" i="8"/>
  <c r="F1049" i="8"/>
  <c r="F1058" i="8"/>
  <c r="F1052" i="8"/>
  <c r="F1050" i="8"/>
  <c r="F1056" i="8"/>
  <c r="F1030" i="8"/>
  <c r="F1059" i="8"/>
  <c r="F1057" i="8"/>
  <c r="F1055" i="8"/>
  <c r="F1060" i="8"/>
  <c r="F1061" i="8"/>
  <c r="F1092" i="8"/>
  <c r="F1094" i="8"/>
  <c r="F1114" i="8"/>
  <c r="F1116" i="8"/>
  <c r="F1155" i="8"/>
  <c r="F1154" i="8"/>
  <c r="F1182" i="8"/>
  <c r="F1181" i="8"/>
  <c r="F1212" i="8"/>
  <c r="F1211" i="8"/>
  <c r="F1252" i="8"/>
  <c r="F1249" i="8"/>
  <c r="F1085" i="8"/>
  <c r="F1062" i="8"/>
  <c r="F1068" i="8"/>
  <c r="F1066" i="8"/>
  <c r="F1072" i="8"/>
  <c r="F1073" i="8"/>
  <c r="F1070" i="8"/>
  <c r="F1071" i="8"/>
  <c r="F1069" i="8"/>
  <c r="F1067" i="8"/>
  <c r="F1065" i="8"/>
  <c r="F1082" i="8"/>
  <c r="F1108" i="8"/>
  <c r="F1103" i="8"/>
  <c r="F1101" i="8"/>
  <c r="F1075" i="8"/>
  <c r="F1077" i="8"/>
  <c r="F1080" i="8"/>
  <c r="F1079" i="8"/>
  <c r="F1087" i="8"/>
  <c r="F1090" i="8"/>
  <c r="F1086" i="8"/>
  <c r="F1088" i="8"/>
  <c r="F1089" i="8"/>
  <c r="F1102" i="8"/>
  <c r="F1096" i="8"/>
  <c r="F1098" i="8"/>
  <c r="F1093" i="8"/>
  <c r="F1105" i="8"/>
  <c r="F1104" i="8"/>
  <c r="F1100" i="8"/>
  <c r="F1106" i="8"/>
  <c r="F1107" i="8"/>
  <c r="F1109" i="8"/>
  <c r="F1125" i="8"/>
  <c r="F1127" i="8"/>
  <c r="F1111" i="8"/>
  <c r="F1112" i="8"/>
  <c r="F1110" i="8"/>
  <c r="F1119" i="8"/>
  <c r="F1124" i="8"/>
  <c r="F1115" i="8"/>
  <c r="F1118" i="8"/>
  <c r="F1117" i="8"/>
  <c r="F1121" i="8"/>
  <c r="F1123" i="8"/>
  <c r="F1958" i="8"/>
  <c r="F1934" i="8"/>
  <c r="F1898" i="8"/>
  <c r="F1873" i="8"/>
  <c r="F1808" i="8"/>
  <c r="F1981" i="8"/>
  <c r="F1937" i="8"/>
  <c r="F1903" i="8"/>
  <c r="F1876" i="8"/>
  <c r="F1811" i="8"/>
  <c r="F1952" i="8"/>
  <c r="F1930" i="8"/>
  <c r="F1895" i="8"/>
  <c r="F1864" i="8"/>
  <c r="F1806" i="8"/>
  <c r="F1720" i="8"/>
  <c r="F1718" i="8"/>
  <c r="F1712" i="8"/>
  <c r="F1779" i="8"/>
  <c r="F1773" i="8"/>
  <c r="F1767" i="8"/>
  <c r="F1653" i="8"/>
  <c r="F1651" i="8"/>
  <c r="F1648" i="8"/>
  <c r="F1608" i="8"/>
  <c r="F1612" i="8"/>
  <c r="F1603" i="8"/>
  <c r="F1500" i="8"/>
  <c r="F1498" i="8"/>
  <c r="F1502" i="8"/>
  <c r="F1544" i="8"/>
  <c r="F1542" i="8"/>
  <c r="F1540" i="8"/>
  <c r="F1451" i="8"/>
  <c r="F1449" i="8"/>
  <c r="F1445" i="8"/>
  <c r="F1739" i="8"/>
  <c r="F1847" i="8"/>
  <c r="F1742" i="8"/>
  <c r="F1737" i="8"/>
  <c r="F1845" i="8"/>
  <c r="F1838" i="8"/>
  <c r="F1411" i="8"/>
  <c r="F1409" i="8"/>
  <c r="F1406" i="8"/>
  <c r="F1351" i="8"/>
  <c r="F1354" i="8"/>
  <c r="F1349" i="8"/>
  <c r="F1321" i="8"/>
  <c r="F1324" i="8"/>
  <c r="F1315" i="8"/>
  <c r="F1230" i="8"/>
  <c r="F1233" i="8"/>
  <c r="F1219" i="8"/>
  <c r="F1382" i="8"/>
  <c r="F1380" i="8"/>
  <c r="F1376" i="8"/>
  <c r="F1480" i="8"/>
  <c r="F1478" i="8"/>
  <c r="F1474" i="8"/>
  <c r="F1572" i="8"/>
  <c r="F1569" i="8"/>
  <c r="F1562" i="8"/>
  <c r="F1676" i="8"/>
  <c r="F1674" i="8"/>
  <c r="F1668" i="8"/>
  <c r="F1288" i="8"/>
  <c r="F1286" i="8"/>
  <c r="F1281" i="8"/>
  <c r="F1137" i="8"/>
  <c r="F1120" i="8"/>
  <c r="F1132" i="8"/>
  <c r="F1129" i="8"/>
  <c r="F1128" i="8"/>
  <c r="F1126" i="8"/>
  <c r="F1136" i="8"/>
  <c r="F1134" i="8"/>
  <c r="F1139" i="8"/>
  <c r="F1140" i="8"/>
  <c r="F1138" i="8"/>
  <c r="F1141" i="8"/>
  <c r="F1148" i="8"/>
  <c r="F1142" i="8"/>
  <c r="F1206" i="8"/>
  <c r="F1156" i="8"/>
  <c r="F1172" i="8"/>
  <c r="F1164" i="8"/>
  <c r="F1151" i="8"/>
  <c r="F1152" i="8"/>
  <c r="F1147" i="8"/>
  <c r="F1153" i="8"/>
  <c r="F1146" i="8"/>
  <c r="F1150" i="8"/>
  <c r="F1149" i="8"/>
  <c r="F1158" i="8"/>
  <c r="F1159" i="8"/>
  <c r="F1171" i="8"/>
  <c r="F1161" i="8"/>
  <c r="F1162" i="8"/>
  <c r="F1165" i="8"/>
  <c r="F1167" i="8"/>
  <c r="F1163" i="8"/>
  <c r="F1160" i="8"/>
  <c r="F1170" i="8"/>
  <c r="R1039" i="8"/>
  <c r="R1028" i="8"/>
  <c r="R1031" i="8"/>
  <c r="R1076" i="8"/>
  <c r="R1099" i="8"/>
  <c r="R1029" i="8"/>
  <c r="R1034" i="8"/>
  <c r="R1037" i="8"/>
  <c r="R1091" i="8"/>
  <c r="R1097" i="8"/>
  <c r="R1036" i="8"/>
  <c r="R1042" i="8"/>
  <c r="R1041" i="8"/>
  <c r="R1063" i="8"/>
  <c r="R1064" i="8"/>
  <c r="R1130" i="8"/>
  <c r="R1131" i="8"/>
  <c r="R1048" i="8"/>
  <c r="R1046" i="8"/>
  <c r="R1044" i="8"/>
  <c r="R1045" i="8"/>
  <c r="R1049" i="8"/>
  <c r="R1058" i="8"/>
  <c r="R1052" i="8"/>
  <c r="R1050" i="8"/>
  <c r="R1056" i="8"/>
  <c r="R1030" i="8"/>
  <c r="R1059" i="8"/>
  <c r="R1057" i="8"/>
  <c r="R1055" i="8"/>
  <c r="R1060" i="8"/>
  <c r="R1061" i="8"/>
  <c r="R1092" i="8"/>
  <c r="R1094" i="8"/>
  <c r="R1114" i="8"/>
  <c r="R1116" i="8"/>
  <c r="R1155" i="8"/>
  <c r="R1154" i="8"/>
  <c r="R1182" i="8"/>
  <c r="R1181" i="8"/>
  <c r="R1212" i="8"/>
  <c r="R1211" i="8"/>
  <c r="R1252" i="8"/>
  <c r="R1249" i="8"/>
  <c r="R1085" i="8"/>
  <c r="R1062" i="8"/>
  <c r="R1068" i="8"/>
  <c r="R1066" i="8"/>
  <c r="R1072" i="8"/>
  <c r="R1073" i="8"/>
  <c r="R1070" i="8"/>
  <c r="R1071" i="8"/>
  <c r="R1069" i="8"/>
  <c r="R1067" i="8"/>
  <c r="R1065" i="8"/>
  <c r="R1082" i="8"/>
  <c r="R1108" i="8"/>
  <c r="R1103" i="8"/>
  <c r="R1101" i="8"/>
  <c r="R1075" i="8"/>
  <c r="R1077" i="8"/>
  <c r="R1080" i="8"/>
  <c r="R1079" i="8"/>
  <c r="R1087" i="8"/>
  <c r="R1090" i="8"/>
  <c r="R1086" i="8"/>
  <c r="R1088" i="8"/>
  <c r="R1089" i="8"/>
  <c r="R1102" i="8"/>
  <c r="R1096" i="8"/>
  <c r="R1098" i="8"/>
  <c r="R1093" i="8"/>
  <c r="R1105" i="8"/>
  <c r="R1104" i="8"/>
  <c r="R1100" i="8"/>
  <c r="R1106" i="8"/>
  <c r="R1107" i="8"/>
  <c r="R1109" i="8"/>
  <c r="R1125" i="8"/>
  <c r="R1127" i="8"/>
  <c r="R1111" i="8"/>
  <c r="R1112" i="8"/>
  <c r="R1110" i="8"/>
  <c r="R1119" i="8"/>
  <c r="R1124" i="8"/>
  <c r="R1115" i="8"/>
  <c r="R1118" i="8"/>
  <c r="R1117" i="8"/>
  <c r="R1121" i="8"/>
  <c r="R1123" i="8"/>
  <c r="R1958" i="8"/>
  <c r="R1934" i="8"/>
  <c r="R1898" i="8"/>
  <c r="R1873" i="8"/>
  <c r="R1808" i="8"/>
  <c r="R1981" i="8"/>
  <c r="R1937" i="8"/>
  <c r="R1903" i="8"/>
  <c r="R1876" i="8"/>
  <c r="R1811" i="8"/>
  <c r="R1952" i="8"/>
  <c r="R1930" i="8"/>
  <c r="R1895" i="8"/>
  <c r="R1864" i="8"/>
  <c r="R1806" i="8"/>
  <c r="R1720" i="8"/>
  <c r="R1718" i="8"/>
  <c r="R1712" i="8"/>
  <c r="R1779" i="8"/>
  <c r="R1773" i="8"/>
  <c r="R1767" i="8"/>
  <c r="R1653" i="8"/>
  <c r="R1651" i="8"/>
  <c r="R1648" i="8"/>
  <c r="R1608" i="8"/>
  <c r="R1612" i="8"/>
  <c r="R1603" i="8"/>
  <c r="R1500" i="8"/>
  <c r="R1498" i="8"/>
  <c r="R1502" i="8"/>
  <c r="R1544" i="8"/>
  <c r="R1542" i="8"/>
  <c r="R1540" i="8"/>
  <c r="R1451" i="8"/>
  <c r="R1449" i="8"/>
  <c r="R1445" i="8"/>
  <c r="R1739" i="8"/>
  <c r="R1847" i="8"/>
  <c r="R1742" i="8"/>
  <c r="R1737" i="8"/>
  <c r="R1845" i="8"/>
  <c r="R1838" i="8"/>
  <c r="R1411" i="8"/>
  <c r="R1409" i="8"/>
  <c r="R1406" i="8"/>
  <c r="R1351" i="8"/>
  <c r="R1354" i="8"/>
  <c r="R1349" i="8"/>
  <c r="R1321" i="8"/>
  <c r="R1324" i="8"/>
  <c r="R1315" i="8"/>
  <c r="R1230" i="8"/>
  <c r="R1233" i="8"/>
  <c r="R1219" i="8"/>
  <c r="R1382" i="8"/>
  <c r="R1380" i="8"/>
  <c r="R1376" i="8"/>
  <c r="R1480" i="8"/>
  <c r="R1478" i="8"/>
  <c r="R1474" i="8"/>
  <c r="R1572" i="8"/>
  <c r="R1569" i="8"/>
  <c r="R1562" i="8"/>
  <c r="R1676" i="8"/>
  <c r="R1674" i="8"/>
  <c r="R1668" i="8"/>
  <c r="R1288" i="8"/>
  <c r="R1286" i="8"/>
  <c r="R1281" i="8"/>
  <c r="R1137" i="8"/>
  <c r="R1120" i="8"/>
  <c r="R1132" i="8"/>
  <c r="R1129" i="8"/>
  <c r="R1128" i="8"/>
  <c r="R1126" i="8"/>
  <c r="R1136" i="8"/>
  <c r="R1134" i="8"/>
  <c r="R1139" i="8"/>
  <c r="R1140" i="8"/>
  <c r="R1138" i="8"/>
  <c r="R1141" i="8"/>
  <c r="R1148" i="8"/>
  <c r="R1142" i="8"/>
  <c r="R1206" i="8"/>
  <c r="R1156" i="8"/>
  <c r="R1172" i="8"/>
  <c r="R1164" i="8"/>
  <c r="R1151" i="8"/>
  <c r="R1152" i="8"/>
  <c r="R1147" i="8"/>
  <c r="R1153" i="8"/>
  <c r="R1146" i="8"/>
  <c r="R1150" i="8"/>
  <c r="R1149" i="8"/>
  <c r="R1158" i="8"/>
  <c r="R1159" i="8"/>
  <c r="R1171" i="8"/>
  <c r="R1161" i="8"/>
  <c r="R1162" i="8"/>
  <c r="R1165" i="8"/>
  <c r="R1167" i="8"/>
  <c r="R1163" i="8"/>
  <c r="R1160" i="8"/>
  <c r="R1170" i="8"/>
  <c r="T1039" i="8"/>
  <c r="T1028" i="8"/>
  <c r="T1031" i="8"/>
  <c r="T1076" i="8"/>
  <c r="T1099" i="8"/>
  <c r="T1029" i="8"/>
  <c r="T1034" i="8"/>
  <c r="T1037" i="8"/>
  <c r="T1091" i="8"/>
  <c r="T1097" i="8"/>
  <c r="T1036" i="8"/>
  <c r="T1042" i="8"/>
  <c r="T1041" i="8"/>
  <c r="T1063" i="8"/>
  <c r="T1064" i="8"/>
  <c r="T1130" i="8"/>
  <c r="T1131" i="8"/>
  <c r="T1048" i="8"/>
  <c r="T1046" i="8"/>
  <c r="T1044" i="8"/>
  <c r="T1045" i="8"/>
  <c r="T1049" i="8"/>
  <c r="T1058" i="8"/>
  <c r="T1052" i="8"/>
  <c r="T1050" i="8"/>
  <c r="T1056" i="8"/>
  <c r="T1030" i="8"/>
  <c r="T1059" i="8"/>
  <c r="T1057" i="8"/>
  <c r="T1055" i="8"/>
  <c r="T1060" i="8"/>
  <c r="T1061" i="8"/>
  <c r="T1092" i="8"/>
  <c r="T1094" i="8"/>
  <c r="T1114" i="8"/>
  <c r="T1116" i="8"/>
  <c r="T1155" i="8"/>
  <c r="T1154" i="8"/>
  <c r="T1182" i="8"/>
  <c r="T1181" i="8"/>
  <c r="T1212" i="8"/>
  <c r="T1211" i="8"/>
  <c r="T1252" i="8"/>
  <c r="T1249" i="8"/>
  <c r="T1085" i="8"/>
  <c r="T1062" i="8"/>
  <c r="T1068" i="8"/>
  <c r="T1066" i="8"/>
  <c r="T1072" i="8"/>
  <c r="T1073" i="8"/>
  <c r="T1070" i="8"/>
  <c r="T1071" i="8"/>
  <c r="T1069" i="8"/>
  <c r="T1067" i="8"/>
  <c r="T1065" i="8"/>
  <c r="T1082" i="8"/>
  <c r="T1108" i="8"/>
  <c r="T1103" i="8"/>
  <c r="T1101" i="8"/>
  <c r="T1075" i="8"/>
  <c r="T1077" i="8"/>
  <c r="T1080" i="8"/>
  <c r="T1079" i="8"/>
  <c r="T1087" i="8"/>
  <c r="T1090" i="8"/>
  <c r="T1086" i="8"/>
  <c r="T1088" i="8"/>
  <c r="T1089" i="8"/>
  <c r="T1102" i="8"/>
  <c r="T1096" i="8"/>
  <c r="T1098" i="8"/>
  <c r="T1093" i="8"/>
  <c r="T1105" i="8"/>
  <c r="T1104" i="8"/>
  <c r="T1100" i="8"/>
  <c r="T1106" i="8"/>
  <c r="T1107" i="8"/>
  <c r="T1109" i="8"/>
  <c r="T1125" i="8"/>
  <c r="T1127" i="8"/>
  <c r="T1111" i="8"/>
  <c r="T1112" i="8"/>
  <c r="T1110" i="8"/>
  <c r="T1119" i="8"/>
  <c r="T1124" i="8"/>
  <c r="T1115" i="8"/>
  <c r="T1118" i="8"/>
  <c r="T1117" i="8"/>
  <c r="T1121" i="8"/>
  <c r="T1123" i="8"/>
  <c r="T1958" i="8"/>
  <c r="T1934" i="8"/>
  <c r="T1898" i="8"/>
  <c r="T1873" i="8"/>
  <c r="T1808" i="8"/>
  <c r="T1981" i="8"/>
  <c r="T1937" i="8"/>
  <c r="T1903" i="8"/>
  <c r="T1876" i="8"/>
  <c r="T1811" i="8"/>
  <c r="T1952" i="8"/>
  <c r="T1930" i="8"/>
  <c r="T1895" i="8"/>
  <c r="T1864" i="8"/>
  <c r="T1806" i="8"/>
  <c r="T1720" i="8"/>
  <c r="T1718" i="8"/>
  <c r="T1712" i="8"/>
  <c r="T1779" i="8"/>
  <c r="T1773" i="8"/>
  <c r="T1767" i="8"/>
  <c r="T1653" i="8"/>
  <c r="T1651" i="8"/>
  <c r="T1648" i="8"/>
  <c r="T1608" i="8"/>
  <c r="T1612" i="8"/>
  <c r="T1603" i="8"/>
  <c r="T1500" i="8"/>
  <c r="T1498" i="8"/>
  <c r="T1502" i="8"/>
  <c r="T1544" i="8"/>
  <c r="T1542" i="8"/>
  <c r="T1540" i="8"/>
  <c r="T1451" i="8"/>
  <c r="T1449" i="8"/>
  <c r="T1445" i="8"/>
  <c r="T1739" i="8"/>
  <c r="T1847" i="8"/>
  <c r="T1742" i="8"/>
  <c r="T1737" i="8"/>
  <c r="T1845" i="8"/>
  <c r="T1838" i="8"/>
  <c r="T1411" i="8"/>
  <c r="T1409" i="8"/>
  <c r="T1406" i="8"/>
  <c r="T1351" i="8"/>
  <c r="T1354" i="8"/>
  <c r="T1349" i="8"/>
  <c r="T1321" i="8"/>
  <c r="T1324" i="8"/>
  <c r="T1315" i="8"/>
  <c r="T1230" i="8"/>
  <c r="T1233" i="8"/>
  <c r="T1219" i="8"/>
  <c r="T1382" i="8"/>
  <c r="T1380" i="8"/>
  <c r="T1376" i="8"/>
  <c r="T1480" i="8"/>
  <c r="T1478" i="8"/>
  <c r="T1474" i="8"/>
  <c r="T1572" i="8"/>
  <c r="T1569" i="8"/>
  <c r="T1562" i="8"/>
  <c r="T1676" i="8"/>
  <c r="T1674" i="8"/>
  <c r="T1668" i="8"/>
  <c r="T1288" i="8"/>
  <c r="T1286" i="8"/>
  <c r="T1281" i="8"/>
  <c r="T1137" i="8"/>
  <c r="T1120" i="8"/>
  <c r="T1132" i="8"/>
  <c r="T1129" i="8"/>
  <c r="T1128" i="8"/>
  <c r="T1126" i="8"/>
  <c r="T1136" i="8"/>
  <c r="T1134" i="8"/>
  <c r="T1139" i="8"/>
  <c r="T1140" i="8"/>
  <c r="T1138" i="8"/>
  <c r="T1141" i="8"/>
  <c r="T1148" i="8"/>
  <c r="T1142" i="8"/>
  <c r="T1206" i="8"/>
  <c r="T1156" i="8"/>
  <c r="T1172" i="8"/>
  <c r="T1164" i="8"/>
  <c r="T1151" i="8"/>
  <c r="T1152" i="8"/>
  <c r="T1147" i="8"/>
  <c r="T1153" i="8"/>
  <c r="T1146" i="8"/>
  <c r="T1150" i="8"/>
  <c r="T1149" i="8"/>
  <c r="T1158" i="8"/>
  <c r="T1159" i="8"/>
  <c r="T1171" i="8"/>
  <c r="T1161" i="8"/>
  <c r="T1162" i="8"/>
  <c r="T1165" i="8"/>
  <c r="T1167" i="8"/>
  <c r="T1163" i="8"/>
  <c r="T1160" i="8"/>
  <c r="T1170" i="8"/>
  <c r="I86" i="9"/>
  <c r="I87" i="9"/>
  <c r="I88" i="9"/>
  <c r="I82" i="9"/>
  <c r="I83" i="9"/>
  <c r="I5" i="9"/>
  <c r="I6" i="9"/>
  <c r="I81" i="9"/>
  <c r="I54" i="9"/>
  <c r="C1265" i="8" a="1"/>
  <c r="C1265" i="8" s="1"/>
  <c r="D1265" i="8"/>
  <c r="F1265" i="8"/>
  <c r="G1265" i="8"/>
  <c r="H1265" i="8" s="1"/>
  <c r="R1265" i="8"/>
  <c r="T1265" i="8"/>
  <c r="C1250" i="8" a="1"/>
  <c r="C1250" i="8" s="1"/>
  <c r="D1250" i="8"/>
  <c r="F1250" i="8"/>
  <c r="G1250" i="8"/>
  <c r="J1250" i="8" s="1"/>
  <c r="R1250" i="8"/>
  <c r="T1250" i="8"/>
  <c r="C1180" i="8" a="1"/>
  <c r="C1180" i="8" s="1"/>
  <c r="C1169" i="8" a="1"/>
  <c r="C1169" i="8" s="1"/>
  <c r="C1173" i="8" a="1"/>
  <c r="C1173" i="8" s="1"/>
  <c r="C1174" i="8" a="1"/>
  <c r="C1174" i="8" s="1"/>
  <c r="C1177" i="8" a="1"/>
  <c r="C1177" i="8" s="1"/>
  <c r="C1176" i="8" a="1"/>
  <c r="C1176" i="8" s="1"/>
  <c r="C1178" i="8" a="1"/>
  <c r="C1178" i="8" s="1"/>
  <c r="C1179" i="8" a="1"/>
  <c r="C1179" i="8" s="1"/>
  <c r="C1198" i="8" a="1"/>
  <c r="C1198" i="8" s="1"/>
  <c r="C1186" i="8" a="1"/>
  <c r="C1186" i="8" s="1"/>
  <c r="C1187" i="8" a="1"/>
  <c r="C1187" i="8" s="1"/>
  <c r="C1189" i="8" a="1"/>
  <c r="C1189" i="8" s="1"/>
  <c r="C1185" i="8" a="1"/>
  <c r="C1185" i="8" s="1"/>
  <c r="C1188" i="8" a="1"/>
  <c r="C1188" i="8" s="1"/>
  <c r="C1184" i="8" a="1"/>
  <c r="C1184" i="8" s="1"/>
  <c r="C1192" i="8" a="1"/>
  <c r="C1192" i="8" s="1"/>
  <c r="C1191" i="8" a="1"/>
  <c r="C1191" i="8" s="1"/>
  <c r="C1197" i="8" a="1"/>
  <c r="C1197" i="8" s="1"/>
  <c r="C1190" i="8" a="1"/>
  <c r="C1190" i="8" s="1"/>
  <c r="C1196" i="8" a="1"/>
  <c r="C1196" i="8" s="1"/>
  <c r="C1207" i="8" a="1"/>
  <c r="C1207" i="8" s="1"/>
  <c r="C1247" i="8" a="1"/>
  <c r="C1247" i="8" s="1"/>
  <c r="C1275" i="8" a="1"/>
  <c r="C1275" i="8" s="1"/>
  <c r="C1311" i="8" a="1"/>
  <c r="C1311" i="8" s="1"/>
  <c r="C1195" i="8" a="1"/>
  <c r="C1195" i="8" s="1"/>
  <c r="C1240" i="8" a="1"/>
  <c r="C1240" i="8" s="1"/>
  <c r="C1264" i="8" a="1"/>
  <c r="C1264" i="8" s="1"/>
  <c r="C1304" i="8" a="1"/>
  <c r="C1304" i="8" s="1"/>
  <c r="C1199" i="8" a="1"/>
  <c r="C1199" i="8" s="1"/>
  <c r="C1200" i="8" a="1"/>
  <c r="C1200" i="8" s="1"/>
  <c r="C1201" i="8" a="1"/>
  <c r="C1201" i="8" s="1"/>
  <c r="C1213" i="8" a="1"/>
  <c r="C1213" i="8" s="1"/>
  <c r="C1202" i="8" a="1"/>
  <c r="C1202" i="8" s="1"/>
  <c r="C1203" i="8" a="1"/>
  <c r="C1203" i="8" s="1"/>
  <c r="C1204" i="8" a="1"/>
  <c r="C1204" i="8" s="1"/>
  <c r="C1248" i="8" a="1"/>
  <c r="C1248" i="8" s="1"/>
  <c r="C1274" i="8" a="1"/>
  <c r="C1274" i="8" s="1"/>
  <c r="C1310" i="8" a="1"/>
  <c r="C1310" i="8" s="1"/>
  <c r="C1205" i="8" a="1"/>
  <c r="C1205" i="8" s="1"/>
  <c r="C1214" i="8" a="1"/>
  <c r="C1214" i="8" s="1"/>
  <c r="C1208" i="8" a="1"/>
  <c r="C1208" i="8" s="1"/>
  <c r="C1210" i="8" a="1"/>
  <c r="C1210" i="8" s="1"/>
  <c r="C1236" i="8" a="1"/>
  <c r="C1236" i="8" s="1"/>
  <c r="C1226" i="8" a="1"/>
  <c r="C1226" i="8" s="1"/>
  <c r="C1223" i="8" a="1"/>
  <c r="C1223" i="8" s="1"/>
  <c r="C1225" i="8" a="1"/>
  <c r="C1225" i="8" s="1"/>
  <c r="C1215" i="8" a="1"/>
  <c r="C1215" i="8" s="1"/>
  <c r="C1220" i="8" a="1"/>
  <c r="C1220" i="8" s="1"/>
  <c r="C1228" i="8" a="1"/>
  <c r="C1228" i="8" s="1"/>
  <c r="C1227" i="8" a="1"/>
  <c r="C1227" i="8" s="1"/>
  <c r="C1217" i="8" a="1"/>
  <c r="C1217" i="8" s="1"/>
  <c r="C1222" i="8" a="1"/>
  <c r="C1222" i="8" s="1"/>
  <c r="C1221" i="8" a="1"/>
  <c r="C1221" i="8" s="1"/>
  <c r="C1216" i="8" a="1"/>
  <c r="C1216" i="8" s="1"/>
  <c r="C1224" i="8" a="1"/>
  <c r="C1224" i="8" s="1"/>
  <c r="C1235" i="8" a="1"/>
  <c r="C1235" i="8" s="1"/>
  <c r="C1234" i="8" a="1"/>
  <c r="C1234" i="8" s="1"/>
  <c r="C1237" i="8" a="1"/>
  <c r="C1237" i="8" s="1"/>
  <c r="C1239" i="8" a="1"/>
  <c r="C1239" i="8" s="1"/>
  <c r="C1271" i="8" a="1"/>
  <c r="C1271" i="8" s="1"/>
  <c r="C1244" i="8" a="1"/>
  <c r="C1244" i="8" s="1"/>
  <c r="C1242" i="8" a="1"/>
  <c r="C1242" i="8" s="1"/>
  <c r="C1301" i="8" a="1"/>
  <c r="C1301" i="8" s="1"/>
  <c r="C1243" i="8" a="1"/>
  <c r="C1243" i="8" s="1"/>
  <c r="C1245" i="8" a="1"/>
  <c r="C1245" i="8" s="1"/>
  <c r="D1180" i="8"/>
  <c r="D1169" i="8"/>
  <c r="D1173" i="8"/>
  <c r="D1174" i="8"/>
  <c r="D1177" i="8"/>
  <c r="D1176" i="8"/>
  <c r="D1178" i="8"/>
  <c r="D1179" i="8"/>
  <c r="D1198" i="8"/>
  <c r="D1186" i="8"/>
  <c r="D1187" i="8"/>
  <c r="D1189" i="8"/>
  <c r="D1185" i="8"/>
  <c r="D1188" i="8"/>
  <c r="D1184" i="8"/>
  <c r="D1192" i="8"/>
  <c r="D1191" i="8"/>
  <c r="D1197" i="8"/>
  <c r="D1190" i="8"/>
  <c r="D1196" i="8"/>
  <c r="D1207" i="8"/>
  <c r="D1247" i="8"/>
  <c r="D1275" i="8"/>
  <c r="D1311" i="8"/>
  <c r="D1195" i="8"/>
  <c r="D1240" i="8"/>
  <c r="D1264" i="8"/>
  <c r="D1304" i="8"/>
  <c r="D1199" i="8"/>
  <c r="D1200" i="8"/>
  <c r="D1201" i="8"/>
  <c r="D1213" i="8"/>
  <c r="D1202" i="8"/>
  <c r="D1203" i="8"/>
  <c r="D1204" i="8"/>
  <c r="D1248" i="8"/>
  <c r="D1274" i="8"/>
  <c r="D1310" i="8"/>
  <c r="D1205" i="8"/>
  <c r="D1214" i="8"/>
  <c r="D1208" i="8"/>
  <c r="D1210" i="8"/>
  <c r="D1236" i="8"/>
  <c r="D1226" i="8"/>
  <c r="D1223" i="8"/>
  <c r="D1225" i="8"/>
  <c r="D1215" i="8"/>
  <c r="D1220" i="8"/>
  <c r="D1228" i="8"/>
  <c r="D1227" i="8"/>
  <c r="D1217" i="8"/>
  <c r="D1222" i="8"/>
  <c r="D1221" i="8"/>
  <c r="D1216" i="8"/>
  <c r="D1224" i="8"/>
  <c r="D1235" i="8"/>
  <c r="D1234" i="8"/>
  <c r="D1237" i="8"/>
  <c r="D1239" i="8"/>
  <c r="D1271" i="8"/>
  <c r="D1244" i="8"/>
  <c r="D1242" i="8"/>
  <c r="D1301" i="8"/>
  <c r="D1243" i="8"/>
  <c r="D1245" i="8"/>
  <c r="F1180" i="8"/>
  <c r="F1169" i="8"/>
  <c r="F1173" i="8"/>
  <c r="F1174" i="8"/>
  <c r="F1177" i="8"/>
  <c r="F1176" i="8"/>
  <c r="F1178" i="8"/>
  <c r="F1179" i="8"/>
  <c r="F1198" i="8"/>
  <c r="F1186" i="8"/>
  <c r="F1187" i="8"/>
  <c r="F1189" i="8"/>
  <c r="F1185" i="8"/>
  <c r="F1188" i="8"/>
  <c r="F1184" i="8"/>
  <c r="F1192" i="8"/>
  <c r="F1191" i="8"/>
  <c r="F1197" i="8"/>
  <c r="F1190" i="8"/>
  <c r="F1196" i="8"/>
  <c r="F1207" i="8"/>
  <c r="F1247" i="8"/>
  <c r="F1275" i="8"/>
  <c r="F1311" i="8"/>
  <c r="F1195" i="8"/>
  <c r="F1240" i="8"/>
  <c r="F1264" i="8"/>
  <c r="F1304" i="8"/>
  <c r="F1199" i="8"/>
  <c r="F1200" i="8"/>
  <c r="F1201" i="8"/>
  <c r="F1213" i="8"/>
  <c r="F1202" i="8"/>
  <c r="F1203" i="8"/>
  <c r="F1204" i="8"/>
  <c r="F1248" i="8"/>
  <c r="F1274" i="8"/>
  <c r="F1310" i="8"/>
  <c r="F1205" i="8"/>
  <c r="F1214" i="8"/>
  <c r="F1208" i="8"/>
  <c r="F1210" i="8"/>
  <c r="F1236" i="8"/>
  <c r="F1226" i="8"/>
  <c r="F1223" i="8"/>
  <c r="F1225" i="8"/>
  <c r="F1215" i="8"/>
  <c r="F1220" i="8"/>
  <c r="F1228" i="8"/>
  <c r="F1227" i="8"/>
  <c r="F1217" i="8"/>
  <c r="F1222" i="8"/>
  <c r="F1221" i="8"/>
  <c r="F1216" i="8"/>
  <c r="F1224" i="8"/>
  <c r="F1235" i="8"/>
  <c r="F1234" i="8"/>
  <c r="F1237" i="8"/>
  <c r="F1239" i="8"/>
  <c r="F1271" i="8"/>
  <c r="F1244" i="8"/>
  <c r="F1242" i="8"/>
  <c r="F1301" i="8"/>
  <c r="F1243" i="8"/>
  <c r="F1245" i="8"/>
  <c r="G1180" i="8"/>
  <c r="H1180" i="8" s="1"/>
  <c r="G1169" i="8"/>
  <c r="J1169" i="8" s="1"/>
  <c r="G1173" i="8"/>
  <c r="H1173" i="8" s="1"/>
  <c r="G1174" i="8"/>
  <c r="H1174" i="8" s="1"/>
  <c r="G1177" i="8"/>
  <c r="H1177" i="8" s="1"/>
  <c r="G1176" i="8"/>
  <c r="H1176" i="8" s="1"/>
  <c r="G1178" i="8"/>
  <c r="H1178" i="8" s="1"/>
  <c r="G1179" i="8"/>
  <c r="J1179" i="8" s="1"/>
  <c r="G1198" i="8"/>
  <c r="H1198" i="8" s="1"/>
  <c r="G1186" i="8"/>
  <c r="H1186" i="8" s="1"/>
  <c r="G1187" i="8"/>
  <c r="J1187" i="8" s="1"/>
  <c r="G1189" i="8"/>
  <c r="J1189" i="8" s="1"/>
  <c r="G1185" i="8"/>
  <c r="H1185" i="8" s="1"/>
  <c r="G1188" i="8"/>
  <c r="H1188" i="8" s="1"/>
  <c r="G1184" i="8"/>
  <c r="H1184" i="8" s="1"/>
  <c r="G1192" i="8"/>
  <c r="J1192" i="8" s="1"/>
  <c r="G1191" i="8"/>
  <c r="H1191" i="8" s="1"/>
  <c r="G1197" i="8"/>
  <c r="J1197" i="8" s="1"/>
  <c r="G1190" i="8"/>
  <c r="J1190" i="8" s="1"/>
  <c r="G1196" i="8"/>
  <c r="J1196" i="8" s="1"/>
  <c r="G1207" i="8"/>
  <c r="H1207" i="8" s="1"/>
  <c r="G1247" i="8"/>
  <c r="J1247" i="8" s="1"/>
  <c r="G1275" i="8"/>
  <c r="H1275" i="8" s="1"/>
  <c r="G1311" i="8"/>
  <c r="J1311" i="8" s="1"/>
  <c r="G1195" i="8"/>
  <c r="H1195" i="8" s="1"/>
  <c r="G1240" i="8"/>
  <c r="H1240" i="8" s="1"/>
  <c r="G1264" i="8"/>
  <c r="J1264" i="8" s="1"/>
  <c r="G1304" i="8"/>
  <c r="H1304" i="8" s="1"/>
  <c r="G1199" i="8"/>
  <c r="H1199" i="8" s="1"/>
  <c r="G1200" i="8"/>
  <c r="H1200" i="8" s="1"/>
  <c r="G1201" i="8"/>
  <c r="H1201" i="8" s="1"/>
  <c r="G1213" i="8"/>
  <c r="J1213" i="8" s="1"/>
  <c r="G1202" i="8"/>
  <c r="H1202" i="8" s="1"/>
  <c r="G1203" i="8"/>
  <c r="H1203" i="8" s="1"/>
  <c r="G1204" i="8"/>
  <c r="H1204" i="8" s="1"/>
  <c r="G1248" i="8"/>
  <c r="J1248" i="8" s="1"/>
  <c r="G1274" i="8"/>
  <c r="H1274" i="8" s="1"/>
  <c r="G1310" i="8"/>
  <c r="J1310" i="8" s="1"/>
  <c r="G1205" i="8"/>
  <c r="H1205" i="8" s="1"/>
  <c r="G1214" i="8"/>
  <c r="J1214" i="8" s="1"/>
  <c r="G1208" i="8"/>
  <c r="H1208" i="8" s="1"/>
  <c r="G1210" i="8"/>
  <c r="J1210" i="8" s="1"/>
  <c r="G1236" i="8"/>
  <c r="J1236" i="8" s="1"/>
  <c r="G1226" i="8"/>
  <c r="J1226" i="8" s="1"/>
  <c r="G1223" i="8"/>
  <c r="H1223" i="8" s="1"/>
  <c r="G1225" i="8"/>
  <c r="H1225" i="8" s="1"/>
  <c r="G1215" i="8"/>
  <c r="H1215" i="8" s="1"/>
  <c r="G1220" i="8"/>
  <c r="J1220" i="8" s="1"/>
  <c r="G1228" i="8"/>
  <c r="H1228" i="8" s="1"/>
  <c r="G1227" i="8"/>
  <c r="J1227" i="8" s="1"/>
  <c r="G1217" i="8"/>
  <c r="J1217" i="8" s="1"/>
  <c r="G1222" i="8"/>
  <c r="J1222" i="8" s="1"/>
  <c r="G1221" i="8"/>
  <c r="H1221" i="8" s="1"/>
  <c r="G1216" i="8"/>
  <c r="J1216" i="8" s="1"/>
  <c r="G1224" i="8"/>
  <c r="H1224" i="8" s="1"/>
  <c r="G1235" i="8"/>
  <c r="J1235" i="8" s="1"/>
  <c r="G1234" i="8"/>
  <c r="H1234" i="8" s="1"/>
  <c r="G1237" i="8"/>
  <c r="H1237" i="8" s="1"/>
  <c r="G1239" i="8"/>
  <c r="J1239" i="8" s="1"/>
  <c r="G1271" i="8"/>
  <c r="H1271" i="8" s="1"/>
  <c r="G1244" i="8"/>
  <c r="H1244" i="8" s="1"/>
  <c r="G1242" i="8"/>
  <c r="H1242" i="8" s="1"/>
  <c r="G1301" i="8"/>
  <c r="H1301" i="8" s="1"/>
  <c r="G1243" i="8"/>
  <c r="J1243" i="8" s="1"/>
  <c r="G1245" i="8"/>
  <c r="H1245" i="8" s="1"/>
  <c r="R1180" i="8"/>
  <c r="R1169" i="8"/>
  <c r="R1173" i="8"/>
  <c r="R1174" i="8"/>
  <c r="R1177" i="8"/>
  <c r="R1176" i="8"/>
  <c r="R1178" i="8"/>
  <c r="R1179" i="8"/>
  <c r="R1198" i="8"/>
  <c r="R1186" i="8"/>
  <c r="R1187" i="8"/>
  <c r="R1189" i="8"/>
  <c r="R1185" i="8"/>
  <c r="R1188" i="8"/>
  <c r="R1184" i="8"/>
  <c r="R1192" i="8"/>
  <c r="R1191" i="8"/>
  <c r="R1197" i="8"/>
  <c r="R1190" i="8"/>
  <c r="R1196" i="8"/>
  <c r="R1207" i="8"/>
  <c r="R1247" i="8"/>
  <c r="R1275" i="8"/>
  <c r="R1311" i="8"/>
  <c r="R1195" i="8"/>
  <c r="R1240" i="8"/>
  <c r="R1264" i="8"/>
  <c r="R1304" i="8"/>
  <c r="R1199" i="8"/>
  <c r="R1200" i="8"/>
  <c r="R1201" i="8"/>
  <c r="R1213" i="8"/>
  <c r="R1202" i="8"/>
  <c r="R1203" i="8"/>
  <c r="R1204" i="8"/>
  <c r="R1248" i="8"/>
  <c r="R1274" i="8"/>
  <c r="R1310" i="8"/>
  <c r="R1205" i="8"/>
  <c r="R1214" i="8"/>
  <c r="R1208" i="8"/>
  <c r="R1210" i="8"/>
  <c r="R1236" i="8"/>
  <c r="R1226" i="8"/>
  <c r="R1223" i="8"/>
  <c r="R1225" i="8"/>
  <c r="R1215" i="8"/>
  <c r="R1220" i="8"/>
  <c r="R1228" i="8"/>
  <c r="R1227" i="8"/>
  <c r="R1217" i="8"/>
  <c r="R1222" i="8"/>
  <c r="R1221" i="8"/>
  <c r="R1216" i="8"/>
  <c r="R1224" i="8"/>
  <c r="R1235" i="8"/>
  <c r="R1234" i="8"/>
  <c r="R1237" i="8"/>
  <c r="R1239" i="8"/>
  <c r="R1271" i="8"/>
  <c r="R1244" i="8"/>
  <c r="R1242" i="8"/>
  <c r="R1301" i="8"/>
  <c r="R1243" i="8"/>
  <c r="R1245" i="8"/>
  <c r="T1180" i="8"/>
  <c r="T1169" i="8"/>
  <c r="T1173" i="8"/>
  <c r="T1174" i="8"/>
  <c r="T1177" i="8"/>
  <c r="T1176" i="8"/>
  <c r="T1178" i="8"/>
  <c r="T1179" i="8"/>
  <c r="T1198" i="8"/>
  <c r="T1186" i="8"/>
  <c r="T1187" i="8"/>
  <c r="T1189" i="8"/>
  <c r="T1185" i="8"/>
  <c r="T1188" i="8"/>
  <c r="T1184" i="8"/>
  <c r="T1192" i="8"/>
  <c r="T1191" i="8"/>
  <c r="T1197" i="8"/>
  <c r="T1190" i="8"/>
  <c r="T1196" i="8"/>
  <c r="T1207" i="8"/>
  <c r="T1247" i="8"/>
  <c r="T1275" i="8"/>
  <c r="T1311" i="8"/>
  <c r="T1195" i="8"/>
  <c r="T1240" i="8"/>
  <c r="T1264" i="8"/>
  <c r="T1304" i="8"/>
  <c r="T1199" i="8"/>
  <c r="T1200" i="8"/>
  <c r="T1201" i="8"/>
  <c r="T1213" i="8"/>
  <c r="T1202" i="8"/>
  <c r="T1203" i="8"/>
  <c r="T1204" i="8"/>
  <c r="T1248" i="8"/>
  <c r="T1274" i="8"/>
  <c r="T1310" i="8"/>
  <c r="T1205" i="8"/>
  <c r="T1214" i="8"/>
  <c r="T1208" i="8"/>
  <c r="T1210" i="8"/>
  <c r="T1236" i="8"/>
  <c r="T1226" i="8"/>
  <c r="T1223" i="8"/>
  <c r="T1225" i="8"/>
  <c r="T1215" i="8"/>
  <c r="T1220" i="8"/>
  <c r="T1228" i="8"/>
  <c r="T1227" i="8"/>
  <c r="T1217" i="8"/>
  <c r="T1222" i="8"/>
  <c r="T1221" i="8"/>
  <c r="T1216" i="8"/>
  <c r="T1224" i="8"/>
  <c r="T1235" i="8"/>
  <c r="T1234" i="8"/>
  <c r="T1237" i="8"/>
  <c r="T1239" i="8"/>
  <c r="T1271" i="8"/>
  <c r="T1244" i="8"/>
  <c r="T1242" i="8"/>
  <c r="T1301" i="8"/>
  <c r="T1243" i="8"/>
  <c r="T1245" i="8"/>
  <c r="G2365" i="8"/>
  <c r="G2364" i="8"/>
  <c r="I2364" i="8" s="1"/>
  <c r="G2363" i="8"/>
  <c r="I2363" i="8" s="1"/>
  <c r="G2359" i="8"/>
  <c r="I2359" i="8" s="1"/>
  <c r="G2360" i="8"/>
  <c r="I2360" i="8" s="1"/>
  <c r="G2362" i="8"/>
  <c r="I2362" i="8" s="1"/>
  <c r="G2361" i="8"/>
  <c r="I2361" i="8" s="1"/>
  <c r="G2358" i="8"/>
  <c r="I2358" i="8" s="1"/>
  <c r="G2353" i="8"/>
  <c r="I2353" i="8" s="1"/>
  <c r="G2356" i="8"/>
  <c r="I2356" i="8" s="1"/>
  <c r="G2355" i="8"/>
  <c r="I2355" i="8" s="1"/>
  <c r="G2357" i="8"/>
  <c r="I2357" i="8" s="1"/>
  <c r="G2354" i="8"/>
  <c r="I2354" i="8" s="1"/>
  <c r="G2352" i="8"/>
  <c r="I2352" i="8" s="1"/>
  <c r="G2351" i="8"/>
  <c r="I2351" i="8" s="1"/>
  <c r="G2350" i="8"/>
  <c r="I2350" i="8" s="1"/>
  <c r="G2349" i="8"/>
  <c r="I2349" i="8" s="1"/>
  <c r="G2347" i="8"/>
  <c r="I2347" i="8" s="1"/>
  <c r="G2348" i="8"/>
  <c r="I2348" i="8" s="1"/>
  <c r="G2345" i="8"/>
  <c r="I2345" i="8" s="1"/>
  <c r="G2346" i="8"/>
  <c r="I2346" i="8" s="1"/>
  <c r="G2344" i="8"/>
  <c r="I2344" i="8" s="1"/>
  <c r="G2343" i="8"/>
  <c r="I2343" i="8" s="1"/>
  <c r="G2341" i="8"/>
  <c r="I2341" i="8" s="1"/>
  <c r="G2342" i="8"/>
  <c r="I2342" i="8" s="1"/>
  <c r="G2339" i="8"/>
  <c r="I2339" i="8" s="1"/>
  <c r="G2340" i="8"/>
  <c r="I2340" i="8" s="1"/>
  <c r="G2337" i="8"/>
  <c r="I2337" i="8" s="1"/>
  <c r="G2338" i="8"/>
  <c r="I2338" i="8" s="1"/>
  <c r="G2336" i="8"/>
  <c r="I2336" i="8" s="1"/>
  <c r="G2335" i="8"/>
  <c r="I2335" i="8" s="1"/>
  <c r="G2332" i="8"/>
  <c r="I2332" i="8" s="1"/>
  <c r="G2331" i="8"/>
  <c r="I2331" i="8" s="1"/>
  <c r="G2334" i="8"/>
  <c r="I2334" i="8" s="1"/>
  <c r="G2333" i="8"/>
  <c r="I2333" i="8" s="1"/>
  <c r="G2329" i="8"/>
  <c r="I2329" i="8" s="1"/>
  <c r="G2330" i="8"/>
  <c r="I2330" i="8" s="1"/>
  <c r="G2328" i="8"/>
  <c r="I2328" i="8" s="1"/>
  <c r="G2327" i="8"/>
  <c r="I2327" i="8" s="1"/>
  <c r="G2325" i="8"/>
  <c r="I2325" i="8" s="1"/>
  <c r="G2326" i="8"/>
  <c r="I2326" i="8" s="1"/>
  <c r="G2324" i="8"/>
  <c r="I2324" i="8" s="1"/>
  <c r="G2323" i="8"/>
  <c r="I2323" i="8" s="1"/>
  <c r="G2322" i="8"/>
  <c r="I2322" i="8" s="1"/>
  <c r="G2321" i="8"/>
  <c r="I2321" i="8" s="1"/>
  <c r="G2320" i="8"/>
  <c r="I2320" i="8" s="1"/>
  <c r="G2318" i="8"/>
  <c r="I2318" i="8" s="1"/>
  <c r="G2317" i="8"/>
  <c r="I2317" i="8" s="1"/>
  <c r="G2319" i="8"/>
  <c r="I2319" i="8" s="1"/>
  <c r="G2316" i="8"/>
  <c r="I2316" i="8" s="1"/>
  <c r="G2315" i="8"/>
  <c r="I2315" i="8" s="1"/>
  <c r="G2314" i="8"/>
  <c r="I2314" i="8" s="1"/>
  <c r="G2313" i="8"/>
  <c r="I2313" i="8" s="1"/>
  <c r="G2312" i="8"/>
  <c r="I2312" i="8" s="1"/>
  <c r="G2308" i="8"/>
  <c r="I2308" i="8" s="1"/>
  <c r="G2307" i="8"/>
  <c r="I2307" i="8" s="1"/>
  <c r="G2309" i="8"/>
  <c r="I2309" i="8" s="1"/>
  <c r="G2310" i="8"/>
  <c r="I2310" i="8" s="1"/>
  <c r="G2311" i="8"/>
  <c r="I2311" i="8" s="1"/>
  <c r="G2305" i="8"/>
  <c r="I2305" i="8" s="1"/>
  <c r="G2306" i="8"/>
  <c r="I2306" i="8" s="1"/>
  <c r="G2304" i="8"/>
  <c r="I2304" i="8" s="1"/>
  <c r="G2303" i="8"/>
  <c r="I2303" i="8" s="1"/>
  <c r="G2302" i="8"/>
  <c r="I2302" i="8" s="1"/>
  <c r="G2301" i="8"/>
  <c r="I2301" i="8" s="1"/>
  <c r="G2299" i="8"/>
  <c r="I2299" i="8" s="1"/>
  <c r="G2298" i="8"/>
  <c r="I2298" i="8" s="1"/>
  <c r="G2300" i="8"/>
  <c r="I2300" i="8" s="1"/>
  <c r="G2297" i="8"/>
  <c r="I2297" i="8" s="1"/>
  <c r="G2295" i="8"/>
  <c r="I2295" i="8" s="1"/>
  <c r="G2294" i="8"/>
  <c r="I2294" i="8" s="1"/>
  <c r="G2296" i="8"/>
  <c r="I2296" i="8" s="1"/>
  <c r="G2293" i="8"/>
  <c r="I2293" i="8" s="1"/>
  <c r="G2292" i="8"/>
  <c r="I2292" i="8" s="1"/>
  <c r="G2290" i="8"/>
  <c r="I2290" i="8" s="1"/>
  <c r="G2291" i="8"/>
  <c r="I2291" i="8" s="1"/>
  <c r="G2287" i="8"/>
  <c r="I2287" i="8" s="1"/>
  <c r="G2288" i="8"/>
  <c r="I2288" i="8" s="1"/>
  <c r="G2289" i="8"/>
  <c r="I2289" i="8" s="1"/>
  <c r="G2286" i="8"/>
  <c r="I2286" i="8" s="1"/>
  <c r="G2285" i="8"/>
  <c r="I2285" i="8" s="1"/>
  <c r="G2284" i="8"/>
  <c r="I2284" i="8" s="1"/>
  <c r="G2283" i="8"/>
  <c r="I2283" i="8" s="1"/>
  <c r="G2282" i="8"/>
  <c r="I2282" i="8" s="1"/>
  <c r="G2279" i="8"/>
  <c r="I2279" i="8" s="1"/>
  <c r="G2281" i="8"/>
  <c r="I2281" i="8" s="1"/>
  <c r="G2280" i="8"/>
  <c r="I2280" i="8" s="1"/>
  <c r="G2277" i="8"/>
  <c r="I2277" i="8" s="1"/>
  <c r="G2275" i="8"/>
  <c r="I2275" i="8" s="1"/>
  <c r="G2276" i="8"/>
  <c r="I2276" i="8" s="1"/>
  <c r="G2278" i="8"/>
  <c r="I2278" i="8" s="1"/>
  <c r="G2272" i="8"/>
  <c r="I2272" i="8" s="1"/>
  <c r="G2271" i="8"/>
  <c r="I2271" i="8" s="1"/>
  <c r="G2273" i="8"/>
  <c r="I2273" i="8" s="1"/>
  <c r="G2274" i="8"/>
  <c r="I2274" i="8" s="1"/>
  <c r="G2270" i="8"/>
  <c r="I2270" i="8" s="1"/>
  <c r="G2269" i="8"/>
  <c r="I2269" i="8" s="1"/>
  <c r="G2267" i="8"/>
  <c r="I2267" i="8" s="1"/>
  <c r="G2266" i="8"/>
  <c r="I2266" i="8" s="1"/>
  <c r="G2268" i="8"/>
  <c r="I2268" i="8" s="1"/>
  <c r="G2264" i="8"/>
  <c r="I2264" i="8" s="1"/>
  <c r="G2263" i="8"/>
  <c r="I2263" i="8" s="1"/>
  <c r="G2262" i="8"/>
  <c r="I2262" i="8" s="1"/>
  <c r="G2265" i="8"/>
  <c r="I2265" i="8" s="1"/>
  <c r="G2261" i="8"/>
  <c r="I2261" i="8" s="1"/>
  <c r="G2260" i="8"/>
  <c r="I2260" i="8" s="1"/>
  <c r="G2259" i="8"/>
  <c r="I2259" i="8" s="1"/>
  <c r="G2257" i="8"/>
  <c r="I2257" i="8" s="1"/>
  <c r="G2258" i="8"/>
  <c r="I2258" i="8" s="1"/>
  <c r="G2255" i="8"/>
  <c r="I2255" i="8" s="1"/>
  <c r="G2256" i="8"/>
  <c r="I2256" i="8" s="1"/>
  <c r="G2254" i="8"/>
  <c r="I2254" i="8" s="1"/>
  <c r="G2252" i="8"/>
  <c r="I2252" i="8" s="1"/>
  <c r="G2253" i="8"/>
  <c r="I2253" i="8" s="1"/>
  <c r="G2251" i="8"/>
  <c r="I2251" i="8" s="1"/>
  <c r="G2246" i="8"/>
  <c r="I2246" i="8" s="1"/>
  <c r="G2248" i="8"/>
  <c r="I2248" i="8" s="1"/>
  <c r="G2249" i="8"/>
  <c r="I2249" i="8" s="1"/>
  <c r="G2247" i="8"/>
  <c r="I2247" i="8" s="1"/>
  <c r="G2250" i="8"/>
  <c r="I2250" i="8" s="1"/>
  <c r="G2244" i="8"/>
  <c r="I2244" i="8" s="1"/>
  <c r="G2245" i="8"/>
  <c r="G2243" i="8"/>
  <c r="I2243" i="8" s="1"/>
  <c r="G2242" i="8"/>
  <c r="I2242" i="8" s="1"/>
  <c r="G2241" i="8"/>
  <c r="I2241" i="8" s="1"/>
  <c r="G2240" i="8"/>
  <c r="I2240" i="8" s="1"/>
  <c r="G2239" i="8"/>
  <c r="I2239" i="8" s="1"/>
  <c r="G2238" i="8"/>
  <c r="I2238" i="8" s="1"/>
  <c r="G2237" i="8"/>
  <c r="I2237" i="8" s="1"/>
  <c r="G2236" i="8"/>
  <c r="I2236" i="8" s="1"/>
  <c r="G2233" i="8"/>
  <c r="I2233" i="8" s="1"/>
  <c r="G2235" i="8"/>
  <c r="I2235" i="8" s="1"/>
  <c r="G2234" i="8"/>
  <c r="I2234" i="8" s="1"/>
  <c r="G2230" i="8"/>
  <c r="I2230" i="8" s="1"/>
  <c r="G2231" i="8"/>
  <c r="I2231" i="8" s="1"/>
  <c r="G2232" i="8"/>
  <c r="I2232" i="8" s="1"/>
  <c r="G2229" i="8"/>
  <c r="G2228" i="8"/>
  <c r="I2228" i="8" s="1"/>
  <c r="G2227" i="8"/>
  <c r="I2227" i="8" s="1"/>
  <c r="G2226" i="8"/>
  <c r="I2226" i="8" s="1"/>
  <c r="G2224" i="8"/>
  <c r="I2224" i="8" s="1"/>
  <c r="G2225" i="8"/>
  <c r="I2225" i="8" s="1"/>
  <c r="G2222" i="8"/>
  <c r="I2222" i="8" s="1"/>
  <c r="G2223" i="8"/>
  <c r="I2223" i="8" s="1"/>
  <c r="G2220" i="8"/>
  <c r="I2220" i="8" s="1"/>
  <c r="G2221" i="8"/>
  <c r="I2221" i="8" s="1"/>
  <c r="G2219" i="8"/>
  <c r="I2219" i="8" s="1"/>
  <c r="G2218" i="8"/>
  <c r="G2217" i="8"/>
  <c r="I2217" i="8" s="1"/>
  <c r="G2216" i="8"/>
  <c r="I2216" i="8" s="1"/>
  <c r="G2215" i="8"/>
  <c r="I2215" i="8" s="1"/>
  <c r="G2214" i="8"/>
  <c r="I2214" i="8" s="1"/>
  <c r="G2213" i="8"/>
  <c r="I2213" i="8" s="1"/>
  <c r="G2211" i="8"/>
  <c r="I2211" i="8" s="1"/>
  <c r="G2212" i="8"/>
  <c r="I2212" i="8" s="1"/>
  <c r="G2208" i="8"/>
  <c r="I2208" i="8" s="1"/>
  <c r="G2210" i="8"/>
  <c r="I2210" i="8" s="1"/>
  <c r="G2209" i="8"/>
  <c r="I2209" i="8" s="1"/>
  <c r="G2207" i="8"/>
  <c r="G2206" i="8"/>
  <c r="I2206" i="8" s="1"/>
  <c r="G2205" i="8"/>
  <c r="I2205" i="8" s="1"/>
  <c r="G2204" i="8"/>
  <c r="I2204" i="8" s="1"/>
  <c r="G2203" i="8"/>
  <c r="I2203" i="8" s="1"/>
  <c r="G2202" i="8"/>
  <c r="I2202" i="8" s="1"/>
  <c r="G2201" i="8"/>
  <c r="I2201" i="8" s="1"/>
  <c r="G2193" i="8"/>
  <c r="I2193" i="8" s="1"/>
  <c r="G2197" i="8"/>
  <c r="I2197" i="8" s="1"/>
  <c r="G2198" i="8"/>
  <c r="I2198" i="8" s="1"/>
  <c r="G2196" i="8"/>
  <c r="I2196" i="8" s="1"/>
  <c r="G2195" i="8"/>
  <c r="I2195" i="8" s="1"/>
  <c r="G2199" i="8"/>
  <c r="I2199" i="8" s="1"/>
  <c r="G2194" i="8"/>
  <c r="I2194" i="8" s="1"/>
  <c r="G2200" i="8"/>
  <c r="I2200" i="8" s="1"/>
  <c r="G2190" i="8"/>
  <c r="I2190" i="8" s="1"/>
  <c r="G2191" i="8"/>
  <c r="I2191" i="8" s="1"/>
  <c r="G2192" i="8"/>
  <c r="I2192" i="8" s="1"/>
  <c r="G2189" i="8"/>
  <c r="J2189" i="8" s="1"/>
  <c r="G2188" i="8"/>
  <c r="I2188" i="8" s="1"/>
  <c r="G2186" i="8"/>
  <c r="I2186" i="8" s="1"/>
  <c r="G2185" i="8"/>
  <c r="I2185" i="8" s="1"/>
  <c r="G2184" i="8"/>
  <c r="I2184" i="8" s="1"/>
  <c r="G2187" i="8"/>
  <c r="I2187" i="8" s="1"/>
  <c r="G2183" i="8"/>
  <c r="I2183" i="8" s="1"/>
  <c r="G2181" i="8"/>
  <c r="I2181" i="8" s="1"/>
  <c r="G2180" i="8"/>
  <c r="I2180" i="8" s="1"/>
  <c r="G2179" i="8"/>
  <c r="I2179" i="8" s="1"/>
  <c r="G2182" i="8"/>
  <c r="I2182" i="8" s="1"/>
  <c r="G2178" i="8"/>
  <c r="I2178" i="8" s="1"/>
  <c r="G2177" i="8"/>
  <c r="G2176" i="8"/>
  <c r="I2176" i="8" s="1"/>
  <c r="G2174" i="8"/>
  <c r="I2174" i="8" s="1"/>
  <c r="G2175" i="8"/>
  <c r="I2175" i="8" s="1"/>
  <c r="G2173" i="8"/>
  <c r="I2173" i="8" s="1"/>
  <c r="G2172" i="8"/>
  <c r="I2172" i="8" s="1"/>
  <c r="G2171" i="8"/>
  <c r="I2171" i="8" s="1"/>
  <c r="G2170" i="8"/>
  <c r="I2170" i="8" s="1"/>
  <c r="G2169" i="8"/>
  <c r="I2169" i="8" s="1"/>
  <c r="G2167" i="8"/>
  <c r="I2167" i="8" s="1"/>
  <c r="G2166" i="8"/>
  <c r="I2166" i="8" s="1"/>
  <c r="G2168" i="8"/>
  <c r="I2168" i="8" s="1"/>
  <c r="G2164" i="8"/>
  <c r="I2164" i="8" s="1"/>
  <c r="G2163" i="8"/>
  <c r="I2163" i="8" s="1"/>
  <c r="G2162" i="8"/>
  <c r="I2162" i="8" s="1"/>
  <c r="G2161" i="8"/>
  <c r="I2161" i="8" s="1"/>
  <c r="G2165" i="8"/>
  <c r="I2165" i="8" s="1"/>
  <c r="G2159" i="8"/>
  <c r="I2159" i="8" s="1"/>
  <c r="G2160" i="8"/>
  <c r="G2158" i="8"/>
  <c r="I2158" i="8" s="1"/>
  <c r="G2157" i="8"/>
  <c r="I2157" i="8" s="1"/>
  <c r="G2156" i="8"/>
  <c r="I2156" i="8" s="1"/>
  <c r="G2155" i="8"/>
  <c r="I2155" i="8" s="1"/>
  <c r="G2154" i="8"/>
  <c r="I2154" i="8" s="1"/>
  <c r="G2153" i="8"/>
  <c r="I2153" i="8" s="1"/>
  <c r="G2152" i="8"/>
  <c r="I2152" i="8" s="1"/>
  <c r="G2151" i="8"/>
  <c r="I2151" i="8" s="1"/>
  <c r="G2148" i="8"/>
  <c r="I2148" i="8" s="1"/>
  <c r="G2150" i="8"/>
  <c r="I2150" i="8" s="1"/>
  <c r="G2149" i="8"/>
  <c r="I2149" i="8" s="1"/>
  <c r="G2147" i="8"/>
  <c r="I2147" i="8" s="1"/>
  <c r="G2144" i="8"/>
  <c r="I2144" i="8" s="1"/>
  <c r="G2146" i="8"/>
  <c r="I2146" i="8" s="1"/>
  <c r="G2145" i="8"/>
  <c r="I2145" i="8" s="1"/>
  <c r="G2142" i="8"/>
  <c r="I2142" i="8" s="1"/>
  <c r="G2143" i="8"/>
  <c r="G2141" i="8"/>
  <c r="I2141" i="8" s="1"/>
  <c r="G2140" i="8"/>
  <c r="I2140" i="8" s="1"/>
  <c r="G2139" i="8"/>
  <c r="I2139" i="8" s="1"/>
  <c r="G2138" i="8"/>
  <c r="I2138" i="8" s="1"/>
  <c r="G2137" i="8"/>
  <c r="I2137" i="8" s="1"/>
  <c r="G2135" i="8"/>
  <c r="I2135" i="8" s="1"/>
  <c r="G2136" i="8"/>
  <c r="I2136" i="8" s="1"/>
  <c r="G2134" i="8"/>
  <c r="I2134" i="8" s="1"/>
  <c r="G2132" i="8"/>
  <c r="I2132" i="8" s="1"/>
  <c r="G2133" i="8"/>
  <c r="I2133" i="8" s="1"/>
  <c r="G2129" i="8"/>
  <c r="I2129" i="8" s="1"/>
  <c r="G2128" i="8"/>
  <c r="I2128" i="8" s="1"/>
  <c r="G2131" i="8"/>
  <c r="I2131" i="8" s="1"/>
  <c r="G2130" i="8"/>
  <c r="I2130" i="8" s="1"/>
  <c r="G2125" i="8"/>
  <c r="I2125" i="8" s="1"/>
  <c r="G2126" i="8"/>
  <c r="I2126" i="8" s="1"/>
  <c r="G2127" i="8"/>
  <c r="I2127" i="8" s="1"/>
  <c r="G2124" i="8"/>
  <c r="I2124" i="8" s="1"/>
  <c r="G2122" i="8"/>
  <c r="I2122" i="8" s="1"/>
  <c r="G2123" i="8"/>
  <c r="I2123" i="8" s="1"/>
  <c r="G2121" i="8"/>
  <c r="I2121" i="8" s="1"/>
  <c r="G2120" i="8"/>
  <c r="I2120" i="8" s="1"/>
  <c r="G2119" i="8"/>
  <c r="I2119" i="8" s="1"/>
  <c r="G2118" i="8"/>
  <c r="I2118" i="8" s="1"/>
  <c r="G2113" i="8"/>
  <c r="I2113" i="8" s="1"/>
  <c r="G2112" i="8"/>
  <c r="I2112" i="8" s="1"/>
  <c r="G2111" i="8"/>
  <c r="I2111" i="8" s="1"/>
  <c r="G2114" i="8"/>
  <c r="I2114" i="8" s="1"/>
  <c r="G2117" i="8"/>
  <c r="I2117" i="8" s="1"/>
  <c r="G2116" i="8"/>
  <c r="I2116" i="8" s="1"/>
  <c r="G2115" i="8"/>
  <c r="I2115" i="8" s="1"/>
  <c r="G2108" i="8"/>
  <c r="I2108" i="8" s="1"/>
  <c r="G2106" i="8"/>
  <c r="I2106" i="8" s="1"/>
  <c r="G2110" i="8"/>
  <c r="I2110" i="8" s="1"/>
  <c r="G2105" i="8"/>
  <c r="I2105" i="8" s="1"/>
  <c r="G2109" i="8"/>
  <c r="I2109" i="8" s="1"/>
  <c r="G2107" i="8"/>
  <c r="G2103" i="8"/>
  <c r="I2103" i="8" s="1"/>
  <c r="G2104" i="8"/>
  <c r="I2104" i="8" s="1"/>
  <c r="G2102" i="8"/>
  <c r="I2102" i="8" s="1"/>
  <c r="G2099" i="8"/>
  <c r="I2099" i="8" s="1"/>
  <c r="G2101" i="8"/>
  <c r="I2101" i="8" s="1"/>
  <c r="G2098" i="8"/>
  <c r="I2098" i="8" s="1"/>
  <c r="G2100" i="8"/>
  <c r="I2100" i="8" s="1"/>
  <c r="G2097" i="8"/>
  <c r="I2097" i="8" s="1"/>
  <c r="G2096" i="8"/>
  <c r="I2096" i="8" s="1"/>
  <c r="G2095" i="8"/>
  <c r="I2095" i="8" s="1"/>
  <c r="G2093" i="8"/>
  <c r="I2093" i="8" s="1"/>
  <c r="G2091" i="8"/>
  <c r="I2091" i="8" s="1"/>
  <c r="G2090" i="8"/>
  <c r="I2090" i="8" s="1"/>
  <c r="G2094" i="8"/>
  <c r="I2094" i="8" s="1"/>
  <c r="G2089" i="8"/>
  <c r="I2089" i="8" s="1"/>
  <c r="G2092" i="8"/>
  <c r="G2088" i="8"/>
  <c r="I2088" i="8" s="1"/>
  <c r="G2087" i="8"/>
  <c r="I2087" i="8" s="1"/>
  <c r="G2086" i="8"/>
  <c r="I2086" i="8" s="1"/>
  <c r="G2084" i="8"/>
  <c r="I2084" i="8" s="1"/>
  <c r="G2085" i="8"/>
  <c r="I2085" i="8" s="1"/>
  <c r="G2083" i="8"/>
  <c r="I2083" i="8" s="1"/>
  <c r="G2082" i="8"/>
  <c r="I2082" i="8" s="1"/>
  <c r="G2081" i="8"/>
  <c r="I2081" i="8" s="1"/>
  <c r="G2078" i="8"/>
  <c r="I2078" i="8" s="1"/>
  <c r="G2077" i="8"/>
  <c r="I2077" i="8" s="1"/>
  <c r="G2080" i="8"/>
  <c r="I2080" i="8" s="1"/>
  <c r="G2079" i="8"/>
  <c r="I2079" i="8" s="1"/>
  <c r="G2075" i="8"/>
  <c r="I2075" i="8" s="1"/>
  <c r="G2074" i="8"/>
  <c r="I2074" i="8" s="1"/>
  <c r="G2073" i="8"/>
  <c r="I2073" i="8" s="1"/>
  <c r="G2072" i="8"/>
  <c r="I2072" i="8" s="1"/>
  <c r="G2071" i="8"/>
  <c r="I2071" i="8" s="1"/>
  <c r="G2069" i="8"/>
  <c r="I2069" i="8" s="1"/>
  <c r="G2070" i="8"/>
  <c r="I2070" i="8" s="1"/>
  <c r="G2067" i="8"/>
  <c r="I2067" i="8" s="1"/>
  <c r="G2068" i="8"/>
  <c r="I2068" i="8" s="1"/>
  <c r="G2066" i="8"/>
  <c r="I2066" i="8" s="1"/>
  <c r="G2063" i="8"/>
  <c r="I2063" i="8" s="1"/>
  <c r="G2065" i="8"/>
  <c r="I2065" i="8" s="1"/>
  <c r="G2064" i="8"/>
  <c r="I2064" i="8" s="1"/>
  <c r="G2062" i="8"/>
  <c r="I2062" i="8" s="1"/>
  <c r="G2059" i="8"/>
  <c r="I2059" i="8" s="1"/>
  <c r="G2061" i="8"/>
  <c r="I2061" i="8" s="1"/>
  <c r="G2060" i="8"/>
  <c r="I2060" i="8" s="1"/>
  <c r="G2058" i="8"/>
  <c r="I2058" i="8" s="1"/>
  <c r="G2057" i="8"/>
  <c r="I2057" i="8" s="1"/>
  <c r="G2054" i="8"/>
  <c r="I2054" i="8" s="1"/>
  <c r="G2055" i="8"/>
  <c r="I2055" i="8" s="1"/>
  <c r="G2056" i="8"/>
  <c r="I2056" i="8" s="1"/>
  <c r="G2053" i="8"/>
  <c r="I2053" i="8" s="1"/>
  <c r="G2052" i="8"/>
  <c r="I2052" i="8" s="1"/>
  <c r="G2051" i="8"/>
  <c r="I2051" i="8" s="1"/>
  <c r="G2049" i="8"/>
  <c r="I2049" i="8" s="1"/>
  <c r="G2050" i="8"/>
  <c r="I2050" i="8" s="1"/>
  <c r="G2048" i="8"/>
  <c r="I2048" i="8" s="1"/>
  <c r="G2047" i="8"/>
  <c r="I2047" i="8" s="1"/>
  <c r="G2046" i="8"/>
  <c r="I2046" i="8" s="1"/>
  <c r="G2044" i="8"/>
  <c r="I2044" i="8" s="1"/>
  <c r="G2045" i="8"/>
  <c r="I2045" i="8" s="1"/>
  <c r="G2043" i="8"/>
  <c r="I2043" i="8" s="1"/>
  <c r="G2036" i="8"/>
  <c r="I2036" i="8" s="1"/>
  <c r="G2041" i="8"/>
  <c r="I2041" i="8" s="1"/>
  <c r="G2039" i="8"/>
  <c r="I2039" i="8" s="1"/>
  <c r="G2038" i="8"/>
  <c r="I2038" i="8" s="1"/>
  <c r="G2042" i="8"/>
  <c r="I2042" i="8" s="1"/>
  <c r="G2037" i="8"/>
  <c r="I2037" i="8" s="1"/>
  <c r="G2040" i="8"/>
  <c r="I2040" i="8" s="1"/>
  <c r="G2034" i="8"/>
  <c r="I2034" i="8" s="1"/>
  <c r="G2035" i="8"/>
  <c r="I2035" i="8" s="1"/>
  <c r="G2033" i="8"/>
  <c r="G2032" i="8"/>
  <c r="I2032" i="8" s="1"/>
  <c r="G2031" i="8"/>
  <c r="I2031" i="8" s="1"/>
  <c r="G2029" i="8"/>
  <c r="I2029" i="8" s="1"/>
  <c r="G2030" i="8"/>
  <c r="I2030" i="8" s="1"/>
  <c r="G2028" i="8"/>
  <c r="I2028" i="8" s="1"/>
  <c r="G2027" i="8"/>
  <c r="I2027" i="8" s="1"/>
  <c r="G2025" i="8"/>
  <c r="I2025" i="8" s="1"/>
  <c r="G2026" i="8"/>
  <c r="I2026" i="8" s="1"/>
  <c r="G2024" i="8"/>
  <c r="I2024" i="8" s="1"/>
  <c r="G2023" i="8"/>
  <c r="I2023" i="8" s="1"/>
  <c r="G2022" i="8"/>
  <c r="I2022" i="8" s="1"/>
  <c r="G2019" i="8"/>
  <c r="I2019" i="8" s="1"/>
  <c r="G2020" i="8"/>
  <c r="I2020" i="8" s="1"/>
  <c r="G2021" i="8"/>
  <c r="I2021" i="8" s="1"/>
  <c r="G2015" i="8"/>
  <c r="I2015" i="8" s="1"/>
  <c r="G2012" i="8"/>
  <c r="I2012" i="8" s="1"/>
  <c r="G2013" i="8"/>
  <c r="I2013" i="8" s="1"/>
  <c r="G2014" i="8"/>
  <c r="I2014" i="8" s="1"/>
  <c r="G2011" i="8"/>
  <c r="I2011" i="8" s="1"/>
  <c r="G2017" i="8"/>
  <c r="I2017" i="8" s="1"/>
  <c r="G2016" i="8"/>
  <c r="I2016" i="8" s="1"/>
  <c r="G2018" i="8"/>
  <c r="G2007" i="8"/>
  <c r="I2007" i="8" s="1"/>
  <c r="G2008" i="8"/>
  <c r="I2008" i="8" s="1"/>
  <c r="G2010" i="8"/>
  <c r="I2010" i="8" s="1"/>
  <c r="G2009" i="8"/>
  <c r="I2009" i="8" s="1"/>
  <c r="G2006" i="8"/>
  <c r="I2006" i="8" s="1"/>
  <c r="G2005" i="8"/>
  <c r="I2005" i="8" s="1"/>
  <c r="G2004" i="8"/>
  <c r="I2004" i="8" s="1"/>
  <c r="G2003" i="8"/>
  <c r="I2003" i="8" s="1"/>
  <c r="G2002" i="8"/>
  <c r="I2002" i="8" s="1"/>
  <c r="G2001" i="8"/>
  <c r="I2001" i="8" s="1"/>
  <c r="G1999" i="8"/>
  <c r="I1999" i="8" s="1"/>
  <c r="G2000" i="8"/>
  <c r="I2000" i="8" s="1"/>
  <c r="G1997" i="8"/>
  <c r="I1997" i="8" s="1"/>
  <c r="G1996" i="8"/>
  <c r="I1996" i="8" s="1"/>
  <c r="G1998" i="8"/>
  <c r="I1998" i="8" s="1"/>
  <c r="G1995" i="8"/>
  <c r="I1995" i="8" s="1"/>
  <c r="G1994" i="8"/>
  <c r="I1994" i="8" s="1"/>
  <c r="G1992" i="8"/>
  <c r="I1992" i="8" s="1"/>
  <c r="G1993" i="8"/>
  <c r="I1993" i="8" s="1"/>
  <c r="G1991" i="8"/>
  <c r="I1991" i="8" s="1"/>
  <c r="G1990" i="8"/>
  <c r="I1990" i="8" s="1"/>
  <c r="G1989" i="8"/>
  <c r="I1989" i="8" s="1"/>
  <c r="G1988" i="8"/>
  <c r="I1988" i="8" s="1"/>
  <c r="G1987" i="8"/>
  <c r="I1987" i="8" s="1"/>
  <c r="G1986" i="8"/>
  <c r="I1986" i="8" s="1"/>
  <c r="G1983" i="8"/>
  <c r="I1983" i="8" s="1"/>
  <c r="G1985" i="8"/>
  <c r="I1985" i="8" s="1"/>
  <c r="G1982" i="8"/>
  <c r="I1982" i="8" s="1"/>
  <c r="G1984" i="8"/>
  <c r="I1984" i="8" s="1"/>
  <c r="G1978" i="8"/>
  <c r="I1978" i="8" s="1"/>
  <c r="G1977" i="8"/>
  <c r="I1977" i="8" s="1"/>
  <c r="G1975" i="8"/>
  <c r="I1975" i="8" s="1"/>
  <c r="G1979" i="8"/>
  <c r="I1979" i="8" s="1"/>
  <c r="G1976" i="8"/>
  <c r="I1976" i="8" s="1"/>
  <c r="G1974" i="8"/>
  <c r="I1974" i="8" s="1"/>
  <c r="G1972" i="8"/>
  <c r="I1972" i="8" s="1"/>
  <c r="G1973" i="8"/>
  <c r="I1973" i="8" s="1"/>
  <c r="G1971" i="8"/>
  <c r="I1971" i="8" s="1"/>
  <c r="G1969" i="8"/>
  <c r="I1969" i="8" s="1"/>
  <c r="G1967" i="8"/>
  <c r="I1967" i="8" s="1"/>
  <c r="G1970" i="8"/>
  <c r="I1970" i="8" s="1"/>
  <c r="G1968" i="8"/>
  <c r="I1968" i="8" s="1"/>
  <c r="G1966" i="8"/>
  <c r="I1966" i="8" s="1"/>
  <c r="G1965" i="8"/>
  <c r="I1965" i="8" s="1"/>
  <c r="G1964" i="8"/>
  <c r="I1964" i="8" s="1"/>
  <c r="G1963" i="8"/>
  <c r="I1963" i="8" s="1"/>
  <c r="G1961" i="8"/>
  <c r="I1961" i="8" s="1"/>
  <c r="G1962" i="8"/>
  <c r="I1962" i="8" s="1"/>
  <c r="G1960" i="8"/>
  <c r="I1960" i="8" s="1"/>
  <c r="G1947" i="8"/>
  <c r="I1947" i="8" s="1"/>
  <c r="G1949" i="8"/>
  <c r="I1949" i="8" s="1"/>
  <c r="G1955" i="8"/>
  <c r="I1955" i="8" s="1"/>
  <c r="G1950" i="8"/>
  <c r="I1950" i="8" s="1"/>
  <c r="G1948" i="8"/>
  <c r="I1948" i="8" s="1"/>
  <c r="G1954" i="8"/>
  <c r="I1954" i="8" s="1"/>
  <c r="G1953" i="8"/>
  <c r="I1953" i="8" s="1"/>
  <c r="G1956" i="8"/>
  <c r="I1956" i="8" s="1"/>
  <c r="G1942" i="8"/>
  <c r="I1942" i="8" s="1"/>
  <c r="G1946" i="8"/>
  <c r="I1946" i="8" s="1"/>
  <c r="G1944" i="8"/>
  <c r="I1944" i="8" s="1"/>
  <c r="G1943" i="8"/>
  <c r="I1943" i="8" s="1"/>
  <c r="G1945" i="8"/>
  <c r="I1945" i="8" s="1"/>
  <c r="G1941" i="8"/>
  <c r="I1941" i="8" s="1"/>
  <c r="G1940" i="8"/>
  <c r="I1940" i="8" s="1"/>
  <c r="G1939" i="8"/>
  <c r="I1939" i="8" s="1"/>
  <c r="G1938" i="8"/>
  <c r="I1938" i="8" s="1"/>
  <c r="G1928" i="8"/>
  <c r="I1928" i="8" s="1"/>
  <c r="G1931" i="8"/>
  <c r="I1931" i="8" s="1"/>
  <c r="G1932" i="8"/>
  <c r="I1932" i="8" s="1"/>
  <c r="G1927" i="8"/>
  <c r="I1927" i="8" s="1"/>
  <c r="G1924" i="8"/>
  <c r="I1924" i="8" s="1"/>
  <c r="G1926" i="8"/>
  <c r="I1926" i="8" s="1"/>
  <c r="G1923" i="8"/>
  <c r="I1923" i="8" s="1"/>
  <c r="G1925" i="8"/>
  <c r="I1925" i="8" s="1"/>
  <c r="G1919" i="8"/>
  <c r="I1919" i="8" s="1"/>
  <c r="G1922" i="8"/>
  <c r="I1922" i="8" s="1"/>
  <c r="G1921" i="8"/>
  <c r="I1921" i="8" s="1"/>
  <c r="G1920" i="8"/>
  <c r="I1920" i="8" s="1"/>
  <c r="G1918" i="8"/>
  <c r="I1918" i="8" s="1"/>
  <c r="G1917" i="8"/>
  <c r="I1917" i="8" s="1"/>
  <c r="G1916" i="8"/>
  <c r="I1916" i="8" s="1"/>
  <c r="G1914" i="8"/>
  <c r="I1914" i="8" s="1"/>
  <c r="G1913" i="8"/>
  <c r="I1913" i="8" s="1"/>
  <c r="G1915" i="8"/>
  <c r="I1915" i="8" s="1"/>
  <c r="G1912" i="8"/>
  <c r="I1912" i="8" s="1"/>
  <c r="G1911" i="8"/>
  <c r="I1911" i="8" s="1"/>
  <c r="G1910" i="8"/>
  <c r="I1910" i="8" s="1"/>
  <c r="G1909" i="8"/>
  <c r="I1909" i="8" s="1"/>
  <c r="G1908" i="8"/>
  <c r="I1908" i="8" s="1"/>
  <c r="G1907" i="8"/>
  <c r="I1907" i="8" s="1"/>
  <c r="G1905" i="8"/>
  <c r="I1905" i="8" s="1"/>
  <c r="G1906" i="8"/>
  <c r="I1906" i="8" s="1"/>
  <c r="G1892" i="8"/>
  <c r="I1892" i="8" s="1"/>
  <c r="G1900" i="8"/>
  <c r="I1900" i="8" s="1"/>
  <c r="G1901" i="8"/>
  <c r="I1901" i="8" s="1"/>
  <c r="G1893" i="8"/>
  <c r="I1893" i="8" s="1"/>
  <c r="G1896" i="8"/>
  <c r="I1896" i="8" s="1"/>
  <c r="G1904" i="8"/>
  <c r="I1904" i="8" s="1"/>
  <c r="G1891" i="8"/>
  <c r="I1891" i="8" s="1"/>
  <c r="G1890" i="8"/>
  <c r="I1890" i="8" s="1"/>
  <c r="G1889" i="8"/>
  <c r="I1889" i="8" s="1"/>
  <c r="G1888" i="8"/>
  <c r="I1888" i="8" s="1"/>
  <c r="G1887" i="8"/>
  <c r="I1887" i="8" s="1"/>
  <c r="G1886" i="8"/>
  <c r="I1886" i="8" s="1"/>
  <c r="G1885" i="8"/>
  <c r="I1885" i="8" s="1"/>
  <c r="G1881" i="8"/>
  <c r="I1881" i="8" s="1"/>
  <c r="G1882" i="8"/>
  <c r="I1882" i="8" s="1"/>
  <c r="G1884" i="8"/>
  <c r="I1884" i="8" s="1"/>
  <c r="G1883" i="8"/>
  <c r="I1883" i="8" s="1"/>
  <c r="G1880" i="8"/>
  <c r="I1880" i="8" s="1"/>
  <c r="G1877" i="8"/>
  <c r="I1877" i="8" s="1"/>
  <c r="G1879" i="8"/>
  <c r="I1879" i="8" s="1"/>
  <c r="G1878" i="8"/>
  <c r="G1870" i="8"/>
  <c r="I1870" i="8" s="1"/>
  <c r="G1869" i="8"/>
  <c r="I1869" i="8" s="1"/>
  <c r="G1865" i="8"/>
  <c r="I1865" i="8" s="1"/>
  <c r="G1867" i="8"/>
  <c r="I1867" i="8" s="1"/>
  <c r="G1866" i="8"/>
  <c r="I1866" i="8" s="1"/>
  <c r="G1871" i="8"/>
  <c r="I1871" i="8" s="1"/>
  <c r="G1862" i="8"/>
  <c r="I1862" i="8" s="1"/>
  <c r="G1868" i="8"/>
  <c r="I1868" i="8" s="1"/>
  <c r="G1861" i="8"/>
  <c r="I1861" i="8" s="1"/>
  <c r="G1860" i="8"/>
  <c r="I1860" i="8" s="1"/>
  <c r="G1858" i="8"/>
  <c r="I1858" i="8" s="1"/>
  <c r="G1859" i="8"/>
  <c r="I1859" i="8" s="1"/>
  <c r="G1857" i="8"/>
  <c r="I1857" i="8" s="1"/>
  <c r="G1856" i="8"/>
  <c r="I1856" i="8" s="1"/>
  <c r="G1855" i="8"/>
  <c r="I1855" i="8" s="1"/>
  <c r="G1850" i="8"/>
  <c r="I1850" i="8" s="1"/>
  <c r="G1852" i="8"/>
  <c r="I1852" i="8" s="1"/>
  <c r="G1849" i="8"/>
  <c r="I1849" i="8" s="1"/>
  <c r="G1854" i="8"/>
  <c r="I1854" i="8" s="1"/>
  <c r="G1853" i="8"/>
  <c r="I1853" i="8" s="1"/>
  <c r="G1851" i="8"/>
  <c r="I1851" i="8" s="1"/>
  <c r="G1840" i="8"/>
  <c r="I1840" i="8" s="1"/>
  <c r="G1841" i="8"/>
  <c r="I1841" i="8" s="1"/>
  <c r="G1842" i="8"/>
  <c r="I1842" i="8" s="1"/>
  <c r="G1839" i="8"/>
  <c r="I1839" i="8" s="1"/>
  <c r="G1843" i="8"/>
  <c r="I1843" i="8" s="1"/>
  <c r="G1833" i="8"/>
  <c r="I1833" i="8" s="1"/>
  <c r="G1831" i="8"/>
  <c r="G1832" i="8"/>
  <c r="G1835" i="8"/>
  <c r="I1835" i="8" s="1"/>
  <c r="G1834" i="8"/>
  <c r="I1834" i="8" s="1"/>
  <c r="G1836" i="8"/>
  <c r="G1830" i="8"/>
  <c r="I1830" i="8" s="1"/>
  <c r="G1829" i="8"/>
  <c r="I1829" i="8" s="1"/>
  <c r="G1828" i="8"/>
  <c r="I1828" i="8" s="1"/>
  <c r="G1825" i="8"/>
  <c r="I1825" i="8" s="1"/>
  <c r="G1826" i="8"/>
  <c r="I1826" i="8" s="1"/>
  <c r="G1827" i="8"/>
  <c r="I1827" i="8" s="1"/>
  <c r="G1824" i="8"/>
  <c r="I1824" i="8" s="1"/>
  <c r="G1823" i="8"/>
  <c r="I1823" i="8" s="1"/>
  <c r="G1820" i="8"/>
  <c r="I1820" i="8" s="1"/>
  <c r="G1822" i="8"/>
  <c r="I1822" i="8" s="1"/>
  <c r="G1821" i="8"/>
  <c r="I1821" i="8" s="1"/>
  <c r="G1814" i="8"/>
  <c r="I1814" i="8" s="1"/>
  <c r="G1816" i="8"/>
  <c r="I1816" i="8" s="1"/>
  <c r="G1819" i="8"/>
  <c r="I1819" i="8" s="1"/>
  <c r="G1817" i="8"/>
  <c r="I1817" i="8" s="1"/>
  <c r="G1818" i="8"/>
  <c r="I1818" i="8" s="1"/>
  <c r="G1815" i="8"/>
  <c r="I1815" i="8" s="1"/>
  <c r="G1802" i="8"/>
  <c r="I1802" i="8" s="1"/>
  <c r="G1801" i="8"/>
  <c r="I1801" i="8" s="1"/>
  <c r="G1813" i="8"/>
  <c r="I1813" i="8" s="1"/>
  <c r="G1804" i="8"/>
  <c r="I1804" i="8" s="1"/>
  <c r="G1812" i="8"/>
  <c r="I1812" i="8" s="1"/>
  <c r="G1803" i="8"/>
  <c r="H1803" i="8" s="1"/>
  <c r="G1798" i="8"/>
  <c r="I1798" i="8" s="1"/>
  <c r="G1800" i="8"/>
  <c r="I1800" i="8" s="1"/>
  <c r="G1799" i="8"/>
  <c r="I1799" i="8" s="1"/>
  <c r="G1797" i="8"/>
  <c r="I1797" i="8" s="1"/>
  <c r="G1794" i="8"/>
  <c r="I1794" i="8" s="1"/>
  <c r="G1795" i="8"/>
  <c r="I1795" i="8" s="1"/>
  <c r="G1796" i="8"/>
  <c r="G1793" i="8"/>
  <c r="I1793" i="8" s="1"/>
  <c r="G1792" i="8"/>
  <c r="I1792" i="8" s="1"/>
  <c r="G1791" i="8"/>
  <c r="I1791" i="8" s="1"/>
  <c r="G1787" i="8"/>
  <c r="I1787" i="8" s="1"/>
  <c r="G1789" i="8"/>
  <c r="I1789" i="8" s="1"/>
  <c r="G1786" i="8"/>
  <c r="I1786" i="8" s="1"/>
  <c r="G1790" i="8"/>
  <c r="G1784" i="8"/>
  <c r="I1784" i="8" s="1"/>
  <c r="G1785" i="8"/>
  <c r="I1785" i="8" s="1"/>
  <c r="G1781" i="8"/>
  <c r="I1781" i="8" s="1"/>
  <c r="G1783" i="8"/>
  <c r="I1783" i="8" s="1"/>
  <c r="G1782" i="8"/>
  <c r="I1782" i="8" s="1"/>
  <c r="G1769" i="8"/>
  <c r="I1769" i="8" s="1"/>
  <c r="G1768" i="8"/>
  <c r="I1768" i="8" s="1"/>
  <c r="G1770" i="8"/>
  <c r="I1770" i="8" s="1"/>
  <c r="G1776" i="8"/>
  <c r="I1776" i="8" s="1"/>
  <c r="G1774" i="8"/>
  <c r="I1774" i="8" s="1"/>
  <c r="G1777" i="8"/>
  <c r="I1777" i="8" s="1"/>
  <c r="G1771" i="8"/>
  <c r="I1771" i="8" s="1"/>
  <c r="G1775" i="8"/>
  <c r="H1775" i="8" s="1"/>
  <c r="G1765" i="8"/>
  <c r="I1765" i="8" s="1"/>
  <c r="G1764" i="8"/>
  <c r="I1764" i="8" s="1"/>
  <c r="G1760" i="8"/>
  <c r="I1760" i="8" s="1"/>
  <c r="G1762" i="8"/>
  <c r="I1762" i="8" s="1"/>
  <c r="G1761" i="8"/>
  <c r="I1761" i="8" s="1"/>
  <c r="G1763" i="8"/>
  <c r="H1763" i="8" s="1"/>
  <c r="G1759" i="8"/>
  <c r="I1759" i="8" s="1"/>
  <c r="G1758" i="8"/>
  <c r="I1758" i="8" s="1"/>
  <c r="G1752" i="8"/>
  <c r="I1752" i="8" s="1"/>
  <c r="G1750" i="8"/>
  <c r="I1750" i="8" s="1"/>
  <c r="G1753" i="8"/>
  <c r="I1753" i="8" s="1"/>
  <c r="G1751" i="8"/>
  <c r="I1751" i="8" s="1"/>
  <c r="G1755" i="8"/>
  <c r="I1755" i="8" s="1"/>
  <c r="G1754" i="8"/>
  <c r="I1754" i="8" s="1"/>
  <c r="G1748" i="8"/>
  <c r="I1748" i="8" s="1"/>
  <c r="G1747" i="8"/>
  <c r="I1747" i="8" s="1"/>
  <c r="G1746" i="8"/>
  <c r="I1746" i="8" s="1"/>
  <c r="G1745" i="8"/>
  <c r="I1745" i="8" s="1"/>
  <c r="G1744" i="8"/>
  <c r="I1744" i="8" s="1"/>
  <c r="G1743" i="8"/>
  <c r="I1743" i="8" s="1"/>
  <c r="G1749" i="8"/>
  <c r="H1749" i="8" s="1"/>
  <c r="G1735" i="8"/>
  <c r="I1735" i="8" s="1"/>
  <c r="G1734" i="8"/>
  <c r="I1734" i="8" s="1"/>
  <c r="G1731" i="8"/>
  <c r="I1731" i="8" s="1"/>
  <c r="G1732" i="8"/>
  <c r="I1732" i="8" s="1"/>
  <c r="G1733" i="8"/>
  <c r="G1729" i="8"/>
  <c r="I1729" i="8" s="1"/>
  <c r="G1728" i="8"/>
  <c r="I1728" i="8" s="1"/>
  <c r="G1727" i="8"/>
  <c r="I1727" i="8" s="1"/>
  <c r="G1730" i="8"/>
  <c r="I1730" i="8" s="1"/>
  <c r="G1724" i="8"/>
  <c r="I1724" i="8" s="1"/>
  <c r="G1723" i="8"/>
  <c r="I1723" i="8" s="1"/>
  <c r="G1722" i="8"/>
  <c r="I1722" i="8" s="1"/>
  <c r="G1708" i="8"/>
  <c r="H1708" i="8" s="1"/>
  <c r="G1709" i="8"/>
  <c r="I1709" i="8" s="1"/>
  <c r="G1716" i="8"/>
  <c r="I1716" i="8" s="1"/>
  <c r="G1715" i="8"/>
  <c r="I1715" i="8" s="1"/>
  <c r="G1710" i="8"/>
  <c r="I1710" i="8" s="1"/>
  <c r="G1713" i="8"/>
  <c r="I1713" i="8" s="1"/>
  <c r="G1714" i="8"/>
  <c r="I1714" i="8" s="1"/>
  <c r="G1707" i="8"/>
  <c r="I1707" i="8" s="1"/>
  <c r="G1703" i="8"/>
  <c r="I1703" i="8" s="1"/>
  <c r="G1704" i="8"/>
  <c r="I1704" i="8" s="1"/>
  <c r="G1706" i="8"/>
  <c r="I1706" i="8" s="1"/>
  <c r="G1705" i="8"/>
  <c r="G1702" i="8"/>
  <c r="I1702" i="8" s="1"/>
  <c r="G1701" i="8"/>
  <c r="I1701" i="8" s="1"/>
  <c r="G1699" i="8"/>
  <c r="I1699" i="8" s="1"/>
  <c r="G1700" i="8"/>
  <c r="I1700" i="8" s="1"/>
  <c r="G1697" i="8"/>
  <c r="I1697" i="8" s="1"/>
  <c r="G1698" i="8"/>
  <c r="G1696" i="8"/>
  <c r="I1696" i="8" s="1"/>
  <c r="G1693" i="8"/>
  <c r="I1693" i="8" s="1"/>
  <c r="G1695" i="8"/>
  <c r="I1695" i="8" s="1"/>
  <c r="G1691" i="8"/>
  <c r="I1691" i="8" s="1"/>
  <c r="G1690" i="8"/>
  <c r="I1690" i="8" s="1"/>
  <c r="G1692" i="8"/>
  <c r="I1692" i="8" s="1"/>
  <c r="G1694" i="8"/>
  <c r="G1686" i="8"/>
  <c r="I1686" i="8" s="1"/>
  <c r="G1678" i="8"/>
  <c r="I1678" i="8" s="1"/>
  <c r="G1687" i="8"/>
  <c r="I1687" i="8" s="1"/>
  <c r="G1685" i="8"/>
  <c r="I1685" i="8" s="1"/>
  <c r="G1680" i="8"/>
  <c r="I1680" i="8" s="1"/>
  <c r="G1681" i="8"/>
  <c r="I1681" i="8" s="1"/>
  <c r="G1684" i="8"/>
  <c r="I1684" i="8" s="1"/>
  <c r="G1683" i="8"/>
  <c r="I1683" i="8" s="1"/>
  <c r="G1679" i="8"/>
  <c r="I1679" i="8" s="1"/>
  <c r="G1682" i="8"/>
  <c r="J1682" i="8" s="1"/>
  <c r="G1670" i="8"/>
  <c r="I1670" i="8" s="1"/>
  <c r="G1666" i="8"/>
  <c r="G1672" i="8"/>
  <c r="J1672" i="8" s="1"/>
  <c r="G1669" i="8"/>
  <c r="G1671" i="8"/>
  <c r="G1664" i="8"/>
  <c r="I1664" i="8" s="1"/>
  <c r="G1662" i="8"/>
  <c r="I1662" i="8" s="1"/>
  <c r="G1663" i="8"/>
  <c r="I1663" i="8" s="1"/>
  <c r="G1665" i="8"/>
  <c r="I1665" i="8" s="1"/>
  <c r="G1661" i="8"/>
  <c r="I1661" i="8" s="1"/>
  <c r="G1660" i="8"/>
  <c r="I1660" i="8" s="1"/>
  <c r="G1659" i="8"/>
  <c r="H1659" i="8" s="1"/>
  <c r="G1658" i="8"/>
  <c r="I1658" i="8" s="1"/>
  <c r="G1657" i="8"/>
  <c r="J1657" i="8" s="1"/>
  <c r="G1655" i="8"/>
  <c r="I1655" i="8" s="1"/>
  <c r="G1656" i="8"/>
  <c r="I1656" i="8" s="1"/>
  <c r="G1646" i="8"/>
  <c r="I1646" i="8" s="1"/>
  <c r="G1649" i="8"/>
  <c r="G1639" i="8"/>
  <c r="G1640" i="8"/>
  <c r="G1638" i="8"/>
  <c r="G1641" i="8"/>
  <c r="J1641" i="8" s="1"/>
  <c r="G1642" i="8"/>
  <c r="G1644" i="8"/>
  <c r="I1644" i="8" s="1"/>
  <c r="G1634" i="8"/>
  <c r="G1637" i="8"/>
  <c r="G1631" i="8"/>
  <c r="G1630" i="8"/>
  <c r="G1635" i="8"/>
  <c r="J1635" i="8" s="1"/>
  <c r="G1632" i="8"/>
  <c r="G1636" i="8"/>
  <c r="J1636" i="8" s="1"/>
  <c r="G1628" i="8"/>
  <c r="G1633" i="8"/>
  <c r="I1633" i="8" s="1"/>
  <c r="G1629" i="8"/>
  <c r="G1627" i="8"/>
  <c r="G1626" i="8"/>
  <c r="G1624" i="8"/>
  <c r="G1625" i="8"/>
  <c r="J1625" i="8" s="1"/>
  <c r="G1623" i="8"/>
  <c r="G1622" i="8"/>
  <c r="H1622" i="8" s="1"/>
  <c r="G1621" i="8"/>
  <c r="G1620" i="8"/>
  <c r="G1619" i="8"/>
  <c r="G1615" i="8"/>
  <c r="G1614" i="8"/>
  <c r="G1616" i="8"/>
  <c r="H1616" i="8" s="1"/>
  <c r="G1610" i="8"/>
  <c r="G1613" i="8"/>
  <c r="J1613" i="8" s="1"/>
  <c r="G1605" i="8"/>
  <c r="G1604" i="8"/>
  <c r="G1601" i="8"/>
  <c r="I1601" i="8" s="1"/>
  <c r="G1606" i="8"/>
  <c r="G1598" i="8"/>
  <c r="G1593" i="8"/>
  <c r="G1594" i="8"/>
  <c r="G1596" i="8"/>
  <c r="I1596" i="8" s="1"/>
  <c r="G1595" i="8"/>
  <c r="G1597" i="8"/>
  <c r="G1600" i="8"/>
  <c r="H1600" i="8" s="1"/>
  <c r="G1599" i="8"/>
  <c r="G1592" i="8"/>
  <c r="G1589" i="8"/>
  <c r="G1591" i="8"/>
  <c r="G1590" i="8"/>
  <c r="J1590" i="8" s="1"/>
  <c r="G1586" i="8"/>
  <c r="G1587" i="8"/>
  <c r="H1587" i="8" s="1"/>
  <c r="G1588" i="8"/>
  <c r="G1585" i="8"/>
  <c r="G1583" i="8"/>
  <c r="G1582" i="8"/>
  <c r="G1579" i="8"/>
  <c r="G1578" i="8"/>
  <c r="H1578" i="8" s="1"/>
  <c r="G1575" i="8"/>
  <c r="G1576" i="8"/>
  <c r="H1576" i="8" s="1"/>
  <c r="G1577" i="8"/>
  <c r="G1574" i="8"/>
  <c r="I1574" i="8" s="1"/>
  <c r="G1566" i="8"/>
  <c r="G1559" i="8"/>
  <c r="G1560" i="8"/>
  <c r="H1560" i="8" s="1"/>
  <c r="G1564" i="8"/>
  <c r="I1564" i="8" s="1"/>
  <c r="G1567" i="8"/>
  <c r="H1567" i="8" s="1"/>
  <c r="G1565" i="8"/>
  <c r="I1565" i="8" s="1"/>
  <c r="G1570" i="8"/>
  <c r="G1563" i="8"/>
  <c r="G1558" i="8"/>
  <c r="G1556" i="8"/>
  <c r="G1555" i="8"/>
  <c r="G1554" i="8"/>
  <c r="G1557" i="8"/>
  <c r="G1552" i="8"/>
  <c r="H1552" i="8" s="1"/>
  <c r="G1553" i="8"/>
  <c r="G1549" i="8"/>
  <c r="H1549" i="8" s="1"/>
  <c r="G1548" i="8"/>
  <c r="G1550" i="8"/>
  <c r="G1551" i="8"/>
  <c r="G1547" i="8"/>
  <c r="G1545" i="8"/>
  <c r="I1545" i="8" s="1"/>
  <c r="G1546" i="8"/>
  <c r="I1546" i="8" s="1"/>
  <c r="G1538" i="8"/>
  <c r="G1534" i="8"/>
  <c r="H1534" i="8" s="1"/>
  <c r="G1535" i="8"/>
  <c r="G1536" i="8"/>
  <c r="J1536" i="8" s="1"/>
  <c r="G1531" i="8"/>
  <c r="G1532" i="8"/>
  <c r="G1530" i="8"/>
  <c r="G1533" i="8"/>
  <c r="G1529" i="8"/>
  <c r="G1528" i="8"/>
  <c r="H1528" i="8" s="1"/>
  <c r="G1526" i="8"/>
  <c r="G1527" i="8"/>
  <c r="J1527" i="8" s="1"/>
  <c r="G1525" i="8"/>
  <c r="G1524" i="8"/>
  <c r="G1522" i="8"/>
  <c r="G1521" i="8"/>
  <c r="G1520" i="8"/>
  <c r="J1520" i="8" s="1"/>
  <c r="G1523" i="8"/>
  <c r="G1519" i="8"/>
  <c r="G1516" i="8"/>
  <c r="H1516" i="8" s="1"/>
  <c r="G1517" i="8"/>
  <c r="I1517" i="8" s="1"/>
  <c r="G1518" i="8"/>
  <c r="G1509" i="8"/>
  <c r="G1508" i="8"/>
  <c r="G1506" i="8"/>
  <c r="G1510" i="8"/>
  <c r="J1510" i="8" s="1"/>
  <c r="G1512" i="8"/>
  <c r="H1512" i="8" s="1"/>
  <c r="G1511" i="8"/>
  <c r="G1507" i="8"/>
  <c r="G1514" i="8"/>
  <c r="G1505" i="8"/>
  <c r="I1505" i="8" s="1"/>
  <c r="G1504" i="8"/>
  <c r="G1496" i="8"/>
  <c r="H1496" i="8" s="1"/>
  <c r="G1495" i="8"/>
  <c r="G1494" i="8"/>
  <c r="G1492" i="8"/>
  <c r="J1492" i="8" s="1"/>
  <c r="G1493" i="8"/>
  <c r="G1490" i="8"/>
  <c r="H1490" i="8" s="1"/>
  <c r="G1489" i="8"/>
  <c r="I1489" i="8" s="1"/>
  <c r="G1491" i="8"/>
  <c r="G1488" i="8"/>
  <c r="G1482" i="8"/>
  <c r="G1484" i="8"/>
  <c r="G1483" i="8"/>
  <c r="I1483" i="8" s="1"/>
  <c r="G1485" i="8"/>
  <c r="G1475" i="8"/>
  <c r="I1475" i="8" s="1"/>
  <c r="G1476" i="8"/>
  <c r="H1476" i="8" s="1"/>
  <c r="G1467" i="8"/>
  <c r="J1467" i="8" s="1"/>
  <c r="G1466" i="8"/>
  <c r="H1466" i="8" s="1"/>
  <c r="G1468" i="8"/>
  <c r="H1468" i="8" s="1"/>
  <c r="G1469" i="8"/>
  <c r="G1465" i="8"/>
  <c r="J1465" i="8" s="1"/>
  <c r="G1472" i="8"/>
  <c r="G1471" i="8"/>
  <c r="J1471" i="8" s="1"/>
  <c r="G1470" i="8"/>
  <c r="G1464" i="8"/>
  <c r="G1463" i="8"/>
  <c r="J1463" i="8" s="1"/>
  <c r="G1462" i="8"/>
  <c r="G1461" i="8"/>
  <c r="J1461" i="8" s="1"/>
  <c r="G1460" i="8"/>
  <c r="G1458" i="8"/>
  <c r="J1458" i="8" s="1"/>
  <c r="G1459" i="8"/>
  <c r="G1454" i="8"/>
  <c r="G1457" i="8"/>
  <c r="J1457" i="8" s="1"/>
  <c r="G1456" i="8"/>
  <c r="H1456" i="8" s="1"/>
  <c r="G1455" i="8"/>
  <c r="G1446" i="8"/>
  <c r="I1446" i="8" s="1"/>
  <c r="G1447" i="8"/>
  <c r="H1447" i="8" s="1"/>
  <c r="G1443" i="8"/>
  <c r="G1440" i="8"/>
  <c r="H1440" i="8" s="1"/>
  <c r="G1442" i="8"/>
  <c r="G1441" i="8"/>
  <c r="J1441" i="8" s="1"/>
  <c r="G1437" i="8"/>
  <c r="J1437" i="8" s="1"/>
  <c r="G1438" i="8"/>
  <c r="H1438" i="8" s="1"/>
  <c r="G1439" i="8"/>
  <c r="G1436" i="8"/>
  <c r="G1435" i="8"/>
  <c r="G1433" i="8"/>
  <c r="H1433" i="8" s="1"/>
  <c r="G1434" i="8"/>
  <c r="G1431" i="8"/>
  <c r="J1431" i="8" s="1"/>
  <c r="G1432" i="8"/>
  <c r="G1429" i="8"/>
  <c r="J1429" i="8" s="1"/>
  <c r="G1430" i="8"/>
  <c r="H1430" i="8" s="1"/>
  <c r="G1427" i="8"/>
  <c r="H1427" i="8" s="1"/>
  <c r="G1428" i="8"/>
  <c r="G1426" i="8"/>
  <c r="H1426" i="8" s="1"/>
  <c r="G1422" i="8"/>
  <c r="G1424" i="8"/>
  <c r="J1424" i="8" s="1"/>
  <c r="G1423" i="8"/>
  <c r="G1421" i="8"/>
  <c r="G1419" i="8"/>
  <c r="J1419" i="8" s="1"/>
  <c r="G1415" i="8"/>
  <c r="G1413" i="8"/>
  <c r="J1413" i="8" s="1"/>
  <c r="G1420" i="8"/>
  <c r="H1420" i="8" s="1"/>
  <c r="G1414" i="8"/>
  <c r="G1417" i="8"/>
  <c r="G1416" i="8"/>
  <c r="G1418" i="8"/>
  <c r="H1418" i="8" s="1"/>
  <c r="G1407" i="8"/>
  <c r="J1407" i="8" s="1"/>
  <c r="G1402" i="8"/>
  <c r="H1402" i="8" s="1"/>
  <c r="G1403" i="8"/>
  <c r="H1403" i="8" s="1"/>
  <c r="G1399" i="8"/>
  <c r="G1401" i="8"/>
  <c r="H1401" i="8" s="1"/>
  <c r="G1400" i="8"/>
  <c r="G1398" i="8"/>
  <c r="G1396" i="8"/>
  <c r="G1397" i="8"/>
  <c r="H1397" i="8" s="1"/>
  <c r="G1389" i="8"/>
  <c r="G1391" i="8"/>
  <c r="J1391" i="8" s="1"/>
  <c r="G1394" i="8"/>
  <c r="G1392" i="8"/>
  <c r="H1392" i="8" s="1"/>
  <c r="G1388" i="8"/>
  <c r="H1388" i="8" s="1"/>
  <c r="G1387" i="8"/>
  <c r="H1387" i="8" s="1"/>
  <c r="G1386" i="8"/>
  <c r="G1385" i="8"/>
  <c r="H1385" i="8" s="1"/>
  <c r="G1384" i="8"/>
  <c r="G1378" i="8"/>
  <c r="G1377" i="8"/>
  <c r="J1377" i="8" s="1"/>
  <c r="G1374" i="8"/>
  <c r="J1374" i="8" s="1"/>
  <c r="G1372" i="8"/>
  <c r="H1372" i="8" s="1"/>
  <c r="G1373" i="8"/>
  <c r="G1368" i="8"/>
  <c r="H1368" i="8" s="1"/>
  <c r="G1369" i="8"/>
  <c r="G1371" i="8"/>
  <c r="G1366" i="8"/>
  <c r="G1367" i="8"/>
  <c r="H1367" i="8" s="1"/>
  <c r="G1365" i="8"/>
  <c r="J1365" i="8" s="1"/>
  <c r="G1363" i="8"/>
  <c r="H1363" i="8" s="1"/>
  <c r="G1364" i="8"/>
  <c r="G1358" i="8"/>
  <c r="H1358" i="8" s="1"/>
  <c r="G1356" i="8"/>
  <c r="G1357" i="8"/>
  <c r="G1355" i="8"/>
  <c r="G1347" i="8"/>
  <c r="J1347" i="8" s="1"/>
  <c r="G1346" i="8"/>
  <c r="G1345" i="8"/>
  <c r="H1345" i="8" s="1"/>
  <c r="G1342" i="8"/>
  <c r="H1342" i="8" s="1"/>
  <c r="G1343" i="8"/>
  <c r="G1341" i="8"/>
  <c r="G1340" i="8"/>
  <c r="G1339" i="8"/>
  <c r="H1339" i="8" s="1"/>
  <c r="G1338" i="8"/>
  <c r="G1337" i="8"/>
  <c r="H1337" i="8" s="1"/>
  <c r="G1336" i="8"/>
  <c r="J1336" i="8" s="1"/>
  <c r="G1333" i="8"/>
  <c r="G1331" i="8"/>
  <c r="H1331" i="8" s="1"/>
  <c r="G1332" i="8"/>
  <c r="G1330" i="8"/>
  <c r="H1330" i="8" s="1"/>
  <c r="G1329" i="8"/>
  <c r="H1329" i="8" s="1"/>
  <c r="G1327" i="8"/>
  <c r="J1327" i="8" s="1"/>
  <c r="G1328" i="8"/>
  <c r="G1325" i="8"/>
  <c r="H1325" i="8" s="1"/>
  <c r="G1326" i="8"/>
  <c r="G1318" i="8"/>
  <c r="I1318" i="8" s="1"/>
  <c r="G1317" i="8"/>
  <c r="G1319" i="8"/>
  <c r="H1319" i="8" s="1"/>
  <c r="G1312" i="8"/>
  <c r="G1313" i="8"/>
  <c r="J1313" i="8" s="1"/>
  <c r="G1316" i="8"/>
  <c r="G1308" i="8"/>
  <c r="H1308" i="8" s="1"/>
  <c r="G1309" i="8"/>
  <c r="J1309" i="8" s="1"/>
  <c r="G1306" i="8"/>
  <c r="J1306" i="8" s="1"/>
  <c r="G1307" i="8"/>
  <c r="H1307" i="8" s="1"/>
  <c r="G1302" i="8"/>
  <c r="H1302" i="8" s="1"/>
  <c r="G1303" i="8"/>
  <c r="H1303" i="8" s="1"/>
  <c r="G1299" i="8"/>
  <c r="J1299" i="8" s="1"/>
  <c r="G1300" i="8"/>
  <c r="H1300" i="8" s="1"/>
  <c r="G1294" i="8"/>
  <c r="H1294" i="8" s="1"/>
  <c r="G1293" i="8"/>
  <c r="H1293" i="8" s="1"/>
  <c r="G1290" i="8"/>
  <c r="J1290" i="8" s="1"/>
  <c r="G1292" i="8"/>
  <c r="H1292" i="8" s="1"/>
  <c r="G1283" i="8"/>
  <c r="J1283" i="8" s="1"/>
  <c r="G1282" i="8"/>
  <c r="H1282" i="8" s="1"/>
  <c r="G1278" i="8"/>
  <c r="J1278" i="8" s="1"/>
  <c r="G1284" i="8"/>
  <c r="H1284" i="8" s="1"/>
  <c r="G1279" i="8"/>
  <c r="J1279" i="8" s="1"/>
  <c r="G1273" i="8"/>
  <c r="H1273" i="8" s="1"/>
  <c r="G1276" i="8"/>
  <c r="J1276" i="8" s="1"/>
  <c r="G1277" i="8"/>
  <c r="H1277" i="8" s="1"/>
  <c r="G1267" i="8"/>
  <c r="J1267" i="8" s="1"/>
  <c r="G1268" i="8"/>
  <c r="J1268" i="8" s="1"/>
  <c r="G1269" i="8"/>
  <c r="J1269" i="8" s="1"/>
  <c r="G1270" i="8"/>
  <c r="J1270" i="8" s="1"/>
  <c r="G1266" i="8"/>
  <c r="J1266" i="8" s="1"/>
  <c r="G1261" i="8"/>
  <c r="H1261" i="8" s="1"/>
  <c r="G1260" i="8"/>
  <c r="H1260" i="8" s="1"/>
  <c r="G1259" i="8"/>
  <c r="H1259" i="8" s="1"/>
  <c r="G1256" i="8"/>
  <c r="J1256" i="8" s="1"/>
  <c r="G1254" i="8"/>
  <c r="J1254" i="8" s="1"/>
  <c r="G1255" i="8"/>
  <c r="H1255" i="8" s="1"/>
  <c r="G1253" i="8"/>
  <c r="J1253" i="8" s="1"/>
  <c r="C1280" i="8" a="1"/>
  <c r="C1280" i="8" s="1"/>
  <c r="C1285" i="8" a="1"/>
  <c r="C1285" i="8" s="1"/>
  <c r="C1287" i="8" a="1"/>
  <c r="C1287" i="8" s="1"/>
  <c r="C1667" i="8" a="1"/>
  <c r="C1667" i="8" s="1"/>
  <c r="C1673" i="8" a="1"/>
  <c r="C1673" i="8" s="1"/>
  <c r="C1675" i="8" a="1"/>
  <c r="C1675" i="8" s="1"/>
  <c r="C1561" i="8" a="1"/>
  <c r="C1561" i="8" s="1"/>
  <c r="C1568" i="8" a="1"/>
  <c r="C1568" i="8" s="1"/>
  <c r="C1571" i="8" a="1"/>
  <c r="C1571" i="8" s="1"/>
  <c r="C1473" i="8" a="1"/>
  <c r="C1473" i="8" s="1"/>
  <c r="C1477" i="8" a="1"/>
  <c r="C1477" i="8" s="1"/>
  <c r="C1479" i="8" a="1"/>
  <c r="C1479" i="8" s="1"/>
  <c r="C1375" i="8" a="1"/>
  <c r="C1375" i="8" s="1"/>
  <c r="C1379" i="8" a="1"/>
  <c r="C1379" i="8" s="1"/>
  <c r="C1381" i="8" a="1"/>
  <c r="C1381" i="8" s="1"/>
  <c r="C1218" i="8" a="1"/>
  <c r="C1218" i="8" s="1"/>
  <c r="C1232" i="8" a="1"/>
  <c r="C1232" i="8" s="1"/>
  <c r="C1229" i="8" a="1"/>
  <c r="C1229" i="8" s="1"/>
  <c r="C1314" i="8" a="1"/>
  <c r="C1314" i="8" s="1"/>
  <c r="C1323" i="8" a="1"/>
  <c r="C1323" i="8" s="1"/>
  <c r="C1320" i="8" a="1"/>
  <c r="C1320" i="8" s="1"/>
  <c r="C1348" i="8" a="1"/>
  <c r="C1348" i="8" s="1"/>
  <c r="C1353" i="8" a="1"/>
  <c r="C1353" i="8" s="1"/>
  <c r="C1350" i="8" a="1"/>
  <c r="C1350" i="8" s="1"/>
  <c r="C1405" i="8" a="1"/>
  <c r="C1405" i="8" s="1"/>
  <c r="C1408" i="8" a="1"/>
  <c r="C1408" i="8" s="1"/>
  <c r="C1410" i="8" a="1"/>
  <c r="C1410" i="8" s="1"/>
  <c r="C1837" i="8" a="1"/>
  <c r="C1837" i="8" s="1"/>
  <c r="C1844" i="8" a="1"/>
  <c r="C1844" i="8" s="1"/>
  <c r="C1736" i="8" a="1"/>
  <c r="C1736" i="8" s="1"/>
  <c r="C1741" i="8" a="1"/>
  <c r="C1741" i="8" s="1"/>
  <c r="C1846" i="8" a="1"/>
  <c r="C1846" i="8" s="1"/>
  <c r="C1738" i="8" a="1"/>
  <c r="C1738" i="8" s="1"/>
  <c r="C1444" i="8" a="1"/>
  <c r="C1444" i="8" s="1"/>
  <c r="C1448" i="8" a="1"/>
  <c r="C1448" i="8" s="1"/>
  <c r="C1450" i="8" a="1"/>
  <c r="C1450" i="8" s="1"/>
  <c r="C1539" i="8" a="1"/>
  <c r="C1539" i="8" s="1"/>
  <c r="C1541" i="8" a="1"/>
  <c r="C1541" i="8" s="1"/>
  <c r="C1543" i="8" a="1"/>
  <c r="C1543" i="8" s="1"/>
  <c r="C1501" i="8" a="1"/>
  <c r="C1501" i="8" s="1"/>
  <c r="C1497" i="8" a="1"/>
  <c r="C1497" i="8" s="1"/>
  <c r="C1499" i="8" a="1"/>
  <c r="C1499" i="8" s="1"/>
  <c r="C1602" i="8" a="1"/>
  <c r="C1602" i="8" s="1"/>
  <c r="C1611" i="8" a="1"/>
  <c r="C1611" i="8" s="1"/>
  <c r="C1607" i="8" a="1"/>
  <c r="C1607" i="8" s="1"/>
  <c r="C1647" i="8" a="1"/>
  <c r="C1647" i="8" s="1"/>
  <c r="C1650" i="8" a="1"/>
  <c r="C1650" i="8" s="1"/>
  <c r="C1652" i="8" a="1"/>
  <c r="C1652" i="8" s="1"/>
  <c r="C1766" i="8" a="1"/>
  <c r="C1766" i="8" s="1"/>
  <c r="C1772" i="8" a="1"/>
  <c r="C1772" i="8" s="1"/>
  <c r="C1778" i="8" a="1"/>
  <c r="C1778" i="8" s="1"/>
  <c r="C1711" i="8" a="1"/>
  <c r="C1711" i="8" s="1"/>
  <c r="C1717" i="8" a="1"/>
  <c r="C1717" i="8" s="1"/>
  <c r="C1719" i="8" a="1"/>
  <c r="C1719" i="8" s="1"/>
  <c r="C1805" i="8" a="1"/>
  <c r="C1805" i="8" s="1"/>
  <c r="C1863" i="8" a="1"/>
  <c r="C1863" i="8" s="1"/>
  <c r="C1894" i="8" a="1"/>
  <c r="C1894" i="8" s="1"/>
  <c r="C1929" i="8" a="1"/>
  <c r="C1929" i="8" s="1"/>
  <c r="C1951" i="8" a="1"/>
  <c r="C1951" i="8" s="1"/>
  <c r="C1810" i="8" a="1"/>
  <c r="C1810" i="8" s="1"/>
  <c r="C1875" i="8" a="1"/>
  <c r="C1875" i="8" s="1"/>
  <c r="C1902" i="8" a="1"/>
  <c r="C1902" i="8" s="1"/>
  <c r="C1936" i="8" a="1"/>
  <c r="C1936" i="8" s="1"/>
  <c r="C1980" i="8" a="1"/>
  <c r="C1980" i="8" s="1"/>
  <c r="C1807" i="8" a="1"/>
  <c r="C1807" i="8" s="1"/>
  <c r="C1872" i="8" a="1"/>
  <c r="C1872" i="8" s="1"/>
  <c r="C1897" i="8" a="1"/>
  <c r="C1897" i="8" s="1"/>
  <c r="C1933" i="8" a="1"/>
  <c r="C1933" i="8" s="1"/>
  <c r="C1957" i="8" a="1"/>
  <c r="C1957" i="8" s="1"/>
  <c r="D1280" i="8"/>
  <c r="D1285" i="8"/>
  <c r="D1287" i="8"/>
  <c r="D1667" i="8"/>
  <c r="D1673" i="8"/>
  <c r="D1675" i="8"/>
  <c r="D1561" i="8"/>
  <c r="D1568" i="8"/>
  <c r="D1571" i="8"/>
  <c r="D1473" i="8"/>
  <c r="D1477" i="8"/>
  <c r="D1479" i="8"/>
  <c r="D1375" i="8"/>
  <c r="D1379" i="8"/>
  <c r="D1381" i="8"/>
  <c r="D1218" i="8"/>
  <c r="D1232" i="8"/>
  <c r="D1229" i="8"/>
  <c r="D1314" i="8"/>
  <c r="D1323" i="8"/>
  <c r="D1320" i="8"/>
  <c r="D1348" i="8"/>
  <c r="D1353" i="8"/>
  <c r="D1350" i="8"/>
  <c r="D1405" i="8"/>
  <c r="D1408" i="8"/>
  <c r="D1410" i="8"/>
  <c r="D1837" i="8"/>
  <c r="D1844" i="8"/>
  <c r="D1736" i="8"/>
  <c r="D1741" i="8"/>
  <c r="D1846" i="8"/>
  <c r="D1738" i="8"/>
  <c r="D1444" i="8"/>
  <c r="D1448" i="8"/>
  <c r="D1450" i="8"/>
  <c r="D1539" i="8"/>
  <c r="D1541" i="8"/>
  <c r="D1543" i="8"/>
  <c r="D1501" i="8"/>
  <c r="D1497" i="8"/>
  <c r="D1499" i="8"/>
  <c r="D1602" i="8"/>
  <c r="D1611" i="8"/>
  <c r="D1607" i="8"/>
  <c r="D1647" i="8"/>
  <c r="D1650" i="8"/>
  <c r="D1652" i="8"/>
  <c r="D1766" i="8"/>
  <c r="D1772" i="8"/>
  <c r="D1778" i="8"/>
  <c r="D1711" i="8"/>
  <c r="D1717" i="8"/>
  <c r="D1719" i="8"/>
  <c r="D1805" i="8"/>
  <c r="D1863" i="8"/>
  <c r="D1810" i="8"/>
  <c r="D1875" i="8"/>
  <c r="D1807" i="8"/>
  <c r="D1872" i="8"/>
  <c r="F1280" i="8"/>
  <c r="F1285" i="8"/>
  <c r="F1287" i="8"/>
  <c r="F1667" i="8"/>
  <c r="F1673" i="8"/>
  <c r="F1675" i="8"/>
  <c r="F1561" i="8"/>
  <c r="F1568" i="8"/>
  <c r="F1571" i="8"/>
  <c r="F1473" i="8"/>
  <c r="F1477" i="8"/>
  <c r="F1479" i="8"/>
  <c r="F1375" i="8"/>
  <c r="F1379" i="8"/>
  <c r="F1381" i="8"/>
  <c r="F1218" i="8"/>
  <c r="F1232" i="8"/>
  <c r="F1229" i="8"/>
  <c r="F1314" i="8"/>
  <c r="F1323" i="8"/>
  <c r="F1320" i="8"/>
  <c r="F1348" i="8"/>
  <c r="F1353" i="8"/>
  <c r="F1350" i="8"/>
  <c r="F1405" i="8"/>
  <c r="F1408" i="8"/>
  <c r="F1410" i="8"/>
  <c r="F1837" i="8"/>
  <c r="F1844" i="8"/>
  <c r="F1736" i="8"/>
  <c r="F1741" i="8"/>
  <c r="F1846" i="8"/>
  <c r="F1738" i="8"/>
  <c r="F1444" i="8"/>
  <c r="F1448" i="8"/>
  <c r="F1450" i="8"/>
  <c r="F1539" i="8"/>
  <c r="F1541" i="8"/>
  <c r="F1543" i="8"/>
  <c r="F1501" i="8"/>
  <c r="F1497" i="8"/>
  <c r="F1499" i="8"/>
  <c r="F1602" i="8"/>
  <c r="F1611" i="8"/>
  <c r="F1607" i="8"/>
  <c r="F1647" i="8"/>
  <c r="F1650" i="8"/>
  <c r="F1652" i="8"/>
  <c r="F1766" i="8"/>
  <c r="F1772" i="8"/>
  <c r="F1778" i="8"/>
  <c r="F1711" i="8"/>
  <c r="F1717" i="8"/>
  <c r="F1719" i="8"/>
  <c r="F1805" i="8"/>
  <c r="F1863" i="8"/>
  <c r="F1894" i="8"/>
  <c r="F1929" i="8"/>
  <c r="F1951" i="8"/>
  <c r="F1810" i="8"/>
  <c r="F1875" i="8"/>
  <c r="F1902" i="8"/>
  <c r="F1936" i="8"/>
  <c r="F1980" i="8"/>
  <c r="F1807" i="8"/>
  <c r="F1872" i="8"/>
  <c r="F1897" i="8"/>
  <c r="F1933" i="8"/>
  <c r="F1957" i="8"/>
  <c r="R1280" i="8"/>
  <c r="R1285" i="8"/>
  <c r="R1287" i="8"/>
  <c r="R1667" i="8"/>
  <c r="R1673" i="8"/>
  <c r="R1675" i="8"/>
  <c r="R1561" i="8"/>
  <c r="R1568" i="8"/>
  <c r="R1571" i="8"/>
  <c r="R1473" i="8"/>
  <c r="R1477" i="8"/>
  <c r="R1479" i="8"/>
  <c r="R1375" i="8"/>
  <c r="R1379" i="8"/>
  <c r="R1381" i="8"/>
  <c r="R1218" i="8"/>
  <c r="R1232" i="8"/>
  <c r="R1229" i="8"/>
  <c r="R1314" i="8"/>
  <c r="R1323" i="8"/>
  <c r="R1320" i="8"/>
  <c r="R1348" i="8"/>
  <c r="R1353" i="8"/>
  <c r="R1350" i="8"/>
  <c r="R1405" i="8"/>
  <c r="R1408" i="8"/>
  <c r="R1410" i="8"/>
  <c r="R1837" i="8"/>
  <c r="R1844" i="8"/>
  <c r="R1736" i="8"/>
  <c r="R1741" i="8"/>
  <c r="R1846" i="8"/>
  <c r="R1738" i="8"/>
  <c r="R1444" i="8"/>
  <c r="R1448" i="8"/>
  <c r="R1450" i="8"/>
  <c r="R1539" i="8"/>
  <c r="R1541" i="8"/>
  <c r="R1543" i="8"/>
  <c r="R1501" i="8"/>
  <c r="R1497" i="8"/>
  <c r="R1499" i="8"/>
  <c r="R1602" i="8"/>
  <c r="R1611" i="8"/>
  <c r="R1607" i="8"/>
  <c r="R1647" i="8"/>
  <c r="R1650" i="8"/>
  <c r="R1652" i="8"/>
  <c r="R1766" i="8"/>
  <c r="R1772" i="8"/>
  <c r="R1778" i="8"/>
  <c r="R1711" i="8"/>
  <c r="R1717" i="8"/>
  <c r="R1719" i="8"/>
  <c r="R1805" i="8"/>
  <c r="R1863" i="8"/>
  <c r="R1894" i="8"/>
  <c r="R1929" i="8"/>
  <c r="R1951" i="8"/>
  <c r="R1810" i="8"/>
  <c r="R1875" i="8"/>
  <c r="R1902" i="8"/>
  <c r="R1936" i="8"/>
  <c r="R1980" i="8"/>
  <c r="R1807" i="8"/>
  <c r="R1872" i="8"/>
  <c r="R1897" i="8"/>
  <c r="R1933" i="8"/>
  <c r="R1957" i="8"/>
  <c r="T1280" i="8"/>
  <c r="T1285" i="8"/>
  <c r="T1287" i="8"/>
  <c r="T1667" i="8"/>
  <c r="T1673" i="8"/>
  <c r="T1675" i="8"/>
  <c r="T1561" i="8"/>
  <c r="T1568" i="8"/>
  <c r="T1571" i="8"/>
  <c r="T1473" i="8"/>
  <c r="T1477" i="8"/>
  <c r="T1479" i="8"/>
  <c r="T1375" i="8"/>
  <c r="T1379" i="8"/>
  <c r="T1381" i="8"/>
  <c r="T1218" i="8"/>
  <c r="T1232" i="8"/>
  <c r="T1229" i="8"/>
  <c r="T1314" i="8"/>
  <c r="T1323" i="8"/>
  <c r="T1320" i="8"/>
  <c r="T1348" i="8"/>
  <c r="T1353" i="8"/>
  <c r="T1350" i="8"/>
  <c r="T1405" i="8"/>
  <c r="T1408" i="8"/>
  <c r="T1410" i="8"/>
  <c r="T1837" i="8"/>
  <c r="T1844" i="8"/>
  <c r="T1736" i="8"/>
  <c r="T1741" i="8"/>
  <c r="T1846" i="8"/>
  <c r="T1738" i="8"/>
  <c r="T1444" i="8"/>
  <c r="T1448" i="8"/>
  <c r="T1450" i="8"/>
  <c r="T1539" i="8"/>
  <c r="T1541" i="8"/>
  <c r="T1543" i="8"/>
  <c r="T1501" i="8"/>
  <c r="T1497" i="8"/>
  <c r="T1499" i="8"/>
  <c r="T1602" i="8"/>
  <c r="T1611" i="8"/>
  <c r="T1607" i="8"/>
  <c r="T1647" i="8"/>
  <c r="T1650" i="8"/>
  <c r="T1652" i="8"/>
  <c r="T1766" i="8"/>
  <c r="T1772" i="8"/>
  <c r="T1778" i="8"/>
  <c r="T1711" i="8"/>
  <c r="T1717" i="8"/>
  <c r="T1719" i="8"/>
  <c r="T1805" i="8"/>
  <c r="T1863" i="8"/>
  <c r="T1894" i="8"/>
  <c r="T1929" i="8"/>
  <c r="T1951" i="8"/>
  <c r="T1810" i="8"/>
  <c r="T1875" i="8"/>
  <c r="T1902" i="8"/>
  <c r="T1936" i="8"/>
  <c r="T1980" i="8"/>
  <c r="T1807" i="8"/>
  <c r="T1872" i="8"/>
  <c r="T1897" i="8"/>
  <c r="T1933" i="8"/>
  <c r="T1957" i="8"/>
  <c r="T2365" i="8"/>
  <c r="T2364" i="8"/>
  <c r="T2363" i="8"/>
  <c r="T2359" i="8"/>
  <c r="T2360" i="8"/>
  <c r="T2362" i="8"/>
  <c r="T2361" i="8"/>
  <c r="T2358" i="8"/>
  <c r="T2353" i="8"/>
  <c r="T2356" i="8"/>
  <c r="T2355" i="8"/>
  <c r="T2357" i="8"/>
  <c r="T2354" i="8"/>
  <c r="T2352" i="8"/>
  <c r="T2351" i="8"/>
  <c r="T2350" i="8"/>
  <c r="T2349" i="8"/>
  <c r="T2347" i="8"/>
  <c r="T2348" i="8"/>
  <c r="T2345" i="8"/>
  <c r="T2346" i="8"/>
  <c r="T2344" i="8"/>
  <c r="T2343" i="8"/>
  <c r="T2341" i="8"/>
  <c r="T2342" i="8"/>
  <c r="T2339" i="8"/>
  <c r="T2340" i="8"/>
  <c r="T2337" i="8"/>
  <c r="T2338" i="8"/>
  <c r="T2336" i="8"/>
  <c r="T2335" i="8"/>
  <c r="T2332" i="8"/>
  <c r="T2331" i="8"/>
  <c r="T2334" i="8"/>
  <c r="T2333" i="8"/>
  <c r="T2329" i="8"/>
  <c r="T2330" i="8"/>
  <c r="T2328" i="8"/>
  <c r="T2327" i="8"/>
  <c r="T2325" i="8"/>
  <c r="T2326" i="8"/>
  <c r="T2324" i="8"/>
  <c r="T2323" i="8"/>
  <c r="T2322" i="8"/>
  <c r="T2321" i="8"/>
  <c r="T2320" i="8"/>
  <c r="T2318" i="8"/>
  <c r="T2317" i="8"/>
  <c r="T2319" i="8"/>
  <c r="T2316" i="8"/>
  <c r="T2315" i="8"/>
  <c r="T2314" i="8"/>
  <c r="T2313" i="8"/>
  <c r="T2312" i="8"/>
  <c r="T2308" i="8"/>
  <c r="T2307" i="8"/>
  <c r="T2309" i="8"/>
  <c r="T2310" i="8"/>
  <c r="T2311" i="8"/>
  <c r="T2305" i="8"/>
  <c r="T2306" i="8"/>
  <c r="T2304" i="8"/>
  <c r="T2303" i="8"/>
  <c r="T2302" i="8"/>
  <c r="T2301" i="8"/>
  <c r="T2299" i="8"/>
  <c r="T2298" i="8"/>
  <c r="T2300" i="8"/>
  <c r="T2297" i="8"/>
  <c r="T2295" i="8"/>
  <c r="T2294" i="8"/>
  <c r="T2296" i="8"/>
  <c r="T2293" i="8"/>
  <c r="T2292" i="8"/>
  <c r="T2291" i="8"/>
  <c r="T2287" i="8"/>
  <c r="T2288" i="8"/>
  <c r="T2289" i="8"/>
  <c r="T2286" i="8"/>
  <c r="T2285" i="8"/>
  <c r="T2284" i="8"/>
  <c r="T2283" i="8"/>
  <c r="T2282" i="8"/>
  <c r="T2279" i="8"/>
  <c r="T2281" i="8"/>
  <c r="T2280" i="8"/>
  <c r="T2277" i="8"/>
  <c r="T2275" i="8"/>
  <c r="T2276" i="8"/>
  <c r="T2278" i="8"/>
  <c r="T2272" i="8"/>
  <c r="T2271" i="8"/>
  <c r="T2273" i="8"/>
  <c r="T2274" i="8"/>
  <c r="T2270" i="8"/>
  <c r="T2269" i="8"/>
  <c r="T2267" i="8"/>
  <c r="T2266" i="8"/>
  <c r="T2268" i="8"/>
  <c r="T2264" i="8"/>
  <c r="T2263" i="8"/>
  <c r="T2262" i="8"/>
  <c r="T2265" i="8"/>
  <c r="T2261" i="8"/>
  <c r="T2260" i="8"/>
  <c r="T2259" i="8"/>
  <c r="T2257" i="8"/>
  <c r="T2258" i="8"/>
  <c r="T2255" i="8"/>
  <c r="T2256" i="8"/>
  <c r="T2254" i="8"/>
  <c r="T2252" i="8"/>
  <c r="T2253" i="8"/>
  <c r="T2251" i="8"/>
  <c r="T2246" i="8"/>
  <c r="T2248" i="8"/>
  <c r="T2249" i="8"/>
  <c r="T2247" i="8"/>
  <c r="T2250" i="8"/>
  <c r="T2244" i="8"/>
  <c r="T2245" i="8"/>
  <c r="T2243" i="8"/>
  <c r="T2242" i="8"/>
  <c r="T2241" i="8"/>
  <c r="T2240" i="8"/>
  <c r="T2239" i="8"/>
  <c r="T2238" i="8"/>
  <c r="T2237" i="8"/>
  <c r="T2236" i="8"/>
  <c r="T2233" i="8"/>
  <c r="T2235" i="8"/>
  <c r="T2234" i="8"/>
  <c r="T2230" i="8"/>
  <c r="T2231" i="8"/>
  <c r="T2232" i="8"/>
  <c r="T2229" i="8"/>
  <c r="T2228" i="8"/>
  <c r="T2227" i="8"/>
  <c r="T2226" i="8"/>
  <c r="T2224" i="8"/>
  <c r="T2225" i="8"/>
  <c r="T2222" i="8"/>
  <c r="T2223" i="8"/>
  <c r="T2220" i="8"/>
  <c r="T2221" i="8"/>
  <c r="T2219" i="8"/>
  <c r="T2218" i="8"/>
  <c r="T2217" i="8"/>
  <c r="T2216" i="8"/>
  <c r="T2215" i="8"/>
  <c r="T2214" i="8"/>
  <c r="T2213" i="8"/>
  <c r="T2211" i="8"/>
  <c r="T2212" i="8"/>
  <c r="T2208" i="8"/>
  <c r="T2210" i="8"/>
  <c r="T2209" i="8"/>
  <c r="T2207" i="8"/>
  <c r="T2206" i="8"/>
  <c r="T2205" i="8"/>
  <c r="T2204" i="8"/>
  <c r="T2203" i="8"/>
  <c r="T2202" i="8"/>
  <c r="T2201" i="8"/>
  <c r="T2193" i="8"/>
  <c r="T2197" i="8"/>
  <c r="T2198" i="8"/>
  <c r="T2196" i="8"/>
  <c r="T2195" i="8"/>
  <c r="T2199" i="8"/>
  <c r="T2194" i="8"/>
  <c r="T2200" i="8"/>
  <c r="T2190" i="8"/>
  <c r="T2191" i="8"/>
  <c r="T2192" i="8"/>
  <c r="T2189" i="8"/>
  <c r="T2188" i="8"/>
  <c r="T2186" i="8"/>
  <c r="T2185" i="8"/>
  <c r="T2184" i="8"/>
  <c r="T2187" i="8"/>
  <c r="T2183" i="8"/>
  <c r="T2181" i="8"/>
  <c r="T2180" i="8"/>
  <c r="T2179" i="8"/>
  <c r="T2182" i="8"/>
  <c r="T2178" i="8"/>
  <c r="T2177" i="8"/>
  <c r="T2176" i="8"/>
  <c r="T2174" i="8"/>
  <c r="T2175" i="8"/>
  <c r="T2173" i="8"/>
  <c r="T2172" i="8"/>
  <c r="T2171" i="8"/>
  <c r="T2170" i="8"/>
  <c r="T2169" i="8"/>
  <c r="T2167" i="8"/>
  <c r="T2166" i="8"/>
  <c r="T2168" i="8"/>
  <c r="T2164" i="8"/>
  <c r="T2163" i="8"/>
  <c r="T2162" i="8"/>
  <c r="T2161" i="8"/>
  <c r="T2165" i="8"/>
  <c r="T2159" i="8"/>
  <c r="T2160" i="8"/>
  <c r="T2158" i="8"/>
  <c r="T2157" i="8"/>
  <c r="T2156" i="8"/>
  <c r="T2155" i="8"/>
  <c r="T2154" i="8"/>
  <c r="T2153" i="8"/>
  <c r="T2152" i="8"/>
  <c r="T2151" i="8"/>
  <c r="T2148" i="8"/>
  <c r="T2150" i="8"/>
  <c r="T2149" i="8"/>
  <c r="T2147" i="8"/>
  <c r="T2144" i="8"/>
  <c r="T2146" i="8"/>
  <c r="T2145" i="8"/>
  <c r="T2142" i="8"/>
  <c r="T2143" i="8"/>
  <c r="T2141" i="8"/>
  <c r="T2140" i="8"/>
  <c r="T2139" i="8"/>
  <c r="T2138" i="8"/>
  <c r="T2137" i="8"/>
  <c r="T2135" i="8"/>
  <c r="T2136" i="8"/>
  <c r="T2134" i="8"/>
  <c r="T2132" i="8"/>
  <c r="T2133" i="8"/>
  <c r="T2129" i="8"/>
  <c r="T2128" i="8"/>
  <c r="T2131" i="8"/>
  <c r="T2130" i="8"/>
  <c r="T2125" i="8"/>
  <c r="T2126" i="8"/>
  <c r="T2127" i="8"/>
  <c r="T2124" i="8"/>
  <c r="T2122" i="8"/>
  <c r="T2123" i="8"/>
  <c r="T2121" i="8"/>
  <c r="T2120" i="8"/>
  <c r="T2119" i="8"/>
  <c r="T2118" i="8"/>
  <c r="T2113" i="8"/>
  <c r="T2112" i="8"/>
  <c r="T2111" i="8"/>
  <c r="T2114" i="8"/>
  <c r="T2117" i="8"/>
  <c r="T2116" i="8"/>
  <c r="T2115" i="8"/>
  <c r="T2108" i="8"/>
  <c r="T2106" i="8"/>
  <c r="T2110" i="8"/>
  <c r="T2105" i="8"/>
  <c r="T2109" i="8"/>
  <c r="T2107" i="8"/>
  <c r="T2103" i="8"/>
  <c r="T2104" i="8"/>
  <c r="T2102" i="8"/>
  <c r="T2099" i="8"/>
  <c r="T2101" i="8"/>
  <c r="T2098" i="8"/>
  <c r="T2100" i="8"/>
  <c r="T2097" i="8"/>
  <c r="T2096" i="8"/>
  <c r="T2095" i="8"/>
  <c r="T2093" i="8"/>
  <c r="T2091" i="8"/>
  <c r="T2090" i="8"/>
  <c r="T2094" i="8"/>
  <c r="T2089" i="8"/>
  <c r="T2092" i="8"/>
  <c r="T2088" i="8"/>
  <c r="T2087" i="8"/>
  <c r="T2086" i="8"/>
  <c r="T2084" i="8"/>
  <c r="T2085" i="8"/>
  <c r="T2083" i="8"/>
  <c r="T2082" i="8"/>
  <c r="T2081" i="8"/>
  <c r="T2078" i="8"/>
  <c r="T2077" i="8"/>
  <c r="T2080" i="8"/>
  <c r="T2079" i="8"/>
  <c r="T2075" i="8"/>
  <c r="T2074" i="8"/>
  <c r="T2073" i="8"/>
  <c r="T2072" i="8"/>
  <c r="T2071" i="8"/>
  <c r="T2069" i="8"/>
  <c r="T2070" i="8"/>
  <c r="T2067" i="8"/>
  <c r="T2068" i="8"/>
  <c r="T2066" i="8"/>
  <c r="T2063" i="8"/>
  <c r="T2065" i="8"/>
  <c r="T2064" i="8"/>
  <c r="T2062" i="8"/>
  <c r="T2059" i="8"/>
  <c r="T2061" i="8"/>
  <c r="T2060" i="8"/>
  <c r="T2058" i="8"/>
  <c r="T2057" i="8"/>
  <c r="T2054" i="8"/>
  <c r="T2055" i="8"/>
  <c r="T2056" i="8"/>
  <c r="T2053" i="8"/>
  <c r="T2052" i="8"/>
  <c r="T2051" i="8"/>
  <c r="T2049" i="8"/>
  <c r="T2050" i="8"/>
  <c r="T2048" i="8"/>
  <c r="T2047" i="8"/>
  <c r="T2046" i="8"/>
  <c r="T2044" i="8"/>
  <c r="T2045" i="8"/>
  <c r="T2043" i="8"/>
  <c r="T2036" i="8"/>
  <c r="T2041" i="8"/>
  <c r="T2039" i="8"/>
  <c r="T2038" i="8"/>
  <c r="T2042" i="8"/>
  <c r="T2037" i="8"/>
  <c r="T2040" i="8"/>
  <c r="T2034" i="8"/>
  <c r="T2035" i="8"/>
  <c r="T2033" i="8"/>
  <c r="T2032" i="8"/>
  <c r="T2031" i="8"/>
  <c r="T2029" i="8"/>
  <c r="T2030" i="8"/>
  <c r="T2028" i="8"/>
  <c r="T2027" i="8"/>
  <c r="T2025" i="8"/>
  <c r="T2026" i="8"/>
  <c r="T2024" i="8"/>
  <c r="T2023" i="8"/>
  <c r="T2022" i="8"/>
  <c r="T2019" i="8"/>
  <c r="T2020" i="8"/>
  <c r="T2021" i="8"/>
  <c r="T2015" i="8"/>
  <c r="T2012" i="8"/>
  <c r="T2013" i="8"/>
  <c r="T2014" i="8"/>
  <c r="T2011" i="8"/>
  <c r="T2017" i="8"/>
  <c r="T2016" i="8"/>
  <c r="T2018" i="8"/>
  <c r="T2007" i="8"/>
  <c r="T2008" i="8"/>
  <c r="T2010" i="8"/>
  <c r="T2009" i="8"/>
  <c r="T2006" i="8"/>
  <c r="T2005" i="8"/>
  <c r="T2004" i="8"/>
  <c r="T2003" i="8"/>
  <c r="T2002" i="8"/>
  <c r="T2001" i="8"/>
  <c r="T1999" i="8"/>
  <c r="T2000" i="8"/>
  <c r="T1997" i="8"/>
  <c r="T1996" i="8"/>
  <c r="T1998" i="8"/>
  <c r="T1995" i="8"/>
  <c r="T1994" i="8"/>
  <c r="T1992" i="8"/>
  <c r="T1993" i="8"/>
  <c r="T1991" i="8"/>
  <c r="T1990" i="8"/>
  <c r="T1989" i="8"/>
  <c r="T1988" i="8"/>
  <c r="T1987" i="8"/>
  <c r="T1986" i="8"/>
  <c r="T1983" i="8"/>
  <c r="T1985" i="8"/>
  <c r="T1982" i="8"/>
  <c r="T1984" i="8"/>
  <c r="T1978" i="8"/>
  <c r="T1977" i="8"/>
  <c r="T1975" i="8"/>
  <c r="T1979" i="8"/>
  <c r="T1976" i="8"/>
  <c r="T1974" i="8"/>
  <c r="T1972" i="8"/>
  <c r="T1973" i="8"/>
  <c r="T1971" i="8"/>
  <c r="T1969" i="8"/>
  <c r="T1967" i="8"/>
  <c r="T1970" i="8"/>
  <c r="T1968" i="8"/>
  <c r="T1966" i="8"/>
  <c r="T1965" i="8"/>
  <c r="T1964" i="8"/>
  <c r="T1963" i="8"/>
  <c r="T1961" i="8"/>
  <c r="T1962" i="8"/>
  <c r="T1960" i="8"/>
  <c r="T1947" i="8"/>
  <c r="T1949" i="8"/>
  <c r="T1955" i="8"/>
  <c r="T1950" i="8"/>
  <c r="T1948" i="8"/>
  <c r="T1954" i="8"/>
  <c r="T1953" i="8"/>
  <c r="T1956" i="8"/>
  <c r="T1942" i="8"/>
  <c r="T1946" i="8"/>
  <c r="T1944" i="8"/>
  <c r="T1943" i="8"/>
  <c r="T1945" i="8"/>
  <c r="T1941" i="8"/>
  <c r="T1940" i="8"/>
  <c r="T1939" i="8"/>
  <c r="T1938" i="8"/>
  <c r="T1928" i="8"/>
  <c r="T1931" i="8"/>
  <c r="T1932" i="8"/>
  <c r="T1927" i="8"/>
  <c r="T1924" i="8"/>
  <c r="T1926" i="8"/>
  <c r="T1923" i="8"/>
  <c r="T1925" i="8"/>
  <c r="T1919" i="8"/>
  <c r="T1922" i="8"/>
  <c r="T1921" i="8"/>
  <c r="T1920" i="8"/>
  <c r="T1918" i="8"/>
  <c r="T1917" i="8"/>
  <c r="T1916" i="8"/>
  <c r="T1914" i="8"/>
  <c r="T1913" i="8"/>
  <c r="T1915" i="8"/>
  <c r="T1912" i="8"/>
  <c r="T1911" i="8"/>
  <c r="T1910" i="8"/>
  <c r="T1909" i="8"/>
  <c r="T1908" i="8"/>
  <c r="T1907" i="8"/>
  <c r="T1905" i="8"/>
  <c r="T1906" i="8"/>
  <c r="T1892" i="8"/>
  <c r="T1900" i="8"/>
  <c r="T1901" i="8"/>
  <c r="T1893" i="8"/>
  <c r="T1896" i="8"/>
  <c r="T1904" i="8"/>
  <c r="T1891" i="8"/>
  <c r="T1890" i="8"/>
  <c r="T1889" i="8"/>
  <c r="T1888" i="8"/>
  <c r="T1887" i="8"/>
  <c r="T1886" i="8"/>
  <c r="T1885" i="8"/>
  <c r="T1881" i="8"/>
  <c r="T1882" i="8"/>
  <c r="T1884" i="8"/>
  <c r="T1883" i="8"/>
  <c r="T1880" i="8"/>
  <c r="T1877" i="8"/>
  <c r="T1879" i="8"/>
  <c r="T1878" i="8"/>
  <c r="T1870" i="8"/>
  <c r="T1869" i="8"/>
  <c r="T1865" i="8"/>
  <c r="T1867" i="8"/>
  <c r="T1866" i="8"/>
  <c r="T1871" i="8"/>
  <c r="T1862" i="8"/>
  <c r="T1868" i="8"/>
  <c r="T1861" i="8"/>
  <c r="T1860" i="8"/>
  <c r="T1858" i="8"/>
  <c r="T1859" i="8"/>
  <c r="T1857" i="8"/>
  <c r="T1856" i="8"/>
  <c r="T1855" i="8"/>
  <c r="T1850" i="8"/>
  <c r="T1852" i="8"/>
  <c r="T1849" i="8"/>
  <c r="T1854" i="8"/>
  <c r="T1853" i="8"/>
  <c r="T1851" i="8"/>
  <c r="T1840" i="8"/>
  <c r="T1841" i="8"/>
  <c r="T1842" i="8"/>
  <c r="T1839" i="8"/>
  <c r="T1843" i="8"/>
  <c r="T1833" i="8"/>
  <c r="T1831" i="8"/>
  <c r="T1832" i="8"/>
  <c r="T1835" i="8"/>
  <c r="T1834" i="8"/>
  <c r="T1836" i="8"/>
  <c r="T1830" i="8"/>
  <c r="T1829" i="8"/>
  <c r="T1828" i="8"/>
  <c r="T1825" i="8"/>
  <c r="T1826" i="8"/>
  <c r="T1827" i="8"/>
  <c r="T1824" i="8"/>
  <c r="T1823" i="8"/>
  <c r="T1820" i="8"/>
  <c r="T1822" i="8"/>
  <c r="T1821" i="8"/>
  <c r="T1814" i="8"/>
  <c r="T1816" i="8"/>
  <c r="T1819" i="8"/>
  <c r="T1817" i="8"/>
  <c r="T1818" i="8"/>
  <c r="T1815" i="8"/>
  <c r="T1802" i="8"/>
  <c r="T1801" i="8"/>
  <c r="T1813" i="8"/>
  <c r="T1804" i="8"/>
  <c r="T1812" i="8"/>
  <c r="T1803" i="8"/>
  <c r="T1798" i="8"/>
  <c r="T1800" i="8"/>
  <c r="T1799" i="8"/>
  <c r="T1797" i="8"/>
  <c r="T1794" i="8"/>
  <c r="T1795" i="8"/>
  <c r="T1796" i="8"/>
  <c r="T1793" i="8"/>
  <c r="T1792" i="8"/>
  <c r="T1791" i="8"/>
  <c r="T1787" i="8"/>
  <c r="T1789" i="8"/>
  <c r="T1786" i="8"/>
  <c r="T1790" i="8"/>
  <c r="T1784" i="8"/>
  <c r="T1785" i="8"/>
  <c r="T1781" i="8"/>
  <c r="T1783" i="8"/>
  <c r="T1782" i="8"/>
  <c r="T1769" i="8"/>
  <c r="T1768" i="8"/>
  <c r="T1770" i="8"/>
  <c r="T1776" i="8"/>
  <c r="T1774" i="8"/>
  <c r="T1777" i="8"/>
  <c r="T1771" i="8"/>
  <c r="T1775" i="8"/>
  <c r="T1765" i="8"/>
  <c r="T1764" i="8"/>
  <c r="T1760" i="8"/>
  <c r="T1762" i="8"/>
  <c r="T1761" i="8"/>
  <c r="T1763" i="8"/>
  <c r="T1759" i="8"/>
  <c r="T1758" i="8"/>
  <c r="T1752" i="8"/>
  <c r="T1750" i="8"/>
  <c r="T1753" i="8"/>
  <c r="T1751" i="8"/>
  <c r="T1755" i="8"/>
  <c r="T1754" i="8"/>
  <c r="T1748" i="8"/>
  <c r="T1747" i="8"/>
  <c r="T1746" i="8"/>
  <c r="T1745" i="8"/>
  <c r="T1744" i="8"/>
  <c r="T1743" i="8"/>
  <c r="T1749" i="8"/>
  <c r="T1735" i="8"/>
  <c r="T1734" i="8"/>
  <c r="T1731" i="8"/>
  <c r="T1732" i="8"/>
  <c r="T1733" i="8"/>
  <c r="T1729" i="8"/>
  <c r="T1728" i="8"/>
  <c r="T1727" i="8"/>
  <c r="T1730" i="8"/>
  <c r="T1724" i="8"/>
  <c r="T1723" i="8"/>
  <c r="T1722" i="8"/>
  <c r="T1708" i="8"/>
  <c r="T1709" i="8"/>
  <c r="T1716" i="8"/>
  <c r="T1715" i="8"/>
  <c r="T1710" i="8"/>
  <c r="T1713" i="8"/>
  <c r="T1714" i="8"/>
  <c r="T1707" i="8"/>
  <c r="T1703" i="8"/>
  <c r="T1704" i="8"/>
  <c r="T1706" i="8"/>
  <c r="T1705" i="8"/>
  <c r="T1702" i="8"/>
  <c r="T1701" i="8"/>
  <c r="T1699" i="8"/>
  <c r="T1700" i="8"/>
  <c r="T1697" i="8"/>
  <c r="T1698" i="8"/>
  <c r="T1696" i="8"/>
  <c r="T1693" i="8"/>
  <c r="T1695" i="8"/>
  <c r="T1691" i="8"/>
  <c r="T1690" i="8"/>
  <c r="T1692" i="8"/>
  <c r="T1694" i="8"/>
  <c r="T1686" i="8"/>
  <c r="T1678" i="8"/>
  <c r="T1687" i="8"/>
  <c r="T1685" i="8"/>
  <c r="T1680" i="8"/>
  <c r="T1681" i="8"/>
  <c r="T1684" i="8"/>
  <c r="T1683" i="8"/>
  <c r="T1679" i="8"/>
  <c r="T1682" i="8"/>
  <c r="T1670" i="8"/>
  <c r="T1666" i="8"/>
  <c r="T1672" i="8"/>
  <c r="T1669" i="8"/>
  <c r="T1671" i="8"/>
  <c r="T1664" i="8"/>
  <c r="T1662" i="8"/>
  <c r="T1663" i="8"/>
  <c r="T1665" i="8"/>
  <c r="T1661" i="8"/>
  <c r="T1660" i="8"/>
  <c r="T1659" i="8"/>
  <c r="T1658" i="8"/>
  <c r="T1657" i="8"/>
  <c r="T1655" i="8"/>
  <c r="T1656" i="8"/>
  <c r="T1646" i="8"/>
  <c r="T1649" i="8"/>
  <c r="T1639" i="8"/>
  <c r="T1640" i="8"/>
  <c r="T1638" i="8"/>
  <c r="T1641" i="8"/>
  <c r="T1642" i="8"/>
  <c r="T1644" i="8"/>
  <c r="T1634" i="8"/>
  <c r="T1637" i="8"/>
  <c r="T1631" i="8"/>
  <c r="T1630" i="8"/>
  <c r="T1635" i="8"/>
  <c r="T1632" i="8"/>
  <c r="T1636" i="8"/>
  <c r="T1628" i="8"/>
  <c r="T1633" i="8"/>
  <c r="T1629" i="8"/>
  <c r="T1627" i="8"/>
  <c r="T1626" i="8"/>
  <c r="T1624" i="8"/>
  <c r="T1625" i="8"/>
  <c r="T1623" i="8"/>
  <c r="T1622" i="8"/>
  <c r="T1621" i="8"/>
  <c r="T1620" i="8"/>
  <c r="T1619" i="8"/>
  <c r="T1615" i="8"/>
  <c r="T1614" i="8"/>
  <c r="T1616" i="8"/>
  <c r="T1610" i="8"/>
  <c r="T1613" i="8"/>
  <c r="T1605" i="8"/>
  <c r="T1604" i="8"/>
  <c r="T1601" i="8"/>
  <c r="T1606" i="8"/>
  <c r="T1598" i="8"/>
  <c r="T1593" i="8"/>
  <c r="T1594" i="8"/>
  <c r="T1596" i="8"/>
  <c r="T1595" i="8"/>
  <c r="T1597" i="8"/>
  <c r="T1600" i="8"/>
  <c r="T1599" i="8"/>
  <c r="T1592" i="8"/>
  <c r="T1589" i="8"/>
  <c r="T1591" i="8"/>
  <c r="T1590" i="8"/>
  <c r="T1586" i="8"/>
  <c r="T1587" i="8"/>
  <c r="T1588" i="8"/>
  <c r="T1585" i="8"/>
  <c r="T1583" i="8"/>
  <c r="T1582" i="8"/>
  <c r="T1579" i="8"/>
  <c r="T1578" i="8"/>
  <c r="T1575" i="8"/>
  <c r="T1576" i="8"/>
  <c r="T1577" i="8"/>
  <c r="T1574" i="8"/>
  <c r="T1566" i="8"/>
  <c r="T1559" i="8"/>
  <c r="T1560" i="8"/>
  <c r="T1564" i="8"/>
  <c r="T1567" i="8"/>
  <c r="T1565" i="8"/>
  <c r="T1570" i="8"/>
  <c r="T1563" i="8"/>
  <c r="T1558" i="8"/>
  <c r="T1556" i="8"/>
  <c r="T1555" i="8"/>
  <c r="T1554" i="8"/>
  <c r="T1557" i="8"/>
  <c r="T1552" i="8"/>
  <c r="T1553" i="8"/>
  <c r="T1549" i="8"/>
  <c r="T1548" i="8"/>
  <c r="T1550" i="8"/>
  <c r="T1551" i="8"/>
  <c r="T1547" i="8"/>
  <c r="T1545" i="8"/>
  <c r="T1546" i="8"/>
  <c r="T1538" i="8"/>
  <c r="T1534" i="8"/>
  <c r="T1535" i="8"/>
  <c r="T1536" i="8"/>
  <c r="T1531" i="8"/>
  <c r="T1532" i="8"/>
  <c r="T1530" i="8"/>
  <c r="T1533" i="8"/>
  <c r="T1529" i="8"/>
  <c r="T1528" i="8"/>
  <c r="T1526" i="8"/>
  <c r="T1527" i="8"/>
  <c r="T1525" i="8"/>
  <c r="T1524" i="8"/>
  <c r="T1522" i="8"/>
  <c r="T1521" i="8"/>
  <c r="T1520" i="8"/>
  <c r="T1523" i="8"/>
  <c r="T1519" i="8"/>
  <c r="T1516" i="8"/>
  <c r="T1517" i="8"/>
  <c r="T1518" i="8"/>
  <c r="T1509" i="8"/>
  <c r="T1508" i="8"/>
  <c r="T1506" i="8"/>
  <c r="T1510" i="8"/>
  <c r="T1512" i="8"/>
  <c r="T1511" i="8"/>
  <c r="T1507" i="8"/>
  <c r="T1514" i="8"/>
  <c r="T1505" i="8"/>
  <c r="T1504" i="8"/>
  <c r="T1496" i="8"/>
  <c r="T1495" i="8"/>
  <c r="T1494" i="8"/>
  <c r="T1492" i="8"/>
  <c r="T1493" i="8"/>
  <c r="T1490" i="8"/>
  <c r="T1489" i="8"/>
  <c r="T1491" i="8"/>
  <c r="T1488" i="8"/>
  <c r="T1482" i="8"/>
  <c r="T1484" i="8"/>
  <c r="T1483" i="8"/>
  <c r="T1485" i="8"/>
  <c r="T1475" i="8"/>
  <c r="T1476" i="8"/>
  <c r="T1467" i="8"/>
  <c r="T1466" i="8"/>
  <c r="T1468" i="8"/>
  <c r="T1469" i="8"/>
  <c r="T1465" i="8"/>
  <c r="T1472" i="8"/>
  <c r="T1471" i="8"/>
  <c r="T1470" i="8"/>
  <c r="T1464" i="8"/>
  <c r="T1463" i="8"/>
  <c r="T1462" i="8"/>
  <c r="T1461" i="8"/>
  <c r="T1460" i="8"/>
  <c r="T1458" i="8"/>
  <c r="T1459" i="8"/>
  <c r="T1454" i="8"/>
  <c r="T1457" i="8"/>
  <c r="T1456" i="8"/>
  <c r="T1455" i="8"/>
  <c r="T1446" i="8"/>
  <c r="T1447" i="8"/>
  <c r="T1443" i="8"/>
  <c r="T1440" i="8"/>
  <c r="T1442" i="8"/>
  <c r="T1441" i="8"/>
  <c r="T1437" i="8"/>
  <c r="T1438" i="8"/>
  <c r="T1439" i="8"/>
  <c r="T1436" i="8"/>
  <c r="T1435" i="8"/>
  <c r="T1433" i="8"/>
  <c r="T1434" i="8"/>
  <c r="T1431" i="8"/>
  <c r="T1432" i="8"/>
  <c r="T1429" i="8"/>
  <c r="T1430" i="8"/>
  <c r="T1427" i="8"/>
  <c r="T1428" i="8"/>
  <c r="T1426" i="8"/>
  <c r="T1422" i="8"/>
  <c r="T1424" i="8"/>
  <c r="T1423" i="8"/>
  <c r="T1421" i="8"/>
  <c r="T1419" i="8"/>
  <c r="T1415" i="8"/>
  <c r="T1413" i="8"/>
  <c r="T1420" i="8"/>
  <c r="T1414" i="8"/>
  <c r="T1417" i="8"/>
  <c r="T1416" i="8"/>
  <c r="T1418" i="8"/>
  <c r="T1407" i="8"/>
  <c r="T1402" i="8"/>
  <c r="T1403" i="8"/>
  <c r="T1399" i="8"/>
  <c r="T1401" i="8"/>
  <c r="T1400" i="8"/>
  <c r="T1398" i="8"/>
  <c r="T1396" i="8"/>
  <c r="T1397" i="8"/>
  <c r="T1389" i="8"/>
  <c r="T1391" i="8"/>
  <c r="T1394" i="8"/>
  <c r="T1392" i="8"/>
  <c r="T1388" i="8"/>
  <c r="T1387" i="8"/>
  <c r="T1386" i="8"/>
  <c r="T1385" i="8"/>
  <c r="T1384" i="8"/>
  <c r="T1378" i="8"/>
  <c r="T1377" i="8"/>
  <c r="T1374" i="8"/>
  <c r="T1372" i="8"/>
  <c r="T1373" i="8"/>
  <c r="T1368" i="8"/>
  <c r="T1369" i="8"/>
  <c r="T1371" i="8"/>
  <c r="T1366" i="8"/>
  <c r="T1367" i="8"/>
  <c r="T1363" i="8"/>
  <c r="T1364" i="8"/>
  <c r="T1358" i="8"/>
  <c r="T1356" i="8"/>
  <c r="T1357" i="8"/>
  <c r="T1355" i="8"/>
  <c r="T1347" i="8"/>
  <c r="T1342" i="8"/>
  <c r="T1341" i="8"/>
  <c r="T1340" i="8"/>
  <c r="T1339" i="8"/>
  <c r="T1338" i="8"/>
  <c r="T1337" i="8"/>
  <c r="T1336" i="8"/>
  <c r="T1333" i="8"/>
  <c r="T1331" i="8"/>
  <c r="T1332" i="8"/>
  <c r="T1330" i="8"/>
  <c r="T1329" i="8"/>
  <c r="T1327" i="8"/>
  <c r="T1328" i="8"/>
  <c r="T1318" i="8"/>
  <c r="T1317" i="8"/>
  <c r="T1319" i="8"/>
  <c r="T1312" i="8"/>
  <c r="T1308" i="8"/>
  <c r="T1306" i="8"/>
  <c r="T1307" i="8"/>
  <c r="T1302" i="8"/>
  <c r="T1303" i="8"/>
  <c r="T1261" i="8"/>
  <c r="T1256" i="8"/>
  <c r="T1309" i="8"/>
  <c r="T1365" i="8"/>
  <c r="T1254" i="8"/>
  <c r="T1255" i="8"/>
  <c r="T1253" i="8"/>
  <c r="T1260" i="8"/>
  <c r="T1259" i="8"/>
  <c r="T1299" i="8"/>
  <c r="T1267" i="8"/>
  <c r="T1268" i="8"/>
  <c r="T1269" i="8"/>
  <c r="T1270" i="8"/>
  <c r="T1266" i="8"/>
  <c r="T1294" i="8"/>
  <c r="T1293" i="8"/>
  <c r="T1273" i="8"/>
  <c r="T1276" i="8"/>
  <c r="T1277" i="8"/>
  <c r="T1283" i="8"/>
  <c r="T1325" i="8"/>
  <c r="T1326" i="8"/>
  <c r="T1290" i="8"/>
  <c r="T1292" i="8"/>
  <c r="T1282" i="8"/>
  <c r="T1278" i="8"/>
  <c r="T1284" i="8"/>
  <c r="T1279" i="8"/>
  <c r="T1313" i="8"/>
  <c r="T1316" i="8"/>
  <c r="T1346" i="8"/>
  <c r="T1345" i="8"/>
  <c r="T1300" i="8"/>
  <c r="T1343" i="8"/>
  <c r="R2365" i="8"/>
  <c r="R2364" i="8"/>
  <c r="R2359" i="8"/>
  <c r="R2360" i="8"/>
  <c r="R2362" i="8"/>
  <c r="R2361" i="8"/>
  <c r="R2358" i="8"/>
  <c r="R2353" i="8"/>
  <c r="R2356" i="8"/>
  <c r="R2355" i="8"/>
  <c r="R2357" i="8"/>
  <c r="R2354" i="8"/>
  <c r="R2352" i="8"/>
  <c r="R2351" i="8"/>
  <c r="R2350" i="8"/>
  <c r="R2349" i="8"/>
  <c r="R2347" i="8"/>
  <c r="R2348" i="8"/>
  <c r="R2345" i="8"/>
  <c r="R2346" i="8"/>
  <c r="R2344" i="8"/>
  <c r="R2343" i="8"/>
  <c r="R2341" i="8"/>
  <c r="R2342" i="8"/>
  <c r="R2339" i="8"/>
  <c r="R2340" i="8"/>
  <c r="R2337" i="8"/>
  <c r="R2338" i="8"/>
  <c r="R2336" i="8"/>
  <c r="R2335" i="8"/>
  <c r="R2332" i="8"/>
  <c r="R2331" i="8"/>
  <c r="R2334" i="8"/>
  <c r="R2333" i="8"/>
  <c r="R2329" i="8"/>
  <c r="R2330" i="8"/>
  <c r="R2328" i="8"/>
  <c r="R2327" i="8"/>
  <c r="R2325" i="8"/>
  <c r="R2326" i="8"/>
  <c r="R2324" i="8"/>
  <c r="R2323" i="8"/>
  <c r="R2322" i="8"/>
  <c r="R2321" i="8"/>
  <c r="R2320" i="8"/>
  <c r="R2318" i="8"/>
  <c r="R2317" i="8"/>
  <c r="R2319" i="8"/>
  <c r="R2316" i="8"/>
  <c r="R2315" i="8"/>
  <c r="R2314" i="8"/>
  <c r="R2313" i="8"/>
  <c r="R2312" i="8"/>
  <c r="R2308" i="8"/>
  <c r="R2307" i="8"/>
  <c r="R2309" i="8"/>
  <c r="R2310" i="8"/>
  <c r="R2311" i="8"/>
  <c r="R2305" i="8"/>
  <c r="R2306" i="8"/>
  <c r="R2304" i="8"/>
  <c r="R2303" i="8"/>
  <c r="R2302" i="8"/>
  <c r="R2301" i="8"/>
  <c r="R2299" i="8"/>
  <c r="R2298" i="8"/>
  <c r="R2300" i="8"/>
  <c r="R2297" i="8"/>
  <c r="R2295" i="8"/>
  <c r="R2294" i="8"/>
  <c r="R2296" i="8"/>
  <c r="R2293" i="8"/>
  <c r="R2292" i="8"/>
  <c r="R2290" i="8"/>
  <c r="R2291" i="8"/>
  <c r="R2287" i="8"/>
  <c r="R2288" i="8"/>
  <c r="R2289" i="8"/>
  <c r="R2286" i="8"/>
  <c r="R2285" i="8"/>
  <c r="R2284" i="8"/>
  <c r="R2283" i="8"/>
  <c r="R2282" i="8"/>
  <c r="R2279" i="8"/>
  <c r="R2281" i="8"/>
  <c r="R2280" i="8"/>
  <c r="R2277" i="8"/>
  <c r="R2275" i="8"/>
  <c r="R2276" i="8"/>
  <c r="R2278" i="8"/>
  <c r="R2272" i="8"/>
  <c r="R2271" i="8"/>
  <c r="R2273" i="8"/>
  <c r="R2274" i="8"/>
  <c r="R2269" i="8"/>
  <c r="R2267" i="8"/>
  <c r="R2266" i="8"/>
  <c r="R2268" i="8"/>
  <c r="R2264" i="8"/>
  <c r="R2263" i="8"/>
  <c r="R2262" i="8"/>
  <c r="R2265" i="8"/>
  <c r="R2261" i="8"/>
  <c r="R2260" i="8"/>
  <c r="R2259" i="8"/>
  <c r="R2257" i="8"/>
  <c r="R2258" i="8"/>
  <c r="R2255" i="8"/>
  <c r="R2256" i="8"/>
  <c r="R2254" i="8"/>
  <c r="R2252" i="8"/>
  <c r="R2253" i="8"/>
  <c r="R2251" i="8"/>
  <c r="R2246" i="8"/>
  <c r="R2248" i="8"/>
  <c r="R2249" i="8"/>
  <c r="R2247" i="8"/>
  <c r="R2250" i="8"/>
  <c r="R2244" i="8"/>
  <c r="R2245" i="8"/>
  <c r="R2243" i="8"/>
  <c r="R2242" i="8"/>
  <c r="R2241" i="8"/>
  <c r="R2240" i="8"/>
  <c r="R2239" i="8"/>
  <c r="R2238" i="8"/>
  <c r="R2237" i="8"/>
  <c r="R2236" i="8"/>
  <c r="R2233" i="8"/>
  <c r="R2235" i="8"/>
  <c r="R2234" i="8"/>
  <c r="R2230" i="8"/>
  <c r="R2231" i="8"/>
  <c r="R2232" i="8"/>
  <c r="R2229" i="8"/>
  <c r="R2228" i="8"/>
  <c r="R2227" i="8"/>
  <c r="R2226" i="8"/>
  <c r="R2224" i="8"/>
  <c r="R2225" i="8"/>
  <c r="R2222" i="8"/>
  <c r="R2223" i="8"/>
  <c r="R2220" i="8"/>
  <c r="R2221" i="8"/>
  <c r="R2219" i="8"/>
  <c r="R2218" i="8"/>
  <c r="R2217" i="8"/>
  <c r="R2216" i="8"/>
  <c r="R2215" i="8"/>
  <c r="R2214" i="8"/>
  <c r="R2213" i="8"/>
  <c r="R2211" i="8"/>
  <c r="R2212" i="8"/>
  <c r="R2208" i="8"/>
  <c r="R2210" i="8"/>
  <c r="R2209" i="8"/>
  <c r="R2207" i="8"/>
  <c r="R2206" i="8"/>
  <c r="R2205" i="8"/>
  <c r="R2204" i="8"/>
  <c r="R2203" i="8"/>
  <c r="R2202" i="8"/>
  <c r="R2201" i="8"/>
  <c r="R2193" i="8"/>
  <c r="R2197" i="8"/>
  <c r="R2198" i="8"/>
  <c r="R2196" i="8"/>
  <c r="R2195" i="8"/>
  <c r="R2199" i="8"/>
  <c r="R2194" i="8"/>
  <c r="R2200" i="8"/>
  <c r="R2190" i="8"/>
  <c r="R2191" i="8"/>
  <c r="R2192" i="8"/>
  <c r="R2189" i="8"/>
  <c r="R2188" i="8"/>
  <c r="R2186" i="8"/>
  <c r="R2185" i="8"/>
  <c r="R2184" i="8"/>
  <c r="R2183" i="8"/>
  <c r="R2181" i="8"/>
  <c r="R2180" i="8"/>
  <c r="R2179" i="8"/>
  <c r="R2182" i="8"/>
  <c r="R2178" i="8"/>
  <c r="R2177" i="8"/>
  <c r="R2176" i="8"/>
  <c r="R2174" i="8"/>
  <c r="R2175" i="8"/>
  <c r="R2173" i="8"/>
  <c r="R2172" i="8"/>
  <c r="R2171" i="8"/>
  <c r="R2170" i="8"/>
  <c r="R2169" i="8"/>
  <c r="R2167" i="8"/>
  <c r="R2166" i="8"/>
  <c r="R2168" i="8"/>
  <c r="R2164" i="8"/>
  <c r="R2163" i="8"/>
  <c r="R2162" i="8"/>
  <c r="R2161" i="8"/>
  <c r="R2165" i="8"/>
  <c r="R2159" i="8"/>
  <c r="R2160" i="8"/>
  <c r="R2158" i="8"/>
  <c r="R2157" i="8"/>
  <c r="R2156" i="8"/>
  <c r="R2155" i="8"/>
  <c r="R2154" i="8"/>
  <c r="R2153" i="8"/>
  <c r="R2152" i="8"/>
  <c r="R2151" i="8"/>
  <c r="R2148" i="8"/>
  <c r="R2150" i="8"/>
  <c r="R2149" i="8"/>
  <c r="R2147" i="8"/>
  <c r="R2144" i="8"/>
  <c r="R2146" i="8"/>
  <c r="R2145" i="8"/>
  <c r="R2142" i="8"/>
  <c r="R2143" i="8"/>
  <c r="R2141" i="8"/>
  <c r="R2140" i="8"/>
  <c r="R2139" i="8"/>
  <c r="R2138" i="8"/>
  <c r="R2137" i="8"/>
  <c r="R2135" i="8"/>
  <c r="R2136" i="8"/>
  <c r="R2134" i="8"/>
  <c r="R2132" i="8"/>
  <c r="R2133" i="8"/>
  <c r="R2129" i="8"/>
  <c r="R2128" i="8"/>
  <c r="R2131" i="8"/>
  <c r="R2130" i="8"/>
  <c r="R2125" i="8"/>
  <c r="R2126" i="8"/>
  <c r="R2127" i="8"/>
  <c r="R2124" i="8"/>
  <c r="R2122" i="8"/>
  <c r="R2123" i="8"/>
  <c r="R2121" i="8"/>
  <c r="R2120" i="8"/>
  <c r="R2119" i="8"/>
  <c r="R2118" i="8"/>
  <c r="R2113" i="8"/>
  <c r="R2112" i="8"/>
  <c r="R2111" i="8"/>
  <c r="R2114" i="8"/>
  <c r="R2117" i="8"/>
  <c r="R2116" i="8"/>
  <c r="R2115" i="8"/>
  <c r="R2108" i="8"/>
  <c r="R2106" i="8"/>
  <c r="R2110" i="8"/>
  <c r="R2105" i="8"/>
  <c r="R2109" i="8"/>
  <c r="R2107" i="8"/>
  <c r="R2103" i="8"/>
  <c r="R2104" i="8"/>
  <c r="R2102" i="8"/>
  <c r="R2099" i="8"/>
  <c r="R2101" i="8"/>
  <c r="R2098" i="8"/>
  <c r="R2100" i="8"/>
  <c r="R2097" i="8"/>
  <c r="R2096" i="8"/>
  <c r="R2095" i="8"/>
  <c r="R2093" i="8"/>
  <c r="R2091" i="8"/>
  <c r="R2090" i="8"/>
  <c r="R2094" i="8"/>
  <c r="R2089" i="8"/>
  <c r="R2092" i="8"/>
  <c r="R2088" i="8"/>
  <c r="R2087" i="8"/>
  <c r="R2086" i="8"/>
  <c r="R2084" i="8"/>
  <c r="R2085" i="8"/>
  <c r="R2083" i="8"/>
  <c r="R2082" i="8"/>
  <c r="R2081" i="8"/>
  <c r="R2078" i="8"/>
  <c r="R2077" i="8"/>
  <c r="R2080" i="8"/>
  <c r="R2079" i="8"/>
  <c r="R2075" i="8"/>
  <c r="R2074" i="8"/>
  <c r="R2073" i="8"/>
  <c r="R2072" i="8"/>
  <c r="R2071" i="8"/>
  <c r="R2069" i="8"/>
  <c r="R2070" i="8"/>
  <c r="R2067" i="8"/>
  <c r="R2068" i="8"/>
  <c r="R2066" i="8"/>
  <c r="R2063" i="8"/>
  <c r="R2065" i="8"/>
  <c r="R2064" i="8"/>
  <c r="R2062" i="8"/>
  <c r="R2059" i="8"/>
  <c r="R2061" i="8"/>
  <c r="R2060" i="8"/>
  <c r="R2058" i="8"/>
  <c r="R2057" i="8"/>
  <c r="R2054" i="8"/>
  <c r="R2055" i="8"/>
  <c r="R2056" i="8"/>
  <c r="R2053" i="8"/>
  <c r="R2052" i="8"/>
  <c r="R2051" i="8"/>
  <c r="R2049" i="8"/>
  <c r="R2050" i="8"/>
  <c r="R2048" i="8"/>
  <c r="R2047" i="8"/>
  <c r="R2046" i="8"/>
  <c r="R2044" i="8"/>
  <c r="R2045" i="8"/>
  <c r="R2043" i="8"/>
  <c r="R2036" i="8"/>
  <c r="R2041" i="8"/>
  <c r="R2039" i="8"/>
  <c r="R2038" i="8"/>
  <c r="R2042" i="8"/>
  <c r="R2037" i="8"/>
  <c r="R2040" i="8"/>
  <c r="R2034" i="8"/>
  <c r="R2035" i="8"/>
  <c r="R2033" i="8"/>
  <c r="R2032" i="8"/>
  <c r="R2031" i="8"/>
  <c r="R2029" i="8"/>
  <c r="R2030" i="8"/>
  <c r="R2028" i="8"/>
  <c r="R2027" i="8"/>
  <c r="R2025" i="8"/>
  <c r="R2026" i="8"/>
  <c r="R2024" i="8"/>
  <c r="R2023" i="8"/>
  <c r="R2022" i="8"/>
  <c r="R2019" i="8"/>
  <c r="R2020" i="8"/>
  <c r="R2021" i="8"/>
  <c r="R2015" i="8"/>
  <c r="R2012" i="8"/>
  <c r="R2013" i="8"/>
  <c r="R2014" i="8"/>
  <c r="R2011" i="8"/>
  <c r="R2017" i="8"/>
  <c r="R2016" i="8"/>
  <c r="R2018" i="8"/>
  <c r="R2007" i="8"/>
  <c r="R2008" i="8"/>
  <c r="R2010" i="8"/>
  <c r="R2009" i="8"/>
  <c r="R2006" i="8"/>
  <c r="R2005" i="8"/>
  <c r="R2004" i="8"/>
  <c r="R2003" i="8"/>
  <c r="R2002" i="8"/>
  <c r="R2001" i="8"/>
  <c r="R1999" i="8"/>
  <c r="R2000" i="8"/>
  <c r="R1997" i="8"/>
  <c r="R1996" i="8"/>
  <c r="R1998" i="8"/>
  <c r="R1995" i="8"/>
  <c r="R1994" i="8"/>
  <c r="R1992" i="8"/>
  <c r="R1993" i="8"/>
  <c r="R1991" i="8"/>
  <c r="R1990" i="8"/>
  <c r="R1989" i="8"/>
  <c r="R1988" i="8"/>
  <c r="R1987" i="8"/>
  <c r="R1986" i="8"/>
  <c r="R1983" i="8"/>
  <c r="R1985" i="8"/>
  <c r="R1982" i="8"/>
  <c r="R1984" i="8"/>
  <c r="R1978" i="8"/>
  <c r="R1977" i="8"/>
  <c r="R1975" i="8"/>
  <c r="R1979" i="8"/>
  <c r="R1976" i="8"/>
  <c r="R1974" i="8"/>
  <c r="R1972" i="8"/>
  <c r="R1973" i="8"/>
  <c r="R1971" i="8"/>
  <c r="R1969" i="8"/>
  <c r="R1967" i="8"/>
  <c r="R1970" i="8"/>
  <c r="R1968" i="8"/>
  <c r="R1966" i="8"/>
  <c r="R1965" i="8"/>
  <c r="R1964" i="8"/>
  <c r="R1963" i="8"/>
  <c r="R1961" i="8"/>
  <c r="R1962" i="8"/>
  <c r="R1960" i="8"/>
  <c r="R1947" i="8"/>
  <c r="R1949" i="8"/>
  <c r="R1955" i="8"/>
  <c r="R1950" i="8"/>
  <c r="R1948" i="8"/>
  <c r="R1954" i="8"/>
  <c r="R1953" i="8"/>
  <c r="R1956" i="8"/>
  <c r="R1942" i="8"/>
  <c r="R1946" i="8"/>
  <c r="R1944" i="8"/>
  <c r="R1943" i="8"/>
  <c r="R1945" i="8"/>
  <c r="R1941" i="8"/>
  <c r="R1940" i="8"/>
  <c r="R1939" i="8"/>
  <c r="R1938" i="8"/>
  <c r="R1928" i="8"/>
  <c r="R1931" i="8"/>
  <c r="R1932" i="8"/>
  <c r="R1927" i="8"/>
  <c r="R1924" i="8"/>
  <c r="R1926" i="8"/>
  <c r="R1923" i="8"/>
  <c r="R1925" i="8"/>
  <c r="R1919" i="8"/>
  <c r="R1922" i="8"/>
  <c r="R1921" i="8"/>
  <c r="R1920" i="8"/>
  <c r="R1918" i="8"/>
  <c r="R1917" i="8"/>
  <c r="R1916" i="8"/>
  <c r="R1914" i="8"/>
  <c r="R1913" i="8"/>
  <c r="R1915" i="8"/>
  <c r="R1912" i="8"/>
  <c r="R1911" i="8"/>
  <c r="R1909" i="8"/>
  <c r="R1908" i="8"/>
  <c r="R1907" i="8"/>
  <c r="R1905" i="8"/>
  <c r="R1906" i="8"/>
  <c r="R1892" i="8"/>
  <c r="R1900" i="8"/>
  <c r="R1901" i="8"/>
  <c r="R1893" i="8"/>
  <c r="R1896" i="8"/>
  <c r="R1904" i="8"/>
  <c r="R1891" i="8"/>
  <c r="R1890" i="8"/>
  <c r="R1889" i="8"/>
  <c r="R1888" i="8"/>
  <c r="R1887" i="8"/>
  <c r="R1886" i="8"/>
  <c r="R1885" i="8"/>
  <c r="R1881" i="8"/>
  <c r="R1882" i="8"/>
  <c r="R1884" i="8"/>
  <c r="R1883" i="8"/>
  <c r="R1880" i="8"/>
  <c r="R1877" i="8"/>
  <c r="R1879" i="8"/>
  <c r="R1878" i="8"/>
  <c r="R1870" i="8"/>
  <c r="R1869" i="8"/>
  <c r="R1865" i="8"/>
  <c r="R1867" i="8"/>
  <c r="R1866" i="8"/>
  <c r="R1871" i="8"/>
  <c r="R1862" i="8"/>
  <c r="R1868" i="8"/>
  <c r="R1861" i="8"/>
  <c r="R1860" i="8"/>
  <c r="R1858" i="8"/>
  <c r="R1859" i="8"/>
  <c r="R1857" i="8"/>
  <c r="R1856" i="8"/>
  <c r="R1855" i="8"/>
  <c r="R1850" i="8"/>
  <c r="R1852" i="8"/>
  <c r="R1849" i="8"/>
  <c r="R1854" i="8"/>
  <c r="R1853" i="8"/>
  <c r="R1851" i="8"/>
  <c r="R1840" i="8"/>
  <c r="R1841" i="8"/>
  <c r="R1842" i="8"/>
  <c r="R1839" i="8"/>
  <c r="R1843" i="8"/>
  <c r="R1833" i="8"/>
  <c r="R1831" i="8"/>
  <c r="R1832" i="8"/>
  <c r="R1835" i="8"/>
  <c r="R1834" i="8"/>
  <c r="R1836" i="8"/>
  <c r="R1830" i="8"/>
  <c r="R1829" i="8"/>
  <c r="R1828" i="8"/>
  <c r="R1825" i="8"/>
  <c r="R1826" i="8"/>
  <c r="R1827" i="8"/>
  <c r="R1824" i="8"/>
  <c r="R1823" i="8"/>
  <c r="R1820" i="8"/>
  <c r="R1822" i="8"/>
  <c r="R1821" i="8"/>
  <c r="R1814" i="8"/>
  <c r="R1816" i="8"/>
  <c r="R1819" i="8"/>
  <c r="R1817" i="8"/>
  <c r="R1818" i="8"/>
  <c r="R1815" i="8"/>
  <c r="R1802" i="8"/>
  <c r="R1801" i="8"/>
  <c r="R1813" i="8"/>
  <c r="R1804" i="8"/>
  <c r="R1812" i="8"/>
  <c r="R1803" i="8"/>
  <c r="R1798" i="8"/>
  <c r="R1800" i="8"/>
  <c r="R1799" i="8"/>
  <c r="R1797" i="8"/>
  <c r="R1794" i="8"/>
  <c r="R1795" i="8"/>
  <c r="R1796" i="8"/>
  <c r="R1793" i="8"/>
  <c r="R1792" i="8"/>
  <c r="R1791" i="8"/>
  <c r="R1787" i="8"/>
  <c r="R1789" i="8"/>
  <c r="R1786" i="8"/>
  <c r="R1790" i="8"/>
  <c r="R1784" i="8"/>
  <c r="R1785" i="8"/>
  <c r="R1781" i="8"/>
  <c r="R1783" i="8"/>
  <c r="R1782" i="8"/>
  <c r="R1769" i="8"/>
  <c r="R1768" i="8"/>
  <c r="R1770" i="8"/>
  <c r="R1776" i="8"/>
  <c r="R1774" i="8"/>
  <c r="R1777" i="8"/>
  <c r="R1771" i="8"/>
  <c r="R1775" i="8"/>
  <c r="R1765" i="8"/>
  <c r="R1764" i="8"/>
  <c r="R1760" i="8"/>
  <c r="R1762" i="8"/>
  <c r="R1761" i="8"/>
  <c r="R1763" i="8"/>
  <c r="R1759" i="8"/>
  <c r="R1758" i="8"/>
  <c r="R1752" i="8"/>
  <c r="R1750" i="8"/>
  <c r="R1753" i="8"/>
  <c r="R1751" i="8"/>
  <c r="R1755" i="8"/>
  <c r="R1754" i="8"/>
  <c r="R1748" i="8"/>
  <c r="R1747" i="8"/>
  <c r="R1746" i="8"/>
  <c r="R1745" i="8"/>
  <c r="R1744" i="8"/>
  <c r="R1743" i="8"/>
  <c r="R1749" i="8"/>
  <c r="R1735" i="8"/>
  <c r="R1734" i="8"/>
  <c r="R1731" i="8"/>
  <c r="R1732" i="8"/>
  <c r="R1733" i="8"/>
  <c r="R1729" i="8"/>
  <c r="R1728" i="8"/>
  <c r="R1727" i="8"/>
  <c r="R1730" i="8"/>
  <c r="R1724" i="8"/>
  <c r="R1723" i="8"/>
  <c r="R1722" i="8"/>
  <c r="R1708" i="8"/>
  <c r="R1709" i="8"/>
  <c r="R1716" i="8"/>
  <c r="R1715" i="8"/>
  <c r="R1710" i="8"/>
  <c r="R1713" i="8"/>
  <c r="R1714" i="8"/>
  <c r="R1707" i="8"/>
  <c r="R1703" i="8"/>
  <c r="R1704" i="8"/>
  <c r="R1706" i="8"/>
  <c r="R1705" i="8"/>
  <c r="R1702" i="8"/>
  <c r="R1701" i="8"/>
  <c r="R1699" i="8"/>
  <c r="R1700" i="8"/>
  <c r="R1697" i="8"/>
  <c r="R1698" i="8"/>
  <c r="R1696" i="8"/>
  <c r="R1693" i="8"/>
  <c r="R1695" i="8"/>
  <c r="R1691" i="8"/>
  <c r="R1690" i="8"/>
  <c r="R1692" i="8"/>
  <c r="R1694" i="8"/>
  <c r="R1686" i="8"/>
  <c r="R1678" i="8"/>
  <c r="R1687" i="8"/>
  <c r="R1685" i="8"/>
  <c r="R1680" i="8"/>
  <c r="R1681" i="8"/>
  <c r="R1684" i="8"/>
  <c r="R1683" i="8"/>
  <c r="R1679" i="8"/>
  <c r="R1682" i="8"/>
  <c r="R1670" i="8"/>
  <c r="R1666" i="8"/>
  <c r="R1672" i="8"/>
  <c r="R1669" i="8"/>
  <c r="R1671" i="8"/>
  <c r="R1664" i="8"/>
  <c r="R1662" i="8"/>
  <c r="R1663" i="8"/>
  <c r="R1665" i="8"/>
  <c r="R1661" i="8"/>
  <c r="R1660" i="8"/>
  <c r="R1659" i="8"/>
  <c r="R1658" i="8"/>
  <c r="R1657" i="8"/>
  <c r="R1655" i="8"/>
  <c r="R1656" i="8"/>
  <c r="R1646" i="8"/>
  <c r="R1649" i="8"/>
  <c r="R1639" i="8"/>
  <c r="R1640" i="8"/>
  <c r="R1638" i="8"/>
  <c r="R1641" i="8"/>
  <c r="R1642" i="8"/>
  <c r="R1644" i="8"/>
  <c r="R1634" i="8"/>
  <c r="R1637" i="8"/>
  <c r="R1631" i="8"/>
  <c r="R1630" i="8"/>
  <c r="R1635" i="8"/>
  <c r="R1632" i="8"/>
  <c r="R1636" i="8"/>
  <c r="R1628" i="8"/>
  <c r="R1633" i="8"/>
  <c r="R1629" i="8"/>
  <c r="R1627" i="8"/>
  <c r="R1626" i="8"/>
  <c r="R1624" i="8"/>
  <c r="R1625" i="8"/>
  <c r="R1623" i="8"/>
  <c r="R1622" i="8"/>
  <c r="R1621" i="8"/>
  <c r="R1620" i="8"/>
  <c r="R1619" i="8"/>
  <c r="R1615" i="8"/>
  <c r="R1614" i="8"/>
  <c r="R1616" i="8"/>
  <c r="R1610" i="8"/>
  <c r="R1613" i="8"/>
  <c r="R1605" i="8"/>
  <c r="R1604" i="8"/>
  <c r="R1601" i="8"/>
  <c r="R1606" i="8"/>
  <c r="R1598" i="8"/>
  <c r="R1593" i="8"/>
  <c r="R1594" i="8"/>
  <c r="R1596" i="8"/>
  <c r="R1595" i="8"/>
  <c r="R1597" i="8"/>
  <c r="R1600" i="8"/>
  <c r="R1599" i="8"/>
  <c r="R1592" i="8"/>
  <c r="R1589" i="8"/>
  <c r="R1591" i="8"/>
  <c r="R1590" i="8"/>
  <c r="R1586" i="8"/>
  <c r="R1587" i="8"/>
  <c r="R1588" i="8"/>
  <c r="R1585" i="8"/>
  <c r="R1583" i="8"/>
  <c r="R1582" i="8"/>
  <c r="R1579" i="8"/>
  <c r="R1578" i="8"/>
  <c r="R1575" i="8"/>
  <c r="R1576" i="8"/>
  <c r="R1577" i="8"/>
  <c r="R1574" i="8"/>
  <c r="R1566" i="8"/>
  <c r="R1559" i="8"/>
  <c r="R1560" i="8"/>
  <c r="R1564" i="8"/>
  <c r="R1567" i="8"/>
  <c r="R1565" i="8"/>
  <c r="R1570" i="8"/>
  <c r="R1563" i="8"/>
  <c r="R1558" i="8"/>
  <c r="R1556" i="8"/>
  <c r="R1555" i="8"/>
  <c r="R1554" i="8"/>
  <c r="R1557" i="8"/>
  <c r="R1552" i="8"/>
  <c r="R1553" i="8"/>
  <c r="R1549" i="8"/>
  <c r="R1548" i="8"/>
  <c r="R1550" i="8"/>
  <c r="R1551" i="8"/>
  <c r="R1547" i="8"/>
  <c r="R1545" i="8"/>
  <c r="R1546" i="8"/>
  <c r="R1538" i="8"/>
  <c r="R1534" i="8"/>
  <c r="R1535" i="8"/>
  <c r="R1536" i="8"/>
  <c r="R1531" i="8"/>
  <c r="R1532" i="8"/>
  <c r="R1530" i="8"/>
  <c r="R1533" i="8"/>
  <c r="R1529" i="8"/>
  <c r="R1528" i="8"/>
  <c r="R1526" i="8"/>
  <c r="R1527" i="8"/>
  <c r="R1525" i="8"/>
  <c r="R1524" i="8"/>
  <c r="R1522" i="8"/>
  <c r="R1521" i="8"/>
  <c r="R1520" i="8"/>
  <c r="R1523" i="8"/>
  <c r="R1519" i="8"/>
  <c r="R1516" i="8"/>
  <c r="R1517" i="8"/>
  <c r="R1518" i="8"/>
  <c r="R1509" i="8"/>
  <c r="R1508" i="8"/>
  <c r="R1506" i="8"/>
  <c r="R1510" i="8"/>
  <c r="R1512" i="8"/>
  <c r="R1511" i="8"/>
  <c r="R1507" i="8"/>
  <c r="R1514" i="8"/>
  <c r="R1505" i="8"/>
  <c r="R1504" i="8"/>
  <c r="R1496" i="8"/>
  <c r="R1495" i="8"/>
  <c r="R1494" i="8"/>
  <c r="R1492" i="8"/>
  <c r="R1493" i="8"/>
  <c r="R1490" i="8"/>
  <c r="R1489" i="8"/>
  <c r="R1491" i="8"/>
  <c r="R1488" i="8"/>
  <c r="R1482" i="8"/>
  <c r="R1484" i="8"/>
  <c r="R1483" i="8"/>
  <c r="R1485" i="8"/>
  <c r="R1475" i="8"/>
  <c r="R1476" i="8"/>
  <c r="R1467" i="8"/>
  <c r="R1466" i="8"/>
  <c r="R1468" i="8"/>
  <c r="R1469" i="8"/>
  <c r="R1465" i="8"/>
  <c r="R1472" i="8"/>
  <c r="R1471" i="8"/>
  <c r="R1470" i="8"/>
  <c r="R1464" i="8"/>
  <c r="R1463" i="8"/>
  <c r="R1462" i="8"/>
  <c r="R1461" i="8"/>
  <c r="R1460" i="8"/>
  <c r="R1458" i="8"/>
  <c r="R1459" i="8"/>
  <c r="R1454" i="8"/>
  <c r="R1457" i="8"/>
  <c r="R1456" i="8"/>
  <c r="R1455" i="8"/>
  <c r="R1446" i="8"/>
  <c r="R1447" i="8"/>
  <c r="R1443" i="8"/>
  <c r="R1440" i="8"/>
  <c r="R1442" i="8"/>
  <c r="R1441" i="8"/>
  <c r="R1437" i="8"/>
  <c r="R1438" i="8"/>
  <c r="R1439" i="8"/>
  <c r="R1436" i="8"/>
  <c r="R1435" i="8"/>
  <c r="R1433" i="8"/>
  <c r="R1434" i="8"/>
  <c r="R1431" i="8"/>
  <c r="R1432" i="8"/>
  <c r="R1429" i="8"/>
  <c r="R1430" i="8"/>
  <c r="R1427" i="8"/>
  <c r="R1428" i="8"/>
  <c r="R1426" i="8"/>
  <c r="R1422" i="8"/>
  <c r="R1424" i="8"/>
  <c r="R1423" i="8"/>
  <c r="R1421" i="8"/>
  <c r="R1419" i="8"/>
  <c r="R1415" i="8"/>
  <c r="R1413" i="8"/>
  <c r="R1420" i="8"/>
  <c r="R1414" i="8"/>
  <c r="R1417" i="8"/>
  <c r="R1416" i="8"/>
  <c r="R1418" i="8"/>
  <c r="R1407" i="8"/>
  <c r="R1402" i="8"/>
  <c r="R1403" i="8"/>
  <c r="R1399" i="8"/>
  <c r="R1401" i="8"/>
  <c r="R1400" i="8"/>
  <c r="R1398" i="8"/>
  <c r="R1396" i="8"/>
  <c r="R1397" i="8"/>
  <c r="R1389" i="8"/>
  <c r="R1391" i="8"/>
  <c r="R1394" i="8"/>
  <c r="R1392" i="8"/>
  <c r="R1388" i="8"/>
  <c r="R1387" i="8"/>
  <c r="R1386" i="8"/>
  <c r="R1385" i="8"/>
  <c r="R1384" i="8"/>
  <c r="R1378" i="8"/>
  <c r="R1377" i="8"/>
  <c r="R1374" i="8"/>
  <c r="R1372" i="8"/>
  <c r="R1373" i="8"/>
  <c r="R1368" i="8"/>
  <c r="R1369" i="8"/>
  <c r="R1371" i="8"/>
  <c r="R1366" i="8"/>
  <c r="R1367" i="8"/>
  <c r="R1363" i="8"/>
  <c r="R1364" i="8"/>
  <c r="R1358" i="8"/>
  <c r="R1356" i="8"/>
  <c r="R1357" i="8"/>
  <c r="R1355" i="8"/>
  <c r="R1347" i="8"/>
  <c r="R1342" i="8"/>
  <c r="R1341" i="8"/>
  <c r="R1340" i="8"/>
  <c r="R1339" i="8"/>
  <c r="R1338" i="8"/>
  <c r="R1337" i="8"/>
  <c r="R1336" i="8"/>
  <c r="R1333" i="8"/>
  <c r="R1331" i="8"/>
  <c r="R1332" i="8"/>
  <c r="R1330" i="8"/>
  <c r="R1329" i="8"/>
  <c r="R1327" i="8"/>
  <c r="R1328" i="8"/>
  <c r="R1318" i="8"/>
  <c r="R1317" i="8"/>
  <c r="R1319" i="8"/>
  <c r="R1312" i="8"/>
  <c r="R1308" i="8"/>
  <c r="R1306" i="8"/>
  <c r="R1307" i="8"/>
  <c r="R1302" i="8"/>
  <c r="R1303" i="8"/>
  <c r="R1261" i="8"/>
  <c r="R1256" i="8"/>
  <c r="R1309" i="8"/>
  <c r="R1365" i="8"/>
  <c r="R1254" i="8"/>
  <c r="R1255" i="8"/>
  <c r="R1253" i="8"/>
  <c r="R1260" i="8"/>
  <c r="R1259" i="8"/>
  <c r="R1299" i="8"/>
  <c r="R1267" i="8"/>
  <c r="R1268" i="8"/>
  <c r="R1269" i="8"/>
  <c r="R1270" i="8"/>
  <c r="R1266" i="8"/>
  <c r="R1294" i="8"/>
  <c r="R1293" i="8"/>
  <c r="R1273" i="8"/>
  <c r="R1276" i="8"/>
  <c r="R1277" i="8"/>
  <c r="R1283" i="8"/>
  <c r="R1325" i="8"/>
  <c r="R1326" i="8"/>
  <c r="R1290" i="8"/>
  <c r="R1292" i="8"/>
  <c r="R1282" i="8"/>
  <c r="R1278" i="8"/>
  <c r="R1284" i="8"/>
  <c r="R1279" i="8"/>
  <c r="R1313" i="8"/>
  <c r="R1316" i="8"/>
  <c r="R1346" i="8"/>
  <c r="R1345" i="8"/>
  <c r="R1300" i="8"/>
  <c r="R1343" i="8"/>
  <c r="F1261" i="8"/>
  <c r="F1256" i="8"/>
  <c r="F1309" i="8"/>
  <c r="F1365" i="8"/>
  <c r="F1254" i="8"/>
  <c r="F1255" i="8"/>
  <c r="F1253" i="8"/>
  <c r="F1260" i="8"/>
  <c r="F1259" i="8"/>
  <c r="F1299" i="8"/>
  <c r="F1267" i="8"/>
  <c r="F1268" i="8"/>
  <c r="F1269" i="8"/>
  <c r="F1270" i="8"/>
  <c r="F1266" i="8"/>
  <c r="F1294" i="8"/>
  <c r="F1293" i="8"/>
  <c r="F1273" i="8"/>
  <c r="F1276" i="8"/>
  <c r="F1277" i="8"/>
  <c r="F1283" i="8"/>
  <c r="F1325" i="8"/>
  <c r="F1326" i="8"/>
  <c r="F1290" i="8"/>
  <c r="F1292" i="8"/>
  <c r="F1282" i="8"/>
  <c r="F1278" i="8"/>
  <c r="F1284" i="8"/>
  <c r="F1279" i="8"/>
  <c r="F1313" i="8"/>
  <c r="F1316" i="8"/>
  <c r="F1346" i="8"/>
  <c r="F1345" i="8"/>
  <c r="F1300" i="8"/>
  <c r="F1343" i="8"/>
  <c r="D1259" i="8"/>
  <c r="D1299" i="8"/>
  <c r="D1267" i="8"/>
  <c r="D1268" i="8"/>
  <c r="D1269" i="8"/>
  <c r="D1270" i="8"/>
  <c r="D1266" i="8"/>
  <c r="D1294" i="8"/>
  <c r="D1293" i="8"/>
  <c r="D1273" i="8"/>
  <c r="D1276" i="8"/>
  <c r="D1277" i="8"/>
  <c r="D1283" i="8"/>
  <c r="D1325" i="8"/>
  <c r="D1326" i="8"/>
  <c r="D1290" i="8"/>
  <c r="D1292" i="8"/>
  <c r="D1282" i="8"/>
  <c r="D1278" i="8"/>
  <c r="D1284" i="8"/>
  <c r="D1279" i="8"/>
  <c r="D1313" i="8"/>
  <c r="D1316" i="8"/>
  <c r="D1346" i="8"/>
  <c r="D1345" i="8"/>
  <c r="D1300" i="8"/>
  <c r="D1343" i="8"/>
  <c r="D1261" i="8"/>
  <c r="D1256" i="8"/>
  <c r="D1309" i="8"/>
  <c r="D1365" i="8"/>
  <c r="D1254" i="8"/>
  <c r="D1255" i="8"/>
  <c r="D1253" i="8"/>
  <c r="D1260" i="8"/>
  <c r="I53" i="9"/>
  <c r="C1343" i="8" a="1"/>
  <c r="C1343" i="8" s="1"/>
  <c r="C1261" i="8" a="1"/>
  <c r="C1261" i="8" s="1"/>
  <c r="C1256" i="8" a="1"/>
  <c r="C1256" i="8" s="1"/>
  <c r="C1309" i="8" a="1"/>
  <c r="C1309" i="8" s="1"/>
  <c r="C1365" i="8" a="1"/>
  <c r="C1365" i="8" s="1"/>
  <c r="C1254" i="8" a="1"/>
  <c r="C1254" i="8" s="1"/>
  <c r="C1255" i="8" a="1"/>
  <c r="C1255" i="8" s="1"/>
  <c r="C1253" i="8" a="1"/>
  <c r="C1253" i="8" s="1"/>
  <c r="C1260" i="8" a="1"/>
  <c r="C1260" i="8" s="1"/>
  <c r="C1259" i="8" a="1"/>
  <c r="C1259" i="8" s="1"/>
  <c r="C1299" i="8" a="1"/>
  <c r="C1299" i="8" s="1"/>
  <c r="C1267" i="8" a="1"/>
  <c r="C1267" i="8" s="1"/>
  <c r="C1268" i="8" a="1"/>
  <c r="C1268" i="8" s="1"/>
  <c r="C1269" i="8" a="1"/>
  <c r="C1269" i="8" s="1"/>
  <c r="C1270" i="8" a="1"/>
  <c r="C1270" i="8" s="1"/>
  <c r="C1266" i="8" a="1"/>
  <c r="C1266" i="8" s="1"/>
  <c r="C1294" i="8" a="1"/>
  <c r="C1294" i="8" s="1"/>
  <c r="C1293" i="8" a="1"/>
  <c r="C1293" i="8" s="1"/>
  <c r="C1273" i="8" a="1"/>
  <c r="C1273" i="8" s="1"/>
  <c r="C1276" i="8" a="1"/>
  <c r="C1276" i="8" s="1"/>
  <c r="C1277" i="8" a="1"/>
  <c r="C1277" i="8" s="1"/>
  <c r="C1283" i="8" a="1"/>
  <c r="C1283" i="8" s="1"/>
  <c r="C1325" i="8" a="1"/>
  <c r="C1325" i="8" s="1"/>
  <c r="C1326" i="8" a="1"/>
  <c r="C1326" i="8" s="1"/>
  <c r="C1290" i="8" a="1"/>
  <c r="C1290" i="8" s="1"/>
  <c r="C1292" i="8" a="1"/>
  <c r="C1292" i="8" s="1"/>
  <c r="C1282" i="8" a="1"/>
  <c r="C1282" i="8" s="1"/>
  <c r="C1278" i="8" a="1"/>
  <c r="C1278" i="8" s="1"/>
  <c r="C1284" i="8" a="1"/>
  <c r="C1284" i="8" s="1"/>
  <c r="C1279" i="8" a="1"/>
  <c r="C1279" i="8" s="1"/>
  <c r="C1313" i="8" a="1"/>
  <c r="C1313" i="8" s="1"/>
  <c r="C1316" i="8" a="1"/>
  <c r="C1316" i="8" s="1"/>
  <c r="C1346" i="8" a="1"/>
  <c r="C1346" i="8" s="1"/>
  <c r="C1345" i="8" a="1"/>
  <c r="C1345" i="8" s="1"/>
  <c r="C1300" i="8" a="1"/>
  <c r="C1300" i="8" s="1"/>
  <c r="I58" i="9"/>
  <c r="I59" i="9"/>
  <c r="I63" i="9"/>
  <c r="I14" i="9"/>
  <c r="I18" i="9"/>
  <c r="I71" i="9"/>
  <c r="D2364" i="8"/>
  <c r="D2363" i="8"/>
  <c r="D2359" i="8"/>
  <c r="D2360" i="8"/>
  <c r="D2362" i="8"/>
  <c r="D2361" i="8"/>
  <c r="D2358" i="8"/>
  <c r="D2353" i="8"/>
  <c r="D2356" i="8"/>
  <c r="D2355" i="8"/>
  <c r="D2357" i="8"/>
  <c r="D2354" i="8"/>
  <c r="D2352" i="8"/>
  <c r="D2351" i="8"/>
  <c r="D2350" i="8"/>
  <c r="D2349" i="8"/>
  <c r="D2347" i="8"/>
  <c r="D2348" i="8"/>
  <c r="D2345" i="8"/>
  <c r="D2346" i="8"/>
  <c r="D2344" i="8"/>
  <c r="D2343" i="8"/>
  <c r="D2341" i="8"/>
  <c r="D2342" i="8"/>
  <c r="D2339" i="8"/>
  <c r="D2340" i="8"/>
  <c r="D2337" i="8"/>
  <c r="D2338" i="8"/>
  <c r="D2336" i="8"/>
  <c r="D2335" i="8"/>
  <c r="D2332" i="8"/>
  <c r="D2331" i="8"/>
  <c r="D2334" i="8"/>
  <c r="D2333" i="8"/>
  <c r="D2329" i="8"/>
  <c r="D2330" i="8"/>
  <c r="D2328" i="8"/>
  <c r="D2327" i="8"/>
  <c r="D2325" i="8"/>
  <c r="D2326" i="8"/>
  <c r="D2324" i="8"/>
  <c r="D2323" i="8"/>
  <c r="D2322" i="8"/>
  <c r="D2321" i="8"/>
  <c r="D2320" i="8"/>
  <c r="D2318" i="8"/>
  <c r="D2317" i="8"/>
  <c r="D2319" i="8"/>
  <c r="D2316" i="8"/>
  <c r="D2315" i="8"/>
  <c r="D2314" i="8"/>
  <c r="D2313" i="8"/>
  <c r="D2312" i="8"/>
  <c r="D2308" i="8"/>
  <c r="D2307" i="8"/>
  <c r="D2309" i="8"/>
  <c r="D2310" i="8"/>
  <c r="D2311" i="8"/>
  <c r="D2305" i="8"/>
  <c r="D2306" i="8"/>
  <c r="D2304" i="8"/>
  <c r="D2303" i="8"/>
  <c r="D2302" i="8"/>
  <c r="D2301" i="8"/>
  <c r="D2299" i="8"/>
  <c r="D2298" i="8"/>
  <c r="D2300" i="8"/>
  <c r="D2297" i="8"/>
  <c r="D2295" i="8"/>
  <c r="D2294" i="8"/>
  <c r="D2296" i="8"/>
  <c r="D2293" i="8"/>
  <c r="D2292" i="8"/>
  <c r="D2290" i="8"/>
  <c r="D2291" i="8"/>
  <c r="D2287" i="8"/>
  <c r="D2288" i="8"/>
  <c r="D2289" i="8"/>
  <c r="D2286" i="8"/>
  <c r="D2285" i="8"/>
  <c r="D2284" i="8"/>
  <c r="D2283" i="8"/>
  <c r="D2282" i="8"/>
  <c r="D2279" i="8"/>
  <c r="D2281" i="8"/>
  <c r="D2280" i="8"/>
  <c r="D2277" i="8"/>
  <c r="D2275" i="8"/>
  <c r="D2276" i="8"/>
  <c r="D2278" i="8"/>
  <c r="D2272" i="8"/>
  <c r="D2271" i="8"/>
  <c r="D2273" i="8"/>
  <c r="D2274" i="8"/>
  <c r="D2270" i="8"/>
  <c r="D2269" i="8"/>
  <c r="D2267" i="8"/>
  <c r="D2266" i="8"/>
  <c r="D2268" i="8"/>
  <c r="D2264" i="8"/>
  <c r="D2263" i="8"/>
  <c r="D2262" i="8"/>
  <c r="D2265" i="8"/>
  <c r="D2261" i="8"/>
  <c r="D2260" i="8"/>
  <c r="D2259" i="8"/>
  <c r="D2257" i="8"/>
  <c r="D2258" i="8"/>
  <c r="D2255" i="8"/>
  <c r="D2256" i="8"/>
  <c r="D2254" i="8"/>
  <c r="D2252" i="8"/>
  <c r="D2253" i="8"/>
  <c r="D2251" i="8"/>
  <c r="D2246" i="8"/>
  <c r="D2248" i="8"/>
  <c r="D2249" i="8"/>
  <c r="D2247" i="8"/>
  <c r="D2250" i="8"/>
  <c r="D2244" i="8"/>
  <c r="D2243" i="8"/>
  <c r="D2242" i="8"/>
  <c r="D2241" i="8"/>
  <c r="D2240" i="8"/>
  <c r="D2239" i="8"/>
  <c r="D2238" i="8"/>
  <c r="D2237" i="8"/>
  <c r="D2236" i="8"/>
  <c r="D2233" i="8"/>
  <c r="D2235" i="8"/>
  <c r="D2234" i="8"/>
  <c r="D2230" i="8"/>
  <c r="D2231" i="8"/>
  <c r="D2232" i="8"/>
  <c r="D2228" i="8"/>
  <c r="D2227" i="8"/>
  <c r="D2226" i="8"/>
  <c r="D2224" i="8"/>
  <c r="D2225" i="8"/>
  <c r="D2222" i="8"/>
  <c r="D2223" i="8"/>
  <c r="D2220" i="8"/>
  <c r="D2221" i="8"/>
  <c r="D2219" i="8"/>
  <c r="D2217" i="8"/>
  <c r="D2216" i="8"/>
  <c r="D2215" i="8"/>
  <c r="D2214" i="8"/>
  <c r="D2213" i="8"/>
  <c r="D2211" i="8"/>
  <c r="D2212" i="8"/>
  <c r="D2208" i="8"/>
  <c r="D2210" i="8"/>
  <c r="D2209" i="8"/>
  <c r="D2206" i="8"/>
  <c r="D2205" i="8"/>
  <c r="D2204" i="8"/>
  <c r="D2203" i="8"/>
  <c r="D2202" i="8"/>
  <c r="D2201" i="8"/>
  <c r="D2193" i="8"/>
  <c r="D2197" i="8"/>
  <c r="D2198" i="8"/>
  <c r="D2196" i="8"/>
  <c r="D2195" i="8"/>
  <c r="D2199" i="8"/>
  <c r="D2194" i="8"/>
  <c r="D2200" i="8"/>
  <c r="D2190" i="8"/>
  <c r="D2191" i="8"/>
  <c r="D2192" i="8"/>
  <c r="D2188" i="8"/>
  <c r="D2186" i="8"/>
  <c r="D2185" i="8"/>
  <c r="D2184" i="8"/>
  <c r="D2187" i="8"/>
  <c r="D2183" i="8"/>
  <c r="D2181" i="8"/>
  <c r="D2180" i="8"/>
  <c r="D2179" i="8"/>
  <c r="D2182" i="8"/>
  <c r="D2178" i="8"/>
  <c r="D2176" i="8"/>
  <c r="D2174" i="8"/>
  <c r="D2175" i="8"/>
  <c r="D2173" i="8"/>
  <c r="D2172" i="8"/>
  <c r="D2171" i="8"/>
  <c r="D2170" i="8"/>
  <c r="D2169" i="8"/>
  <c r="D2167" i="8"/>
  <c r="D2166" i="8"/>
  <c r="D2168" i="8"/>
  <c r="D2164" i="8"/>
  <c r="D2163" i="8"/>
  <c r="D2162" i="8"/>
  <c r="D2161" i="8"/>
  <c r="D2165" i="8"/>
  <c r="D2159" i="8"/>
  <c r="D2158" i="8"/>
  <c r="D2157" i="8"/>
  <c r="D2156" i="8"/>
  <c r="D2155" i="8"/>
  <c r="D2154" i="8"/>
  <c r="D2153" i="8"/>
  <c r="D2152" i="8"/>
  <c r="D2151" i="8"/>
  <c r="D2148" i="8"/>
  <c r="D2150" i="8"/>
  <c r="D2149" i="8"/>
  <c r="D2147" i="8"/>
  <c r="D2144" i="8"/>
  <c r="D2146" i="8"/>
  <c r="D2145" i="8"/>
  <c r="D2142" i="8"/>
  <c r="D2141" i="8"/>
  <c r="D2140" i="8"/>
  <c r="D2139" i="8"/>
  <c r="D2138" i="8"/>
  <c r="D2137" i="8"/>
  <c r="D2135" i="8"/>
  <c r="D2136" i="8"/>
  <c r="D2134" i="8"/>
  <c r="D2132" i="8"/>
  <c r="D2133" i="8"/>
  <c r="D2129" i="8"/>
  <c r="D2128" i="8"/>
  <c r="D2131" i="8"/>
  <c r="D2130" i="8"/>
  <c r="D2125" i="8"/>
  <c r="D2126" i="8"/>
  <c r="D2127" i="8"/>
  <c r="D2124" i="8"/>
  <c r="D2122" i="8"/>
  <c r="D2123" i="8"/>
  <c r="D2121" i="8"/>
  <c r="D2120" i="8"/>
  <c r="D2119" i="8"/>
  <c r="D2118" i="8"/>
  <c r="D2113" i="8"/>
  <c r="D2112" i="8"/>
  <c r="D2111" i="8"/>
  <c r="D2114" i="8"/>
  <c r="D2117" i="8"/>
  <c r="D2116" i="8"/>
  <c r="D2115" i="8"/>
  <c r="D2108" i="8"/>
  <c r="D2106" i="8"/>
  <c r="D2110" i="8"/>
  <c r="D2105" i="8"/>
  <c r="D2109" i="8"/>
  <c r="D2103" i="8"/>
  <c r="D2104" i="8"/>
  <c r="D2102" i="8"/>
  <c r="D2099" i="8"/>
  <c r="D2101" i="8"/>
  <c r="D2098" i="8"/>
  <c r="D2100" i="8"/>
  <c r="D2097" i="8"/>
  <c r="D2096" i="8"/>
  <c r="D2095" i="8"/>
  <c r="D2093" i="8"/>
  <c r="D2091" i="8"/>
  <c r="D2090" i="8"/>
  <c r="D2094" i="8"/>
  <c r="D2089" i="8"/>
  <c r="D2088" i="8"/>
  <c r="D2087" i="8"/>
  <c r="D2086" i="8"/>
  <c r="D2084" i="8"/>
  <c r="D2085" i="8"/>
  <c r="D2083" i="8"/>
  <c r="D2082" i="8"/>
  <c r="D2081" i="8"/>
  <c r="D2078" i="8"/>
  <c r="D2077" i="8"/>
  <c r="D2080" i="8"/>
  <c r="D2079" i="8"/>
  <c r="D2075" i="8"/>
  <c r="D2074" i="8"/>
  <c r="D2073" i="8"/>
  <c r="D2072" i="8"/>
  <c r="D2071" i="8"/>
  <c r="D2069" i="8"/>
  <c r="D2070" i="8"/>
  <c r="D2067" i="8"/>
  <c r="D2068" i="8"/>
  <c r="D2066" i="8"/>
  <c r="D1881" i="8"/>
  <c r="D1882" i="8"/>
  <c r="D1884" i="8"/>
  <c r="D1883" i="8"/>
  <c r="D1880" i="8"/>
  <c r="D1877" i="8"/>
  <c r="D1879" i="8"/>
  <c r="D1870" i="8"/>
  <c r="D1869" i="8"/>
  <c r="D1865" i="8"/>
  <c r="D1867" i="8"/>
  <c r="D1866" i="8"/>
  <c r="D1871" i="8"/>
  <c r="D1862" i="8"/>
  <c r="D1868" i="8"/>
  <c r="D1861" i="8"/>
  <c r="D1860" i="8"/>
  <c r="D1858" i="8"/>
  <c r="D1859" i="8"/>
  <c r="D1857" i="8"/>
  <c r="D1856" i="8"/>
  <c r="D1855" i="8"/>
  <c r="D1850" i="8"/>
  <c r="D1852" i="8"/>
  <c r="D1849" i="8"/>
  <c r="D1854" i="8"/>
  <c r="D1853" i="8"/>
  <c r="D1851" i="8"/>
  <c r="D1840" i="8"/>
  <c r="D1841" i="8"/>
  <c r="D1842" i="8"/>
  <c r="D1839" i="8"/>
  <c r="D1843" i="8"/>
  <c r="D1833" i="8"/>
  <c r="D1831" i="8"/>
  <c r="D1832" i="8"/>
  <c r="D1835" i="8"/>
  <c r="D1834" i="8"/>
  <c r="D1830" i="8"/>
  <c r="D1829" i="8"/>
  <c r="D1828" i="8"/>
  <c r="D1825" i="8"/>
  <c r="D1826" i="8"/>
  <c r="D1827" i="8"/>
  <c r="D1824" i="8"/>
  <c r="D1823" i="8"/>
  <c r="D1820" i="8"/>
  <c r="D1822" i="8"/>
  <c r="D1821" i="8"/>
  <c r="D1814" i="8"/>
  <c r="D1816" i="8"/>
  <c r="D1819" i="8"/>
  <c r="D1817" i="8"/>
  <c r="D1818" i="8"/>
  <c r="D1815" i="8"/>
  <c r="D1802" i="8"/>
  <c r="D1801" i="8"/>
  <c r="D1813" i="8"/>
  <c r="D1804" i="8"/>
  <c r="D1812" i="8"/>
  <c r="D1798" i="8"/>
  <c r="D1800" i="8"/>
  <c r="D1799" i="8"/>
  <c r="D1797" i="8"/>
  <c r="D1794" i="8"/>
  <c r="D1795" i="8"/>
  <c r="D1793" i="8"/>
  <c r="D1792" i="8"/>
  <c r="D1791" i="8"/>
  <c r="D1787" i="8"/>
  <c r="D1789" i="8"/>
  <c r="D1786" i="8"/>
  <c r="D1784" i="8"/>
  <c r="D1785" i="8"/>
  <c r="D1781" i="8"/>
  <c r="D1783" i="8"/>
  <c r="D1782" i="8"/>
  <c r="D1769" i="8"/>
  <c r="D1768" i="8"/>
  <c r="D1770" i="8"/>
  <c r="D1776" i="8"/>
  <c r="D1774" i="8"/>
  <c r="D1777" i="8"/>
  <c r="D1771" i="8"/>
  <c r="D1765" i="8"/>
  <c r="D1764" i="8"/>
  <c r="D1760" i="8"/>
  <c r="D1762" i="8"/>
  <c r="D1761" i="8"/>
  <c r="D1759" i="8"/>
  <c r="D1758" i="8"/>
  <c r="D1752" i="8"/>
  <c r="D1750" i="8"/>
  <c r="D1753" i="8"/>
  <c r="D1751" i="8"/>
  <c r="D1755" i="8"/>
  <c r="D1754" i="8"/>
  <c r="D1748" i="8"/>
  <c r="D1747" i="8"/>
  <c r="D1746" i="8"/>
  <c r="D1745" i="8"/>
  <c r="D1744" i="8"/>
  <c r="D1743" i="8"/>
  <c r="D1735" i="8"/>
  <c r="D1734" i="8"/>
  <c r="D1731" i="8"/>
  <c r="D1732" i="8"/>
  <c r="D1729" i="8"/>
  <c r="D1728" i="8"/>
  <c r="D1727" i="8"/>
  <c r="D1730" i="8"/>
  <c r="D1724" i="8"/>
  <c r="D1723" i="8"/>
  <c r="D1722" i="8"/>
  <c r="D1708" i="8"/>
  <c r="D1709" i="8"/>
  <c r="D1716" i="8"/>
  <c r="D1715" i="8"/>
  <c r="D1710" i="8"/>
  <c r="D1713" i="8"/>
  <c r="D1714" i="8"/>
  <c r="D1707" i="8"/>
  <c r="D1703" i="8"/>
  <c r="D1704" i="8"/>
  <c r="D1706" i="8"/>
  <c r="D1702" i="8"/>
  <c r="D1701" i="8"/>
  <c r="D1699" i="8"/>
  <c r="D1700" i="8"/>
  <c r="D1697" i="8"/>
  <c r="D1698" i="8"/>
  <c r="D1696" i="8"/>
  <c r="D1693" i="8"/>
  <c r="D1695" i="8"/>
  <c r="D1691" i="8"/>
  <c r="D1690" i="8"/>
  <c r="D1692" i="8"/>
  <c r="D1686" i="8"/>
  <c r="D1678" i="8"/>
  <c r="D1687" i="8"/>
  <c r="D1685" i="8"/>
  <c r="D1680" i="8"/>
  <c r="D1681" i="8"/>
  <c r="D1684" i="8"/>
  <c r="D1683" i="8"/>
  <c r="D1679" i="8"/>
  <c r="D1682" i="8"/>
  <c r="D1670" i="8"/>
  <c r="D1666" i="8"/>
  <c r="D1672" i="8"/>
  <c r="D1669" i="8"/>
  <c r="D1664" i="8"/>
  <c r="D1662" i="8"/>
  <c r="D1663" i="8"/>
  <c r="D1665" i="8"/>
  <c r="D1661" i="8"/>
  <c r="D1660" i="8"/>
  <c r="D1658" i="8"/>
  <c r="D1657" i="8"/>
  <c r="D1655" i="8"/>
  <c r="D1656" i="8"/>
  <c r="D1646" i="8"/>
  <c r="D1649" i="8"/>
  <c r="D1639" i="8"/>
  <c r="D1640" i="8"/>
  <c r="D1638" i="8"/>
  <c r="D1641" i="8"/>
  <c r="D1642" i="8"/>
  <c r="D1644" i="8"/>
  <c r="D1634" i="8"/>
  <c r="D1637" i="8"/>
  <c r="D1631" i="8"/>
  <c r="D1630" i="8"/>
  <c r="D1635" i="8"/>
  <c r="D1632" i="8"/>
  <c r="D1636" i="8"/>
  <c r="D1628" i="8"/>
  <c r="D1633" i="8"/>
  <c r="D1627" i="8"/>
  <c r="D1626" i="8"/>
  <c r="D1624" i="8"/>
  <c r="D1625" i="8"/>
  <c r="D1623" i="8"/>
  <c r="D1622" i="8"/>
  <c r="D1620" i="8"/>
  <c r="D1619" i="8"/>
  <c r="D1615" i="8"/>
  <c r="D1614" i="8"/>
  <c r="D1616" i="8"/>
  <c r="D1610" i="8"/>
  <c r="D1613" i="8"/>
  <c r="D1605" i="8"/>
  <c r="D1604" i="8"/>
  <c r="D1601" i="8"/>
  <c r="D1606" i="8"/>
  <c r="D1598" i="8"/>
  <c r="D1593" i="8"/>
  <c r="D1594" i="8"/>
  <c r="D1596" i="8"/>
  <c r="D1595" i="8"/>
  <c r="D1597" i="8"/>
  <c r="D1592" i="8"/>
  <c r="D1589" i="8"/>
  <c r="D1591" i="8"/>
  <c r="D1590" i="8"/>
  <c r="D1586" i="8"/>
  <c r="D1587" i="8"/>
  <c r="D1588" i="8"/>
  <c r="D1583" i="8"/>
  <c r="D1579" i="8"/>
  <c r="D1578" i="8"/>
  <c r="D1575" i="8"/>
  <c r="D1576" i="8"/>
  <c r="D1577" i="8"/>
  <c r="D1574" i="8"/>
  <c r="D1566" i="8"/>
  <c r="D1559" i="8"/>
  <c r="D1560" i="8"/>
  <c r="D1564" i="8"/>
  <c r="D1567" i="8"/>
  <c r="D1565" i="8"/>
  <c r="D1570" i="8"/>
  <c r="D1558" i="8"/>
  <c r="D1556" i="8"/>
  <c r="D1555" i="8"/>
  <c r="D1554" i="8"/>
  <c r="D1552" i="8"/>
  <c r="D1553" i="8"/>
  <c r="D1549" i="8"/>
  <c r="D1548" i="8"/>
  <c r="D1550" i="8"/>
  <c r="D1547" i="8"/>
  <c r="D1545" i="8"/>
  <c r="D1546" i="8"/>
  <c r="D1538" i="8"/>
  <c r="D1534" i="8"/>
  <c r="D1535" i="8"/>
  <c r="D1536" i="8"/>
  <c r="D1531" i="8"/>
  <c r="D1532" i="8"/>
  <c r="D1530" i="8"/>
  <c r="D1529" i="8"/>
  <c r="D1528" i="8"/>
  <c r="D1526" i="8"/>
  <c r="D1527" i="8"/>
  <c r="D1525" i="8"/>
  <c r="D1524" i="8"/>
  <c r="D1522" i="8"/>
  <c r="D1521" i="8"/>
  <c r="D1520" i="8"/>
  <c r="D1519" i="8"/>
  <c r="D1516" i="8"/>
  <c r="D1517" i="8"/>
  <c r="D1518" i="8"/>
  <c r="D1509" i="8"/>
  <c r="D1508" i="8"/>
  <c r="D1506" i="8"/>
  <c r="D1510" i="8"/>
  <c r="D1512" i="8"/>
  <c r="D1511" i="8"/>
  <c r="D1507" i="8"/>
  <c r="D1505" i="8"/>
  <c r="D1504" i="8"/>
  <c r="D1494" i="8"/>
  <c r="D1492" i="8"/>
  <c r="D1490" i="8"/>
  <c r="D1489" i="8"/>
  <c r="D1491" i="8"/>
  <c r="D1488" i="8"/>
  <c r="D1482" i="8"/>
  <c r="D1484" i="8"/>
  <c r="D1483" i="8"/>
  <c r="D1485" i="8"/>
  <c r="D1475" i="8"/>
  <c r="D1476" i="8"/>
  <c r="D1467" i="8"/>
  <c r="D1466" i="8"/>
  <c r="D1468" i="8"/>
  <c r="D1469" i="8"/>
  <c r="D1465" i="8"/>
  <c r="D1472" i="8"/>
  <c r="D1471" i="8"/>
  <c r="D1462" i="8"/>
  <c r="D1461" i="8"/>
  <c r="D1460" i="8"/>
  <c r="D1454" i="8"/>
  <c r="D1457" i="8"/>
  <c r="D1456" i="8"/>
  <c r="D1455" i="8"/>
  <c r="D1302" i="8"/>
  <c r="D1303" i="8"/>
  <c r="D1338" i="8"/>
  <c r="D1306" i="8"/>
  <c r="D1307" i="8"/>
  <c r="D1308" i="8"/>
  <c r="D1329" i="8"/>
  <c r="D1318" i="8"/>
  <c r="D1317" i="8"/>
  <c r="D1319" i="8"/>
  <c r="D1312" i="8"/>
  <c r="D1327" i="8"/>
  <c r="D1328" i="8"/>
  <c r="D1790" i="8"/>
  <c r="D1333" i="8"/>
  <c r="D1331" i="8"/>
  <c r="D1332" i="8"/>
  <c r="D1330" i="8"/>
  <c r="D1337" i="8"/>
  <c r="D1336" i="8"/>
  <c r="D1341" i="8"/>
  <c r="D1340" i="8"/>
  <c r="D1339" i="8"/>
  <c r="D1342" i="8"/>
  <c r="D1358" i="8"/>
  <c r="D1363" i="8"/>
  <c r="D1387" i="8"/>
  <c r="D1347" i="8"/>
  <c r="D1356" i="8"/>
  <c r="D1364" i="8"/>
  <c r="D1357" i="8"/>
  <c r="D1355" i="8"/>
  <c r="D1366" i="8"/>
  <c r="D1367" i="8"/>
  <c r="D1368" i="8"/>
  <c r="D1369" i="8"/>
  <c r="D1371" i="8"/>
  <c r="D1372" i="8"/>
  <c r="D1373" i="8"/>
  <c r="D1386" i="8"/>
  <c r="D1378" i="8"/>
  <c r="D1385" i="8"/>
  <c r="D1384" i="8"/>
  <c r="D1389" i="8"/>
  <c r="D1377" i="8"/>
  <c r="D1374" i="8"/>
  <c r="D1398" i="8"/>
  <c r="D1391" i="8"/>
  <c r="D1394" i="8"/>
  <c r="D1392" i="8"/>
  <c r="D1388" i="8"/>
  <c r="D1419" i="8"/>
  <c r="D1415" i="8"/>
  <c r="D1443" i="8"/>
  <c r="D1440" i="8"/>
  <c r="D1470" i="8"/>
  <c r="D1464" i="8"/>
  <c r="D1496" i="8"/>
  <c r="D1495" i="8"/>
  <c r="D1396" i="8"/>
  <c r="D1397" i="8"/>
  <c r="D1399" i="8"/>
  <c r="D1401" i="8"/>
  <c r="D1400" i="8"/>
  <c r="D1402" i="8"/>
  <c r="D1403" i="8"/>
  <c r="D1413" i="8"/>
  <c r="D1407" i="8"/>
  <c r="D1426" i="8"/>
  <c r="D1420" i="8"/>
  <c r="D1414" i="8"/>
  <c r="D1417" i="8"/>
  <c r="D1416" i="8"/>
  <c r="D1418" i="8"/>
  <c r="D1436" i="8"/>
  <c r="D1563" i="8"/>
  <c r="D1600" i="8"/>
  <c r="D1629" i="8"/>
  <c r="D1671" i="8"/>
  <c r="D1705" i="8"/>
  <c r="D1749" i="8"/>
  <c r="D1775" i="8"/>
  <c r="D1803" i="8"/>
  <c r="D1836" i="8"/>
  <c r="D1878" i="8"/>
  <c r="D2092" i="8"/>
  <c r="D2107" i="8"/>
  <c r="D2143" i="8"/>
  <c r="D2160" i="8"/>
  <c r="D2177" i="8"/>
  <c r="D2189" i="8"/>
  <c r="D2207" i="8"/>
  <c r="D2218" i="8"/>
  <c r="D2229" i="8"/>
  <c r="D2245" i="8"/>
  <c r="D1427" i="8"/>
  <c r="D1458" i="8"/>
  <c r="D1431" i="8"/>
  <c r="D1428" i="8"/>
  <c r="D1422" i="8"/>
  <c r="D1585" i="8"/>
  <c r="D1424" i="8"/>
  <c r="D1423" i="8"/>
  <c r="D1421" i="8"/>
  <c r="D1432" i="8"/>
  <c r="D1429" i="8"/>
  <c r="D1430" i="8"/>
  <c r="D1442" i="8"/>
  <c r="D1435" i="8"/>
  <c r="D1433" i="8"/>
  <c r="D1434" i="8"/>
  <c r="D1493" i="8"/>
  <c r="D1523" i="8"/>
  <c r="D1551" i="8"/>
  <c r="D1582" i="8"/>
  <c r="D1621" i="8"/>
  <c r="D1659" i="8"/>
  <c r="D1694" i="8"/>
  <c r="D1733" i="8"/>
  <c r="D1763" i="8"/>
  <c r="D1796" i="8"/>
  <c r="D1463" i="8"/>
  <c r="D1514" i="8"/>
  <c r="D1533" i="8"/>
  <c r="D1557" i="8"/>
  <c r="D1599" i="8"/>
  <c r="D1437" i="8"/>
  <c r="D1438" i="8"/>
  <c r="D1439" i="8"/>
  <c r="D1441" i="8"/>
  <c r="D1446" i="8"/>
  <c r="D1447" i="8"/>
  <c r="D1459" i="8"/>
  <c r="F1302" i="8"/>
  <c r="F1303" i="8"/>
  <c r="F1338" i="8"/>
  <c r="F1306" i="8"/>
  <c r="F1307" i="8"/>
  <c r="F1308" i="8"/>
  <c r="F1329" i="8"/>
  <c r="F1318" i="8"/>
  <c r="F1317" i="8"/>
  <c r="F1319" i="8"/>
  <c r="F1312" i="8"/>
  <c r="F1327" i="8"/>
  <c r="F1328" i="8"/>
  <c r="F1790" i="8"/>
  <c r="F1333" i="8"/>
  <c r="F1331" i="8"/>
  <c r="F1332" i="8"/>
  <c r="F1330" i="8"/>
  <c r="F1337" i="8"/>
  <c r="F1336" i="8"/>
  <c r="F1341" i="8"/>
  <c r="F1340" i="8"/>
  <c r="F1339" i="8"/>
  <c r="F1342" i="8"/>
  <c r="F1358" i="8"/>
  <c r="F1363" i="8"/>
  <c r="F1387" i="8"/>
  <c r="F1347" i="8"/>
  <c r="F1356" i="8"/>
  <c r="F1364" i="8"/>
  <c r="F1357" i="8"/>
  <c r="F1355" i="8"/>
  <c r="F1366" i="8"/>
  <c r="F1367" i="8"/>
  <c r="F1368" i="8"/>
  <c r="F1369" i="8"/>
  <c r="F1371" i="8"/>
  <c r="F1372" i="8"/>
  <c r="F1373" i="8"/>
  <c r="F1386" i="8"/>
  <c r="F1378" i="8"/>
  <c r="F1385" i="8"/>
  <c r="F1384" i="8"/>
  <c r="F1389" i="8"/>
  <c r="F1377" i="8"/>
  <c r="F1374" i="8"/>
  <c r="F1398" i="8"/>
  <c r="F1391" i="8"/>
  <c r="F1394" i="8"/>
  <c r="F1392" i="8"/>
  <c r="F1388" i="8"/>
  <c r="F1419" i="8"/>
  <c r="F1415" i="8"/>
  <c r="F1443" i="8"/>
  <c r="F1440" i="8"/>
  <c r="F1470" i="8"/>
  <c r="F1464" i="8"/>
  <c r="F1496" i="8"/>
  <c r="F1495" i="8"/>
  <c r="F1396" i="8"/>
  <c r="F1397" i="8"/>
  <c r="F1399" i="8"/>
  <c r="F1401" i="8"/>
  <c r="F1400" i="8"/>
  <c r="F1402" i="8"/>
  <c r="F1403" i="8"/>
  <c r="F1413" i="8"/>
  <c r="F1407" i="8"/>
  <c r="F1426" i="8"/>
  <c r="F1420" i="8"/>
  <c r="F1414" i="8"/>
  <c r="F1417" i="8"/>
  <c r="F1416" i="8"/>
  <c r="F1418" i="8"/>
  <c r="F1436" i="8"/>
  <c r="F1563" i="8"/>
  <c r="F1600" i="8"/>
  <c r="F1629" i="8"/>
  <c r="F1671" i="8"/>
  <c r="F1705" i="8"/>
  <c r="F1749" i="8"/>
  <c r="F1775" i="8"/>
  <c r="F1803" i="8"/>
  <c r="F1836" i="8"/>
  <c r="F1878" i="8"/>
  <c r="F2018" i="8"/>
  <c r="F2033" i="8"/>
  <c r="F2092" i="8"/>
  <c r="F2107" i="8"/>
  <c r="F2143" i="8"/>
  <c r="F2160" i="8"/>
  <c r="F2177" i="8"/>
  <c r="F2189" i="8"/>
  <c r="F2207" i="8"/>
  <c r="F2218" i="8"/>
  <c r="F2229" i="8"/>
  <c r="F2245" i="8"/>
  <c r="F1427" i="8"/>
  <c r="F1458" i="8"/>
  <c r="F1431" i="8"/>
  <c r="F1428" i="8"/>
  <c r="F1422" i="8"/>
  <c r="F1585" i="8"/>
  <c r="F1424" i="8"/>
  <c r="F1423" i="8"/>
  <c r="F1421" i="8"/>
  <c r="F1432" i="8"/>
  <c r="F1429" i="8"/>
  <c r="F1430" i="8"/>
  <c r="F1442" i="8"/>
  <c r="F1435" i="8"/>
  <c r="F1433" i="8"/>
  <c r="F1434" i="8"/>
  <c r="F1493" i="8"/>
  <c r="F1523" i="8"/>
  <c r="F1551" i="8"/>
  <c r="F1582" i="8"/>
  <c r="F1621" i="8"/>
  <c r="F1659" i="8"/>
  <c r="F1694" i="8"/>
  <c r="F1733" i="8"/>
  <c r="F1763" i="8"/>
  <c r="F1796" i="8"/>
  <c r="F1463" i="8"/>
  <c r="F1514" i="8"/>
  <c r="F1533" i="8"/>
  <c r="F1557" i="8"/>
  <c r="F1599" i="8"/>
  <c r="F1437" i="8"/>
  <c r="F1438" i="8"/>
  <c r="F1439" i="8"/>
  <c r="F1441" i="8"/>
  <c r="F1446" i="8"/>
  <c r="F1447" i="8"/>
  <c r="F1459" i="8"/>
  <c r="C1302" i="8" a="1"/>
  <c r="C1302" i="8" s="1"/>
  <c r="C1303" i="8" a="1"/>
  <c r="C1303" i="8" s="1"/>
  <c r="C1338" i="8" a="1"/>
  <c r="C1338" i="8" s="1"/>
  <c r="C1306" i="8" a="1"/>
  <c r="C1306" i="8" s="1"/>
  <c r="C1307" i="8" a="1"/>
  <c r="C1307" i="8" s="1"/>
  <c r="C1308" i="8" a="1"/>
  <c r="C1308" i="8" s="1"/>
  <c r="C1329" i="8" a="1"/>
  <c r="C1329" i="8" s="1"/>
  <c r="C1318" i="8" a="1"/>
  <c r="C1318" i="8" s="1"/>
  <c r="C1317" i="8" a="1"/>
  <c r="C1317" i="8" s="1"/>
  <c r="C1319" i="8" a="1"/>
  <c r="C1319" i="8" s="1"/>
  <c r="C1312" i="8" a="1"/>
  <c r="C1312" i="8" s="1"/>
  <c r="C1327" i="8" a="1"/>
  <c r="C1327" i="8" s="1"/>
  <c r="C1328" i="8" a="1"/>
  <c r="C1328" i="8" s="1"/>
  <c r="C1790" i="8" a="1"/>
  <c r="C1790" i="8" s="1"/>
  <c r="C1333" i="8" a="1"/>
  <c r="C1333" i="8" s="1"/>
  <c r="C1331" i="8" a="1"/>
  <c r="C1331" i="8" s="1"/>
  <c r="C1332" i="8" a="1"/>
  <c r="C1332" i="8" s="1"/>
  <c r="C1330" i="8" a="1"/>
  <c r="C1330" i="8" s="1"/>
  <c r="C1337" i="8" a="1"/>
  <c r="C1337" i="8" s="1"/>
  <c r="C1336" i="8" a="1"/>
  <c r="C1336" i="8" s="1"/>
  <c r="C1341" i="8" a="1"/>
  <c r="C1341" i="8" s="1"/>
  <c r="C1340" i="8" a="1"/>
  <c r="C1340" i="8" s="1"/>
  <c r="C1339" i="8" a="1"/>
  <c r="C1339" i="8" s="1"/>
  <c r="C1342" i="8" a="1"/>
  <c r="C1342" i="8" s="1"/>
  <c r="C1358" i="8" a="1"/>
  <c r="C1358" i="8" s="1"/>
  <c r="C1363" i="8" a="1"/>
  <c r="C1363" i="8" s="1"/>
  <c r="C1387" i="8" a="1"/>
  <c r="C1387" i="8" s="1"/>
  <c r="C1347" i="8" a="1"/>
  <c r="C1347" i="8" s="1"/>
  <c r="C1356" i="8" a="1"/>
  <c r="C1356" i="8" s="1"/>
  <c r="C1364" i="8" a="1"/>
  <c r="C1364" i="8" s="1"/>
  <c r="C1357" i="8" a="1"/>
  <c r="C1357" i="8" s="1"/>
  <c r="C1355" i="8" a="1"/>
  <c r="C1355" i="8" s="1"/>
  <c r="C1366" i="8" a="1"/>
  <c r="C1366" i="8" s="1"/>
  <c r="C1367" i="8" a="1"/>
  <c r="C1367" i="8" s="1"/>
  <c r="C1368" i="8" a="1"/>
  <c r="C1368" i="8" s="1"/>
  <c r="C1369" i="8" a="1"/>
  <c r="C1369" i="8" s="1"/>
  <c r="C1371" i="8" a="1"/>
  <c r="C1371" i="8" s="1"/>
  <c r="C1372" i="8" a="1"/>
  <c r="C1372" i="8" s="1"/>
  <c r="C1373" i="8" a="1"/>
  <c r="C1373" i="8" s="1"/>
  <c r="C1386" i="8" a="1"/>
  <c r="C1386" i="8" s="1"/>
  <c r="C1378" i="8" a="1"/>
  <c r="C1378" i="8" s="1"/>
  <c r="C1385" i="8" a="1"/>
  <c r="C1385" i="8" s="1"/>
  <c r="C1384" i="8" a="1"/>
  <c r="C1384" i="8" s="1"/>
  <c r="C1389" i="8" a="1"/>
  <c r="C1389" i="8" s="1"/>
  <c r="C1377" i="8" a="1"/>
  <c r="C1377" i="8" s="1"/>
  <c r="C1374" i="8" a="1"/>
  <c r="C1374" i="8" s="1"/>
  <c r="C1398" i="8" a="1"/>
  <c r="C1398" i="8" s="1"/>
  <c r="C1391" i="8" a="1"/>
  <c r="C1391" i="8" s="1"/>
  <c r="C1394" i="8" a="1"/>
  <c r="C1394" i="8" s="1"/>
  <c r="C1392" i="8" a="1"/>
  <c r="C1392" i="8" s="1"/>
  <c r="C1388" i="8" a="1"/>
  <c r="C1388" i="8" s="1"/>
  <c r="C1419" i="8" a="1"/>
  <c r="C1419" i="8" s="1"/>
  <c r="C1415" i="8" a="1"/>
  <c r="C1415" i="8" s="1"/>
  <c r="C1443" i="8" a="1"/>
  <c r="C1443" i="8" s="1"/>
  <c r="C1440" i="8" a="1"/>
  <c r="C1440" i="8" s="1"/>
  <c r="C1470" i="8" a="1"/>
  <c r="C1470" i="8" s="1"/>
  <c r="C1464" i="8" a="1"/>
  <c r="C1464" i="8" s="1"/>
  <c r="C1496" i="8" a="1"/>
  <c r="C1496" i="8" s="1"/>
  <c r="C1495" i="8" a="1"/>
  <c r="C1495" i="8" s="1"/>
  <c r="C1396" i="8" a="1"/>
  <c r="C1396" i="8" s="1"/>
  <c r="C1397" i="8" a="1"/>
  <c r="C1397" i="8" s="1"/>
  <c r="C1399" i="8" a="1"/>
  <c r="C1399" i="8" s="1"/>
  <c r="C1401" i="8" a="1"/>
  <c r="C1401" i="8" s="1"/>
  <c r="C1400" i="8" a="1"/>
  <c r="C1400" i="8" s="1"/>
  <c r="C1402" i="8" a="1"/>
  <c r="C1402" i="8" s="1"/>
  <c r="C1403" i="8" a="1"/>
  <c r="C1403" i="8" s="1"/>
  <c r="C1413" i="8" a="1"/>
  <c r="C1413" i="8" s="1"/>
  <c r="C1407" i="8" a="1"/>
  <c r="C1407" i="8" s="1"/>
  <c r="C1426" i="8" a="1"/>
  <c r="C1426" i="8" s="1"/>
  <c r="C1420" i="8" a="1"/>
  <c r="C1420" i="8" s="1"/>
  <c r="C1414" i="8" a="1"/>
  <c r="C1414" i="8" s="1"/>
  <c r="C1417" i="8" a="1"/>
  <c r="C1417" i="8" s="1"/>
  <c r="C1416" i="8" a="1"/>
  <c r="C1416" i="8" s="1"/>
  <c r="C1418" i="8" a="1"/>
  <c r="C1418" i="8" s="1"/>
  <c r="C1436" i="8" a="1"/>
  <c r="C1436" i="8" s="1"/>
  <c r="C1563" i="8" a="1"/>
  <c r="C1563" i="8" s="1"/>
  <c r="C1600" i="8" a="1"/>
  <c r="C1600" i="8" s="1"/>
  <c r="C1629" i="8" a="1"/>
  <c r="C1629" i="8" s="1"/>
  <c r="C1671" i="8" a="1"/>
  <c r="C1671" i="8" s="1"/>
  <c r="C1705" i="8" a="1"/>
  <c r="C1705" i="8" s="1"/>
  <c r="C1749" i="8" a="1"/>
  <c r="C1749" i="8" s="1"/>
  <c r="C1775" i="8" a="1"/>
  <c r="C1775" i="8" s="1"/>
  <c r="C1803" i="8" a="1"/>
  <c r="C1803" i="8" s="1"/>
  <c r="C1836" i="8" a="1"/>
  <c r="C1836" i="8" s="1"/>
  <c r="C1878" i="8" a="1"/>
  <c r="C1878" i="8" s="1"/>
  <c r="C2018" i="8" a="1"/>
  <c r="C2018" i="8" s="1"/>
  <c r="C2033" i="8" a="1"/>
  <c r="C2033" i="8" s="1"/>
  <c r="C2092" i="8" a="1"/>
  <c r="C2092" i="8" s="1"/>
  <c r="C2107" i="8" a="1"/>
  <c r="C2107" i="8" s="1"/>
  <c r="C2143" i="8" a="1"/>
  <c r="C2143" i="8" s="1"/>
  <c r="C2160" i="8" a="1"/>
  <c r="C2160" i="8" s="1"/>
  <c r="C2177" i="8" a="1"/>
  <c r="C2177" i="8" s="1"/>
  <c r="C2189" i="8" a="1"/>
  <c r="C2189" i="8" s="1"/>
  <c r="C2207" i="8" a="1"/>
  <c r="C2207" i="8" s="1"/>
  <c r="C2218" i="8" a="1"/>
  <c r="C2218" i="8" s="1"/>
  <c r="C2229" i="8" a="1"/>
  <c r="C2229" i="8" s="1"/>
  <c r="C2245" i="8" a="1"/>
  <c r="C2245" i="8" s="1"/>
  <c r="C1427" i="8" a="1"/>
  <c r="C1427" i="8" s="1"/>
  <c r="C1458" i="8" a="1"/>
  <c r="C1458" i="8" s="1"/>
  <c r="C1431" i="8" a="1"/>
  <c r="C1431" i="8" s="1"/>
  <c r="C1428" i="8" a="1"/>
  <c r="C1428" i="8" s="1"/>
  <c r="C1422" i="8" a="1"/>
  <c r="C1422" i="8" s="1"/>
  <c r="C1585" i="8" a="1"/>
  <c r="C1585" i="8" s="1"/>
  <c r="C1424" i="8" a="1"/>
  <c r="C1424" i="8" s="1"/>
  <c r="C1423" i="8" a="1"/>
  <c r="C1423" i="8" s="1"/>
  <c r="C1421" i="8" a="1"/>
  <c r="C1421" i="8" s="1"/>
  <c r="C1432" i="8" a="1"/>
  <c r="C1432" i="8" s="1"/>
  <c r="C1429" i="8" a="1"/>
  <c r="C1429" i="8" s="1"/>
  <c r="C1430" i="8" a="1"/>
  <c r="C1430" i="8" s="1"/>
  <c r="C1442" i="8" a="1"/>
  <c r="C1442" i="8" s="1"/>
  <c r="C1435" i="8" a="1"/>
  <c r="C1435" i="8" s="1"/>
  <c r="C1433" i="8" a="1"/>
  <c r="C1433" i="8" s="1"/>
  <c r="C1434" i="8" a="1"/>
  <c r="C1434" i="8" s="1"/>
  <c r="C1493" i="8" a="1"/>
  <c r="C1493" i="8" s="1"/>
  <c r="C1523" i="8" a="1"/>
  <c r="C1523" i="8" s="1"/>
  <c r="C1551" i="8" a="1"/>
  <c r="C1551" i="8" s="1"/>
  <c r="C1582" i="8" a="1"/>
  <c r="C1582" i="8" s="1"/>
  <c r="C1621" i="8" a="1"/>
  <c r="C1621" i="8" s="1"/>
  <c r="C1659" i="8" a="1"/>
  <c r="C1659" i="8" s="1"/>
  <c r="C1694" i="8" a="1"/>
  <c r="C1694" i="8" s="1"/>
  <c r="C1733" i="8" a="1"/>
  <c r="C1733" i="8" s="1"/>
  <c r="C1763" i="8" a="1"/>
  <c r="C1763" i="8" s="1"/>
  <c r="C1796" i="8" a="1"/>
  <c r="C1796" i="8" s="1"/>
  <c r="C1463" i="8" a="1"/>
  <c r="C1463" i="8" s="1"/>
  <c r="C1514" i="8" a="1"/>
  <c r="C1514" i="8" s="1"/>
  <c r="C1533" i="8" a="1"/>
  <c r="C1533" i="8" s="1"/>
  <c r="C1557" i="8" a="1"/>
  <c r="C1557" i="8" s="1"/>
  <c r="C1599" i="8" a="1"/>
  <c r="C1599" i="8" s="1"/>
  <c r="C1437" i="8" a="1"/>
  <c r="C1437" i="8" s="1"/>
  <c r="C1438" i="8" a="1"/>
  <c r="C1438" i="8" s="1"/>
  <c r="C1439" i="8" a="1"/>
  <c r="C1439" i="8" s="1"/>
  <c r="C1441" i="8" a="1"/>
  <c r="C1441" i="8" s="1"/>
  <c r="C1446" i="8" a="1"/>
  <c r="C1446" i="8" s="1"/>
  <c r="C1447" i="8" a="1"/>
  <c r="C1447" i="8" s="1"/>
  <c r="C1459" i="8" a="1"/>
  <c r="C1459" i="8" s="1"/>
  <c r="C1455" i="8" a="1"/>
  <c r="C1455" i="8" s="1"/>
  <c r="C1456" i="8" a="1"/>
  <c r="C1456" i="8" s="1"/>
  <c r="C1457" i="8" a="1"/>
  <c r="C1457" i="8" s="1"/>
  <c r="C1454" i="8" a="1"/>
  <c r="C1454" i="8" s="1"/>
  <c r="C1460" i="8" a="1"/>
  <c r="C1460" i="8" s="1"/>
  <c r="C1475" i="8" a="1"/>
  <c r="C1475" i="8" s="1"/>
  <c r="C1476" i="8" a="1"/>
  <c r="C1476" i="8" s="1"/>
  <c r="C1462" i="8" a="1"/>
  <c r="C1462" i="8" s="1"/>
  <c r="C1461" i="8" a="1"/>
  <c r="C1461" i="8" s="1"/>
  <c r="C1491" i="8" a="1"/>
  <c r="C1491" i="8" s="1"/>
  <c r="C1469" i="8" a="1"/>
  <c r="C1469" i="8" s="1"/>
  <c r="C1466" i="8" a="1"/>
  <c r="C1466" i="8" s="1"/>
  <c r="C1490" i="8" a="1"/>
  <c r="C1490" i="8" s="1"/>
  <c r="C1489" i="8" a="1"/>
  <c r="C1489" i="8" s="1"/>
  <c r="C1471" i="8" a="1"/>
  <c r="C1471" i="8" s="1"/>
  <c r="C1472" i="8" a="1"/>
  <c r="C1472" i="8" s="1"/>
  <c r="C1465" i="8" a="1"/>
  <c r="C1465" i="8" s="1"/>
  <c r="C1468" i="8" a="1"/>
  <c r="C1468" i="8" s="1"/>
  <c r="C1467" i="8" a="1"/>
  <c r="C1467" i="8" s="1"/>
  <c r="C1488" i="8" a="1"/>
  <c r="C1488" i="8" s="1"/>
  <c r="C1485" i="8" a="1"/>
  <c r="C1485" i="8" s="1"/>
  <c r="C1483" i="8" a="1"/>
  <c r="C1483" i="8" s="1"/>
  <c r="C1484" i="8" a="1"/>
  <c r="C1484" i="8" s="1"/>
  <c r="C1482" i="8" a="1"/>
  <c r="C1482" i="8" s="1"/>
  <c r="C1504" i="8" a="1"/>
  <c r="C1504" i="8" s="1"/>
  <c r="C1532" i="8" a="1"/>
  <c r="C1532" i="8" s="1"/>
  <c r="C1492" i="8" a="1"/>
  <c r="C1492" i="8" s="1"/>
  <c r="C1519" i="8" a="1"/>
  <c r="C1519" i="8" s="1"/>
  <c r="C1494" i="8" a="1"/>
  <c r="C1494" i="8" s="1"/>
  <c r="C1505" i="8" a="1"/>
  <c r="C1505" i="8" s="1"/>
  <c r="C1512" i="8" a="1"/>
  <c r="C1512" i="8" s="1"/>
  <c r="C1507" i="8" a="1"/>
  <c r="C1507" i="8" s="1"/>
  <c r="C1511" i="8" a="1"/>
  <c r="C1511" i="8" s="1"/>
  <c r="C1506" i="8" a="1"/>
  <c r="C1506" i="8" s="1"/>
  <c r="C1510" i="8" a="1"/>
  <c r="C1510" i="8" s="1"/>
  <c r="C1509" i="8" a="1"/>
  <c r="C1509" i="8" s="1"/>
  <c r="C1508" i="8" a="1"/>
  <c r="C1508" i="8" s="1"/>
  <c r="C1517" i="8" a="1"/>
  <c r="C1517" i="8" s="1"/>
  <c r="C1555" i="8" a="1"/>
  <c r="C1555" i="8" s="1"/>
  <c r="C1649" i="8" a="1"/>
  <c r="C1649" i="8" s="1"/>
  <c r="C1518" i="8" a="1"/>
  <c r="C1518" i="8" s="1"/>
  <c r="C1516" i="8" a="1"/>
  <c r="C1516" i="8" s="1"/>
  <c r="C1520" i="8" a="1"/>
  <c r="C1520" i="8" s="1"/>
  <c r="C1522" i="8" a="1"/>
  <c r="C1522" i="8" s="1"/>
  <c r="C1521" i="8" a="1"/>
  <c r="C1521" i="8" s="1"/>
  <c r="C1545" i="8" a="1"/>
  <c r="C1545" i="8" s="1"/>
  <c r="C1535" i="8" a="1"/>
  <c r="C1535" i="8" s="1"/>
  <c r="C1534" i="8" a="1"/>
  <c r="C1534" i="8" s="1"/>
  <c r="C1524" i="8" a="1"/>
  <c r="C1524" i="8" s="1"/>
  <c r="C1525" i="8" a="1"/>
  <c r="C1525" i="8" s="1"/>
  <c r="C1527" i="8" a="1"/>
  <c r="C1527" i="8" s="1"/>
  <c r="C1526" i="8" a="1"/>
  <c r="C1526" i="8" s="1"/>
  <c r="C1567" i="8" a="1"/>
  <c r="C1567" i="8" s="1"/>
  <c r="C1565" i="8" a="1"/>
  <c r="C1565" i="8" s="1"/>
  <c r="C1597" i="8" a="1"/>
  <c r="C1597" i="8" s="1"/>
  <c r="C1595" i="8" a="1"/>
  <c r="C1595" i="8" s="1"/>
  <c r="C1636" i="8" a="1"/>
  <c r="C1636" i="8" s="1"/>
  <c r="C1632" i="8" a="1"/>
  <c r="C1632" i="8" s="1"/>
  <c r="C1672" i="8" a="1"/>
  <c r="C1672" i="8" s="1"/>
  <c r="C1666" i="8" a="1"/>
  <c r="C1666" i="8" s="1"/>
  <c r="C1698" i="8" a="1"/>
  <c r="C1698" i="8" s="1"/>
  <c r="C1697" i="8" a="1"/>
  <c r="C1697" i="8" s="1"/>
  <c r="C1528" i="8" a="1"/>
  <c r="C1528" i="8" s="1"/>
  <c r="C1529" i="8" a="1"/>
  <c r="C1529" i="8" s="1"/>
  <c r="C1531" i="8" a="1"/>
  <c r="C1531" i="8" s="1"/>
  <c r="C1530" i="8" a="1"/>
  <c r="C1530" i="8" s="1"/>
  <c r="C1536" i="8" a="1"/>
  <c r="C1536" i="8" s="1"/>
  <c r="C1547" i="8" a="1"/>
  <c r="C1547" i="8" s="1"/>
  <c r="C1538" i="8" a="1"/>
  <c r="C1538" i="8" s="1"/>
  <c r="C1546" i="8" a="1"/>
  <c r="C1546" i="8" s="1"/>
  <c r="C1583" i="8" a="1"/>
  <c r="C1583" i="8" s="1"/>
  <c r="C1550" i="8" a="1"/>
  <c r="C1550" i="8" s="1"/>
  <c r="C1548" i="8" a="1"/>
  <c r="C1548" i="8" s="1"/>
  <c r="C1549" i="8" a="1"/>
  <c r="C1549" i="8" s="1"/>
  <c r="C1553" i="8" a="1"/>
  <c r="C1553" i="8" s="1"/>
  <c r="C1552" i="8" a="1"/>
  <c r="C1552" i="8" s="1"/>
  <c r="C1708" i="8" a="1"/>
  <c r="C1708" i="8" s="1"/>
  <c r="C1709" i="8" a="1"/>
  <c r="C1709" i="8" s="1"/>
  <c r="C1831" i="8" a="1"/>
  <c r="C1831" i="8" s="1"/>
  <c r="C1832" i="8" a="1"/>
  <c r="C1832" i="8" s="1"/>
  <c r="C1559" i="8" a="1"/>
  <c r="C1559" i="8" s="1"/>
  <c r="C1560" i="8" a="1"/>
  <c r="C1560" i="8" s="1"/>
  <c r="C1593" i="8" a="1"/>
  <c r="C1593" i="8" s="1"/>
  <c r="C1594" i="8" a="1"/>
  <c r="C1594" i="8" s="1"/>
  <c r="C1554" i="8" a="1"/>
  <c r="C1554" i="8" s="1"/>
  <c r="C1564" i="8" a="1"/>
  <c r="C1564" i="8" s="1"/>
  <c r="C1556" i="8" a="1"/>
  <c r="C1556" i="8" s="1"/>
  <c r="C1558" i="8" a="1"/>
  <c r="C1558" i="8" s="1"/>
  <c r="C1570" i="8" a="1"/>
  <c r="C1570" i="8" s="1"/>
  <c r="C1566" i="8" a="1"/>
  <c r="C1566" i="8" s="1"/>
  <c r="C1577" i="8" a="1"/>
  <c r="C1577" i="8" s="1"/>
  <c r="C1576" i="8" a="1"/>
  <c r="C1576" i="8" s="1"/>
  <c r="C1579" i="8" a="1"/>
  <c r="C1579" i="8" s="1"/>
  <c r="C1574" i="8" a="1"/>
  <c r="C1574" i="8" s="1"/>
  <c r="C1575" i="8" a="1"/>
  <c r="C1575" i="8" s="1"/>
  <c r="C1578" i="8" a="1"/>
  <c r="C1578" i="8" s="1"/>
  <c r="C1588" i="8" a="1"/>
  <c r="C1588" i="8" s="1"/>
  <c r="C1598" i="8" a="1"/>
  <c r="C1598" i="8" s="1"/>
  <c r="C1620" i="8" a="1"/>
  <c r="C1620" i="8" s="1"/>
  <c r="C1587" i="8" a="1"/>
  <c r="C1587" i="8" s="1"/>
  <c r="C1586" i="8" a="1"/>
  <c r="C1586" i="8" s="1"/>
  <c r="C1596" i="8" a="1"/>
  <c r="C1596" i="8" s="1"/>
  <c r="C1590" i="8" a="1"/>
  <c r="C1590" i="8" s="1"/>
  <c r="C1591" i="8" a="1"/>
  <c r="C1591" i="8" s="1"/>
  <c r="C1589" i="8" a="1"/>
  <c r="C1589" i="8" s="1"/>
  <c r="C1592" i="8" a="1"/>
  <c r="C1592" i="8" s="1"/>
  <c r="C1637" i="8" a="1"/>
  <c r="C1637" i="8" s="1"/>
  <c r="C1605" i="8" a="1"/>
  <c r="C1605" i="8" s="1"/>
  <c r="C1606" i="8" a="1"/>
  <c r="C1606" i="8" s="1"/>
  <c r="C1601" i="8" a="1"/>
  <c r="C1601" i="8" s="1"/>
  <c r="C1604" i="8" a="1"/>
  <c r="C1604" i="8" s="1"/>
  <c r="C1610" i="8" a="1"/>
  <c r="C1610" i="8" s="1"/>
  <c r="C1613" i="8" a="1"/>
  <c r="C1613" i="8" s="1"/>
  <c r="C1616" i="8" a="1"/>
  <c r="C1616" i="8" s="1"/>
  <c r="C1614" i="8" a="1"/>
  <c r="C1614" i="8" s="1"/>
  <c r="C1615" i="8" a="1"/>
  <c r="C1615" i="8" s="1"/>
  <c r="C1619" i="8" a="1"/>
  <c r="C1619" i="8" s="1"/>
  <c r="C1633" i="8" a="1"/>
  <c r="C1633" i="8" s="1"/>
  <c r="C1622" i="8" a="1"/>
  <c r="C1622" i="8" s="1"/>
  <c r="C1623" i="8" a="1"/>
  <c r="C1623" i="8" s="1"/>
  <c r="C1625" i="8" a="1"/>
  <c r="C1625" i="8" s="1"/>
  <c r="C1624" i="8" a="1"/>
  <c r="C1624" i="8" s="1"/>
  <c r="C1631" i="8" a="1"/>
  <c r="C1631" i="8" s="1"/>
  <c r="C1626" i="8" a="1"/>
  <c r="C1626" i="8" s="1"/>
  <c r="C1627" i="8" a="1"/>
  <c r="C1627" i="8" s="1"/>
  <c r="C1658" i="8" a="1"/>
  <c r="C1658" i="8" s="1"/>
  <c r="C1634" i="8" a="1"/>
  <c r="C1634" i="8" s="1"/>
  <c r="C1639" i="8" a="1"/>
  <c r="C1639" i="8" s="1"/>
  <c r="C1657" i="8" a="1"/>
  <c r="C1657" i="8" s="1"/>
  <c r="C1628" i="8" a="1"/>
  <c r="C1628" i="8" s="1"/>
  <c r="C1635" i="8" a="1"/>
  <c r="C1635" i="8" s="1"/>
  <c r="C1630" i="8" a="1"/>
  <c r="C1630" i="8" s="1"/>
  <c r="C1640" i="8" a="1"/>
  <c r="C1640" i="8" s="1"/>
  <c r="C1644" i="8" a="1"/>
  <c r="C1644" i="8" s="1"/>
  <c r="C1642" i="8" a="1"/>
  <c r="C1642" i="8" s="1"/>
  <c r="C1641" i="8" a="1"/>
  <c r="C1641" i="8" s="1"/>
  <c r="C1638" i="8" a="1"/>
  <c r="C1638" i="8" s="1"/>
  <c r="C1669" i="8" a="1"/>
  <c r="C1669" i="8" s="1"/>
  <c r="C1682" i="8" a="1"/>
  <c r="C1682" i="8" s="1"/>
  <c r="F1455" i="8"/>
  <c r="F1456" i="8"/>
  <c r="F1457" i="8"/>
  <c r="F1454" i="8"/>
  <c r="F1460" i="8"/>
  <c r="F1475" i="8"/>
  <c r="F1476" i="8"/>
  <c r="F1462" i="8"/>
  <c r="F1461" i="8"/>
  <c r="F1491" i="8"/>
  <c r="F1469" i="8"/>
  <c r="F1466" i="8"/>
  <c r="F1490" i="8"/>
  <c r="F1489" i="8"/>
  <c r="F1471" i="8"/>
  <c r="F1472" i="8"/>
  <c r="F1465" i="8"/>
  <c r="F1468" i="8"/>
  <c r="F1467" i="8"/>
  <c r="F1488" i="8"/>
  <c r="F1485" i="8"/>
  <c r="F1483" i="8"/>
  <c r="F1484" i="8"/>
  <c r="F1482" i="8"/>
  <c r="F1504" i="8"/>
  <c r="F1532" i="8"/>
  <c r="F1492" i="8"/>
  <c r="F1519" i="8"/>
  <c r="F1494" i="8"/>
  <c r="F1505" i="8"/>
  <c r="F1512" i="8"/>
  <c r="F1507" i="8"/>
  <c r="F1511" i="8"/>
  <c r="F1506" i="8"/>
  <c r="F1510" i="8"/>
  <c r="F1509" i="8"/>
  <c r="F1508" i="8"/>
  <c r="F1517" i="8"/>
  <c r="F1555" i="8"/>
  <c r="F1649" i="8"/>
  <c r="F1518" i="8"/>
  <c r="F1516" i="8"/>
  <c r="F1520" i="8"/>
  <c r="F1522" i="8"/>
  <c r="F1521" i="8"/>
  <c r="F1545" i="8"/>
  <c r="F1535" i="8"/>
  <c r="F1534" i="8"/>
  <c r="F1524" i="8"/>
  <c r="F1525" i="8"/>
  <c r="F1527" i="8"/>
  <c r="F1526" i="8"/>
  <c r="F1567" i="8"/>
  <c r="F1565" i="8"/>
  <c r="F1597" i="8"/>
  <c r="F1595" i="8"/>
  <c r="F1636" i="8"/>
  <c r="F1632" i="8"/>
  <c r="F1672" i="8"/>
  <c r="F1666" i="8"/>
  <c r="F1698" i="8"/>
  <c r="F1697" i="8"/>
  <c r="F1528" i="8"/>
  <c r="F1529" i="8"/>
  <c r="F1531" i="8"/>
  <c r="F1530" i="8"/>
  <c r="F1536" i="8"/>
  <c r="F1547" i="8"/>
  <c r="F1538" i="8"/>
  <c r="F1546" i="8"/>
  <c r="F1583" i="8"/>
  <c r="F1550" i="8"/>
  <c r="F1548" i="8"/>
  <c r="F1549" i="8"/>
  <c r="F1553" i="8"/>
  <c r="F1552" i="8"/>
  <c r="F1708" i="8"/>
  <c r="F1709" i="8"/>
  <c r="F1831" i="8"/>
  <c r="F1832" i="8"/>
  <c r="F1559" i="8"/>
  <c r="F1560" i="8"/>
  <c r="F1593" i="8"/>
  <c r="F1594" i="8"/>
  <c r="F1554" i="8"/>
  <c r="F1564" i="8"/>
  <c r="F1556" i="8"/>
  <c r="F1558" i="8"/>
  <c r="F1570" i="8"/>
  <c r="F1566" i="8"/>
  <c r="F1577" i="8"/>
  <c r="F1576" i="8"/>
  <c r="F1579" i="8"/>
  <c r="F1574" i="8"/>
  <c r="F1575" i="8"/>
  <c r="F1578" i="8"/>
  <c r="F1588" i="8"/>
  <c r="F1598" i="8"/>
  <c r="F1620" i="8"/>
  <c r="F1587" i="8"/>
  <c r="F1586" i="8"/>
  <c r="F1596" i="8"/>
  <c r="F1590" i="8"/>
  <c r="F1591" i="8"/>
  <c r="F1589" i="8"/>
  <c r="F1592" i="8"/>
  <c r="F1637" i="8"/>
  <c r="F1605" i="8"/>
  <c r="F1606" i="8"/>
  <c r="F1601" i="8"/>
  <c r="F1604" i="8"/>
  <c r="F1610" i="8"/>
  <c r="F1613" i="8"/>
  <c r="F1616" i="8"/>
  <c r="F1614" i="8"/>
  <c r="F1615" i="8"/>
  <c r="F1619" i="8"/>
  <c r="F1633" i="8"/>
  <c r="F1622" i="8"/>
  <c r="F1623" i="8"/>
  <c r="F1625" i="8"/>
  <c r="F1624" i="8"/>
  <c r="F1631" i="8"/>
  <c r="F1626" i="8"/>
  <c r="F1627" i="8"/>
  <c r="F1658" i="8"/>
  <c r="F1634" i="8"/>
  <c r="F1639" i="8"/>
  <c r="F1657" i="8"/>
  <c r="F1628" i="8"/>
  <c r="F1635" i="8"/>
  <c r="F1630" i="8"/>
  <c r="F1640" i="8"/>
  <c r="F1644" i="8"/>
  <c r="F1642" i="8"/>
  <c r="F1641" i="8"/>
  <c r="F1638" i="8"/>
  <c r="F1669" i="8"/>
  <c r="F1682" i="8"/>
  <c r="B22" i="13"/>
  <c r="B21" i="13"/>
  <c r="B20" i="13"/>
  <c r="K2" i="21" l="1"/>
  <c r="K3" i="21"/>
  <c r="I2" i="21"/>
  <c r="J2" i="21"/>
  <c r="I3" i="21"/>
  <c r="J3" i="21"/>
  <c r="H556" i="8"/>
  <c r="H549" i="8"/>
  <c r="H554" i="8"/>
  <c r="J40" i="13"/>
  <c r="J470" i="8"/>
  <c r="I470" i="8"/>
  <c r="H470" i="8"/>
  <c r="J466" i="8"/>
  <c r="I466" i="8"/>
  <c r="H466" i="8"/>
  <c r="J465" i="8"/>
  <c r="I465" i="8"/>
  <c r="H465" i="8"/>
  <c r="J467" i="8"/>
  <c r="I467" i="8"/>
  <c r="H467" i="8"/>
  <c r="J468" i="8"/>
  <c r="I468" i="8"/>
  <c r="H468" i="8"/>
  <c r="J460" i="8"/>
  <c r="I460" i="8"/>
  <c r="H460" i="8"/>
  <c r="J462" i="8"/>
  <c r="I462" i="8"/>
  <c r="H462" i="8"/>
  <c r="J461" i="8"/>
  <c r="I461" i="8"/>
  <c r="H461" i="8"/>
  <c r="J463" i="8"/>
  <c r="I463" i="8"/>
  <c r="H463" i="8"/>
  <c r="J464" i="8"/>
  <c r="I464" i="8"/>
  <c r="H464" i="8"/>
  <c r="J459" i="8"/>
  <c r="I459" i="8"/>
  <c r="H459" i="8"/>
  <c r="J458" i="8"/>
  <c r="I458" i="8"/>
  <c r="H458" i="8"/>
  <c r="J456" i="8"/>
  <c r="I456" i="8"/>
  <c r="H456" i="8"/>
  <c r="J457" i="8"/>
  <c r="I457" i="8"/>
  <c r="H457" i="8"/>
  <c r="J455" i="8"/>
  <c r="I455" i="8"/>
  <c r="H455" i="8"/>
  <c r="J451" i="8"/>
  <c r="I451" i="8"/>
  <c r="H451" i="8"/>
  <c r="J453" i="8"/>
  <c r="I453" i="8"/>
  <c r="H453" i="8"/>
  <c r="J452" i="8"/>
  <c r="I452" i="8"/>
  <c r="H452" i="8"/>
  <c r="J454" i="8"/>
  <c r="I454" i="8"/>
  <c r="H454" i="8"/>
  <c r="J447" i="8"/>
  <c r="I447" i="8"/>
  <c r="H447" i="8"/>
  <c r="J445" i="8"/>
  <c r="I445" i="8"/>
  <c r="H445" i="8"/>
  <c r="J444" i="8"/>
  <c r="I444" i="8"/>
  <c r="H444" i="8"/>
  <c r="J446" i="8"/>
  <c r="I446" i="8"/>
  <c r="H446" i="8"/>
  <c r="J450" i="8"/>
  <c r="I450" i="8"/>
  <c r="H450" i="8"/>
  <c r="J449" i="8"/>
  <c r="I449" i="8"/>
  <c r="H449" i="8"/>
  <c r="J448" i="8"/>
  <c r="I448" i="8"/>
  <c r="H448" i="8"/>
  <c r="J443" i="8"/>
  <c r="I443" i="8"/>
  <c r="H443" i="8"/>
  <c r="J441" i="8"/>
  <c r="I441" i="8"/>
  <c r="H441" i="8"/>
  <c r="J439" i="8"/>
  <c r="I439" i="8"/>
  <c r="H439" i="8"/>
  <c r="J440" i="8"/>
  <c r="I440" i="8"/>
  <c r="H440" i="8"/>
  <c r="J442" i="8"/>
  <c r="I442" i="8"/>
  <c r="H442" i="8"/>
  <c r="J437" i="8"/>
  <c r="I437" i="8"/>
  <c r="H437" i="8"/>
  <c r="J438" i="8"/>
  <c r="I438" i="8"/>
  <c r="H438" i="8"/>
  <c r="J436" i="8"/>
  <c r="I436" i="8"/>
  <c r="H436" i="8"/>
  <c r="J435" i="8"/>
  <c r="I435" i="8"/>
  <c r="H435" i="8"/>
  <c r="J431" i="8"/>
  <c r="I431" i="8"/>
  <c r="H431" i="8"/>
  <c r="J432" i="8"/>
  <c r="I432" i="8"/>
  <c r="H432" i="8"/>
  <c r="J434" i="8"/>
  <c r="I434" i="8"/>
  <c r="H434" i="8"/>
  <c r="J433" i="8"/>
  <c r="I433" i="8"/>
  <c r="H433" i="8"/>
  <c r="J425" i="8"/>
  <c r="I425" i="8"/>
  <c r="H425" i="8"/>
  <c r="J426" i="8"/>
  <c r="I426" i="8"/>
  <c r="H426" i="8"/>
  <c r="J427" i="8"/>
  <c r="I427" i="8"/>
  <c r="H427" i="8"/>
  <c r="J428" i="8"/>
  <c r="I428" i="8"/>
  <c r="H428" i="8"/>
  <c r="J429" i="8"/>
  <c r="I429" i="8"/>
  <c r="H429" i="8"/>
  <c r="J430" i="8"/>
  <c r="I430" i="8"/>
  <c r="H430" i="8"/>
  <c r="J424" i="8"/>
  <c r="I424" i="8"/>
  <c r="H424" i="8"/>
  <c r="J419" i="8"/>
  <c r="I419" i="8"/>
  <c r="H419" i="8"/>
  <c r="J423" i="8"/>
  <c r="I423" i="8"/>
  <c r="H423" i="8"/>
  <c r="J422" i="8"/>
  <c r="I422" i="8"/>
  <c r="H422" i="8"/>
  <c r="J421" i="8"/>
  <c r="I421" i="8"/>
  <c r="H421" i="8"/>
  <c r="J420" i="8"/>
  <c r="I420" i="8"/>
  <c r="H420" i="8"/>
  <c r="J417" i="8"/>
  <c r="I417" i="8"/>
  <c r="H417" i="8"/>
  <c r="J418" i="8"/>
  <c r="I418" i="8"/>
  <c r="H418" i="8"/>
  <c r="J416" i="8"/>
  <c r="I416" i="8"/>
  <c r="H416" i="8"/>
  <c r="J411" i="8"/>
  <c r="I411" i="8"/>
  <c r="H411" i="8"/>
  <c r="J415" i="8"/>
  <c r="I415" i="8"/>
  <c r="H415" i="8"/>
  <c r="J412" i="8"/>
  <c r="I412" i="8"/>
  <c r="H412" i="8"/>
  <c r="J413" i="8"/>
  <c r="I413" i="8"/>
  <c r="H413" i="8"/>
  <c r="J414" i="8"/>
  <c r="I414" i="8"/>
  <c r="H414" i="8"/>
  <c r="J410" i="8"/>
  <c r="I410" i="8"/>
  <c r="H410" i="8"/>
  <c r="J409" i="8"/>
  <c r="I409" i="8"/>
  <c r="H409" i="8"/>
  <c r="J408" i="8"/>
  <c r="I408" i="8"/>
  <c r="H408" i="8"/>
  <c r="J407" i="8"/>
  <c r="I407" i="8"/>
  <c r="H407" i="8"/>
  <c r="J406" i="8"/>
  <c r="I406" i="8"/>
  <c r="H406" i="8"/>
  <c r="J404" i="8"/>
  <c r="I404" i="8"/>
  <c r="H404" i="8"/>
  <c r="J405" i="8"/>
  <c r="I405" i="8"/>
  <c r="H405" i="8"/>
  <c r="J403" i="8"/>
  <c r="I403" i="8"/>
  <c r="H403" i="8"/>
  <c r="J397" i="8"/>
  <c r="I397" i="8"/>
  <c r="H397" i="8"/>
  <c r="J401" i="8"/>
  <c r="I401" i="8"/>
  <c r="H401" i="8"/>
  <c r="J399" i="8"/>
  <c r="I399" i="8"/>
  <c r="H399" i="8"/>
  <c r="J396" i="8"/>
  <c r="I396" i="8"/>
  <c r="H396" i="8"/>
  <c r="J394" i="8"/>
  <c r="I394" i="8"/>
  <c r="H394" i="8"/>
  <c r="J395" i="8"/>
  <c r="I395" i="8"/>
  <c r="H395" i="8"/>
  <c r="J402" i="8"/>
  <c r="I402" i="8"/>
  <c r="H402" i="8"/>
  <c r="J400" i="8"/>
  <c r="I400" i="8"/>
  <c r="H400" i="8"/>
  <c r="J398" i="8"/>
  <c r="I398" i="8"/>
  <c r="H398" i="8"/>
  <c r="J391" i="8"/>
  <c r="I391" i="8"/>
  <c r="H391" i="8"/>
  <c r="J393" i="8"/>
  <c r="I393" i="8"/>
  <c r="H393" i="8"/>
  <c r="J389" i="8"/>
  <c r="I389" i="8"/>
  <c r="H389" i="8"/>
  <c r="J392" i="8"/>
  <c r="I392" i="8"/>
  <c r="H392" i="8"/>
  <c r="J390" i="8"/>
  <c r="I390" i="8"/>
  <c r="H390" i="8"/>
  <c r="J386" i="8"/>
  <c r="I386" i="8"/>
  <c r="H386" i="8"/>
  <c r="J387" i="8"/>
  <c r="I387" i="8"/>
  <c r="H387" i="8"/>
  <c r="J388" i="8"/>
  <c r="I388" i="8"/>
  <c r="H388" i="8"/>
  <c r="J382" i="8"/>
  <c r="I382" i="8"/>
  <c r="H382" i="8"/>
  <c r="J383" i="8"/>
  <c r="I383" i="8"/>
  <c r="H383" i="8"/>
  <c r="J384" i="8"/>
  <c r="I384" i="8"/>
  <c r="H384" i="8"/>
  <c r="J385" i="8"/>
  <c r="I385" i="8"/>
  <c r="H385" i="8"/>
  <c r="J381" i="8"/>
  <c r="I381" i="8"/>
  <c r="H381" i="8"/>
  <c r="J380" i="8"/>
  <c r="I380" i="8"/>
  <c r="H380" i="8"/>
  <c r="J379" i="8"/>
  <c r="I379" i="8"/>
  <c r="H379" i="8"/>
  <c r="J377" i="8"/>
  <c r="I377" i="8"/>
  <c r="H377" i="8"/>
  <c r="J378" i="8"/>
  <c r="I378" i="8"/>
  <c r="H378" i="8"/>
  <c r="J374" i="8"/>
  <c r="I374" i="8"/>
  <c r="H374" i="8"/>
  <c r="J373" i="8"/>
  <c r="I373" i="8"/>
  <c r="H373" i="8"/>
  <c r="J375" i="8"/>
  <c r="I375" i="8"/>
  <c r="H375" i="8"/>
  <c r="J376" i="8"/>
  <c r="I376" i="8"/>
  <c r="H376" i="8"/>
  <c r="J369" i="8"/>
  <c r="I369" i="8"/>
  <c r="H369" i="8"/>
  <c r="J368" i="8"/>
  <c r="I368" i="8"/>
  <c r="H368" i="8"/>
  <c r="J372" i="8"/>
  <c r="I372" i="8"/>
  <c r="H372" i="8"/>
  <c r="J365" i="8"/>
  <c r="I365" i="8"/>
  <c r="H365" i="8"/>
  <c r="J370" i="8"/>
  <c r="I370" i="8"/>
  <c r="H370" i="8"/>
  <c r="J366" i="8"/>
  <c r="I366" i="8"/>
  <c r="H366" i="8"/>
  <c r="J371" i="8"/>
  <c r="I371" i="8"/>
  <c r="H371" i="8"/>
  <c r="J363" i="8"/>
  <c r="I363" i="8"/>
  <c r="H363" i="8"/>
  <c r="J362" i="8"/>
  <c r="I362" i="8"/>
  <c r="H362" i="8"/>
  <c r="J364" i="8"/>
  <c r="I364" i="8"/>
  <c r="H364" i="8"/>
  <c r="J367" i="8"/>
  <c r="I367" i="8"/>
  <c r="H367" i="8"/>
  <c r="J358" i="8"/>
  <c r="I358" i="8"/>
  <c r="H358" i="8"/>
  <c r="J361" i="8"/>
  <c r="I361" i="8"/>
  <c r="H361" i="8"/>
  <c r="J359" i="8"/>
  <c r="I359" i="8"/>
  <c r="H359" i="8"/>
  <c r="J360" i="8"/>
  <c r="I360" i="8"/>
  <c r="H360" i="8"/>
  <c r="J354" i="8"/>
  <c r="I354" i="8"/>
  <c r="H354" i="8"/>
  <c r="J357" i="8"/>
  <c r="I357" i="8"/>
  <c r="H357" i="8"/>
  <c r="J355" i="8"/>
  <c r="I355" i="8"/>
  <c r="H355" i="8"/>
  <c r="J356" i="8"/>
  <c r="I356" i="8"/>
  <c r="H356" i="8"/>
  <c r="J352" i="8"/>
  <c r="I352" i="8"/>
  <c r="H352" i="8"/>
  <c r="J353" i="8"/>
  <c r="I353" i="8"/>
  <c r="H353" i="8"/>
  <c r="J350" i="8"/>
  <c r="I350" i="8"/>
  <c r="H350" i="8"/>
  <c r="J349" i="8"/>
  <c r="I349" i="8"/>
  <c r="H349" i="8"/>
  <c r="J351" i="8"/>
  <c r="I351" i="8"/>
  <c r="H351" i="8"/>
  <c r="J348" i="8"/>
  <c r="I348" i="8"/>
  <c r="H348" i="8"/>
  <c r="J347" i="8"/>
  <c r="I347" i="8"/>
  <c r="H347" i="8"/>
  <c r="J345" i="8"/>
  <c r="I345" i="8"/>
  <c r="H345" i="8"/>
  <c r="J344" i="8"/>
  <c r="I344" i="8"/>
  <c r="H344" i="8"/>
  <c r="J341" i="8"/>
  <c r="I341" i="8"/>
  <c r="H341" i="8"/>
  <c r="J342" i="8"/>
  <c r="I342" i="8"/>
  <c r="H342" i="8"/>
  <c r="J343" i="8"/>
  <c r="I343" i="8"/>
  <c r="H343" i="8"/>
  <c r="J346" i="8"/>
  <c r="I346" i="8"/>
  <c r="H346" i="8"/>
  <c r="J338" i="8"/>
  <c r="I338" i="8"/>
  <c r="H338" i="8"/>
  <c r="J336" i="8"/>
  <c r="I336" i="8"/>
  <c r="H336" i="8"/>
  <c r="J337" i="8"/>
  <c r="I337" i="8"/>
  <c r="H337" i="8"/>
  <c r="J335" i="8"/>
  <c r="I335" i="8"/>
  <c r="H335" i="8"/>
  <c r="J340" i="8"/>
  <c r="I340" i="8"/>
  <c r="H340" i="8"/>
  <c r="J339" i="8"/>
  <c r="I339" i="8"/>
  <c r="H339" i="8"/>
  <c r="J333" i="8"/>
  <c r="I333" i="8"/>
  <c r="H333" i="8"/>
  <c r="J334" i="8"/>
  <c r="I334" i="8"/>
  <c r="H334" i="8"/>
  <c r="J331" i="8"/>
  <c r="I331" i="8"/>
  <c r="H331" i="8"/>
  <c r="J332" i="8"/>
  <c r="I332" i="8"/>
  <c r="H332" i="8"/>
  <c r="J325" i="8"/>
  <c r="I325" i="8"/>
  <c r="H325" i="8"/>
  <c r="J327" i="8"/>
  <c r="I327" i="8"/>
  <c r="H327" i="8"/>
  <c r="J328" i="8"/>
  <c r="I328" i="8"/>
  <c r="H328" i="8"/>
  <c r="J329" i="8"/>
  <c r="I329" i="8"/>
  <c r="H329" i="8"/>
  <c r="J324" i="8"/>
  <c r="I324" i="8"/>
  <c r="H324" i="8"/>
  <c r="J326" i="8"/>
  <c r="I326" i="8"/>
  <c r="H326" i="8"/>
  <c r="J330" i="8"/>
  <c r="I330" i="8"/>
  <c r="H330" i="8"/>
  <c r="J323" i="8"/>
  <c r="I323" i="8"/>
  <c r="H323" i="8"/>
  <c r="J322" i="8"/>
  <c r="I322" i="8"/>
  <c r="H322" i="8"/>
  <c r="J319" i="8"/>
  <c r="I319" i="8"/>
  <c r="H319" i="8"/>
  <c r="J320" i="8"/>
  <c r="I320" i="8"/>
  <c r="H320" i="8"/>
  <c r="J321" i="8"/>
  <c r="I321" i="8"/>
  <c r="H321" i="8"/>
  <c r="J318" i="8"/>
  <c r="I318" i="8"/>
  <c r="H318" i="8"/>
  <c r="J317" i="8"/>
  <c r="I317" i="8"/>
  <c r="H317" i="8"/>
  <c r="J316" i="8"/>
  <c r="I316" i="8"/>
  <c r="H316" i="8"/>
  <c r="J314" i="8"/>
  <c r="I314" i="8"/>
  <c r="H314" i="8"/>
  <c r="J315" i="8"/>
  <c r="I315" i="8"/>
  <c r="H315" i="8"/>
  <c r="J312" i="8"/>
  <c r="I312" i="8"/>
  <c r="H312" i="8"/>
  <c r="J310" i="8"/>
  <c r="I310" i="8"/>
  <c r="H310" i="8"/>
  <c r="J309" i="8"/>
  <c r="I309" i="8"/>
  <c r="H309" i="8"/>
  <c r="J311" i="8"/>
  <c r="I311" i="8"/>
  <c r="H311" i="8"/>
  <c r="J313" i="8"/>
  <c r="I313" i="8"/>
  <c r="H313" i="8"/>
  <c r="J308" i="8"/>
  <c r="I308" i="8"/>
  <c r="H308" i="8"/>
  <c r="J304" i="8"/>
  <c r="I304" i="8"/>
  <c r="H304" i="8"/>
  <c r="J305" i="8"/>
  <c r="I305" i="8"/>
  <c r="H305" i="8"/>
  <c r="J307" i="8"/>
  <c r="I307" i="8"/>
  <c r="H307" i="8"/>
  <c r="J306" i="8"/>
  <c r="I306" i="8"/>
  <c r="H306" i="8"/>
  <c r="J302" i="8"/>
  <c r="I302" i="8"/>
  <c r="H302" i="8"/>
  <c r="J299" i="8"/>
  <c r="I299" i="8"/>
  <c r="H299" i="8"/>
  <c r="J297" i="8"/>
  <c r="I297" i="8"/>
  <c r="H297" i="8"/>
  <c r="J296" i="8"/>
  <c r="I296" i="8"/>
  <c r="H296" i="8"/>
  <c r="J301" i="8"/>
  <c r="I301" i="8"/>
  <c r="H301" i="8"/>
  <c r="J298" i="8"/>
  <c r="I298" i="8"/>
  <c r="H298" i="8"/>
  <c r="J300" i="8"/>
  <c r="I300" i="8"/>
  <c r="H300" i="8"/>
  <c r="J303" i="8"/>
  <c r="I303" i="8"/>
  <c r="H303" i="8"/>
  <c r="J295" i="8"/>
  <c r="I295" i="8"/>
  <c r="H295" i="8"/>
  <c r="J293" i="8"/>
  <c r="I293" i="8"/>
  <c r="H293" i="8"/>
  <c r="J294" i="8"/>
  <c r="I294" i="8"/>
  <c r="H294" i="8"/>
  <c r="J291" i="8"/>
  <c r="I291" i="8"/>
  <c r="H291" i="8"/>
  <c r="J292" i="8"/>
  <c r="I292" i="8"/>
  <c r="H292" i="8"/>
  <c r="J288" i="8"/>
  <c r="I288" i="8"/>
  <c r="H288" i="8"/>
  <c r="J289" i="8"/>
  <c r="I289" i="8"/>
  <c r="H289" i="8"/>
  <c r="J290" i="8"/>
  <c r="I290" i="8"/>
  <c r="H290" i="8"/>
  <c r="J283" i="8"/>
  <c r="I283" i="8"/>
  <c r="H283" i="8"/>
  <c r="J282" i="8"/>
  <c r="I282" i="8"/>
  <c r="H282" i="8"/>
  <c r="J286" i="8"/>
  <c r="I286" i="8"/>
  <c r="H286" i="8"/>
  <c r="J284" i="8"/>
  <c r="I284" i="8"/>
  <c r="H284" i="8"/>
  <c r="J287" i="8"/>
  <c r="I287" i="8"/>
  <c r="H287" i="8"/>
  <c r="J285" i="8"/>
  <c r="I285" i="8"/>
  <c r="H285" i="8"/>
  <c r="J279" i="8"/>
  <c r="I279" i="8"/>
  <c r="H279" i="8"/>
  <c r="J277" i="8"/>
  <c r="I277" i="8"/>
  <c r="H277" i="8"/>
  <c r="J280" i="8"/>
  <c r="I280" i="8"/>
  <c r="H280" i="8"/>
  <c r="J278" i="8"/>
  <c r="I278" i="8"/>
  <c r="H278" i="8"/>
  <c r="J281" i="8"/>
  <c r="I281" i="8"/>
  <c r="H281" i="8"/>
  <c r="J274" i="8"/>
  <c r="I274" i="8"/>
  <c r="H274" i="8"/>
  <c r="J273" i="8"/>
  <c r="I273" i="8"/>
  <c r="H273" i="8"/>
  <c r="J272" i="8"/>
  <c r="I272" i="8"/>
  <c r="H272" i="8"/>
  <c r="J276" i="8"/>
  <c r="I276" i="8"/>
  <c r="H276" i="8"/>
  <c r="J275" i="8"/>
  <c r="I275" i="8"/>
  <c r="H275" i="8"/>
  <c r="J269" i="8"/>
  <c r="I269" i="8"/>
  <c r="H269" i="8"/>
  <c r="J270" i="8"/>
  <c r="I270" i="8"/>
  <c r="H270" i="8"/>
  <c r="J271" i="8"/>
  <c r="I271" i="8"/>
  <c r="H271" i="8"/>
  <c r="J267" i="8"/>
  <c r="I267" i="8"/>
  <c r="H267" i="8"/>
  <c r="J268" i="8"/>
  <c r="I268" i="8"/>
  <c r="H268" i="8"/>
  <c r="J265" i="8"/>
  <c r="I265" i="8"/>
  <c r="H265" i="8"/>
  <c r="J263" i="8"/>
  <c r="I263" i="8"/>
  <c r="H263" i="8"/>
  <c r="J266" i="8"/>
  <c r="I266" i="8"/>
  <c r="H266" i="8"/>
  <c r="J264" i="8"/>
  <c r="I264" i="8"/>
  <c r="H264" i="8"/>
  <c r="J262" i="8"/>
  <c r="I262" i="8"/>
  <c r="H262" i="8"/>
  <c r="J261" i="8"/>
  <c r="I261" i="8"/>
  <c r="H261" i="8"/>
  <c r="J257" i="8"/>
  <c r="I257" i="8"/>
  <c r="H257" i="8"/>
  <c r="J260" i="8"/>
  <c r="I260" i="8"/>
  <c r="H260" i="8"/>
  <c r="J259" i="8"/>
  <c r="I259" i="8"/>
  <c r="H259" i="8"/>
  <c r="J258" i="8"/>
  <c r="I258" i="8"/>
  <c r="H258" i="8"/>
  <c r="J256" i="8"/>
  <c r="I256" i="8"/>
  <c r="H256" i="8"/>
  <c r="J254" i="8"/>
  <c r="I254" i="8"/>
  <c r="H254" i="8"/>
  <c r="J255" i="8"/>
  <c r="I255" i="8"/>
  <c r="H255" i="8"/>
  <c r="J252" i="8"/>
  <c r="I252" i="8"/>
  <c r="H252" i="8"/>
  <c r="J253" i="8"/>
  <c r="I253" i="8"/>
  <c r="H253" i="8"/>
  <c r="J251" i="8"/>
  <c r="I251" i="8"/>
  <c r="H251" i="8"/>
  <c r="J244" i="8"/>
  <c r="I244" i="8"/>
  <c r="H244" i="8"/>
  <c r="J249" i="8"/>
  <c r="I249" i="8"/>
  <c r="H249" i="8"/>
  <c r="J250" i="8"/>
  <c r="I250" i="8"/>
  <c r="H250" i="8"/>
  <c r="J248" i="8"/>
  <c r="I248" i="8"/>
  <c r="H248" i="8"/>
  <c r="J241" i="8"/>
  <c r="I241" i="8"/>
  <c r="H241" i="8"/>
  <c r="J247" i="8"/>
  <c r="I247" i="8"/>
  <c r="H247" i="8"/>
  <c r="J243" i="8"/>
  <c r="I243" i="8"/>
  <c r="H243" i="8"/>
  <c r="J242" i="8"/>
  <c r="I242" i="8"/>
  <c r="H242" i="8"/>
  <c r="J246" i="8"/>
  <c r="I246" i="8"/>
  <c r="H246" i="8"/>
  <c r="J245" i="8"/>
  <c r="I245" i="8"/>
  <c r="H245" i="8"/>
  <c r="J237" i="8"/>
  <c r="I237" i="8"/>
  <c r="H237" i="8"/>
  <c r="J239" i="8"/>
  <c r="I239" i="8"/>
  <c r="H239" i="8"/>
  <c r="J232" i="8"/>
  <c r="I232" i="8"/>
  <c r="H232" i="8"/>
  <c r="J236" i="8"/>
  <c r="I236" i="8"/>
  <c r="H236" i="8"/>
  <c r="J231" i="8"/>
  <c r="I231" i="8"/>
  <c r="H231" i="8"/>
  <c r="J233" i="8"/>
  <c r="I233" i="8"/>
  <c r="H233" i="8"/>
  <c r="J234" i="8"/>
  <c r="I234" i="8"/>
  <c r="H234" i="8"/>
  <c r="J238" i="8"/>
  <c r="I238" i="8"/>
  <c r="H238" i="8"/>
  <c r="J235" i="8"/>
  <c r="I235" i="8"/>
  <c r="H235" i="8"/>
  <c r="J240" i="8"/>
  <c r="I240" i="8"/>
  <c r="H240" i="8"/>
  <c r="J230" i="8"/>
  <c r="I230" i="8"/>
  <c r="H230" i="8"/>
  <c r="J228" i="8"/>
  <c r="I228" i="8"/>
  <c r="H228" i="8"/>
  <c r="J229" i="8"/>
  <c r="I229" i="8"/>
  <c r="H229" i="8"/>
  <c r="J224" i="8"/>
  <c r="I224" i="8"/>
  <c r="H224" i="8"/>
  <c r="J227" i="8"/>
  <c r="I227" i="8"/>
  <c r="H227" i="8"/>
  <c r="J223" i="8"/>
  <c r="I223" i="8"/>
  <c r="H223" i="8"/>
  <c r="J226" i="8"/>
  <c r="I226" i="8"/>
  <c r="H226" i="8"/>
  <c r="J225" i="8"/>
  <c r="I225" i="8"/>
  <c r="H225" i="8"/>
  <c r="J222" i="8"/>
  <c r="I222" i="8"/>
  <c r="H222" i="8"/>
  <c r="J220" i="8"/>
  <c r="I220" i="8"/>
  <c r="H220" i="8"/>
  <c r="J219" i="8"/>
  <c r="I219" i="8"/>
  <c r="H219" i="8"/>
  <c r="J221" i="8"/>
  <c r="I221" i="8"/>
  <c r="H221" i="8"/>
  <c r="J218" i="8"/>
  <c r="I218" i="8"/>
  <c r="H218" i="8"/>
  <c r="J217" i="8"/>
  <c r="I217" i="8"/>
  <c r="H217" i="8"/>
  <c r="J216" i="8"/>
  <c r="I216" i="8"/>
  <c r="H216" i="8"/>
  <c r="J214" i="8"/>
  <c r="I214" i="8"/>
  <c r="H214" i="8"/>
  <c r="J215" i="8"/>
  <c r="I215" i="8"/>
  <c r="H215" i="8"/>
  <c r="J207" i="8"/>
  <c r="I207" i="8"/>
  <c r="H207" i="8"/>
  <c r="J210" i="8"/>
  <c r="I210" i="8"/>
  <c r="H210" i="8"/>
  <c r="J212" i="8"/>
  <c r="I212" i="8"/>
  <c r="H212" i="8"/>
  <c r="J203" i="8"/>
  <c r="I203" i="8"/>
  <c r="H203" i="8"/>
  <c r="J209" i="8"/>
  <c r="I209" i="8"/>
  <c r="H209" i="8"/>
  <c r="J205" i="8"/>
  <c r="I205" i="8"/>
  <c r="H205" i="8"/>
  <c r="J208" i="8"/>
  <c r="I208" i="8"/>
  <c r="H208" i="8"/>
  <c r="J211" i="8"/>
  <c r="I211" i="8"/>
  <c r="H211" i="8"/>
  <c r="J204" i="8"/>
  <c r="I204" i="8"/>
  <c r="H204" i="8"/>
  <c r="J213" i="8"/>
  <c r="I213" i="8"/>
  <c r="H213" i="8"/>
  <c r="J206" i="8"/>
  <c r="I206" i="8"/>
  <c r="H206" i="8"/>
  <c r="J202" i="8"/>
  <c r="I202" i="8"/>
  <c r="H202" i="8"/>
  <c r="J201" i="8"/>
  <c r="I201" i="8"/>
  <c r="H201" i="8"/>
  <c r="J196" i="8"/>
  <c r="I196" i="8"/>
  <c r="H196" i="8"/>
  <c r="J200" i="8"/>
  <c r="I200" i="8"/>
  <c r="H200" i="8"/>
  <c r="J194" i="8"/>
  <c r="I194" i="8"/>
  <c r="H194" i="8"/>
  <c r="J198" i="8"/>
  <c r="I198" i="8"/>
  <c r="H198" i="8"/>
  <c r="J197" i="8"/>
  <c r="I197" i="8"/>
  <c r="H197" i="8"/>
  <c r="J199" i="8"/>
  <c r="I199" i="8"/>
  <c r="H199" i="8"/>
  <c r="J195" i="8"/>
  <c r="I195" i="8"/>
  <c r="H195" i="8"/>
  <c r="J191" i="8"/>
  <c r="I191" i="8"/>
  <c r="H191" i="8"/>
  <c r="J192" i="8"/>
  <c r="I192" i="8"/>
  <c r="H192" i="8"/>
  <c r="J190" i="8"/>
  <c r="I190" i="8"/>
  <c r="H190" i="8"/>
  <c r="J193" i="8"/>
  <c r="I193" i="8"/>
  <c r="H193" i="8"/>
  <c r="J189" i="8"/>
  <c r="I189" i="8"/>
  <c r="H189" i="8"/>
  <c r="J185" i="8"/>
  <c r="I185" i="8"/>
  <c r="H185" i="8"/>
  <c r="J186" i="8"/>
  <c r="I186" i="8"/>
  <c r="H186" i="8"/>
  <c r="J188" i="8"/>
  <c r="I188" i="8"/>
  <c r="H188" i="8"/>
  <c r="J187" i="8"/>
  <c r="I187" i="8"/>
  <c r="H187" i="8"/>
  <c r="J183" i="8"/>
  <c r="I183" i="8"/>
  <c r="H183" i="8"/>
  <c r="J184" i="8"/>
  <c r="I184" i="8"/>
  <c r="H184" i="8"/>
  <c r="J181" i="8"/>
  <c r="I181" i="8"/>
  <c r="H181" i="8"/>
  <c r="J180" i="8"/>
  <c r="I180" i="8"/>
  <c r="H180" i="8"/>
  <c r="J182" i="8"/>
  <c r="I182" i="8"/>
  <c r="H182" i="8"/>
  <c r="J179" i="8"/>
  <c r="I179" i="8"/>
  <c r="H179" i="8"/>
  <c r="J171" i="8"/>
  <c r="I171" i="8"/>
  <c r="H171" i="8"/>
  <c r="J176" i="8"/>
  <c r="I176" i="8"/>
  <c r="H176" i="8"/>
  <c r="J177" i="8"/>
  <c r="I177" i="8"/>
  <c r="H177" i="8"/>
  <c r="J172" i="8"/>
  <c r="I172" i="8"/>
  <c r="H172" i="8"/>
  <c r="J174" i="8"/>
  <c r="I174" i="8"/>
  <c r="H174" i="8"/>
  <c r="J178" i="8"/>
  <c r="I178" i="8"/>
  <c r="H178" i="8"/>
  <c r="J173" i="8"/>
  <c r="I173" i="8"/>
  <c r="H173" i="8"/>
  <c r="J175" i="8"/>
  <c r="I175" i="8"/>
  <c r="H175" i="8"/>
  <c r="J170" i="8"/>
  <c r="I170" i="8"/>
  <c r="H170" i="8"/>
  <c r="J167" i="8"/>
  <c r="I167" i="8"/>
  <c r="H167" i="8"/>
  <c r="J166" i="8"/>
  <c r="I166" i="8"/>
  <c r="H166" i="8"/>
  <c r="J168" i="8"/>
  <c r="I168" i="8"/>
  <c r="H168" i="8"/>
  <c r="J169" i="8"/>
  <c r="I169" i="8"/>
  <c r="H169" i="8"/>
  <c r="J165" i="8"/>
  <c r="I165" i="8"/>
  <c r="H165" i="8"/>
  <c r="J163" i="8"/>
  <c r="I163" i="8"/>
  <c r="H163" i="8"/>
  <c r="J161" i="8"/>
  <c r="I161" i="8"/>
  <c r="H161" i="8"/>
  <c r="J164" i="8"/>
  <c r="I164" i="8"/>
  <c r="H164" i="8"/>
  <c r="J162" i="8"/>
  <c r="I162" i="8"/>
  <c r="H162" i="8"/>
  <c r="J160" i="8"/>
  <c r="I160" i="8"/>
  <c r="H160" i="8"/>
  <c r="J159" i="8"/>
  <c r="I159" i="8"/>
  <c r="H159" i="8"/>
  <c r="J158" i="8"/>
  <c r="I158" i="8"/>
  <c r="H158" i="8"/>
  <c r="J157" i="8"/>
  <c r="I157" i="8"/>
  <c r="H157" i="8"/>
  <c r="J155" i="8"/>
  <c r="I155" i="8"/>
  <c r="H155" i="8"/>
  <c r="J156" i="8"/>
  <c r="I156" i="8"/>
  <c r="H156" i="8"/>
  <c r="J154" i="8"/>
  <c r="I154" i="8"/>
  <c r="H154" i="8"/>
  <c r="J153" i="8"/>
  <c r="I153" i="8"/>
  <c r="H153" i="8"/>
  <c r="J152" i="8"/>
  <c r="I152" i="8"/>
  <c r="H152" i="8"/>
  <c r="J144" i="8"/>
  <c r="I144" i="8"/>
  <c r="H144" i="8"/>
  <c r="J148" i="8"/>
  <c r="I148" i="8"/>
  <c r="H148" i="8"/>
  <c r="J145" i="8"/>
  <c r="I145" i="8"/>
  <c r="H145" i="8"/>
  <c r="J146" i="8"/>
  <c r="I146" i="8"/>
  <c r="H146" i="8"/>
  <c r="J147" i="8"/>
  <c r="I147" i="8"/>
  <c r="H147" i="8"/>
  <c r="J151" i="8"/>
  <c r="I151" i="8"/>
  <c r="H151" i="8"/>
  <c r="J149" i="8"/>
  <c r="I149" i="8"/>
  <c r="H149" i="8"/>
  <c r="J150" i="8"/>
  <c r="I150" i="8"/>
  <c r="H150" i="8"/>
  <c r="J139" i="8"/>
  <c r="I139" i="8"/>
  <c r="H139" i="8"/>
  <c r="J142" i="8"/>
  <c r="I142" i="8"/>
  <c r="H142" i="8"/>
  <c r="J140" i="8"/>
  <c r="I140" i="8"/>
  <c r="H140" i="8"/>
  <c r="J141" i="8"/>
  <c r="I141" i="8"/>
  <c r="H141" i="8"/>
  <c r="J143" i="8"/>
  <c r="I143" i="8"/>
  <c r="H143" i="8"/>
  <c r="J133" i="8"/>
  <c r="I133" i="8"/>
  <c r="H133" i="8"/>
  <c r="J136" i="8"/>
  <c r="I136" i="8"/>
  <c r="H136" i="8"/>
  <c r="J138" i="8"/>
  <c r="I138" i="8"/>
  <c r="H138" i="8"/>
  <c r="J137" i="8"/>
  <c r="I137" i="8"/>
  <c r="H137" i="8"/>
  <c r="J132" i="8"/>
  <c r="I132" i="8"/>
  <c r="H132" i="8"/>
  <c r="J135" i="8"/>
  <c r="I135" i="8"/>
  <c r="H135" i="8"/>
  <c r="J134" i="8"/>
  <c r="I134" i="8"/>
  <c r="H134" i="8"/>
  <c r="J129" i="8"/>
  <c r="I129" i="8"/>
  <c r="H129" i="8"/>
  <c r="J131" i="8"/>
  <c r="I131" i="8"/>
  <c r="H131" i="8"/>
  <c r="J130" i="8"/>
  <c r="I130" i="8"/>
  <c r="H130" i="8"/>
  <c r="J127" i="8"/>
  <c r="I127" i="8"/>
  <c r="H127" i="8"/>
  <c r="J128" i="8"/>
  <c r="I128" i="8"/>
  <c r="H128" i="8"/>
  <c r="J126" i="8"/>
  <c r="I126" i="8"/>
  <c r="H126" i="8"/>
  <c r="J125" i="8"/>
  <c r="I125" i="8"/>
  <c r="H125" i="8"/>
  <c r="J124" i="8"/>
  <c r="I124" i="8"/>
  <c r="H124" i="8"/>
  <c r="J119" i="8"/>
  <c r="I119" i="8"/>
  <c r="H119" i="8"/>
  <c r="J120" i="8"/>
  <c r="I120" i="8"/>
  <c r="H120" i="8"/>
  <c r="J122" i="8"/>
  <c r="I122" i="8"/>
  <c r="H122" i="8"/>
  <c r="J117" i="8"/>
  <c r="I117" i="8"/>
  <c r="H117" i="8"/>
  <c r="J114" i="8"/>
  <c r="I114" i="8"/>
  <c r="H114" i="8"/>
  <c r="J116" i="8"/>
  <c r="I116" i="8"/>
  <c r="H116" i="8"/>
  <c r="J123" i="8"/>
  <c r="I123" i="8"/>
  <c r="H123" i="8"/>
  <c r="J121" i="8"/>
  <c r="I121" i="8"/>
  <c r="H121" i="8"/>
  <c r="J118" i="8"/>
  <c r="I118" i="8"/>
  <c r="H118" i="8"/>
  <c r="J115" i="8"/>
  <c r="I115" i="8"/>
  <c r="H115" i="8"/>
  <c r="J110" i="8"/>
  <c r="I110" i="8"/>
  <c r="H110" i="8"/>
  <c r="J109" i="8"/>
  <c r="I109" i="8"/>
  <c r="H109" i="8"/>
  <c r="J112" i="8"/>
  <c r="I112" i="8"/>
  <c r="H112" i="8"/>
  <c r="J107" i="8"/>
  <c r="I107" i="8"/>
  <c r="H107" i="8"/>
  <c r="J108" i="8"/>
  <c r="I108" i="8"/>
  <c r="H108" i="8"/>
  <c r="J113" i="8"/>
  <c r="I113" i="8"/>
  <c r="H113" i="8"/>
  <c r="J111" i="8"/>
  <c r="I111" i="8"/>
  <c r="H111" i="8"/>
  <c r="J104" i="8"/>
  <c r="I104" i="8"/>
  <c r="H104" i="8"/>
  <c r="J103" i="8"/>
  <c r="I103" i="8"/>
  <c r="H103" i="8"/>
  <c r="J105" i="8"/>
  <c r="I105" i="8"/>
  <c r="H105" i="8"/>
  <c r="J102" i="8"/>
  <c r="I102" i="8"/>
  <c r="H102" i="8"/>
  <c r="J101" i="8"/>
  <c r="I101" i="8"/>
  <c r="H101" i="8"/>
  <c r="J106" i="8"/>
  <c r="I106" i="8"/>
  <c r="H106" i="8"/>
  <c r="J100" i="8"/>
  <c r="I100" i="8"/>
  <c r="H100" i="8"/>
  <c r="J99" i="8"/>
  <c r="I99" i="8"/>
  <c r="H99" i="8"/>
  <c r="J97" i="8"/>
  <c r="I97" i="8"/>
  <c r="H97" i="8"/>
  <c r="J98" i="8"/>
  <c r="I98" i="8"/>
  <c r="H98" i="8"/>
  <c r="J94" i="8"/>
  <c r="I94" i="8"/>
  <c r="H94" i="8"/>
  <c r="J96" i="8"/>
  <c r="I96" i="8"/>
  <c r="H96" i="8"/>
  <c r="J93" i="8"/>
  <c r="I93" i="8"/>
  <c r="H93" i="8"/>
  <c r="J95" i="8"/>
  <c r="I95" i="8"/>
  <c r="H95" i="8"/>
  <c r="J92" i="8"/>
  <c r="I92" i="8"/>
  <c r="H92" i="8"/>
  <c r="J91" i="8"/>
  <c r="I91" i="8"/>
  <c r="H91" i="8"/>
  <c r="J84" i="8"/>
  <c r="I84" i="8"/>
  <c r="H84" i="8"/>
  <c r="J87" i="8"/>
  <c r="I87" i="8"/>
  <c r="H87" i="8"/>
  <c r="J90" i="8"/>
  <c r="I90" i="8"/>
  <c r="H90" i="8"/>
  <c r="J89" i="8"/>
  <c r="I89" i="8"/>
  <c r="H89" i="8"/>
  <c r="J86" i="8"/>
  <c r="I86" i="8"/>
  <c r="H86" i="8"/>
  <c r="J85" i="8"/>
  <c r="I85" i="8"/>
  <c r="H85" i="8"/>
  <c r="J88" i="8"/>
  <c r="I88" i="8"/>
  <c r="H88" i="8"/>
  <c r="J70" i="8"/>
  <c r="I70" i="8"/>
  <c r="H70" i="8"/>
  <c r="J79" i="8"/>
  <c r="I79" i="8"/>
  <c r="H79" i="8"/>
  <c r="J75" i="8"/>
  <c r="I75" i="8"/>
  <c r="H75" i="8"/>
  <c r="J74" i="8"/>
  <c r="I74" i="8"/>
  <c r="H74" i="8"/>
  <c r="J83" i="8"/>
  <c r="I83" i="8"/>
  <c r="H83" i="8"/>
  <c r="J81" i="8"/>
  <c r="I81" i="8"/>
  <c r="H81" i="8"/>
  <c r="J78" i="8"/>
  <c r="I78" i="8"/>
  <c r="H78" i="8"/>
  <c r="J77" i="8"/>
  <c r="I77" i="8"/>
  <c r="H77" i="8"/>
  <c r="J82" i="8"/>
  <c r="I82" i="8"/>
  <c r="H82" i="8"/>
  <c r="J73" i="8"/>
  <c r="I73" i="8"/>
  <c r="H73" i="8"/>
  <c r="J80" i="8"/>
  <c r="I80" i="8"/>
  <c r="H80" i="8"/>
  <c r="J76" i="8"/>
  <c r="I76" i="8"/>
  <c r="H76" i="8"/>
  <c r="J71" i="8"/>
  <c r="I71" i="8"/>
  <c r="H71" i="8"/>
  <c r="J72" i="8"/>
  <c r="I72" i="8"/>
  <c r="H72" i="8"/>
  <c r="J68" i="8"/>
  <c r="I68" i="8"/>
  <c r="H68" i="8"/>
  <c r="J67" i="8"/>
  <c r="I67" i="8"/>
  <c r="H67" i="8"/>
  <c r="J66" i="8"/>
  <c r="I66" i="8"/>
  <c r="H66" i="8"/>
  <c r="J65" i="8"/>
  <c r="I65" i="8"/>
  <c r="H65" i="8"/>
  <c r="J64" i="8"/>
  <c r="I64" i="8"/>
  <c r="H64" i="8"/>
  <c r="J69" i="8"/>
  <c r="I69" i="8"/>
  <c r="H69" i="8"/>
  <c r="J60" i="8"/>
  <c r="I60" i="8"/>
  <c r="H60" i="8"/>
  <c r="J63" i="8"/>
  <c r="I63" i="8"/>
  <c r="H63" i="8"/>
  <c r="J62" i="8"/>
  <c r="I62" i="8"/>
  <c r="H62" i="8"/>
  <c r="J61" i="8"/>
  <c r="I61" i="8"/>
  <c r="H61" i="8"/>
  <c r="J59" i="8"/>
  <c r="I59" i="8"/>
  <c r="H59" i="8"/>
  <c r="J57" i="8"/>
  <c r="I57" i="8"/>
  <c r="H57" i="8"/>
  <c r="J58" i="8"/>
  <c r="I58" i="8"/>
  <c r="H58" i="8"/>
  <c r="J55" i="8"/>
  <c r="I55" i="8"/>
  <c r="H55" i="8"/>
  <c r="J56" i="8"/>
  <c r="I56" i="8"/>
  <c r="H56" i="8"/>
  <c r="J51" i="8"/>
  <c r="I51" i="8"/>
  <c r="H51" i="8"/>
  <c r="J52" i="8"/>
  <c r="I52" i="8"/>
  <c r="H52" i="8"/>
  <c r="J53" i="8"/>
  <c r="I53" i="8"/>
  <c r="H53" i="8"/>
  <c r="J54" i="8"/>
  <c r="I54" i="8"/>
  <c r="H54" i="8"/>
  <c r="J46" i="8"/>
  <c r="I46" i="8"/>
  <c r="H46" i="8"/>
  <c r="J47" i="8"/>
  <c r="I47" i="8"/>
  <c r="H47" i="8"/>
  <c r="J44" i="8"/>
  <c r="I44" i="8"/>
  <c r="H44" i="8"/>
  <c r="J48" i="8"/>
  <c r="I48" i="8"/>
  <c r="H48" i="8"/>
  <c r="J49" i="8"/>
  <c r="I49" i="8"/>
  <c r="H49" i="8"/>
  <c r="J45" i="8"/>
  <c r="I45" i="8"/>
  <c r="H45" i="8"/>
  <c r="J42" i="8"/>
  <c r="I42" i="8"/>
  <c r="H42" i="8"/>
  <c r="J43" i="8"/>
  <c r="I43" i="8"/>
  <c r="H43" i="8"/>
  <c r="J50" i="8"/>
  <c r="I50" i="8"/>
  <c r="H50" i="8"/>
  <c r="J34" i="8"/>
  <c r="I34" i="8"/>
  <c r="H34" i="8"/>
  <c r="J38" i="8"/>
  <c r="I38" i="8"/>
  <c r="H38" i="8"/>
  <c r="J39" i="8"/>
  <c r="I39" i="8"/>
  <c r="H39" i="8"/>
  <c r="J41" i="8"/>
  <c r="I41" i="8"/>
  <c r="H41" i="8"/>
  <c r="J35" i="8"/>
  <c r="I35" i="8"/>
  <c r="H35" i="8"/>
  <c r="J36" i="8"/>
  <c r="I36" i="8"/>
  <c r="H36" i="8"/>
  <c r="J37" i="8"/>
  <c r="I37" i="8"/>
  <c r="H37" i="8"/>
  <c r="J40" i="8"/>
  <c r="I40" i="8"/>
  <c r="H40" i="8"/>
  <c r="J33" i="8"/>
  <c r="I33" i="8"/>
  <c r="H33" i="8"/>
  <c r="J32" i="8"/>
  <c r="I32" i="8"/>
  <c r="H32" i="8"/>
  <c r="J30" i="8"/>
  <c r="I30" i="8"/>
  <c r="H30" i="8"/>
  <c r="J29" i="8"/>
  <c r="I29" i="8"/>
  <c r="H29" i="8"/>
  <c r="J31" i="8"/>
  <c r="I31" i="8"/>
  <c r="H31" i="8"/>
  <c r="J28" i="8"/>
  <c r="I28" i="8"/>
  <c r="H28" i="8"/>
  <c r="J22" i="8"/>
  <c r="I22" i="8"/>
  <c r="H22" i="8"/>
  <c r="J20" i="8"/>
  <c r="I20" i="8"/>
  <c r="H20" i="8"/>
  <c r="J27" i="8"/>
  <c r="I27" i="8"/>
  <c r="H27" i="8"/>
  <c r="J23" i="8"/>
  <c r="I23" i="8"/>
  <c r="H23" i="8"/>
  <c r="J24" i="8"/>
  <c r="I24" i="8"/>
  <c r="H24" i="8"/>
  <c r="J25" i="8"/>
  <c r="I25" i="8"/>
  <c r="H25" i="8"/>
  <c r="J26" i="8"/>
  <c r="I26" i="8"/>
  <c r="H26" i="8"/>
  <c r="J21" i="8"/>
  <c r="I21" i="8"/>
  <c r="H21" i="8"/>
  <c r="J19" i="8"/>
  <c r="I19" i="8"/>
  <c r="H19" i="8"/>
  <c r="J18" i="8"/>
  <c r="I18" i="8"/>
  <c r="H18" i="8"/>
  <c r="J16" i="8"/>
  <c r="I16" i="8"/>
  <c r="H16" i="8"/>
  <c r="J15" i="8"/>
  <c r="I15" i="8"/>
  <c r="H15" i="8"/>
  <c r="J13" i="8"/>
  <c r="I13" i="8"/>
  <c r="H13" i="8"/>
  <c r="J14" i="8"/>
  <c r="I14" i="8"/>
  <c r="H14" i="8"/>
  <c r="J17" i="8"/>
  <c r="I17" i="8"/>
  <c r="H17" i="8"/>
  <c r="J12" i="8"/>
  <c r="I12" i="8"/>
  <c r="H12" i="8"/>
  <c r="J11" i="8"/>
  <c r="I11" i="8"/>
  <c r="H11" i="8"/>
  <c r="J10" i="8"/>
  <c r="I10" i="8"/>
  <c r="H10" i="8"/>
  <c r="J9" i="8"/>
  <c r="I9" i="8"/>
  <c r="H9" i="8"/>
  <c r="J6" i="8"/>
  <c r="I6" i="8"/>
  <c r="H6" i="8"/>
  <c r="J7" i="8"/>
  <c r="I7" i="8"/>
  <c r="H7" i="8"/>
  <c r="J8" i="8"/>
  <c r="I8" i="8"/>
  <c r="H8" i="8"/>
  <c r="J5" i="8"/>
  <c r="I5" i="8"/>
  <c r="H5" i="8"/>
  <c r="J4" i="8"/>
  <c r="I4" i="8"/>
  <c r="H4" i="8"/>
  <c r="J3" i="8"/>
  <c r="I3" i="8"/>
  <c r="H3" i="8"/>
  <c r="J2" i="8"/>
  <c r="I2" i="8"/>
  <c r="H2" i="8"/>
  <c r="S52" i="13"/>
  <c r="J39" i="13"/>
  <c r="J42" i="13"/>
  <c r="J41" i="13"/>
  <c r="S49" i="13"/>
  <c r="S50" i="13"/>
  <c r="S51" i="13"/>
  <c r="I2365" i="8"/>
  <c r="H525" i="8"/>
  <c r="H474" i="8"/>
  <c r="J476" i="8"/>
  <c r="I537" i="8"/>
  <c r="J501" i="8"/>
  <c r="J477" i="8"/>
  <c r="J525" i="8"/>
  <c r="J1780" i="8"/>
  <c r="I501" i="8"/>
  <c r="H540" i="8"/>
  <c r="H481" i="8"/>
  <c r="J520" i="8"/>
  <c r="J474" i="8"/>
  <c r="I490" i="8"/>
  <c r="H530" i="8"/>
  <c r="H1780" i="8"/>
  <c r="J490" i="8"/>
  <c r="J1383" i="8"/>
  <c r="I484" i="8"/>
  <c r="H520" i="8"/>
  <c r="H1383" i="8"/>
  <c r="J537" i="8"/>
  <c r="I540" i="8"/>
  <c r="I481" i="8"/>
  <c r="J484" i="8"/>
  <c r="I530" i="8"/>
  <c r="J503" i="8"/>
  <c r="I1848" i="8"/>
  <c r="J1573" i="8"/>
  <c r="J532" i="8"/>
  <c r="J493" i="8"/>
  <c r="I542" i="8"/>
  <c r="I493" i="8"/>
  <c r="J523" i="8"/>
  <c r="H491" i="8"/>
  <c r="H522" i="8"/>
  <c r="J511" i="8"/>
  <c r="J1874" i="8"/>
  <c r="I485" i="8"/>
  <c r="J485" i="8"/>
  <c r="I509" i="8"/>
  <c r="H1609" i="8"/>
  <c r="J1481" i="8"/>
  <c r="J515" i="8"/>
  <c r="J486" i="8"/>
  <c r="J499" i="8"/>
  <c r="J480" i="8"/>
  <c r="I1573" i="8"/>
  <c r="J514" i="8"/>
  <c r="J542" i="8"/>
  <c r="J1452" i="8"/>
  <c r="I1452" i="8"/>
  <c r="I511" i="8"/>
  <c r="I478" i="8"/>
  <c r="J504" i="8"/>
  <c r="J1848" i="8"/>
  <c r="J469" i="8"/>
  <c r="I499" i="8"/>
  <c r="I480" i="8"/>
  <c r="I469" i="8"/>
  <c r="I539" i="8"/>
  <c r="H1874" i="8"/>
  <c r="I472" i="8"/>
  <c r="I522" i="8"/>
  <c r="I1481" i="8"/>
  <c r="J519" i="8"/>
  <c r="J494" i="8"/>
  <c r="J487" i="8"/>
  <c r="J1740" i="8"/>
  <c r="I491" i="8"/>
  <c r="H516" i="8"/>
  <c r="J528" i="8"/>
  <c r="J509" i="8"/>
  <c r="J478" i="8"/>
  <c r="J1654" i="8"/>
  <c r="J1352" i="8"/>
  <c r="I515" i="8"/>
  <c r="H482" i="8"/>
  <c r="J1609" i="8"/>
  <c r="J1166" i="8"/>
  <c r="I1166" i="8"/>
  <c r="I672" i="8"/>
  <c r="J534" i="8"/>
  <c r="J473" i="8"/>
  <c r="I531" i="8"/>
  <c r="J527" i="8"/>
  <c r="I1677" i="8"/>
  <c r="H539" i="8"/>
  <c r="H505" i="8"/>
  <c r="J544" i="8"/>
  <c r="I516" i="8"/>
  <c r="I495" i="8"/>
  <c r="J482" i="8"/>
  <c r="J472" i="8"/>
  <c r="I544" i="8"/>
  <c r="I497" i="8"/>
  <c r="H497" i="8"/>
  <c r="H1654" i="8"/>
  <c r="I483" i="8"/>
  <c r="I1899" i="8"/>
  <c r="J483" i="8"/>
  <c r="I536" i="8"/>
  <c r="H492" i="8"/>
  <c r="J586" i="8"/>
  <c r="H536" i="8"/>
  <c r="J1899" i="8"/>
  <c r="J1231" i="8"/>
  <c r="I586" i="8"/>
  <c r="I492" i="8"/>
  <c r="H531" i="8"/>
  <c r="J521" i="8"/>
  <c r="I527" i="8"/>
  <c r="I1231" i="8"/>
  <c r="I528" i="8"/>
  <c r="J1677" i="8"/>
  <c r="I504" i="8"/>
  <c r="H473" i="8"/>
  <c r="I543" i="8"/>
  <c r="H551" i="8"/>
  <c r="J533" i="8"/>
  <c r="J517" i="8"/>
  <c r="I514" i="8"/>
  <c r="J526" i="8"/>
  <c r="H517" i="8"/>
  <c r="H512" i="8"/>
  <c r="J1721" i="8"/>
  <c r="J535" i="8"/>
  <c r="J1959" i="8"/>
  <c r="I535" i="8"/>
  <c r="I502" i="8"/>
  <c r="I1959" i="8"/>
  <c r="H502" i="8"/>
  <c r="J546" i="8"/>
  <c r="J512" i="8"/>
  <c r="J1935" i="8"/>
  <c r="I546" i="8"/>
  <c r="I498" i="8"/>
  <c r="I1935" i="8"/>
  <c r="H526" i="8"/>
  <c r="H498" i="8"/>
  <c r="H1721" i="8"/>
  <c r="J552" i="8"/>
  <c r="J489" i="8"/>
  <c r="J505" i="8"/>
  <c r="I552" i="8"/>
  <c r="I523" i="8"/>
  <c r="I506" i="8"/>
  <c r="I1322" i="8"/>
  <c r="H489" i="8"/>
  <c r="J551" i="8"/>
  <c r="J496" i="8"/>
  <c r="J488" i="8"/>
  <c r="I510" i="8"/>
  <c r="I1289" i="8"/>
  <c r="H506" i="8"/>
  <c r="H488" i="8"/>
  <c r="H1322" i="8"/>
  <c r="J495" i="8"/>
  <c r="I532" i="8"/>
  <c r="I518" i="8"/>
  <c r="I475" i="8"/>
  <c r="H510" i="8"/>
  <c r="H1289" i="8"/>
  <c r="J543" i="8"/>
  <c r="H496" i="8"/>
  <c r="J518" i="8"/>
  <c r="J475" i="8"/>
  <c r="H538" i="8"/>
  <c r="H529" i="8"/>
  <c r="H524" i="8"/>
  <c r="H513" i="8"/>
  <c r="H507" i="8"/>
  <c r="H500" i="8"/>
  <c r="H541" i="8"/>
  <c r="H508" i="8"/>
  <c r="H479" i="8"/>
  <c r="H1809" i="8"/>
  <c r="H1503" i="8"/>
  <c r="H1412" i="8"/>
  <c r="H471" i="8"/>
  <c r="J630" i="8"/>
  <c r="I538" i="8"/>
  <c r="I529" i="8"/>
  <c r="I524" i="8"/>
  <c r="I513" i="8"/>
  <c r="I507" i="8"/>
  <c r="I500" i="8"/>
  <c r="I541" i="8"/>
  <c r="I508" i="8"/>
  <c r="I479" i="8"/>
  <c r="I1809" i="8"/>
  <c r="I1503" i="8"/>
  <c r="I1412" i="8"/>
  <c r="I471" i="8"/>
  <c r="H534" i="8"/>
  <c r="H533" i="8"/>
  <c r="H521" i="8"/>
  <c r="H519" i="8"/>
  <c r="H503" i="8"/>
  <c r="H494" i="8"/>
  <c r="H486" i="8"/>
  <c r="H487" i="8"/>
  <c r="H477" i="8"/>
  <c r="H1740" i="8"/>
  <c r="H476" i="8"/>
  <c r="H1352" i="8"/>
  <c r="I571" i="8"/>
  <c r="I734" i="8"/>
  <c r="J624" i="8"/>
  <c r="I1246" i="8"/>
  <c r="H1001" i="8"/>
  <c r="H847" i="8"/>
  <c r="J871" i="8"/>
  <c r="I1175" i="8"/>
  <c r="J570" i="8"/>
  <c r="H642" i="8"/>
  <c r="I967" i="8"/>
  <c r="H714" i="8"/>
  <c r="J866" i="8"/>
  <c r="J663" i="8"/>
  <c r="I797" i="8"/>
  <c r="J755" i="8"/>
  <c r="I1143" i="8"/>
  <c r="H904" i="8"/>
  <c r="H691" i="8"/>
  <c r="J999" i="8"/>
  <c r="I948" i="8"/>
  <c r="I620" i="8"/>
  <c r="J948" i="8"/>
  <c r="J590" i="8"/>
  <c r="I866" i="8"/>
  <c r="H749" i="8"/>
  <c r="J645" i="8"/>
  <c r="I785" i="8"/>
  <c r="J1618" i="8"/>
  <c r="H1425" i="8"/>
  <c r="J821" i="8"/>
  <c r="J785" i="8"/>
  <c r="H610" i="8"/>
  <c r="J766" i="8"/>
  <c r="J593" i="8"/>
  <c r="I977" i="8"/>
  <c r="I814" i="8"/>
  <c r="H784" i="8"/>
  <c r="H577" i="8"/>
  <c r="J814" i="8"/>
  <c r="I868" i="8"/>
  <c r="I665" i="8"/>
  <c r="H718" i="8"/>
  <c r="J1513" i="8"/>
  <c r="J974" i="8"/>
  <c r="J724" i="8"/>
  <c r="I837" i="8"/>
  <c r="I668" i="8"/>
  <c r="J718" i="8"/>
  <c r="J604" i="8"/>
  <c r="I784" i="8"/>
  <c r="I815" i="8"/>
  <c r="H977" i="8"/>
  <c r="H678" i="8"/>
  <c r="J868" i="8"/>
  <c r="J592" i="8"/>
  <c r="I1133" i="8"/>
  <c r="I753" i="8"/>
  <c r="I782" i="8"/>
  <c r="H861" i="8"/>
  <c r="H639" i="8"/>
  <c r="J1246" i="8"/>
  <c r="J1083" i="8"/>
  <c r="J775" i="8"/>
  <c r="J702" i="8"/>
  <c r="J660" i="8"/>
  <c r="J748" i="8"/>
  <c r="I1083" i="8"/>
  <c r="I985" i="8"/>
  <c r="I775" i="8"/>
  <c r="I726" i="8"/>
  <c r="I648" i="8"/>
  <c r="I554" i="8"/>
  <c r="H1133" i="8"/>
  <c r="H1018" i="8"/>
  <c r="H843" i="8"/>
  <c r="H759" i="8"/>
  <c r="H650" i="8"/>
  <c r="H583" i="8"/>
  <c r="J1022" i="8"/>
  <c r="J981" i="8"/>
  <c r="J861" i="8"/>
  <c r="J700" i="8"/>
  <c r="J648" i="8"/>
  <c r="J682" i="8"/>
  <c r="I1022" i="8"/>
  <c r="I1025" i="8"/>
  <c r="I1018" i="8"/>
  <c r="I612" i="8"/>
  <c r="H1453" i="8"/>
  <c r="H922" i="8"/>
  <c r="H832" i="8"/>
  <c r="H752" i="8"/>
  <c r="H624" i="8"/>
  <c r="H585" i="8"/>
  <c r="I882" i="8"/>
  <c r="H772" i="8"/>
  <c r="J957" i="8"/>
  <c r="J843" i="8"/>
  <c r="J692" i="8"/>
  <c r="I1002" i="8"/>
  <c r="I981" i="8"/>
  <c r="I957" i="8"/>
  <c r="I736" i="8"/>
  <c r="I639" i="8"/>
  <c r="I602" i="8"/>
  <c r="H897" i="8"/>
  <c r="H817" i="8"/>
  <c r="H595" i="8"/>
  <c r="J985" i="8"/>
  <c r="I777" i="8"/>
  <c r="I719" i="8"/>
  <c r="H702" i="8"/>
  <c r="J612" i="8"/>
  <c r="I832" i="8"/>
  <c r="J1334" i="8"/>
  <c r="J970" i="8"/>
  <c r="J930" i="8"/>
  <c r="J817" i="8"/>
  <c r="J752" i="8"/>
  <c r="J691" i="8"/>
  <c r="J650" i="8"/>
  <c r="J595" i="8"/>
  <c r="I999" i="8"/>
  <c r="I1370" i="8"/>
  <c r="I930" i="8"/>
  <c r="I759" i="8"/>
  <c r="I904" i="8"/>
  <c r="I599" i="8"/>
  <c r="H1002" i="8"/>
  <c r="H984" i="8"/>
  <c r="H888" i="8"/>
  <c r="H860" i="8"/>
  <c r="H741" i="8"/>
  <c r="H669" i="8"/>
  <c r="H682" i="8"/>
  <c r="H665" i="8"/>
  <c r="J1291" i="8"/>
  <c r="J888" i="8"/>
  <c r="J860" i="8"/>
  <c r="J679" i="8"/>
  <c r="J636" i="8"/>
  <c r="I1001" i="8"/>
  <c r="I804" i="8"/>
  <c r="I755" i="8"/>
  <c r="I700" i="8"/>
  <c r="I635" i="8"/>
  <c r="I574" i="8"/>
  <c r="H1334" i="8"/>
  <c r="H970" i="8"/>
  <c r="H895" i="8"/>
  <c r="H821" i="8"/>
  <c r="H744" i="8"/>
  <c r="H660" i="8"/>
  <c r="H562" i="8"/>
  <c r="J777" i="8"/>
  <c r="J736" i="8"/>
  <c r="I1453" i="8"/>
  <c r="H602" i="8"/>
  <c r="J881" i="8"/>
  <c r="J792" i="8"/>
  <c r="J719" i="8"/>
  <c r="J669" i="8"/>
  <c r="J562" i="8"/>
  <c r="I1513" i="8"/>
  <c r="I960" i="8"/>
  <c r="I895" i="8"/>
  <c r="I796" i="8"/>
  <c r="I679" i="8"/>
  <c r="I561" i="8"/>
  <c r="H1194" i="8"/>
  <c r="H960" i="8"/>
  <c r="H882" i="8"/>
  <c r="H791" i="8"/>
  <c r="H653" i="8"/>
  <c r="H611" i="8"/>
  <c r="J916" i="8"/>
  <c r="J847" i="8"/>
  <c r="H898" i="8"/>
  <c r="H704" i="8"/>
  <c r="J1515" i="8"/>
  <c r="J701" i="8"/>
  <c r="I877" i="8"/>
  <c r="J647" i="8"/>
  <c r="J747" i="8"/>
  <c r="I791" i="8"/>
  <c r="H659" i="8"/>
  <c r="J1009" i="8"/>
  <c r="H912" i="8"/>
  <c r="H808" i="8"/>
  <c r="J1757" i="8"/>
  <c r="J1032" i="8"/>
  <c r="J1040" i="8"/>
  <c r="J923" i="8"/>
  <c r="J730" i="8"/>
  <c r="J659" i="8"/>
  <c r="J782" i="8"/>
  <c r="I1241" i="8"/>
  <c r="I1515" i="8"/>
  <c r="I969" i="8"/>
  <c r="I1009" i="8"/>
  <c r="I844" i="8"/>
  <c r="I786" i="8"/>
  <c r="I653" i="8"/>
  <c r="I591" i="8"/>
  <c r="H1486" i="8"/>
  <c r="H969" i="8"/>
  <c r="H877" i="8"/>
  <c r="H822" i="8"/>
  <c r="H730" i="8"/>
  <c r="H686" i="8"/>
  <c r="H668" i="8"/>
  <c r="H587" i="8"/>
  <c r="H568" i="8"/>
  <c r="J1241" i="8"/>
  <c r="J1025" i="8"/>
  <c r="J1370" i="8"/>
  <c r="J851" i="8"/>
  <c r="J824" i="8"/>
  <c r="J725" i="8"/>
  <c r="J635" i="8"/>
  <c r="J561" i="8"/>
  <c r="I932" i="8"/>
  <c r="I725" i="8"/>
  <c r="I676" i="8"/>
  <c r="I615" i="8"/>
  <c r="I560" i="8"/>
  <c r="H955" i="8"/>
  <c r="H854" i="8"/>
  <c r="H923" i="8"/>
  <c r="H781" i="8"/>
  <c r="H764" i="8"/>
  <c r="H710" i="8"/>
  <c r="H672" i="8"/>
  <c r="H641" i="8"/>
  <c r="H581" i="8"/>
  <c r="J1251" i="8"/>
  <c r="J805" i="8"/>
  <c r="J797" i="8"/>
  <c r="J678" i="8"/>
  <c r="J568" i="8"/>
  <c r="I1643" i="8"/>
  <c r="I1262" i="8"/>
  <c r="I975" i="8"/>
  <c r="I852" i="8"/>
  <c r="I799" i="8"/>
  <c r="I905" i="8"/>
  <c r="H950" i="8"/>
  <c r="H826" i="8"/>
  <c r="H768" i="8"/>
  <c r="J1035" i="8"/>
  <c r="J1209" i="8"/>
  <c r="J959" i="8"/>
  <c r="J912" i="8"/>
  <c r="J737" i="8"/>
  <c r="J618" i="8"/>
  <c r="J611" i="8"/>
  <c r="J587" i="8"/>
  <c r="I1618" i="8"/>
  <c r="I942" i="8"/>
  <c r="I764" i="8"/>
  <c r="H876" i="8"/>
  <c r="H803" i="8"/>
  <c r="H766" i="8"/>
  <c r="H737" i="8"/>
  <c r="H621" i="8"/>
  <c r="J1262" i="8"/>
  <c r="J984" i="8"/>
  <c r="J813" i="8"/>
  <c r="J768" i="8"/>
  <c r="J734" i="8"/>
  <c r="J704" i="8"/>
  <c r="J815" i="8"/>
  <c r="J610" i="8"/>
  <c r="J583" i="8"/>
  <c r="I1081" i="8"/>
  <c r="I1012" i="8"/>
  <c r="I848" i="8"/>
  <c r="I792" i="8"/>
  <c r="I772" i="8"/>
  <c r="I741" i="8"/>
  <c r="I701" i="8"/>
  <c r="I618" i="8"/>
  <c r="I592" i="8"/>
  <c r="I559" i="8"/>
  <c r="H968" i="8"/>
  <c r="H875" i="8"/>
  <c r="H833" i="8"/>
  <c r="H796" i="8"/>
  <c r="H753" i="8"/>
  <c r="H692" i="8"/>
  <c r="H626" i="8"/>
  <c r="H599" i="8"/>
  <c r="H620" i="8"/>
  <c r="J1175" i="8"/>
  <c r="J809" i="8"/>
  <c r="J905" i="8"/>
  <c r="J686" i="8"/>
  <c r="J666" i="8"/>
  <c r="J644" i="8"/>
  <c r="I990" i="8"/>
  <c r="I908" i="8"/>
  <c r="I876" i="8"/>
  <c r="I859" i="8"/>
  <c r="I809" i="8"/>
  <c r="I673" i="8"/>
  <c r="I636" i="8"/>
  <c r="I609" i="8"/>
  <c r="H1021" i="8"/>
  <c r="H1193" i="8"/>
  <c r="H1054" i="8"/>
  <c r="H926" i="8"/>
  <c r="H892" i="8"/>
  <c r="H940" i="8"/>
  <c r="H779" i="8"/>
  <c r="H657" i="8"/>
  <c r="J1143" i="8"/>
  <c r="J1011" i="8"/>
  <c r="J1081" i="8"/>
  <c r="J952" i="8"/>
  <c r="J908" i="8"/>
  <c r="J875" i="8"/>
  <c r="J840" i="8"/>
  <c r="J841" i="8"/>
  <c r="J942" i="8"/>
  <c r="J711" i="8"/>
  <c r="J941" i="8"/>
  <c r="J557" i="8"/>
  <c r="I1011" i="8"/>
  <c r="I959" i="8"/>
  <c r="I902" i="8"/>
  <c r="I854" i="8"/>
  <c r="I841" i="8"/>
  <c r="I742" i="8"/>
  <c r="I711" i="8"/>
  <c r="I644" i="8"/>
  <c r="I654" i="8"/>
  <c r="I575" i="8"/>
  <c r="H1251" i="8"/>
  <c r="H944" i="8"/>
  <c r="H929" i="8"/>
  <c r="H891" i="8"/>
  <c r="H780" i="8"/>
  <c r="H726" i="8"/>
  <c r="H575" i="8"/>
  <c r="J919" i="8"/>
  <c r="J995" i="8"/>
  <c r="J1053" i="8"/>
  <c r="J973" i="8"/>
  <c r="J968" i="8"/>
  <c r="J1183" i="8"/>
  <c r="J955" i="8"/>
  <c r="J902" i="8"/>
  <c r="J889" i="8"/>
  <c r="J859" i="8"/>
  <c r="J844" i="8"/>
  <c r="J820" i="8"/>
  <c r="J771" i="8"/>
  <c r="J733" i="8"/>
  <c r="J728" i="8"/>
  <c r="J564" i="8"/>
  <c r="J559" i="8"/>
  <c r="I1021" i="8"/>
  <c r="I919" i="8"/>
  <c r="I973" i="8"/>
  <c r="I952" i="8"/>
  <c r="I892" i="8"/>
  <c r="I835" i="8"/>
  <c r="I826" i="8"/>
  <c r="I771" i="8"/>
  <c r="I756" i="8"/>
  <c r="I744" i="8"/>
  <c r="I728" i="8"/>
  <c r="I645" i="8"/>
  <c r="I655" i="8"/>
  <c r="I576" i="8"/>
  <c r="H1788" i="8"/>
  <c r="H979" i="8"/>
  <c r="H943" i="8"/>
  <c r="H818" i="8"/>
  <c r="H798" i="8"/>
  <c r="H742" i="8"/>
  <c r="H941" i="8"/>
  <c r="H676" i="8"/>
  <c r="H609" i="8"/>
  <c r="H576" i="8"/>
  <c r="J1298" i="8"/>
  <c r="J979" i="8"/>
  <c r="J1157" i="8"/>
  <c r="J926" i="8"/>
  <c r="J835" i="8"/>
  <c r="J786" i="8"/>
  <c r="J795" i="8"/>
  <c r="J751" i="8"/>
  <c r="J642" i="8"/>
  <c r="J622" i="8"/>
  <c r="J585" i="8"/>
  <c r="I1027" i="8"/>
  <c r="I1298" i="8"/>
  <c r="I1486" i="8"/>
  <c r="I1404" i="8"/>
  <c r="I1033" i="8"/>
  <c r="I1183" i="8"/>
  <c r="I833" i="8"/>
  <c r="I803" i="8"/>
  <c r="I795" i="8"/>
  <c r="I698" i="8"/>
  <c r="I622" i="8"/>
  <c r="I593" i="8"/>
  <c r="I556" i="8"/>
  <c r="H1757" i="8"/>
  <c r="H995" i="8"/>
  <c r="H1053" i="8"/>
  <c r="H913" i="8"/>
  <c r="H906" i="8"/>
  <c r="H871" i="8"/>
  <c r="H840" i="8"/>
  <c r="H813" i="8"/>
  <c r="H756" i="8"/>
  <c r="H557" i="8"/>
  <c r="J1027" i="8"/>
  <c r="J1395" i="8"/>
  <c r="J965" i="8"/>
  <c r="J929" i="8"/>
  <c r="J891" i="8"/>
  <c r="J779" i="8"/>
  <c r="J749" i="8"/>
  <c r="J673" i="8"/>
  <c r="J657" i="8"/>
  <c r="J641" i="8"/>
  <c r="J626" i="8"/>
  <c r="J654" i="8"/>
  <c r="J581" i="8"/>
  <c r="I1425" i="8"/>
  <c r="I1395" i="8"/>
  <c r="I1032" i="8"/>
  <c r="I1157" i="8"/>
  <c r="I906" i="8"/>
  <c r="I870" i="8"/>
  <c r="I733" i="8"/>
  <c r="I695" i="8"/>
  <c r="I590" i="8"/>
  <c r="I549" i="8"/>
  <c r="H994" i="8"/>
  <c r="H1033" i="8"/>
  <c r="H920" i="8"/>
  <c r="H881" i="8"/>
  <c r="H698" i="8"/>
  <c r="H564" i="8"/>
  <c r="J944" i="8"/>
  <c r="J913" i="8"/>
  <c r="J870" i="8"/>
  <c r="J940" i="8"/>
  <c r="J780" i="8"/>
  <c r="J708" i="8"/>
  <c r="J655" i="8"/>
  <c r="J621" i="8"/>
  <c r="I1788" i="8"/>
  <c r="I1015" i="8"/>
  <c r="I818" i="8"/>
  <c r="I765" i="8"/>
  <c r="I751" i="8"/>
  <c r="I708" i="8"/>
  <c r="H991" i="8"/>
  <c r="H1404" i="8"/>
  <c r="H990" i="8"/>
  <c r="H820" i="8"/>
  <c r="H695" i="8"/>
  <c r="H666" i="8"/>
  <c r="J1015" i="8"/>
  <c r="J1393" i="8"/>
  <c r="J1054" i="8"/>
  <c r="J958" i="8"/>
  <c r="J943" i="8"/>
  <c r="J920" i="8"/>
  <c r="J873" i="8"/>
  <c r="J938" i="8"/>
  <c r="J798" i="8"/>
  <c r="J765" i="8"/>
  <c r="J710" i="8"/>
  <c r="I958" i="8"/>
  <c r="H907" i="8"/>
  <c r="J828" i="8"/>
  <c r="J739" i="8"/>
  <c r="I856" i="8"/>
  <c r="H705" i="8"/>
  <c r="H748" i="8"/>
  <c r="J637" i="8"/>
  <c r="H652" i="8"/>
  <c r="J949" i="8"/>
  <c r="J746" i="8"/>
  <c r="J1645" i="8"/>
  <c r="J1194" i="8"/>
  <c r="J1016" i="8"/>
  <c r="J934" i="8"/>
  <c r="J898" i="8"/>
  <c r="J914" i="8"/>
  <c r="J852" i="8"/>
  <c r="J837" i="8"/>
  <c r="J808" i="8"/>
  <c r="J799" i="8"/>
  <c r="J781" i="8"/>
  <c r="I1047" i="8"/>
  <c r="I1035" i="8"/>
  <c r="I1291" i="8"/>
  <c r="I862" i="8"/>
  <c r="I778" i="8"/>
  <c r="I770" i="8"/>
  <c r="I717" i="8"/>
  <c r="I687" i="8"/>
  <c r="I604" i="8"/>
  <c r="H1645" i="8"/>
  <c r="H1012" i="8"/>
  <c r="H916" i="8"/>
  <c r="H804" i="8"/>
  <c r="H591" i="8"/>
  <c r="J1643" i="8"/>
  <c r="J1193" i="8"/>
  <c r="J922" i="8"/>
  <c r="J897" i="8"/>
  <c r="J848" i="8"/>
  <c r="J619" i="8"/>
  <c r="J574" i="8"/>
  <c r="J560" i="8"/>
  <c r="J577" i="8"/>
  <c r="I1016" i="8"/>
  <c r="I945" i="8"/>
  <c r="I822" i="8"/>
  <c r="I805" i="8"/>
  <c r="I630" i="8"/>
  <c r="H851" i="8"/>
  <c r="H615" i="8"/>
  <c r="I2076" i="8"/>
  <c r="H2076" i="8"/>
  <c r="I1014" i="8"/>
  <c r="H1014" i="8"/>
  <c r="J1014" i="8"/>
  <c r="I1361" i="8"/>
  <c r="J1361" i="8"/>
  <c r="H750" i="8"/>
  <c r="I750" i="8"/>
  <c r="J750" i="8"/>
  <c r="I1010" i="8"/>
  <c r="H1010" i="8"/>
  <c r="I996" i="8"/>
  <c r="H996" i="8"/>
  <c r="I894" i="8"/>
  <c r="H894" i="8"/>
  <c r="I872" i="8"/>
  <c r="J872" i="8"/>
  <c r="I829" i="8"/>
  <c r="J829" i="8"/>
  <c r="I842" i="8"/>
  <c r="H842" i="8"/>
  <c r="I802" i="8"/>
  <c r="J802" i="8"/>
  <c r="I884" i="8"/>
  <c r="J884" i="8"/>
  <c r="I774" i="8"/>
  <c r="H774" i="8"/>
  <c r="I767" i="8"/>
  <c r="J767" i="8"/>
  <c r="I762" i="8"/>
  <c r="H762" i="8"/>
  <c r="I827" i="8"/>
  <c r="H827" i="8"/>
  <c r="I729" i="8"/>
  <c r="H729" i="8"/>
  <c r="I715" i="8"/>
  <c r="H715" i="8"/>
  <c r="I846" i="8"/>
  <c r="H846" i="8"/>
  <c r="I689" i="8"/>
  <c r="H689" i="8"/>
  <c r="I716" i="8"/>
  <c r="H716" i="8"/>
  <c r="I664" i="8"/>
  <c r="J664" i="8"/>
  <c r="H664" i="8"/>
  <c r="I634" i="8"/>
  <c r="H634" i="8"/>
  <c r="I628" i="8"/>
  <c r="J628" i="8"/>
  <c r="H628" i="8"/>
  <c r="I608" i="8"/>
  <c r="H608" i="8"/>
  <c r="I600" i="8"/>
  <c r="H600" i="8"/>
  <c r="I580" i="8"/>
  <c r="J580" i="8"/>
  <c r="I572" i="8"/>
  <c r="H572" i="8"/>
  <c r="I623" i="8"/>
  <c r="H623" i="8"/>
  <c r="I606" i="8"/>
  <c r="J606" i="8"/>
  <c r="I558" i="8"/>
  <c r="J558" i="8"/>
  <c r="I548" i="8"/>
  <c r="H548" i="8"/>
  <c r="I1617" i="8"/>
  <c r="H1617" i="8"/>
  <c r="H903" i="8"/>
  <c r="J903" i="8"/>
  <c r="J838" i="8"/>
  <c r="H838" i="8"/>
  <c r="I763" i="8"/>
  <c r="H763" i="8"/>
  <c r="H573" i="8"/>
  <c r="I573" i="8"/>
  <c r="H555" i="8"/>
  <c r="I555" i="8"/>
  <c r="J555" i="8"/>
  <c r="J745" i="8"/>
  <c r="H693" i="8"/>
  <c r="H747" i="8"/>
  <c r="H563" i="8"/>
  <c r="J1617" i="8"/>
  <c r="J865" i="8"/>
  <c r="J810" i="8"/>
  <c r="J720" i="8"/>
  <c r="I720" i="8"/>
  <c r="I651" i="8"/>
  <c r="H1295" i="8"/>
  <c r="H921" i="8"/>
  <c r="H856" i="8"/>
  <c r="H793" i="8"/>
  <c r="I1084" i="8"/>
  <c r="H1084" i="8"/>
  <c r="J1084" i="8"/>
  <c r="J1122" i="8"/>
  <c r="J945" i="8"/>
  <c r="J935" i="8"/>
  <c r="J763" i="8"/>
  <c r="I801" i="8"/>
  <c r="I789" i="8"/>
  <c r="I582" i="8"/>
  <c r="I563" i="8"/>
  <c r="H1122" i="8"/>
  <c r="H745" i="8"/>
  <c r="J1113" i="8"/>
  <c r="J1581" i="8"/>
  <c r="J988" i="8"/>
  <c r="J1095" i="8"/>
  <c r="J947" i="8"/>
  <c r="J921" i="8"/>
  <c r="J864" i="8"/>
  <c r="J758" i="8"/>
  <c r="J715" i="8"/>
  <c r="J675" i="8"/>
  <c r="J607" i="8"/>
  <c r="J582" i="8"/>
  <c r="I976" i="8"/>
  <c r="I865" i="8"/>
  <c r="I709" i="8"/>
  <c r="H976" i="8"/>
  <c r="H918" i="8"/>
  <c r="H893" i="8"/>
  <c r="H855" i="8"/>
  <c r="H884" i="8"/>
  <c r="H727" i="8"/>
  <c r="H677" i="8"/>
  <c r="H658" i="8"/>
  <c r="H589" i="8"/>
  <c r="H558" i="8"/>
  <c r="H1305" i="8"/>
  <c r="I1305" i="8"/>
  <c r="H1020" i="8"/>
  <c r="J1020" i="8"/>
  <c r="H1688" i="8"/>
  <c r="J1688" i="8"/>
  <c r="H869" i="8"/>
  <c r="I869" i="8"/>
  <c r="I761" i="8"/>
  <c r="H761" i="8"/>
  <c r="H640" i="8"/>
  <c r="I640" i="8"/>
  <c r="J632" i="8"/>
  <c r="H632" i="8"/>
  <c r="J598" i="8"/>
  <c r="I598" i="8"/>
  <c r="J1295" i="8"/>
  <c r="J789" i="8"/>
  <c r="J640" i="8"/>
  <c r="I690" i="8"/>
  <c r="H1023" i="8"/>
  <c r="I936" i="8"/>
  <c r="H936" i="8"/>
  <c r="J1756" i="8"/>
  <c r="J831" i="8"/>
  <c r="J972" i="8"/>
  <c r="J827" i="8"/>
  <c r="J690" i="8"/>
  <c r="J677" i="8"/>
  <c r="J651" i="8"/>
  <c r="I937" i="8"/>
  <c r="I889" i="8"/>
  <c r="I607" i="8"/>
  <c r="H1756" i="8"/>
  <c r="H1038" i="8"/>
  <c r="H965" i="8"/>
  <c r="H770" i="8"/>
  <c r="H722" i="8"/>
  <c r="H588" i="8"/>
  <c r="I962" i="8"/>
  <c r="H962" i="8"/>
  <c r="J994" i="8"/>
  <c r="J1038" i="8"/>
  <c r="J918" i="8"/>
  <c r="J793" i="8"/>
  <c r="J550" i="8"/>
  <c r="J1047" i="8"/>
  <c r="J1726" i="8"/>
  <c r="J1362" i="8"/>
  <c r="J1023" i="8"/>
  <c r="J1006" i="8"/>
  <c r="J931" i="8"/>
  <c r="J893" i="8"/>
  <c r="J869" i="8"/>
  <c r="J709" i="8"/>
  <c r="J685" i="8"/>
  <c r="J616" i="8"/>
  <c r="I1020" i="8"/>
  <c r="I1362" i="8"/>
  <c r="I828" i="8"/>
  <c r="I810" i="8"/>
  <c r="I675" i="8"/>
  <c r="I589" i="8"/>
  <c r="H1113" i="8"/>
  <c r="H1393" i="8"/>
  <c r="H1361" i="8"/>
  <c r="H956" i="8"/>
  <c r="H931" i="8"/>
  <c r="H831" i="8"/>
  <c r="H767" i="8"/>
  <c r="H637" i="8"/>
  <c r="H629" i="8"/>
  <c r="H605" i="8"/>
  <c r="I963" i="8"/>
  <c r="H963" i="8"/>
  <c r="H732" i="8"/>
  <c r="J732" i="8"/>
  <c r="H874" i="8"/>
  <c r="J874" i="8"/>
  <c r="J2076" i="8"/>
  <c r="J997" i="8"/>
  <c r="J963" i="8"/>
  <c r="J894" i="8"/>
  <c r="J911" i="8"/>
  <c r="J778" i="8"/>
  <c r="J761" i="8"/>
  <c r="J705" i="8"/>
  <c r="J617" i="8"/>
  <c r="J623" i="8"/>
  <c r="I732" i="8"/>
  <c r="I658" i="8"/>
  <c r="H1078" i="8"/>
  <c r="H924" i="8"/>
  <c r="H878" i="8"/>
  <c r="H864" i="8"/>
  <c r="H816" i="8"/>
  <c r="H801" i="8"/>
  <c r="H758" i="8"/>
  <c r="H685" i="8"/>
  <c r="H606" i="8"/>
  <c r="I953" i="8"/>
  <c r="J953" i="8"/>
  <c r="H910" i="8"/>
  <c r="I910" i="8"/>
  <c r="J1305" i="8"/>
  <c r="J1010" i="8"/>
  <c r="J1004" i="8"/>
  <c r="J937" i="8"/>
  <c r="J774" i="8"/>
  <c r="J727" i="8"/>
  <c r="J693" i="8"/>
  <c r="J573" i="8"/>
  <c r="I997" i="8"/>
  <c r="I988" i="8"/>
  <c r="I949" i="8"/>
  <c r="I935" i="8"/>
  <c r="I874" i="8"/>
  <c r="I629" i="8"/>
  <c r="I616" i="8"/>
  <c r="I605" i="8"/>
  <c r="I550" i="8"/>
  <c r="H911" i="8"/>
  <c r="H787" i="8"/>
  <c r="H972" i="8"/>
  <c r="H739" i="8"/>
  <c r="H617" i="8"/>
  <c r="H598" i="8"/>
  <c r="J975" i="8"/>
  <c r="J932" i="8"/>
  <c r="J887" i="8"/>
  <c r="J717" i="8"/>
  <c r="J687" i="8"/>
  <c r="I974" i="8"/>
  <c r="I1040" i="8"/>
  <c r="I950" i="8"/>
  <c r="I873" i="8"/>
  <c r="I938" i="8"/>
  <c r="I724" i="8"/>
  <c r="I647" i="8"/>
  <c r="H1209" i="8"/>
  <c r="H934" i="8"/>
  <c r="H862" i="8"/>
  <c r="H619" i="8"/>
  <c r="J992" i="8"/>
  <c r="J1145" i="8"/>
  <c r="J967" i="8"/>
  <c r="J714" i="8"/>
  <c r="J571" i="8"/>
  <c r="I992" i="8"/>
  <c r="I1145" i="8"/>
  <c r="I824" i="8"/>
  <c r="I570" i="8"/>
  <c r="H887" i="8"/>
  <c r="I914" i="8"/>
  <c r="I663" i="8"/>
  <c r="J1258" i="8"/>
  <c r="J987" i="8"/>
  <c r="J924" i="8"/>
  <c r="J855" i="8"/>
  <c r="J787" i="8"/>
  <c r="J729" i="8"/>
  <c r="J716" i="8"/>
  <c r="J608" i="8"/>
  <c r="J548" i="8"/>
  <c r="H1581" i="8"/>
  <c r="H1006" i="8"/>
  <c r="J1024" i="8"/>
  <c r="J1297" i="8"/>
  <c r="J951" i="8"/>
  <c r="J878" i="8"/>
  <c r="J842" i="8"/>
  <c r="H1726" i="8"/>
  <c r="H1004" i="8"/>
  <c r="H947" i="8"/>
  <c r="H899" i="8"/>
  <c r="H872" i="8"/>
  <c r="H839" i="8"/>
  <c r="H802" i="8"/>
  <c r="H1005" i="8"/>
  <c r="H746" i="8"/>
  <c r="I1344" i="8"/>
  <c r="H1344" i="8"/>
  <c r="I1051" i="8"/>
  <c r="H1051" i="8"/>
  <c r="I1019" i="8"/>
  <c r="H1019" i="8"/>
  <c r="I1725" i="8"/>
  <c r="H1725" i="8"/>
  <c r="I1580" i="8"/>
  <c r="H1580" i="8"/>
  <c r="I1257" i="8"/>
  <c r="H1257" i="8"/>
  <c r="I998" i="8"/>
  <c r="H998" i="8"/>
  <c r="I993" i="8"/>
  <c r="H993" i="8"/>
  <c r="I1296" i="8"/>
  <c r="H1296" i="8"/>
  <c r="I1537" i="8"/>
  <c r="H1537" i="8"/>
  <c r="I1263" i="8"/>
  <c r="H1263" i="8"/>
  <c r="I989" i="8"/>
  <c r="H989" i="8"/>
  <c r="I982" i="8"/>
  <c r="H982" i="8"/>
  <c r="I978" i="8"/>
  <c r="H978" i="8"/>
  <c r="I964" i="8"/>
  <c r="H964" i="8"/>
  <c r="I966" i="8"/>
  <c r="H966" i="8"/>
  <c r="I1074" i="8"/>
  <c r="H1074" i="8"/>
  <c r="I954" i="8"/>
  <c r="H954" i="8"/>
  <c r="I1008" i="8"/>
  <c r="H1008" i="8"/>
  <c r="I946" i="8"/>
  <c r="H946" i="8"/>
  <c r="I928" i="8"/>
  <c r="H928" i="8"/>
  <c r="I925" i="8"/>
  <c r="H925" i="8"/>
  <c r="I909" i="8"/>
  <c r="H909" i="8"/>
  <c r="I900" i="8"/>
  <c r="H900" i="8"/>
  <c r="I971" i="8"/>
  <c r="H971" i="8"/>
  <c r="I883" i="8"/>
  <c r="H883" i="8"/>
  <c r="I879" i="8"/>
  <c r="H879" i="8"/>
  <c r="I917" i="8"/>
  <c r="H917" i="8"/>
  <c r="I863" i="8"/>
  <c r="H863" i="8"/>
  <c r="I849" i="8"/>
  <c r="H849" i="8"/>
  <c r="I845" i="8"/>
  <c r="H845" i="8"/>
  <c r="I836" i="8"/>
  <c r="H836" i="8"/>
  <c r="I819" i="8"/>
  <c r="H819" i="8"/>
  <c r="I812" i="8"/>
  <c r="H812" i="8"/>
  <c r="I807" i="8"/>
  <c r="H807" i="8"/>
  <c r="I800" i="8"/>
  <c r="H800" i="8"/>
  <c r="I886" i="8"/>
  <c r="H886" i="8"/>
  <c r="I788" i="8"/>
  <c r="H788" i="8"/>
  <c r="I773" i="8"/>
  <c r="H773" i="8"/>
  <c r="I1043" i="8"/>
  <c r="H1043" i="8"/>
  <c r="I830" i="8"/>
  <c r="H830" i="8"/>
  <c r="I790" i="8"/>
  <c r="H790" i="8"/>
  <c r="I825" i="8"/>
  <c r="H825" i="8"/>
  <c r="I740" i="8"/>
  <c r="H740" i="8"/>
  <c r="I738" i="8"/>
  <c r="H738" i="8"/>
  <c r="I731" i="8"/>
  <c r="H731" i="8"/>
  <c r="I712" i="8"/>
  <c r="H712" i="8"/>
  <c r="I707" i="8"/>
  <c r="H707" i="8"/>
  <c r="I706" i="8"/>
  <c r="H706" i="8"/>
  <c r="I699" i="8"/>
  <c r="H699" i="8"/>
  <c r="I688" i="8"/>
  <c r="H688" i="8"/>
  <c r="I670" i="8"/>
  <c r="H670" i="8"/>
  <c r="I671" i="8"/>
  <c r="H671" i="8"/>
  <c r="I684" i="8"/>
  <c r="H684" i="8"/>
  <c r="I649" i="8"/>
  <c r="H649" i="8"/>
  <c r="I667" i="8"/>
  <c r="H667" i="8"/>
  <c r="I638" i="8"/>
  <c r="H638" i="8"/>
  <c r="I631" i="8"/>
  <c r="H631" i="8"/>
  <c r="I627" i="8"/>
  <c r="H627" i="8"/>
  <c r="I713" i="8"/>
  <c r="H713" i="8"/>
  <c r="I613" i="8"/>
  <c r="H613" i="8"/>
  <c r="I601" i="8"/>
  <c r="H601" i="8"/>
  <c r="I596" i="8"/>
  <c r="H596" i="8"/>
  <c r="I597" i="8"/>
  <c r="H597" i="8"/>
  <c r="I579" i="8"/>
  <c r="H579" i="8"/>
  <c r="I569" i="8"/>
  <c r="H569" i="8"/>
  <c r="I594" i="8"/>
  <c r="H594" i="8"/>
  <c r="I567" i="8"/>
  <c r="H567" i="8"/>
  <c r="I553" i="8"/>
  <c r="H553" i="8"/>
  <c r="I547" i="8"/>
  <c r="H547" i="8"/>
  <c r="J1078" i="8"/>
  <c r="J1019" i="8"/>
  <c r="J996" i="8"/>
  <c r="J1263" i="8"/>
  <c r="J956" i="8"/>
  <c r="J1008" i="8"/>
  <c r="J907" i="8"/>
  <c r="J879" i="8"/>
  <c r="J816" i="8"/>
  <c r="J807" i="8"/>
  <c r="J762" i="8"/>
  <c r="J825" i="8"/>
  <c r="J846" i="8"/>
  <c r="J688" i="8"/>
  <c r="J634" i="8"/>
  <c r="J627" i="8"/>
  <c r="J572" i="8"/>
  <c r="J594" i="8"/>
  <c r="H1390" i="8"/>
  <c r="H1360" i="8"/>
  <c r="H1095" i="8"/>
  <c r="J1390" i="8"/>
  <c r="J1360" i="8"/>
  <c r="H1258" i="8"/>
  <c r="H987" i="8"/>
  <c r="H1272" i="8"/>
  <c r="J1272" i="8"/>
  <c r="H1026" i="8"/>
  <c r="J1026" i="8"/>
  <c r="H1013" i="8"/>
  <c r="J1013" i="8"/>
  <c r="H1689" i="8"/>
  <c r="J1689" i="8"/>
  <c r="H1359" i="8"/>
  <c r="J1359" i="8"/>
  <c r="H1238" i="8"/>
  <c r="J1238" i="8"/>
  <c r="H1000" i="8"/>
  <c r="J1000" i="8"/>
  <c r="H1584" i="8"/>
  <c r="J1584" i="8"/>
  <c r="H1144" i="8"/>
  <c r="J1144" i="8"/>
  <c r="H1487" i="8"/>
  <c r="J1487" i="8"/>
  <c r="H1135" i="8"/>
  <c r="J1135" i="8"/>
  <c r="H980" i="8"/>
  <c r="J980" i="8"/>
  <c r="H1007" i="8"/>
  <c r="J1007" i="8"/>
  <c r="H983" i="8"/>
  <c r="J983" i="8"/>
  <c r="H1335" i="8"/>
  <c r="J1335" i="8"/>
  <c r="H961" i="8"/>
  <c r="J961" i="8"/>
  <c r="H1003" i="8"/>
  <c r="J1003" i="8"/>
  <c r="H1017" i="8"/>
  <c r="J1017" i="8"/>
  <c r="H986" i="8"/>
  <c r="J986" i="8"/>
  <c r="H939" i="8"/>
  <c r="J939" i="8"/>
  <c r="H927" i="8"/>
  <c r="J927" i="8"/>
  <c r="H933" i="8"/>
  <c r="J933" i="8"/>
  <c r="H915" i="8"/>
  <c r="J915" i="8"/>
  <c r="H896" i="8"/>
  <c r="J896" i="8"/>
  <c r="H694" i="8"/>
  <c r="J694" i="8"/>
  <c r="H901" i="8"/>
  <c r="J901" i="8"/>
  <c r="H880" i="8"/>
  <c r="J880" i="8"/>
  <c r="H885" i="8"/>
  <c r="J885" i="8"/>
  <c r="H857" i="8"/>
  <c r="J857" i="8"/>
  <c r="H853" i="8"/>
  <c r="J853" i="8"/>
  <c r="H858" i="8"/>
  <c r="J858" i="8"/>
  <c r="H834" i="8"/>
  <c r="J834" i="8"/>
  <c r="H823" i="8"/>
  <c r="J823" i="8"/>
  <c r="H806" i="8"/>
  <c r="J806" i="8"/>
  <c r="H890" i="8"/>
  <c r="J890" i="8"/>
  <c r="H794" i="8"/>
  <c r="J794" i="8"/>
  <c r="H850" i="8"/>
  <c r="J850" i="8"/>
  <c r="H783" i="8"/>
  <c r="J783" i="8"/>
  <c r="H867" i="8"/>
  <c r="J867" i="8"/>
  <c r="H776" i="8"/>
  <c r="J776" i="8"/>
  <c r="H769" i="8"/>
  <c r="J769" i="8"/>
  <c r="H754" i="8"/>
  <c r="J754" i="8"/>
  <c r="H757" i="8"/>
  <c r="J757" i="8"/>
  <c r="H743" i="8"/>
  <c r="J743" i="8"/>
  <c r="H735" i="8"/>
  <c r="J735" i="8"/>
  <c r="H721" i="8"/>
  <c r="J721" i="8"/>
  <c r="H723" i="8"/>
  <c r="J723" i="8"/>
  <c r="H760" i="8"/>
  <c r="J760" i="8"/>
  <c r="H697" i="8"/>
  <c r="J697" i="8"/>
  <c r="H703" i="8"/>
  <c r="J703" i="8"/>
  <c r="H696" i="8"/>
  <c r="J696" i="8"/>
  <c r="H680" i="8"/>
  <c r="J680" i="8"/>
  <c r="H674" i="8"/>
  <c r="J674" i="8"/>
  <c r="H662" i="8"/>
  <c r="J662" i="8"/>
  <c r="H643" i="8"/>
  <c r="J643" i="8"/>
  <c r="H646" i="8"/>
  <c r="J646" i="8"/>
  <c r="H656" i="8"/>
  <c r="J656" i="8"/>
  <c r="H633" i="8"/>
  <c r="J633" i="8"/>
  <c r="H811" i="8"/>
  <c r="J811" i="8"/>
  <c r="H681" i="8"/>
  <c r="J681" i="8"/>
  <c r="H614" i="8"/>
  <c r="J614" i="8"/>
  <c r="H603" i="8"/>
  <c r="J603" i="8"/>
  <c r="H683" i="8"/>
  <c r="J683" i="8"/>
  <c r="H584" i="8"/>
  <c r="J584" i="8"/>
  <c r="H578" i="8"/>
  <c r="J578" i="8"/>
  <c r="H625" i="8"/>
  <c r="J625" i="8"/>
  <c r="H661" i="8"/>
  <c r="J661" i="8"/>
  <c r="H565" i="8"/>
  <c r="J565" i="8"/>
  <c r="H566" i="8"/>
  <c r="J566" i="8"/>
  <c r="H545" i="8"/>
  <c r="J545" i="8"/>
  <c r="J1344" i="8"/>
  <c r="J991" i="8"/>
  <c r="J1296" i="8"/>
  <c r="J962" i="8"/>
  <c r="J1074" i="8"/>
  <c r="J899" i="8"/>
  <c r="J971" i="8"/>
  <c r="J839" i="8"/>
  <c r="J819" i="8"/>
  <c r="J1005" i="8"/>
  <c r="J830" i="8"/>
  <c r="J722" i="8"/>
  <c r="J706" i="8"/>
  <c r="J652" i="8"/>
  <c r="J638" i="8"/>
  <c r="J588" i="8"/>
  <c r="J579" i="8"/>
  <c r="I1013" i="8"/>
  <c r="I980" i="8"/>
  <c r="I961" i="8"/>
  <c r="I939" i="8"/>
  <c r="I896" i="8"/>
  <c r="I885" i="8"/>
  <c r="I834" i="8"/>
  <c r="I794" i="8"/>
  <c r="I776" i="8"/>
  <c r="I743" i="8"/>
  <c r="I760" i="8"/>
  <c r="I680" i="8"/>
  <c r="I646" i="8"/>
  <c r="I681" i="8"/>
  <c r="I584" i="8"/>
  <c r="I565" i="8"/>
  <c r="H1024" i="8"/>
  <c r="H1297" i="8"/>
  <c r="H951" i="8"/>
  <c r="I76" i="20"/>
  <c r="I750" i="20"/>
  <c r="I266" i="20"/>
  <c r="I546" i="20"/>
  <c r="H344" i="20"/>
  <c r="J457" i="20"/>
  <c r="I294" i="20"/>
  <c r="H321" i="20"/>
  <c r="I1196" i="20"/>
  <c r="I122" i="20"/>
  <c r="I434" i="20"/>
  <c r="H338" i="20"/>
  <c r="H427" i="20"/>
  <c r="I262" i="20"/>
  <c r="H677" i="20"/>
  <c r="J206" i="20"/>
  <c r="H834" i="20"/>
  <c r="I691" i="20"/>
  <c r="I873" i="20"/>
  <c r="J1091" i="20"/>
  <c r="J28" i="20"/>
  <c r="J73" i="20"/>
  <c r="I159" i="20"/>
  <c r="I186" i="20"/>
  <c r="J199" i="20"/>
  <c r="I286" i="20"/>
  <c r="H402" i="20"/>
  <c r="J730" i="20"/>
  <c r="J873" i="20"/>
  <c r="I274" i="20"/>
  <c r="J186" i="20"/>
  <c r="J1059" i="20"/>
  <c r="I90" i="20"/>
  <c r="I32" i="20"/>
  <c r="H198" i="20"/>
  <c r="I250" i="20"/>
  <c r="I298" i="20"/>
  <c r="J431" i="20"/>
  <c r="I619" i="20"/>
  <c r="I719" i="20"/>
  <c r="H496" i="20"/>
  <c r="I282" i="20"/>
  <c r="J312" i="20"/>
  <c r="I454" i="20"/>
  <c r="H25" i="20"/>
  <c r="I254" i="20"/>
  <c r="H639" i="20"/>
  <c r="I835" i="20"/>
  <c r="H24" i="20"/>
  <c r="J170" i="20"/>
  <c r="H199" i="20"/>
  <c r="I210" i="20"/>
  <c r="J45" i="20"/>
  <c r="I190" i="20"/>
  <c r="I270" i="20"/>
  <c r="J320" i="20"/>
  <c r="I327" i="20"/>
  <c r="J337" i="20"/>
  <c r="H354" i="20"/>
  <c r="H480" i="20"/>
  <c r="I527" i="20"/>
  <c r="I754" i="20"/>
  <c r="H791" i="20"/>
  <c r="H847" i="20"/>
  <c r="H1029" i="20"/>
  <c r="I1078" i="20"/>
  <c r="I1111" i="20"/>
  <c r="J198" i="20"/>
  <c r="I246" i="20"/>
  <c r="I278" i="20"/>
  <c r="I306" i="20"/>
  <c r="H311" i="20"/>
  <c r="I407" i="20"/>
  <c r="I453" i="20"/>
  <c r="H459" i="20"/>
  <c r="H662" i="20"/>
  <c r="J717" i="20"/>
  <c r="H734" i="20"/>
  <c r="J749" i="20"/>
  <c r="I883" i="20"/>
  <c r="J1016" i="20"/>
  <c r="H1088" i="20"/>
  <c r="I662" i="20"/>
  <c r="J734" i="20"/>
  <c r="I674" i="20"/>
  <c r="I915" i="20"/>
  <c r="H986" i="20"/>
  <c r="H97" i="20"/>
  <c r="J161" i="20"/>
  <c r="J182" i="20"/>
  <c r="I258" i="20"/>
  <c r="I290" i="20"/>
  <c r="I321" i="20"/>
  <c r="H360" i="20"/>
  <c r="I370" i="20"/>
  <c r="H458" i="20"/>
  <c r="H528" i="20"/>
  <c r="H657" i="20"/>
  <c r="J689" i="20"/>
  <c r="I867" i="20"/>
  <c r="I874" i="20"/>
  <c r="H923" i="20"/>
  <c r="I986" i="20"/>
  <c r="I1048" i="20"/>
  <c r="J1128" i="20"/>
  <c r="J458" i="20"/>
  <c r="I571" i="20"/>
  <c r="J1048" i="20"/>
  <c r="I207" i="20"/>
  <c r="J246" i="20"/>
  <c r="J250" i="20"/>
  <c r="J254" i="20"/>
  <c r="J258" i="20"/>
  <c r="J262" i="20"/>
  <c r="J266" i="20"/>
  <c r="J270" i="20"/>
  <c r="J274" i="20"/>
  <c r="J278" i="20"/>
  <c r="J282" i="20"/>
  <c r="J286" i="20"/>
  <c r="J290" i="20"/>
  <c r="J294" i="20"/>
  <c r="J298" i="20"/>
  <c r="H319" i="20"/>
  <c r="H343" i="20"/>
  <c r="I385" i="20"/>
  <c r="J520" i="20"/>
  <c r="H650" i="20"/>
  <c r="J690" i="20"/>
  <c r="J745" i="20"/>
  <c r="J761" i="20"/>
  <c r="H793" i="20"/>
  <c r="I806" i="20"/>
  <c r="H822" i="20"/>
  <c r="H843" i="20"/>
  <c r="H899" i="20"/>
  <c r="I935" i="20"/>
  <c r="J946" i="20"/>
  <c r="J1060" i="20"/>
  <c r="H1069" i="20"/>
  <c r="I1194" i="20"/>
  <c r="I68" i="20"/>
  <c r="H103" i="20"/>
  <c r="H109" i="20"/>
  <c r="H110" i="20"/>
  <c r="H126" i="20"/>
  <c r="I109" i="20"/>
  <c r="I110" i="20"/>
  <c r="H122" i="20"/>
  <c r="I126" i="20"/>
  <c r="I182" i="20"/>
  <c r="I206" i="20"/>
  <c r="J207" i="20"/>
  <c r="H210" i="20"/>
  <c r="I312" i="20"/>
  <c r="I319" i="20"/>
  <c r="I343" i="20"/>
  <c r="H407" i="20"/>
  <c r="H475" i="20"/>
  <c r="H694" i="20"/>
  <c r="H805" i="20"/>
  <c r="J806" i="20"/>
  <c r="H842" i="20"/>
  <c r="J893" i="20"/>
  <c r="I899" i="20"/>
  <c r="J913" i="20"/>
  <c r="I934" i="20"/>
  <c r="I963" i="20"/>
  <c r="I1003" i="20"/>
  <c r="H1027" i="20"/>
  <c r="H1047" i="20"/>
  <c r="I1068" i="20"/>
  <c r="H1104" i="20"/>
  <c r="H1146" i="20"/>
  <c r="H1182" i="20"/>
  <c r="I1193" i="20"/>
  <c r="I694" i="20"/>
  <c r="J934" i="20"/>
  <c r="H982" i="20"/>
  <c r="J1193" i="20"/>
  <c r="I16" i="20"/>
  <c r="H42" i="20"/>
  <c r="H49" i="20"/>
  <c r="J162" i="20"/>
  <c r="H177" i="20"/>
  <c r="I311" i="20"/>
  <c r="H322" i="20"/>
  <c r="J327" i="20"/>
  <c r="H359" i="20"/>
  <c r="J377" i="20"/>
  <c r="H399" i="20"/>
  <c r="I459" i="20"/>
  <c r="H474" i="20"/>
  <c r="J475" i="20"/>
  <c r="I584" i="20"/>
  <c r="H693" i="20"/>
  <c r="H709" i="20"/>
  <c r="J718" i="20"/>
  <c r="I747" i="20"/>
  <c r="J930" i="20"/>
  <c r="I951" i="20"/>
  <c r="H1035" i="20"/>
  <c r="H1109" i="20"/>
  <c r="I1129" i="20"/>
  <c r="I1213" i="20"/>
  <c r="I49" i="20"/>
  <c r="I73" i="20"/>
  <c r="I98" i="20"/>
  <c r="I177" i="20"/>
  <c r="I359" i="20"/>
  <c r="I474" i="20"/>
  <c r="H993" i="20"/>
  <c r="J996" i="20"/>
  <c r="I1109" i="20"/>
  <c r="I1227" i="20"/>
  <c r="J1233" i="20"/>
  <c r="H12" i="20"/>
  <c r="J21" i="20"/>
  <c r="I28" i="20"/>
  <c r="J32" i="20"/>
  <c r="I131" i="20"/>
  <c r="J190" i="20"/>
  <c r="J351" i="20"/>
  <c r="I603" i="20"/>
  <c r="H674" i="20"/>
  <c r="I678" i="20"/>
  <c r="H705" i="20"/>
  <c r="H730" i="20"/>
  <c r="J750" i="20"/>
  <c r="I782" i="20"/>
  <c r="J797" i="20"/>
  <c r="I847" i="20"/>
  <c r="I932" i="20"/>
  <c r="I947" i="20"/>
  <c r="I1049" i="20"/>
  <c r="J1099" i="20"/>
  <c r="I1161" i="20"/>
  <c r="I1195" i="20"/>
  <c r="H1218" i="20"/>
  <c r="J612" i="20"/>
  <c r="I612" i="20"/>
  <c r="H875" i="20"/>
  <c r="J1037" i="20"/>
  <c r="H1037" i="20"/>
  <c r="H76" i="20"/>
  <c r="H320" i="20"/>
  <c r="I416" i="20"/>
  <c r="J472" i="20"/>
  <c r="I472" i="20"/>
  <c r="J479" i="20"/>
  <c r="I659" i="20"/>
  <c r="H659" i="20"/>
  <c r="J688" i="20"/>
  <c r="I833" i="20"/>
  <c r="J962" i="20"/>
  <c r="H1025" i="20"/>
  <c r="J1045" i="20"/>
  <c r="I1045" i="20"/>
  <c r="H1045" i="20"/>
  <c r="I1131" i="20"/>
  <c r="I1145" i="20"/>
  <c r="J649" i="20"/>
  <c r="H649" i="20"/>
  <c r="I900" i="20"/>
  <c r="H134" i="20"/>
  <c r="H203" i="20"/>
  <c r="H393" i="20"/>
  <c r="H418" i="20"/>
  <c r="J608" i="20"/>
  <c r="I608" i="20"/>
  <c r="J661" i="20"/>
  <c r="H661" i="20"/>
  <c r="J914" i="20"/>
  <c r="I1130" i="20"/>
  <c r="H1130" i="20"/>
  <c r="H1178" i="20"/>
  <c r="I1181" i="20"/>
  <c r="I787" i="20"/>
  <c r="H787" i="20"/>
  <c r="I25" i="20"/>
  <c r="H133" i="20"/>
  <c r="H243" i="20"/>
  <c r="J24" i="20"/>
  <c r="I52" i="20"/>
  <c r="I53" i="20"/>
  <c r="I70" i="20"/>
  <c r="I93" i="20"/>
  <c r="H105" i="20"/>
  <c r="H106" i="20"/>
  <c r="I113" i="20"/>
  <c r="I133" i="20"/>
  <c r="I134" i="20"/>
  <c r="I149" i="20"/>
  <c r="H167" i="20"/>
  <c r="H174" i="20"/>
  <c r="I202" i="20"/>
  <c r="I203" i="20"/>
  <c r="I243" i="20"/>
  <c r="H329" i="20"/>
  <c r="I330" i="20"/>
  <c r="H392" i="20"/>
  <c r="I393" i="20"/>
  <c r="H423" i="20"/>
  <c r="I456" i="20"/>
  <c r="I683" i="20"/>
  <c r="J733" i="20"/>
  <c r="H733" i="20"/>
  <c r="I746" i="20"/>
  <c r="H746" i="20"/>
  <c r="J786" i="20"/>
  <c r="I786" i="20"/>
  <c r="J821" i="20"/>
  <c r="I821" i="20"/>
  <c r="J1018" i="20"/>
  <c r="I1018" i="20"/>
  <c r="J1041" i="20"/>
  <c r="H202" i="20"/>
  <c r="H40" i="20"/>
  <c r="H45" i="20"/>
  <c r="J52" i="20"/>
  <c r="J53" i="20"/>
  <c r="I105" i="20"/>
  <c r="I106" i="20"/>
  <c r="J113" i="20"/>
  <c r="J149" i="20"/>
  <c r="H161" i="20"/>
  <c r="H162" i="20"/>
  <c r="H170" i="20"/>
  <c r="I174" i="20"/>
  <c r="H227" i="20"/>
  <c r="H313" i="20"/>
  <c r="H328" i="20"/>
  <c r="I329" i="20"/>
  <c r="H335" i="20"/>
  <c r="I352" i="20"/>
  <c r="H386" i="20"/>
  <c r="I391" i="20"/>
  <c r="I392" i="20"/>
  <c r="I423" i="20"/>
  <c r="J456" i="20"/>
  <c r="I587" i="20"/>
  <c r="J616" i="20"/>
  <c r="I616" i="20"/>
  <c r="J746" i="20"/>
  <c r="J762" i="20"/>
  <c r="I762" i="20"/>
  <c r="H762" i="20"/>
  <c r="H786" i="20"/>
  <c r="J798" i="20"/>
  <c r="I798" i="20"/>
  <c r="H798" i="20"/>
  <c r="H1018" i="20"/>
  <c r="J673" i="20"/>
  <c r="H673" i="20"/>
  <c r="I170" i="20"/>
  <c r="I313" i="20"/>
  <c r="I328" i="20"/>
  <c r="J392" i="20"/>
  <c r="I417" i="20"/>
  <c r="I686" i="20"/>
  <c r="J729" i="20"/>
  <c r="H729" i="20"/>
  <c r="H779" i="20"/>
  <c r="I841" i="20"/>
  <c r="J1010" i="20"/>
  <c r="J1067" i="20"/>
  <c r="I626" i="20"/>
  <c r="H626" i="20"/>
  <c r="J950" i="20"/>
  <c r="I554" i="20"/>
  <c r="H554" i="20"/>
  <c r="J785" i="20"/>
  <c r="H785" i="20"/>
  <c r="H823" i="20"/>
  <c r="I1112" i="20"/>
  <c r="I931" i="20"/>
  <c r="H947" i="20"/>
  <c r="H1039" i="20"/>
  <c r="J1049" i="20"/>
  <c r="I1073" i="20"/>
  <c r="J1161" i="20"/>
  <c r="H1194" i="20"/>
  <c r="H1234" i="20"/>
  <c r="J459" i="20"/>
  <c r="H520" i="20"/>
  <c r="J662" i="20"/>
  <c r="J672" i="20"/>
  <c r="H722" i="20"/>
  <c r="I726" i="20"/>
  <c r="J986" i="20"/>
  <c r="I620" i="20"/>
  <c r="H658" i="20"/>
  <c r="H690" i="20"/>
  <c r="H706" i="20"/>
  <c r="H710" i="20"/>
  <c r="H718" i="20"/>
  <c r="I1044" i="20"/>
  <c r="H1056" i="20"/>
  <c r="H1060" i="20"/>
  <c r="I1156" i="20"/>
  <c r="I1163" i="20"/>
  <c r="J658" i="20"/>
  <c r="J706" i="20"/>
  <c r="J710" i="20"/>
  <c r="H1049" i="20"/>
  <c r="J1056" i="20"/>
  <c r="I1060" i="20"/>
  <c r="J1104" i="20"/>
  <c r="J1111" i="20"/>
  <c r="I1128" i="20"/>
  <c r="H1162" i="20"/>
  <c r="I948" i="20"/>
  <c r="J33" i="20"/>
  <c r="I33" i="20"/>
  <c r="J56" i="20"/>
  <c r="I56" i="20"/>
  <c r="J142" i="20"/>
  <c r="I142" i="20"/>
  <c r="H142" i="20"/>
  <c r="J163" i="20"/>
  <c r="I163" i="20"/>
  <c r="H163" i="20"/>
  <c r="J398" i="20"/>
  <c r="I4" i="20"/>
  <c r="J4" i="20"/>
  <c r="H56" i="20"/>
  <c r="J135" i="20"/>
  <c r="H135" i="20"/>
  <c r="I135" i="20"/>
  <c r="J141" i="20"/>
  <c r="I141" i="20"/>
  <c r="J358" i="20"/>
  <c r="I376" i="20"/>
  <c r="J376" i="20"/>
  <c r="H376" i="20"/>
  <c r="J566" i="20"/>
  <c r="H566" i="20"/>
  <c r="I566" i="20"/>
  <c r="J598" i="20"/>
  <c r="H598" i="20"/>
  <c r="I598" i="20"/>
  <c r="J267" i="20"/>
  <c r="I267" i="20"/>
  <c r="H267" i="20"/>
  <c r="H275" i="20"/>
  <c r="J275" i="20"/>
  <c r="I275" i="20"/>
  <c r="J325" i="20"/>
  <c r="I415" i="20"/>
  <c r="H415" i="20"/>
  <c r="J415" i="20"/>
  <c r="J29" i="20"/>
  <c r="I29" i="20"/>
  <c r="J60" i="20"/>
  <c r="I60" i="20"/>
  <c r="H60" i="20"/>
  <c r="H78" i="20"/>
  <c r="J78" i="20"/>
  <c r="I78" i="20"/>
  <c r="J111" i="20"/>
  <c r="I645" i="20"/>
  <c r="J645" i="20"/>
  <c r="H645" i="20"/>
  <c r="J666" i="20"/>
  <c r="I666" i="20"/>
  <c r="H666" i="20"/>
  <c r="H8" i="20"/>
  <c r="J8" i="20"/>
  <c r="I8" i="20"/>
  <c r="J26" i="20"/>
  <c r="H29" i="20"/>
  <c r="J50" i="20"/>
  <c r="J77" i="20"/>
  <c r="I77" i="20"/>
  <c r="J107" i="20"/>
  <c r="J145" i="20"/>
  <c r="H145" i="20"/>
  <c r="I145" i="20"/>
  <c r="H551" i="20"/>
  <c r="I551" i="20"/>
  <c r="J259" i="20"/>
  <c r="I259" i="20"/>
  <c r="H259" i="20"/>
  <c r="J291" i="20"/>
  <c r="I291" i="20"/>
  <c r="H291" i="20"/>
  <c r="H299" i="20"/>
  <c r="J299" i="20"/>
  <c r="I299" i="20"/>
  <c r="H369" i="20"/>
  <c r="I369" i="20"/>
  <c r="J369" i="20"/>
  <c r="J54" i="20"/>
  <c r="I54" i="20"/>
  <c r="J409" i="20"/>
  <c r="I409" i="20"/>
  <c r="H409" i="20"/>
  <c r="J558" i="20"/>
  <c r="H558" i="20"/>
  <c r="I558" i="20"/>
  <c r="J590" i="20"/>
  <c r="H590" i="20"/>
  <c r="I590" i="20"/>
  <c r="J36" i="20"/>
  <c r="I36" i="20"/>
  <c r="H36" i="20"/>
  <c r="J64" i="20"/>
  <c r="H64" i="20"/>
  <c r="I64" i="20"/>
  <c r="H83" i="20"/>
  <c r="J138" i="20"/>
  <c r="I138" i="20"/>
  <c r="H138" i="20"/>
  <c r="J165" i="20"/>
  <c r="I165" i="20"/>
  <c r="J205" i="20"/>
  <c r="H507" i="20"/>
  <c r="J507" i="20"/>
  <c r="I507" i="20"/>
  <c r="H511" i="20"/>
  <c r="I511" i="20"/>
  <c r="H523" i="20"/>
  <c r="J523" i="20"/>
  <c r="I523" i="20"/>
  <c r="J582" i="20"/>
  <c r="H582" i="20"/>
  <c r="I582" i="20"/>
  <c r="J137" i="20"/>
  <c r="I137" i="20"/>
  <c r="H287" i="20"/>
  <c r="J287" i="20"/>
  <c r="I287" i="20"/>
  <c r="H295" i="20"/>
  <c r="J295" i="20"/>
  <c r="I295" i="20"/>
  <c r="J301" i="20"/>
  <c r="J802" i="20"/>
  <c r="I802" i="20"/>
  <c r="H802" i="20"/>
  <c r="H818" i="20"/>
  <c r="J818" i="20"/>
  <c r="I818" i="20"/>
  <c r="I852" i="20"/>
  <c r="H945" i="20"/>
  <c r="I980" i="20"/>
  <c r="I114" i="20"/>
  <c r="J114" i="20"/>
  <c r="I211" i="20"/>
  <c r="H211" i="20"/>
  <c r="J211" i="20"/>
  <c r="H251" i="20"/>
  <c r="J251" i="20"/>
  <c r="I251" i="20"/>
  <c r="H283" i="20"/>
  <c r="J283" i="20"/>
  <c r="I283" i="20"/>
  <c r="J46" i="20"/>
  <c r="J74" i="20"/>
  <c r="I74" i="20"/>
  <c r="I82" i="20"/>
  <c r="J183" i="20"/>
  <c r="J201" i="20"/>
  <c r="J245" i="20"/>
  <c r="H247" i="20"/>
  <c r="J247" i="20"/>
  <c r="I247" i="20"/>
  <c r="H255" i="20"/>
  <c r="J255" i="20"/>
  <c r="I255" i="20"/>
  <c r="H263" i="20"/>
  <c r="J263" i="20"/>
  <c r="I263" i="20"/>
  <c r="H271" i="20"/>
  <c r="J271" i="20"/>
  <c r="I271" i="20"/>
  <c r="H279" i="20"/>
  <c r="J279" i="20"/>
  <c r="I279" i="20"/>
  <c r="I5" i="20"/>
  <c r="J5" i="20"/>
  <c r="J57" i="20"/>
  <c r="I57" i="20"/>
  <c r="H57" i="20"/>
  <c r="H74" i="20"/>
  <c r="J81" i="20"/>
  <c r="I81" i="20"/>
  <c r="J117" i="20"/>
  <c r="I117" i="20"/>
  <c r="H117" i="20"/>
  <c r="H137" i="20"/>
  <c r="H244" i="20"/>
  <c r="J439" i="20"/>
  <c r="I439" i="20"/>
  <c r="H439" i="20"/>
  <c r="J574" i="20"/>
  <c r="H574" i="20"/>
  <c r="I574" i="20"/>
  <c r="J606" i="20"/>
  <c r="H606" i="20"/>
  <c r="I606" i="20"/>
  <c r="J265" i="20"/>
  <c r="J350" i="20"/>
  <c r="J375" i="20"/>
  <c r="J532" i="20"/>
  <c r="H532" i="20"/>
  <c r="J34" i="20"/>
  <c r="J115" i="20"/>
  <c r="H218" i="20"/>
  <c r="H222" i="20"/>
  <c r="H248" i="20"/>
  <c r="H252" i="20"/>
  <c r="J345" i="20"/>
  <c r="J349" i="20"/>
  <c r="J357" i="20"/>
  <c r="H367" i="20"/>
  <c r="I368" i="20"/>
  <c r="H375" i="20"/>
  <c r="J381" i="20"/>
  <c r="H381" i="20"/>
  <c r="J397" i="20"/>
  <c r="H397" i="20"/>
  <c r="J408" i="20"/>
  <c r="I408" i="20"/>
  <c r="J425" i="20"/>
  <c r="H425" i="20"/>
  <c r="J492" i="20"/>
  <c r="H492" i="20"/>
  <c r="J500" i="20"/>
  <c r="H500" i="20"/>
  <c r="J506" i="20"/>
  <c r="I506" i="20"/>
  <c r="J510" i="20"/>
  <c r="I510" i="20"/>
  <c r="J516" i="20"/>
  <c r="J522" i="20"/>
  <c r="I522" i="20"/>
  <c r="J614" i="20"/>
  <c r="H614" i="20"/>
  <c r="I665" i="20"/>
  <c r="J665" i="20"/>
  <c r="H665" i="20"/>
  <c r="I801" i="20"/>
  <c r="J801" i="20"/>
  <c r="H801" i="20"/>
  <c r="J918" i="20"/>
  <c r="I918" i="20"/>
  <c r="H918" i="20"/>
  <c r="J922" i="20"/>
  <c r="H922" i="20"/>
  <c r="I1102" i="20"/>
  <c r="H1108" i="20"/>
  <c r="J1108" i="20"/>
  <c r="H1127" i="20"/>
  <c r="J1186" i="20"/>
  <c r="I1186" i="20"/>
  <c r="H1186" i="20"/>
  <c r="H1210" i="20"/>
  <c r="H1225" i="20"/>
  <c r="I1225" i="20"/>
  <c r="J1225" i="20"/>
  <c r="J6" i="20"/>
  <c r="J30" i="20"/>
  <c r="J80" i="20"/>
  <c r="H166" i="20"/>
  <c r="H6" i="20"/>
  <c r="H9" i="20"/>
  <c r="H34" i="20"/>
  <c r="H37" i="20"/>
  <c r="J58" i="20"/>
  <c r="H65" i="20"/>
  <c r="H79" i="20"/>
  <c r="I115" i="20"/>
  <c r="H121" i="20"/>
  <c r="J139" i="20"/>
  <c r="J143" i="20"/>
  <c r="H146" i="20"/>
  <c r="I166" i="20"/>
  <c r="J167" i="20"/>
  <c r="H212" i="20"/>
  <c r="I214" i="20"/>
  <c r="H215" i="20"/>
  <c r="J217" i="20"/>
  <c r="I218" i="20"/>
  <c r="J221" i="20"/>
  <c r="I222" i="20"/>
  <c r="H226" i="20"/>
  <c r="H303" i="20"/>
  <c r="H304" i="20"/>
  <c r="H305" i="20"/>
  <c r="H337" i="20"/>
  <c r="J344" i="20"/>
  <c r="H345" i="20"/>
  <c r="H349" i="20"/>
  <c r="H357" i="20"/>
  <c r="H363" i="20"/>
  <c r="I375" i="20"/>
  <c r="H408" i="20"/>
  <c r="J414" i="20"/>
  <c r="I425" i="20"/>
  <c r="H433" i="20"/>
  <c r="I462" i="20"/>
  <c r="H491" i="20"/>
  <c r="I491" i="20"/>
  <c r="I492" i="20"/>
  <c r="H499" i="20"/>
  <c r="I499" i="20"/>
  <c r="I500" i="20"/>
  <c r="H539" i="20"/>
  <c r="J539" i="20"/>
  <c r="I539" i="20"/>
  <c r="H555" i="20"/>
  <c r="I555" i="20"/>
  <c r="I614" i="20"/>
  <c r="I669" i="20"/>
  <c r="J669" i="20"/>
  <c r="H669" i="20"/>
  <c r="J708" i="20"/>
  <c r="J738" i="20"/>
  <c r="H738" i="20"/>
  <c r="J744" i="20"/>
  <c r="H759" i="20"/>
  <c r="H850" i="20"/>
  <c r="J850" i="20"/>
  <c r="I850" i="20"/>
  <c r="J902" i="20"/>
  <c r="I902" i="20"/>
  <c r="I1038" i="20"/>
  <c r="J1038" i="20"/>
  <c r="H204" i="20"/>
  <c r="J209" i="20"/>
  <c r="J277" i="20"/>
  <c r="J281" i="20"/>
  <c r="J293" i="20"/>
  <c r="J309" i="20"/>
  <c r="J421" i="20"/>
  <c r="H487" i="20"/>
  <c r="H625" i="20"/>
  <c r="J213" i="20"/>
  <c r="H214" i="20"/>
  <c r="H2" i="20"/>
  <c r="I6" i="20"/>
  <c r="I9" i="20"/>
  <c r="J10" i="20"/>
  <c r="I34" i="20"/>
  <c r="I37" i="20"/>
  <c r="J38" i="20"/>
  <c r="I61" i="20"/>
  <c r="J62" i="20"/>
  <c r="I65" i="20"/>
  <c r="J66" i="20"/>
  <c r="J88" i="20"/>
  <c r="I89" i="20"/>
  <c r="J92" i="20"/>
  <c r="I118" i="20"/>
  <c r="J119" i="20"/>
  <c r="I121" i="20"/>
  <c r="I125" i="20"/>
  <c r="I146" i="20"/>
  <c r="J147" i="20"/>
  <c r="I169" i="20"/>
  <c r="I173" i="20"/>
  <c r="I215" i="20"/>
  <c r="H216" i="20"/>
  <c r="J218" i="20"/>
  <c r="I219" i="20"/>
  <c r="H220" i="20"/>
  <c r="I223" i="20"/>
  <c r="J225" i="20"/>
  <c r="I226" i="20"/>
  <c r="I303" i="20"/>
  <c r="I304" i="20"/>
  <c r="I305" i="20"/>
  <c r="H336" i="20"/>
  <c r="I345" i="20"/>
  <c r="J362" i="20"/>
  <c r="I362" i="20"/>
  <c r="J366" i="20"/>
  <c r="I383" i="20"/>
  <c r="H384" i="20"/>
  <c r="J390" i="20"/>
  <c r="H401" i="20"/>
  <c r="J424" i="20"/>
  <c r="H424" i="20"/>
  <c r="H432" i="20"/>
  <c r="I433" i="20"/>
  <c r="I441" i="20"/>
  <c r="H441" i="20"/>
  <c r="J491" i="20"/>
  <c r="J499" i="20"/>
  <c r="H509" i="20"/>
  <c r="H521" i="20"/>
  <c r="J530" i="20"/>
  <c r="I530" i="20"/>
  <c r="H553" i="20"/>
  <c r="J555" i="20"/>
  <c r="J562" i="20"/>
  <c r="H562" i="20"/>
  <c r="J570" i="20"/>
  <c r="H570" i="20"/>
  <c r="J578" i="20"/>
  <c r="H578" i="20"/>
  <c r="J586" i="20"/>
  <c r="H586" i="20"/>
  <c r="J594" i="20"/>
  <c r="H594" i="20"/>
  <c r="J602" i="20"/>
  <c r="H602" i="20"/>
  <c r="J622" i="20"/>
  <c r="H622" i="20"/>
  <c r="J642" i="20"/>
  <c r="I642" i="20"/>
  <c r="H642" i="20"/>
  <c r="J715" i="20"/>
  <c r="I715" i="20"/>
  <c r="H715" i="20"/>
  <c r="I737" i="20"/>
  <c r="H737" i="20"/>
  <c r="J758" i="20"/>
  <c r="H758" i="20"/>
  <c r="J1101" i="20"/>
  <c r="I1101" i="20"/>
  <c r="H1101" i="20"/>
  <c r="H1185" i="20"/>
  <c r="J1185" i="20"/>
  <c r="I1185" i="20"/>
  <c r="H1201" i="20"/>
  <c r="H1209" i="20"/>
  <c r="J1209" i="20"/>
  <c r="I1209" i="20"/>
  <c r="J273" i="20"/>
  <c r="J285" i="20"/>
  <c r="J3" i="20"/>
  <c r="J37" i="20"/>
  <c r="J89" i="20"/>
  <c r="J96" i="20"/>
  <c r="J99" i="20"/>
  <c r="J118" i="20"/>
  <c r="J121" i="20"/>
  <c r="J123" i="20"/>
  <c r="J125" i="20"/>
  <c r="J127" i="20"/>
  <c r="J146" i="20"/>
  <c r="J169" i="20"/>
  <c r="J171" i="20"/>
  <c r="J173" i="20"/>
  <c r="J175" i="20"/>
  <c r="J185" i="20"/>
  <c r="J189" i="20"/>
  <c r="J215" i="20"/>
  <c r="J219" i="20"/>
  <c r="J223" i="20"/>
  <c r="J226" i="20"/>
  <c r="J229" i="20"/>
  <c r="J302" i="20"/>
  <c r="J303" i="20"/>
  <c r="J304" i="20"/>
  <c r="J305" i="20"/>
  <c r="J326" i="20"/>
  <c r="J342" i="20"/>
  <c r="H353" i="20"/>
  <c r="J361" i="20"/>
  <c r="J373" i="20"/>
  <c r="H400" i="20"/>
  <c r="I424" i="20"/>
  <c r="I432" i="20"/>
  <c r="J433" i="20"/>
  <c r="J437" i="20"/>
  <c r="H437" i="20"/>
  <c r="J441" i="20"/>
  <c r="I446" i="20"/>
  <c r="H446" i="20"/>
  <c r="I461" i="20"/>
  <c r="H461" i="20"/>
  <c r="H513" i="20"/>
  <c r="J538" i="20"/>
  <c r="I538" i="20"/>
  <c r="I544" i="20"/>
  <c r="H544" i="20"/>
  <c r="I562" i="20"/>
  <c r="I570" i="20"/>
  <c r="I578" i="20"/>
  <c r="I586" i="20"/>
  <c r="I594" i="20"/>
  <c r="I602" i="20"/>
  <c r="J610" i="20"/>
  <c r="H610" i="20"/>
  <c r="I622" i="20"/>
  <c r="J714" i="20"/>
  <c r="H714" i="20"/>
  <c r="H727" i="20"/>
  <c r="J736" i="20"/>
  <c r="J737" i="20"/>
  <c r="J743" i="20"/>
  <c r="I743" i="20"/>
  <c r="I757" i="20"/>
  <c r="H757" i="20"/>
  <c r="I758" i="20"/>
  <c r="J766" i="20"/>
  <c r="I766" i="20"/>
  <c r="H766" i="20"/>
  <c r="J790" i="20"/>
  <c r="I790" i="20"/>
  <c r="H790" i="20"/>
  <c r="I820" i="20"/>
  <c r="J253" i="20"/>
  <c r="J257" i="20"/>
  <c r="I367" i="20"/>
  <c r="J394" i="20"/>
  <c r="H394" i="20"/>
  <c r="I455" i="20"/>
  <c r="H455" i="20"/>
  <c r="I466" i="20"/>
  <c r="H466" i="20"/>
  <c r="J783" i="20"/>
  <c r="H783" i="20"/>
  <c r="J9" i="20"/>
  <c r="I10" i="20"/>
  <c r="J12" i="20"/>
  <c r="I13" i="20"/>
  <c r="J14" i="20"/>
  <c r="J16" i="20"/>
  <c r="I17" i="20"/>
  <c r="J18" i="20"/>
  <c r="I20" i="20"/>
  <c r="I38" i="20"/>
  <c r="J40" i="20"/>
  <c r="I41" i="20"/>
  <c r="J42" i="20"/>
  <c r="H44" i="20"/>
  <c r="H48" i="20"/>
  <c r="I66" i="20"/>
  <c r="J68" i="20"/>
  <c r="I69" i="20"/>
  <c r="J70" i="20"/>
  <c r="H72" i="20"/>
  <c r="H85" i="20"/>
  <c r="J86" i="20"/>
  <c r="J90" i="20"/>
  <c r="H91" i="20"/>
  <c r="J93" i="20"/>
  <c r="I94" i="20"/>
  <c r="H95" i="20"/>
  <c r="J97" i="20"/>
  <c r="J98" i="20"/>
  <c r="H99" i="20"/>
  <c r="I101" i="20"/>
  <c r="H102" i="20"/>
  <c r="H127" i="20"/>
  <c r="I129" i="20"/>
  <c r="H130" i="20"/>
  <c r="I150" i="20"/>
  <c r="J151" i="20"/>
  <c r="I153" i="20"/>
  <c r="H154" i="20"/>
  <c r="I157" i="20"/>
  <c r="H158" i="20"/>
  <c r="I178" i="20"/>
  <c r="J179" i="20"/>
  <c r="H181" i="20"/>
  <c r="H184" i="20"/>
  <c r="I187" i="20"/>
  <c r="I191" i="20"/>
  <c r="J193" i="20"/>
  <c r="I194" i="20"/>
  <c r="H195" i="20"/>
  <c r="J227" i="20"/>
  <c r="H228" i="20"/>
  <c r="I230" i="20"/>
  <c r="H231" i="20"/>
  <c r="J233" i="20"/>
  <c r="I234" i="20"/>
  <c r="H235" i="20"/>
  <c r="J237" i="20"/>
  <c r="I238" i="20"/>
  <c r="H239" i="20"/>
  <c r="H242" i="20"/>
  <c r="J306" i="20"/>
  <c r="H314" i="20"/>
  <c r="J318" i="20"/>
  <c r="I322" i="20"/>
  <c r="J330" i="20"/>
  <c r="J334" i="20"/>
  <c r="J335" i="20"/>
  <c r="J336" i="20"/>
  <c r="I351" i="20"/>
  <c r="H352" i="20"/>
  <c r="I353" i="20"/>
  <c r="J360" i="20"/>
  <c r="H361" i="20"/>
  <c r="H373" i="20"/>
  <c r="J383" i="20"/>
  <c r="J384" i="20"/>
  <c r="I400" i="20"/>
  <c r="J401" i="20"/>
  <c r="J410" i="20"/>
  <c r="I410" i="20"/>
  <c r="H410" i="20"/>
  <c r="J432" i="20"/>
  <c r="I440" i="20"/>
  <c r="H440" i="20"/>
  <c r="J446" i="20"/>
  <c r="I452" i="20"/>
  <c r="H452" i="20"/>
  <c r="J461" i="20"/>
  <c r="H464" i="20"/>
  <c r="J464" i="20"/>
  <c r="I464" i="20"/>
  <c r="I473" i="20"/>
  <c r="H473" i="20"/>
  <c r="H497" i="20"/>
  <c r="J508" i="20"/>
  <c r="I508" i="20"/>
  <c r="H508" i="20"/>
  <c r="I524" i="20"/>
  <c r="H524" i="20"/>
  <c r="J544" i="20"/>
  <c r="J552" i="20"/>
  <c r="I610" i="20"/>
  <c r="I641" i="20"/>
  <c r="J641" i="20"/>
  <c r="H641" i="20"/>
  <c r="J646" i="20"/>
  <c r="I646" i="20"/>
  <c r="H646" i="20"/>
  <c r="J687" i="20"/>
  <c r="H687" i="20"/>
  <c r="I713" i="20"/>
  <c r="H713" i="20"/>
  <c r="I714" i="20"/>
  <c r="J742" i="20"/>
  <c r="H742" i="20"/>
  <c r="J757" i="20"/>
  <c r="I968" i="20"/>
  <c r="J1005" i="20"/>
  <c r="H1005" i="20"/>
  <c r="I1005" i="20"/>
  <c r="H200" i="20"/>
  <c r="J249" i="20"/>
  <c r="J261" i="20"/>
  <c r="J269" i="20"/>
  <c r="J289" i="20"/>
  <c r="J297" i="20"/>
  <c r="J317" i="20"/>
  <c r="J346" i="20"/>
  <c r="I346" i="20"/>
  <c r="H368" i="20"/>
  <c r="H541" i="20"/>
  <c r="J670" i="20"/>
  <c r="I670" i="20"/>
  <c r="H670" i="20"/>
  <c r="J61" i="20"/>
  <c r="J65" i="20"/>
  <c r="J13" i="20"/>
  <c r="J17" i="20"/>
  <c r="J20" i="20"/>
  <c r="I21" i="20"/>
  <c r="J22" i="20"/>
  <c r="J41" i="20"/>
  <c r="I44" i="20"/>
  <c r="I48" i="20"/>
  <c r="J69" i="20"/>
  <c r="I72" i="20"/>
  <c r="J84" i="20"/>
  <c r="I85" i="20"/>
  <c r="J94" i="20"/>
  <c r="I99" i="20"/>
  <c r="J101" i="20"/>
  <c r="I102" i="20"/>
  <c r="J103" i="20"/>
  <c r="I127" i="20"/>
  <c r="J129" i="20"/>
  <c r="I130" i="20"/>
  <c r="J131" i="20"/>
  <c r="J150" i="20"/>
  <c r="J153" i="20"/>
  <c r="I154" i="20"/>
  <c r="J155" i="20"/>
  <c r="J157" i="20"/>
  <c r="I158" i="20"/>
  <c r="J159" i="20"/>
  <c r="J178" i="20"/>
  <c r="I181" i="20"/>
  <c r="J187" i="20"/>
  <c r="J191" i="20"/>
  <c r="J194" i="20"/>
  <c r="I195" i="20"/>
  <c r="J197" i="20"/>
  <c r="J230" i="20"/>
  <c r="I231" i="20"/>
  <c r="J234" i="20"/>
  <c r="I235" i="20"/>
  <c r="J238" i="20"/>
  <c r="I239" i="20"/>
  <c r="J241" i="20"/>
  <c r="I242" i="20"/>
  <c r="J310" i="20"/>
  <c r="I314" i="20"/>
  <c r="J333" i="20"/>
  <c r="J353" i="20"/>
  <c r="I361" i="20"/>
  <c r="J365" i="20"/>
  <c r="H365" i="20"/>
  <c r="I377" i="20"/>
  <c r="J378" i="20"/>
  <c r="H378" i="20"/>
  <c r="J382" i="20"/>
  <c r="H395" i="20"/>
  <c r="J400" i="20"/>
  <c r="J422" i="20"/>
  <c r="J430" i="20"/>
  <c r="J460" i="20"/>
  <c r="H460" i="20"/>
  <c r="I467" i="20"/>
  <c r="H467" i="20"/>
  <c r="J518" i="20"/>
  <c r="I518" i="20"/>
  <c r="H537" i="20"/>
  <c r="J618" i="20"/>
  <c r="H618" i="20"/>
  <c r="J640" i="20"/>
  <c r="H640" i="20"/>
  <c r="I741" i="20"/>
  <c r="H741" i="20"/>
  <c r="J755" i="20"/>
  <c r="H755" i="20"/>
  <c r="I765" i="20"/>
  <c r="J765" i="20"/>
  <c r="H765" i="20"/>
  <c r="I789" i="20"/>
  <c r="J789" i="20"/>
  <c r="H789" i="20"/>
  <c r="H829" i="20"/>
  <c r="J829" i="20"/>
  <c r="J997" i="20"/>
  <c r="H997" i="20"/>
  <c r="I997" i="20"/>
  <c r="J413" i="20"/>
  <c r="J426" i="20"/>
  <c r="J451" i="20"/>
  <c r="J489" i="20"/>
  <c r="J494" i="20"/>
  <c r="H495" i="20"/>
  <c r="J498" i="20"/>
  <c r="J512" i="20"/>
  <c r="H519" i="20"/>
  <c r="H531" i="20"/>
  <c r="J542" i="20"/>
  <c r="H543" i="20"/>
  <c r="J550" i="20"/>
  <c r="H556" i="20"/>
  <c r="H560" i="20"/>
  <c r="H564" i="20"/>
  <c r="H568" i="20"/>
  <c r="H572" i="20"/>
  <c r="H576" i="20"/>
  <c r="H580" i="20"/>
  <c r="H584" i="20"/>
  <c r="H588" i="20"/>
  <c r="H592" i="20"/>
  <c r="H596" i="20"/>
  <c r="H600" i="20"/>
  <c r="H604" i="20"/>
  <c r="H608" i="20"/>
  <c r="H612" i="20"/>
  <c r="H616" i="20"/>
  <c r="H620" i="20"/>
  <c r="H624" i="20"/>
  <c r="I658" i="20"/>
  <c r="J659" i="20"/>
  <c r="I661" i="20"/>
  <c r="I689" i="20"/>
  <c r="I710" i="20"/>
  <c r="I717" i="20"/>
  <c r="J726" i="20"/>
  <c r="J731" i="20"/>
  <c r="I735" i="20"/>
  <c r="I745" i="20"/>
  <c r="I761" i="20"/>
  <c r="I779" i="20"/>
  <c r="I785" i="20"/>
  <c r="J819" i="20"/>
  <c r="I819" i="20"/>
  <c r="J851" i="20"/>
  <c r="I851" i="20"/>
  <c r="J861" i="20"/>
  <c r="I1046" i="20"/>
  <c r="J1046" i="20"/>
  <c r="H1107" i="20"/>
  <c r="I1107" i="20"/>
  <c r="J338" i="20"/>
  <c r="H339" i="20"/>
  <c r="J370" i="20"/>
  <c r="J389" i="20"/>
  <c r="I399" i="20"/>
  <c r="J402" i="20"/>
  <c r="H403" i="20"/>
  <c r="I426" i="20"/>
  <c r="I431" i="20"/>
  <c r="J434" i="20"/>
  <c r="I451" i="20"/>
  <c r="H472" i="20"/>
  <c r="H479" i="20"/>
  <c r="J480" i="20"/>
  <c r="J488" i="20"/>
  <c r="I489" i="20"/>
  <c r="J495" i="20"/>
  <c r="I496" i="20"/>
  <c r="J519" i="20"/>
  <c r="I520" i="20"/>
  <c r="J526" i="20"/>
  <c r="H527" i="20"/>
  <c r="J528" i="20"/>
  <c r="J540" i="20"/>
  <c r="I542" i="20"/>
  <c r="J543" i="20"/>
  <c r="J546" i="20"/>
  <c r="H547" i="20"/>
  <c r="I550" i="20"/>
  <c r="J556" i="20"/>
  <c r="J560" i="20"/>
  <c r="J564" i="20"/>
  <c r="J568" i="20"/>
  <c r="J572" i="20"/>
  <c r="J576" i="20"/>
  <c r="J580" i="20"/>
  <c r="J584" i="20"/>
  <c r="J588" i="20"/>
  <c r="J592" i="20"/>
  <c r="J596" i="20"/>
  <c r="J600" i="20"/>
  <c r="J604" i="20"/>
  <c r="I649" i="20"/>
  <c r="I673" i="20"/>
  <c r="I677" i="20"/>
  <c r="J691" i="20"/>
  <c r="I693" i="20"/>
  <c r="J716" i="20"/>
  <c r="J719" i="20"/>
  <c r="J747" i="20"/>
  <c r="I749" i="20"/>
  <c r="J763" i="20"/>
  <c r="J787" i="20"/>
  <c r="I797" i="20"/>
  <c r="I805" i="20"/>
  <c r="I817" i="20"/>
  <c r="J817" i="20"/>
  <c r="I834" i="20"/>
  <c r="J835" i="20"/>
  <c r="H841" i="20"/>
  <c r="J842" i="20"/>
  <c r="H873" i="20"/>
  <c r="J874" i="20"/>
  <c r="J975" i="20"/>
  <c r="I975" i="20"/>
  <c r="I991" i="20"/>
  <c r="J1003" i="20"/>
  <c r="H1003" i="20"/>
  <c r="H1012" i="20"/>
  <c r="I1012" i="20"/>
  <c r="J1026" i="20"/>
  <c r="I1026" i="20"/>
  <c r="H1026" i="20"/>
  <c r="J1042" i="20"/>
  <c r="I1042" i="20"/>
  <c r="J1219" i="20"/>
  <c r="I1219" i="20"/>
  <c r="J450" i="20"/>
  <c r="I471" i="20"/>
  <c r="J476" i="20"/>
  <c r="I477" i="20"/>
  <c r="I653" i="20"/>
  <c r="J667" i="20"/>
  <c r="I671" i="20"/>
  <c r="I681" i="20"/>
  <c r="I697" i="20"/>
  <c r="I721" i="20"/>
  <c r="I769" i="20"/>
  <c r="I773" i="20"/>
  <c r="J791" i="20"/>
  <c r="I793" i="20"/>
  <c r="J799" i="20"/>
  <c r="J803" i="20"/>
  <c r="I813" i="20"/>
  <c r="J814" i="20"/>
  <c r="H833" i="20"/>
  <c r="H849" i="20"/>
  <c r="J849" i="20"/>
  <c r="H857" i="20"/>
  <c r="J858" i="20"/>
  <c r="H890" i="20"/>
  <c r="J906" i="20"/>
  <c r="J911" i="20"/>
  <c r="H917" i="20"/>
  <c r="J917" i="20"/>
  <c r="I917" i="20"/>
  <c r="H921" i="20"/>
  <c r="I921" i="20"/>
  <c r="H961" i="20"/>
  <c r="J966" i="20"/>
  <c r="I966" i="20"/>
  <c r="H966" i="20"/>
  <c r="J970" i="20"/>
  <c r="J979" i="20"/>
  <c r="I979" i="20"/>
  <c r="H979" i="20"/>
  <c r="I1002" i="20"/>
  <c r="J1002" i="20"/>
  <c r="J1011" i="20"/>
  <c r="H1011" i="20"/>
  <c r="I1090" i="20"/>
  <c r="H1100" i="20"/>
  <c r="J1100" i="20"/>
  <c r="I1100" i="20"/>
  <c r="J1125" i="20"/>
  <c r="I1125" i="20"/>
  <c r="J1166" i="20"/>
  <c r="I1166" i="20"/>
  <c r="J1170" i="20"/>
  <c r="H632" i="20"/>
  <c r="J651" i="20"/>
  <c r="I701" i="20"/>
  <c r="J751" i="20"/>
  <c r="I777" i="20"/>
  <c r="J807" i="20"/>
  <c r="I809" i="20"/>
  <c r="J810" i="20"/>
  <c r="J815" i="20"/>
  <c r="H815" i="20"/>
  <c r="J831" i="20"/>
  <c r="H865" i="20"/>
  <c r="H869" i="20"/>
  <c r="I872" i="20"/>
  <c r="J879" i="20"/>
  <c r="H905" i="20"/>
  <c r="H995" i="20"/>
  <c r="J1019" i="20"/>
  <c r="H1040" i="20"/>
  <c r="I1040" i="20"/>
  <c r="J1105" i="20"/>
  <c r="I1105" i="20"/>
  <c r="H1105" i="20"/>
  <c r="H1232" i="20"/>
  <c r="J406" i="20"/>
  <c r="J429" i="20"/>
  <c r="J442" i="20"/>
  <c r="H443" i="20"/>
  <c r="J449" i="20"/>
  <c r="I463" i="20"/>
  <c r="I465" i="20"/>
  <c r="J468" i="20"/>
  <c r="I469" i="20"/>
  <c r="J471" i="20"/>
  <c r="I476" i="20"/>
  <c r="J477" i="20"/>
  <c r="J485" i="20"/>
  <c r="I486" i="20"/>
  <c r="J534" i="20"/>
  <c r="I630" i="20"/>
  <c r="I631" i="20"/>
  <c r="I632" i="20"/>
  <c r="H633" i="20"/>
  <c r="I634" i="20"/>
  <c r="H636" i="20"/>
  <c r="H637" i="20"/>
  <c r="H638" i="20"/>
  <c r="J650" i="20"/>
  <c r="H651" i="20"/>
  <c r="J652" i="20"/>
  <c r="J653" i="20"/>
  <c r="I654" i="20"/>
  <c r="J655" i="20"/>
  <c r="J674" i="20"/>
  <c r="J678" i="20"/>
  <c r="I679" i="20"/>
  <c r="J680" i="20"/>
  <c r="J681" i="20"/>
  <c r="I682" i="20"/>
  <c r="J683" i="20"/>
  <c r="I685" i="20"/>
  <c r="H695" i="20"/>
  <c r="J697" i="20"/>
  <c r="I698" i="20"/>
  <c r="J699" i="20"/>
  <c r="H701" i="20"/>
  <c r="H702" i="20"/>
  <c r="J721" i="20"/>
  <c r="I722" i="20"/>
  <c r="J723" i="20"/>
  <c r="I725" i="20"/>
  <c r="H751" i="20"/>
  <c r="I753" i="20"/>
  <c r="J769" i="20"/>
  <c r="I770" i="20"/>
  <c r="J772" i="20"/>
  <c r="J773" i="20"/>
  <c r="I774" i="20"/>
  <c r="J775" i="20"/>
  <c r="H777" i="20"/>
  <c r="H778" i="20"/>
  <c r="I781" i="20"/>
  <c r="I791" i="20"/>
  <c r="J793" i="20"/>
  <c r="I794" i="20"/>
  <c r="I803" i="20"/>
  <c r="H807" i="20"/>
  <c r="H809" i="20"/>
  <c r="H810" i="20"/>
  <c r="J813" i="20"/>
  <c r="I814" i="20"/>
  <c r="I825" i="20"/>
  <c r="H830" i="20"/>
  <c r="H831" i="20"/>
  <c r="I832" i="20"/>
  <c r="J839" i="20"/>
  <c r="I839" i="20"/>
  <c r="H846" i="20"/>
  <c r="H854" i="20"/>
  <c r="J855" i="20"/>
  <c r="J857" i="20"/>
  <c r="I858" i="20"/>
  <c r="J863" i="20"/>
  <c r="I865" i="20"/>
  <c r="H866" i="20"/>
  <c r="J867" i="20"/>
  <c r="I869" i="20"/>
  <c r="H870" i="20"/>
  <c r="H879" i="20"/>
  <c r="H898" i="20"/>
  <c r="J905" i="20"/>
  <c r="H939" i="20"/>
  <c r="J943" i="20"/>
  <c r="H943" i="20"/>
  <c r="H965" i="20"/>
  <c r="J965" i="20"/>
  <c r="I965" i="20"/>
  <c r="J983" i="20"/>
  <c r="I1009" i="20"/>
  <c r="H1055" i="20"/>
  <c r="I1055" i="20"/>
  <c r="I1187" i="20"/>
  <c r="H1237" i="20"/>
  <c r="J1237" i="20"/>
  <c r="I1237" i="20"/>
  <c r="J341" i="20"/>
  <c r="J354" i="20"/>
  <c r="J374" i="20"/>
  <c r="H385" i="20"/>
  <c r="J386" i="20"/>
  <c r="H391" i="20"/>
  <c r="J405" i="20"/>
  <c r="H416" i="20"/>
  <c r="H417" i="20"/>
  <c r="J418" i="20"/>
  <c r="H429" i="20"/>
  <c r="J438" i="20"/>
  <c r="H442" i="20"/>
  <c r="H449" i="20"/>
  <c r="H453" i="20"/>
  <c r="H454" i="20"/>
  <c r="H456" i="20"/>
  <c r="H457" i="20"/>
  <c r="H463" i="20"/>
  <c r="J465" i="20"/>
  <c r="H468" i="20"/>
  <c r="H469" i="20"/>
  <c r="I470" i="20"/>
  <c r="H485" i="20"/>
  <c r="J502" i="20"/>
  <c r="J514" i="20"/>
  <c r="H515" i="20"/>
  <c r="I534" i="20"/>
  <c r="J554" i="20"/>
  <c r="J630" i="20"/>
  <c r="J632" i="20"/>
  <c r="J634" i="20"/>
  <c r="I635" i="20"/>
  <c r="I636" i="20"/>
  <c r="I638" i="20"/>
  <c r="I639" i="20"/>
  <c r="I651" i="20"/>
  <c r="J654" i="20"/>
  <c r="H655" i="20"/>
  <c r="I657" i="20"/>
  <c r="J682" i="20"/>
  <c r="H683" i="20"/>
  <c r="H685" i="20"/>
  <c r="H686" i="20"/>
  <c r="J698" i="20"/>
  <c r="H699" i="20"/>
  <c r="J701" i="20"/>
  <c r="I702" i="20"/>
  <c r="I705" i="20"/>
  <c r="I709" i="20"/>
  <c r="J722" i="20"/>
  <c r="H723" i="20"/>
  <c r="H725" i="20"/>
  <c r="H726" i="20"/>
  <c r="I729" i="20"/>
  <c r="I733" i="20"/>
  <c r="I751" i="20"/>
  <c r="J752" i="20"/>
  <c r="H753" i="20"/>
  <c r="H754" i="20"/>
  <c r="J770" i="20"/>
  <c r="J774" i="20"/>
  <c r="I775" i="20"/>
  <c r="J776" i="20"/>
  <c r="J777" i="20"/>
  <c r="I778" i="20"/>
  <c r="J779" i="20"/>
  <c r="H781" i="20"/>
  <c r="H782" i="20"/>
  <c r="J794" i="20"/>
  <c r="I807" i="20"/>
  <c r="J809" i="20"/>
  <c r="I810" i="20"/>
  <c r="H821" i="20"/>
  <c r="J822" i="20"/>
  <c r="J823" i="20"/>
  <c r="I824" i="20"/>
  <c r="J830" i="20"/>
  <c r="I831" i="20"/>
  <c r="I838" i="20"/>
  <c r="H838" i="20"/>
  <c r="I846" i="20"/>
  <c r="H853" i="20"/>
  <c r="I854" i="20"/>
  <c r="H855" i="20"/>
  <c r="H862" i="20"/>
  <c r="H863" i="20"/>
  <c r="I864" i="20"/>
  <c r="J865" i="20"/>
  <c r="I866" i="20"/>
  <c r="H867" i="20"/>
  <c r="I868" i="20"/>
  <c r="J869" i="20"/>
  <c r="I870" i="20"/>
  <c r="H871" i="20"/>
  <c r="I878" i="20"/>
  <c r="I879" i="20"/>
  <c r="I898" i="20"/>
  <c r="I904" i="20"/>
  <c r="J938" i="20"/>
  <c r="H938" i="20"/>
  <c r="J959" i="20"/>
  <c r="I994" i="20"/>
  <c r="J994" i="20"/>
  <c r="H1000" i="20"/>
  <c r="J1000" i="20"/>
  <c r="I1008" i="20"/>
  <c r="I1023" i="20"/>
  <c r="J1055" i="20"/>
  <c r="I1079" i="20"/>
  <c r="I1164" i="20"/>
  <c r="J1054" i="20"/>
  <c r="H1103" i="20"/>
  <c r="H1119" i="20"/>
  <c r="H1165" i="20"/>
  <c r="J1211" i="20"/>
  <c r="H1217" i="20"/>
  <c r="J1231" i="20"/>
  <c r="J895" i="20"/>
  <c r="J903" i="20"/>
  <c r="J927" i="20"/>
  <c r="H937" i="20"/>
  <c r="H969" i="20"/>
  <c r="H981" i="20"/>
  <c r="H992" i="20"/>
  <c r="H998" i="20"/>
  <c r="J999" i="20"/>
  <c r="J1001" i="20"/>
  <c r="I1006" i="20"/>
  <c r="J1007" i="20"/>
  <c r="I1010" i="20"/>
  <c r="H1024" i="20"/>
  <c r="J1035" i="20"/>
  <c r="I1037" i="20"/>
  <c r="I1056" i="20"/>
  <c r="J1073" i="20"/>
  <c r="H1084" i="20"/>
  <c r="J1085" i="20"/>
  <c r="H1099" i="20"/>
  <c r="J1103" i="20"/>
  <c r="I1104" i="20"/>
  <c r="J1119" i="20"/>
  <c r="J1134" i="20"/>
  <c r="H1161" i="20"/>
  <c r="J1162" i="20"/>
  <c r="J1217" i="20"/>
  <c r="J1223" i="20"/>
  <c r="H1229" i="20"/>
  <c r="J1052" i="20"/>
  <c r="J1077" i="20"/>
  <c r="H1083" i="20"/>
  <c r="H1115" i="20"/>
  <c r="J1116" i="20"/>
  <c r="H1123" i="20"/>
  <c r="H1133" i="20"/>
  <c r="J1138" i="20"/>
  <c r="H1149" i="20"/>
  <c r="J1150" i="20"/>
  <c r="H1169" i="20"/>
  <c r="J1215" i="20"/>
  <c r="I1223" i="20"/>
  <c r="I1229" i="20"/>
  <c r="H1236" i="20"/>
  <c r="J883" i="20"/>
  <c r="H901" i="20"/>
  <c r="J915" i="20"/>
  <c r="J919" i="20"/>
  <c r="H933" i="20"/>
  <c r="H949" i="20"/>
  <c r="J963" i="20"/>
  <c r="I978" i="20"/>
  <c r="J981" i="20"/>
  <c r="I982" i="20"/>
  <c r="I989" i="20"/>
  <c r="J992" i="20"/>
  <c r="I993" i="20"/>
  <c r="J998" i="20"/>
  <c r="I999" i="20"/>
  <c r="J1006" i="20"/>
  <c r="I1021" i="20"/>
  <c r="J1024" i="20"/>
  <c r="I1025" i="20"/>
  <c r="I1029" i="20"/>
  <c r="I1035" i="20"/>
  <c r="I1052" i="20"/>
  <c r="I1063" i="20"/>
  <c r="J1072" i="20"/>
  <c r="I1077" i="20"/>
  <c r="J1083" i="20"/>
  <c r="J1084" i="20"/>
  <c r="I1085" i="20"/>
  <c r="I1086" i="20"/>
  <c r="I1087" i="20"/>
  <c r="J1113" i="20"/>
  <c r="I1115" i="20"/>
  <c r="H1116" i="20"/>
  <c r="H1117" i="20"/>
  <c r="I1123" i="20"/>
  <c r="J1133" i="20"/>
  <c r="I1149" i="20"/>
  <c r="H1150" i="20"/>
  <c r="I1151" i="20"/>
  <c r="I1160" i="20"/>
  <c r="J1190" i="20"/>
  <c r="J1198" i="20"/>
  <c r="I1207" i="20"/>
  <c r="I1215" i="20"/>
  <c r="H1221" i="20"/>
  <c r="J1229" i="20"/>
  <c r="J1235" i="20"/>
  <c r="H837" i="20"/>
  <c r="J847" i="20"/>
  <c r="H883" i="20"/>
  <c r="J899" i="20"/>
  <c r="J901" i="20"/>
  <c r="H915" i="20"/>
  <c r="I916" i="20"/>
  <c r="I919" i="20"/>
  <c r="J931" i="20"/>
  <c r="I933" i="20"/>
  <c r="H934" i="20"/>
  <c r="J935" i="20"/>
  <c r="J947" i="20"/>
  <c r="I949" i="20"/>
  <c r="H950" i="20"/>
  <c r="J951" i="20"/>
  <c r="I962" i="20"/>
  <c r="H963" i="20"/>
  <c r="I964" i="20"/>
  <c r="H967" i="20"/>
  <c r="J978" i="20"/>
  <c r="J982" i="20"/>
  <c r="H989" i="20"/>
  <c r="I990" i="20"/>
  <c r="J993" i="20"/>
  <c r="H1020" i="20"/>
  <c r="H1021" i="20"/>
  <c r="I1022" i="20"/>
  <c r="J1025" i="20"/>
  <c r="J1029" i="20"/>
  <c r="H1048" i="20"/>
  <c r="H1059" i="20"/>
  <c r="I1062" i="20"/>
  <c r="H1068" i="20"/>
  <c r="J1069" i="20"/>
  <c r="J1092" i="20"/>
  <c r="H1112" i="20"/>
  <c r="H1113" i="20"/>
  <c r="J1115" i="20"/>
  <c r="I1116" i="20"/>
  <c r="J1123" i="20"/>
  <c r="H1128" i="20"/>
  <c r="H1129" i="20"/>
  <c r="J1130" i="20"/>
  <c r="I1132" i="20"/>
  <c r="H1137" i="20"/>
  <c r="I1147" i="20"/>
  <c r="I1148" i="20"/>
  <c r="J1149" i="20"/>
  <c r="I1150" i="20"/>
  <c r="J1182" i="20"/>
  <c r="I1183" i="20"/>
  <c r="H1197" i="20"/>
  <c r="I1198" i="20"/>
  <c r="J1202" i="20"/>
  <c r="H1213" i="20"/>
  <c r="I1221" i="20"/>
  <c r="J1227" i="20"/>
  <c r="H1233" i="20"/>
  <c r="I1235" i="20"/>
  <c r="I946" i="20"/>
  <c r="H977" i="20"/>
  <c r="H1016" i="20"/>
  <c r="H1044" i="20"/>
  <c r="H1067" i="20"/>
  <c r="H1091" i="20"/>
  <c r="J1109" i="20"/>
  <c r="I1113" i="20"/>
  <c r="H1181" i="20"/>
  <c r="H1189" i="20"/>
  <c r="H1193" i="20"/>
  <c r="J1194" i="20"/>
  <c r="I232" i="20"/>
  <c r="J232" i="20"/>
  <c r="I315" i="20"/>
  <c r="J315" i="20"/>
  <c r="I660" i="20"/>
  <c r="H660" i="20"/>
  <c r="J660" i="20"/>
  <c r="I14" i="20"/>
  <c r="H26" i="20"/>
  <c r="J27" i="20"/>
  <c r="H27" i="20"/>
  <c r="I27" i="20"/>
  <c r="I46" i="20"/>
  <c r="H58" i="20"/>
  <c r="J59" i="20"/>
  <c r="I59" i="20"/>
  <c r="H59" i="20"/>
  <c r="H82" i="20"/>
  <c r="I107" i="20"/>
  <c r="H119" i="20"/>
  <c r="H120" i="20"/>
  <c r="J120" i="20"/>
  <c r="I120" i="20"/>
  <c r="I139" i="20"/>
  <c r="H151" i="20"/>
  <c r="J152" i="20"/>
  <c r="I152" i="20"/>
  <c r="H152" i="20"/>
  <c r="I171" i="20"/>
  <c r="H183" i="20"/>
  <c r="H232" i="20"/>
  <c r="H315" i="20"/>
  <c r="H324" i="20"/>
  <c r="I324" i="20"/>
  <c r="J324" i="20"/>
  <c r="J363" i="20"/>
  <c r="I363" i="20"/>
  <c r="I388" i="20"/>
  <c r="J388" i="20"/>
  <c r="H388" i="20"/>
  <c r="J427" i="20"/>
  <c r="I427" i="20"/>
  <c r="J548" i="20"/>
  <c r="I548" i="20"/>
  <c r="H548" i="20"/>
  <c r="H46" i="20"/>
  <c r="I95" i="20"/>
  <c r="J95" i="20"/>
  <c r="J140" i="20"/>
  <c r="I140" i="20"/>
  <c r="H140" i="20"/>
  <c r="H171" i="20"/>
  <c r="J184" i="20"/>
  <c r="I184" i="20"/>
  <c r="I248" i="20"/>
  <c r="J248" i="20"/>
  <c r="J39" i="20"/>
  <c r="H39" i="20"/>
  <c r="I39" i="20"/>
  <c r="I58" i="20"/>
  <c r="H132" i="20"/>
  <c r="J132" i="20"/>
  <c r="I132" i="20"/>
  <c r="I188" i="20"/>
  <c r="J188" i="20"/>
  <c r="I236" i="20"/>
  <c r="J236" i="20"/>
  <c r="I323" i="20"/>
  <c r="J323" i="20"/>
  <c r="J348" i="20"/>
  <c r="I348" i="20"/>
  <c r="H348" i="20"/>
  <c r="J387" i="20"/>
  <c r="I387" i="20"/>
  <c r="I412" i="20"/>
  <c r="J412" i="20"/>
  <c r="H412" i="20"/>
  <c r="I448" i="20"/>
  <c r="J448" i="20"/>
  <c r="H448" i="20"/>
  <c r="J504" i="20"/>
  <c r="I504" i="20"/>
  <c r="J536" i="20"/>
  <c r="I536" i="20"/>
  <c r="H536" i="20"/>
  <c r="J827" i="20"/>
  <c r="I827" i="20"/>
  <c r="H827" i="20"/>
  <c r="H50" i="20"/>
  <c r="J51" i="20"/>
  <c r="H51" i="20"/>
  <c r="I51" i="20"/>
  <c r="J82" i="20"/>
  <c r="H86" i="20"/>
  <c r="H111" i="20"/>
  <c r="J112" i="20"/>
  <c r="I112" i="20"/>
  <c r="H112" i="20"/>
  <c r="H143" i="20"/>
  <c r="J144" i="20"/>
  <c r="H144" i="20"/>
  <c r="I144" i="20"/>
  <c r="H175" i="20"/>
  <c r="J176" i="20"/>
  <c r="H176" i="20"/>
  <c r="I176" i="20"/>
  <c r="H188" i="20"/>
  <c r="H236" i="20"/>
  <c r="I256" i="20"/>
  <c r="H256" i="20"/>
  <c r="J256" i="20"/>
  <c r="J260" i="20"/>
  <c r="I260" i="20"/>
  <c r="H260" i="20"/>
  <c r="I264" i="20"/>
  <c r="H264" i="20"/>
  <c r="J264" i="20"/>
  <c r="H268" i="20"/>
  <c r="J268" i="20"/>
  <c r="I268" i="20"/>
  <c r="I272" i="20"/>
  <c r="J272" i="20"/>
  <c r="H272" i="20"/>
  <c r="H276" i="20"/>
  <c r="J276" i="20"/>
  <c r="I276" i="20"/>
  <c r="I280" i="20"/>
  <c r="H280" i="20"/>
  <c r="J280" i="20"/>
  <c r="H284" i="20"/>
  <c r="J284" i="20"/>
  <c r="I284" i="20"/>
  <c r="I288" i="20"/>
  <c r="J288" i="20"/>
  <c r="H288" i="20"/>
  <c r="J292" i="20"/>
  <c r="I292" i="20"/>
  <c r="H292" i="20"/>
  <c r="I296" i="20"/>
  <c r="H296" i="20"/>
  <c r="J296" i="20"/>
  <c r="H300" i="20"/>
  <c r="J300" i="20"/>
  <c r="I300" i="20"/>
  <c r="H323" i="20"/>
  <c r="I332" i="20"/>
  <c r="J332" i="20"/>
  <c r="J347" i="20"/>
  <c r="I347" i="20"/>
  <c r="I372" i="20"/>
  <c r="J372" i="20"/>
  <c r="H372" i="20"/>
  <c r="H387" i="20"/>
  <c r="J411" i="20"/>
  <c r="I411" i="20"/>
  <c r="J436" i="20"/>
  <c r="I436" i="20"/>
  <c r="H436" i="20"/>
  <c r="I484" i="20"/>
  <c r="J484" i="20"/>
  <c r="H484" i="20"/>
  <c r="J501" i="20"/>
  <c r="I501" i="20"/>
  <c r="H503" i="20"/>
  <c r="J503" i="20"/>
  <c r="H504" i="20"/>
  <c r="J35" i="20"/>
  <c r="H35" i="20"/>
  <c r="I35" i="20"/>
  <c r="J67" i="20"/>
  <c r="H67" i="20"/>
  <c r="I67" i="20"/>
  <c r="J160" i="20"/>
  <c r="H160" i="20"/>
  <c r="I160" i="20"/>
  <c r="J379" i="20"/>
  <c r="I379" i="20"/>
  <c r="J2" i="20"/>
  <c r="I2" i="20"/>
  <c r="J15" i="20"/>
  <c r="H15" i="20"/>
  <c r="I15" i="20"/>
  <c r="J47" i="20"/>
  <c r="I47" i="20"/>
  <c r="H47" i="20"/>
  <c r="H139" i="20"/>
  <c r="J216" i="20"/>
  <c r="I216" i="20"/>
  <c r="I26" i="20"/>
  <c r="H100" i="20"/>
  <c r="J100" i="20"/>
  <c r="I100" i="20"/>
  <c r="I151" i="20"/>
  <c r="J19" i="20"/>
  <c r="I19" i="20"/>
  <c r="H19" i="20"/>
  <c r="I18" i="20"/>
  <c r="H30" i="20"/>
  <c r="J31" i="20"/>
  <c r="H31" i="20"/>
  <c r="I31" i="20"/>
  <c r="I50" i="20"/>
  <c r="H62" i="20"/>
  <c r="H63" i="20"/>
  <c r="J63" i="20"/>
  <c r="I63" i="20"/>
  <c r="I86" i="20"/>
  <c r="I87" i="20"/>
  <c r="J87" i="20"/>
  <c r="I111" i="20"/>
  <c r="H123" i="20"/>
  <c r="J124" i="20"/>
  <c r="H124" i="20"/>
  <c r="I124" i="20"/>
  <c r="I143" i="20"/>
  <c r="H155" i="20"/>
  <c r="H156" i="20"/>
  <c r="J156" i="20"/>
  <c r="I156" i="20"/>
  <c r="I175" i="20"/>
  <c r="J192" i="20"/>
  <c r="I192" i="20"/>
  <c r="I208" i="20"/>
  <c r="J208" i="20"/>
  <c r="I224" i="20"/>
  <c r="J224" i="20"/>
  <c r="J240" i="20"/>
  <c r="I240" i="20"/>
  <c r="J331" i="20"/>
  <c r="I331" i="20"/>
  <c r="H332" i="20"/>
  <c r="H347" i="20"/>
  <c r="J371" i="20"/>
  <c r="I371" i="20"/>
  <c r="J396" i="20"/>
  <c r="I396" i="20"/>
  <c r="H396" i="20"/>
  <c r="H411" i="20"/>
  <c r="J435" i="20"/>
  <c r="I435" i="20"/>
  <c r="H501" i="20"/>
  <c r="I503" i="20"/>
  <c r="H535" i="20"/>
  <c r="J535" i="20"/>
  <c r="I535" i="20"/>
  <c r="J629" i="20"/>
  <c r="I629" i="20"/>
  <c r="H629" i="20"/>
  <c r="I79" i="20"/>
  <c r="J79" i="20"/>
  <c r="J108" i="20"/>
  <c r="H108" i="20"/>
  <c r="I108" i="20"/>
  <c r="J172" i="20"/>
  <c r="I172" i="20"/>
  <c r="H172" i="20"/>
  <c r="J364" i="20"/>
  <c r="I364" i="20"/>
  <c r="H364" i="20"/>
  <c r="J403" i="20"/>
  <c r="I403" i="20"/>
  <c r="I119" i="20"/>
  <c r="J164" i="20"/>
  <c r="I164" i="20"/>
  <c r="H164" i="20"/>
  <c r="I204" i="20"/>
  <c r="J204" i="20"/>
  <c r="I220" i="20"/>
  <c r="J220" i="20"/>
  <c r="J252" i="20"/>
  <c r="I252" i="20"/>
  <c r="H18" i="20"/>
  <c r="J11" i="20"/>
  <c r="H11" i="20"/>
  <c r="I11" i="20"/>
  <c r="I30" i="20"/>
  <c r="H43" i="20"/>
  <c r="J43" i="20"/>
  <c r="I43" i="20"/>
  <c r="I62" i="20"/>
  <c r="H75" i="20"/>
  <c r="J75" i="20"/>
  <c r="I75" i="20"/>
  <c r="H104" i="20"/>
  <c r="J104" i="20"/>
  <c r="I104" i="20"/>
  <c r="I123" i="20"/>
  <c r="J136" i="20"/>
  <c r="I136" i="20"/>
  <c r="H136" i="20"/>
  <c r="I155" i="20"/>
  <c r="J168" i="20"/>
  <c r="H168" i="20"/>
  <c r="I168" i="20"/>
  <c r="H308" i="20"/>
  <c r="J308" i="20"/>
  <c r="I308" i="20"/>
  <c r="H331" i="20"/>
  <c r="I356" i="20"/>
  <c r="J356" i="20"/>
  <c r="H356" i="20"/>
  <c r="J395" i="20"/>
  <c r="I395" i="20"/>
  <c r="J420" i="20"/>
  <c r="I420" i="20"/>
  <c r="H420" i="20"/>
  <c r="H445" i="20"/>
  <c r="J445" i="20"/>
  <c r="I447" i="20"/>
  <c r="J447" i="20"/>
  <c r="H447" i="20"/>
  <c r="H483" i="20"/>
  <c r="J483" i="20"/>
  <c r="I483" i="20"/>
  <c r="J533" i="20"/>
  <c r="I533" i="20"/>
  <c r="H533" i="20"/>
  <c r="I724" i="20"/>
  <c r="H724" i="20"/>
  <c r="J724" i="20"/>
  <c r="J128" i="20"/>
  <c r="I128" i="20"/>
  <c r="H128" i="20"/>
  <c r="H316" i="20"/>
  <c r="J316" i="20"/>
  <c r="I316" i="20"/>
  <c r="I340" i="20"/>
  <c r="J340" i="20"/>
  <c r="H340" i="20"/>
  <c r="I404" i="20"/>
  <c r="J404" i="20"/>
  <c r="H404" i="20"/>
  <c r="J443" i="20"/>
  <c r="I443" i="20"/>
  <c r="H14" i="20"/>
  <c r="H107" i="20"/>
  <c r="I200" i="20"/>
  <c r="J200" i="20"/>
  <c r="J339" i="20"/>
  <c r="I339" i="20"/>
  <c r="H379" i="20"/>
  <c r="I428" i="20"/>
  <c r="J428" i="20"/>
  <c r="H428" i="20"/>
  <c r="J7" i="20"/>
  <c r="I7" i="20"/>
  <c r="H7" i="20"/>
  <c r="J71" i="20"/>
  <c r="I71" i="20"/>
  <c r="H71" i="20"/>
  <c r="J83" i="20"/>
  <c r="I83" i="20"/>
  <c r="I183" i="20"/>
  <c r="H22" i="20"/>
  <c r="J23" i="20"/>
  <c r="H23" i="20"/>
  <c r="I23" i="20"/>
  <c r="H54" i="20"/>
  <c r="J55" i="20"/>
  <c r="H55" i="20"/>
  <c r="I55" i="20"/>
  <c r="J91" i="20"/>
  <c r="I91" i="20"/>
  <c r="H115" i="20"/>
  <c r="J116" i="20"/>
  <c r="I116" i="20"/>
  <c r="H116" i="20"/>
  <c r="H147" i="20"/>
  <c r="H148" i="20"/>
  <c r="J148" i="20"/>
  <c r="I148" i="20"/>
  <c r="H179" i="20"/>
  <c r="H180" i="20"/>
  <c r="J180" i="20"/>
  <c r="I180" i="20"/>
  <c r="I196" i="20"/>
  <c r="J196" i="20"/>
  <c r="I212" i="20"/>
  <c r="J212" i="20"/>
  <c r="J228" i="20"/>
  <c r="I228" i="20"/>
  <c r="I244" i="20"/>
  <c r="J244" i="20"/>
  <c r="I307" i="20"/>
  <c r="J307" i="20"/>
  <c r="J355" i="20"/>
  <c r="I355" i="20"/>
  <c r="J380" i="20"/>
  <c r="I380" i="20"/>
  <c r="H380" i="20"/>
  <c r="J419" i="20"/>
  <c r="I419" i="20"/>
  <c r="I444" i="20"/>
  <c r="J444" i="20"/>
  <c r="J481" i="20"/>
  <c r="I481" i="20"/>
  <c r="J482" i="20"/>
  <c r="H482" i="20"/>
  <c r="I482" i="20"/>
  <c r="H628" i="20"/>
  <c r="J628" i="20"/>
  <c r="I628" i="20"/>
  <c r="H627" i="20"/>
  <c r="J627" i="20"/>
  <c r="I627" i="20"/>
  <c r="J888" i="20"/>
  <c r="H888" i="20"/>
  <c r="I888" i="20"/>
  <c r="H973" i="20"/>
  <c r="J973" i="20"/>
  <c r="I973" i="20"/>
  <c r="J505" i="20"/>
  <c r="I505" i="20"/>
  <c r="J531" i="20"/>
  <c r="I532" i="20"/>
  <c r="J537" i="20"/>
  <c r="I537" i="20"/>
  <c r="J547" i="20"/>
  <c r="J549" i="20"/>
  <c r="I549" i="20"/>
  <c r="J624" i="20"/>
  <c r="H631" i="20"/>
  <c r="J631" i="20"/>
  <c r="J633" i="20"/>
  <c r="I633" i="20"/>
  <c r="J643" i="20"/>
  <c r="I643" i="20"/>
  <c r="H643" i="20"/>
  <c r="J647" i="20"/>
  <c r="H647" i="20"/>
  <c r="J663" i="20"/>
  <c r="I663" i="20"/>
  <c r="I664" i="20"/>
  <c r="H664" i="20"/>
  <c r="J664" i="20"/>
  <c r="J707" i="20"/>
  <c r="I707" i="20"/>
  <c r="H707" i="20"/>
  <c r="J711" i="20"/>
  <c r="H711" i="20"/>
  <c r="J727" i="20"/>
  <c r="I727" i="20"/>
  <c r="I728" i="20"/>
  <c r="H728" i="20"/>
  <c r="J728" i="20"/>
  <c r="J771" i="20"/>
  <c r="I771" i="20"/>
  <c r="H771" i="20"/>
  <c r="J792" i="20"/>
  <c r="I792" i="20"/>
  <c r="H792" i="20"/>
  <c r="H882" i="20"/>
  <c r="J882" i="20"/>
  <c r="I882" i="20"/>
  <c r="H988" i="20"/>
  <c r="J988" i="20"/>
  <c r="I988" i="20"/>
  <c r="H505" i="20"/>
  <c r="J509" i="20"/>
  <c r="I509" i="20"/>
  <c r="H635" i="20"/>
  <c r="J635" i="20"/>
  <c r="I637" i="20"/>
  <c r="J637" i="20"/>
  <c r="I668" i="20"/>
  <c r="H668" i="20"/>
  <c r="J668" i="20"/>
  <c r="I732" i="20"/>
  <c r="H732" i="20"/>
  <c r="J732" i="20"/>
  <c r="J795" i="20"/>
  <c r="I795" i="20"/>
  <c r="H795" i="20"/>
  <c r="J826" i="20"/>
  <c r="I826" i="20"/>
  <c r="H826" i="20"/>
  <c r="H985" i="20"/>
  <c r="J985" i="20"/>
  <c r="I985" i="20"/>
  <c r="J1158" i="20"/>
  <c r="H1158" i="20"/>
  <c r="I1158" i="20"/>
  <c r="H301" i="20"/>
  <c r="H309" i="20"/>
  <c r="H317" i="20"/>
  <c r="I780" i="20"/>
  <c r="H780" i="20"/>
  <c r="H3" i="20"/>
  <c r="H80" i="20"/>
  <c r="H84" i="20"/>
  <c r="H88" i="20"/>
  <c r="H92" i="20"/>
  <c r="H96" i="20"/>
  <c r="H185" i="20"/>
  <c r="H189" i="20"/>
  <c r="H193" i="20"/>
  <c r="H197" i="20"/>
  <c r="H201" i="20"/>
  <c r="H205" i="20"/>
  <c r="H209" i="20"/>
  <c r="H213" i="20"/>
  <c r="H217" i="20"/>
  <c r="H221" i="20"/>
  <c r="H225" i="20"/>
  <c r="H229" i="20"/>
  <c r="H233" i="20"/>
  <c r="H237" i="20"/>
  <c r="H241" i="20"/>
  <c r="H245" i="20"/>
  <c r="H249" i="20"/>
  <c r="H253" i="20"/>
  <c r="H257" i="20"/>
  <c r="H261" i="20"/>
  <c r="H265" i="20"/>
  <c r="H269" i="20"/>
  <c r="H273" i="20"/>
  <c r="H277" i="20"/>
  <c r="H281" i="20"/>
  <c r="H285" i="20"/>
  <c r="H289" i="20"/>
  <c r="H293" i="20"/>
  <c r="H297" i="20"/>
  <c r="I301" i="20"/>
  <c r="H302" i="20"/>
  <c r="I309" i="20"/>
  <c r="H310" i="20"/>
  <c r="I317" i="20"/>
  <c r="H318" i="20"/>
  <c r="I325" i="20"/>
  <c r="H326" i="20"/>
  <c r="I333" i="20"/>
  <c r="H334" i="20"/>
  <c r="I341" i="20"/>
  <c r="H342" i="20"/>
  <c r="I349" i="20"/>
  <c r="H350" i="20"/>
  <c r="I357" i="20"/>
  <c r="H358" i="20"/>
  <c r="I365" i="20"/>
  <c r="H366" i="20"/>
  <c r="I373" i="20"/>
  <c r="H374" i="20"/>
  <c r="I381" i="20"/>
  <c r="H382" i="20"/>
  <c r="I389" i="20"/>
  <c r="H390" i="20"/>
  <c r="I397" i="20"/>
  <c r="H398" i="20"/>
  <c r="I405" i="20"/>
  <c r="H406" i="20"/>
  <c r="I413" i="20"/>
  <c r="H414" i="20"/>
  <c r="I421" i="20"/>
  <c r="H422" i="20"/>
  <c r="I429" i="20"/>
  <c r="H430" i="20"/>
  <c r="I437" i="20"/>
  <c r="H438" i="20"/>
  <c r="I449" i="20"/>
  <c r="H450" i="20"/>
  <c r="I485" i="20"/>
  <c r="I487" i="20"/>
  <c r="H488" i="20"/>
  <c r="J511" i="20"/>
  <c r="I512" i="20"/>
  <c r="I515" i="20"/>
  <c r="H516" i="20"/>
  <c r="J517" i="20"/>
  <c r="I517" i="20"/>
  <c r="I540" i="20"/>
  <c r="J551" i="20"/>
  <c r="H552" i="20"/>
  <c r="J553" i="20"/>
  <c r="I553" i="20"/>
  <c r="J636" i="20"/>
  <c r="I692" i="20"/>
  <c r="H692" i="20"/>
  <c r="J692" i="20"/>
  <c r="I756" i="20"/>
  <c r="H756" i="20"/>
  <c r="J756" i="20"/>
  <c r="J780" i="20"/>
  <c r="J868" i="20"/>
  <c r="H868" i="20"/>
  <c r="J871" i="20"/>
  <c r="I871" i="20"/>
  <c r="H325" i="20"/>
  <c r="J541" i="20"/>
  <c r="I541" i="20"/>
  <c r="I652" i="20"/>
  <c r="H652" i="20"/>
  <c r="J671" i="20"/>
  <c r="H671" i="20"/>
  <c r="I716" i="20"/>
  <c r="H716" i="20"/>
  <c r="J735" i="20"/>
  <c r="H735" i="20"/>
  <c r="J872" i="20"/>
  <c r="H872" i="20"/>
  <c r="I3" i="20"/>
  <c r="I80" i="20"/>
  <c r="I84" i="20"/>
  <c r="I88" i="20"/>
  <c r="I92" i="20"/>
  <c r="I96" i="20"/>
  <c r="I185" i="20"/>
  <c r="I189" i="20"/>
  <c r="I193" i="20"/>
  <c r="I197" i="20"/>
  <c r="I201" i="20"/>
  <c r="I205" i="20"/>
  <c r="I209" i="20"/>
  <c r="I213" i="20"/>
  <c r="I217" i="20"/>
  <c r="I221" i="20"/>
  <c r="I225" i="20"/>
  <c r="I229" i="20"/>
  <c r="I233" i="20"/>
  <c r="I237" i="20"/>
  <c r="I241" i="20"/>
  <c r="I245" i="20"/>
  <c r="I249" i="20"/>
  <c r="I253" i="20"/>
  <c r="I257" i="20"/>
  <c r="I261" i="20"/>
  <c r="I265" i="20"/>
  <c r="I269" i="20"/>
  <c r="I273" i="20"/>
  <c r="I277" i="20"/>
  <c r="I281" i="20"/>
  <c r="I285" i="20"/>
  <c r="I289" i="20"/>
  <c r="I293" i="20"/>
  <c r="I297" i="20"/>
  <c r="I302" i="20"/>
  <c r="I310" i="20"/>
  <c r="I318" i="20"/>
  <c r="I326" i="20"/>
  <c r="I334" i="20"/>
  <c r="I342" i="20"/>
  <c r="I350" i="20"/>
  <c r="I358" i="20"/>
  <c r="I366" i="20"/>
  <c r="I374" i="20"/>
  <c r="I382" i="20"/>
  <c r="I390" i="20"/>
  <c r="I398" i="20"/>
  <c r="I406" i="20"/>
  <c r="I414" i="20"/>
  <c r="I422" i="20"/>
  <c r="I430" i="20"/>
  <c r="I438" i="20"/>
  <c r="I450" i="20"/>
  <c r="J487" i="20"/>
  <c r="I488" i="20"/>
  <c r="J490" i="20"/>
  <c r="H490" i="20"/>
  <c r="J515" i="20"/>
  <c r="I516" i="20"/>
  <c r="J521" i="20"/>
  <c r="I521" i="20"/>
  <c r="I552" i="20"/>
  <c r="J675" i="20"/>
  <c r="I675" i="20"/>
  <c r="H675" i="20"/>
  <c r="J679" i="20"/>
  <c r="H679" i="20"/>
  <c r="J695" i="20"/>
  <c r="I695" i="20"/>
  <c r="I696" i="20"/>
  <c r="H696" i="20"/>
  <c r="J696" i="20"/>
  <c r="J739" i="20"/>
  <c r="I739" i="20"/>
  <c r="H739" i="20"/>
  <c r="J759" i="20"/>
  <c r="I759" i="20"/>
  <c r="I760" i="20"/>
  <c r="H760" i="20"/>
  <c r="J760" i="20"/>
  <c r="J808" i="20"/>
  <c r="I808" i="20"/>
  <c r="H808" i="20"/>
  <c r="J910" i="20"/>
  <c r="H910" i="20"/>
  <c r="J928" i="20"/>
  <c r="H928" i="20"/>
  <c r="I928" i="20"/>
  <c r="J1031" i="20"/>
  <c r="I1031" i="20"/>
  <c r="H1031" i="20"/>
  <c r="J486" i="20"/>
  <c r="H486" i="20"/>
  <c r="J513" i="20"/>
  <c r="I513" i="20"/>
  <c r="J493" i="20"/>
  <c r="I493" i="20"/>
  <c r="J525" i="20"/>
  <c r="I525" i="20"/>
  <c r="J545" i="20"/>
  <c r="I545" i="20"/>
  <c r="J557" i="20"/>
  <c r="I557" i="20"/>
  <c r="H559" i="20"/>
  <c r="J559" i="20"/>
  <c r="J561" i="20"/>
  <c r="I561" i="20"/>
  <c r="H563" i="20"/>
  <c r="J563" i="20"/>
  <c r="J565" i="20"/>
  <c r="I565" i="20"/>
  <c r="H567" i="20"/>
  <c r="J567" i="20"/>
  <c r="J569" i="20"/>
  <c r="I569" i="20"/>
  <c r="H571" i="20"/>
  <c r="J571" i="20"/>
  <c r="J573" i="20"/>
  <c r="I573" i="20"/>
  <c r="H575" i="20"/>
  <c r="J575" i="20"/>
  <c r="J577" i="20"/>
  <c r="I577" i="20"/>
  <c r="H579" i="20"/>
  <c r="J579" i="20"/>
  <c r="J581" i="20"/>
  <c r="I581" i="20"/>
  <c r="H583" i="20"/>
  <c r="J583" i="20"/>
  <c r="J585" i="20"/>
  <c r="I585" i="20"/>
  <c r="H587" i="20"/>
  <c r="J587" i="20"/>
  <c r="J589" i="20"/>
  <c r="I589" i="20"/>
  <c r="H591" i="20"/>
  <c r="J591" i="20"/>
  <c r="J593" i="20"/>
  <c r="I593" i="20"/>
  <c r="H595" i="20"/>
  <c r="J595" i="20"/>
  <c r="J597" i="20"/>
  <c r="I597" i="20"/>
  <c r="H599" i="20"/>
  <c r="J599" i="20"/>
  <c r="J601" i="20"/>
  <c r="I601" i="20"/>
  <c r="H603" i="20"/>
  <c r="J603" i="20"/>
  <c r="J605" i="20"/>
  <c r="I605" i="20"/>
  <c r="H607" i="20"/>
  <c r="J607" i="20"/>
  <c r="J609" i="20"/>
  <c r="I609" i="20"/>
  <c r="H611" i="20"/>
  <c r="J611" i="20"/>
  <c r="J613" i="20"/>
  <c r="I613" i="20"/>
  <c r="H615" i="20"/>
  <c r="J615" i="20"/>
  <c r="J617" i="20"/>
  <c r="I617" i="20"/>
  <c r="H619" i="20"/>
  <c r="J619" i="20"/>
  <c r="J621" i="20"/>
  <c r="I621" i="20"/>
  <c r="I700" i="20"/>
  <c r="H700" i="20"/>
  <c r="J700" i="20"/>
  <c r="J811" i="20"/>
  <c r="I811" i="20"/>
  <c r="H811" i="20"/>
  <c r="I910" i="20"/>
  <c r="H1004" i="20"/>
  <c r="I1004" i="20"/>
  <c r="J1004" i="20"/>
  <c r="J1013" i="20"/>
  <c r="I1013" i="20"/>
  <c r="H1013" i="20"/>
  <c r="J462" i="20"/>
  <c r="H462" i="20"/>
  <c r="J470" i="20"/>
  <c r="H470" i="20"/>
  <c r="J478" i="20"/>
  <c r="H478" i="20"/>
  <c r="J497" i="20"/>
  <c r="I497" i="20"/>
  <c r="J529" i="20"/>
  <c r="I529" i="20"/>
  <c r="H623" i="20"/>
  <c r="J623" i="20"/>
  <c r="J625" i="20"/>
  <c r="I625" i="20"/>
  <c r="I684" i="20"/>
  <c r="H684" i="20"/>
  <c r="J703" i="20"/>
  <c r="H703" i="20"/>
  <c r="I748" i="20"/>
  <c r="H748" i="20"/>
  <c r="J767" i="20"/>
  <c r="H767" i="20"/>
  <c r="J894" i="20"/>
  <c r="H894" i="20"/>
  <c r="I894" i="20"/>
  <c r="J788" i="20"/>
  <c r="I788" i="20"/>
  <c r="H788" i="20"/>
  <c r="J804" i="20"/>
  <c r="I804" i="20"/>
  <c r="H804" i="20"/>
  <c r="J856" i="20"/>
  <c r="H856" i="20"/>
  <c r="J884" i="20"/>
  <c r="H884" i="20"/>
  <c r="I884" i="20"/>
  <c r="H889" i="20"/>
  <c r="J889" i="20"/>
  <c r="J1061" i="20"/>
  <c r="H1061" i="20"/>
  <c r="I1061" i="20"/>
  <c r="I672" i="20"/>
  <c r="H672" i="20"/>
  <c r="I704" i="20"/>
  <c r="H704" i="20"/>
  <c r="I736" i="20"/>
  <c r="H736" i="20"/>
  <c r="I768" i="20"/>
  <c r="H768" i="20"/>
  <c r="I856" i="20"/>
  <c r="I889" i="20"/>
  <c r="J912" i="20"/>
  <c r="H912" i="20"/>
  <c r="I912" i="20"/>
  <c r="H929" i="20"/>
  <c r="J929" i="20"/>
  <c r="I929" i="20"/>
  <c r="J954" i="20"/>
  <c r="I954" i="20"/>
  <c r="H954" i="20"/>
  <c r="I1000" i="20"/>
  <c r="H1001" i="20"/>
  <c r="H1002" i="20"/>
  <c r="J1014" i="20"/>
  <c r="I1014" i="20"/>
  <c r="H1014" i="20"/>
  <c r="H1032" i="20"/>
  <c r="J1032" i="20"/>
  <c r="I1032" i="20"/>
  <c r="J1159" i="20"/>
  <c r="H1159" i="20"/>
  <c r="I1159" i="20"/>
  <c r="H953" i="20"/>
  <c r="J953" i="20"/>
  <c r="I953" i="20"/>
  <c r="J958" i="20"/>
  <c r="I958" i="20"/>
  <c r="H958" i="20"/>
  <c r="J971" i="20"/>
  <c r="I971" i="20"/>
  <c r="J972" i="20"/>
  <c r="H972" i="20"/>
  <c r="I972" i="20"/>
  <c r="J984" i="20"/>
  <c r="H984" i="20"/>
  <c r="J1089" i="20"/>
  <c r="I1089" i="20"/>
  <c r="J1120" i="20"/>
  <c r="I1120" i="20"/>
  <c r="H1120" i="20"/>
  <c r="I644" i="20"/>
  <c r="H644" i="20"/>
  <c r="I676" i="20"/>
  <c r="H676" i="20"/>
  <c r="I708" i="20"/>
  <c r="H708" i="20"/>
  <c r="I740" i="20"/>
  <c r="H740" i="20"/>
  <c r="I772" i="20"/>
  <c r="H772" i="20"/>
  <c r="J796" i="20"/>
  <c r="I796" i="20"/>
  <c r="H796" i="20"/>
  <c r="J812" i="20"/>
  <c r="I812" i="20"/>
  <c r="H812" i="20"/>
  <c r="H825" i="20"/>
  <c r="J825" i="20"/>
  <c r="J887" i="20"/>
  <c r="I887" i="20"/>
  <c r="H887" i="20"/>
  <c r="H893" i="20"/>
  <c r="I893" i="20"/>
  <c r="H909" i="20"/>
  <c r="I909" i="20"/>
  <c r="J909" i="20"/>
  <c r="J968" i="20"/>
  <c r="H968" i="20"/>
  <c r="I969" i="20"/>
  <c r="H970" i="20"/>
  <c r="H971" i="20"/>
  <c r="H983" i="20"/>
  <c r="I984" i="20"/>
  <c r="J987" i="20"/>
  <c r="I987" i="20"/>
  <c r="H987" i="20"/>
  <c r="J1088" i="20"/>
  <c r="I1088" i="20"/>
  <c r="H1089" i="20"/>
  <c r="H494" i="20"/>
  <c r="H498" i="20"/>
  <c r="H502" i="20"/>
  <c r="H506" i="20"/>
  <c r="H510" i="20"/>
  <c r="H514" i="20"/>
  <c r="H518" i="20"/>
  <c r="H522" i="20"/>
  <c r="H526" i="20"/>
  <c r="H530" i="20"/>
  <c r="H534" i="20"/>
  <c r="H538" i="20"/>
  <c r="I656" i="20"/>
  <c r="H656" i="20"/>
  <c r="I688" i="20"/>
  <c r="H688" i="20"/>
  <c r="I720" i="20"/>
  <c r="H720" i="20"/>
  <c r="I752" i="20"/>
  <c r="H752" i="20"/>
  <c r="I784" i="20"/>
  <c r="H784" i="20"/>
  <c r="J820" i="20"/>
  <c r="H820" i="20"/>
  <c r="J824" i="20"/>
  <c r="H824" i="20"/>
  <c r="J886" i="20"/>
  <c r="I886" i="20"/>
  <c r="J892" i="20"/>
  <c r="H892" i="20"/>
  <c r="I892" i="20"/>
  <c r="J926" i="20"/>
  <c r="H926" i="20"/>
  <c r="I926" i="20"/>
  <c r="H957" i="20"/>
  <c r="J957" i="20"/>
  <c r="I957" i="20"/>
  <c r="J967" i="20"/>
  <c r="I967" i="20"/>
  <c r="J969" i="20"/>
  <c r="I970" i="20"/>
  <c r="I983" i="20"/>
  <c r="J1086" i="20"/>
  <c r="H1086" i="20"/>
  <c r="H1087" i="20"/>
  <c r="J1087" i="20"/>
  <c r="I764" i="20"/>
  <c r="H764" i="20"/>
  <c r="J800" i="20"/>
  <c r="I800" i="20"/>
  <c r="H800" i="20"/>
  <c r="J816" i="20"/>
  <c r="I816" i="20"/>
  <c r="H816" i="20"/>
  <c r="J860" i="20"/>
  <c r="H860" i="20"/>
  <c r="I860" i="20"/>
  <c r="H885" i="20"/>
  <c r="J885" i="20"/>
  <c r="J891" i="20"/>
  <c r="I891" i="20"/>
  <c r="J942" i="20"/>
  <c r="I942" i="20"/>
  <c r="H942" i="20"/>
  <c r="J956" i="20"/>
  <c r="H956" i="20"/>
  <c r="I956" i="20"/>
  <c r="I648" i="20"/>
  <c r="H648" i="20"/>
  <c r="I667" i="20"/>
  <c r="I680" i="20"/>
  <c r="H680" i="20"/>
  <c r="I699" i="20"/>
  <c r="I712" i="20"/>
  <c r="H712" i="20"/>
  <c r="I731" i="20"/>
  <c r="H743" i="20"/>
  <c r="I744" i="20"/>
  <c r="H744" i="20"/>
  <c r="I763" i="20"/>
  <c r="J764" i="20"/>
  <c r="H775" i="20"/>
  <c r="I776" i="20"/>
  <c r="H776" i="20"/>
  <c r="I799" i="20"/>
  <c r="I815" i="20"/>
  <c r="I823" i="20"/>
  <c r="J859" i="20"/>
  <c r="I859" i="20"/>
  <c r="I885" i="20"/>
  <c r="J890" i="20"/>
  <c r="I890" i="20"/>
  <c r="H891" i="20"/>
  <c r="H913" i="20"/>
  <c r="I913" i="20"/>
  <c r="J955" i="20"/>
  <c r="I955" i="20"/>
  <c r="H955" i="20"/>
  <c r="J1033" i="20"/>
  <c r="I1033" i="20"/>
  <c r="H1033" i="20"/>
  <c r="H1071" i="20"/>
  <c r="J1071" i="20"/>
  <c r="I1071" i="20"/>
  <c r="I1076" i="20"/>
  <c r="H1076" i="20"/>
  <c r="J1076" i="20"/>
  <c r="J1206" i="20"/>
  <c r="I1206" i="20"/>
  <c r="H1206" i="20"/>
  <c r="J828" i="20"/>
  <c r="H828" i="20"/>
  <c r="H881" i="20"/>
  <c r="I881" i="20"/>
  <c r="J907" i="20"/>
  <c r="I907" i="20"/>
  <c r="J908" i="20"/>
  <c r="H908" i="20"/>
  <c r="I908" i="20"/>
  <c r="H925" i="20"/>
  <c r="I925" i="20"/>
  <c r="H941" i="20"/>
  <c r="J941" i="20"/>
  <c r="I941" i="20"/>
  <c r="J952" i="20"/>
  <c r="H952" i="20"/>
  <c r="J1015" i="20"/>
  <c r="H1015" i="20"/>
  <c r="H1028" i="20"/>
  <c r="I1028" i="20"/>
  <c r="H1030" i="20"/>
  <c r="J1030" i="20"/>
  <c r="J1058" i="20"/>
  <c r="H1058" i="20"/>
  <c r="I1058" i="20"/>
  <c r="J1070" i="20"/>
  <c r="H1070" i="20"/>
  <c r="I1070" i="20"/>
  <c r="H1157" i="20"/>
  <c r="I1157" i="20"/>
  <c r="J1157" i="20"/>
  <c r="I828" i="20"/>
  <c r="I829" i="20"/>
  <c r="I830" i="20"/>
  <c r="J832" i="20"/>
  <c r="H832" i="20"/>
  <c r="J878" i="20"/>
  <c r="H878" i="20"/>
  <c r="J880" i="20"/>
  <c r="H880" i="20"/>
  <c r="I880" i="20"/>
  <c r="J881" i="20"/>
  <c r="J900" i="20"/>
  <c r="H900" i="20"/>
  <c r="I901" i="20"/>
  <c r="H902" i="20"/>
  <c r="J904" i="20"/>
  <c r="H904" i="20"/>
  <c r="I905" i="20"/>
  <c r="H906" i="20"/>
  <c r="H907" i="20"/>
  <c r="J923" i="20"/>
  <c r="I923" i="20"/>
  <c r="J924" i="20"/>
  <c r="H924" i="20"/>
  <c r="I924" i="20"/>
  <c r="J925" i="20"/>
  <c r="J939" i="20"/>
  <c r="I939" i="20"/>
  <c r="J940" i="20"/>
  <c r="H940" i="20"/>
  <c r="I940" i="20"/>
  <c r="H951" i="20"/>
  <c r="I952" i="20"/>
  <c r="I1015" i="20"/>
  <c r="H1017" i="20"/>
  <c r="J1017" i="20"/>
  <c r="I1017" i="20"/>
  <c r="J1027" i="20"/>
  <c r="I1027" i="20"/>
  <c r="J1028" i="20"/>
  <c r="I1030" i="20"/>
  <c r="H1075" i="20"/>
  <c r="J1075" i="20"/>
  <c r="I1075" i="20"/>
  <c r="H1152" i="20"/>
  <c r="J1152" i="20"/>
  <c r="I1152" i="20"/>
  <c r="J836" i="20"/>
  <c r="H836" i="20"/>
  <c r="H845" i="20"/>
  <c r="I845" i="20"/>
  <c r="J848" i="20"/>
  <c r="H848" i="20"/>
  <c r="H877" i="20"/>
  <c r="I877" i="20"/>
  <c r="H897" i="20"/>
  <c r="I897" i="20"/>
  <c r="J920" i="20"/>
  <c r="H920" i="20"/>
  <c r="J936" i="20"/>
  <c r="H936" i="20"/>
  <c r="J974" i="20"/>
  <c r="I974" i="20"/>
  <c r="H974" i="20"/>
  <c r="J1057" i="20"/>
  <c r="H1057" i="20"/>
  <c r="I1057" i="20"/>
  <c r="J1093" i="20"/>
  <c r="I1093" i="20"/>
  <c r="J1094" i="20"/>
  <c r="H1094" i="20"/>
  <c r="I1094" i="20"/>
  <c r="J833" i="20"/>
  <c r="H835" i="20"/>
  <c r="I836" i="20"/>
  <c r="J837" i="20"/>
  <c r="H839" i="20"/>
  <c r="J840" i="20"/>
  <c r="H840" i="20"/>
  <c r="J843" i="20"/>
  <c r="I843" i="20"/>
  <c r="J844" i="20"/>
  <c r="H844" i="20"/>
  <c r="I844" i="20"/>
  <c r="J845" i="20"/>
  <c r="J846" i="20"/>
  <c r="I848" i="20"/>
  <c r="I849" i="20"/>
  <c r="J852" i="20"/>
  <c r="H852" i="20"/>
  <c r="I853" i="20"/>
  <c r="H861" i="20"/>
  <c r="I861" i="20"/>
  <c r="I862" i="20"/>
  <c r="J864" i="20"/>
  <c r="H864" i="20"/>
  <c r="J875" i="20"/>
  <c r="I875" i="20"/>
  <c r="J876" i="20"/>
  <c r="H876" i="20"/>
  <c r="I876" i="20"/>
  <c r="J877" i="20"/>
  <c r="J896" i="20"/>
  <c r="H896" i="20"/>
  <c r="I896" i="20"/>
  <c r="J897" i="20"/>
  <c r="J898" i="20"/>
  <c r="I903" i="20"/>
  <c r="I914" i="20"/>
  <c r="H914" i="20"/>
  <c r="H919" i="20"/>
  <c r="I920" i="20"/>
  <c r="J921" i="20"/>
  <c r="I922" i="20"/>
  <c r="I930" i="20"/>
  <c r="H930" i="20"/>
  <c r="H935" i="20"/>
  <c r="I936" i="20"/>
  <c r="J937" i="20"/>
  <c r="I938" i="20"/>
  <c r="I1034" i="20"/>
  <c r="J1034" i="20"/>
  <c r="H1034" i="20"/>
  <c r="J1090" i="20"/>
  <c r="H1090" i="20"/>
  <c r="I1091" i="20"/>
  <c r="H1092" i="20"/>
  <c r="H1093" i="20"/>
  <c r="J990" i="20"/>
  <c r="H990" i="20"/>
  <c r="J991" i="20"/>
  <c r="H991" i="20"/>
  <c r="H1051" i="20"/>
  <c r="J1051" i="20"/>
  <c r="I1051" i="20"/>
  <c r="J1097" i="20"/>
  <c r="I1097" i="20"/>
  <c r="H1097" i="20"/>
  <c r="J1114" i="20"/>
  <c r="I1114" i="20"/>
  <c r="H1114" i="20"/>
  <c r="I1124" i="20"/>
  <c r="H1124" i="20"/>
  <c r="J1124" i="20"/>
  <c r="H1180" i="20"/>
  <c r="J1180" i="20"/>
  <c r="I1180" i="20"/>
  <c r="H1192" i="20"/>
  <c r="J1192" i="20"/>
  <c r="I1192" i="20"/>
  <c r="J944" i="20"/>
  <c r="H944" i="20"/>
  <c r="J960" i="20"/>
  <c r="H960" i="20"/>
  <c r="J976" i="20"/>
  <c r="H976" i="20"/>
  <c r="H1036" i="20"/>
  <c r="I1036" i="20"/>
  <c r="J1043" i="20"/>
  <c r="I1043" i="20"/>
  <c r="H1043" i="20"/>
  <c r="J1081" i="20"/>
  <c r="I1081" i="20"/>
  <c r="H1081" i="20"/>
  <c r="J1096" i="20"/>
  <c r="I1096" i="20"/>
  <c r="J1155" i="20"/>
  <c r="H1155" i="20"/>
  <c r="J1174" i="20"/>
  <c r="I1174" i="20"/>
  <c r="H1174" i="20"/>
  <c r="J1179" i="20"/>
  <c r="H1179" i="20"/>
  <c r="I1179" i="20"/>
  <c r="I895" i="20"/>
  <c r="I911" i="20"/>
  <c r="I927" i="20"/>
  <c r="I943" i="20"/>
  <c r="I944" i="20"/>
  <c r="I945" i="20"/>
  <c r="H946" i="20"/>
  <c r="I959" i="20"/>
  <c r="I960" i="20"/>
  <c r="I961" i="20"/>
  <c r="H962" i="20"/>
  <c r="I976" i="20"/>
  <c r="I977" i="20"/>
  <c r="H978" i="20"/>
  <c r="H994" i="20"/>
  <c r="H1007" i="20"/>
  <c r="H1008" i="20"/>
  <c r="J1008" i="20"/>
  <c r="J1009" i="20"/>
  <c r="H1009" i="20"/>
  <c r="H1019" i="20"/>
  <c r="I1020" i="20"/>
  <c r="J1022" i="20"/>
  <c r="H1022" i="20"/>
  <c r="J1023" i="20"/>
  <c r="H1023" i="20"/>
  <c r="J1036" i="20"/>
  <c r="H1038" i="20"/>
  <c r="J1039" i="20"/>
  <c r="I1039" i="20"/>
  <c r="I1041" i="20"/>
  <c r="H1041" i="20"/>
  <c r="H1046" i="20"/>
  <c r="J1047" i="20"/>
  <c r="I1047" i="20"/>
  <c r="J1050" i="20"/>
  <c r="I1050" i="20"/>
  <c r="H1050" i="20"/>
  <c r="J1064" i="20"/>
  <c r="I1064" i="20"/>
  <c r="H1064" i="20"/>
  <c r="H1096" i="20"/>
  <c r="I1108" i="20"/>
  <c r="J1110" i="20"/>
  <c r="I1110" i="20"/>
  <c r="H1110" i="20"/>
  <c r="J1112" i="20"/>
  <c r="I1155" i="20"/>
  <c r="J916" i="20"/>
  <c r="H916" i="20"/>
  <c r="J932" i="20"/>
  <c r="H932" i="20"/>
  <c r="J945" i="20"/>
  <c r="J948" i="20"/>
  <c r="H948" i="20"/>
  <c r="J961" i="20"/>
  <c r="J964" i="20"/>
  <c r="H964" i="20"/>
  <c r="J977" i="20"/>
  <c r="J980" i="20"/>
  <c r="H980" i="20"/>
  <c r="J995" i="20"/>
  <c r="I995" i="20"/>
  <c r="H996" i="20"/>
  <c r="I996" i="20"/>
  <c r="I1007" i="20"/>
  <c r="I1019" i="20"/>
  <c r="J1020" i="20"/>
  <c r="I1072" i="20"/>
  <c r="H1072" i="20"/>
  <c r="H1095" i="20"/>
  <c r="J1095" i="20"/>
  <c r="I1095" i="20"/>
  <c r="J1106" i="20"/>
  <c r="I1106" i="20"/>
  <c r="H1106" i="20"/>
  <c r="H1145" i="20"/>
  <c r="J1145" i="20"/>
  <c r="J1154" i="20"/>
  <c r="I1154" i="20"/>
  <c r="H1154" i="20"/>
  <c r="H1173" i="20"/>
  <c r="J1173" i="20"/>
  <c r="I1173" i="20"/>
  <c r="H1208" i="20"/>
  <c r="J1208" i="20"/>
  <c r="I1208" i="20"/>
  <c r="H1141" i="20"/>
  <c r="J1141" i="20"/>
  <c r="I1141" i="20"/>
  <c r="J1146" i="20"/>
  <c r="I1146" i="20"/>
  <c r="H1156" i="20"/>
  <c r="J1156" i="20"/>
  <c r="H1177" i="20"/>
  <c r="J1177" i="20"/>
  <c r="I1177" i="20"/>
  <c r="J1053" i="20"/>
  <c r="I1053" i="20"/>
  <c r="J1074" i="20"/>
  <c r="H1074" i="20"/>
  <c r="J1080" i="20"/>
  <c r="I1080" i="20"/>
  <c r="H1144" i="20"/>
  <c r="J1144" i="20"/>
  <c r="I1144" i="20"/>
  <c r="H1153" i="20"/>
  <c r="J1153" i="20"/>
  <c r="H1184" i="20"/>
  <c r="J1184" i="20"/>
  <c r="H1042" i="20"/>
  <c r="H1052" i="20"/>
  <c r="H1053" i="20"/>
  <c r="J1065" i="20"/>
  <c r="I1065" i="20"/>
  <c r="H1065" i="20"/>
  <c r="H1073" i="20"/>
  <c r="I1074" i="20"/>
  <c r="H1077" i="20"/>
  <c r="J1078" i="20"/>
  <c r="H1078" i="20"/>
  <c r="H1079" i="20"/>
  <c r="J1079" i="20"/>
  <c r="H1080" i="20"/>
  <c r="J1121" i="20"/>
  <c r="I1121" i="20"/>
  <c r="H1121" i="20"/>
  <c r="J1143" i="20"/>
  <c r="H1143" i="20"/>
  <c r="I1143" i="20"/>
  <c r="I1153" i="20"/>
  <c r="J1183" i="20"/>
  <c r="H1183" i="20"/>
  <c r="I1184" i="20"/>
  <c r="J1062" i="20"/>
  <c r="H1062" i="20"/>
  <c r="H1063" i="20"/>
  <c r="J1063" i="20"/>
  <c r="J1102" i="20"/>
  <c r="H1102" i="20"/>
  <c r="J1117" i="20"/>
  <c r="I1117" i="20"/>
  <c r="J1118" i="20"/>
  <c r="I1118" i="20"/>
  <c r="H1118" i="20"/>
  <c r="H1160" i="20"/>
  <c r="J1160" i="20"/>
  <c r="J1178" i="20"/>
  <c r="I1178" i="20"/>
  <c r="J1181" i="20"/>
  <c r="I1182" i="20"/>
  <c r="J1222" i="20"/>
  <c r="I1222" i="20"/>
  <c r="H1222" i="20"/>
  <c r="J1191" i="20"/>
  <c r="H1191" i="20"/>
  <c r="J1230" i="20"/>
  <c r="I1230" i="20"/>
  <c r="J1066" i="20"/>
  <c r="H1066" i="20"/>
  <c r="J1082" i="20"/>
  <c r="H1082" i="20"/>
  <c r="J1098" i="20"/>
  <c r="H1098" i="20"/>
  <c r="J1122" i="20"/>
  <c r="I1122" i="20"/>
  <c r="H1122" i="20"/>
  <c r="J1142" i="20"/>
  <c r="I1142" i="20"/>
  <c r="H1142" i="20"/>
  <c r="J1151" i="20"/>
  <c r="H1151" i="20"/>
  <c r="H1176" i="20"/>
  <c r="J1176" i="20"/>
  <c r="I1176" i="20"/>
  <c r="H1188" i="20"/>
  <c r="J1188" i="20"/>
  <c r="I1189" i="20"/>
  <c r="H1190" i="20"/>
  <c r="I1191" i="20"/>
  <c r="H1205" i="20"/>
  <c r="J1205" i="20"/>
  <c r="I1205" i="20"/>
  <c r="H1212" i="20"/>
  <c r="J1212" i="20"/>
  <c r="I1212" i="20"/>
  <c r="H1220" i="20"/>
  <c r="J1220" i="20"/>
  <c r="I1220" i="20"/>
  <c r="H1230" i="20"/>
  <c r="J1238" i="20"/>
  <c r="I1238" i="20"/>
  <c r="H1238" i="20"/>
  <c r="H1054" i="20"/>
  <c r="I1066" i="20"/>
  <c r="I1067" i="20"/>
  <c r="I1082" i="20"/>
  <c r="I1083" i="20"/>
  <c r="I1098" i="20"/>
  <c r="I1099" i="20"/>
  <c r="H1125" i="20"/>
  <c r="J1126" i="20"/>
  <c r="I1126" i="20"/>
  <c r="H1126" i="20"/>
  <c r="J1147" i="20"/>
  <c r="H1147" i="20"/>
  <c r="H1148" i="20"/>
  <c r="J1148" i="20"/>
  <c r="J1175" i="20"/>
  <c r="H1175" i="20"/>
  <c r="I1175" i="20"/>
  <c r="J1187" i="20"/>
  <c r="H1187" i="20"/>
  <c r="I1188" i="20"/>
  <c r="J1189" i="20"/>
  <c r="I1190" i="20"/>
  <c r="H1228" i="20"/>
  <c r="J1228" i="20"/>
  <c r="I1228" i="20"/>
  <c r="J1210" i="20"/>
  <c r="I1210" i="20"/>
  <c r="J1218" i="20"/>
  <c r="I1218" i="20"/>
  <c r="J1139" i="20"/>
  <c r="H1139" i="20"/>
  <c r="H1140" i="20"/>
  <c r="J1140" i="20"/>
  <c r="J1171" i="20"/>
  <c r="H1171" i="20"/>
  <c r="H1172" i="20"/>
  <c r="J1172" i="20"/>
  <c r="J1203" i="20"/>
  <c r="H1203" i="20"/>
  <c r="H1204" i="20"/>
  <c r="J1204" i="20"/>
  <c r="H1216" i="20"/>
  <c r="J1216" i="20"/>
  <c r="I1216" i="20"/>
  <c r="J1226" i="20"/>
  <c r="I1226" i="20"/>
  <c r="I1127" i="20"/>
  <c r="J1135" i="20"/>
  <c r="H1135" i="20"/>
  <c r="H1136" i="20"/>
  <c r="J1136" i="20"/>
  <c r="I1137" i="20"/>
  <c r="H1138" i="20"/>
  <c r="I1139" i="20"/>
  <c r="I1140" i="20"/>
  <c r="J1167" i="20"/>
  <c r="H1167" i="20"/>
  <c r="H1168" i="20"/>
  <c r="J1168" i="20"/>
  <c r="I1169" i="20"/>
  <c r="H1170" i="20"/>
  <c r="I1171" i="20"/>
  <c r="I1172" i="20"/>
  <c r="J1199" i="20"/>
  <c r="H1199" i="20"/>
  <c r="H1200" i="20"/>
  <c r="J1200" i="20"/>
  <c r="I1201" i="20"/>
  <c r="H1202" i="20"/>
  <c r="I1203" i="20"/>
  <c r="I1204" i="20"/>
  <c r="J1214" i="20"/>
  <c r="I1214" i="20"/>
  <c r="H1226" i="20"/>
  <c r="J1127" i="20"/>
  <c r="J1131" i="20"/>
  <c r="H1131" i="20"/>
  <c r="H1132" i="20"/>
  <c r="J1132" i="20"/>
  <c r="I1133" i="20"/>
  <c r="H1134" i="20"/>
  <c r="I1135" i="20"/>
  <c r="I1136" i="20"/>
  <c r="J1137" i="20"/>
  <c r="I1138" i="20"/>
  <c r="J1163" i="20"/>
  <c r="H1163" i="20"/>
  <c r="H1164" i="20"/>
  <c r="J1164" i="20"/>
  <c r="I1165" i="20"/>
  <c r="H1166" i="20"/>
  <c r="I1167" i="20"/>
  <c r="I1168" i="20"/>
  <c r="J1169" i="20"/>
  <c r="I1170" i="20"/>
  <c r="J1195" i="20"/>
  <c r="H1195" i="20"/>
  <c r="H1196" i="20"/>
  <c r="J1196" i="20"/>
  <c r="I1197" i="20"/>
  <c r="H1198" i="20"/>
  <c r="I1199" i="20"/>
  <c r="I1200" i="20"/>
  <c r="J1201" i="20"/>
  <c r="I1202" i="20"/>
  <c r="H1214" i="20"/>
  <c r="H1224" i="20"/>
  <c r="J1224" i="20"/>
  <c r="I1224" i="20"/>
  <c r="J1234" i="20"/>
  <c r="I1234" i="20"/>
  <c r="I1232" i="20"/>
  <c r="I1236" i="20"/>
  <c r="J1232" i="20"/>
  <c r="J1236" i="20"/>
  <c r="H1207" i="20"/>
  <c r="H1211" i="20"/>
  <c r="H1215" i="20"/>
  <c r="H1219" i="20"/>
  <c r="H1223" i="20"/>
  <c r="H1227" i="20"/>
  <c r="H1231" i="20"/>
  <c r="H1235" i="20"/>
  <c r="K133" i="10" a="1"/>
  <c r="K133" i="10" s="1"/>
  <c r="I1087" i="8"/>
  <c r="I1116" i="8"/>
  <c r="I1129" i="8"/>
  <c r="I1148" i="8"/>
  <c r="I1219" i="8"/>
  <c r="I1265" i="8"/>
  <c r="I1090" i="8"/>
  <c r="I1075" i="8"/>
  <c r="I1048" i="8"/>
  <c r="I1275" i="8"/>
  <c r="I1120" i="8"/>
  <c r="I1205" i="8"/>
  <c r="I1225" i="8"/>
  <c r="I1063" i="8"/>
  <c r="I1215" i="8"/>
  <c r="I1117" i="8"/>
  <c r="I1093" i="8"/>
  <c r="I1125" i="8"/>
  <c r="I1184" i="8"/>
  <c r="I1216" i="8"/>
  <c r="I1324" i="8"/>
  <c r="I1062" i="8"/>
  <c r="I1105" i="8"/>
  <c r="I1141" i="8"/>
  <c r="I1195" i="8"/>
  <c r="I1224" i="8"/>
  <c r="I1321" i="8"/>
  <c r="I1049" i="8"/>
  <c r="I1207" i="8"/>
  <c r="I1100" i="8"/>
  <c r="I1142" i="8"/>
  <c r="I1199" i="8"/>
  <c r="I1244" i="8"/>
  <c r="I1351" i="8"/>
  <c r="I1182" i="8"/>
  <c r="I1073" i="8"/>
  <c r="I1029" i="8"/>
  <c r="I1152" i="8"/>
  <c r="I1200" i="8"/>
  <c r="I1242" i="8"/>
  <c r="I1376" i="8"/>
  <c r="I1068" i="8"/>
  <c r="I1114" i="8"/>
  <c r="I1179" i="8"/>
  <c r="I1310" i="8"/>
  <c r="I1249" i="8"/>
  <c r="I1544" i="8"/>
  <c r="J1504" i="8"/>
  <c r="I1504" i="8"/>
  <c r="H1572" i="8"/>
  <c r="I1572" i="8"/>
  <c r="H1739" i="8"/>
  <c r="I1739" i="8"/>
  <c r="H1498" i="8"/>
  <c r="I1498" i="8"/>
  <c r="H1767" i="8"/>
  <c r="I1767" i="8"/>
  <c r="H1895" i="8"/>
  <c r="I1895" i="8"/>
  <c r="H1808" i="8"/>
  <c r="I1808" i="8"/>
  <c r="I1056" i="8"/>
  <c r="I1094" i="8"/>
  <c r="I1164" i="8"/>
  <c r="I1169" i="8"/>
  <c r="I1187" i="8"/>
  <c r="I1264" i="8"/>
  <c r="I1273" i="8"/>
  <c r="I1286" i="8"/>
  <c r="I1293" i="8"/>
  <c r="I1302" i="8"/>
  <c r="I1331" i="8"/>
  <c r="I1372" i="8"/>
  <c r="I1391" i="8"/>
  <c r="I1427" i="8"/>
  <c r="I1440" i="8"/>
  <c r="I1461" i="8"/>
  <c r="I1536" i="8"/>
  <c r="I1567" i="8"/>
  <c r="I1672" i="8"/>
  <c r="I1708" i="8"/>
  <c r="I1803" i="8"/>
  <c r="J1400" i="8"/>
  <c r="I1400" i="8"/>
  <c r="J1464" i="8"/>
  <c r="I1464" i="8"/>
  <c r="H1521" i="8"/>
  <c r="I1521" i="8"/>
  <c r="J1597" i="8"/>
  <c r="I1597" i="8"/>
  <c r="H1629" i="8"/>
  <c r="I1629" i="8"/>
  <c r="J1836" i="8"/>
  <c r="I1836" i="8"/>
  <c r="J1316" i="8"/>
  <c r="I1316" i="8"/>
  <c r="J1328" i="8"/>
  <c r="I1328" i="8"/>
  <c r="J1346" i="8"/>
  <c r="I1346" i="8"/>
  <c r="H1414" i="8"/>
  <c r="I1414" i="8"/>
  <c r="J1422" i="8"/>
  <c r="I1422" i="8"/>
  <c r="H1434" i="8"/>
  <c r="I1434" i="8"/>
  <c r="H1442" i="8"/>
  <c r="I1442" i="8"/>
  <c r="H1454" i="8"/>
  <c r="I1454" i="8"/>
  <c r="H1470" i="8"/>
  <c r="I1470" i="8"/>
  <c r="H1509" i="8"/>
  <c r="I1509" i="8"/>
  <c r="H1522" i="8"/>
  <c r="I1522" i="8"/>
  <c r="H1530" i="8"/>
  <c r="I1530" i="8"/>
  <c r="H1557" i="8"/>
  <c r="I1557" i="8"/>
  <c r="H1575" i="8"/>
  <c r="I1575" i="8"/>
  <c r="H1586" i="8"/>
  <c r="I1586" i="8"/>
  <c r="H1595" i="8"/>
  <c r="I1595" i="8"/>
  <c r="H1605" i="8"/>
  <c r="I1605" i="8"/>
  <c r="J1621" i="8"/>
  <c r="I1621" i="8"/>
  <c r="H1634" i="8"/>
  <c r="I1634" i="8"/>
  <c r="H1705" i="8"/>
  <c r="I1705" i="8"/>
  <c r="H2018" i="8"/>
  <c r="I2018" i="8"/>
  <c r="J2245" i="8"/>
  <c r="I2245" i="8"/>
  <c r="J1409" i="8"/>
  <c r="I1409" i="8"/>
  <c r="H1773" i="8"/>
  <c r="I1773" i="8"/>
  <c r="J1930" i="8"/>
  <c r="I1930" i="8"/>
  <c r="J1873" i="8"/>
  <c r="I1873" i="8"/>
  <c r="I1070" i="8"/>
  <c r="I1077" i="8"/>
  <c r="I1311" i="8"/>
  <c r="I1106" i="8"/>
  <c r="I1172" i="8"/>
  <c r="I1248" i="8"/>
  <c r="I1204" i="8"/>
  <c r="I1256" i="8"/>
  <c r="I1290" i="8"/>
  <c r="I1304" i="8"/>
  <c r="I1330" i="8"/>
  <c r="I1345" i="8"/>
  <c r="I1392" i="8"/>
  <c r="I1407" i="8"/>
  <c r="I1431" i="8"/>
  <c r="I1445" i="8"/>
  <c r="I1463" i="8"/>
  <c r="I1476" i="8"/>
  <c r="I1496" i="8"/>
  <c r="I1534" i="8"/>
  <c r="I1560" i="8"/>
  <c r="I1641" i="8"/>
  <c r="I1682" i="8"/>
  <c r="H1533" i="8"/>
  <c r="I1533" i="8"/>
  <c r="H1338" i="8"/>
  <c r="I1338" i="8"/>
  <c r="H1394" i="8"/>
  <c r="I1394" i="8"/>
  <c r="H1399" i="8"/>
  <c r="I1399" i="8"/>
  <c r="H1459" i="8"/>
  <c r="I1459" i="8"/>
  <c r="H1514" i="8"/>
  <c r="I1514" i="8"/>
  <c r="J1518" i="8"/>
  <c r="I1518" i="8"/>
  <c r="J1524" i="8"/>
  <c r="I1524" i="8"/>
  <c r="H1532" i="8"/>
  <c r="I1532" i="8"/>
  <c r="H1547" i="8"/>
  <c r="I1547" i="8"/>
  <c r="H1554" i="8"/>
  <c r="I1554" i="8"/>
  <c r="H1628" i="8"/>
  <c r="I1628" i="8"/>
  <c r="J1796" i="8"/>
  <c r="I1796" i="8"/>
  <c r="J2229" i="8"/>
  <c r="I2229" i="8"/>
  <c r="H1478" i="8"/>
  <c r="I1478" i="8"/>
  <c r="J1315" i="8"/>
  <c r="I1315" i="8"/>
  <c r="J1411" i="8"/>
  <c r="I1411" i="8"/>
  <c r="J1449" i="8"/>
  <c r="I1449" i="8"/>
  <c r="H1603" i="8"/>
  <c r="I1603" i="8"/>
  <c r="H1779" i="8"/>
  <c r="I1779" i="8"/>
  <c r="H1952" i="8"/>
  <c r="I1952" i="8"/>
  <c r="H1898" i="8"/>
  <c r="I1898" i="8"/>
  <c r="H1119" i="8"/>
  <c r="I1119" i="8"/>
  <c r="I1080" i="8"/>
  <c r="I1107" i="8"/>
  <c r="I1158" i="8"/>
  <c r="I1192" i="8"/>
  <c r="I1208" i="8"/>
  <c r="I1220" i="8"/>
  <c r="I1236" i="8"/>
  <c r="I1243" i="8"/>
  <c r="I1253" i="8"/>
  <c r="I1271" i="8"/>
  <c r="I1288" i="8"/>
  <c r="I1292" i="8"/>
  <c r="I1306" i="8"/>
  <c r="I1336" i="8"/>
  <c r="I1347" i="8"/>
  <c r="I1388" i="8"/>
  <c r="I1419" i="8"/>
  <c r="I1430" i="8"/>
  <c r="I1471" i="8"/>
  <c r="I1512" i="8"/>
  <c r="I1576" i="8"/>
  <c r="I1613" i="8"/>
  <c r="I1775" i="8"/>
  <c r="J1417" i="8"/>
  <c r="I1417" i="8"/>
  <c r="J1620" i="8"/>
  <c r="I1620" i="8"/>
  <c r="H1649" i="8"/>
  <c r="I1649" i="8"/>
  <c r="H1666" i="8"/>
  <c r="I1666" i="8"/>
  <c r="J1312" i="8"/>
  <c r="I1312" i="8"/>
  <c r="J1355" i="8"/>
  <c r="I1355" i="8"/>
  <c r="H1366" i="8"/>
  <c r="I1366" i="8"/>
  <c r="J1378" i="8"/>
  <c r="I1378" i="8"/>
  <c r="J1428" i="8"/>
  <c r="I1428" i="8"/>
  <c r="H1435" i="8"/>
  <c r="I1435" i="8"/>
  <c r="J1443" i="8"/>
  <c r="I1443" i="8"/>
  <c r="H1472" i="8"/>
  <c r="I1472" i="8"/>
  <c r="H1485" i="8"/>
  <c r="I1485" i="8"/>
  <c r="H1493" i="8"/>
  <c r="I1493" i="8"/>
  <c r="H1507" i="8"/>
  <c r="I1507" i="8"/>
  <c r="H1525" i="8"/>
  <c r="I1525" i="8"/>
  <c r="J1531" i="8"/>
  <c r="I1531" i="8"/>
  <c r="J1551" i="8"/>
  <c r="I1551" i="8"/>
  <c r="H1555" i="8"/>
  <c r="I1555" i="8"/>
  <c r="H1579" i="8"/>
  <c r="I1579" i="8"/>
  <c r="H1591" i="8"/>
  <c r="I1591" i="8"/>
  <c r="H1594" i="8"/>
  <c r="I1594" i="8"/>
  <c r="H1610" i="8"/>
  <c r="I1610" i="8"/>
  <c r="H1623" i="8"/>
  <c r="I1623" i="8"/>
  <c r="J1642" i="8"/>
  <c r="I1642" i="8"/>
  <c r="H1698" i="8"/>
  <c r="I1698" i="8"/>
  <c r="J1790" i="8"/>
  <c r="I1790" i="8"/>
  <c r="H1832" i="8"/>
  <c r="I1832" i="8"/>
  <c r="H2143" i="8"/>
  <c r="I2143" i="8"/>
  <c r="J1480" i="8"/>
  <c r="I1480" i="8"/>
  <c r="J1838" i="8"/>
  <c r="I1838" i="8"/>
  <c r="H1451" i="8"/>
  <c r="I1451" i="8"/>
  <c r="J1612" i="8"/>
  <c r="I1612" i="8"/>
  <c r="J1712" i="8"/>
  <c r="I1712" i="8"/>
  <c r="H1934" i="8"/>
  <c r="I1934" i="8"/>
  <c r="I1050" i="8"/>
  <c r="I1064" i="8"/>
  <c r="I1082" i="8"/>
  <c r="I1096" i="8"/>
  <c r="I1102" i="8"/>
  <c r="I1108" i="8"/>
  <c r="I1059" i="8"/>
  <c r="I1132" i="8"/>
  <c r="I1127" i="8"/>
  <c r="I1153" i="8"/>
  <c r="I1155" i="8"/>
  <c r="I1167" i="8"/>
  <c r="I1173" i="8"/>
  <c r="I1181" i="8"/>
  <c r="I1191" i="8"/>
  <c r="I1201" i="8"/>
  <c r="I1214" i="8"/>
  <c r="I1233" i="8"/>
  <c r="I1228" i="8"/>
  <c r="I1235" i="8"/>
  <c r="I1245" i="8"/>
  <c r="I1254" i="8"/>
  <c r="I1268" i="8"/>
  <c r="I1276" i="8"/>
  <c r="I1282" i="8"/>
  <c r="I1294" i="8"/>
  <c r="I1307" i="8"/>
  <c r="I1319" i="8"/>
  <c r="I1337" i="8"/>
  <c r="I1358" i="8"/>
  <c r="I1380" i="8"/>
  <c r="I1397" i="8"/>
  <c r="I1420" i="8"/>
  <c r="I1429" i="8"/>
  <c r="I1465" i="8"/>
  <c r="I1510" i="8"/>
  <c r="I1578" i="8"/>
  <c r="I1616" i="8"/>
  <c r="H1878" i="8"/>
  <c r="I1878" i="8"/>
  <c r="H1340" i="8"/>
  <c r="I1340" i="8"/>
  <c r="H1357" i="8"/>
  <c r="I1357" i="8"/>
  <c r="H1371" i="8"/>
  <c r="I1371" i="8"/>
  <c r="J1384" i="8"/>
  <c r="I1384" i="8"/>
  <c r="J1389" i="8"/>
  <c r="I1389" i="8"/>
  <c r="J1415" i="8"/>
  <c r="I1415" i="8"/>
  <c r="H1436" i="8"/>
  <c r="I1436" i="8"/>
  <c r="H1460" i="8"/>
  <c r="I1460" i="8"/>
  <c r="J1511" i="8"/>
  <c r="I1511" i="8"/>
  <c r="J1550" i="8"/>
  <c r="I1550" i="8"/>
  <c r="J1556" i="8"/>
  <c r="I1556" i="8"/>
  <c r="J1559" i="8"/>
  <c r="I1559" i="8"/>
  <c r="J1582" i="8"/>
  <c r="I1582" i="8"/>
  <c r="J1589" i="8"/>
  <c r="I1589" i="8"/>
  <c r="J1593" i="8"/>
  <c r="I1593" i="8"/>
  <c r="H1632" i="8"/>
  <c r="I1632" i="8"/>
  <c r="H1694" i="8"/>
  <c r="I1694" i="8"/>
  <c r="J1733" i="8"/>
  <c r="I1733" i="8"/>
  <c r="J1831" i="8"/>
  <c r="I1831" i="8"/>
  <c r="H2160" i="8"/>
  <c r="I2160" i="8"/>
  <c r="J2207" i="8"/>
  <c r="I2207" i="8"/>
  <c r="J1674" i="8"/>
  <c r="I1674" i="8"/>
  <c r="H1845" i="8"/>
  <c r="I1845" i="8"/>
  <c r="H1540" i="8"/>
  <c r="I1540" i="8"/>
  <c r="H1608" i="8"/>
  <c r="I1608" i="8"/>
  <c r="H1718" i="8"/>
  <c r="I1718" i="8"/>
  <c r="J1876" i="8"/>
  <c r="I1876" i="8"/>
  <c r="H1958" i="8"/>
  <c r="I1958" i="8"/>
  <c r="I1031" i="8"/>
  <c r="I1039" i="8"/>
  <c r="I1060" i="8"/>
  <c r="I1079" i="8"/>
  <c r="I1104" i="8"/>
  <c r="I1109" i="8"/>
  <c r="I1089" i="8"/>
  <c r="I1139" i="8"/>
  <c r="I1147" i="8"/>
  <c r="I1154" i="8"/>
  <c r="I1163" i="8"/>
  <c r="I1174" i="8"/>
  <c r="I1185" i="8"/>
  <c r="I1190" i="8"/>
  <c r="I1202" i="8"/>
  <c r="I1213" i="8"/>
  <c r="I1227" i="8"/>
  <c r="I1234" i="8"/>
  <c r="I1030" i="8"/>
  <c r="I1255" i="8"/>
  <c r="I1267" i="8"/>
  <c r="I1277" i="8"/>
  <c r="I1283" i="8"/>
  <c r="I1300" i="8"/>
  <c r="I1309" i="8"/>
  <c r="I1313" i="8"/>
  <c r="I1339" i="8"/>
  <c r="I1363" i="8"/>
  <c r="I1377" i="8"/>
  <c r="I1401" i="8"/>
  <c r="I1418" i="8"/>
  <c r="I1433" i="8"/>
  <c r="I1447" i="8"/>
  <c r="I1468" i="8"/>
  <c r="I1516" i="8"/>
  <c r="I1549" i="8"/>
  <c r="I1587" i="8"/>
  <c r="I1622" i="8"/>
  <c r="I1657" i="8"/>
  <c r="H1491" i="8"/>
  <c r="I1491" i="8"/>
  <c r="H1508" i="8"/>
  <c r="I1508" i="8"/>
  <c r="H1604" i="8"/>
  <c r="I1604" i="8"/>
  <c r="J1637" i="8"/>
  <c r="I1637" i="8"/>
  <c r="J1317" i="8"/>
  <c r="I1317" i="8"/>
  <c r="H1332" i="8"/>
  <c r="I1332" i="8"/>
  <c r="H1341" i="8"/>
  <c r="I1341" i="8"/>
  <c r="H1356" i="8"/>
  <c r="I1356" i="8"/>
  <c r="J1369" i="8"/>
  <c r="I1369" i="8"/>
  <c r="J1439" i="8"/>
  <c r="I1439" i="8"/>
  <c r="J1469" i="8"/>
  <c r="I1469" i="8"/>
  <c r="J1484" i="8"/>
  <c r="I1484" i="8"/>
  <c r="H1494" i="8"/>
  <c r="I1494" i="8"/>
  <c r="H1519" i="8"/>
  <c r="I1519" i="8"/>
  <c r="H1526" i="8"/>
  <c r="I1526" i="8"/>
  <c r="J1535" i="8"/>
  <c r="I1535" i="8"/>
  <c r="J1548" i="8"/>
  <c r="I1548" i="8"/>
  <c r="H1558" i="8"/>
  <c r="I1558" i="8"/>
  <c r="H1566" i="8"/>
  <c r="I1566" i="8"/>
  <c r="J1583" i="8"/>
  <c r="I1583" i="8"/>
  <c r="H1592" i="8"/>
  <c r="I1592" i="8"/>
  <c r="H1598" i="8"/>
  <c r="I1598" i="8"/>
  <c r="J1614" i="8"/>
  <c r="I1614" i="8"/>
  <c r="H1624" i="8"/>
  <c r="I1624" i="8"/>
  <c r="J1638" i="8"/>
  <c r="I1638" i="8"/>
  <c r="H1671" i="8"/>
  <c r="I1671" i="8"/>
  <c r="H1676" i="8"/>
  <c r="I1676" i="8"/>
  <c r="J1349" i="8"/>
  <c r="I1349" i="8"/>
  <c r="J1737" i="8"/>
  <c r="I1737" i="8"/>
  <c r="H1542" i="8"/>
  <c r="I1542" i="8"/>
  <c r="H1648" i="8"/>
  <c r="I1648" i="8"/>
  <c r="J1720" i="8"/>
  <c r="I1720" i="8"/>
  <c r="I1057" i="8"/>
  <c r="I1044" i="8"/>
  <c r="I1149" i="8"/>
  <c r="I1061" i="8"/>
  <c r="I1067" i="8"/>
  <c r="I1085" i="8"/>
  <c r="I1098" i="8"/>
  <c r="I1099" i="8"/>
  <c r="I1111" i="8"/>
  <c r="I1115" i="8"/>
  <c r="I1126" i="8"/>
  <c r="I1138" i="8"/>
  <c r="I1146" i="8"/>
  <c r="I1156" i="8"/>
  <c r="I1160" i="8"/>
  <c r="I1176" i="8"/>
  <c r="I1188" i="8"/>
  <c r="I1196" i="8"/>
  <c r="I1203" i="8"/>
  <c r="I1212" i="8"/>
  <c r="I1230" i="8"/>
  <c r="I1217" i="8"/>
  <c r="I1237" i="8"/>
  <c r="I1052" i="8"/>
  <c r="I1259" i="8"/>
  <c r="I1269" i="8"/>
  <c r="I1278" i="8"/>
  <c r="I1303" i="8"/>
  <c r="I1308" i="8"/>
  <c r="I1329" i="8"/>
  <c r="I1342" i="8"/>
  <c r="I1365" i="8"/>
  <c r="I1374" i="8"/>
  <c r="I1402" i="8"/>
  <c r="I1413" i="8"/>
  <c r="I1437" i="8"/>
  <c r="I1456" i="8"/>
  <c r="I1466" i="8"/>
  <c r="I1490" i="8"/>
  <c r="I1520" i="8"/>
  <c r="I1552" i="8"/>
  <c r="I1590" i="8"/>
  <c r="I1625" i="8"/>
  <c r="I1659" i="8"/>
  <c r="I1749" i="8"/>
  <c r="I2189" i="8"/>
  <c r="J1343" i="8"/>
  <c r="I1343" i="8"/>
  <c r="J1386" i="8"/>
  <c r="I1386" i="8"/>
  <c r="J1396" i="8"/>
  <c r="I1396" i="8"/>
  <c r="H1421" i="8"/>
  <c r="I1421" i="8"/>
  <c r="J1455" i="8"/>
  <c r="I1455" i="8"/>
  <c r="J1462" i="8"/>
  <c r="I1462" i="8"/>
  <c r="H1482" i="8"/>
  <c r="I1482" i="8"/>
  <c r="J1495" i="8"/>
  <c r="I1495" i="8"/>
  <c r="J1523" i="8"/>
  <c r="I1523" i="8"/>
  <c r="J1563" i="8"/>
  <c r="I1563" i="8"/>
  <c r="H1585" i="8"/>
  <c r="I1585" i="8"/>
  <c r="H1599" i="8"/>
  <c r="I1599" i="8"/>
  <c r="H1606" i="8"/>
  <c r="I1606" i="8"/>
  <c r="H1615" i="8"/>
  <c r="I1615" i="8"/>
  <c r="H1626" i="8"/>
  <c r="I1626" i="8"/>
  <c r="H1630" i="8"/>
  <c r="I1630" i="8"/>
  <c r="H1640" i="8"/>
  <c r="I1640" i="8"/>
  <c r="H1669" i="8"/>
  <c r="I1669" i="8"/>
  <c r="H2092" i="8"/>
  <c r="I2092" i="8"/>
  <c r="J2107" i="8"/>
  <c r="I2107" i="8"/>
  <c r="J2177" i="8"/>
  <c r="I2177" i="8"/>
  <c r="J1562" i="8"/>
  <c r="I1562" i="8"/>
  <c r="J1382" i="8"/>
  <c r="I1382" i="8"/>
  <c r="J1354" i="8"/>
  <c r="I1354" i="8"/>
  <c r="H1742" i="8"/>
  <c r="I1742" i="8"/>
  <c r="H1651" i="8"/>
  <c r="I1651" i="8"/>
  <c r="J1937" i="8"/>
  <c r="I1937" i="8"/>
  <c r="I1088" i="8"/>
  <c r="I1046" i="8"/>
  <c r="I1178" i="8"/>
  <c r="I1065" i="8"/>
  <c r="I1086" i="8"/>
  <c r="I1103" i="8"/>
  <c r="I1112" i="8"/>
  <c r="I1121" i="8"/>
  <c r="I1130" i="8"/>
  <c r="I1140" i="8"/>
  <c r="I1118" i="8"/>
  <c r="I1159" i="8"/>
  <c r="I1170" i="8"/>
  <c r="I1180" i="8"/>
  <c r="I1186" i="8"/>
  <c r="I1197" i="8"/>
  <c r="I1206" i="8"/>
  <c r="I1211" i="8"/>
  <c r="I1226" i="8"/>
  <c r="I1222" i="8"/>
  <c r="I1239" i="8"/>
  <c r="I1250" i="8"/>
  <c r="I1260" i="8"/>
  <c r="I1270" i="8"/>
  <c r="I1281" i="8"/>
  <c r="I1284" i="8"/>
  <c r="I1301" i="8"/>
  <c r="I1151" i="8"/>
  <c r="I1327" i="8"/>
  <c r="I1367" i="8"/>
  <c r="I1387" i="8"/>
  <c r="I1403" i="8"/>
  <c r="I1426" i="8"/>
  <c r="I1438" i="8"/>
  <c r="I1457" i="8"/>
  <c r="I1467" i="8"/>
  <c r="I1492" i="8"/>
  <c r="I1527" i="8"/>
  <c r="I1636" i="8"/>
  <c r="I1806" i="8"/>
  <c r="H1326" i="8"/>
  <c r="I1326" i="8"/>
  <c r="H1333" i="8"/>
  <c r="I1333" i="8"/>
  <c r="H1364" i="8"/>
  <c r="I1364" i="8"/>
  <c r="H1373" i="8"/>
  <c r="I1373" i="8"/>
  <c r="J1398" i="8"/>
  <c r="I1398" i="8"/>
  <c r="H1416" i="8"/>
  <c r="I1416" i="8"/>
  <c r="J1423" i="8"/>
  <c r="I1423" i="8"/>
  <c r="J1432" i="8"/>
  <c r="I1432" i="8"/>
  <c r="H1488" i="8"/>
  <c r="I1488" i="8"/>
  <c r="H1506" i="8"/>
  <c r="I1506" i="8"/>
  <c r="H1529" i="8"/>
  <c r="I1529" i="8"/>
  <c r="H1538" i="8"/>
  <c r="I1538" i="8"/>
  <c r="J1553" i="8"/>
  <c r="I1553" i="8"/>
  <c r="J1570" i="8"/>
  <c r="I1570" i="8"/>
  <c r="J1577" i="8"/>
  <c r="I1577" i="8"/>
  <c r="J1588" i="8"/>
  <c r="I1588" i="8"/>
  <c r="H1619" i="8"/>
  <c r="I1619" i="8"/>
  <c r="H1627" i="8"/>
  <c r="I1627" i="8"/>
  <c r="J1631" i="8"/>
  <c r="I1631" i="8"/>
  <c r="H1639" i="8"/>
  <c r="I1639" i="8"/>
  <c r="H2033" i="8"/>
  <c r="I2033" i="8"/>
  <c r="J2218" i="8"/>
  <c r="I2218" i="8"/>
  <c r="H1569" i="8"/>
  <c r="I1569" i="8"/>
  <c r="H1847" i="8"/>
  <c r="I1847" i="8"/>
  <c r="H1502" i="8"/>
  <c r="I1502" i="8"/>
  <c r="H1653" i="8"/>
  <c r="I1653" i="8"/>
  <c r="H1864" i="8"/>
  <c r="I1864" i="8"/>
  <c r="H1981" i="8"/>
  <c r="I1981" i="8"/>
  <c r="I1034" i="8"/>
  <c r="I1045" i="8"/>
  <c r="I1055" i="8"/>
  <c r="I1076" i="8"/>
  <c r="I1247" i="8"/>
  <c r="I1092" i="8"/>
  <c r="I1101" i="8"/>
  <c r="I1110" i="8"/>
  <c r="I1124" i="8"/>
  <c r="I1131" i="8"/>
  <c r="I1137" i="8"/>
  <c r="I1150" i="8"/>
  <c r="I1161" i="8"/>
  <c r="I1168" i="8"/>
  <c r="I1177" i="8"/>
  <c r="I1189" i="8"/>
  <c r="I1198" i="8"/>
  <c r="I1274" i="8"/>
  <c r="I1210" i="8"/>
  <c r="I1223" i="8"/>
  <c r="I1221" i="8"/>
  <c r="I1240" i="8"/>
  <c r="I1252" i="8"/>
  <c r="I1261" i="8"/>
  <c r="I1266" i="8"/>
  <c r="I1279" i="8"/>
  <c r="I1299" i="8"/>
  <c r="I1325" i="8"/>
  <c r="I1368" i="8"/>
  <c r="I1385" i="8"/>
  <c r="I1406" i="8"/>
  <c r="I1424" i="8"/>
  <c r="I1441" i="8"/>
  <c r="I1458" i="8"/>
  <c r="I1474" i="8"/>
  <c r="I1500" i="8"/>
  <c r="I1528" i="8"/>
  <c r="I1600" i="8"/>
  <c r="I1635" i="8"/>
  <c r="I1668" i="8"/>
  <c r="I1763" i="8"/>
  <c r="I1811" i="8"/>
  <c r="I1903" i="8"/>
  <c r="H1189" i="8"/>
  <c r="H1187" i="8"/>
  <c r="H1169" i="8"/>
  <c r="H1034" i="8"/>
  <c r="H1147" i="8"/>
  <c r="J1808" i="8"/>
  <c r="J1064" i="8"/>
  <c r="G1028" i="8"/>
  <c r="G1097" i="8"/>
  <c r="G1123" i="8"/>
  <c r="G1036" i="8"/>
  <c r="G1171" i="8"/>
  <c r="G1042" i="8"/>
  <c r="G1071" i="8"/>
  <c r="G1128" i="8"/>
  <c r="G1041" i="8"/>
  <c r="G1069" i="8"/>
  <c r="G1162" i="8"/>
  <c r="G1134" i="8"/>
  <c r="G1091" i="8"/>
  <c r="G1136" i="8"/>
  <c r="G1165" i="8"/>
  <c r="G1058" i="8"/>
  <c r="I1058" i="8" s="1"/>
  <c r="G1072" i="8"/>
  <c r="G1066" i="8"/>
  <c r="J1406" i="8"/>
  <c r="J1125" i="8"/>
  <c r="J1098" i="8"/>
  <c r="J1065" i="8"/>
  <c r="H1079" i="8"/>
  <c r="J1182" i="8"/>
  <c r="H1089" i="8"/>
  <c r="J1059" i="8"/>
  <c r="J1156" i="8"/>
  <c r="J1478" i="8"/>
  <c r="J1498" i="8"/>
  <c r="H1321" i="8"/>
  <c r="J1767" i="8"/>
  <c r="H1411" i="8"/>
  <c r="H1674" i="8"/>
  <c r="J1572" i="8"/>
  <c r="J1252" i="8"/>
  <c r="H1085" i="8"/>
  <c r="J1779" i="8"/>
  <c r="H1110" i="8"/>
  <c r="J1099" i="8"/>
  <c r="J1898" i="8"/>
  <c r="H1315" i="8"/>
  <c r="J1603" i="8"/>
  <c r="J1281" i="8"/>
  <c r="J1124" i="8"/>
  <c r="J1107" i="8"/>
  <c r="H1449" i="8"/>
  <c r="J1952" i="8"/>
  <c r="J1057" i="8"/>
  <c r="H1142" i="8"/>
  <c r="H1155" i="8"/>
  <c r="J1102" i="8"/>
  <c r="J1077" i="8"/>
  <c r="J1045" i="8"/>
  <c r="J1108" i="8"/>
  <c r="H1212" i="8"/>
  <c r="J1158" i="8"/>
  <c r="H1090" i="8"/>
  <c r="J1150" i="8"/>
  <c r="J1651" i="8"/>
  <c r="H1354" i="8"/>
  <c r="H1937" i="8"/>
  <c r="H1050" i="8"/>
  <c r="J1120" i="8"/>
  <c r="H1164" i="8"/>
  <c r="J1608" i="8"/>
  <c r="J1101" i="8"/>
  <c r="H1152" i="8"/>
  <c r="H1562" i="8"/>
  <c r="H1876" i="8"/>
  <c r="H1111" i="8"/>
  <c r="H1030" i="8"/>
  <c r="J1100" i="8"/>
  <c r="J1031" i="8"/>
  <c r="J1845" i="8"/>
  <c r="J1958" i="8"/>
  <c r="J1105" i="8"/>
  <c r="J1114" i="8"/>
  <c r="J1131" i="8"/>
  <c r="J1039" i="8"/>
  <c r="H1141" i="8"/>
  <c r="H1544" i="8"/>
  <c r="J1046" i="8"/>
  <c r="J1742" i="8"/>
  <c r="J1718" i="8"/>
  <c r="J1121" i="8"/>
  <c r="J1092" i="8"/>
  <c r="H1160" i="8"/>
  <c r="H1376" i="8"/>
  <c r="J1140" i="8"/>
  <c r="J1739" i="8"/>
  <c r="J1806" i="8"/>
  <c r="J1118" i="8"/>
  <c r="J1070" i="8"/>
  <c r="J1060" i="8"/>
  <c r="H1167" i="8"/>
  <c r="H1129" i="8"/>
  <c r="H1382" i="8"/>
  <c r="J1540" i="8"/>
  <c r="J1895" i="8"/>
  <c r="J1088" i="8"/>
  <c r="H1233" i="8"/>
  <c r="J1249" i="8"/>
  <c r="J1116" i="8"/>
  <c r="H1075" i="8"/>
  <c r="H1668" i="8"/>
  <c r="H1044" i="8"/>
  <c r="H1324" i="8"/>
  <c r="J1119" i="8"/>
  <c r="H1148" i="8"/>
  <c r="H1076" i="8"/>
  <c r="H1161" i="8"/>
  <c r="H1838" i="8"/>
  <c r="H1073" i="8"/>
  <c r="H1737" i="8"/>
  <c r="H1930" i="8"/>
  <c r="H1062" i="8"/>
  <c r="H1115" i="8"/>
  <c r="H1206" i="8"/>
  <c r="J1080" i="8"/>
  <c r="J1029" i="8"/>
  <c r="H1138" i="8"/>
  <c r="H1409" i="8"/>
  <c r="H1049" i="8"/>
  <c r="H1445" i="8"/>
  <c r="J1286" i="8"/>
  <c r="J1230" i="8"/>
  <c r="J1773" i="8"/>
  <c r="H1474" i="8"/>
  <c r="H1067" i="8"/>
  <c r="H1873" i="8"/>
  <c r="H1063" i="8"/>
  <c r="J1146" i="8"/>
  <c r="J1500" i="8"/>
  <c r="J1151" i="8"/>
  <c r="J1380" i="8"/>
  <c r="J1451" i="8"/>
  <c r="J1648" i="8"/>
  <c r="J1934" i="8"/>
  <c r="J1112" i="8"/>
  <c r="J1093" i="8"/>
  <c r="J1056" i="8"/>
  <c r="H1480" i="8"/>
  <c r="H1349" i="8"/>
  <c r="H1712" i="8"/>
  <c r="H1903" i="8"/>
  <c r="H1109" i="8"/>
  <c r="H1048" i="8"/>
  <c r="J1168" i="8"/>
  <c r="H1103" i="8"/>
  <c r="J1159" i="8"/>
  <c r="J1676" i="8"/>
  <c r="J1542" i="8"/>
  <c r="J1811" i="8"/>
  <c r="J1094" i="8"/>
  <c r="J1052" i="8"/>
  <c r="H1126" i="8"/>
  <c r="H1612" i="8"/>
  <c r="H1720" i="8"/>
  <c r="H1106" i="8"/>
  <c r="H1086" i="8"/>
  <c r="H1104" i="8"/>
  <c r="J1170" i="8"/>
  <c r="J1132" i="8"/>
  <c r="J1117" i="8"/>
  <c r="J1211" i="8"/>
  <c r="H1153" i="8"/>
  <c r="H1096" i="8"/>
  <c r="H1055" i="8"/>
  <c r="J1127" i="8"/>
  <c r="J1130" i="8"/>
  <c r="H1037" i="8"/>
  <c r="J1037" i="8"/>
  <c r="J1163" i="8"/>
  <c r="J1149" i="8"/>
  <c r="J1172" i="8"/>
  <c r="J1139" i="8"/>
  <c r="J1137" i="8"/>
  <c r="J1569" i="8"/>
  <c r="J1219" i="8"/>
  <c r="J1351" i="8"/>
  <c r="J1847" i="8"/>
  <c r="J1502" i="8"/>
  <c r="J1653" i="8"/>
  <c r="J1864" i="8"/>
  <c r="J1981" i="8"/>
  <c r="J1061" i="8"/>
  <c r="J1181" i="8"/>
  <c r="J1288" i="8"/>
  <c r="J1082" i="8"/>
  <c r="J1068" i="8"/>
  <c r="H1154" i="8"/>
  <c r="J1087" i="8"/>
  <c r="H1190" i="8"/>
  <c r="H1264" i="8"/>
  <c r="J1304" i="8"/>
  <c r="H1226" i="8"/>
  <c r="J1174" i="8"/>
  <c r="H1248" i="8"/>
  <c r="H1196" i="8"/>
  <c r="H1210" i="8"/>
  <c r="J1203" i="8"/>
  <c r="J1178" i="8"/>
  <c r="H1222" i="8"/>
  <c r="J1195" i="8"/>
  <c r="H1220" i="8"/>
  <c r="H1192" i="8"/>
  <c r="J1245" i="8"/>
  <c r="J1184" i="8"/>
  <c r="J1202" i="8"/>
  <c r="J1191" i="8"/>
  <c r="H1214" i="8"/>
  <c r="J1180" i="8"/>
  <c r="H1213" i="8"/>
  <c r="J1228" i="8"/>
  <c r="H1239" i="8"/>
  <c r="J1224" i="8"/>
  <c r="J1204" i="8"/>
  <c r="J1173" i="8"/>
  <c r="H1236" i="8"/>
  <c r="J1215" i="8"/>
  <c r="J1201" i="8"/>
  <c r="H1243" i="8"/>
  <c r="H1179" i="8"/>
  <c r="J1205" i="8"/>
  <c r="J1275" i="8"/>
  <c r="H1311" i="8"/>
  <c r="J1301" i="8"/>
  <c r="J1225" i="8"/>
  <c r="J1176" i="8"/>
  <c r="H1235" i="8"/>
  <c r="H1247" i="8"/>
  <c r="J1265" i="8"/>
  <c r="J1242" i="8"/>
  <c r="H1216" i="8"/>
  <c r="H1310" i="8"/>
  <c r="H1250" i="8"/>
  <c r="J1200" i="8"/>
  <c r="J1188" i="8"/>
  <c r="J1237" i="8"/>
  <c r="J1240" i="8"/>
  <c r="J1234" i="8"/>
  <c r="H1197" i="8"/>
  <c r="J1186" i="8"/>
  <c r="H1217" i="8"/>
  <c r="J1208" i="8"/>
  <c r="J1198" i="8"/>
  <c r="H1227" i="8"/>
  <c r="J1271" i="8"/>
  <c r="J1244" i="8"/>
  <c r="J1221" i="8"/>
  <c r="J1223" i="8"/>
  <c r="J1274" i="8"/>
  <c r="J1199" i="8"/>
  <c r="J1207" i="8"/>
  <c r="J1185" i="8"/>
  <c r="J1177" i="8"/>
  <c r="H1317" i="8"/>
  <c r="H1318" i="8"/>
  <c r="J1318" i="8"/>
  <c r="H1316" i="8"/>
  <c r="H1313" i="8"/>
  <c r="H1253" i="8"/>
  <c r="J1255" i="8"/>
  <c r="H1270" i="8"/>
  <c r="J1261" i="8"/>
  <c r="J1294" i="8"/>
  <c r="H1365" i="8"/>
  <c r="H1256" i="8"/>
  <c r="H1290" i="8"/>
  <c r="J1260" i="8"/>
  <c r="H1268" i="8"/>
  <c r="J1284" i="8"/>
  <c r="H1346" i="8"/>
  <c r="J1277" i="8"/>
  <c r="J1273" i="8"/>
  <c r="J1293" i="8"/>
  <c r="H1343" i="8"/>
  <c r="J1259" i="8"/>
  <c r="J1292" i="8"/>
  <c r="H1309" i="8"/>
  <c r="J1326" i="8"/>
  <c r="H1299" i="8"/>
  <c r="J1345" i="8"/>
  <c r="J1325" i="8"/>
  <c r="H1276" i="8"/>
  <c r="H1278" i="8"/>
  <c r="H1266" i="8"/>
  <c r="H1267" i="8"/>
  <c r="H1279" i="8"/>
  <c r="H1283" i="8"/>
  <c r="H1269" i="8"/>
  <c r="H1254" i="8"/>
  <c r="J1300" i="8"/>
  <c r="J1282" i="8"/>
  <c r="H1446" i="8"/>
  <c r="H1391" i="8"/>
  <c r="J1342" i="8"/>
  <c r="H2229" i="8"/>
  <c r="J1470" i="8"/>
  <c r="H1424" i="8"/>
  <c r="J1373" i="8"/>
  <c r="J1339" i="8"/>
  <c r="J1585" i="8"/>
  <c r="J1414" i="8"/>
  <c r="J1401" i="8"/>
  <c r="H2218" i="8"/>
  <c r="J1440" i="8"/>
  <c r="H1398" i="8"/>
  <c r="J1459" i="8"/>
  <c r="J1435" i="8"/>
  <c r="J2092" i="8"/>
  <c r="J1331" i="8"/>
  <c r="H1386" i="8"/>
  <c r="J1694" i="8"/>
  <c r="J1705" i="8"/>
  <c r="J1333" i="8"/>
  <c r="J1659" i="8"/>
  <c r="J1671" i="8"/>
  <c r="H1417" i="8"/>
  <c r="H1355" i="8"/>
  <c r="J1433" i="8"/>
  <c r="J1329" i="8"/>
  <c r="H1400" i="8"/>
  <c r="H1378" i="8"/>
  <c r="H1437" i="8"/>
  <c r="H2245" i="8"/>
  <c r="J1421" i="8"/>
  <c r="J1319" i="8"/>
  <c r="J1367" i="8"/>
  <c r="J1438" i="8"/>
  <c r="J1496" i="8"/>
  <c r="J1763" i="8"/>
  <c r="J1418" i="8"/>
  <c r="J1427" i="8"/>
  <c r="J1392" i="8"/>
  <c r="J1363" i="8"/>
  <c r="J1303" i="8"/>
  <c r="J1493" i="8"/>
  <c r="J2143" i="8"/>
  <c r="J1403" i="8"/>
  <c r="J1385" i="8"/>
  <c r="J1330" i="8"/>
  <c r="J1775" i="8"/>
  <c r="J1749" i="8"/>
  <c r="J1402" i="8"/>
  <c r="J1394" i="8"/>
  <c r="J1366" i="8"/>
  <c r="J1332" i="8"/>
  <c r="J1302" i="8"/>
  <c r="J1434" i="8"/>
  <c r="J1387" i="8"/>
  <c r="H1733" i="8"/>
  <c r="H2107" i="8"/>
  <c r="H1464" i="8"/>
  <c r="J1416" i="8"/>
  <c r="J1358" i="8"/>
  <c r="H1423" i="8"/>
  <c r="H1413" i="8"/>
  <c r="H1312" i="8"/>
  <c r="J2160" i="8"/>
  <c r="J1388" i="8"/>
  <c r="J1436" i="8"/>
  <c r="H1384" i="8"/>
  <c r="J1368" i="8"/>
  <c r="H1495" i="8"/>
  <c r="J1337" i="8"/>
  <c r="J1803" i="8"/>
  <c r="J1338" i="8"/>
  <c r="J1399" i="8"/>
  <c r="H2207" i="8"/>
  <c r="H1790" i="8"/>
  <c r="J1420" i="8"/>
  <c r="H1374" i="8"/>
  <c r="J1599" i="8"/>
  <c r="J1308" i="8"/>
  <c r="H1621" i="8"/>
  <c r="J1442" i="8"/>
  <c r="J1430" i="8"/>
  <c r="H2189" i="8"/>
  <c r="J1397" i="8"/>
  <c r="J2033" i="8"/>
  <c r="J1629" i="8"/>
  <c r="J1426" i="8"/>
  <c r="J1307" i="8"/>
  <c r="H1582" i="8"/>
  <c r="H1377" i="8"/>
  <c r="H1328" i="8"/>
  <c r="J1557" i="8"/>
  <c r="J2018" i="8"/>
  <c r="J1600" i="8"/>
  <c r="J1357" i="8"/>
  <c r="J1340" i="8"/>
  <c r="H1422" i="8"/>
  <c r="H1443" i="8"/>
  <c r="J1533" i="8"/>
  <c r="J1878" i="8"/>
  <c r="J1364" i="8"/>
  <c r="J1341" i="8"/>
  <c r="H1428" i="8"/>
  <c r="H1415" i="8"/>
  <c r="J1514" i="8"/>
  <c r="J1372" i="8"/>
  <c r="J1356" i="8"/>
  <c r="J1447" i="8"/>
  <c r="J1371" i="8"/>
  <c r="J1446" i="8"/>
  <c r="H1306" i="8"/>
  <c r="H1441" i="8"/>
  <c r="H1463" i="8"/>
  <c r="H1551" i="8"/>
  <c r="H1429" i="8"/>
  <c r="H1431" i="8"/>
  <c r="H2177" i="8"/>
  <c r="H1836" i="8"/>
  <c r="H1563" i="8"/>
  <c r="H1407" i="8"/>
  <c r="H1396" i="8"/>
  <c r="H1419" i="8"/>
  <c r="H1389" i="8"/>
  <c r="H1369" i="8"/>
  <c r="H1347" i="8"/>
  <c r="H1336" i="8"/>
  <c r="H1327" i="8"/>
  <c r="H1439" i="8"/>
  <c r="H1796" i="8"/>
  <c r="H1523" i="8"/>
  <c r="H1432" i="8"/>
  <c r="H1458" i="8"/>
  <c r="J1640" i="8"/>
  <c r="J1579" i="8"/>
  <c r="J1485" i="8"/>
  <c r="H1637" i="8"/>
  <c r="H1527" i="8"/>
  <c r="H1556" i="8"/>
  <c r="J1554" i="8"/>
  <c r="J1555" i="8"/>
  <c r="J1508" i="8"/>
  <c r="H1831" i="8"/>
  <c r="J1494" i="8"/>
  <c r="J1558" i="8"/>
  <c r="J1622" i="8"/>
  <c r="J1698" i="8"/>
  <c r="J1476" i="8"/>
  <c r="H1535" i="8"/>
  <c r="J1623" i="8"/>
  <c r="J1538" i="8"/>
  <c r="J1490" i="8"/>
  <c r="H1484" i="8"/>
  <c r="J1606" i="8"/>
  <c r="J1521" i="8"/>
  <c r="J1460" i="8"/>
  <c r="J1575" i="8"/>
  <c r="J1649" i="8"/>
  <c r="H1577" i="8"/>
  <c r="H1682" i="8"/>
  <c r="H1593" i="8"/>
  <c r="H1492" i="8"/>
  <c r="H1631" i="8"/>
  <c r="J1619" i="8"/>
  <c r="H1553" i="8"/>
  <c r="H1467" i="8"/>
  <c r="J1604" i="8"/>
  <c r="J1529" i="8"/>
  <c r="H1614" i="8"/>
  <c r="H1672" i="8"/>
  <c r="H1471" i="8"/>
  <c r="H1520" i="8"/>
  <c r="J1528" i="8"/>
  <c r="H1597" i="8"/>
  <c r="H1469" i="8"/>
  <c r="J1595" i="8"/>
  <c r="J1512" i="8"/>
  <c r="J1639" i="8"/>
  <c r="J1591" i="8"/>
  <c r="H1590" i="8"/>
  <c r="H1583" i="8"/>
  <c r="J1634" i="8"/>
  <c r="J1708" i="8"/>
  <c r="J1567" i="8"/>
  <c r="J1482" i="8"/>
  <c r="H1642" i="8"/>
  <c r="H1620" i="8"/>
  <c r="H1536" i="8"/>
  <c r="H1510" i="8"/>
  <c r="H1457" i="8"/>
  <c r="J1627" i="8"/>
  <c r="J1586" i="8"/>
  <c r="H1635" i="8"/>
  <c r="H1589" i="8"/>
  <c r="H1548" i="8"/>
  <c r="H1518" i="8"/>
  <c r="J1832" i="8"/>
  <c r="J1472" i="8"/>
  <c r="H1641" i="8"/>
  <c r="H1550" i="8"/>
  <c r="H1462" i="8"/>
  <c r="H1625" i="8"/>
  <c r="H1636" i="8"/>
  <c r="J1578" i="8"/>
  <c r="J1507" i="8"/>
  <c r="H1570" i="8"/>
  <c r="H1461" i="8"/>
  <c r="H1657" i="8"/>
  <c r="H1613" i="8"/>
  <c r="H1588" i="8"/>
  <c r="H1559" i="8"/>
  <c r="H1531" i="8"/>
  <c r="H1524" i="8"/>
  <c r="H1511" i="8"/>
  <c r="H1465" i="8"/>
  <c r="H1455" i="8"/>
  <c r="H1638" i="8"/>
  <c r="H1504" i="8"/>
  <c r="J1610" i="8"/>
  <c r="J1534" i="8"/>
  <c r="H1658" i="8"/>
  <c r="J1658" i="8"/>
  <c r="H1601" i="8"/>
  <c r="J1601" i="8"/>
  <c r="H1709" i="8"/>
  <c r="J1709" i="8"/>
  <c r="H1697" i="8"/>
  <c r="J1697" i="8"/>
  <c r="H1545" i="8"/>
  <c r="J1545" i="8"/>
  <c r="H1483" i="8"/>
  <c r="J1483" i="8"/>
  <c r="H1644" i="8"/>
  <c r="J1644" i="8"/>
  <c r="H1596" i="8"/>
  <c r="J1596" i="8"/>
  <c r="H1564" i="8"/>
  <c r="J1564" i="8"/>
  <c r="H1546" i="8"/>
  <c r="J1546" i="8"/>
  <c r="H1517" i="8"/>
  <c r="J1517" i="8"/>
  <c r="H1489" i="8"/>
  <c r="J1489" i="8"/>
  <c r="H1633" i="8"/>
  <c r="J1633" i="8"/>
  <c r="H1574" i="8"/>
  <c r="J1574" i="8"/>
  <c r="H1565" i="8"/>
  <c r="J1565" i="8"/>
  <c r="H1505" i="8"/>
  <c r="J1505" i="8"/>
  <c r="H1475" i="8"/>
  <c r="J1475" i="8"/>
  <c r="J1630" i="8"/>
  <c r="J1605" i="8"/>
  <c r="J1594" i="8"/>
  <c r="J1666" i="8"/>
  <c r="J1509" i="8"/>
  <c r="J1454" i="8"/>
  <c r="J1626" i="8"/>
  <c r="J1615" i="8"/>
  <c r="J1587" i="8"/>
  <c r="J1576" i="8"/>
  <c r="J1552" i="8"/>
  <c r="J1547" i="8"/>
  <c r="J1526" i="8"/>
  <c r="J1522" i="8"/>
  <c r="J1519" i="8"/>
  <c r="J1488" i="8"/>
  <c r="J1466" i="8"/>
  <c r="J1669" i="8"/>
  <c r="J1628" i="8"/>
  <c r="J1624" i="8"/>
  <c r="J1616" i="8"/>
  <c r="J1592" i="8"/>
  <c r="J1598" i="8"/>
  <c r="J1566" i="8"/>
  <c r="J1560" i="8"/>
  <c r="J1549" i="8"/>
  <c r="J1530" i="8"/>
  <c r="J1632" i="8"/>
  <c r="J1525" i="8"/>
  <c r="J1516" i="8"/>
  <c r="J1506" i="8"/>
  <c r="J1532" i="8"/>
  <c r="J1468" i="8"/>
  <c r="J1491" i="8"/>
  <c r="J1456" i="8"/>
  <c r="I51" i="9"/>
  <c r="I8" i="9"/>
  <c r="I72" i="9"/>
  <c r="I9" i="9"/>
  <c r="I10" i="9"/>
  <c r="I24" i="9"/>
  <c r="I52" i="9"/>
  <c r="I60" i="9"/>
  <c r="I62" i="9"/>
  <c r="I64" i="9"/>
  <c r="I34" i="9"/>
  <c r="I35" i="9"/>
  <c r="I36" i="9"/>
  <c r="I12" i="9"/>
  <c r="I13" i="9"/>
  <c r="I55" i="9"/>
  <c r="I79" i="9"/>
  <c r="I75" i="9"/>
  <c r="I76" i="9"/>
  <c r="I84" i="9"/>
  <c r="I16" i="9"/>
  <c r="I30" i="9"/>
  <c r="I31" i="9"/>
  <c r="I37" i="9"/>
  <c r="I32" i="9"/>
  <c r="I33" i="9"/>
  <c r="I38" i="9"/>
  <c r="I39" i="9"/>
  <c r="I40" i="9"/>
  <c r="I41" i="9"/>
  <c r="I42" i="9"/>
  <c r="I43" i="9"/>
  <c r="I44" i="9"/>
  <c r="I45" i="9"/>
  <c r="I19" i="9"/>
  <c r="I70" i="9"/>
  <c r="I20" i="9"/>
  <c r="I29" i="9"/>
  <c r="I21" i="9"/>
  <c r="I56" i="9"/>
  <c r="I80" i="9"/>
  <c r="I22" i="9"/>
  <c r="I23" i="9"/>
  <c r="J1655" i="8"/>
  <c r="J1663" i="8"/>
  <c r="J1670" i="8"/>
  <c r="H1684" i="8"/>
  <c r="J1685" i="8"/>
  <c r="J1692" i="8"/>
  <c r="J1703" i="8"/>
  <c r="J1700" i="8"/>
  <c r="J1813" i="8"/>
  <c r="H1713" i="8"/>
  <c r="J1730" i="8"/>
  <c r="H1727" i="8"/>
  <c r="J1731" i="8"/>
  <c r="H1834" i="8"/>
  <c r="J1862" i="8"/>
  <c r="H1759" i="8"/>
  <c r="J1744" i="8"/>
  <c r="J1751" i="8"/>
  <c r="J1752" i="8"/>
  <c r="H1785" i="8"/>
  <c r="J1765" i="8"/>
  <c r="J1771" i="8"/>
  <c r="J1770" i="8"/>
  <c r="J1769" i="8"/>
  <c r="J1783" i="8"/>
  <c r="H1793" i="8"/>
  <c r="J1782" i="8"/>
  <c r="J1781" i="8"/>
  <c r="J1798" i="8"/>
  <c r="J1786" i="8"/>
  <c r="J1792" i="8"/>
  <c r="J1789" i="8"/>
  <c r="J1787" i="8"/>
  <c r="H1791" i="8"/>
  <c r="J1794" i="8"/>
  <c r="J1795" i="8"/>
  <c r="J1801" i="8"/>
  <c r="J1797" i="8"/>
  <c r="J1818" i="8"/>
  <c r="J1817" i="8"/>
  <c r="J1799" i="8"/>
  <c r="H1800" i="8"/>
  <c r="J1802" i="8"/>
  <c r="J1815" i="8"/>
  <c r="J1823" i="8"/>
  <c r="J1886" i="8"/>
  <c r="J1856" i="8"/>
  <c r="J1819" i="8"/>
  <c r="J1816" i="8"/>
  <c r="H1814" i="8"/>
  <c r="J1821" i="8"/>
  <c r="J1822" i="8"/>
  <c r="J1820" i="8"/>
  <c r="J1824" i="8"/>
  <c r="J1826" i="8"/>
  <c r="J1827" i="8"/>
  <c r="J1825" i="8"/>
  <c r="H1828" i="8"/>
  <c r="J1829" i="8"/>
  <c r="J1830" i="8"/>
  <c r="J1833" i="8"/>
  <c r="J1843" i="8"/>
  <c r="J1841" i="8"/>
  <c r="J1869" i="8"/>
  <c r="J1839" i="8"/>
  <c r="H1853" i="8"/>
  <c r="J1854" i="8"/>
  <c r="J1842" i="8"/>
  <c r="J1840" i="8"/>
  <c r="J1851" i="8"/>
  <c r="J1849" i="8"/>
  <c r="J1852" i="8"/>
  <c r="J1855" i="8"/>
  <c r="J1850" i="8"/>
  <c r="J1857" i="8"/>
  <c r="J1858" i="8"/>
  <c r="J1859" i="8"/>
  <c r="J1860" i="8"/>
  <c r="J1861" i="8"/>
  <c r="J1880" i="8"/>
  <c r="J1870" i="8"/>
  <c r="H1871" i="8"/>
  <c r="J1866" i="8"/>
  <c r="J1865" i="8"/>
  <c r="J1867" i="8"/>
  <c r="J1885" i="8"/>
  <c r="J1879" i="8"/>
  <c r="J1877" i="8"/>
  <c r="J1883" i="8"/>
  <c r="H1884" i="8"/>
  <c r="J1882" i="8"/>
  <c r="J1900" i="8"/>
  <c r="J1887" i="8"/>
  <c r="J1888" i="8"/>
  <c r="J2017" i="8"/>
  <c r="J2016" i="8"/>
  <c r="J2132" i="8"/>
  <c r="J2164" i="8"/>
  <c r="J2163" i="8"/>
  <c r="J2213" i="8"/>
  <c r="J2211" i="8"/>
  <c r="J2250" i="8"/>
  <c r="J2244" i="8"/>
  <c r="H2257" i="8"/>
  <c r="J2258" i="8"/>
  <c r="J2299" i="8"/>
  <c r="J2298" i="8"/>
  <c r="J2320" i="8"/>
  <c r="J2321" i="8"/>
  <c r="J1889" i="8"/>
  <c r="J1891" i="8"/>
  <c r="H1890" i="8"/>
  <c r="J1904" i="8"/>
  <c r="J1901" i="8"/>
  <c r="J1915" i="8"/>
  <c r="J1945" i="8"/>
  <c r="J1892" i="8"/>
  <c r="J1906" i="8"/>
  <c r="J1911" i="8"/>
  <c r="H1905" i="8"/>
  <c r="J1907" i="8"/>
  <c r="J1908" i="8"/>
  <c r="J1909" i="8"/>
  <c r="J1910" i="8"/>
  <c r="J1912" i="8"/>
  <c r="J1913" i="8"/>
  <c r="J1914" i="8"/>
  <c r="H1931" i="8"/>
  <c r="J1928" i="8"/>
  <c r="J1953" i="8"/>
  <c r="J1948" i="8"/>
  <c r="J1973" i="8"/>
  <c r="J1972" i="8"/>
  <c r="J1991" i="8"/>
  <c r="J1993" i="8"/>
  <c r="J2014" i="8"/>
  <c r="J2011" i="8"/>
  <c r="J2042" i="8"/>
  <c r="J2037" i="8"/>
  <c r="J1916" i="8"/>
  <c r="J1920" i="8"/>
  <c r="J1921" i="8"/>
  <c r="J1954" i="8"/>
  <c r="H1947" i="8"/>
  <c r="J1917" i="8"/>
  <c r="J1918" i="8"/>
  <c r="J1919" i="8"/>
  <c r="J1922" i="8"/>
  <c r="J1925" i="8"/>
  <c r="J1923" i="8"/>
  <c r="J1926" i="8"/>
  <c r="H1924" i="8"/>
  <c r="J1927" i="8"/>
  <c r="J1932" i="8"/>
  <c r="J1938" i="8"/>
  <c r="J1939" i="8"/>
  <c r="J1941" i="8"/>
  <c r="J1940" i="8"/>
  <c r="J1943" i="8"/>
  <c r="H1942" i="8"/>
  <c r="J1944" i="8"/>
  <c r="J1946" i="8"/>
  <c r="J1949" i="8"/>
  <c r="J1966" i="8"/>
  <c r="J1987" i="8"/>
  <c r="J2004" i="8"/>
  <c r="J1965" i="8"/>
  <c r="H1956" i="8"/>
  <c r="J1950" i="8"/>
  <c r="J1955" i="8"/>
  <c r="J1978" i="8"/>
  <c r="J1997" i="8"/>
  <c r="J2023" i="8"/>
  <c r="J2036" i="8"/>
  <c r="J1964" i="8"/>
  <c r="H1960" i="8"/>
  <c r="J1984" i="8"/>
  <c r="J1985" i="8"/>
  <c r="J1962" i="8"/>
  <c r="J1961" i="8"/>
  <c r="J1963" i="8"/>
  <c r="J1988" i="8"/>
  <c r="J1967" i="8"/>
  <c r="H1970" i="8"/>
  <c r="J1968" i="8"/>
  <c r="J1986" i="8"/>
  <c r="J2003" i="8"/>
  <c r="J2028" i="8"/>
  <c r="J1969" i="8"/>
  <c r="J1971" i="8"/>
  <c r="J1974" i="8"/>
  <c r="H1979" i="8"/>
  <c r="J1976" i="8"/>
  <c r="J1975" i="8"/>
  <c r="J1977" i="8"/>
  <c r="J1982" i="8"/>
  <c r="J1983" i="8"/>
  <c r="J1995" i="8"/>
  <c r="J1989" i="8"/>
  <c r="J1990" i="8"/>
  <c r="J1998" i="8"/>
  <c r="J1992" i="8"/>
  <c r="J1994" i="8"/>
  <c r="J2020" i="8"/>
  <c r="J2039" i="8"/>
  <c r="J2060" i="8"/>
  <c r="J2080" i="8"/>
  <c r="H2095" i="8"/>
  <c r="J2115" i="8"/>
  <c r="J1996" i="8"/>
  <c r="J2000" i="8"/>
  <c r="J1999" i="8"/>
  <c r="J2002" i="8"/>
  <c r="J2022" i="8"/>
  <c r="J2041" i="8"/>
  <c r="H2061" i="8"/>
  <c r="J2079" i="8"/>
  <c r="J2096" i="8"/>
  <c r="J2116" i="8"/>
  <c r="J2001" i="8"/>
  <c r="J2012" i="8"/>
  <c r="J2015" i="8"/>
  <c r="J2005" i="8"/>
  <c r="H2006" i="8"/>
  <c r="J2007" i="8"/>
  <c r="J2019" i="8"/>
  <c r="J2034" i="8"/>
  <c r="J2009" i="8"/>
  <c r="J2008" i="8"/>
  <c r="J2010" i="8"/>
  <c r="J2059" i="8"/>
  <c r="H2013" i="8"/>
  <c r="J2021" i="8"/>
  <c r="J2027" i="8"/>
  <c r="J2048" i="8"/>
  <c r="J2026" i="8"/>
  <c r="J2024" i="8"/>
  <c r="J2025" i="8"/>
  <c r="J2056" i="8"/>
  <c r="H2038" i="8"/>
  <c r="J2049" i="8"/>
  <c r="J2072" i="8"/>
  <c r="J2073" i="8"/>
  <c r="J2035" i="8"/>
  <c r="J2055" i="8"/>
  <c r="J2066" i="8"/>
  <c r="J2074" i="8"/>
  <c r="H2054" i="8"/>
  <c r="J2075" i="8"/>
  <c r="J2030" i="8"/>
  <c r="J2029" i="8"/>
  <c r="J2031" i="8"/>
  <c r="J2032" i="8"/>
  <c r="J2040" i="8"/>
  <c r="J2046" i="8"/>
  <c r="H2043" i="8"/>
  <c r="J2044" i="8"/>
  <c r="J2045" i="8"/>
  <c r="J2047" i="8"/>
  <c r="J2051" i="8"/>
  <c r="J2050" i="8"/>
  <c r="J2052" i="8"/>
  <c r="J2053" i="8"/>
  <c r="J2057" i="8"/>
  <c r="J2058" i="8"/>
  <c r="J2062" i="8"/>
  <c r="J2064" i="8"/>
  <c r="J2065" i="8"/>
  <c r="J2063" i="8"/>
  <c r="J2067" i="8"/>
  <c r="J2068" i="8"/>
  <c r="H2069" i="8"/>
  <c r="J2070" i="8"/>
  <c r="J2071" i="8"/>
  <c r="J2127" i="8"/>
  <c r="J2078" i="8"/>
  <c r="J2077" i="8"/>
  <c r="J2081" i="8"/>
  <c r="J2082" i="8"/>
  <c r="H2093" i="8"/>
  <c r="J2089" i="8"/>
  <c r="J2094" i="8"/>
  <c r="J2090" i="8"/>
  <c r="J2083" i="8"/>
  <c r="J2086" i="8"/>
  <c r="J2085" i="8"/>
  <c r="J2084" i="8"/>
  <c r="H2087" i="8"/>
  <c r="J2088" i="8"/>
  <c r="J2091" i="8"/>
  <c r="J2097" i="8"/>
  <c r="J2110" i="8"/>
  <c r="J2098" i="8"/>
  <c r="J2108" i="8"/>
  <c r="J2128" i="8"/>
  <c r="H2105" i="8"/>
  <c r="J2124" i="8"/>
  <c r="J2111" i="8"/>
  <c r="J2126" i="8"/>
  <c r="J2106" i="8"/>
  <c r="J2125" i="8"/>
  <c r="J2099" i="8"/>
  <c r="J2101" i="8"/>
  <c r="H2100" i="8"/>
  <c r="J2102" i="8"/>
  <c r="J2119" i="8"/>
  <c r="J2104" i="8"/>
  <c r="J2103" i="8"/>
  <c r="J2109" i="8"/>
  <c r="J2118" i="8"/>
  <c r="J2112" i="8"/>
  <c r="H2113" i="8"/>
  <c r="J2117" i="8"/>
  <c r="J2114" i="8"/>
  <c r="J2120" i="8"/>
  <c r="J2121" i="8"/>
  <c r="J2123" i="8"/>
  <c r="J2122" i="8"/>
  <c r="J2133" i="8"/>
  <c r="H2131" i="8"/>
  <c r="J2130" i="8"/>
  <c r="J2129" i="8"/>
  <c r="J2136" i="8"/>
  <c r="J2146" i="8"/>
  <c r="J2135" i="8"/>
  <c r="J2137" i="8"/>
  <c r="J2138" i="8"/>
  <c r="J2145" i="8"/>
  <c r="J2142" i="8"/>
  <c r="J2147" i="8"/>
  <c r="J2144" i="8"/>
  <c r="J2139" i="8"/>
  <c r="J2149" i="8"/>
  <c r="J2140" i="8"/>
  <c r="J2141" i="8"/>
  <c r="H2148" i="8"/>
  <c r="J2150" i="8"/>
  <c r="J2153" i="8"/>
  <c r="J2152" i="8"/>
  <c r="J2151" i="8"/>
  <c r="J2154" i="8"/>
  <c r="J2155" i="8"/>
  <c r="J2165" i="8"/>
  <c r="H2167" i="8"/>
  <c r="J2156" i="8"/>
  <c r="J2159" i="8"/>
  <c r="J2161" i="8"/>
  <c r="J2162" i="8"/>
  <c r="J2172" i="8"/>
  <c r="J2174" i="8"/>
  <c r="J2175" i="8"/>
  <c r="H2157" i="8"/>
  <c r="J2158" i="8"/>
  <c r="J2168" i="8"/>
  <c r="J2166" i="8"/>
  <c r="J2169" i="8"/>
  <c r="J2170" i="8"/>
  <c r="J2171" i="8"/>
  <c r="J2176" i="8"/>
  <c r="H2173" i="8"/>
  <c r="J2178" i="8"/>
  <c r="J2182" i="8"/>
  <c r="J2179" i="8"/>
  <c r="J2188" i="8"/>
  <c r="J2180" i="8"/>
  <c r="J2181" i="8"/>
  <c r="J2183" i="8"/>
  <c r="H2186" i="8"/>
  <c r="J2192" i="8"/>
  <c r="J2203" i="8"/>
  <c r="J2217" i="8"/>
  <c r="J2200" i="8"/>
  <c r="J2199" i="8"/>
  <c r="J2210" i="8"/>
  <c r="J2221" i="8"/>
  <c r="H2198" i="8"/>
  <c r="J2208" i="8"/>
  <c r="J2220" i="8"/>
  <c r="J2187" i="8"/>
  <c r="J2184" i="8"/>
  <c r="J2185" i="8"/>
  <c r="J2191" i="8"/>
  <c r="J2190" i="8"/>
  <c r="H2194" i="8"/>
  <c r="J2195" i="8"/>
  <c r="J2196" i="8"/>
  <c r="J2197" i="8"/>
  <c r="J2202" i="8"/>
  <c r="J2193" i="8"/>
  <c r="J2201" i="8"/>
  <c r="J2216" i="8"/>
  <c r="J2212" i="8"/>
  <c r="J2215" i="8"/>
  <c r="J2204" i="8"/>
  <c r="J2205" i="8"/>
  <c r="J2206" i="8"/>
  <c r="J2209" i="8"/>
  <c r="J2214" i="8"/>
  <c r="J2226" i="8"/>
  <c r="H2219" i="8"/>
  <c r="J2222" i="8"/>
  <c r="J2228" i="8"/>
  <c r="J2232" i="8"/>
  <c r="J2231" i="8"/>
  <c r="J2230" i="8"/>
  <c r="J2223" i="8"/>
  <c r="J2224" i="8"/>
  <c r="H2225" i="8"/>
  <c r="J2227" i="8"/>
  <c r="J2235" i="8"/>
  <c r="J2233" i="8"/>
  <c r="J2234" i="8"/>
  <c r="J2236" i="8"/>
  <c r="J2239" i="8"/>
  <c r="J2237" i="8"/>
  <c r="H2238" i="8"/>
  <c r="J2240" i="8"/>
  <c r="J2241" i="8"/>
  <c r="J2242" i="8"/>
  <c r="J2243" i="8"/>
  <c r="J2249" i="8"/>
  <c r="J2248" i="8"/>
  <c r="J2246" i="8"/>
  <c r="H2247" i="8"/>
  <c r="J2251" i="8"/>
  <c r="J2253" i="8"/>
  <c r="J2252" i="8"/>
  <c r="J2254" i="8"/>
  <c r="J2255" i="8"/>
  <c r="J2256" i="8"/>
  <c r="J2265" i="8"/>
  <c r="H2259" i="8"/>
  <c r="J2260" i="8"/>
  <c r="J2261" i="8"/>
  <c r="J2267" i="8"/>
  <c r="J2262" i="8"/>
  <c r="J2263" i="8"/>
  <c r="J2264" i="8"/>
  <c r="J2268" i="8"/>
  <c r="H2266" i="8"/>
  <c r="J2269" i="8"/>
  <c r="J2270" i="8"/>
  <c r="J2274" i="8"/>
  <c r="J2280" i="8"/>
  <c r="J2273" i="8"/>
  <c r="J2285" i="8"/>
  <c r="J2272" i="8"/>
  <c r="H2286" i="8"/>
  <c r="J2271" i="8"/>
  <c r="J2278" i="8"/>
  <c r="J2276" i="8"/>
  <c r="J2275" i="8"/>
  <c r="J2287" i="8"/>
  <c r="J2288" i="8"/>
  <c r="J2277" i="8"/>
  <c r="J2281" i="8"/>
  <c r="J2279" i="8"/>
  <c r="J2282" i="8"/>
  <c r="J2283" i="8"/>
  <c r="J2289" i="8"/>
  <c r="J2300" i="8"/>
  <c r="J2284" i="8"/>
  <c r="J2290" i="8"/>
  <c r="H2291" i="8"/>
  <c r="J2292" i="8"/>
  <c r="J2293" i="8"/>
  <c r="J2296" i="8"/>
  <c r="J2294" i="8"/>
  <c r="J2295" i="8"/>
  <c r="J2297" i="8"/>
  <c r="J2301" i="8"/>
  <c r="H2302" i="8"/>
  <c r="J2303" i="8"/>
  <c r="J2306" i="8"/>
  <c r="J2311" i="8"/>
  <c r="J2310" i="8"/>
  <c r="J2309" i="8"/>
  <c r="J2304" i="8"/>
  <c r="J2305" i="8"/>
  <c r="H2307" i="8"/>
  <c r="J2308" i="8"/>
  <c r="J2312" i="8"/>
  <c r="J2313" i="8"/>
  <c r="J2322" i="8"/>
  <c r="J2314" i="8"/>
  <c r="J2316" i="8"/>
  <c r="J2319" i="8"/>
  <c r="H2317" i="8"/>
  <c r="J2318" i="8"/>
  <c r="J2315" i="8"/>
  <c r="J2323" i="8"/>
  <c r="J2324" i="8"/>
  <c r="J2334" i="8"/>
  <c r="J2326" i="8"/>
  <c r="J2325" i="8"/>
  <c r="H2327" i="8"/>
  <c r="J2330" i="8"/>
  <c r="J2329" i="8"/>
  <c r="J2328" i="8"/>
  <c r="J2333" i="8"/>
  <c r="H2331" i="8"/>
  <c r="J2332" i="8"/>
  <c r="J2343" i="8"/>
  <c r="H2344" i="8"/>
  <c r="J2335" i="8"/>
  <c r="J2336" i="8"/>
  <c r="J2338" i="8"/>
  <c r="J2337" i="8"/>
  <c r="J2340" i="8"/>
  <c r="J2339" i="8"/>
  <c r="J2342" i="8"/>
  <c r="H2341" i="8"/>
  <c r="J2345" i="8"/>
  <c r="J2346" i="8"/>
  <c r="J2348" i="8"/>
  <c r="J2347" i="8"/>
  <c r="J2349" i="8"/>
  <c r="J2350" i="8"/>
  <c r="J2351" i="8"/>
  <c r="H2352" i="8"/>
  <c r="J2354" i="8"/>
  <c r="J2357" i="8"/>
  <c r="J2355" i="8"/>
  <c r="J2356" i="8"/>
  <c r="J2353" i="8"/>
  <c r="J2358" i="8"/>
  <c r="J2361" i="8"/>
  <c r="H2362" i="8"/>
  <c r="J2360" i="8"/>
  <c r="J2359" i="8"/>
  <c r="J2363" i="8"/>
  <c r="J2364" i="8"/>
  <c r="C1646" i="8" a="1"/>
  <c r="C1646" i="8" s="1"/>
  <c r="C1656" i="8" a="1"/>
  <c r="C1656" i="8" s="1"/>
  <c r="C1655" i="8" a="1"/>
  <c r="C1655" i="8" s="1"/>
  <c r="C1695" i="8" a="1"/>
  <c r="C1695" i="8" s="1"/>
  <c r="C1660" i="8" a="1"/>
  <c r="C1660" i="8" s="1"/>
  <c r="C1661" i="8" a="1"/>
  <c r="C1661" i="8" s="1"/>
  <c r="C1665" i="8" a="1"/>
  <c r="C1665" i="8" s="1"/>
  <c r="C1663" i="8" a="1"/>
  <c r="C1663" i="8" s="1"/>
  <c r="C1664" i="8" a="1"/>
  <c r="C1664" i="8" s="1"/>
  <c r="C1662" i="8" a="1"/>
  <c r="C1662" i="8" s="1"/>
  <c r="C1670" i="8" a="1"/>
  <c r="C1670" i="8" s="1"/>
  <c r="C1683" i="8" a="1"/>
  <c r="C1683" i="8" s="1"/>
  <c r="C1707" i="8" a="1"/>
  <c r="C1707" i="8" s="1"/>
  <c r="C1748" i="8" a="1"/>
  <c r="C1748" i="8" s="1"/>
  <c r="C1681" i="8" a="1"/>
  <c r="C1681" i="8" s="1"/>
  <c r="C1684" i="8" a="1"/>
  <c r="C1684" i="8" s="1"/>
  <c r="C1679" i="8" a="1"/>
  <c r="C1679" i="8" s="1"/>
  <c r="C1680" i="8" a="1"/>
  <c r="C1680" i="8" s="1"/>
  <c r="C1685" i="8" a="1"/>
  <c r="C1685" i="8" s="1"/>
  <c r="C1687" i="8" a="1"/>
  <c r="C1687" i="8" s="1"/>
  <c r="C1686" i="8" a="1"/>
  <c r="C1686" i="8" s="1"/>
  <c r="C1678" i="8" a="1"/>
  <c r="C1678" i="8" s="1"/>
  <c r="C1693" i="8" a="1"/>
  <c r="C1693" i="8" s="1"/>
  <c r="C1692" i="8" a="1"/>
  <c r="C1692" i="8" s="1"/>
  <c r="C1690" i="8" a="1"/>
  <c r="C1690" i="8" s="1"/>
  <c r="C1691" i="8" a="1"/>
  <c r="C1691" i="8" s="1"/>
  <c r="C1703" i="8" a="1"/>
  <c r="C1703" i="8" s="1"/>
  <c r="C1696" i="8" a="1"/>
  <c r="C1696" i="8" s="1"/>
  <c r="C1758" i="8" a="1"/>
  <c r="C1758" i="8" s="1"/>
  <c r="C1729" i="8" a="1"/>
  <c r="C1729" i="8" s="1"/>
  <c r="C1699" i="8" a="1"/>
  <c r="C1699" i="8" s="1"/>
  <c r="C1700" i="8" a="1"/>
  <c r="C1700" i="8" s="1"/>
  <c r="C1701" i="8" a="1"/>
  <c r="C1701" i="8" s="1"/>
  <c r="C1702" i="8" a="1"/>
  <c r="C1702" i="8" s="1"/>
  <c r="C1813" i="8" a="1"/>
  <c r="C1813" i="8" s="1"/>
  <c r="C1777" i="8" a="1"/>
  <c r="C1777" i="8" s="1"/>
  <c r="C1706" i="8" a="1"/>
  <c r="C1706" i="8" s="1"/>
  <c r="C1704" i="8" a="1"/>
  <c r="C1704" i="8" s="1"/>
  <c r="C1714" i="8" a="1"/>
  <c r="C1714" i="8" s="1"/>
  <c r="C1713" i="8" a="1"/>
  <c r="C1713" i="8" s="1"/>
  <c r="C1710" i="8" a="1"/>
  <c r="C1710" i="8" s="1"/>
  <c r="C1715" i="8" a="1"/>
  <c r="C1715" i="8" s="1"/>
  <c r="C1730" i="8" a="1"/>
  <c r="C1730" i="8" s="1"/>
  <c r="C1716" i="8" a="1"/>
  <c r="C1716" i="8" s="1"/>
  <c r="C1722" i="8" a="1"/>
  <c r="C1722" i="8" s="1"/>
  <c r="C1723" i="8" a="1"/>
  <c r="C1723" i="8" s="1"/>
  <c r="C1724" i="8" a="1"/>
  <c r="C1724" i="8" s="1"/>
  <c r="C1727" i="8" a="1"/>
  <c r="C1727" i="8" s="1"/>
  <c r="C1728" i="8" a="1"/>
  <c r="C1728" i="8" s="1"/>
  <c r="C1732" i="8" a="1"/>
  <c r="C1732" i="8" s="1"/>
  <c r="C1731" i="8" a="1"/>
  <c r="C1731" i="8" s="1"/>
  <c r="C1774" i="8" a="1"/>
  <c r="C1774" i="8" s="1"/>
  <c r="C1776" i="8" a="1"/>
  <c r="C1776" i="8" s="1"/>
  <c r="C1812" i="8" a="1"/>
  <c r="C1812" i="8" s="1"/>
  <c r="C1804" i="8" a="1"/>
  <c r="C1804" i="8" s="1"/>
  <c r="C1834" i="8" a="1"/>
  <c r="C1834" i="8" s="1"/>
  <c r="C1835" i="8" a="1"/>
  <c r="C1835" i="8" s="1"/>
  <c r="C1868" i="8" a="1"/>
  <c r="C1868" i="8" s="1"/>
  <c r="C1862" i="8" a="1"/>
  <c r="C1862" i="8" s="1"/>
  <c r="C1896" i="8" a="1"/>
  <c r="C1896" i="8" s="1"/>
  <c r="C1893" i="8" a="1"/>
  <c r="C1893" i="8" s="1"/>
  <c r="C1734" i="8" a="1"/>
  <c r="C1734" i="8" s="1"/>
  <c r="C1735" i="8" a="1"/>
  <c r="C1735" i="8" s="1"/>
  <c r="C1759" i="8" a="1"/>
  <c r="C1759" i="8" s="1"/>
  <c r="C1755" i="8" a="1"/>
  <c r="C1755" i="8" s="1"/>
  <c r="C1754" i="8" a="1"/>
  <c r="C1754" i="8" s="1"/>
  <c r="C1744" i="8" a="1"/>
  <c r="C1744" i="8" s="1"/>
  <c r="C1745" i="8" a="1"/>
  <c r="C1745" i="8" s="1"/>
  <c r="C1743" i="8" a="1"/>
  <c r="C1743" i="8" s="1"/>
  <c r="C1746" i="8" a="1"/>
  <c r="C1746" i="8" s="1"/>
  <c r="C1747" i="8" a="1"/>
  <c r="C1747" i="8" s="1"/>
  <c r="C1751" i="8" a="1"/>
  <c r="C1751" i="8" s="1"/>
  <c r="C1750" i="8" a="1"/>
  <c r="C1750" i="8" s="1"/>
  <c r="C1753" i="8" a="1"/>
  <c r="C1753" i="8" s="1"/>
  <c r="C1752" i="8" a="1"/>
  <c r="C1752" i="8" s="1"/>
  <c r="C1768" i="8" a="1"/>
  <c r="C1768" i="8" s="1"/>
  <c r="C1761" i="8" a="1"/>
  <c r="C1761" i="8" s="1"/>
  <c r="C1762" i="8" a="1"/>
  <c r="C1762" i="8" s="1"/>
  <c r="C1784" i="8" a="1"/>
  <c r="C1784" i="8" s="1"/>
  <c r="C1785" i="8" a="1"/>
  <c r="C1785" i="8" s="1"/>
  <c r="C1760" i="8" a="1"/>
  <c r="C1760" i="8" s="1"/>
  <c r="C1764" i="8" a="1"/>
  <c r="C1764" i="8" s="1"/>
  <c r="C1765" i="8" a="1"/>
  <c r="C1765" i="8" s="1"/>
  <c r="C1771" i="8" a="1"/>
  <c r="C1771" i="8" s="1"/>
  <c r="C1770" i="8" a="1"/>
  <c r="C1770" i="8" s="1"/>
  <c r="C1769" i="8" a="1"/>
  <c r="C1769" i="8" s="1"/>
  <c r="C1783" i="8" a="1"/>
  <c r="C1783" i="8" s="1"/>
  <c r="C1793" i="8" a="1"/>
  <c r="C1793" i="8" s="1"/>
  <c r="C1782" i="8" a="1"/>
  <c r="C1782" i="8" s="1"/>
  <c r="C1781" i="8" a="1"/>
  <c r="C1781" i="8" s="1"/>
  <c r="C1798" i="8" a="1"/>
  <c r="C1798" i="8" s="1"/>
  <c r="C1786" i="8" a="1"/>
  <c r="C1786" i="8" s="1"/>
  <c r="C1792" i="8" a="1"/>
  <c r="C1792" i="8" s="1"/>
  <c r="C1789" i="8" a="1"/>
  <c r="C1789" i="8" s="1"/>
  <c r="C1787" i="8" a="1"/>
  <c r="C1787" i="8" s="1"/>
  <c r="C1791" i="8" a="1"/>
  <c r="C1791" i="8" s="1"/>
  <c r="C1794" i="8" a="1"/>
  <c r="C1794" i="8" s="1"/>
  <c r="C1795" i="8" a="1"/>
  <c r="C1795" i="8" s="1"/>
  <c r="C1801" i="8" a="1"/>
  <c r="C1801" i="8" s="1"/>
  <c r="C1797" i="8" a="1"/>
  <c r="C1797" i="8" s="1"/>
  <c r="C1818" i="8" a="1"/>
  <c r="C1818" i="8" s="1"/>
  <c r="C1817" i="8" a="1"/>
  <c r="C1817" i="8" s="1"/>
  <c r="C1799" i="8" a="1"/>
  <c r="C1799" i="8" s="1"/>
  <c r="C1800" i="8" a="1"/>
  <c r="C1800" i="8" s="1"/>
  <c r="C1802" i="8" a="1"/>
  <c r="C1802" i="8" s="1"/>
  <c r="C1815" i="8" a="1"/>
  <c r="C1815" i="8" s="1"/>
  <c r="C1823" i="8" a="1"/>
  <c r="C1823" i="8" s="1"/>
  <c r="C1886" i="8" a="1"/>
  <c r="C1886" i="8" s="1"/>
  <c r="C1856" i="8" a="1"/>
  <c r="C1856" i="8" s="1"/>
  <c r="C1819" i="8" a="1"/>
  <c r="C1819" i="8" s="1"/>
  <c r="C1816" i="8" a="1"/>
  <c r="C1816" i="8" s="1"/>
  <c r="C1814" i="8" a="1"/>
  <c r="C1814" i="8" s="1"/>
  <c r="C1821" i="8" a="1"/>
  <c r="C1821" i="8" s="1"/>
  <c r="C1822" i="8" a="1"/>
  <c r="C1822" i="8" s="1"/>
  <c r="C1820" i="8" a="1"/>
  <c r="C1820" i="8" s="1"/>
  <c r="C1824" i="8" a="1"/>
  <c r="C1824" i="8" s="1"/>
  <c r="C1826" i="8" a="1"/>
  <c r="C1826" i="8" s="1"/>
  <c r="C1827" i="8" a="1"/>
  <c r="C1827" i="8" s="1"/>
  <c r="C1825" i="8" a="1"/>
  <c r="C1825" i="8" s="1"/>
  <c r="C1828" i="8" a="1"/>
  <c r="C1828" i="8" s="1"/>
  <c r="C1829" i="8" a="1"/>
  <c r="C1829" i="8" s="1"/>
  <c r="C1830" i="8" a="1"/>
  <c r="C1830" i="8" s="1"/>
  <c r="C1833" i="8" a="1"/>
  <c r="C1833" i="8" s="1"/>
  <c r="C1843" i="8" a="1"/>
  <c r="C1843" i="8" s="1"/>
  <c r="C1841" i="8" a="1"/>
  <c r="C1841" i="8" s="1"/>
  <c r="C1869" i="8" a="1"/>
  <c r="C1869" i="8" s="1"/>
  <c r="C1839" i="8" a="1"/>
  <c r="C1839" i="8" s="1"/>
  <c r="C1853" i="8" a="1"/>
  <c r="C1853" i="8" s="1"/>
  <c r="C1854" i="8" a="1"/>
  <c r="C1854" i="8" s="1"/>
  <c r="C1842" i="8" a="1"/>
  <c r="C1842" i="8" s="1"/>
  <c r="C1840" i="8" a="1"/>
  <c r="C1840" i="8" s="1"/>
  <c r="C1851" i="8" a="1"/>
  <c r="C1851" i="8" s="1"/>
  <c r="C1849" i="8" a="1"/>
  <c r="C1849" i="8" s="1"/>
  <c r="C1852" i="8" a="1"/>
  <c r="C1852" i="8" s="1"/>
  <c r="C1855" i="8" a="1"/>
  <c r="C1855" i="8" s="1"/>
  <c r="C1850" i="8" a="1"/>
  <c r="C1850" i="8" s="1"/>
  <c r="C1857" i="8" a="1"/>
  <c r="C1857" i="8" s="1"/>
  <c r="C1858" i="8" a="1"/>
  <c r="C1858" i="8" s="1"/>
  <c r="C1859" i="8" a="1"/>
  <c r="C1859" i="8" s="1"/>
  <c r="C1860" i="8" a="1"/>
  <c r="C1860" i="8" s="1"/>
  <c r="C1861" i="8" a="1"/>
  <c r="C1861" i="8" s="1"/>
  <c r="C1880" i="8" a="1"/>
  <c r="C1880" i="8" s="1"/>
  <c r="C1870" i="8" a="1"/>
  <c r="C1870" i="8" s="1"/>
  <c r="C1871" i="8" a="1"/>
  <c r="C1871" i="8" s="1"/>
  <c r="C1866" i="8" a="1"/>
  <c r="C1866" i="8" s="1"/>
  <c r="C1865" i="8" a="1"/>
  <c r="C1865" i="8" s="1"/>
  <c r="C1867" i="8" a="1"/>
  <c r="C1867" i="8" s="1"/>
  <c r="C1885" i="8" a="1"/>
  <c r="C1885" i="8" s="1"/>
  <c r="C1879" i="8" a="1"/>
  <c r="C1879" i="8" s="1"/>
  <c r="C1877" i="8" a="1"/>
  <c r="C1877" i="8" s="1"/>
  <c r="C1883" i="8" a="1"/>
  <c r="C1883" i="8" s="1"/>
  <c r="C1884" i="8" a="1"/>
  <c r="C1884" i="8" s="1"/>
  <c r="C1881" i="8" a="1"/>
  <c r="C1881" i="8" s="1"/>
  <c r="C1882" i="8" a="1"/>
  <c r="C1882" i="8" s="1"/>
  <c r="C1900" i="8" a="1"/>
  <c r="C1900" i="8" s="1"/>
  <c r="C1887" i="8" a="1"/>
  <c r="C1887" i="8" s="1"/>
  <c r="C1888" i="8" a="1"/>
  <c r="C1888" i="8" s="1"/>
  <c r="C2017" i="8" a="1"/>
  <c r="C2017" i="8" s="1"/>
  <c r="C2016" i="8" a="1"/>
  <c r="C2016" i="8" s="1"/>
  <c r="C2134" i="8" a="1"/>
  <c r="C2134" i="8" s="1"/>
  <c r="C2132" i="8" a="1"/>
  <c r="C2132" i="8" s="1"/>
  <c r="C2164" i="8" a="1"/>
  <c r="C2164" i="8" s="1"/>
  <c r="C2163" i="8" a="1"/>
  <c r="C2163" i="8" s="1"/>
  <c r="C2213" i="8" a="1"/>
  <c r="C2213" i="8" s="1"/>
  <c r="C2211" i="8" a="1"/>
  <c r="C2211" i="8" s="1"/>
  <c r="C2250" i="8" a="1"/>
  <c r="C2250" i="8" s="1"/>
  <c r="C2244" i="8" a="1"/>
  <c r="C2244" i="8" s="1"/>
  <c r="C2257" i="8" a="1"/>
  <c r="C2257" i="8" s="1"/>
  <c r="C2258" i="8" a="1"/>
  <c r="C2258" i="8" s="1"/>
  <c r="C2299" i="8" a="1"/>
  <c r="C2299" i="8" s="1"/>
  <c r="C2298" i="8" a="1"/>
  <c r="C2298" i="8" s="1"/>
  <c r="C2320" i="8" a="1"/>
  <c r="C2320" i="8" s="1"/>
  <c r="C2321" i="8" a="1"/>
  <c r="C2321" i="8" s="1"/>
  <c r="C1889" i="8" a="1"/>
  <c r="C1889" i="8" s="1"/>
  <c r="C1891" i="8" a="1"/>
  <c r="C1891" i="8" s="1"/>
  <c r="C1890" i="8" a="1"/>
  <c r="C1890" i="8" s="1"/>
  <c r="C1904" i="8" a="1"/>
  <c r="C1904" i="8" s="1"/>
  <c r="C1901" i="8" a="1"/>
  <c r="C1901" i="8" s="1"/>
  <c r="C1915" i="8" a="1"/>
  <c r="C1915" i="8" s="1"/>
  <c r="C1945" i="8" a="1"/>
  <c r="C1945" i="8" s="1"/>
  <c r="C1892" i="8" a="1"/>
  <c r="C1892" i="8" s="1"/>
  <c r="C1906" i="8" a="1"/>
  <c r="C1906" i="8" s="1"/>
  <c r="C1911" i="8" a="1"/>
  <c r="C1911" i="8" s="1"/>
  <c r="C1905" i="8" a="1"/>
  <c r="C1905" i="8" s="1"/>
  <c r="C1907" i="8" a="1"/>
  <c r="C1907" i="8" s="1"/>
  <c r="C1908" i="8" a="1"/>
  <c r="C1908" i="8" s="1"/>
  <c r="C1909" i="8" a="1"/>
  <c r="C1909" i="8" s="1"/>
  <c r="C1910" i="8" a="1"/>
  <c r="C1910" i="8" s="1"/>
  <c r="C1912" i="8" a="1"/>
  <c r="C1912" i="8" s="1"/>
  <c r="C1913" i="8" a="1"/>
  <c r="C1913" i="8" s="1"/>
  <c r="C1914" i="8" a="1"/>
  <c r="C1914" i="8" s="1"/>
  <c r="C1931" i="8" a="1"/>
  <c r="C1931" i="8" s="1"/>
  <c r="C1928" i="8" a="1"/>
  <c r="C1928" i="8" s="1"/>
  <c r="C1953" i="8" a="1"/>
  <c r="C1953" i="8" s="1"/>
  <c r="C1948" i="8" a="1"/>
  <c r="C1948" i="8" s="1"/>
  <c r="C1973" i="8" a="1"/>
  <c r="C1973" i="8" s="1"/>
  <c r="C1972" i="8" a="1"/>
  <c r="C1972" i="8" s="1"/>
  <c r="C1991" i="8" a="1"/>
  <c r="C1991" i="8" s="1"/>
  <c r="C1993" i="8" a="1"/>
  <c r="C1993" i="8" s="1"/>
  <c r="C2014" i="8" a="1"/>
  <c r="C2014" i="8" s="1"/>
  <c r="C2011" i="8" a="1"/>
  <c r="C2011" i="8" s="1"/>
  <c r="C2042" i="8" a="1"/>
  <c r="C2042" i="8" s="1"/>
  <c r="C2037" i="8" a="1"/>
  <c r="C2037" i="8" s="1"/>
  <c r="C1916" i="8" a="1"/>
  <c r="C1916" i="8" s="1"/>
  <c r="C1920" i="8" a="1"/>
  <c r="C1920" i="8" s="1"/>
  <c r="C1921" i="8" a="1"/>
  <c r="C1921" i="8" s="1"/>
  <c r="C1954" i="8" a="1"/>
  <c r="C1954" i="8" s="1"/>
  <c r="C1947" i="8" a="1"/>
  <c r="C1947" i="8" s="1"/>
  <c r="C1917" i="8" a="1"/>
  <c r="C1917" i="8" s="1"/>
  <c r="C1918" i="8" a="1"/>
  <c r="C1918" i="8" s="1"/>
  <c r="C1919" i="8" a="1"/>
  <c r="C1919" i="8" s="1"/>
  <c r="C1922" i="8" a="1"/>
  <c r="C1922" i="8" s="1"/>
  <c r="C1925" i="8" a="1"/>
  <c r="C1925" i="8" s="1"/>
  <c r="C1923" i="8" a="1"/>
  <c r="C1923" i="8" s="1"/>
  <c r="C1926" i="8" a="1"/>
  <c r="C1926" i="8" s="1"/>
  <c r="C1924" i="8" a="1"/>
  <c r="C1924" i="8" s="1"/>
  <c r="C1927" i="8" a="1"/>
  <c r="C1927" i="8" s="1"/>
  <c r="C1932" i="8" a="1"/>
  <c r="C1932" i="8" s="1"/>
  <c r="C1938" i="8" a="1"/>
  <c r="C1938" i="8" s="1"/>
  <c r="C1939" i="8" a="1"/>
  <c r="C1939" i="8" s="1"/>
  <c r="C1941" i="8" a="1"/>
  <c r="C1941" i="8" s="1"/>
  <c r="C1940" i="8" a="1"/>
  <c r="C1940" i="8" s="1"/>
  <c r="C1943" i="8" a="1"/>
  <c r="C1943" i="8" s="1"/>
  <c r="C1942" i="8" a="1"/>
  <c r="C1942" i="8" s="1"/>
  <c r="C1944" i="8" a="1"/>
  <c r="C1944" i="8" s="1"/>
  <c r="C1946" i="8" a="1"/>
  <c r="C1946" i="8" s="1"/>
  <c r="C1949" i="8" a="1"/>
  <c r="C1949" i="8" s="1"/>
  <c r="C1966" i="8" a="1"/>
  <c r="C1966" i="8" s="1"/>
  <c r="C1987" i="8" a="1"/>
  <c r="C1987" i="8" s="1"/>
  <c r="C2004" i="8" a="1"/>
  <c r="C2004" i="8" s="1"/>
  <c r="C1965" i="8" a="1"/>
  <c r="C1965" i="8" s="1"/>
  <c r="C1956" i="8" a="1"/>
  <c r="C1956" i="8" s="1"/>
  <c r="C1950" i="8" a="1"/>
  <c r="C1950" i="8" s="1"/>
  <c r="C1955" i="8" a="1"/>
  <c r="C1955" i="8" s="1"/>
  <c r="C1978" i="8" a="1"/>
  <c r="C1978" i="8" s="1"/>
  <c r="C1997" i="8" a="1"/>
  <c r="C1997" i="8" s="1"/>
  <c r="C2023" i="8" a="1"/>
  <c r="C2023" i="8" s="1"/>
  <c r="C2036" i="8" a="1"/>
  <c r="C2036" i="8" s="1"/>
  <c r="C1964" i="8" a="1"/>
  <c r="C1964" i="8" s="1"/>
  <c r="C1960" i="8" a="1"/>
  <c r="C1960" i="8" s="1"/>
  <c r="C1984" i="8" a="1"/>
  <c r="C1984" i="8" s="1"/>
  <c r="C1985" i="8" a="1"/>
  <c r="C1985" i="8" s="1"/>
  <c r="C1962" i="8" a="1"/>
  <c r="C1962" i="8" s="1"/>
  <c r="C1961" i="8" a="1"/>
  <c r="C1961" i="8" s="1"/>
  <c r="C1963" i="8" a="1"/>
  <c r="C1963" i="8" s="1"/>
  <c r="C1988" i="8" a="1"/>
  <c r="C1988" i="8" s="1"/>
  <c r="C1967" i="8" a="1"/>
  <c r="C1967" i="8" s="1"/>
  <c r="C1970" i="8" a="1"/>
  <c r="C1970" i="8" s="1"/>
  <c r="C1968" i="8" a="1"/>
  <c r="C1968" i="8" s="1"/>
  <c r="C1986" i="8" a="1"/>
  <c r="C1986" i="8" s="1"/>
  <c r="C2003" i="8" a="1"/>
  <c r="C2003" i="8" s="1"/>
  <c r="C2028" i="8" a="1"/>
  <c r="C2028" i="8" s="1"/>
  <c r="C1969" i="8" a="1"/>
  <c r="C1969" i="8" s="1"/>
  <c r="C1971" i="8" a="1"/>
  <c r="C1971" i="8" s="1"/>
  <c r="C1974" i="8" a="1"/>
  <c r="C1974" i="8" s="1"/>
  <c r="C1979" i="8" a="1"/>
  <c r="C1979" i="8" s="1"/>
  <c r="C1976" i="8" a="1"/>
  <c r="C1976" i="8" s="1"/>
  <c r="C1975" i="8" a="1"/>
  <c r="C1975" i="8" s="1"/>
  <c r="C1977" i="8" a="1"/>
  <c r="C1977" i="8" s="1"/>
  <c r="C1982" i="8" a="1"/>
  <c r="C1982" i="8" s="1"/>
  <c r="C1983" i="8" a="1"/>
  <c r="C1983" i="8" s="1"/>
  <c r="C1995" i="8" a="1"/>
  <c r="C1995" i="8" s="1"/>
  <c r="C1989" i="8" a="1"/>
  <c r="C1989" i="8" s="1"/>
  <c r="C1990" i="8" a="1"/>
  <c r="C1990" i="8" s="1"/>
  <c r="C1998" i="8" a="1"/>
  <c r="C1998" i="8" s="1"/>
  <c r="C1992" i="8" a="1"/>
  <c r="C1992" i="8" s="1"/>
  <c r="C1994" i="8" a="1"/>
  <c r="C1994" i="8" s="1"/>
  <c r="C2020" i="8" a="1"/>
  <c r="C2020" i="8" s="1"/>
  <c r="C2039" i="8" a="1"/>
  <c r="C2039" i="8" s="1"/>
  <c r="C2060" i="8" a="1"/>
  <c r="C2060" i="8" s="1"/>
  <c r="C2080" i="8" a="1"/>
  <c r="C2080" i="8" s="1"/>
  <c r="C2095" i="8" a="1"/>
  <c r="C2095" i="8" s="1"/>
  <c r="C2115" i="8" a="1"/>
  <c r="C2115" i="8" s="1"/>
  <c r="C1996" i="8" a="1"/>
  <c r="C1996" i="8" s="1"/>
  <c r="C2000" i="8" a="1"/>
  <c r="C2000" i="8" s="1"/>
  <c r="C1999" i="8" a="1"/>
  <c r="C1999" i="8" s="1"/>
  <c r="C2002" i="8" a="1"/>
  <c r="C2002" i="8" s="1"/>
  <c r="C2022" i="8" a="1"/>
  <c r="C2022" i="8" s="1"/>
  <c r="C2041" i="8" a="1"/>
  <c r="C2041" i="8" s="1"/>
  <c r="C2061" i="8" a="1"/>
  <c r="C2061" i="8" s="1"/>
  <c r="C2079" i="8" a="1"/>
  <c r="C2079" i="8" s="1"/>
  <c r="C2096" i="8" a="1"/>
  <c r="C2096" i="8" s="1"/>
  <c r="C2116" i="8" a="1"/>
  <c r="C2116" i="8" s="1"/>
  <c r="C2001" i="8" a="1"/>
  <c r="C2001" i="8" s="1"/>
  <c r="C2012" i="8" a="1"/>
  <c r="C2012" i="8" s="1"/>
  <c r="C2015" i="8" a="1"/>
  <c r="C2015" i="8" s="1"/>
  <c r="C2005" i="8" a="1"/>
  <c r="C2005" i="8" s="1"/>
  <c r="C2006" i="8" a="1"/>
  <c r="C2006" i="8" s="1"/>
  <c r="C2007" i="8" a="1"/>
  <c r="C2007" i="8" s="1"/>
  <c r="C2019" i="8" a="1"/>
  <c r="C2019" i="8" s="1"/>
  <c r="C2034" i="8" a="1"/>
  <c r="C2034" i="8" s="1"/>
  <c r="C2009" i="8" a="1"/>
  <c r="C2009" i="8" s="1"/>
  <c r="C2008" i="8" a="1"/>
  <c r="C2008" i="8" s="1"/>
  <c r="C2010" i="8" a="1"/>
  <c r="C2010" i="8" s="1"/>
  <c r="C2059" i="8" a="1"/>
  <c r="C2059" i="8" s="1"/>
  <c r="C2013" i="8" a="1"/>
  <c r="C2013" i="8" s="1"/>
  <c r="C2021" i="8" a="1"/>
  <c r="C2021" i="8" s="1"/>
  <c r="C2027" i="8" a="1"/>
  <c r="C2027" i="8" s="1"/>
  <c r="C2048" i="8" a="1"/>
  <c r="C2048" i="8" s="1"/>
  <c r="C2026" i="8" a="1"/>
  <c r="C2026" i="8" s="1"/>
  <c r="C2024" i="8" a="1"/>
  <c r="C2024" i="8" s="1"/>
  <c r="C2025" i="8" a="1"/>
  <c r="C2025" i="8" s="1"/>
  <c r="C2056" i="8" a="1"/>
  <c r="C2056" i="8" s="1"/>
  <c r="C2038" i="8" a="1"/>
  <c r="C2038" i="8" s="1"/>
  <c r="C2049" i="8" a="1"/>
  <c r="C2049" i="8" s="1"/>
  <c r="C2072" i="8" a="1"/>
  <c r="C2072" i="8" s="1"/>
  <c r="C2073" i="8" a="1"/>
  <c r="C2073" i="8" s="1"/>
  <c r="C2035" i="8" a="1"/>
  <c r="C2035" i="8" s="1"/>
  <c r="C2055" i="8" a="1"/>
  <c r="C2055" i="8" s="1"/>
  <c r="C2066" i="8" a="1"/>
  <c r="C2066" i="8" s="1"/>
  <c r="C2074" i="8" a="1"/>
  <c r="C2074" i="8" s="1"/>
  <c r="C2054" i="8" a="1"/>
  <c r="C2054" i="8" s="1"/>
  <c r="C2075" i="8" a="1"/>
  <c r="C2075" i="8" s="1"/>
  <c r="C2030" i="8" a="1"/>
  <c r="C2030" i="8" s="1"/>
  <c r="C2029" i="8" a="1"/>
  <c r="C2029" i="8" s="1"/>
  <c r="C2031" i="8" a="1"/>
  <c r="C2031" i="8" s="1"/>
  <c r="C2032" i="8" a="1"/>
  <c r="C2032" i="8" s="1"/>
  <c r="C2040" i="8" a="1"/>
  <c r="C2040" i="8" s="1"/>
  <c r="C2046" i="8" a="1"/>
  <c r="C2046" i="8" s="1"/>
  <c r="C2043" i="8" a="1"/>
  <c r="C2043" i="8" s="1"/>
  <c r="C2044" i="8" a="1"/>
  <c r="C2044" i="8" s="1"/>
  <c r="C2045" i="8" a="1"/>
  <c r="C2045" i="8" s="1"/>
  <c r="C2047" i="8" a="1"/>
  <c r="C2047" i="8" s="1"/>
  <c r="C2051" i="8" a="1"/>
  <c r="C2051" i="8" s="1"/>
  <c r="C2050" i="8" a="1"/>
  <c r="C2050" i="8" s="1"/>
  <c r="C2052" i="8" a="1"/>
  <c r="C2052" i="8" s="1"/>
  <c r="C2053" i="8" a="1"/>
  <c r="C2053" i="8" s="1"/>
  <c r="C2057" i="8" a="1"/>
  <c r="C2057" i="8" s="1"/>
  <c r="C2058" i="8" a="1"/>
  <c r="C2058" i="8" s="1"/>
  <c r="C2062" i="8" a="1"/>
  <c r="C2062" i="8" s="1"/>
  <c r="C2064" i="8" a="1"/>
  <c r="C2064" i="8" s="1"/>
  <c r="C2065" i="8" a="1"/>
  <c r="C2065" i="8" s="1"/>
  <c r="C2063" i="8" a="1"/>
  <c r="C2063" i="8" s="1"/>
  <c r="C2067" i="8" a="1"/>
  <c r="C2067" i="8" s="1"/>
  <c r="C2068" i="8" a="1"/>
  <c r="C2068" i="8" s="1"/>
  <c r="C2069" i="8" a="1"/>
  <c r="C2069" i="8" s="1"/>
  <c r="C2070" i="8" a="1"/>
  <c r="C2070" i="8" s="1"/>
  <c r="C2071" i="8" a="1"/>
  <c r="C2071" i="8" s="1"/>
  <c r="C2127" i="8" a="1"/>
  <c r="C2127" i="8" s="1"/>
  <c r="C2078" i="8" a="1"/>
  <c r="C2078" i="8" s="1"/>
  <c r="C2077" i="8" a="1"/>
  <c r="C2077" i="8" s="1"/>
  <c r="C2081" i="8" a="1"/>
  <c r="C2081" i="8" s="1"/>
  <c r="C2082" i="8" a="1"/>
  <c r="C2082" i="8" s="1"/>
  <c r="C2093" i="8" a="1"/>
  <c r="C2093" i="8" s="1"/>
  <c r="C2089" i="8" a="1"/>
  <c r="C2089" i="8" s="1"/>
  <c r="C2094" i="8" a="1"/>
  <c r="C2094" i="8" s="1"/>
  <c r="C2090" i="8" a="1"/>
  <c r="C2090" i="8" s="1"/>
  <c r="C2083" i="8" a="1"/>
  <c r="C2083" i="8" s="1"/>
  <c r="C2086" i="8" a="1"/>
  <c r="C2086" i="8" s="1"/>
  <c r="C2085" i="8" a="1"/>
  <c r="C2085" i="8" s="1"/>
  <c r="C2084" i="8" a="1"/>
  <c r="C2084" i="8" s="1"/>
  <c r="C2087" i="8" a="1"/>
  <c r="C2087" i="8" s="1"/>
  <c r="C2088" i="8" a="1"/>
  <c r="C2088" i="8" s="1"/>
  <c r="C2091" i="8" a="1"/>
  <c r="C2091" i="8" s="1"/>
  <c r="C2097" i="8" a="1"/>
  <c r="C2097" i="8" s="1"/>
  <c r="C2110" i="8" a="1"/>
  <c r="C2110" i="8" s="1"/>
  <c r="C2098" i="8" a="1"/>
  <c r="C2098" i="8" s="1"/>
  <c r="C2108" i="8" a="1"/>
  <c r="C2108" i="8" s="1"/>
  <c r="C2128" i="8" a="1"/>
  <c r="C2128" i="8" s="1"/>
  <c r="C2105" i="8" a="1"/>
  <c r="C2105" i="8" s="1"/>
  <c r="C2124" i="8" a="1"/>
  <c r="C2124" i="8" s="1"/>
  <c r="C2111" i="8" a="1"/>
  <c r="C2111" i="8" s="1"/>
  <c r="C2126" i="8" a="1"/>
  <c r="C2126" i="8" s="1"/>
  <c r="C2106" i="8" a="1"/>
  <c r="C2106" i="8" s="1"/>
  <c r="C2125" i="8" a="1"/>
  <c r="C2125" i="8" s="1"/>
  <c r="C2099" i="8" a="1"/>
  <c r="C2099" i="8" s="1"/>
  <c r="C2101" i="8" a="1"/>
  <c r="C2101" i="8" s="1"/>
  <c r="C2100" i="8" a="1"/>
  <c r="C2100" i="8" s="1"/>
  <c r="C2102" i="8" a="1"/>
  <c r="C2102" i="8" s="1"/>
  <c r="C2119" i="8" a="1"/>
  <c r="C2119" i="8" s="1"/>
  <c r="C2104" i="8" a="1"/>
  <c r="C2104" i="8" s="1"/>
  <c r="C2103" i="8" a="1"/>
  <c r="C2103" i="8" s="1"/>
  <c r="C2109" i="8" a="1"/>
  <c r="C2109" i="8" s="1"/>
  <c r="C2118" i="8" a="1"/>
  <c r="C2118" i="8" s="1"/>
  <c r="C2112" i="8" a="1"/>
  <c r="C2112" i="8" s="1"/>
  <c r="C2113" i="8" a="1"/>
  <c r="C2113" i="8" s="1"/>
  <c r="C2117" i="8" a="1"/>
  <c r="C2117" i="8" s="1"/>
  <c r="C2114" i="8" a="1"/>
  <c r="C2114" i="8" s="1"/>
  <c r="C2120" i="8" a="1"/>
  <c r="C2120" i="8" s="1"/>
  <c r="C2121" i="8" a="1"/>
  <c r="C2121" i="8" s="1"/>
  <c r="C2123" i="8" a="1"/>
  <c r="C2123" i="8" s="1"/>
  <c r="C2122" i="8" a="1"/>
  <c r="C2122" i="8" s="1"/>
  <c r="C2133" i="8" a="1"/>
  <c r="C2133" i="8" s="1"/>
  <c r="C2131" i="8" a="1"/>
  <c r="C2131" i="8" s="1"/>
  <c r="C2130" i="8" a="1"/>
  <c r="C2130" i="8" s="1"/>
  <c r="C2129" i="8" a="1"/>
  <c r="C2129" i="8" s="1"/>
  <c r="C2136" i="8" a="1"/>
  <c r="C2136" i="8" s="1"/>
  <c r="C2146" i="8" a="1"/>
  <c r="C2146" i="8" s="1"/>
  <c r="C2135" i="8" a="1"/>
  <c r="C2135" i="8" s="1"/>
  <c r="C2137" i="8" a="1"/>
  <c r="C2137" i="8" s="1"/>
  <c r="C2138" i="8" a="1"/>
  <c r="C2138" i="8" s="1"/>
  <c r="C2145" i="8" a="1"/>
  <c r="C2145" i="8" s="1"/>
  <c r="C2142" i="8" a="1"/>
  <c r="C2142" i="8" s="1"/>
  <c r="C2147" i="8" a="1"/>
  <c r="C2147" i="8" s="1"/>
  <c r="C2144" i="8" a="1"/>
  <c r="C2144" i="8" s="1"/>
  <c r="C2139" i="8" a="1"/>
  <c r="C2139" i="8" s="1"/>
  <c r="C2149" i="8" a="1"/>
  <c r="C2149" i="8" s="1"/>
  <c r="C2140" i="8" a="1"/>
  <c r="C2140" i="8" s="1"/>
  <c r="C2141" i="8" a="1"/>
  <c r="C2141" i="8" s="1"/>
  <c r="C2148" i="8" a="1"/>
  <c r="C2148" i="8" s="1"/>
  <c r="C2150" i="8" a="1"/>
  <c r="C2150" i="8" s="1"/>
  <c r="C2153" i="8" a="1"/>
  <c r="C2153" i="8" s="1"/>
  <c r="C2152" i="8" a="1"/>
  <c r="C2152" i="8" s="1"/>
  <c r="C2151" i="8" a="1"/>
  <c r="C2151" i="8" s="1"/>
  <c r="C2154" i="8" a="1"/>
  <c r="C2154" i="8" s="1"/>
  <c r="C2155" i="8" a="1"/>
  <c r="C2155" i="8" s="1"/>
  <c r="C2165" i="8" a="1"/>
  <c r="C2165" i="8" s="1"/>
  <c r="C2167" i="8" a="1"/>
  <c r="C2167" i="8" s="1"/>
  <c r="C2156" i="8" a="1"/>
  <c r="C2156" i="8" s="1"/>
  <c r="C2159" i="8" a="1"/>
  <c r="C2159" i="8" s="1"/>
  <c r="C2161" i="8" a="1"/>
  <c r="C2161" i="8" s="1"/>
  <c r="C2162" i="8" a="1"/>
  <c r="C2162" i="8" s="1"/>
  <c r="C2172" i="8" a="1"/>
  <c r="C2172" i="8" s="1"/>
  <c r="C2174" i="8" a="1"/>
  <c r="C2174" i="8" s="1"/>
  <c r="C2175" i="8" a="1"/>
  <c r="C2175" i="8" s="1"/>
  <c r="C2157" i="8" a="1"/>
  <c r="C2157" i="8" s="1"/>
  <c r="C2158" i="8" a="1"/>
  <c r="C2158" i="8" s="1"/>
  <c r="C2168" i="8" a="1"/>
  <c r="C2168" i="8" s="1"/>
  <c r="C2166" i="8" a="1"/>
  <c r="C2166" i="8" s="1"/>
  <c r="C2169" i="8" a="1"/>
  <c r="C2169" i="8" s="1"/>
  <c r="C2170" i="8" a="1"/>
  <c r="C2170" i="8" s="1"/>
  <c r="C2171" i="8" a="1"/>
  <c r="C2171" i="8" s="1"/>
  <c r="C2176" i="8" a="1"/>
  <c r="C2176" i="8" s="1"/>
  <c r="C2173" i="8" a="1"/>
  <c r="C2173" i="8" s="1"/>
  <c r="C2178" i="8" a="1"/>
  <c r="C2178" i="8" s="1"/>
  <c r="C2182" i="8" a="1"/>
  <c r="C2182" i="8" s="1"/>
  <c r="C2179" i="8" a="1"/>
  <c r="C2179" i="8" s="1"/>
  <c r="C2188" i="8" a="1"/>
  <c r="C2188" i="8" s="1"/>
  <c r="C2180" i="8" a="1"/>
  <c r="C2180" i="8" s="1"/>
  <c r="C2181" i="8" a="1"/>
  <c r="C2181" i="8" s="1"/>
  <c r="C2183" i="8" a="1"/>
  <c r="C2183" i="8" s="1"/>
  <c r="C2186" i="8" a="1"/>
  <c r="C2186" i="8" s="1"/>
  <c r="C2192" i="8" a="1"/>
  <c r="C2192" i="8" s="1"/>
  <c r="C2203" i="8" a="1"/>
  <c r="C2203" i="8" s="1"/>
  <c r="C2217" i="8" a="1"/>
  <c r="C2217" i="8" s="1"/>
  <c r="C2200" i="8" a="1"/>
  <c r="C2200" i="8" s="1"/>
  <c r="C2199" i="8" a="1"/>
  <c r="C2199" i="8" s="1"/>
  <c r="C2210" i="8" a="1"/>
  <c r="C2210" i="8" s="1"/>
  <c r="C2221" i="8" a="1"/>
  <c r="C2221" i="8" s="1"/>
  <c r="C2198" i="8" a="1"/>
  <c r="C2198" i="8" s="1"/>
  <c r="C2208" i="8" a="1"/>
  <c r="C2208" i="8" s="1"/>
  <c r="C2220" i="8" a="1"/>
  <c r="C2220" i="8" s="1"/>
  <c r="C2187" i="8" a="1"/>
  <c r="C2187" i="8" s="1"/>
  <c r="C2184" i="8" a="1"/>
  <c r="C2184" i="8" s="1"/>
  <c r="C2185" i="8" a="1"/>
  <c r="C2185" i="8" s="1"/>
  <c r="C2191" i="8" a="1"/>
  <c r="C2191" i="8" s="1"/>
  <c r="C2190" i="8" a="1"/>
  <c r="C2190" i="8" s="1"/>
  <c r="C2194" i="8" a="1"/>
  <c r="C2194" i="8" s="1"/>
  <c r="C2195" i="8" a="1"/>
  <c r="C2195" i="8" s="1"/>
  <c r="C2196" i="8" a="1"/>
  <c r="C2196" i="8" s="1"/>
  <c r="C2197" i="8" a="1"/>
  <c r="C2197" i="8" s="1"/>
  <c r="C2202" i="8" a="1"/>
  <c r="C2202" i="8" s="1"/>
  <c r="C2193" i="8" a="1"/>
  <c r="C2193" i="8" s="1"/>
  <c r="C2201" i="8" a="1"/>
  <c r="C2201" i="8" s="1"/>
  <c r="C2216" i="8" a="1"/>
  <c r="C2216" i="8" s="1"/>
  <c r="C2212" i="8" a="1"/>
  <c r="C2212" i="8" s="1"/>
  <c r="C2215" i="8" a="1"/>
  <c r="C2215" i="8" s="1"/>
  <c r="C2204" i="8" a="1"/>
  <c r="C2204" i="8" s="1"/>
  <c r="C2205" i="8" a="1"/>
  <c r="C2205" i="8" s="1"/>
  <c r="C2206" i="8" a="1"/>
  <c r="C2206" i="8" s="1"/>
  <c r="C2209" i="8" a="1"/>
  <c r="C2209" i="8" s="1"/>
  <c r="C2214" i="8" a="1"/>
  <c r="C2214" i="8" s="1"/>
  <c r="C2226" i="8" a="1"/>
  <c r="C2226" i="8" s="1"/>
  <c r="C2219" i="8" a="1"/>
  <c r="C2219" i="8" s="1"/>
  <c r="C2222" i="8" a="1"/>
  <c r="C2222" i="8" s="1"/>
  <c r="C2228" i="8" a="1"/>
  <c r="C2228" i="8" s="1"/>
  <c r="C2232" i="8" a="1"/>
  <c r="C2232" i="8" s="1"/>
  <c r="C2231" i="8" a="1"/>
  <c r="C2231" i="8" s="1"/>
  <c r="C2230" i="8" a="1"/>
  <c r="C2230" i="8" s="1"/>
  <c r="C2223" i="8" a="1"/>
  <c r="C2223" i="8" s="1"/>
  <c r="C2224" i="8" a="1"/>
  <c r="C2224" i="8" s="1"/>
  <c r="C2225" i="8" a="1"/>
  <c r="C2225" i="8" s="1"/>
  <c r="C2227" i="8" a="1"/>
  <c r="C2227" i="8" s="1"/>
  <c r="C2235" i="8" a="1"/>
  <c r="C2235" i="8" s="1"/>
  <c r="C2233" i="8" a="1"/>
  <c r="C2233" i="8" s="1"/>
  <c r="C2234" i="8" a="1"/>
  <c r="C2234" i="8" s="1"/>
  <c r="C2236" i="8" a="1"/>
  <c r="C2236" i="8" s="1"/>
  <c r="C2239" i="8" a="1"/>
  <c r="C2239" i="8" s="1"/>
  <c r="C2237" i="8" a="1"/>
  <c r="C2237" i="8" s="1"/>
  <c r="C2238" i="8" a="1"/>
  <c r="C2238" i="8" s="1"/>
  <c r="C2240" i="8" a="1"/>
  <c r="C2240" i="8" s="1"/>
  <c r="C2241" i="8" a="1"/>
  <c r="C2241" i="8" s="1"/>
  <c r="C2242" i="8" a="1"/>
  <c r="C2242" i="8" s="1"/>
  <c r="C2243" i="8" a="1"/>
  <c r="C2243" i="8" s="1"/>
  <c r="C2249" i="8" a="1"/>
  <c r="C2249" i="8" s="1"/>
  <c r="C2248" i="8" a="1"/>
  <c r="C2248" i="8" s="1"/>
  <c r="C2246" i="8" a="1"/>
  <c r="C2246" i="8" s="1"/>
  <c r="C2247" i="8" a="1"/>
  <c r="C2247" i="8" s="1"/>
  <c r="C2251" i="8" a="1"/>
  <c r="C2251" i="8" s="1"/>
  <c r="C2253" i="8" a="1"/>
  <c r="C2253" i="8" s="1"/>
  <c r="C2252" i="8" a="1"/>
  <c r="C2252" i="8" s="1"/>
  <c r="C2254" i="8" a="1"/>
  <c r="C2254" i="8" s="1"/>
  <c r="C2255" i="8" a="1"/>
  <c r="C2255" i="8" s="1"/>
  <c r="C2256" i="8" a="1"/>
  <c r="C2256" i="8" s="1"/>
  <c r="C2265" i="8" a="1"/>
  <c r="C2265" i="8" s="1"/>
  <c r="C2259" i="8" a="1"/>
  <c r="C2259" i="8" s="1"/>
  <c r="C2260" i="8" a="1"/>
  <c r="C2260" i="8" s="1"/>
  <c r="C2261" i="8" a="1"/>
  <c r="C2261" i="8" s="1"/>
  <c r="C2267" i="8" a="1"/>
  <c r="C2267" i="8" s="1"/>
  <c r="C2262" i="8" a="1"/>
  <c r="C2262" i="8" s="1"/>
  <c r="C2263" i="8" a="1"/>
  <c r="C2263" i="8" s="1"/>
  <c r="C2264" i="8" a="1"/>
  <c r="C2264" i="8" s="1"/>
  <c r="C2268" i="8" a="1"/>
  <c r="C2268" i="8" s="1"/>
  <c r="C2266" i="8" a="1"/>
  <c r="C2266" i="8" s="1"/>
  <c r="C2269" i="8" a="1"/>
  <c r="C2269" i="8" s="1"/>
  <c r="C2270" i="8" a="1"/>
  <c r="C2270" i="8" s="1"/>
  <c r="C2274" i="8" a="1"/>
  <c r="C2274" i="8" s="1"/>
  <c r="C2280" i="8" a="1"/>
  <c r="C2280" i="8" s="1"/>
  <c r="C2273" i="8" a="1"/>
  <c r="C2273" i="8" s="1"/>
  <c r="C2285" i="8" a="1"/>
  <c r="C2285" i="8" s="1"/>
  <c r="C2272" i="8" a="1"/>
  <c r="C2272" i="8" s="1"/>
  <c r="C2286" i="8" a="1"/>
  <c r="C2286" i="8" s="1"/>
  <c r="C2271" i="8" a="1"/>
  <c r="C2271" i="8" s="1"/>
  <c r="C2278" i="8" a="1"/>
  <c r="C2278" i="8" s="1"/>
  <c r="C2276" i="8" a="1"/>
  <c r="C2276" i="8" s="1"/>
  <c r="C2275" i="8" a="1"/>
  <c r="C2275" i="8" s="1"/>
  <c r="C2287" i="8" a="1"/>
  <c r="C2287" i="8" s="1"/>
  <c r="C2288" i="8" a="1"/>
  <c r="C2288" i="8" s="1"/>
  <c r="C2277" i="8" a="1"/>
  <c r="C2277" i="8" s="1"/>
  <c r="C2281" i="8" a="1"/>
  <c r="C2281" i="8" s="1"/>
  <c r="C2279" i="8" a="1"/>
  <c r="C2279" i="8" s="1"/>
  <c r="C2282" i="8" a="1"/>
  <c r="C2282" i="8" s="1"/>
  <c r="C2283" i="8" a="1"/>
  <c r="C2283" i="8" s="1"/>
  <c r="C2289" i="8" a="1"/>
  <c r="C2289" i="8" s="1"/>
  <c r="C2300" i="8" a="1"/>
  <c r="C2300" i="8" s="1"/>
  <c r="C2284" i="8" a="1"/>
  <c r="C2284" i="8" s="1"/>
  <c r="C2290" i="8" a="1"/>
  <c r="C2290" i="8" s="1"/>
  <c r="C2291" i="8" a="1"/>
  <c r="C2291" i="8" s="1"/>
  <c r="C2292" i="8" a="1"/>
  <c r="C2292" i="8" s="1"/>
  <c r="C2293" i="8" a="1"/>
  <c r="C2293" i="8" s="1"/>
  <c r="C2296" i="8" a="1"/>
  <c r="C2296" i="8" s="1"/>
  <c r="C2294" i="8" a="1"/>
  <c r="C2294" i="8" s="1"/>
  <c r="C2295" i="8" a="1"/>
  <c r="C2295" i="8" s="1"/>
  <c r="C2297" i="8" a="1"/>
  <c r="C2297" i="8" s="1"/>
  <c r="C2301" i="8" a="1"/>
  <c r="C2301" i="8" s="1"/>
  <c r="C2302" i="8" a="1"/>
  <c r="C2302" i="8" s="1"/>
  <c r="C2303" i="8" a="1"/>
  <c r="C2303" i="8" s="1"/>
  <c r="C2306" i="8" a="1"/>
  <c r="C2306" i="8" s="1"/>
  <c r="C2311" i="8" a="1"/>
  <c r="C2311" i="8" s="1"/>
  <c r="C2310" i="8" a="1"/>
  <c r="C2310" i="8" s="1"/>
  <c r="C2309" i="8" a="1"/>
  <c r="C2309" i="8" s="1"/>
  <c r="C2304" i="8" a="1"/>
  <c r="C2304" i="8" s="1"/>
  <c r="C2305" i="8" a="1"/>
  <c r="C2305" i="8" s="1"/>
  <c r="C2307" i="8" a="1"/>
  <c r="C2307" i="8" s="1"/>
  <c r="C2308" i="8" a="1"/>
  <c r="C2308" i="8" s="1"/>
  <c r="C2312" i="8" a="1"/>
  <c r="C2312" i="8" s="1"/>
  <c r="C2313" i="8" a="1"/>
  <c r="C2313" i="8" s="1"/>
  <c r="C2322" i="8" a="1"/>
  <c r="C2322" i="8" s="1"/>
  <c r="C2314" i="8" a="1"/>
  <c r="C2314" i="8" s="1"/>
  <c r="C2316" i="8" a="1"/>
  <c r="C2316" i="8" s="1"/>
  <c r="C2319" i="8" a="1"/>
  <c r="C2319" i="8" s="1"/>
  <c r="C2317" i="8" a="1"/>
  <c r="C2317" i="8" s="1"/>
  <c r="C2318" i="8" a="1"/>
  <c r="C2318" i="8" s="1"/>
  <c r="C2315" i="8" a="1"/>
  <c r="C2315" i="8" s="1"/>
  <c r="C2323" i="8" a="1"/>
  <c r="C2323" i="8" s="1"/>
  <c r="C2324" i="8" a="1"/>
  <c r="C2324" i="8" s="1"/>
  <c r="C2334" i="8" a="1"/>
  <c r="C2334" i="8" s="1"/>
  <c r="C2326" i="8" a="1"/>
  <c r="C2326" i="8" s="1"/>
  <c r="C2325" i="8" a="1"/>
  <c r="C2325" i="8" s="1"/>
  <c r="C2327" i="8" a="1"/>
  <c r="C2327" i="8" s="1"/>
  <c r="C2330" i="8" a="1"/>
  <c r="C2330" i="8" s="1"/>
  <c r="C2329" i="8" a="1"/>
  <c r="C2329" i="8" s="1"/>
  <c r="C2328" i="8" a="1"/>
  <c r="C2328" i="8" s="1"/>
  <c r="C2333" i="8" a="1"/>
  <c r="C2333" i="8" s="1"/>
  <c r="C2331" i="8" a="1"/>
  <c r="C2331" i="8" s="1"/>
  <c r="C2332" i="8" a="1"/>
  <c r="C2332" i="8" s="1"/>
  <c r="C2343" i="8" a="1"/>
  <c r="C2343" i="8" s="1"/>
  <c r="C2344" i="8" a="1"/>
  <c r="C2344" i="8" s="1"/>
  <c r="C2335" i="8" a="1"/>
  <c r="C2335" i="8" s="1"/>
  <c r="C2336" i="8" a="1"/>
  <c r="C2336" i="8" s="1"/>
  <c r="C2338" i="8" a="1"/>
  <c r="C2338" i="8" s="1"/>
  <c r="C2337" i="8" a="1"/>
  <c r="C2337" i="8" s="1"/>
  <c r="C2340" i="8" a="1"/>
  <c r="C2340" i="8" s="1"/>
  <c r="C2339" i="8" a="1"/>
  <c r="C2339" i="8" s="1"/>
  <c r="C2342" i="8" a="1"/>
  <c r="C2342" i="8" s="1"/>
  <c r="C2341" i="8" a="1"/>
  <c r="C2341" i="8" s="1"/>
  <c r="C2345" i="8" a="1"/>
  <c r="C2345" i="8" s="1"/>
  <c r="C2346" i="8" a="1"/>
  <c r="C2346" i="8" s="1"/>
  <c r="C2348" i="8" a="1"/>
  <c r="C2348" i="8" s="1"/>
  <c r="C2347" i="8" a="1"/>
  <c r="C2347" i="8" s="1"/>
  <c r="C2349" i="8" a="1"/>
  <c r="C2349" i="8" s="1"/>
  <c r="C2350" i="8" a="1"/>
  <c r="C2350" i="8" s="1"/>
  <c r="C2351" i="8" a="1"/>
  <c r="C2351" i="8" s="1"/>
  <c r="C2352" i="8" a="1"/>
  <c r="C2352" i="8" s="1"/>
  <c r="C2354" i="8" a="1"/>
  <c r="C2354" i="8" s="1"/>
  <c r="C2357" i="8" a="1"/>
  <c r="C2357" i="8" s="1"/>
  <c r="C2355" i="8" a="1"/>
  <c r="C2355" i="8" s="1"/>
  <c r="C2356" i="8" a="1"/>
  <c r="C2356" i="8" s="1"/>
  <c r="C2353" i="8" a="1"/>
  <c r="C2353" i="8" s="1"/>
  <c r="C2358" i="8" a="1"/>
  <c r="C2358" i="8" s="1"/>
  <c r="C2361" i="8" a="1"/>
  <c r="C2361" i="8" s="1"/>
  <c r="C2362" i="8" a="1"/>
  <c r="C2362" i="8" s="1"/>
  <c r="C2360" i="8" a="1"/>
  <c r="C2360" i="8" s="1"/>
  <c r="C2359" i="8" a="1"/>
  <c r="C2359" i="8" s="1"/>
  <c r="C2363" i="8" a="1"/>
  <c r="C2363" i="8" s="1"/>
  <c r="C2364" i="8" a="1"/>
  <c r="C2364" i="8" s="1"/>
  <c r="C2365" i="8" a="1"/>
  <c r="C2365" i="8" s="1"/>
  <c r="F1646" i="8"/>
  <c r="F1656" i="8"/>
  <c r="F1655" i="8"/>
  <c r="F1695" i="8"/>
  <c r="F1660" i="8"/>
  <c r="F1661" i="8"/>
  <c r="F1665" i="8"/>
  <c r="F1663" i="8"/>
  <c r="F1664" i="8"/>
  <c r="F1662" i="8"/>
  <c r="F1670" i="8"/>
  <c r="F1683" i="8"/>
  <c r="F1707" i="8"/>
  <c r="F1748" i="8"/>
  <c r="F1681" i="8"/>
  <c r="F1684" i="8"/>
  <c r="F1679" i="8"/>
  <c r="F1680" i="8"/>
  <c r="F1685" i="8"/>
  <c r="F1687" i="8"/>
  <c r="F1686" i="8"/>
  <c r="F1678" i="8"/>
  <c r="F1693" i="8"/>
  <c r="F1692" i="8"/>
  <c r="F1690" i="8"/>
  <c r="F1691" i="8"/>
  <c r="F1703" i="8"/>
  <c r="F1696" i="8"/>
  <c r="F1758" i="8"/>
  <c r="F1729" i="8"/>
  <c r="F1699" i="8"/>
  <c r="F1700" i="8"/>
  <c r="F1701" i="8"/>
  <c r="F1702" i="8"/>
  <c r="F1813" i="8"/>
  <c r="F1777" i="8"/>
  <c r="F1706" i="8"/>
  <c r="F1704" i="8"/>
  <c r="F1714" i="8"/>
  <c r="F1713" i="8"/>
  <c r="F1710" i="8"/>
  <c r="F1715" i="8"/>
  <c r="F1730" i="8"/>
  <c r="F1716" i="8"/>
  <c r="F1722" i="8"/>
  <c r="F1723" i="8"/>
  <c r="F1724" i="8"/>
  <c r="F1727" i="8"/>
  <c r="F1728" i="8"/>
  <c r="F1732" i="8"/>
  <c r="F1731" i="8"/>
  <c r="F1774" i="8"/>
  <c r="F1776" i="8"/>
  <c r="F1812" i="8"/>
  <c r="F1804" i="8"/>
  <c r="F1834" i="8"/>
  <c r="F1835" i="8"/>
  <c r="F1868" i="8"/>
  <c r="F1862" i="8"/>
  <c r="F1896" i="8"/>
  <c r="F1893" i="8"/>
  <c r="F1734" i="8"/>
  <c r="F1735" i="8"/>
  <c r="F1759" i="8"/>
  <c r="F1755" i="8"/>
  <c r="F1754" i="8"/>
  <c r="F1744" i="8"/>
  <c r="F1745" i="8"/>
  <c r="F1743" i="8"/>
  <c r="F1746" i="8"/>
  <c r="F1747" i="8"/>
  <c r="F1751" i="8"/>
  <c r="F1750" i="8"/>
  <c r="F1753" i="8"/>
  <c r="F1752" i="8"/>
  <c r="F1768" i="8"/>
  <c r="F1761" i="8"/>
  <c r="F1762" i="8"/>
  <c r="F1784" i="8"/>
  <c r="F1785" i="8"/>
  <c r="F1760" i="8"/>
  <c r="F1764" i="8"/>
  <c r="F1765" i="8"/>
  <c r="F1771" i="8"/>
  <c r="F1770" i="8"/>
  <c r="F1769" i="8"/>
  <c r="F1783" i="8"/>
  <c r="F1793" i="8"/>
  <c r="F1782" i="8"/>
  <c r="F1781" i="8"/>
  <c r="F1798" i="8"/>
  <c r="F1786" i="8"/>
  <c r="F1792" i="8"/>
  <c r="F1789" i="8"/>
  <c r="F1787" i="8"/>
  <c r="F1791" i="8"/>
  <c r="F1794" i="8"/>
  <c r="F1795" i="8"/>
  <c r="F1801" i="8"/>
  <c r="F1797" i="8"/>
  <c r="F1818" i="8"/>
  <c r="F1817" i="8"/>
  <c r="F1799" i="8"/>
  <c r="F1800" i="8"/>
  <c r="F1802" i="8"/>
  <c r="F1815" i="8"/>
  <c r="F1823" i="8"/>
  <c r="F1886" i="8"/>
  <c r="F1856" i="8"/>
  <c r="F1819" i="8"/>
  <c r="F1816" i="8"/>
  <c r="F1814" i="8"/>
  <c r="F1821" i="8"/>
  <c r="F1822" i="8"/>
  <c r="F1820" i="8"/>
  <c r="F1824" i="8"/>
  <c r="F1826" i="8"/>
  <c r="F1827" i="8"/>
  <c r="F1825" i="8"/>
  <c r="F1828" i="8"/>
  <c r="F1829" i="8"/>
  <c r="F1830" i="8"/>
  <c r="F1833" i="8"/>
  <c r="F1843" i="8"/>
  <c r="F1841" i="8"/>
  <c r="F1869" i="8"/>
  <c r="F1839" i="8"/>
  <c r="F1853" i="8"/>
  <c r="F1854" i="8"/>
  <c r="F1842" i="8"/>
  <c r="F1840" i="8"/>
  <c r="F1851" i="8"/>
  <c r="F1849" i="8"/>
  <c r="F1852" i="8"/>
  <c r="F1855" i="8"/>
  <c r="F1850" i="8"/>
  <c r="F1857" i="8"/>
  <c r="F1858" i="8"/>
  <c r="F1859" i="8"/>
  <c r="F1860" i="8"/>
  <c r="F1861" i="8"/>
  <c r="F1880" i="8"/>
  <c r="F1870" i="8"/>
  <c r="F1871" i="8"/>
  <c r="F1866" i="8"/>
  <c r="F1865" i="8"/>
  <c r="F1867" i="8"/>
  <c r="F1885" i="8"/>
  <c r="F1879" i="8"/>
  <c r="F1877" i="8"/>
  <c r="F1883" i="8"/>
  <c r="F1884" i="8"/>
  <c r="F1881" i="8"/>
  <c r="F1882" i="8"/>
  <c r="F1900" i="8"/>
  <c r="F1887" i="8"/>
  <c r="F1888" i="8"/>
  <c r="F2017" i="8"/>
  <c r="F2016" i="8"/>
  <c r="F2134" i="8"/>
  <c r="F2132" i="8"/>
  <c r="F2164" i="8"/>
  <c r="F2163" i="8"/>
  <c r="F2213" i="8"/>
  <c r="F2211" i="8"/>
  <c r="F2250" i="8"/>
  <c r="F2244" i="8"/>
  <c r="F2257" i="8"/>
  <c r="F2258" i="8"/>
  <c r="F2299" i="8"/>
  <c r="F2298" i="8"/>
  <c r="F2320" i="8"/>
  <c r="F2321" i="8"/>
  <c r="F1889" i="8"/>
  <c r="F1891" i="8"/>
  <c r="F1890" i="8"/>
  <c r="F1904" i="8"/>
  <c r="F1901" i="8"/>
  <c r="F1915" i="8"/>
  <c r="F1945" i="8"/>
  <c r="F1892" i="8"/>
  <c r="F1906" i="8"/>
  <c r="F1911" i="8"/>
  <c r="F1905" i="8"/>
  <c r="F1907" i="8"/>
  <c r="F1908" i="8"/>
  <c r="F1909" i="8"/>
  <c r="F1910" i="8"/>
  <c r="F1912" i="8"/>
  <c r="F1913" i="8"/>
  <c r="F1914" i="8"/>
  <c r="F1931" i="8"/>
  <c r="F1928" i="8"/>
  <c r="F1953" i="8"/>
  <c r="F1948" i="8"/>
  <c r="F1973" i="8"/>
  <c r="F1972" i="8"/>
  <c r="F1991" i="8"/>
  <c r="F1993" i="8"/>
  <c r="F2014" i="8"/>
  <c r="F2011" i="8"/>
  <c r="F2042" i="8"/>
  <c r="F2037" i="8"/>
  <c r="F1916" i="8"/>
  <c r="F1920" i="8"/>
  <c r="F1921" i="8"/>
  <c r="F1954" i="8"/>
  <c r="F1947" i="8"/>
  <c r="F1917" i="8"/>
  <c r="F1918" i="8"/>
  <c r="F1919" i="8"/>
  <c r="F1922" i="8"/>
  <c r="F1925" i="8"/>
  <c r="F1923" i="8"/>
  <c r="F1926" i="8"/>
  <c r="F1924" i="8"/>
  <c r="F1927" i="8"/>
  <c r="F1932" i="8"/>
  <c r="F1938" i="8"/>
  <c r="F1939" i="8"/>
  <c r="F1941" i="8"/>
  <c r="F1940" i="8"/>
  <c r="F1943" i="8"/>
  <c r="F1942" i="8"/>
  <c r="F1944" i="8"/>
  <c r="F1946" i="8"/>
  <c r="F1949" i="8"/>
  <c r="F1966" i="8"/>
  <c r="F1987" i="8"/>
  <c r="F2004" i="8"/>
  <c r="F1965" i="8"/>
  <c r="F1956" i="8"/>
  <c r="F1950" i="8"/>
  <c r="F1955" i="8"/>
  <c r="F1978" i="8"/>
  <c r="F1997" i="8"/>
  <c r="F2023" i="8"/>
  <c r="F2036" i="8"/>
  <c r="F1964" i="8"/>
  <c r="F1960" i="8"/>
  <c r="F1984" i="8"/>
  <c r="F1985" i="8"/>
  <c r="F1962" i="8"/>
  <c r="F1961" i="8"/>
  <c r="F1963" i="8"/>
  <c r="F1988" i="8"/>
  <c r="F1967" i="8"/>
  <c r="F1970" i="8"/>
  <c r="F1968" i="8"/>
  <c r="F1986" i="8"/>
  <c r="F2003" i="8"/>
  <c r="F2028" i="8"/>
  <c r="F1969" i="8"/>
  <c r="F1971" i="8"/>
  <c r="F1974" i="8"/>
  <c r="F1979" i="8"/>
  <c r="F1976" i="8"/>
  <c r="F1975" i="8"/>
  <c r="F1977" i="8"/>
  <c r="F1982" i="8"/>
  <c r="F1983" i="8"/>
  <c r="F1995" i="8"/>
  <c r="F1989" i="8"/>
  <c r="F1990" i="8"/>
  <c r="F1998" i="8"/>
  <c r="F1992" i="8"/>
  <c r="F1994" i="8"/>
  <c r="F2020" i="8"/>
  <c r="F2039" i="8"/>
  <c r="F2060" i="8"/>
  <c r="F2080" i="8"/>
  <c r="F2095" i="8"/>
  <c r="F2115" i="8"/>
  <c r="F1996" i="8"/>
  <c r="F2000" i="8"/>
  <c r="F1999" i="8"/>
  <c r="F2002" i="8"/>
  <c r="F2022" i="8"/>
  <c r="F2041" i="8"/>
  <c r="F2061" i="8"/>
  <c r="F2079" i="8"/>
  <c r="F2096" i="8"/>
  <c r="F2116" i="8"/>
  <c r="F2001" i="8"/>
  <c r="F2012" i="8"/>
  <c r="F2015" i="8"/>
  <c r="F2005" i="8"/>
  <c r="F2006" i="8"/>
  <c r="F2007" i="8"/>
  <c r="F2019" i="8"/>
  <c r="F2034" i="8"/>
  <c r="F2009" i="8"/>
  <c r="F2008" i="8"/>
  <c r="F2010" i="8"/>
  <c r="F2059" i="8"/>
  <c r="F2013" i="8"/>
  <c r="F2021" i="8"/>
  <c r="F2027" i="8"/>
  <c r="F2048" i="8"/>
  <c r="F2026" i="8"/>
  <c r="F2024" i="8"/>
  <c r="F2025" i="8"/>
  <c r="F2056" i="8"/>
  <c r="F2038" i="8"/>
  <c r="F2049" i="8"/>
  <c r="F2072" i="8"/>
  <c r="F2073" i="8"/>
  <c r="F2035" i="8"/>
  <c r="F2055" i="8"/>
  <c r="F2066" i="8"/>
  <c r="F2074" i="8"/>
  <c r="F2054" i="8"/>
  <c r="F2075" i="8"/>
  <c r="F2030" i="8"/>
  <c r="F2029" i="8"/>
  <c r="F2031" i="8"/>
  <c r="F2032" i="8"/>
  <c r="F2040" i="8"/>
  <c r="F2046" i="8"/>
  <c r="F2043" i="8"/>
  <c r="F2044" i="8"/>
  <c r="F2045" i="8"/>
  <c r="F2047" i="8"/>
  <c r="F2051" i="8"/>
  <c r="F2050" i="8"/>
  <c r="F2052" i="8"/>
  <c r="F2053" i="8"/>
  <c r="F2057" i="8"/>
  <c r="F2058" i="8"/>
  <c r="F2062" i="8"/>
  <c r="F2064" i="8"/>
  <c r="F2065" i="8"/>
  <c r="F2063" i="8"/>
  <c r="F2067" i="8"/>
  <c r="F2068" i="8"/>
  <c r="F2069" i="8"/>
  <c r="F2070" i="8"/>
  <c r="F2071" i="8"/>
  <c r="F2127" i="8"/>
  <c r="F2078" i="8"/>
  <c r="F2077" i="8"/>
  <c r="F2081" i="8"/>
  <c r="F2082" i="8"/>
  <c r="F2093" i="8"/>
  <c r="F2089" i="8"/>
  <c r="F2094" i="8"/>
  <c r="F2090" i="8"/>
  <c r="F2083" i="8"/>
  <c r="F2086" i="8"/>
  <c r="F2085" i="8"/>
  <c r="F2084" i="8"/>
  <c r="F2087" i="8"/>
  <c r="F2088" i="8"/>
  <c r="F2091" i="8"/>
  <c r="F2097" i="8"/>
  <c r="F2110" i="8"/>
  <c r="F2098" i="8"/>
  <c r="F2108" i="8"/>
  <c r="F2128" i="8"/>
  <c r="F2105" i="8"/>
  <c r="F2124" i="8"/>
  <c r="F2111" i="8"/>
  <c r="F2126" i="8"/>
  <c r="F2106" i="8"/>
  <c r="F2125" i="8"/>
  <c r="F2099" i="8"/>
  <c r="F2101" i="8"/>
  <c r="F2100" i="8"/>
  <c r="F2102" i="8"/>
  <c r="F2119" i="8"/>
  <c r="F2104" i="8"/>
  <c r="F2103" i="8"/>
  <c r="F2109" i="8"/>
  <c r="F2118" i="8"/>
  <c r="F2112" i="8"/>
  <c r="F2113" i="8"/>
  <c r="F2117" i="8"/>
  <c r="F2114" i="8"/>
  <c r="F2120" i="8"/>
  <c r="F2121" i="8"/>
  <c r="F2123" i="8"/>
  <c r="F2122" i="8"/>
  <c r="F2133" i="8"/>
  <c r="F2131" i="8"/>
  <c r="F2130" i="8"/>
  <c r="F2129" i="8"/>
  <c r="F2136" i="8"/>
  <c r="F2146" i="8"/>
  <c r="F2135" i="8"/>
  <c r="F2137" i="8"/>
  <c r="F2138" i="8"/>
  <c r="F2145" i="8"/>
  <c r="F2142" i="8"/>
  <c r="F2147" i="8"/>
  <c r="F2144" i="8"/>
  <c r="F2139" i="8"/>
  <c r="F2149" i="8"/>
  <c r="F2140" i="8"/>
  <c r="F2141" i="8"/>
  <c r="F2148" i="8"/>
  <c r="F2150" i="8"/>
  <c r="F2153" i="8"/>
  <c r="F2152" i="8"/>
  <c r="F2151" i="8"/>
  <c r="F2154" i="8"/>
  <c r="F2155" i="8"/>
  <c r="F2165" i="8"/>
  <c r="F2167" i="8"/>
  <c r="F2156" i="8"/>
  <c r="F2159" i="8"/>
  <c r="F2161" i="8"/>
  <c r="F2162" i="8"/>
  <c r="F2172" i="8"/>
  <c r="F2174" i="8"/>
  <c r="F2175" i="8"/>
  <c r="F2157" i="8"/>
  <c r="F2158" i="8"/>
  <c r="F2168" i="8"/>
  <c r="F2166" i="8"/>
  <c r="F2169" i="8"/>
  <c r="F2170" i="8"/>
  <c r="F2171" i="8"/>
  <c r="F2176" i="8"/>
  <c r="F2173" i="8"/>
  <c r="F2178" i="8"/>
  <c r="F2182" i="8"/>
  <c r="F2179" i="8"/>
  <c r="F2188" i="8"/>
  <c r="F2180" i="8"/>
  <c r="F2181" i="8"/>
  <c r="F2183" i="8"/>
  <c r="F2186" i="8"/>
  <c r="F2192" i="8"/>
  <c r="F2203" i="8"/>
  <c r="F2217" i="8"/>
  <c r="F2200" i="8"/>
  <c r="F2199" i="8"/>
  <c r="F2210" i="8"/>
  <c r="F2221" i="8"/>
  <c r="F2198" i="8"/>
  <c r="F2208" i="8"/>
  <c r="F2220" i="8"/>
  <c r="F2187" i="8"/>
  <c r="F2184" i="8"/>
  <c r="F2185" i="8"/>
  <c r="F2191" i="8"/>
  <c r="F2190" i="8"/>
  <c r="F2194" i="8"/>
  <c r="F2195" i="8"/>
  <c r="F2196" i="8"/>
  <c r="F2197" i="8"/>
  <c r="F2202" i="8"/>
  <c r="F2193" i="8"/>
  <c r="F2201" i="8"/>
  <c r="F2216" i="8"/>
  <c r="F2212" i="8"/>
  <c r="F2215" i="8"/>
  <c r="F2204" i="8"/>
  <c r="F2205" i="8"/>
  <c r="F2206" i="8"/>
  <c r="F2209" i="8"/>
  <c r="F2214" i="8"/>
  <c r="F2226" i="8"/>
  <c r="F2219" i="8"/>
  <c r="F2222" i="8"/>
  <c r="F2228" i="8"/>
  <c r="F2232" i="8"/>
  <c r="F2231" i="8"/>
  <c r="F2230" i="8"/>
  <c r="F2223" i="8"/>
  <c r="F2224" i="8"/>
  <c r="F2225" i="8"/>
  <c r="F2227" i="8"/>
  <c r="F2235" i="8"/>
  <c r="F2233" i="8"/>
  <c r="F2234" i="8"/>
  <c r="F2236" i="8"/>
  <c r="F2239" i="8"/>
  <c r="F2237" i="8"/>
  <c r="F2238" i="8"/>
  <c r="F2240" i="8"/>
  <c r="F2241" i="8"/>
  <c r="F2242" i="8"/>
  <c r="F2243" i="8"/>
  <c r="F2249" i="8"/>
  <c r="F2248" i="8"/>
  <c r="F2246" i="8"/>
  <c r="F2247" i="8"/>
  <c r="F2251" i="8"/>
  <c r="F2253" i="8"/>
  <c r="F2252" i="8"/>
  <c r="F2254" i="8"/>
  <c r="F2255" i="8"/>
  <c r="F2256" i="8"/>
  <c r="F2265" i="8"/>
  <c r="F2259" i="8"/>
  <c r="F2260" i="8"/>
  <c r="F2261" i="8"/>
  <c r="F2267" i="8"/>
  <c r="F2262" i="8"/>
  <c r="F2263" i="8"/>
  <c r="F2264" i="8"/>
  <c r="F2268" i="8"/>
  <c r="F2266" i="8"/>
  <c r="F2269" i="8"/>
  <c r="F2270" i="8"/>
  <c r="F2274" i="8"/>
  <c r="F2280" i="8"/>
  <c r="F2273" i="8"/>
  <c r="F2285" i="8"/>
  <c r="F2272" i="8"/>
  <c r="F2286" i="8"/>
  <c r="F2271" i="8"/>
  <c r="F2278" i="8"/>
  <c r="F2276" i="8"/>
  <c r="F2275" i="8"/>
  <c r="F2287" i="8"/>
  <c r="F2288" i="8"/>
  <c r="F2277" i="8"/>
  <c r="F2281" i="8"/>
  <c r="F2279" i="8"/>
  <c r="F2282" i="8"/>
  <c r="F2283" i="8"/>
  <c r="F2289" i="8"/>
  <c r="F2300" i="8"/>
  <c r="F2284" i="8"/>
  <c r="F2290" i="8"/>
  <c r="F2291" i="8"/>
  <c r="F2292" i="8"/>
  <c r="F2293" i="8"/>
  <c r="F2296" i="8"/>
  <c r="F2294" i="8"/>
  <c r="F2295" i="8"/>
  <c r="F2297" i="8"/>
  <c r="F2301" i="8"/>
  <c r="F2302" i="8"/>
  <c r="F2303" i="8"/>
  <c r="F2306" i="8"/>
  <c r="F2311" i="8"/>
  <c r="F2310" i="8"/>
  <c r="F2309" i="8"/>
  <c r="F2304" i="8"/>
  <c r="F2305" i="8"/>
  <c r="F2307" i="8"/>
  <c r="F2308" i="8"/>
  <c r="F2312" i="8"/>
  <c r="F2313" i="8"/>
  <c r="F2322" i="8"/>
  <c r="F2314" i="8"/>
  <c r="F2316" i="8"/>
  <c r="F2319" i="8"/>
  <c r="F2317" i="8"/>
  <c r="F2318" i="8"/>
  <c r="F2315" i="8"/>
  <c r="F2323" i="8"/>
  <c r="F2324" i="8"/>
  <c r="F2334" i="8"/>
  <c r="F2326" i="8"/>
  <c r="F2325" i="8"/>
  <c r="F2327" i="8"/>
  <c r="F2330" i="8"/>
  <c r="F2329" i="8"/>
  <c r="F2328" i="8"/>
  <c r="F2333" i="8"/>
  <c r="F2331" i="8"/>
  <c r="F2332" i="8"/>
  <c r="F2343" i="8"/>
  <c r="F2344" i="8"/>
  <c r="F2335" i="8"/>
  <c r="F2336" i="8"/>
  <c r="F2338" i="8"/>
  <c r="F2337" i="8"/>
  <c r="F2340" i="8"/>
  <c r="F2339" i="8"/>
  <c r="F2342" i="8"/>
  <c r="F2341" i="8"/>
  <c r="F2345" i="8"/>
  <c r="F2346" i="8"/>
  <c r="F2348" i="8"/>
  <c r="F2347" i="8"/>
  <c r="F2349" i="8"/>
  <c r="F2350" i="8"/>
  <c r="F2351" i="8"/>
  <c r="F2352" i="8"/>
  <c r="F2354" i="8"/>
  <c r="F2357" i="8"/>
  <c r="F2355" i="8"/>
  <c r="F2356" i="8"/>
  <c r="F2353" i="8"/>
  <c r="F2358" i="8"/>
  <c r="F2361" i="8"/>
  <c r="F2362" i="8"/>
  <c r="F2360" i="8"/>
  <c r="F2359" i="8"/>
  <c r="F2363" i="8"/>
  <c r="F2364" i="8"/>
  <c r="F2365" i="8"/>
  <c r="D2365" i="8"/>
  <c r="BD133" i="10" l="1"/>
  <c r="BR101" i="10"/>
  <c r="BK101" i="10"/>
  <c r="BD101" i="10"/>
  <c r="U11" i="13" s="1"/>
  <c r="BY101" i="10"/>
  <c r="BR133" i="10"/>
  <c r="BK133" i="10"/>
  <c r="BY133" i="10"/>
  <c r="AP133" i="10"/>
  <c r="AW133" i="10"/>
  <c r="AW101" i="10"/>
  <c r="U10" i="13" s="1"/>
  <c r="AP101" i="10"/>
  <c r="U9" i="13" s="1"/>
  <c r="J1136" i="8"/>
  <c r="I1136" i="8"/>
  <c r="J1042" i="8"/>
  <c r="I1042" i="8"/>
  <c r="J1091" i="8"/>
  <c r="I1091" i="8"/>
  <c r="J1171" i="8"/>
  <c r="I1171" i="8"/>
  <c r="J1134" i="8"/>
  <c r="I1134" i="8"/>
  <c r="J1036" i="8"/>
  <c r="I1036" i="8"/>
  <c r="J1162" i="8"/>
  <c r="I1162" i="8"/>
  <c r="H1123" i="8"/>
  <c r="I1123" i="8"/>
  <c r="H1066" i="8"/>
  <c r="I1066" i="8"/>
  <c r="H1069" i="8"/>
  <c r="I1069" i="8"/>
  <c r="H1097" i="8"/>
  <c r="I1097" i="8"/>
  <c r="H1072" i="8"/>
  <c r="I1072" i="8"/>
  <c r="H1041" i="8"/>
  <c r="I1041" i="8"/>
  <c r="H1028" i="8"/>
  <c r="I1028" i="8"/>
  <c r="H1128" i="8"/>
  <c r="I1128" i="8"/>
  <c r="H1165" i="8"/>
  <c r="I1165" i="8"/>
  <c r="J1071" i="8"/>
  <c r="I1071" i="8"/>
  <c r="J1041" i="8"/>
  <c r="J1028" i="8"/>
  <c r="J1072" i="8"/>
  <c r="J1066" i="8"/>
  <c r="J1097" i="8"/>
  <c r="H1036" i="8"/>
  <c r="H1134" i="8"/>
  <c r="H1171" i="8"/>
  <c r="H1091" i="8"/>
  <c r="H1162" i="8"/>
  <c r="J1123" i="8"/>
  <c r="J1165" i="8"/>
  <c r="H1071" i="8"/>
  <c r="J1069" i="8"/>
  <c r="H1136" i="8"/>
  <c r="J1128" i="8"/>
  <c r="J1058" i="8"/>
  <c r="H1058" i="8"/>
  <c r="H1042" i="8"/>
  <c r="AI133" i="10"/>
  <c r="Y133" i="10"/>
  <c r="AD133" i="10"/>
  <c r="O133" i="10"/>
  <c r="O101" i="10"/>
  <c r="U4" i="13" s="1"/>
  <c r="AI101" i="10"/>
  <c r="U8" i="13" s="1"/>
  <c r="T133" i="10"/>
  <c r="AD101" i="10"/>
  <c r="U7" i="13" s="1"/>
  <c r="T101" i="10"/>
  <c r="U5" i="13" s="1"/>
  <c r="Y101" i="10"/>
  <c r="U6" i="13" s="1"/>
  <c r="J1881" i="8"/>
  <c r="H2134" i="8"/>
  <c r="H2365" i="8"/>
  <c r="L101" i="10" a="1"/>
  <c r="L101" i="10" s="1"/>
  <c r="L133" i="10" a="1"/>
  <c r="L133" i="10" s="1"/>
  <c r="K101" i="10" a="1"/>
  <c r="K101" i="10" s="1"/>
  <c r="H1730" i="8"/>
  <c r="H1813" i="8"/>
  <c r="J2069" i="8"/>
  <c r="H2130" i="8"/>
  <c r="H2335" i="8"/>
  <c r="H2269" i="8"/>
  <c r="H2208" i="8"/>
  <c r="H2117" i="8"/>
  <c r="H2075" i="8"/>
  <c r="H1968" i="8"/>
  <c r="H1907" i="8"/>
  <c r="H1829" i="8"/>
  <c r="J2095" i="8"/>
  <c r="H2330" i="8"/>
  <c r="H2260" i="8"/>
  <c r="H2192" i="8"/>
  <c r="H2102" i="8"/>
  <c r="H2049" i="8"/>
  <c r="H1984" i="8"/>
  <c r="H1904" i="8"/>
  <c r="H1821" i="8"/>
  <c r="H1670" i="8"/>
  <c r="J1947" i="8"/>
  <c r="H2195" i="8"/>
  <c r="H1928" i="8"/>
  <c r="H2318" i="8"/>
  <c r="H2251" i="8"/>
  <c r="H2178" i="8"/>
  <c r="H2124" i="8"/>
  <c r="H2021" i="8"/>
  <c r="H1950" i="8"/>
  <c r="H2258" i="8"/>
  <c r="H1802" i="8"/>
  <c r="H1655" i="8"/>
  <c r="J1871" i="8"/>
  <c r="H2345" i="8"/>
  <c r="H1854" i="8"/>
  <c r="H2308" i="8"/>
  <c r="H2240" i="8"/>
  <c r="H2158" i="8"/>
  <c r="H2088" i="8"/>
  <c r="H2007" i="8"/>
  <c r="H1944" i="8"/>
  <c r="H2132" i="8"/>
  <c r="H1794" i="8"/>
  <c r="J2341" i="8"/>
  <c r="J1853" i="8"/>
  <c r="H2044" i="8"/>
  <c r="H2303" i="8"/>
  <c r="H2227" i="8"/>
  <c r="H2156" i="8"/>
  <c r="H2089" i="8"/>
  <c r="H2079" i="8"/>
  <c r="H1927" i="8"/>
  <c r="H1881" i="8"/>
  <c r="H1782" i="8"/>
  <c r="J2291" i="8"/>
  <c r="J1785" i="8"/>
  <c r="H2271" i="8"/>
  <c r="H1976" i="8"/>
  <c r="H2360" i="8"/>
  <c r="H2292" i="8"/>
  <c r="H2222" i="8"/>
  <c r="H2150" i="8"/>
  <c r="H2070" i="8"/>
  <c r="H2115" i="8"/>
  <c r="H1917" i="8"/>
  <c r="H1866" i="8"/>
  <c r="H1752" i="8"/>
  <c r="J2219" i="8"/>
  <c r="J1759" i="8"/>
  <c r="H2354" i="8"/>
  <c r="H2279" i="8"/>
  <c r="H2215" i="8"/>
  <c r="H2142" i="8"/>
  <c r="H2058" i="8"/>
  <c r="H1998" i="8"/>
  <c r="H2011" i="8"/>
  <c r="H1857" i="8"/>
  <c r="H1744" i="8"/>
  <c r="J2148" i="8"/>
  <c r="J1684" i="8"/>
  <c r="H1784" i="8"/>
  <c r="J1784" i="8"/>
  <c r="H1735" i="8"/>
  <c r="J1735" i="8"/>
  <c r="H1724" i="8"/>
  <c r="J1724" i="8"/>
  <c r="H1699" i="8"/>
  <c r="J1699" i="8"/>
  <c r="H1681" i="8"/>
  <c r="J1681" i="8"/>
  <c r="H1761" i="8"/>
  <c r="J1761" i="8"/>
  <c r="H1743" i="8"/>
  <c r="J1743" i="8"/>
  <c r="H1893" i="8"/>
  <c r="J1893" i="8"/>
  <c r="H1776" i="8"/>
  <c r="J1776" i="8"/>
  <c r="H1722" i="8"/>
  <c r="J1722" i="8"/>
  <c r="H1706" i="8"/>
  <c r="J1706" i="8"/>
  <c r="H1758" i="8"/>
  <c r="J1758" i="8"/>
  <c r="H1686" i="8"/>
  <c r="J1686" i="8"/>
  <c r="H1707" i="8"/>
  <c r="J1707" i="8"/>
  <c r="H1660" i="8"/>
  <c r="J1660" i="8"/>
  <c r="H2361" i="8"/>
  <c r="H2351" i="8"/>
  <c r="H2342" i="8"/>
  <c r="H2343" i="8"/>
  <c r="H2325" i="8"/>
  <c r="H2319" i="8"/>
  <c r="H2305" i="8"/>
  <c r="H2301" i="8"/>
  <c r="H2290" i="8"/>
  <c r="H2277" i="8"/>
  <c r="H2272" i="8"/>
  <c r="H2268" i="8"/>
  <c r="H2265" i="8"/>
  <c r="H2246" i="8"/>
  <c r="H2237" i="8"/>
  <c r="H2224" i="8"/>
  <c r="H2226" i="8"/>
  <c r="H2216" i="8"/>
  <c r="H2190" i="8"/>
  <c r="H2221" i="8"/>
  <c r="H2183" i="8"/>
  <c r="H2176" i="8"/>
  <c r="H2175" i="8"/>
  <c r="H2165" i="8"/>
  <c r="H2141" i="8"/>
  <c r="H2138" i="8"/>
  <c r="H2133" i="8"/>
  <c r="H2112" i="8"/>
  <c r="H2101" i="8"/>
  <c r="H2128" i="8"/>
  <c r="H2084" i="8"/>
  <c r="H2082" i="8"/>
  <c r="H2068" i="8"/>
  <c r="H2053" i="8"/>
  <c r="H2046" i="8"/>
  <c r="H2074" i="8"/>
  <c r="H2056" i="8"/>
  <c r="H2059" i="8"/>
  <c r="H2005" i="8"/>
  <c r="H2041" i="8"/>
  <c r="H2080" i="8"/>
  <c r="H1989" i="8"/>
  <c r="H1974" i="8"/>
  <c r="H1967" i="8"/>
  <c r="H1964" i="8"/>
  <c r="H1965" i="8"/>
  <c r="H1943" i="8"/>
  <c r="H1926" i="8"/>
  <c r="H1954" i="8"/>
  <c r="H1993" i="8"/>
  <c r="H1914" i="8"/>
  <c r="H1911" i="8"/>
  <c r="H1891" i="8"/>
  <c r="H2244" i="8"/>
  <c r="H2016" i="8"/>
  <c r="H1883" i="8"/>
  <c r="H1870" i="8"/>
  <c r="H1855" i="8"/>
  <c r="H1839" i="8"/>
  <c r="H1825" i="8"/>
  <c r="H1816" i="8"/>
  <c r="H1799" i="8"/>
  <c r="H1787" i="8"/>
  <c r="H1783" i="8"/>
  <c r="J2344" i="8"/>
  <c r="J2286" i="8"/>
  <c r="J2194" i="8"/>
  <c r="J2131" i="8"/>
  <c r="J2043" i="8"/>
  <c r="J1979" i="8"/>
  <c r="J1931" i="8"/>
  <c r="H1768" i="8"/>
  <c r="J1768" i="8"/>
  <c r="H1745" i="8"/>
  <c r="J1745" i="8"/>
  <c r="H1896" i="8"/>
  <c r="J1896" i="8"/>
  <c r="H1774" i="8"/>
  <c r="J1774" i="8"/>
  <c r="H1716" i="8"/>
  <c r="J1716" i="8"/>
  <c r="H1777" i="8"/>
  <c r="J1777" i="8"/>
  <c r="H1696" i="8"/>
  <c r="J1696" i="8"/>
  <c r="H1687" i="8"/>
  <c r="J1687" i="8"/>
  <c r="H1683" i="8"/>
  <c r="J1683" i="8"/>
  <c r="H1695" i="8"/>
  <c r="J1695" i="8"/>
  <c r="H2358" i="8"/>
  <c r="H2350" i="8"/>
  <c r="H2339" i="8"/>
  <c r="H2332" i="8"/>
  <c r="H2326" i="8"/>
  <c r="H2316" i="8"/>
  <c r="H2304" i="8"/>
  <c r="H2297" i="8"/>
  <c r="H2284" i="8"/>
  <c r="H2288" i="8"/>
  <c r="H2285" i="8"/>
  <c r="H2264" i="8"/>
  <c r="H2256" i="8"/>
  <c r="H2248" i="8"/>
  <c r="H2239" i="8"/>
  <c r="H2223" i="8"/>
  <c r="H2214" i="8"/>
  <c r="H2201" i="8"/>
  <c r="H2191" i="8"/>
  <c r="H2210" i="8"/>
  <c r="H2181" i="8"/>
  <c r="H2171" i="8"/>
  <c r="H2174" i="8"/>
  <c r="H2155" i="8"/>
  <c r="H2140" i="8"/>
  <c r="H2137" i="8"/>
  <c r="H2122" i="8"/>
  <c r="H2118" i="8"/>
  <c r="H2099" i="8"/>
  <c r="H2108" i="8"/>
  <c r="H2085" i="8"/>
  <c r="H2081" i="8"/>
  <c r="H2067" i="8"/>
  <c r="H2052" i="8"/>
  <c r="H2040" i="8"/>
  <c r="H2066" i="8"/>
  <c r="H2025" i="8"/>
  <c r="H2010" i="8"/>
  <c r="H2015" i="8"/>
  <c r="H2022" i="8"/>
  <c r="H2060" i="8"/>
  <c r="H1995" i="8"/>
  <c r="H1971" i="8"/>
  <c r="H1988" i="8"/>
  <c r="H2036" i="8"/>
  <c r="H2004" i="8"/>
  <c r="H1940" i="8"/>
  <c r="H1923" i="8"/>
  <c r="H1921" i="8"/>
  <c r="H1991" i="8"/>
  <c r="H1913" i="8"/>
  <c r="H1906" i="8"/>
  <c r="H1889" i="8"/>
  <c r="H2250" i="8"/>
  <c r="H2017" i="8"/>
  <c r="H1877" i="8"/>
  <c r="H1880" i="8"/>
  <c r="H1852" i="8"/>
  <c r="H1869" i="8"/>
  <c r="H1827" i="8"/>
  <c r="H1819" i="8"/>
  <c r="H1817" i="8"/>
  <c r="H1789" i="8"/>
  <c r="H1769" i="8"/>
  <c r="H1700" i="8"/>
  <c r="J2365" i="8"/>
  <c r="J2331" i="8"/>
  <c r="J2266" i="8"/>
  <c r="J2198" i="8"/>
  <c r="J2113" i="8"/>
  <c r="J2054" i="8"/>
  <c r="J1970" i="8"/>
  <c r="J1905" i="8"/>
  <c r="J1828" i="8"/>
  <c r="J1834" i="8"/>
  <c r="H2353" i="8"/>
  <c r="H2349" i="8"/>
  <c r="H2340" i="8"/>
  <c r="H2334" i="8"/>
  <c r="H2314" i="8"/>
  <c r="H2309" i="8"/>
  <c r="H2295" i="8"/>
  <c r="H2300" i="8"/>
  <c r="H2287" i="8"/>
  <c r="H2273" i="8"/>
  <c r="H2263" i="8"/>
  <c r="H2255" i="8"/>
  <c r="H2249" i="8"/>
  <c r="H2236" i="8"/>
  <c r="H2230" i="8"/>
  <c r="H2209" i="8"/>
  <c r="H2193" i="8"/>
  <c r="H2185" i="8"/>
  <c r="H2199" i="8"/>
  <c r="H2180" i="8"/>
  <c r="H2170" i="8"/>
  <c r="H2172" i="8"/>
  <c r="H2154" i="8"/>
  <c r="H2149" i="8"/>
  <c r="H2135" i="8"/>
  <c r="H2123" i="8"/>
  <c r="H2109" i="8"/>
  <c r="H2125" i="8"/>
  <c r="H2098" i="8"/>
  <c r="H2086" i="8"/>
  <c r="H2077" i="8"/>
  <c r="H2063" i="8"/>
  <c r="H2050" i="8"/>
  <c r="H2032" i="8"/>
  <c r="H2055" i="8"/>
  <c r="H2024" i="8"/>
  <c r="H2008" i="8"/>
  <c r="H2012" i="8"/>
  <c r="H2002" i="8"/>
  <c r="H2039" i="8"/>
  <c r="H1983" i="8"/>
  <c r="H1969" i="8"/>
  <c r="H1963" i="8"/>
  <c r="H2023" i="8"/>
  <c r="H1987" i="8"/>
  <c r="H1941" i="8"/>
  <c r="H1925" i="8"/>
  <c r="H1920" i="8"/>
  <c r="H1972" i="8"/>
  <c r="H1912" i="8"/>
  <c r="H1892" i="8"/>
  <c r="H2321" i="8"/>
  <c r="H2211" i="8"/>
  <c r="H1888" i="8"/>
  <c r="H1879" i="8"/>
  <c r="H1861" i="8"/>
  <c r="H1849" i="8"/>
  <c r="H1841" i="8"/>
  <c r="H1826" i="8"/>
  <c r="H1856" i="8"/>
  <c r="H1818" i="8"/>
  <c r="H1792" i="8"/>
  <c r="H1770" i="8"/>
  <c r="H1862" i="8"/>
  <c r="H1703" i="8"/>
  <c r="J2362" i="8"/>
  <c r="J2327" i="8"/>
  <c r="J2259" i="8"/>
  <c r="J2186" i="8"/>
  <c r="J2100" i="8"/>
  <c r="J2038" i="8"/>
  <c r="J1960" i="8"/>
  <c r="J1890" i="8"/>
  <c r="J1814" i="8"/>
  <c r="J1727" i="8"/>
  <c r="J1764" i="8"/>
  <c r="H1764" i="8"/>
  <c r="J1753" i="8"/>
  <c r="H1753" i="8"/>
  <c r="J1754" i="8"/>
  <c r="H1754" i="8"/>
  <c r="J1868" i="8"/>
  <c r="H1868" i="8"/>
  <c r="J1732" i="8"/>
  <c r="H1732" i="8"/>
  <c r="J1715" i="8"/>
  <c r="H1715" i="8"/>
  <c r="J1702" i="8"/>
  <c r="H1702" i="8"/>
  <c r="J1691" i="8"/>
  <c r="H1691" i="8"/>
  <c r="J1680" i="8"/>
  <c r="H1680" i="8"/>
  <c r="J1662" i="8"/>
  <c r="H1662" i="8"/>
  <c r="J1656" i="8"/>
  <c r="H1656" i="8"/>
  <c r="H2364" i="8"/>
  <c r="H2356" i="8"/>
  <c r="H2347" i="8"/>
  <c r="H2337" i="8"/>
  <c r="H2333" i="8"/>
  <c r="H2324" i="8"/>
  <c r="H2322" i="8"/>
  <c r="H2310" i="8"/>
  <c r="H2294" i="8"/>
  <c r="H2289" i="8"/>
  <c r="H2275" i="8"/>
  <c r="H2280" i="8"/>
  <c r="H2262" i="8"/>
  <c r="H2254" i="8"/>
  <c r="H2243" i="8"/>
  <c r="H2234" i="8"/>
  <c r="H2231" i="8"/>
  <c r="H2206" i="8"/>
  <c r="H2202" i="8"/>
  <c r="H2184" i="8"/>
  <c r="H2200" i="8"/>
  <c r="H2188" i="8"/>
  <c r="H2169" i="8"/>
  <c r="H2162" i="8"/>
  <c r="H2151" i="8"/>
  <c r="H2139" i="8"/>
  <c r="H2146" i="8"/>
  <c r="H2121" i="8"/>
  <c r="H2103" i="8"/>
  <c r="H2106" i="8"/>
  <c r="H2110" i="8"/>
  <c r="H2083" i="8"/>
  <c r="H2078" i="8"/>
  <c r="H2065" i="8"/>
  <c r="H2051" i="8"/>
  <c r="H2031" i="8"/>
  <c r="H2035" i="8"/>
  <c r="H2026" i="8"/>
  <c r="H2009" i="8"/>
  <c r="H2001" i="8"/>
  <c r="H1999" i="8"/>
  <c r="H2020" i="8"/>
  <c r="H1982" i="8"/>
  <c r="H2028" i="8"/>
  <c r="H1961" i="8"/>
  <c r="H1997" i="8"/>
  <c r="H1966" i="8"/>
  <c r="H1939" i="8"/>
  <c r="H1922" i="8"/>
  <c r="H1916" i="8"/>
  <c r="H1973" i="8"/>
  <c r="H1910" i="8"/>
  <c r="H1945" i="8"/>
  <c r="H2320" i="8"/>
  <c r="H2213" i="8"/>
  <c r="H1887" i="8"/>
  <c r="H1885" i="8"/>
  <c r="H1860" i="8"/>
  <c r="H1851" i="8"/>
  <c r="H1843" i="8"/>
  <c r="H1824" i="8"/>
  <c r="H1886" i="8"/>
  <c r="H1797" i="8"/>
  <c r="H1786" i="8"/>
  <c r="H1771" i="8"/>
  <c r="H1692" i="8"/>
  <c r="J2317" i="8"/>
  <c r="J2247" i="8"/>
  <c r="J2173" i="8"/>
  <c r="J2105" i="8"/>
  <c r="J2013" i="8"/>
  <c r="J1956" i="8"/>
  <c r="J2257" i="8"/>
  <c r="J1800" i="8"/>
  <c r="J1713" i="8"/>
  <c r="J1760" i="8"/>
  <c r="H1760" i="8"/>
  <c r="J1750" i="8"/>
  <c r="H1750" i="8"/>
  <c r="J1755" i="8"/>
  <c r="H1755" i="8"/>
  <c r="J1835" i="8"/>
  <c r="H1835" i="8"/>
  <c r="J1728" i="8"/>
  <c r="H1728" i="8"/>
  <c r="J1710" i="8"/>
  <c r="H1710" i="8"/>
  <c r="J1701" i="8"/>
  <c r="H1701" i="8"/>
  <c r="J1690" i="8"/>
  <c r="H1690" i="8"/>
  <c r="J1679" i="8"/>
  <c r="H1679" i="8"/>
  <c r="J1664" i="8"/>
  <c r="H1664" i="8"/>
  <c r="J1646" i="8"/>
  <c r="H1646" i="8"/>
  <c r="H2363" i="8"/>
  <c r="H2355" i="8"/>
  <c r="H2348" i="8"/>
  <c r="H2338" i="8"/>
  <c r="H2328" i="8"/>
  <c r="H2323" i="8"/>
  <c r="H2313" i="8"/>
  <c r="H2311" i="8"/>
  <c r="H2296" i="8"/>
  <c r="H2283" i="8"/>
  <c r="H2276" i="8"/>
  <c r="H2274" i="8"/>
  <c r="H2267" i="8"/>
  <c r="H2252" i="8"/>
  <c r="H2242" i="8"/>
  <c r="H2233" i="8"/>
  <c r="H2232" i="8"/>
  <c r="H2205" i="8"/>
  <c r="H2197" i="8"/>
  <c r="H2187" i="8"/>
  <c r="H2217" i="8"/>
  <c r="H2179" i="8"/>
  <c r="H2166" i="8"/>
  <c r="H2161" i="8"/>
  <c r="H2152" i="8"/>
  <c r="H2144" i="8"/>
  <c r="H2136" i="8"/>
  <c r="H2120" i="8"/>
  <c r="H2104" i="8"/>
  <c r="H2126" i="8"/>
  <c r="H2097" i="8"/>
  <c r="H2090" i="8"/>
  <c r="H2127" i="8"/>
  <c r="H2064" i="8"/>
  <c r="H2047" i="8"/>
  <c r="H2029" i="8"/>
  <c r="H2073" i="8"/>
  <c r="H2048" i="8"/>
  <c r="H2034" i="8"/>
  <c r="H2116" i="8"/>
  <c r="H2000" i="8"/>
  <c r="H1994" i="8"/>
  <c r="H1977" i="8"/>
  <c r="H2003" i="8"/>
  <c r="H1962" i="8"/>
  <c r="H1978" i="8"/>
  <c r="H1949" i="8"/>
  <c r="H1938" i="8"/>
  <c r="H1919" i="8"/>
  <c r="H2037" i="8"/>
  <c r="H1948" i="8"/>
  <c r="H1909" i="8"/>
  <c r="H1915" i="8"/>
  <c r="H2298" i="8"/>
  <c r="H2163" i="8"/>
  <c r="H1900" i="8"/>
  <c r="H1867" i="8"/>
  <c r="H1859" i="8"/>
  <c r="H1840" i="8"/>
  <c r="H1833" i="8"/>
  <c r="H1820" i="8"/>
  <c r="H1823" i="8"/>
  <c r="H1801" i="8"/>
  <c r="H1798" i="8"/>
  <c r="H1765" i="8"/>
  <c r="H1731" i="8"/>
  <c r="H1685" i="8"/>
  <c r="J2352" i="8"/>
  <c r="J2307" i="8"/>
  <c r="J2238" i="8"/>
  <c r="J2157" i="8"/>
  <c r="J2087" i="8"/>
  <c r="J2006" i="8"/>
  <c r="J1942" i="8"/>
  <c r="J2134" i="8"/>
  <c r="J1791" i="8"/>
  <c r="H2359" i="8"/>
  <c r="H2357" i="8"/>
  <c r="H2346" i="8"/>
  <c r="H2336" i="8"/>
  <c r="H2329" i="8"/>
  <c r="H2315" i="8"/>
  <c r="H2312" i="8"/>
  <c r="H2306" i="8"/>
  <c r="H2293" i="8"/>
  <c r="H2282" i="8"/>
  <c r="H2278" i="8"/>
  <c r="H2270" i="8"/>
  <c r="H2261" i="8"/>
  <c r="H2253" i="8"/>
  <c r="H2241" i="8"/>
  <c r="H2235" i="8"/>
  <c r="H2228" i="8"/>
  <c r="H2204" i="8"/>
  <c r="H2196" i="8"/>
  <c r="H2220" i="8"/>
  <c r="H2203" i="8"/>
  <c r="H2182" i="8"/>
  <c r="H2168" i="8"/>
  <c r="H2159" i="8"/>
  <c r="H2153" i="8"/>
  <c r="H2147" i="8"/>
  <c r="H2129" i="8"/>
  <c r="H2114" i="8"/>
  <c r="H2119" i="8"/>
  <c r="H2111" i="8"/>
  <c r="H2091" i="8"/>
  <c r="H2094" i="8"/>
  <c r="H2071" i="8"/>
  <c r="H2062" i="8"/>
  <c r="H2045" i="8"/>
  <c r="H2030" i="8"/>
  <c r="H2072" i="8"/>
  <c r="H2027" i="8"/>
  <c r="H2019" i="8"/>
  <c r="H2096" i="8"/>
  <c r="H1996" i="8"/>
  <c r="H1992" i="8"/>
  <c r="H1975" i="8"/>
  <c r="H1986" i="8"/>
  <c r="H1985" i="8"/>
  <c r="H1955" i="8"/>
  <c r="H1946" i="8"/>
  <c r="H1932" i="8"/>
  <c r="H1918" i="8"/>
  <c r="H2042" i="8"/>
  <c r="H1953" i="8"/>
  <c r="H1908" i="8"/>
  <c r="H1901" i="8"/>
  <c r="H2299" i="8"/>
  <c r="H2164" i="8"/>
  <c r="H1882" i="8"/>
  <c r="H1865" i="8"/>
  <c r="H1858" i="8"/>
  <c r="H1842" i="8"/>
  <c r="H1830" i="8"/>
  <c r="H1822" i="8"/>
  <c r="H1815" i="8"/>
  <c r="H1795" i="8"/>
  <c r="H1781" i="8"/>
  <c r="J2302" i="8"/>
  <c r="J2225" i="8"/>
  <c r="J2167" i="8"/>
  <c r="J2093" i="8"/>
  <c r="J2061" i="8"/>
  <c r="J1924" i="8"/>
  <c r="J1884" i="8"/>
  <c r="J1793" i="8"/>
  <c r="H1747" i="8"/>
  <c r="J1747" i="8"/>
  <c r="H1804" i="8"/>
  <c r="J1804" i="8"/>
  <c r="H1714" i="8"/>
  <c r="J1714" i="8"/>
  <c r="H1693" i="8"/>
  <c r="J1693" i="8"/>
  <c r="H1665" i="8"/>
  <c r="J1665" i="8"/>
  <c r="H1762" i="8"/>
  <c r="J1762" i="8"/>
  <c r="H1746" i="8"/>
  <c r="J1746" i="8"/>
  <c r="H1734" i="8"/>
  <c r="J1734" i="8"/>
  <c r="H1812" i="8"/>
  <c r="J1812" i="8"/>
  <c r="H1723" i="8"/>
  <c r="J1723" i="8"/>
  <c r="H1704" i="8"/>
  <c r="J1704" i="8"/>
  <c r="H1729" i="8"/>
  <c r="J1729" i="8"/>
  <c r="H1678" i="8"/>
  <c r="J1678" i="8"/>
  <c r="H1748" i="8"/>
  <c r="J1748" i="8"/>
  <c r="H1661" i="8"/>
  <c r="J1661" i="8"/>
  <c r="H2281" i="8"/>
  <c r="H2212" i="8"/>
  <c r="H2145" i="8"/>
  <c r="H2057" i="8"/>
  <c r="H1990" i="8"/>
  <c r="H2014" i="8"/>
  <c r="H1850" i="8"/>
  <c r="H1751" i="8"/>
  <c r="H1663" i="8"/>
  <c r="BD111" i="10" l="1"/>
  <c r="BD128" i="10"/>
  <c r="BD123" i="10"/>
  <c r="BH127" i="10"/>
  <c r="BH125" i="10"/>
  <c r="BH113" i="10"/>
  <c r="BD131" i="10"/>
  <c r="BE126" i="10"/>
  <c r="BH112" i="10"/>
  <c r="BE127" i="10"/>
  <c r="BH121" i="10"/>
  <c r="BD119" i="10"/>
  <c r="BE108" i="10"/>
  <c r="BE130" i="10"/>
  <c r="BH122" i="10"/>
  <c r="BD118" i="10"/>
  <c r="BE109" i="10"/>
  <c r="BE129" i="10"/>
  <c r="BE110" i="10"/>
  <c r="BE120" i="10"/>
  <c r="BE118" i="10"/>
  <c r="U124" i="10"/>
  <c r="BE128" i="10"/>
  <c r="BH124" i="10"/>
  <c r="BD116" i="10"/>
  <c r="BE111" i="10"/>
  <c r="BE131" i="10"/>
  <c r="BH123" i="10"/>
  <c r="BD115" i="10"/>
  <c r="BH126" i="10"/>
  <c r="BD114" i="10"/>
  <c r="BE119" i="10"/>
  <c r="BD113" i="10"/>
  <c r="BH108" i="10"/>
  <c r="BH130" i="10"/>
  <c r="BE115" i="10"/>
  <c r="BE114" i="10"/>
  <c r="BE117" i="10"/>
  <c r="BD117" i="10"/>
  <c r="BH109" i="10"/>
  <c r="BH129" i="10"/>
  <c r="BD121" i="10"/>
  <c r="BE116" i="10"/>
  <c r="BH110" i="10"/>
  <c r="BH128" i="10"/>
  <c r="BD122" i="10"/>
  <c r="BH111" i="10"/>
  <c r="BH131" i="10"/>
  <c r="BD125" i="10"/>
  <c r="BH120" i="10"/>
  <c r="BD124" i="10"/>
  <c r="BE113" i="10"/>
  <c r="BH119" i="10"/>
  <c r="AW124" i="10"/>
  <c r="BD109" i="10"/>
  <c r="BD112" i="10"/>
  <c r="T124" i="10"/>
  <c r="BE112" i="10"/>
  <c r="BH118" i="10"/>
  <c r="BA124" i="10"/>
  <c r="R124" i="10"/>
  <c r="P124" i="10"/>
  <c r="BD126" i="10"/>
  <c r="BE121" i="10"/>
  <c r="BH117" i="10"/>
  <c r="AX124" i="10"/>
  <c r="BD127" i="10"/>
  <c r="BE122" i="10"/>
  <c r="BH116" i="10"/>
  <c r="BD108" i="10"/>
  <c r="BD130" i="10"/>
  <c r="BE125" i="10"/>
  <c r="BH115" i="10"/>
  <c r="BD129" i="10"/>
  <c r="BE124" i="10"/>
  <c r="BH114" i="10"/>
  <c r="AT124" i="10"/>
  <c r="W124" i="10"/>
  <c r="O124" i="10"/>
  <c r="AQ124" i="10"/>
  <c r="AP124" i="10"/>
  <c r="U12" i="13"/>
  <c r="G1875" i="8"/>
  <c r="G1778" i="8"/>
  <c r="G1719" i="8"/>
  <c r="G1611" i="8"/>
  <c r="G1652" i="8"/>
  <c r="G1353" i="8"/>
  <c r="G1736" i="8"/>
  <c r="G1379" i="8"/>
  <c r="G1810" i="8"/>
  <c r="G1218" i="8"/>
  <c r="G1410" i="8"/>
  <c r="G1675" i="8"/>
  <c r="G1897" i="8"/>
  <c r="G1381" i="8"/>
  <c r="G1741" i="8"/>
  <c r="G1497" i="8"/>
  <c r="G1314" i="8"/>
  <c r="I1314" i="8" s="1"/>
  <c r="G1450" i="8"/>
  <c r="G1323" i="8"/>
  <c r="G1711" i="8"/>
  <c r="G1717" i="8"/>
  <c r="I1717" i="8" s="1"/>
  <c r="G1846" i="8"/>
  <c r="G1499" i="8"/>
  <c r="I1499" i="8" s="1"/>
  <c r="G1872" i="8"/>
  <c r="G1738" i="8"/>
  <c r="G1444" i="8"/>
  <c r="G1894" i="8"/>
  <c r="G1320" i="8"/>
  <c r="G1766" i="8"/>
  <c r="G1863" i="8"/>
  <c r="G1647" i="8"/>
  <c r="G1285" i="8"/>
  <c r="G1561" i="8"/>
  <c r="I1561" i="8" s="1"/>
  <c r="G1350" i="8"/>
  <c r="G1673" i="8"/>
  <c r="G1902" i="8"/>
  <c r="G1844" i="8"/>
  <c r="G1951" i="8"/>
  <c r="G1229" i="8"/>
  <c r="G1772" i="8"/>
  <c r="G1571" i="8"/>
  <c r="G1539" i="8"/>
  <c r="G1805" i="8"/>
  <c r="G1479" i="8"/>
  <c r="G1936" i="8"/>
  <c r="G1980" i="8"/>
  <c r="G1543" i="8"/>
  <c r="I1543" i="8" s="1"/>
  <c r="G1607" i="8"/>
  <c r="G1541" i="8"/>
  <c r="G1650" i="8"/>
  <c r="G1348" i="8"/>
  <c r="G1477" i="8"/>
  <c r="G1375" i="8"/>
  <c r="G1405" i="8"/>
  <c r="G1929" i="8"/>
  <c r="G1933" i="8"/>
  <c r="G1448" i="8"/>
  <c r="G1408" i="8"/>
  <c r="G1501" i="8"/>
  <c r="G1807" i="8"/>
  <c r="G1568" i="8"/>
  <c r="G1957" i="8"/>
  <c r="G1837" i="8"/>
  <c r="BR59" i="10" s="1"/>
  <c r="G1232" i="8"/>
  <c r="G1287" i="8"/>
  <c r="G1667" i="8"/>
  <c r="G1473" i="8"/>
  <c r="G1280" i="8"/>
  <c r="I1280" i="8" s="1"/>
  <c r="G1602" i="8"/>
  <c r="AV124" i="10" l="1"/>
  <c r="AS124" i="10"/>
  <c r="L43" i="10" a="1"/>
  <c r="L43" i="10" s="1"/>
  <c r="L44" i="10" a="1"/>
  <c r="L44" i="10" s="1"/>
  <c r="BL93" i="10"/>
  <c r="CC86" i="10"/>
  <c r="BL86" i="10"/>
  <c r="BZ76" i="10"/>
  <c r="BO66" i="10"/>
  <c r="BR66" i="10"/>
  <c r="BH66" i="10"/>
  <c r="BZ17" i="10"/>
  <c r="BH75" i="10"/>
  <c r="BO76" i="10"/>
  <c r="BE17" i="10"/>
  <c r="BZ74" i="10"/>
  <c r="BD17" i="10"/>
  <c r="CC74" i="10"/>
  <c r="CC17" i="10"/>
  <c r="BR74" i="10"/>
  <c r="BL17" i="10"/>
  <c r="BR80" i="10"/>
  <c r="BO17" i="10"/>
  <c r="BH80" i="10"/>
  <c r="BY80" i="10"/>
  <c r="BH58" i="10"/>
  <c r="BS80" i="10"/>
  <c r="BS34" i="10"/>
  <c r="BO80" i="10"/>
  <c r="BR68" i="10"/>
  <c r="BE80" i="10"/>
  <c r="BE16" i="10"/>
  <c r="BS66" i="10"/>
  <c r="BR16" i="10"/>
  <c r="BL66" i="10"/>
  <c r="BK93" i="10"/>
  <c r="BZ86" i="10"/>
  <c r="BY59" i="10"/>
  <c r="BY86" i="10"/>
  <c r="BL59" i="10"/>
  <c r="BR86" i="10"/>
  <c r="BR17" i="10"/>
  <c r="BH57" i="10"/>
  <c r="BH18" i="10"/>
  <c r="T77" i="10"/>
  <c r="BA34" i="10"/>
  <c r="BE68" i="10"/>
  <c r="BK16" i="10"/>
  <c r="BD93" i="10"/>
  <c r="BH76" i="10"/>
  <c r="AT80" i="10"/>
  <c r="CC66" i="10"/>
  <c r="R59" i="10"/>
  <c r="BL50" i="10"/>
  <c r="BD77" i="10"/>
  <c r="BE34" i="10"/>
  <c r="BH68" i="10"/>
  <c r="BY16" i="10"/>
  <c r="R38" i="10"/>
  <c r="BR76" i="10"/>
  <c r="BK80" i="10"/>
  <c r="AP66" i="10"/>
  <c r="AP59" i="10"/>
  <c r="BZ50" i="10"/>
  <c r="CC77" i="10"/>
  <c r="W34" i="10"/>
  <c r="W68" i="10"/>
  <c r="CC16" i="10"/>
  <c r="BO86" i="10"/>
  <c r="BA76" i="10"/>
  <c r="BZ80" i="10"/>
  <c r="BA17" i="10"/>
  <c r="BO50" i="10"/>
  <c r="BS39" i="10"/>
  <c r="P34" i="10"/>
  <c r="AQ68" i="10"/>
  <c r="BL16" i="10"/>
  <c r="AP76" i="10"/>
  <c r="BE75" i="10"/>
  <c r="BK39" i="10"/>
  <c r="BO38" i="10"/>
  <c r="R60" i="10"/>
  <c r="BH16" i="10"/>
  <c r="BK86" i="10"/>
  <c r="AX76" i="10"/>
  <c r="CB76" i="10" s="1"/>
  <c r="BR75" i="10"/>
  <c r="CC39" i="10"/>
  <c r="BK38" i="10"/>
  <c r="T93" i="10"/>
  <c r="AW16" i="10"/>
  <c r="AQ66" i="10"/>
  <c r="BD75" i="10"/>
  <c r="BH39" i="10"/>
  <c r="BE38" i="10"/>
  <c r="BD59" i="10"/>
  <c r="BL75" i="10"/>
  <c r="AW39" i="10"/>
  <c r="BY38" i="10"/>
  <c r="BO51" i="10"/>
  <c r="W16" i="10"/>
  <c r="AW59" i="10"/>
  <c r="BY89" i="10"/>
  <c r="BD39" i="10"/>
  <c r="BL38" i="10"/>
  <c r="CC51" i="10"/>
  <c r="T18" i="10"/>
  <c r="AQ74" i="10"/>
  <c r="AP80" i="10"/>
  <c r="BE15" i="10"/>
  <c r="BS78" i="10"/>
  <c r="BE39" i="10"/>
  <c r="AT38" i="10"/>
  <c r="BD51" i="10"/>
  <c r="BY93" i="10"/>
  <c r="BD86" i="10"/>
  <c r="BL74" i="10"/>
  <c r="AQ80" i="10"/>
  <c r="AX59" i="10"/>
  <c r="BS17" i="10"/>
  <c r="BZ15" i="10"/>
  <c r="BY78" i="10"/>
  <c r="BL33" i="10"/>
  <c r="BH38" i="10"/>
  <c r="BS51" i="10"/>
  <c r="BS93" i="10"/>
  <c r="BS86" i="10"/>
  <c r="BS74" i="10"/>
  <c r="BU74" i="10" s="1"/>
  <c r="AX80" i="10"/>
  <c r="CC59" i="10"/>
  <c r="BY17" i="10"/>
  <c r="BS24" i="10"/>
  <c r="BO78" i="10"/>
  <c r="BR33" i="10"/>
  <c r="T38" i="10"/>
  <c r="BZ51" i="10"/>
  <c r="BR93" i="10"/>
  <c r="AX86" i="10"/>
  <c r="CB86" i="10" s="1"/>
  <c r="T74" i="10"/>
  <c r="BD80" i="10"/>
  <c r="O59" i="10"/>
  <c r="W17" i="10"/>
  <c r="BZ36" i="10"/>
  <c r="BZ58" i="10"/>
  <c r="BO33" i="10"/>
  <c r="R82" i="10"/>
  <c r="BK51" i="10"/>
  <c r="W93" i="10"/>
  <c r="BY76" i="10"/>
  <c r="BY74" i="10"/>
  <c r="BY66" i="10"/>
  <c r="BS59" i="10"/>
  <c r="BK17" i="10"/>
  <c r="CC36" i="10"/>
  <c r="BL58" i="10"/>
  <c r="CC33" i="10"/>
  <c r="T86" i="10"/>
  <c r="O51" i="10"/>
  <c r="BZ93" i="10"/>
  <c r="CC76" i="10"/>
  <c r="BK74" i="10"/>
  <c r="U66" i="10"/>
  <c r="BH59" i="10"/>
  <c r="AT17" i="10"/>
  <c r="BA74" i="10"/>
  <c r="BL36" i="10"/>
  <c r="BY58" i="10"/>
  <c r="W33" i="10"/>
  <c r="AX89" i="10"/>
  <c r="AX51" i="10"/>
  <c r="CC93" i="10"/>
  <c r="BL76" i="10"/>
  <c r="BO74" i="10"/>
  <c r="BZ66" i="10"/>
  <c r="BE59" i="10"/>
  <c r="AX17" i="10"/>
  <c r="BS60" i="10"/>
  <c r="BE58" i="10"/>
  <c r="AP33" i="10"/>
  <c r="CC68" i="10"/>
  <c r="R51" i="10"/>
  <c r="U93" i="10"/>
  <c r="BD76" i="10"/>
  <c r="BD74" i="10"/>
  <c r="BK66" i="10"/>
  <c r="BK59" i="10"/>
  <c r="R17" i="10"/>
  <c r="CC60" i="10"/>
  <c r="BD58" i="10"/>
  <c r="BY34" i="10"/>
  <c r="BZ68" i="10"/>
  <c r="BA51" i="10"/>
  <c r="BE93" i="10"/>
  <c r="BS76" i="10"/>
  <c r="AX74" i="10"/>
  <c r="AW66" i="10"/>
  <c r="BO59" i="10"/>
  <c r="BH17" i="10"/>
  <c r="AQ60" i="10"/>
  <c r="BH60" i="10"/>
  <c r="BE77" i="10"/>
  <c r="BZ34" i="10"/>
  <c r="BD68" i="10"/>
  <c r="BR18" i="10"/>
  <c r="BK77" i="10"/>
  <c r="BK34" i="10"/>
  <c r="BL68" i="10"/>
  <c r="BZ16" i="10"/>
  <c r="AQ93" i="10"/>
  <c r="BK76" i="10"/>
  <c r="CC80" i="10"/>
  <c r="BE66" i="10"/>
  <c r="W59" i="10"/>
  <c r="AP51" i="10"/>
  <c r="R16" i="10"/>
  <c r="R76" i="10"/>
  <c r="P17" i="10"/>
  <c r="W88" i="10"/>
  <c r="AQ13" i="10"/>
  <c r="AW83" i="10"/>
  <c r="BS82" i="10"/>
  <c r="BZ87" i="10"/>
  <c r="BZ12" i="10"/>
  <c r="BD24" i="10"/>
  <c r="W36" i="10"/>
  <c r="BY18" i="10"/>
  <c r="O50" i="10"/>
  <c r="BK89" i="10"/>
  <c r="AP78" i="10"/>
  <c r="W58" i="10"/>
  <c r="T59" i="10"/>
  <c r="BA33" i="10"/>
  <c r="R34" i="10"/>
  <c r="U34" i="10"/>
  <c r="W92" i="10"/>
  <c r="AP68" i="10"/>
  <c r="BR51" i="10"/>
  <c r="U59" i="10"/>
  <c r="U16" i="10"/>
  <c r="BO93" i="10"/>
  <c r="BH86" i="10"/>
  <c r="BE76" i="10"/>
  <c r="BH74" i="10"/>
  <c r="BL80" i="10"/>
  <c r="BD66" i="10"/>
  <c r="BA59" i="10"/>
  <c r="U17" i="10"/>
  <c r="BL83" i="10"/>
  <c r="BL82" i="10"/>
  <c r="BA87" i="10"/>
  <c r="BY12" i="10"/>
  <c r="BY24" i="10"/>
  <c r="BK36" i="10"/>
  <c r="BL18" i="10"/>
  <c r="T50" i="10"/>
  <c r="BD89" i="10"/>
  <c r="BL78" i="10"/>
  <c r="BO58" i="10"/>
  <c r="BA89" i="10"/>
  <c r="BZ33" i="10"/>
  <c r="BD34" i="10"/>
  <c r="CC38" i="10"/>
  <c r="AP24" i="10"/>
  <c r="BY68" i="10"/>
  <c r="BY51" i="10"/>
  <c r="AW87" i="10"/>
  <c r="AT16" i="10"/>
  <c r="AP93" i="10"/>
  <c r="BA86" i="10"/>
  <c r="AW74" i="10"/>
  <c r="CC83" i="10"/>
  <c r="BZ82" i="10"/>
  <c r="BH87" i="10"/>
  <c r="P12" i="10"/>
  <c r="BL24" i="10"/>
  <c r="BE60" i="10"/>
  <c r="BE18" i="10"/>
  <c r="AQ50" i="10"/>
  <c r="CC89" i="10"/>
  <c r="CE89" i="10" s="1"/>
  <c r="BD78" i="10"/>
  <c r="AP77" i="10"/>
  <c r="AX57" i="10"/>
  <c r="BY33" i="10"/>
  <c r="BH34" i="10"/>
  <c r="BS38" i="10"/>
  <c r="BE57" i="10"/>
  <c r="AW68" i="10"/>
  <c r="BL51" i="10"/>
  <c r="BS16" i="10"/>
  <c r="AX16" i="10"/>
  <c r="AQ76" i="10"/>
  <c r="AX66" i="10"/>
  <c r="BR83" i="10"/>
  <c r="BO82" i="10"/>
  <c r="P87" i="10"/>
  <c r="BE12" i="10"/>
  <c r="AT24" i="10"/>
  <c r="BY60" i="10"/>
  <c r="CC18" i="10"/>
  <c r="BA50" i="10"/>
  <c r="BL89" i="10"/>
  <c r="AX78" i="10"/>
  <c r="BO77" i="10"/>
  <c r="BO39" i="10"/>
  <c r="BK33" i="10"/>
  <c r="BR34" i="10"/>
  <c r="BA38" i="10"/>
  <c r="AQ75" i="10"/>
  <c r="AT68" i="10"/>
  <c r="BA16" i="10"/>
  <c r="CE16" i="10" s="1"/>
  <c r="AW86" i="10"/>
  <c r="AW76" i="10"/>
  <c r="BS83" i="10"/>
  <c r="AW82" i="10"/>
  <c r="BL87" i="10"/>
  <c r="BL12" i="10"/>
  <c r="BE24" i="10"/>
  <c r="BL60" i="10"/>
  <c r="BZ18" i="10"/>
  <c r="BD50" i="10"/>
  <c r="BR89" i="10"/>
  <c r="BA78" i="10"/>
  <c r="BY77" i="10"/>
  <c r="BR39" i="10"/>
  <c r="AQ57" i="10"/>
  <c r="AT93" i="10"/>
  <c r="AP86" i="10"/>
  <c r="BZ83" i="10"/>
  <c r="P82" i="10"/>
  <c r="R87" i="10"/>
  <c r="BD12" i="10"/>
  <c r="R24" i="10"/>
  <c r="BD60" i="10"/>
  <c r="BK18" i="10"/>
  <c r="BE50" i="10"/>
  <c r="BS89" i="10"/>
  <c r="O78" i="10"/>
  <c r="BH77" i="10"/>
  <c r="AP39" i="10"/>
  <c r="BH33" i="10"/>
  <c r="CC34" i="10"/>
  <c r="CE34" i="10" s="1"/>
  <c r="BR38" i="10"/>
  <c r="P60" i="10"/>
  <c r="T68" i="10"/>
  <c r="BE51" i="10"/>
  <c r="BD16" i="10"/>
  <c r="AP38" i="10"/>
  <c r="BH93" i="10"/>
  <c r="AT86" i="10"/>
  <c r="T76" i="10"/>
  <c r="AT74" i="10"/>
  <c r="O80" i="10"/>
  <c r="BA66" i="10"/>
  <c r="CE66" i="10" s="1"/>
  <c r="BZ59" i="10"/>
  <c r="O17" i="10"/>
  <c r="BA93" i="10"/>
  <c r="AT76" i="10"/>
  <c r="BR46" i="10"/>
  <c r="AT82" i="10"/>
  <c r="BR57" i="10"/>
  <c r="BH12" i="10"/>
  <c r="AW24" i="10"/>
  <c r="BK60" i="10"/>
  <c r="AQ18" i="10"/>
  <c r="BY75" i="10"/>
  <c r="BO89" i="10"/>
  <c r="BH78" i="10"/>
  <c r="BZ77" i="10"/>
  <c r="CC46" i="10"/>
  <c r="R92" i="10"/>
  <c r="BK57" i="10"/>
  <c r="BO12" i="10"/>
  <c r="AQ24" i="10"/>
  <c r="BU24" i="10" s="1"/>
  <c r="BR60" i="10"/>
  <c r="O18" i="10"/>
  <c r="CC75" i="10"/>
  <c r="BZ89" i="10"/>
  <c r="CB89" i="10" s="1"/>
  <c r="BE78" i="10"/>
  <c r="BR77" i="10"/>
  <c r="BZ39" i="10"/>
  <c r="BE33" i="10"/>
  <c r="BO34" i="10"/>
  <c r="BD38" i="10"/>
  <c r="T92" i="10"/>
  <c r="R68" i="10"/>
  <c r="AQ86" i="10"/>
  <c r="BO46" i="10"/>
  <c r="BR92" i="10"/>
  <c r="AX36" i="10"/>
  <c r="AQ82" i="10"/>
  <c r="AQ77" i="10"/>
  <c r="AT46" i="10"/>
  <c r="P92" i="10"/>
  <c r="R57" i="10"/>
  <c r="BA15" i="10"/>
  <c r="BY36" i="10"/>
  <c r="BZ60" i="10"/>
  <c r="AT18" i="10"/>
  <c r="BO75" i="10"/>
  <c r="BE89" i="10"/>
  <c r="AQ17" i="10"/>
  <c r="AW51" i="10"/>
  <c r="BY46" i="10"/>
  <c r="BD92" i="10"/>
  <c r="AP57" i="10"/>
  <c r="CC15" i="10"/>
  <c r="AQ89" i="10"/>
  <c r="AX34" i="10"/>
  <c r="BS46" i="10"/>
  <c r="AP92" i="10"/>
  <c r="BL57" i="10"/>
  <c r="BY15" i="10"/>
  <c r="BO36" i="10"/>
  <c r="T60" i="10"/>
  <c r="BS50" i="10"/>
  <c r="BS75" i="10"/>
  <c r="W89" i="10"/>
  <c r="BS58" i="10"/>
  <c r="BS77" i="10"/>
  <c r="BY39" i="10"/>
  <c r="AT33" i="10"/>
  <c r="BL34" i="10"/>
  <c r="AX38" i="10"/>
  <c r="BS68" i="10"/>
  <c r="AX68" i="10"/>
  <c r="BH51" i="10"/>
  <c r="BO16" i="10"/>
  <c r="R93" i="10"/>
  <c r="AT59" i="10"/>
  <c r="AW46" i="10"/>
  <c r="AQ92" i="10"/>
  <c r="BL15" i="10"/>
  <c r="BR36" i="10"/>
  <c r="AW60" i="10"/>
  <c r="BY50" i="10"/>
  <c r="BK75" i="10"/>
  <c r="BH89" i="10"/>
  <c r="BK58" i="10"/>
  <c r="BL77" i="10"/>
  <c r="BL39" i="10"/>
  <c r="BS33" i="10"/>
  <c r="AT34" i="10"/>
  <c r="AV34" i="10" s="1"/>
  <c r="BZ38" i="10"/>
  <c r="BO68" i="10"/>
  <c r="BE74" i="10"/>
  <c r="W51" i="10"/>
  <c r="BA80" i="10"/>
  <c r="AW80" i="10"/>
  <c r="AT66" i="10"/>
  <c r="AQ59" i="10"/>
  <c r="AW17" i="10"/>
  <c r="BS88" i="10"/>
  <c r="CC13" i="10"/>
  <c r="BY88" i="10"/>
  <c r="AX13" i="10"/>
  <c r="AT15" i="10"/>
  <c r="BE36" i="10"/>
  <c r="AX60" i="10"/>
  <c r="CC50" i="10"/>
  <c r="BZ75" i="10"/>
  <c r="BR78" i="10"/>
  <c r="AX39" i="10"/>
  <c r="AX33" i="10"/>
  <c r="AW88" i="10"/>
  <c r="BS13" i="10"/>
  <c r="AX77" i="10"/>
  <c r="BE88" i="10"/>
  <c r="O13" i="10"/>
  <c r="AQ15" i="10"/>
  <c r="AT36" i="10"/>
  <c r="BS18" i="10"/>
  <c r="BR50" i="10"/>
  <c r="T75" i="10"/>
  <c r="BK78" i="10"/>
  <c r="BR58" i="10"/>
  <c r="AT77" i="10"/>
  <c r="AQ33" i="10"/>
  <c r="AP16" i="10"/>
  <c r="AX93" i="10"/>
  <c r="BL88" i="10"/>
  <c r="AT13" i="10"/>
  <c r="W15" i="10"/>
  <c r="AW36" i="10"/>
  <c r="BD18" i="10"/>
  <c r="BH50" i="10"/>
  <c r="W75" i="10"/>
  <c r="BZ78" i="10"/>
  <c r="CB78" i="10" s="1"/>
  <c r="CC58" i="10"/>
  <c r="AW33" i="10"/>
  <c r="AP34" i="10"/>
  <c r="AT51" i="10"/>
  <c r="AX88" i="10"/>
  <c r="BH13" i="10"/>
  <c r="BR24" i="10"/>
  <c r="AP36" i="10"/>
  <c r="BO18" i="10"/>
  <c r="BK50" i="10"/>
  <c r="AT75" i="10"/>
  <c r="CC78" i="10"/>
  <c r="O58" i="10"/>
  <c r="P77" i="10"/>
  <c r="U39" i="10"/>
  <c r="BD33" i="10"/>
  <c r="AQ34" i="10"/>
  <c r="O46" i="10"/>
  <c r="BK68" i="10"/>
  <c r="AP74" i="10"/>
  <c r="AQ51" i="10"/>
  <c r="AW93" i="10"/>
  <c r="T36" i="10"/>
  <c r="P75" i="10"/>
  <c r="U76" i="10"/>
  <c r="R86" i="10"/>
  <c r="W80" i="10"/>
  <c r="AV80" i="10" s="1"/>
  <c r="U68" i="10"/>
  <c r="T24" i="10"/>
  <c r="W76" i="10"/>
  <c r="R15" i="10"/>
  <c r="P74" i="10"/>
  <c r="W66" i="10"/>
  <c r="W24" i="10"/>
  <c r="U86" i="10"/>
  <c r="R80" i="10"/>
  <c r="R33" i="10"/>
  <c r="O76" i="10"/>
  <c r="W74" i="10"/>
  <c r="T80" i="10"/>
  <c r="R66" i="10"/>
  <c r="T17" i="10"/>
  <c r="U33" i="10"/>
  <c r="P68" i="10"/>
  <c r="P86" i="10"/>
  <c r="W86" i="10"/>
  <c r="P76" i="10"/>
  <c r="U80" i="10"/>
  <c r="P66" i="10"/>
  <c r="U77" i="10"/>
  <c r="O88" i="10"/>
  <c r="U51" i="10"/>
  <c r="P16" i="10"/>
  <c r="P15" i="10"/>
  <c r="T33" i="10"/>
  <c r="W39" i="10"/>
  <c r="O34" i="10"/>
  <c r="U38" i="10"/>
  <c r="T66" i="10"/>
  <c r="T51" i="10"/>
  <c r="O39" i="10"/>
  <c r="W77" i="10"/>
  <c r="T16" i="10"/>
  <c r="P93" i="10"/>
  <c r="O16" i="10"/>
  <c r="U74" i="10"/>
  <c r="T99" i="10"/>
  <c r="O66" i="10"/>
  <c r="U13" i="10"/>
  <c r="U12" i="10"/>
  <c r="T15" i="10"/>
  <c r="O74" i="10"/>
  <c r="BD83" i="10"/>
  <c r="BH46" i="10"/>
  <c r="BZ88" i="10"/>
  <c r="BK82" i="10"/>
  <c r="BH92" i="10"/>
  <c r="T13" i="10"/>
  <c r="P80" i="10"/>
  <c r="AP87" i="10"/>
  <c r="BA57" i="10"/>
  <c r="BK12" i="10"/>
  <c r="BR15" i="10"/>
  <c r="BK24" i="10"/>
  <c r="U36" i="10"/>
  <c r="W18" i="10"/>
  <c r="AP58" i="10"/>
  <c r="BK83" i="10"/>
  <c r="BZ46" i="10"/>
  <c r="BH88" i="10"/>
  <c r="BE82" i="10"/>
  <c r="BO92" i="10"/>
  <c r="BY13" i="10"/>
  <c r="O33" i="10"/>
  <c r="BK87" i="10"/>
  <c r="O57" i="10"/>
  <c r="R12" i="10"/>
  <c r="O75" i="10"/>
  <c r="T89" i="10"/>
  <c r="R78" i="10"/>
  <c r="P59" i="10"/>
  <c r="T83" i="10"/>
  <c r="BE46" i="10"/>
  <c r="BO88" i="10"/>
  <c r="BR82" i="10"/>
  <c r="BY92" i="10"/>
  <c r="BK13" i="10"/>
  <c r="AP17" i="10"/>
  <c r="W87" i="10"/>
  <c r="U50" i="10"/>
  <c r="U89" i="10"/>
  <c r="AS89" i="10" s="1"/>
  <c r="P78" i="10"/>
  <c r="O87" i="10"/>
  <c r="W83" i="10"/>
  <c r="W46" i="10"/>
  <c r="AP88" i="10"/>
  <c r="AP82" i="10"/>
  <c r="O92" i="10"/>
  <c r="BL13" i="10"/>
  <c r="AT87" i="10"/>
  <c r="AX87" i="10"/>
  <c r="CB87" i="10" s="1"/>
  <c r="CC57" i="10"/>
  <c r="AP12" i="10"/>
  <c r="BD15" i="10"/>
  <c r="BH24" i="10"/>
  <c r="W50" i="10"/>
  <c r="U75" i="10"/>
  <c r="P89" i="10"/>
  <c r="T34" i="10"/>
  <c r="BE86" i="10"/>
  <c r="AT83" i="10"/>
  <c r="BL46" i="10"/>
  <c r="AT88" i="10"/>
  <c r="BH82" i="10"/>
  <c r="CC92" i="10"/>
  <c r="BR13" i="10"/>
  <c r="BY87" i="10"/>
  <c r="R46" i="10"/>
  <c r="W57" i="10"/>
  <c r="BS12" i="10"/>
  <c r="BH15" i="10"/>
  <c r="BZ24" i="10"/>
  <c r="BD36" i="10"/>
  <c r="BO60" i="10"/>
  <c r="R75" i="10"/>
  <c r="W78" i="10"/>
  <c r="O38" i="10"/>
  <c r="P18" i="10"/>
  <c r="R83" i="10"/>
  <c r="AQ46" i="10"/>
  <c r="BK88" i="10"/>
  <c r="AX82" i="10"/>
  <c r="CB82" i="10" s="1"/>
  <c r="BK92" i="10"/>
  <c r="BD13" i="10"/>
  <c r="BE87" i="10"/>
  <c r="R58" i="10"/>
  <c r="T57" i="10"/>
  <c r="BR12" i="10"/>
  <c r="BK15" i="10"/>
  <c r="CC24" i="10"/>
  <c r="BS36" i="10"/>
  <c r="U60" i="10"/>
  <c r="O89" i="10"/>
  <c r="P38" i="10"/>
  <c r="P51" i="10"/>
  <c r="O60" i="10"/>
  <c r="P83" i="10"/>
  <c r="BA46" i="10"/>
  <c r="U88" i="10"/>
  <c r="BY82" i="10"/>
  <c r="BZ92" i="10"/>
  <c r="AP13" i="10"/>
  <c r="AQ87" i="10"/>
  <c r="R39" i="10"/>
  <c r="P57" i="10"/>
  <c r="CC12" i="10"/>
  <c r="BS15" i="10"/>
  <c r="BO24" i="10"/>
  <c r="BH36" i="10"/>
  <c r="R89" i="10"/>
  <c r="U78" i="10"/>
  <c r="O86" i="10"/>
  <c r="T78" i="10"/>
  <c r="U83" i="10"/>
  <c r="AX46" i="10"/>
  <c r="AQ88" i="10"/>
  <c r="CC82" i="10"/>
  <c r="BS92" i="10"/>
  <c r="BO13" i="10"/>
  <c r="BS87" i="10"/>
  <c r="AP83" i="10"/>
  <c r="U57" i="10"/>
  <c r="AT12" i="10"/>
  <c r="BO15" i="10"/>
  <c r="BA24" i="10"/>
  <c r="P50" i="10"/>
  <c r="R77" i="10"/>
  <c r="O68" i="10"/>
  <c r="AT89" i="10"/>
  <c r="BE83" i="10"/>
  <c r="AP46" i="10"/>
  <c r="CC88" i="10"/>
  <c r="U82" i="10"/>
  <c r="AS82" i="10" s="1"/>
  <c r="AX92" i="10"/>
  <c r="R13" i="10"/>
  <c r="CC87" i="10"/>
  <c r="BO57" i="10"/>
  <c r="O12" i="10"/>
  <c r="U15" i="10"/>
  <c r="AS15" i="10" s="1"/>
  <c r="O24" i="10"/>
  <c r="O36" i="10"/>
  <c r="W60" i="10"/>
  <c r="P33" i="10"/>
  <c r="BH83" i="10"/>
  <c r="U46" i="10"/>
  <c r="R88" i="10"/>
  <c r="W82" i="10"/>
  <c r="AW92" i="10"/>
  <c r="BE13" i="10"/>
  <c r="BR87" i="10"/>
  <c r="BY57" i="10"/>
  <c r="T12" i="10"/>
  <c r="R18" i="10"/>
  <c r="O15" i="10"/>
  <c r="U58" i="10"/>
  <c r="W38" i="10"/>
  <c r="AV38" i="10" s="1"/>
  <c r="AX83" i="10"/>
  <c r="BD46" i="10"/>
  <c r="P88" i="10"/>
  <c r="O82" i="10"/>
  <c r="BL92" i="10"/>
  <c r="P13" i="10"/>
  <c r="T87" i="10"/>
  <c r="BZ57" i="10"/>
  <c r="CB57" i="10" s="1"/>
  <c r="W12" i="10"/>
  <c r="U18" i="10"/>
  <c r="R74" i="10"/>
  <c r="T39" i="10"/>
  <c r="O83" i="10"/>
  <c r="T46" i="10"/>
  <c r="T88" i="10"/>
  <c r="BD82" i="10"/>
  <c r="BA92" i="10"/>
  <c r="BA13" i="10"/>
  <c r="BO87" i="10"/>
  <c r="AW57" i="10"/>
  <c r="R36" i="10"/>
  <c r="O93" i="10"/>
  <c r="P58" i="10"/>
  <c r="O77" i="10"/>
  <c r="P39" i="10"/>
  <c r="BY83" i="10"/>
  <c r="AQ83" i="10"/>
  <c r="P46" i="10"/>
  <c r="BA88" i="10"/>
  <c r="BA82" i="10"/>
  <c r="BE92" i="10"/>
  <c r="BZ13" i="10"/>
  <c r="BD87" i="10"/>
  <c r="BS57" i="10"/>
  <c r="U24" i="10"/>
  <c r="P36" i="10"/>
  <c r="R50" i="10"/>
  <c r="U92" i="10"/>
  <c r="AS92" i="10" s="1"/>
  <c r="T58" i="10"/>
  <c r="BO83" i="10"/>
  <c r="BK46" i="10"/>
  <c r="BR88" i="10"/>
  <c r="BD88" i="10"/>
  <c r="T82" i="10"/>
  <c r="AT92" i="10"/>
  <c r="W13" i="10"/>
  <c r="U87" i="10"/>
  <c r="BD57" i="10"/>
  <c r="P24" i="10"/>
  <c r="AW13" i="10"/>
  <c r="AT57" i="10"/>
  <c r="BA75" i="10"/>
  <c r="AP89" i="10"/>
  <c r="AQ58" i="10"/>
  <c r="BA39" i="10"/>
  <c r="CE39" i="10" s="1"/>
  <c r="AW12" i="10"/>
  <c r="AQ12" i="10"/>
  <c r="AX18" i="10"/>
  <c r="AP60" i="10"/>
  <c r="AW75" i="10"/>
  <c r="AW58" i="10"/>
  <c r="AT78" i="10"/>
  <c r="BA58" i="10"/>
  <c r="AW34" i="10"/>
  <c r="AW50" i="10"/>
  <c r="AP50" i="10"/>
  <c r="AW89" i="10"/>
  <c r="BA83" i="10"/>
  <c r="BA68" i="10"/>
  <c r="AT50" i="10"/>
  <c r="AP75" i="10"/>
  <c r="AW78" i="10"/>
  <c r="AX58" i="10"/>
  <c r="AT39" i="10"/>
  <c r="AQ16" i="10"/>
  <c r="AT60" i="10"/>
  <c r="AX75" i="10"/>
  <c r="AT58" i="10"/>
  <c r="BA77" i="10"/>
  <c r="AW38" i="10"/>
  <c r="AQ78" i="10"/>
  <c r="AQ38" i="10"/>
  <c r="BA36" i="10"/>
  <c r="AW18" i="10"/>
  <c r="AX15" i="10"/>
  <c r="AX12" i="10"/>
  <c r="AX24" i="10"/>
  <c r="AX50" i="10"/>
  <c r="BA12" i="10"/>
  <c r="AW15" i="10"/>
  <c r="AP18" i="10"/>
  <c r="AW77" i="10"/>
  <c r="AQ39" i="10"/>
  <c r="AP15" i="10"/>
  <c r="AQ36" i="10"/>
  <c r="BA60" i="10"/>
  <c r="BA18" i="10"/>
  <c r="AD57" i="10"/>
  <c r="BV57" i="10" s="1"/>
  <c r="AE50" i="10"/>
  <c r="AG38" i="10"/>
  <c r="AG74" i="10"/>
  <c r="AG57" i="10"/>
  <c r="AG77" i="10"/>
  <c r="AD34" i="10"/>
  <c r="BV34" i="10" s="1"/>
  <c r="AE93" i="10"/>
  <c r="AE86" i="10"/>
  <c r="AD66" i="10"/>
  <c r="BV66" i="10" s="1"/>
  <c r="BX66" i="10" s="1"/>
  <c r="AD88" i="10"/>
  <c r="BV88" i="10" s="1"/>
  <c r="AG75" i="10"/>
  <c r="AG58" i="10"/>
  <c r="BJ58" i="10" s="1"/>
  <c r="AG33" i="10"/>
  <c r="AD38" i="10"/>
  <c r="BV38" i="10" s="1"/>
  <c r="AG18" i="10"/>
  <c r="AG68" i="10"/>
  <c r="AE76" i="10"/>
  <c r="BG76" i="10" s="1"/>
  <c r="AG59" i="10"/>
  <c r="AE16" i="10"/>
  <c r="AD86" i="10"/>
  <c r="BV86" i="10" s="1"/>
  <c r="BX86" i="10" s="1"/>
  <c r="AG80" i="10"/>
  <c r="AE83" i="10"/>
  <c r="AG87" i="10"/>
  <c r="AG46" i="10"/>
  <c r="AG92" i="10"/>
  <c r="AE57" i="10"/>
  <c r="AE51" i="10"/>
  <c r="AD60" i="10"/>
  <c r="BV60" i="10" s="1"/>
  <c r="AD87" i="10"/>
  <c r="BV87" i="10" s="1"/>
  <c r="AD12" i="10"/>
  <c r="AD15" i="10"/>
  <c r="BV15" i="10" s="1"/>
  <c r="AE58" i="10"/>
  <c r="AD80" i="10"/>
  <c r="BV80" i="10" s="1"/>
  <c r="AG86" i="10"/>
  <c r="AE24" i="10"/>
  <c r="AE88" i="10"/>
  <c r="BG88" i="10" s="1"/>
  <c r="AE92" i="10"/>
  <c r="AD77" i="10"/>
  <c r="BV77" i="10" s="1"/>
  <c r="AE59" i="10"/>
  <c r="AD59" i="10"/>
  <c r="BV59" i="10" s="1"/>
  <c r="BX59" i="10" s="1"/>
  <c r="AG13" i="10"/>
  <c r="AG12" i="10"/>
  <c r="AD74" i="10"/>
  <c r="BV74" i="10" s="1"/>
  <c r="AE77" i="10"/>
  <c r="AD39" i="10"/>
  <c r="BV39" i="10" s="1"/>
  <c r="AD76" i="10"/>
  <c r="BV76" i="10" s="1"/>
  <c r="AE38" i="10"/>
  <c r="AG82" i="10"/>
  <c r="AG89" i="10"/>
  <c r="AD51" i="10"/>
  <c r="BV51" i="10" s="1"/>
  <c r="AE82" i="10"/>
  <c r="AD36" i="10"/>
  <c r="BV36" i="10" s="1"/>
  <c r="AD75" i="10"/>
  <c r="BV75" i="10" s="1"/>
  <c r="AD58" i="10"/>
  <c r="BV58" i="10" s="1"/>
  <c r="AG39" i="10"/>
  <c r="AG93" i="10"/>
  <c r="AE80" i="10"/>
  <c r="BG80" i="10" s="1"/>
  <c r="AE17" i="10"/>
  <c r="AE78" i="10"/>
  <c r="AE68" i="10"/>
  <c r="AD13" i="10"/>
  <c r="BV13" i="10" s="1"/>
  <c r="AG76" i="10"/>
  <c r="AG66" i="10"/>
  <c r="BJ66" i="10" s="1"/>
  <c r="AG16" i="10"/>
  <c r="AG15" i="10"/>
  <c r="AG36" i="10"/>
  <c r="AG78" i="10"/>
  <c r="BJ78" i="10" s="1"/>
  <c r="AG34" i="10"/>
  <c r="AD68" i="10"/>
  <c r="BV68" i="10" s="1"/>
  <c r="AD93" i="10"/>
  <c r="BV93" i="10" s="1"/>
  <c r="AG17" i="10"/>
  <c r="AE46" i="10"/>
  <c r="AG88" i="10"/>
  <c r="AE15" i="10"/>
  <c r="BG15" i="10" s="1"/>
  <c r="AE36" i="10"/>
  <c r="AE75" i="10"/>
  <c r="AD83" i="10"/>
  <c r="BV83" i="10" s="1"/>
  <c r="AD46" i="10"/>
  <c r="BV46" i="10" s="1"/>
  <c r="BX46" i="10" s="1"/>
  <c r="AD92" i="10"/>
  <c r="BV92" i="10" s="1"/>
  <c r="AD18" i="10"/>
  <c r="BV18" i="10" s="1"/>
  <c r="AD33" i="10"/>
  <c r="BV33" i="10" s="1"/>
  <c r="AD17" i="10"/>
  <c r="BV17" i="10" s="1"/>
  <c r="AE74" i="10"/>
  <c r="AD82" i="10"/>
  <c r="BV82" i="10" s="1"/>
  <c r="AE13" i="10"/>
  <c r="AE87" i="10"/>
  <c r="BG87" i="10" s="1"/>
  <c r="AG24" i="10"/>
  <c r="BJ24" i="10" s="1"/>
  <c r="AE89" i="10"/>
  <c r="AG51" i="10"/>
  <c r="AG83" i="10"/>
  <c r="BJ83" i="10" s="1"/>
  <c r="AE12" i="10"/>
  <c r="AD24" i="10"/>
  <c r="BV24" i="10" s="1"/>
  <c r="AE18" i="10"/>
  <c r="AE33" i="10"/>
  <c r="AG60" i="10"/>
  <c r="AD50" i="10"/>
  <c r="BV50" i="10" s="1"/>
  <c r="AD78" i="10"/>
  <c r="BV78" i="10" s="1"/>
  <c r="AE60" i="10"/>
  <c r="AD16" i="10"/>
  <c r="BV16" i="10" s="1"/>
  <c r="AE66" i="10"/>
  <c r="BG66" i="10" s="1"/>
  <c r="AG50" i="10"/>
  <c r="AD89" i="10"/>
  <c r="BV89" i="10" s="1"/>
  <c r="AE39" i="10"/>
  <c r="BG39" i="10" s="1"/>
  <c r="AE34" i="10"/>
  <c r="W95" i="10"/>
  <c r="P69" i="10"/>
  <c r="BZ23" i="10"/>
  <c r="BK20" i="10"/>
  <c r="BY32" i="10"/>
  <c r="BR100" i="10"/>
  <c r="BZ53" i="10"/>
  <c r="BZ45" i="10"/>
  <c r="BY71" i="10"/>
  <c r="BZ21" i="10"/>
  <c r="CC71" i="10"/>
  <c r="CC52" i="10"/>
  <c r="BK79" i="10"/>
  <c r="BE42" i="10"/>
  <c r="BO32" i="10"/>
  <c r="BR35" i="10"/>
  <c r="BZ14" i="10"/>
  <c r="BY41" i="10"/>
  <c r="BO48" i="10"/>
  <c r="AM85" i="10"/>
  <c r="BL49" i="10"/>
  <c r="AI91" i="10"/>
  <c r="BR26" i="10"/>
  <c r="BO14" i="10"/>
  <c r="BK90" i="10"/>
  <c r="BD90" i="10"/>
  <c r="AM21" i="10"/>
  <c r="BH94" i="10"/>
  <c r="AJ35" i="10"/>
  <c r="BR69" i="10"/>
  <c r="BH53" i="10"/>
  <c r="BY35" i="10"/>
  <c r="BZ98" i="10"/>
  <c r="AM49" i="10"/>
  <c r="BE96" i="10"/>
  <c r="AI37" i="10"/>
  <c r="AI95" i="10"/>
  <c r="BL100" i="10"/>
  <c r="AM63" i="10"/>
  <c r="AG52" i="10"/>
  <c r="D96" i="10"/>
  <c r="BO27" i="10"/>
  <c r="BL20" i="10"/>
  <c r="BY54" i="10"/>
  <c r="BY26" i="10"/>
  <c r="CC14" i="10"/>
  <c r="BL84" i="10"/>
  <c r="BE47" i="10"/>
  <c r="BS45" i="10"/>
  <c r="AI79" i="10"/>
  <c r="BZ20" i="10"/>
  <c r="BS30" i="10"/>
  <c r="BZ48" i="10"/>
  <c r="AJ95" i="10"/>
  <c r="BK54" i="10"/>
  <c r="AM95" i="10"/>
  <c r="BR32" i="10"/>
  <c r="BO30" i="10"/>
  <c r="AM28" i="10"/>
  <c r="AI29" i="10"/>
  <c r="AJ42" i="10"/>
  <c r="BA45" i="10"/>
  <c r="BL37" i="10"/>
  <c r="BZ63" i="10"/>
  <c r="CC35" i="10"/>
  <c r="AJ56" i="10"/>
  <c r="AM23" i="10"/>
  <c r="AW19" i="10"/>
  <c r="BS27" i="10"/>
  <c r="BR40" i="10"/>
  <c r="AJ70" i="10"/>
  <c r="BE23" i="10"/>
  <c r="AW90" i="10"/>
  <c r="AM32" i="10"/>
  <c r="AI19" i="10"/>
  <c r="BD98" i="10"/>
  <c r="AJ19" i="10"/>
  <c r="BZ43" i="10"/>
  <c r="AJ91" i="10"/>
  <c r="BK95" i="10"/>
  <c r="BH73" i="10"/>
  <c r="CC70" i="10"/>
  <c r="BL52" i="10"/>
  <c r="BD64" i="10"/>
  <c r="AI100" i="10"/>
  <c r="T53" i="10"/>
  <c r="Y21" i="10"/>
  <c r="L94" i="10" a="1"/>
  <c r="L94" i="10" s="1"/>
  <c r="W100" i="10"/>
  <c r="X100" i="10" s="1"/>
  <c r="BY40" i="10"/>
  <c r="BL32" i="10"/>
  <c r="BZ40" i="10"/>
  <c r="L12" i="10" a="1"/>
  <c r="L12" i="10" s="1"/>
  <c r="BZ30" i="10"/>
  <c r="BZ19" i="10"/>
  <c r="BY19" i="10"/>
  <c r="BH52" i="10"/>
  <c r="BL42" i="10"/>
  <c r="BR29" i="10"/>
  <c r="BY56" i="10"/>
  <c r="BL63" i="10"/>
  <c r="BE19" i="10"/>
  <c r="BD14" i="10"/>
  <c r="BS37" i="10"/>
  <c r="BL35" i="10"/>
  <c r="AM41" i="10"/>
  <c r="AI35" i="10"/>
  <c r="AX22" i="10"/>
  <c r="AI49" i="10"/>
  <c r="BO45" i="10"/>
  <c r="BE65" i="10"/>
  <c r="AJ30" i="10"/>
  <c r="BZ100" i="10"/>
  <c r="AM56" i="10"/>
  <c r="BR49" i="10"/>
  <c r="BE22" i="10"/>
  <c r="P21" i="10"/>
  <c r="D92" i="10"/>
  <c r="BY44" i="10"/>
  <c r="BO35" i="10"/>
  <c r="BZ44" i="10"/>
  <c r="BK40" i="10"/>
  <c r="BZ85" i="10"/>
  <c r="BZ62" i="10"/>
  <c r="BS97" i="10"/>
  <c r="BK94" i="10"/>
  <c r="BH62" i="10"/>
  <c r="BS40" i="10"/>
  <c r="BY62" i="10"/>
  <c r="BK67" i="10"/>
  <c r="BK73" i="10"/>
  <c r="BR48" i="10"/>
  <c r="BL45" i="10"/>
  <c r="AJ48" i="10"/>
  <c r="AW22" i="10"/>
  <c r="AI42" i="10"/>
  <c r="BZ79" i="10"/>
  <c r="AM67" i="10"/>
  <c r="AW64" i="10"/>
  <c r="BL54" i="10"/>
  <c r="BH70" i="10"/>
  <c r="BR14" i="10"/>
  <c r="BY64" i="10"/>
  <c r="AM81" i="10"/>
  <c r="AM43" i="10"/>
  <c r="BY37" i="10"/>
  <c r="AI63" i="10"/>
  <c r="BR81" i="10"/>
  <c r="BE29" i="10"/>
  <c r="BE56" i="10"/>
  <c r="AQ48" i="10"/>
  <c r="AJ45" i="10"/>
  <c r="AW25" i="10"/>
  <c r="BZ41" i="10"/>
  <c r="BA20" i="10"/>
  <c r="BY70" i="10"/>
  <c r="AM19" i="10"/>
  <c r="BS22" i="10"/>
  <c r="AJ85" i="10"/>
  <c r="BL67" i="10"/>
  <c r="BH79" i="10"/>
  <c r="CC44" i="10"/>
  <c r="BH25" i="10"/>
  <c r="AT53" i="10"/>
  <c r="AQ91" i="10"/>
  <c r="BA72" i="10"/>
  <c r="AE47" i="10"/>
  <c r="AB94" i="10"/>
  <c r="L96" i="10" a="1"/>
  <c r="L96" i="10" s="1"/>
  <c r="BY53" i="10"/>
  <c r="BK44" i="10"/>
  <c r="BL30" i="10"/>
  <c r="CC42" i="10"/>
  <c r="BS41" i="10"/>
  <c r="BS23" i="10"/>
  <c r="BZ22" i="10"/>
  <c r="BL61" i="10"/>
  <c r="AJ98" i="10"/>
  <c r="BL22" i="10"/>
  <c r="BD22" i="10"/>
  <c r="BR52" i="10"/>
  <c r="BR79" i="10"/>
  <c r="BO72" i="10"/>
  <c r="BD30" i="10"/>
  <c r="BR54" i="10"/>
  <c r="AI61" i="10"/>
  <c r="BY79" i="10"/>
  <c r="AM48" i="10"/>
  <c r="CC95" i="10"/>
  <c r="AM73" i="10"/>
  <c r="AW69" i="10"/>
  <c r="BK62" i="10"/>
  <c r="BR37" i="10"/>
  <c r="AM62" i="10"/>
  <c r="AI69" i="10"/>
  <c r="BS91" i="10"/>
  <c r="AJ44" i="10"/>
  <c r="AI96" i="10"/>
  <c r="BS52" i="10"/>
  <c r="BD62" i="10"/>
  <c r="AT54" i="10"/>
  <c r="AJ52" i="10"/>
  <c r="BZ56" i="10"/>
  <c r="AX25" i="10"/>
  <c r="O48" i="10"/>
  <c r="R23" i="10"/>
  <c r="BY69" i="10"/>
  <c r="BO47" i="10"/>
  <c r="BO52" i="10"/>
  <c r="BY94" i="10"/>
  <c r="BY21" i="10"/>
  <c r="BO42" i="10"/>
  <c r="BR55" i="10"/>
  <c r="BR28" i="10"/>
  <c r="AJ20" i="10"/>
  <c r="BY45" i="10"/>
  <c r="BK70" i="10"/>
  <c r="BO26" i="10"/>
  <c r="BE27" i="10"/>
  <c r="BS62" i="10"/>
  <c r="BR85" i="10"/>
  <c r="BO81" i="10"/>
  <c r="BD40" i="10"/>
  <c r="BO91" i="10"/>
  <c r="BR65" i="10"/>
  <c r="AI67" i="10"/>
  <c r="BZ95" i="10"/>
  <c r="AM54" i="10"/>
  <c r="BK69" i="10"/>
  <c r="BH90" i="10"/>
  <c r="BR98" i="10"/>
  <c r="BS26" i="10"/>
  <c r="BE14" i="10"/>
  <c r="BD43" i="10"/>
  <c r="BL14" i="10"/>
  <c r="BR73" i="10"/>
  <c r="BE67" i="10"/>
  <c r="AQ61" i="10"/>
  <c r="CC55" i="10"/>
  <c r="AW43" i="10"/>
  <c r="AJ65" i="10"/>
  <c r="BA29" i="10"/>
  <c r="BS32" i="10"/>
  <c r="O67" i="10"/>
  <c r="O37" i="10"/>
  <c r="BY73" i="10"/>
  <c r="BK56" i="10"/>
  <c r="BY61" i="10"/>
  <c r="BL56" i="10"/>
  <c r="CC23" i="10"/>
  <c r="CC25" i="10"/>
  <c r="AM25" i="10"/>
  <c r="BL79" i="10"/>
  <c r="BD27" i="10"/>
  <c r="BH32" i="10"/>
  <c r="BS73" i="10"/>
  <c r="BL91" i="10"/>
  <c r="BZ97" i="10"/>
  <c r="BD45" i="10"/>
  <c r="AI73" i="10"/>
  <c r="AJ61" i="10"/>
  <c r="CC47" i="10"/>
  <c r="BE95" i="10"/>
  <c r="BK21" i="10"/>
  <c r="BS48" i="10"/>
  <c r="BD21" i="10"/>
  <c r="BR27" i="10"/>
  <c r="BO22" i="10"/>
  <c r="BD55" i="10"/>
  <c r="BO23" i="10"/>
  <c r="BD23" i="10"/>
  <c r="BH72" i="10"/>
  <c r="AT67" i="10"/>
  <c r="AI64" i="10"/>
  <c r="BA52" i="10"/>
  <c r="O90" i="10"/>
  <c r="BY65" i="10"/>
  <c r="BY28" i="10"/>
  <c r="BY30" i="10"/>
  <c r="L41" i="10" a="1"/>
  <c r="L41" i="10" s="1"/>
  <c r="BS67" i="10"/>
  <c r="AM40" i="10"/>
  <c r="BH37" i="10"/>
  <c r="BK52" i="10"/>
  <c r="BH42" i="10"/>
  <c r="BR84" i="10"/>
  <c r="BR20" i="10"/>
  <c r="BO95" i="10"/>
  <c r="BE55" i="10"/>
  <c r="BZ61" i="10"/>
  <c r="AJ67" i="10"/>
  <c r="CC61" i="10"/>
  <c r="BA97" i="10"/>
  <c r="BO29" i="10"/>
  <c r="BE28" i="10"/>
  <c r="AM94" i="10"/>
  <c r="BL40" i="10"/>
  <c r="CC84" i="10"/>
  <c r="AI70" i="10"/>
  <c r="BE30" i="10"/>
  <c r="AM70" i="10"/>
  <c r="BR31" i="10"/>
  <c r="AI84" i="10"/>
  <c r="BS65" i="10"/>
  <c r="BY91" i="10"/>
  <c r="AM53" i="10"/>
  <c r="AX21" i="10"/>
  <c r="BK35" i="10"/>
  <c r="BE25" i="10"/>
  <c r="O70" i="10"/>
  <c r="BK64" i="10"/>
  <c r="BZ69" i="10"/>
  <c r="BL64" i="10"/>
  <c r="CC32" i="10"/>
  <c r="BR72" i="10"/>
  <c r="BR61" i="10"/>
  <c r="BY72" i="10"/>
  <c r="BL94" i="10"/>
  <c r="BH47" i="10"/>
  <c r="BO65" i="10"/>
  <c r="BD48" i="10"/>
  <c r="BR95" i="10"/>
  <c r="BO28" i="10"/>
  <c r="CC41" i="10"/>
  <c r="AJ23" i="10"/>
  <c r="BY84" i="10"/>
  <c r="BY31" i="10"/>
  <c r="CC73" i="10"/>
  <c r="AJ73" i="10"/>
  <c r="AJ22" i="10"/>
  <c r="BA22" i="10"/>
  <c r="BO37" i="10"/>
  <c r="BD35" i="10"/>
  <c r="BH14" i="10"/>
  <c r="BS70" i="10"/>
  <c r="BL71" i="10"/>
  <c r="BZ52" i="10"/>
  <c r="BK41" i="10"/>
  <c r="BL41" i="10"/>
  <c r="BR19" i="10"/>
  <c r="BA61" i="10"/>
  <c r="BS42" i="10"/>
  <c r="AJ90" i="10"/>
  <c r="BY90" i="10"/>
  <c r="AJ84" i="10"/>
  <c r="AX30" i="10"/>
  <c r="BD32" i="10"/>
  <c r="AJ47" i="10"/>
  <c r="BA21" i="10"/>
  <c r="BK27" i="10"/>
  <c r="AP91" i="10"/>
  <c r="AB67" i="10"/>
  <c r="AG81" i="10"/>
  <c r="AG47" i="10"/>
  <c r="Y95" i="10"/>
  <c r="O65" i="10"/>
  <c r="L95" i="10" a="1"/>
  <c r="L95" i="10" s="1"/>
  <c r="CC20" i="10"/>
  <c r="BO67" i="10"/>
  <c r="BZ73" i="10"/>
  <c r="K12" i="10" a="1"/>
  <c r="K12" i="10" s="1"/>
  <c r="BL70" i="10"/>
  <c r="AI55" i="10"/>
  <c r="BS28" i="10"/>
  <c r="BL98" i="10"/>
  <c r="BO70" i="10"/>
  <c r="BD53" i="10"/>
  <c r="BR42" i="10"/>
  <c r="BZ49" i="10"/>
  <c r="AJ28" i="10"/>
  <c r="BZ28" i="10"/>
  <c r="BD41" i="10"/>
  <c r="AQ45" i="10"/>
  <c r="AX27" i="10"/>
  <c r="BL69" i="10"/>
  <c r="BS98" i="10"/>
  <c r="BH41" i="10"/>
  <c r="BE21" i="10"/>
  <c r="BD29" i="10"/>
  <c r="BZ65" i="10"/>
  <c r="BK49" i="10"/>
  <c r="BH43" i="10"/>
  <c r="BR30" i="10"/>
  <c r="AI90" i="10"/>
  <c r="AX71" i="10"/>
  <c r="BS53" i="10"/>
  <c r="AM96" i="10"/>
  <c r="CC26" i="10"/>
  <c r="AM90" i="10"/>
  <c r="BK43" i="10"/>
  <c r="AJ72" i="10"/>
  <c r="AW44" i="10"/>
  <c r="R22" i="10"/>
  <c r="W98" i="10"/>
  <c r="BS21" i="10"/>
  <c r="BL72" i="10"/>
  <c r="BK84" i="10"/>
  <c r="CC40" i="10"/>
  <c r="BZ55" i="10"/>
  <c r="BK14" i="10"/>
  <c r="BS72" i="10"/>
  <c r="BZ94" i="10"/>
  <c r="BO84" i="10"/>
  <c r="BK23" i="10"/>
  <c r="BL23" i="10"/>
  <c r="BO43" i="10"/>
  <c r="BS47" i="10"/>
  <c r="AM22" i="10"/>
  <c r="BY63" i="10"/>
  <c r="BZ90" i="10"/>
  <c r="CC72" i="10"/>
  <c r="AJ100" i="10"/>
  <c r="AP52" i="10"/>
  <c r="AJ49" i="10"/>
  <c r="BA31" i="10"/>
  <c r="C97" i="10"/>
  <c r="BR25" i="10"/>
  <c r="BS25" i="10"/>
  <c r="CC65" i="10"/>
  <c r="BZ91" i="10"/>
  <c r="AJ64" i="10"/>
  <c r="BR45" i="10"/>
  <c r="AM20" i="10"/>
  <c r="CC22" i="10"/>
  <c r="BO98" i="10"/>
  <c r="BL27" i="10"/>
  <c r="BL43" i="10"/>
  <c r="BL48" i="10"/>
  <c r="BR53" i="10"/>
  <c r="BY98" i="10"/>
  <c r="BZ64" i="10"/>
  <c r="BS35" i="10"/>
  <c r="BD20" i="10"/>
  <c r="AM100" i="10"/>
  <c r="BO20" i="10"/>
  <c r="AM55" i="10"/>
  <c r="AW41" i="10"/>
  <c r="BK97" i="10"/>
  <c r="BK30" i="10"/>
  <c r="BZ84" i="10"/>
  <c r="BE35" i="10"/>
  <c r="BL31" i="10"/>
  <c r="BD42" i="10"/>
  <c r="BK100" i="10"/>
  <c r="BR71" i="10"/>
  <c r="BH29" i="10"/>
  <c r="BO64" i="10"/>
  <c r="BD56" i="10"/>
  <c r="BO100" i="10"/>
  <c r="AW20" i="10"/>
  <c r="BS63" i="10"/>
  <c r="BH23" i="10"/>
  <c r="BA85" i="10"/>
  <c r="BD31" i="10"/>
  <c r="BE31" i="10"/>
  <c r="BK81" i="10"/>
  <c r="AI85" i="10"/>
  <c r="BA53" i="10"/>
  <c r="AX35" i="10"/>
  <c r="P49" i="10"/>
  <c r="H97" i="10"/>
  <c r="BS29" i="10"/>
  <c r="BO79" i="10"/>
  <c r="BL96" i="10"/>
  <c r="CC69" i="10"/>
  <c r="CC100" i="10"/>
  <c r="CC67" i="10"/>
  <c r="BO94" i="10"/>
  <c r="BL26" i="10"/>
  <c r="AJ69" i="10"/>
  <c r="AI31" i="10"/>
  <c r="CC30" i="10"/>
  <c r="BZ31" i="10"/>
  <c r="BL47" i="10"/>
  <c r="BO53" i="10"/>
  <c r="AM37" i="10"/>
  <c r="BS31" i="10"/>
  <c r="AJ43" i="10"/>
  <c r="BY27" i="10"/>
  <c r="BZ70" i="10"/>
  <c r="BR67" i="10"/>
  <c r="BD26" i="10"/>
  <c r="BR97" i="10"/>
  <c r="BE20" i="10"/>
  <c r="BK29" i="10"/>
  <c r="BD65" i="10"/>
  <c r="AT64" i="10"/>
  <c r="AM61" i="10"/>
  <c r="BY100" i="10"/>
  <c r="BD49" i="10"/>
  <c r="BK47" i="10"/>
  <c r="BE49" i="10"/>
  <c r="BO71" i="10"/>
  <c r="BD67" i="10"/>
  <c r="AJ25" i="10"/>
  <c r="AQ19" i="10"/>
  <c r="BH30" i="10"/>
  <c r="AX90" i="10"/>
  <c r="BR44" i="10"/>
  <c r="AM91" i="10"/>
  <c r="BE69" i="10"/>
  <c r="AM72" i="10"/>
  <c r="BA44" i="10"/>
  <c r="AX37" i="10"/>
  <c r="AQ31" i="10"/>
  <c r="AD47" i="10"/>
  <c r="BV47" i="10" s="1"/>
  <c r="Z94" i="10"/>
  <c r="R65" i="10"/>
  <c r="Z21" i="10"/>
  <c r="AW97" i="10"/>
  <c r="T54" i="10"/>
  <c r="BS43" i="10"/>
  <c r="BZ25" i="10"/>
  <c r="BZ71" i="10"/>
  <c r="BK98" i="10"/>
  <c r="BZ96" i="10"/>
  <c r="BR94" i="10"/>
  <c r="BS56" i="10"/>
  <c r="AM35" i="10"/>
  <c r="AI26" i="10"/>
  <c r="BY95" i="10"/>
  <c r="BK53" i="10"/>
  <c r="BK63" i="10"/>
  <c r="BS79" i="10"/>
  <c r="AM42" i="10"/>
  <c r="AI48" i="10"/>
  <c r="BZ35" i="10"/>
  <c r="BL19" i="10"/>
  <c r="BO19" i="10"/>
  <c r="BE26" i="10"/>
  <c r="BK37" i="10"/>
  <c r="AQ71" i="10"/>
  <c r="AW55" i="10"/>
  <c r="AI23" i="10"/>
  <c r="BO54" i="10"/>
  <c r="BE54" i="10"/>
  <c r="BL55" i="10"/>
  <c r="BH54" i="10"/>
  <c r="AM31" i="10"/>
  <c r="BO31" i="10"/>
  <c r="BE43" i="10"/>
  <c r="AX29" i="10"/>
  <c r="AP26" i="10"/>
  <c r="BD37" i="10"/>
  <c r="AW95" i="10"/>
  <c r="BK25" i="10"/>
  <c r="BE44" i="10"/>
  <c r="BS84" i="10"/>
  <c r="BH44" i="10"/>
  <c r="BS55" i="10"/>
  <c r="AJ97" i="10"/>
  <c r="BA62" i="10"/>
  <c r="AJ79" i="10"/>
  <c r="AX49" i="10"/>
  <c r="AX45" i="10"/>
  <c r="Z67" i="10"/>
  <c r="AW72" i="10"/>
  <c r="AD54" i="10"/>
  <c r="BV54" i="10" s="1"/>
  <c r="AT84" i="10"/>
  <c r="Y28" i="10"/>
  <c r="R31" i="10"/>
  <c r="AQ47" i="10"/>
  <c r="AG95" i="10"/>
  <c r="P37" i="10"/>
  <c r="BR43" i="10"/>
  <c r="BK96" i="10"/>
  <c r="BR47" i="10"/>
  <c r="CC29" i="10"/>
  <c r="AI25" i="10"/>
  <c r="CC21" i="10"/>
  <c r="BK32" i="10"/>
  <c r="BS61" i="10"/>
  <c r="AM45" i="10"/>
  <c r="CC45" i="10"/>
  <c r="AJ31" i="10"/>
  <c r="BL62" i="10"/>
  <c r="BK72" i="10"/>
  <c r="BS85" i="10"/>
  <c r="AM47" i="10"/>
  <c r="BS64" i="10"/>
  <c r="AI53" i="10"/>
  <c r="BY42" i="10"/>
  <c r="BK28" i="10"/>
  <c r="BH40" i="10"/>
  <c r="BL28" i="10"/>
  <c r="BE53" i="10"/>
  <c r="BO61" i="10"/>
  <c r="AI94" i="10"/>
  <c r="AM29" i="10"/>
  <c r="BO62" i="10"/>
  <c r="BK31" i="10"/>
  <c r="BD61" i="10"/>
  <c r="BO63" i="10"/>
  <c r="BE61" i="10"/>
  <c r="AJ37" i="10"/>
  <c r="BO40" i="10"/>
  <c r="BH49" i="10"/>
  <c r="AI45" i="10"/>
  <c r="AT32" i="10"/>
  <c r="BO49" i="10"/>
  <c r="BD44" i="10"/>
  <c r="AQ42" i="10"/>
  <c r="BO41" i="10"/>
  <c r="AX67" i="10"/>
  <c r="BL95" i="10"/>
  <c r="AW54" i="10"/>
  <c r="AM14" i="10"/>
  <c r="AE25" i="10"/>
  <c r="AW79" i="10"/>
  <c r="AD61" i="10"/>
  <c r="BV61" i="10" s="1"/>
  <c r="T40" i="10"/>
  <c r="AJ81" i="10"/>
  <c r="BR56" i="10"/>
  <c r="BY85" i="10"/>
  <c r="BZ26" i="10"/>
  <c r="BK42" i="10"/>
  <c r="AI98" i="10"/>
  <c r="CC53" i="10"/>
  <c r="BZ54" i="10"/>
  <c r="CC31" i="10"/>
  <c r="BK91" i="10"/>
  <c r="BS90" i="10"/>
  <c r="AM52" i="10"/>
  <c r="BS69" i="10"/>
  <c r="CC49" i="10"/>
  <c r="BK45" i="10"/>
  <c r="BE85" i="10"/>
  <c r="BZ81" i="10"/>
  <c r="AX64" i="10"/>
  <c r="AI43" i="10"/>
  <c r="BK71" i="10"/>
  <c r="AI44" i="10"/>
  <c r="BK48" i="10"/>
  <c r="BH55" i="10"/>
  <c r="AI52" i="10"/>
  <c r="BA47" i="10"/>
  <c r="AE19" i="10"/>
  <c r="AT48" i="10"/>
  <c r="BL25" i="10"/>
  <c r="AJ53" i="10"/>
  <c r="BO25" i="10"/>
  <c r="BD25" i="10"/>
  <c r="AX72" i="10"/>
  <c r="AJ14" i="10"/>
  <c r="BY29" i="10"/>
  <c r="AM98" i="10"/>
  <c r="AW63" i="10"/>
  <c r="AJ21" i="10"/>
  <c r="AX65" i="10"/>
  <c r="AE32" i="10"/>
  <c r="BA84" i="10"/>
  <c r="BH61" i="10"/>
  <c r="AT98" i="10"/>
  <c r="Z41" i="10"/>
  <c r="T20" i="10"/>
  <c r="AQ54" i="10"/>
  <c r="AE95" i="10"/>
  <c r="K96" i="10" a="1"/>
  <c r="K96" i="10" s="1"/>
  <c r="O72" i="10"/>
  <c r="CC81" i="10"/>
  <c r="BS19" i="10"/>
  <c r="BY43" i="10"/>
  <c r="CC85" i="10"/>
  <c r="BH21" i="10"/>
  <c r="BS94" i="10"/>
  <c r="AJ55" i="10"/>
  <c r="AI41" i="10"/>
  <c r="BY81" i="10"/>
  <c r="BR96" i="10"/>
  <c r="AJ62" i="10"/>
  <c r="CC63" i="10"/>
  <c r="BR70" i="10"/>
  <c r="BL53" i="10"/>
  <c r="BE70" i="10"/>
  <c r="BO90" i="10"/>
  <c r="BD95" i="10"/>
  <c r="BY97" i="10"/>
  <c r="BH20" i="10"/>
  <c r="AX69" i="10"/>
  <c r="AI56" i="10"/>
  <c r="BK55" i="10"/>
  <c r="BH71" i="10"/>
  <c r="BL85" i="10"/>
  <c r="BO55" i="10"/>
  <c r="BE97" i="10"/>
  <c r="AX52" i="10"/>
  <c r="AD26" i="10"/>
  <c r="BV26" i="10" s="1"/>
  <c r="BK65" i="10"/>
  <c r="BH56" i="10"/>
  <c r="P23" i="10"/>
  <c r="R94" i="10"/>
  <c r="CC27" i="10"/>
  <c r="BZ42" i="10"/>
  <c r="BS49" i="10"/>
  <c r="BY47" i="10"/>
  <c r="BK61" i="10"/>
  <c r="BH26" i="10"/>
  <c r="BS100" i="10"/>
  <c r="BZ72" i="10"/>
  <c r="BY67" i="10"/>
  <c r="BZ47" i="10"/>
  <c r="BY48" i="10"/>
  <c r="CC96" i="10"/>
  <c r="BK19" i="10"/>
  <c r="AI71" i="10"/>
  <c r="BR91" i="10"/>
  <c r="AM71" i="10"/>
  <c r="BH64" i="10"/>
  <c r="BL90" i="10"/>
  <c r="BY49" i="10"/>
  <c r="BH27" i="10"/>
  <c r="AI62" i="10"/>
  <c r="BL97" i="10"/>
  <c r="BO97" i="10"/>
  <c r="BZ37" i="10"/>
  <c r="AJ63" i="10"/>
  <c r="BY23" i="10"/>
  <c r="AJ32" i="10"/>
  <c r="AG32" i="10"/>
  <c r="BL73" i="10"/>
  <c r="BE62" i="10"/>
  <c r="AT61" i="10"/>
  <c r="BL65" i="10"/>
  <c r="AM65" i="10"/>
  <c r="BE45" i="10"/>
  <c r="AJ27" i="10"/>
  <c r="BS96" i="10"/>
  <c r="Y94" i="10"/>
  <c r="AE81" i="10"/>
  <c r="AP25" i="10"/>
  <c r="AB54" i="10"/>
  <c r="AP70" i="10"/>
  <c r="AB21" i="10"/>
  <c r="BS95" i="10"/>
  <c r="BZ32" i="10"/>
  <c r="CC94" i="10"/>
  <c r="BY55" i="10"/>
  <c r="BR63" i="10"/>
  <c r="CC91" i="10"/>
  <c r="BY22" i="10"/>
  <c r="BO69" i="10"/>
  <c r="BE32" i="10"/>
  <c r="AM64" i="10"/>
  <c r="AI65" i="10"/>
  <c r="BY14" i="10"/>
  <c r="CC54" i="10"/>
  <c r="BY25" i="10"/>
  <c r="BL29" i="10"/>
  <c r="BS14" i="10"/>
  <c r="BS81" i="10"/>
  <c r="BD70" i="10"/>
  <c r="BO96" i="10"/>
  <c r="BD85" i="10"/>
  <c r="AI22" i="10"/>
  <c r="CC62" i="10"/>
  <c r="BE41" i="10"/>
  <c r="L42" i="10" a="1"/>
  <c r="L42" i="10" s="1"/>
  <c r="AI30" i="10"/>
  <c r="BK85" i="10"/>
  <c r="BY52" i="10"/>
  <c r="BO85" i="10"/>
  <c r="AM44" i="10"/>
  <c r="AW71" i="10"/>
  <c r="BH67" i="10"/>
  <c r="BO73" i="10"/>
  <c r="AI72" i="10"/>
  <c r="CC28" i="10"/>
  <c r="CC79" i="10"/>
  <c r="CC97" i="10"/>
  <c r="BR90" i="10"/>
  <c r="CC48" i="10"/>
  <c r="CC98" i="10"/>
  <c r="BS71" i="10"/>
  <c r="BY96" i="10"/>
  <c r="CC37" i="10"/>
  <c r="BE37" i="10"/>
  <c r="BK22" i="10"/>
  <c r="CC19" i="10"/>
  <c r="AM69" i="10"/>
  <c r="BY20" i="10"/>
  <c r="BZ67" i="10"/>
  <c r="AI81" i="10"/>
  <c r="BR21" i="10"/>
  <c r="BE90" i="10"/>
  <c r="AJ29" i="10"/>
  <c r="AW27" i="10"/>
  <c r="CC43" i="10"/>
  <c r="BK26" i="10"/>
  <c r="AE94" i="10"/>
  <c r="AX79" i="10"/>
  <c r="AG40" i="10"/>
  <c r="C92" i="10"/>
  <c r="AT25" i="10"/>
  <c r="R84" i="10"/>
  <c r="AG69" i="10"/>
  <c r="U48" i="10"/>
  <c r="BD81" i="10"/>
  <c r="AP20" i="10"/>
  <c r="AB49" i="10"/>
  <c r="U28" i="10"/>
  <c r="AE63" i="10"/>
  <c r="U42" i="10"/>
  <c r="AG63" i="10"/>
  <c r="W42" i="10"/>
  <c r="R49" i="10"/>
  <c r="AP65" i="10"/>
  <c r="AG97" i="10"/>
  <c r="AE71" i="10"/>
  <c r="P42" i="10"/>
  <c r="AT65" i="10"/>
  <c r="AE98" i="10"/>
  <c r="W70" i="10"/>
  <c r="R21" i="10"/>
  <c r="Z25" i="10"/>
  <c r="T91" i="10"/>
  <c r="AQ96" i="10"/>
  <c r="BH96" i="10"/>
  <c r="AP23" i="10"/>
  <c r="AB52" i="10"/>
  <c r="U31" i="10"/>
  <c r="BA63" i="10"/>
  <c r="AE52" i="10"/>
  <c r="AW21" i="10"/>
  <c r="AT30" i="10"/>
  <c r="U79" i="10"/>
  <c r="W30" i="10"/>
  <c r="P63" i="10"/>
  <c r="BD47" i="10"/>
  <c r="BR62" i="10"/>
  <c r="BL44" i="10"/>
  <c r="BH98" i="10"/>
  <c r="AD14" i="10"/>
  <c r="BV14" i="10" s="1"/>
  <c r="AP62" i="10"/>
  <c r="Y81" i="10"/>
  <c r="AW85" i="10"/>
  <c r="Y48" i="10"/>
  <c r="AW14" i="10"/>
  <c r="AG54" i="10"/>
  <c r="AJ94" i="10"/>
  <c r="AD20" i="10"/>
  <c r="BV20" i="10" s="1"/>
  <c r="AX53" i="10"/>
  <c r="AE41" i="10"/>
  <c r="O71" i="10"/>
  <c r="AW98" i="10"/>
  <c r="T55" i="10"/>
  <c r="AP27" i="10"/>
  <c r="Z56" i="10"/>
  <c r="T35" i="10"/>
  <c r="AE70" i="10"/>
  <c r="T49" i="10"/>
  <c r="BA98" i="10"/>
  <c r="AG70" i="10"/>
  <c r="U49" i="10"/>
  <c r="O43" i="10"/>
  <c r="AT72" i="10"/>
  <c r="AX100" i="10"/>
  <c r="W56" i="10"/>
  <c r="R35" i="10"/>
  <c r="AQ73" i="10"/>
  <c r="K95" i="10" a="1"/>
  <c r="K95" i="10" s="1"/>
  <c r="AG98" i="10"/>
  <c r="Y32" i="10"/>
  <c r="W97" i="10"/>
  <c r="AB45" i="10"/>
  <c r="BA19" i="10"/>
  <c r="AP30" i="10"/>
  <c r="BA70" i="10"/>
  <c r="BA28" i="10"/>
  <c r="AQ37" i="10"/>
  <c r="Z20" i="10"/>
  <c r="BO56" i="10"/>
  <c r="CC56" i="10"/>
  <c r="BR22" i="10"/>
  <c r="BA91" i="10"/>
  <c r="AW30" i="10"/>
  <c r="AB20" i="10"/>
  <c r="AQ69" i="10"/>
  <c r="AW91" i="10"/>
  <c r="Z61" i="10"/>
  <c r="AX23" i="10"/>
  <c r="AG61" i="10"/>
  <c r="T94" i="10"/>
  <c r="BE64" i="10"/>
  <c r="AD27" i="10"/>
  <c r="BV27" i="10" s="1"/>
  <c r="P71" i="10"/>
  <c r="AE48" i="10"/>
  <c r="AB95" i="10"/>
  <c r="P64" i="10"/>
  <c r="AT40" i="10"/>
  <c r="W61" i="10"/>
  <c r="BA32" i="10"/>
  <c r="Y63" i="10"/>
  <c r="O97" i="10"/>
  <c r="AQ41" i="10"/>
  <c r="W55" i="10"/>
  <c r="AT41" i="10"/>
  <c r="T56" i="10"/>
  <c r="AG84" i="10"/>
  <c r="U63" i="10"/>
  <c r="O29" i="10"/>
  <c r="AQ81" i="10"/>
  <c r="U90" i="10"/>
  <c r="D98" i="10"/>
  <c r="AT73" i="10"/>
  <c r="T84" i="10"/>
  <c r="H95" i="10"/>
  <c r="AP96" i="10"/>
  <c r="BE73" i="10"/>
  <c r="AT22" i="10"/>
  <c r="Z52" i="10"/>
  <c r="T31" i="10"/>
  <c r="AX28" i="10"/>
  <c r="O94" i="10"/>
  <c r="AX44" i="10"/>
  <c r="Z73" i="10"/>
  <c r="Y27" i="10"/>
  <c r="AX20" i="10"/>
  <c r="BA71" i="10"/>
  <c r="Z27" i="10"/>
  <c r="AQ84" i="10"/>
  <c r="U53" i="10"/>
  <c r="AW31" i="10"/>
  <c r="R64" i="10"/>
  <c r="AE55" i="10"/>
  <c r="AP48" i="10"/>
  <c r="AX40" i="10"/>
  <c r="AD21" i="10"/>
  <c r="BV21" i="10" s="1"/>
  <c r="AB69" i="10"/>
  <c r="P90" i="10"/>
  <c r="AQ49" i="10"/>
  <c r="U62" i="10"/>
  <c r="AT49" i="10"/>
  <c r="AD84" i="10"/>
  <c r="BV84" i="10" s="1"/>
  <c r="W62" i="10"/>
  <c r="R29" i="10"/>
  <c r="AB30" i="10"/>
  <c r="U96" i="10"/>
  <c r="AE91" i="10"/>
  <c r="T70" i="10"/>
  <c r="P22" i="10"/>
  <c r="Z31" i="10"/>
  <c r="T97" i="10"/>
  <c r="D94" i="10"/>
  <c r="AT81" i="10"/>
  <c r="Y25" i="10"/>
  <c r="W90" i="10"/>
  <c r="C98" i="10"/>
  <c r="Z45" i="10"/>
  <c r="BH84" i="10"/>
  <c r="AT29" i="10"/>
  <c r="W37" i="10"/>
  <c r="AB72" i="10"/>
  <c r="AE73" i="10"/>
  <c r="AG31" i="10"/>
  <c r="P73" i="10"/>
  <c r="AT90" i="10"/>
  <c r="U100" i="10"/>
  <c r="V100" i="10" s="1"/>
  <c r="H98" i="10"/>
  <c r="O56" i="10"/>
  <c r="R14" i="10"/>
  <c r="BL21" i="10"/>
  <c r="BL81" i="10"/>
  <c r="BS44" i="10"/>
  <c r="AI21" i="10"/>
  <c r="BZ29" i="10"/>
  <c r="AX84" i="10"/>
  <c r="AB40" i="10"/>
  <c r="AQ98" i="10"/>
  <c r="AP54" i="10"/>
  <c r="U20" i="10"/>
  <c r="AD41" i="10"/>
  <c r="BV41" i="10" s="1"/>
  <c r="Z95" i="10"/>
  <c r="BA73" i="10"/>
  <c r="AE62" i="10"/>
  <c r="U41" i="10"/>
  <c r="AP56" i="10"/>
  <c r="AE96" i="10"/>
  <c r="AW47" i="10"/>
  <c r="AD28" i="10"/>
  <c r="BV28" i="10" s="1"/>
  <c r="AT56" i="10"/>
  <c r="AE90" i="10"/>
  <c r="T69" i="10"/>
  <c r="AG90" i="10"/>
  <c r="U69" i="10"/>
  <c r="O23" i="10"/>
  <c r="AT94" i="10"/>
  <c r="Z37" i="10"/>
  <c r="AQ65" i="10"/>
  <c r="AD98" i="10"/>
  <c r="BV98" i="10" s="1"/>
  <c r="AQ95" i="10"/>
  <c r="D90" i="10"/>
  <c r="AB31" i="10"/>
  <c r="U97" i="10"/>
  <c r="C94" i="10"/>
  <c r="AQ22" i="10"/>
  <c r="Y52" i="10"/>
  <c r="BD96" i="10"/>
  <c r="AB65" i="10"/>
  <c r="P94" i="10"/>
  <c r="AD31" i="10"/>
  <c r="BV31" i="10" s="1"/>
  <c r="Z79" i="10"/>
  <c r="AT44" i="10"/>
  <c r="AT97" i="10"/>
  <c r="Z40" i="10"/>
  <c r="T19" i="10"/>
  <c r="P25" i="10"/>
  <c r="U85" i="10"/>
  <c r="P30" i="10"/>
  <c r="C91" i="10"/>
  <c r="AP55" i="10"/>
  <c r="AM27" i="10"/>
  <c r="BA90" i="10"/>
  <c r="Z47" i="10"/>
  <c r="U73" i="10"/>
  <c r="AQ62" i="10"/>
  <c r="Z81" i="10"/>
  <c r="T27" i="10"/>
  <c r="AX14" i="10"/>
  <c r="AD48" i="10"/>
  <c r="BV48" i="10" s="1"/>
  <c r="AB14" i="10"/>
  <c r="AE69" i="10"/>
  <c r="T48" i="10"/>
  <c r="P44" i="10"/>
  <c r="AQ63" i="10"/>
  <c r="W81" i="10"/>
  <c r="AX54" i="10"/>
  <c r="AD35" i="10"/>
  <c r="BV35" i="10" s="1"/>
  <c r="AP64" i="10"/>
  <c r="AD97" i="10"/>
  <c r="BV97" i="10" s="1"/>
  <c r="AQ64" i="10"/>
  <c r="AE97" i="10"/>
  <c r="AQ14" i="10"/>
  <c r="Y44" i="10"/>
  <c r="W22" i="10"/>
  <c r="AP73" i="10"/>
  <c r="BE48" i="10"/>
  <c r="AB44" i="10"/>
  <c r="U23" i="10"/>
  <c r="AT95" i="10"/>
  <c r="BE72" i="10"/>
  <c r="AQ29" i="10"/>
  <c r="AW28" i="10"/>
  <c r="AG23" i="10"/>
  <c r="Z72" i="10"/>
  <c r="BA56" i="10"/>
  <c r="BH48" i="10"/>
  <c r="AW29" i="10"/>
  <c r="AM26" i="10"/>
  <c r="AI14" i="10"/>
  <c r="AJ41" i="10"/>
  <c r="BR23" i="10"/>
  <c r="AX96" i="10"/>
  <c r="Y54" i="10"/>
  <c r="AT69" i="10"/>
  <c r="AW73" i="10"/>
  <c r="Z28" i="10"/>
  <c r="AX31" i="10"/>
  <c r="AD55" i="10"/>
  <c r="BV55" i="10" s="1"/>
  <c r="T41" i="10"/>
  <c r="R44" i="10"/>
  <c r="W54" i="10"/>
  <c r="R37" i="10"/>
  <c r="AP71" i="10"/>
  <c r="AB22" i="10"/>
  <c r="AD42" i="10"/>
  <c r="BV42" i="10" s="1"/>
  <c r="P70" i="10"/>
  <c r="AP72" i="10"/>
  <c r="AQ72" i="10"/>
  <c r="H96" i="10"/>
  <c r="AP21" i="10"/>
  <c r="U29" i="10"/>
  <c r="T90" i="10"/>
  <c r="BE71" i="10"/>
  <c r="AT21" i="10"/>
  <c r="T30" i="10"/>
  <c r="BD72" i="10"/>
  <c r="Y45" i="10"/>
  <c r="W23" i="10"/>
  <c r="BD84" i="10"/>
  <c r="Z65" i="10"/>
  <c r="BA35" i="10"/>
  <c r="AG30" i="10"/>
  <c r="Y79" i="10"/>
  <c r="BA42" i="10"/>
  <c r="AP81" i="10"/>
  <c r="AJ71" i="10"/>
  <c r="AI27" i="10"/>
  <c r="AI54" i="10"/>
  <c r="AT31" i="10"/>
  <c r="AT91" i="10"/>
  <c r="Y14" i="10"/>
  <c r="AX85" i="10"/>
  <c r="Y35" i="10"/>
  <c r="P98" i="10"/>
  <c r="AD62" i="10"/>
  <c r="BV62" i="10" s="1"/>
  <c r="W47" i="10"/>
  <c r="AQ40" i="10"/>
  <c r="U61" i="10"/>
  <c r="O31" i="10"/>
  <c r="Z29" i="10"/>
  <c r="T95" i="10"/>
  <c r="AW67" i="10"/>
  <c r="AD49" i="10"/>
  <c r="BV49" i="10" s="1"/>
  <c r="Z96" i="10"/>
  <c r="R63" i="10"/>
  <c r="AQ79" i="10"/>
  <c r="Z23" i="10"/>
  <c r="AT79" i="10"/>
  <c r="AB23" i="10"/>
  <c r="BH69" i="10"/>
  <c r="AP28" i="10"/>
  <c r="Y31" i="10"/>
  <c r="W96" i="10"/>
  <c r="AT28" i="10"/>
  <c r="AP22" i="10"/>
  <c r="U30" i="10"/>
  <c r="BH95" i="10"/>
  <c r="AE23" i="10"/>
  <c r="Y72" i="10"/>
  <c r="AX43" i="10"/>
  <c r="AG37" i="10"/>
  <c r="AB85" i="10"/>
  <c r="AD52" i="10"/>
  <c r="BV52" i="10" s="1"/>
  <c r="Z100" i="10"/>
  <c r="AA100" i="10" s="1"/>
  <c r="BH28" i="10"/>
  <c r="AI20" i="10"/>
  <c r="AP61" i="10"/>
  <c r="AG25" i="10"/>
  <c r="W19" i="10"/>
  <c r="U40" i="10"/>
  <c r="AX91" i="10"/>
  <c r="AB41" i="10"/>
  <c r="R91" i="10"/>
  <c r="AW53" i="10"/>
  <c r="AD69" i="10"/>
  <c r="BV69" i="10" s="1"/>
  <c r="U54" i="10"/>
  <c r="AS54" i="10" s="1"/>
  <c r="P31" i="10"/>
  <c r="AT47" i="10"/>
  <c r="W14" i="10"/>
  <c r="AD56" i="10"/>
  <c r="BV56" i="10" s="1"/>
  <c r="Y30" i="10"/>
  <c r="Z30" i="10"/>
  <c r="T96" i="10"/>
  <c r="Y64" i="10"/>
  <c r="O96" i="10"/>
  <c r="AP95" i="10"/>
  <c r="AB37" i="10"/>
  <c r="AQ35" i="10"/>
  <c r="AB64" i="10"/>
  <c r="P95" i="10"/>
  <c r="BE94" i="10"/>
  <c r="AP29" i="10"/>
  <c r="T37" i="10"/>
  <c r="AX19" i="10"/>
  <c r="AE30" i="10"/>
  <c r="AX63" i="10"/>
  <c r="AG44" i="10"/>
  <c r="R67" i="10"/>
  <c r="O54" i="10"/>
  <c r="BH91" i="10"/>
  <c r="AJ96" i="10"/>
  <c r="BS20" i="10"/>
  <c r="BD63" i="10"/>
  <c r="AI40" i="10"/>
  <c r="BD19" i="10"/>
  <c r="AP69" i="10"/>
  <c r="R100" i="10"/>
  <c r="S100" i="10" s="1"/>
  <c r="U26" i="10"/>
  <c r="AP32" i="10"/>
  <c r="T47" i="10"/>
  <c r="AP47" i="10"/>
  <c r="Z48" i="10"/>
  <c r="O85" i="10"/>
  <c r="AX73" i="10"/>
  <c r="T61" i="10"/>
  <c r="AT55" i="10"/>
  <c r="AD96" i="10"/>
  <c r="BV96" i="10" s="1"/>
  <c r="O14" i="10"/>
  <c r="AT100" i="10"/>
  <c r="AB42" i="10"/>
  <c r="U21" i="10"/>
  <c r="AD63" i="10"/>
  <c r="BV63" i="10" s="1"/>
  <c r="T42" i="10"/>
  <c r="AP94" i="10"/>
  <c r="BH81" i="10"/>
  <c r="AQ94" i="10"/>
  <c r="Y37" i="10"/>
  <c r="AD22" i="10"/>
  <c r="BV22" i="10" s="1"/>
  <c r="AB70" i="10"/>
  <c r="AT14" i="10"/>
  <c r="Z44" i="10"/>
  <c r="T23" i="10"/>
  <c r="AW42" i="10"/>
  <c r="AG22" i="10"/>
  <c r="Z71" i="10"/>
  <c r="AT35" i="10"/>
  <c r="Y65" i="10"/>
  <c r="BO21" i="10"/>
  <c r="BR64" i="10"/>
  <c r="CC90" i="10"/>
  <c r="AJ40" i="10"/>
  <c r="BH45" i="10"/>
  <c r="BO44" i="10"/>
  <c r="AD40" i="10"/>
  <c r="BV40" i="10" s="1"/>
  <c r="AD19" i="10"/>
  <c r="BV19" i="10" s="1"/>
  <c r="W53" i="10"/>
  <c r="AT62" i="10"/>
  <c r="Y55" i="10"/>
  <c r="BA79" i="10"/>
  <c r="W67" i="10"/>
  <c r="K97" i="10" a="1"/>
  <c r="K97" i="10" s="1"/>
  <c r="AP63" i="10"/>
  <c r="U81" i="10"/>
  <c r="H91" i="10"/>
  <c r="AT19" i="10"/>
  <c r="Z49" i="10"/>
  <c r="T28" i="10"/>
  <c r="AX98" i="10"/>
  <c r="AD70" i="10"/>
  <c r="BV70" i="10" s="1"/>
  <c r="W48" i="10"/>
  <c r="Z43" i="10"/>
  <c r="AP14" i="10"/>
  <c r="AB43" i="10"/>
  <c r="U22" i="10"/>
  <c r="AX48" i="10"/>
  <c r="AD29" i="10"/>
  <c r="BV29" i="10" s="1"/>
  <c r="AQ21" i="10"/>
  <c r="W29" i="10"/>
  <c r="AW49" i="10"/>
  <c r="AG29" i="10"/>
  <c r="BA27" i="10"/>
  <c r="AD23" i="10"/>
  <c r="BV23" i="10" s="1"/>
  <c r="AB71" i="10"/>
  <c r="AX56" i="10"/>
  <c r="AE44" i="10"/>
  <c r="P54" i="10"/>
  <c r="AX95" i="10"/>
  <c r="AD73" i="10"/>
  <c r="BV73" i="10" s="1"/>
  <c r="R40" i="10"/>
  <c r="AP90" i="10"/>
  <c r="AP45" i="10"/>
  <c r="W65" i="10"/>
  <c r="AW45" i="10"/>
  <c r="AD32" i="10"/>
  <c r="BV32" i="10" s="1"/>
  <c r="R79" i="10"/>
  <c r="K98" i="10" a="1"/>
  <c r="K98" i="10" s="1"/>
  <c r="AM30" i="10"/>
  <c r="BH97" i="10"/>
  <c r="BZ27" i="10"/>
  <c r="AI47" i="10"/>
  <c r="BE52" i="10"/>
  <c r="AI28" i="10"/>
  <c r="AP84" i="10"/>
  <c r="AE26" i="10"/>
  <c r="T67" i="10"/>
  <c r="AB61" i="10"/>
  <c r="R71" i="10"/>
  <c r="AX97" i="10"/>
  <c r="T81" i="10"/>
  <c r="K91" i="10" a="1"/>
  <c r="K91" i="10" s="1"/>
  <c r="AT70" i="10"/>
  <c r="Z22" i="10"/>
  <c r="AT26" i="10"/>
  <c r="Y56" i="10"/>
  <c r="AP41" i="10"/>
  <c r="U55" i="10"/>
  <c r="BE81" i="10"/>
  <c r="AQ20" i="10"/>
  <c r="AW26" i="10"/>
  <c r="AT20" i="10"/>
  <c r="T29" i="10"/>
  <c r="AX55" i="10"/>
  <c r="Y84" i="10"/>
  <c r="BD71" i="10"/>
  <c r="AQ28" i="10"/>
  <c r="BA55" i="10"/>
  <c r="AB84" i="10"/>
  <c r="AW35" i="10"/>
  <c r="AD30" i="10"/>
  <c r="BV30" i="10" s="1"/>
  <c r="R81" i="10"/>
  <c r="AB98" i="10"/>
  <c r="BA94" i="10"/>
  <c r="AG65" i="10"/>
  <c r="W44" i="10"/>
  <c r="R47" i="10"/>
  <c r="AG79" i="10"/>
  <c r="AP97" i="10"/>
  <c r="AP53" i="10"/>
  <c r="U72" i="10"/>
  <c r="O73" i="10"/>
  <c r="R25" i="10"/>
  <c r="U37" i="10"/>
  <c r="P79" i="10"/>
  <c r="L90" i="10" a="1"/>
  <c r="L90" i="10" s="1"/>
  <c r="BH35" i="10"/>
  <c r="BH63" i="10"/>
  <c r="AJ54" i="10"/>
  <c r="AP98" i="10"/>
  <c r="T73" i="10"/>
  <c r="R85" i="10"/>
  <c r="AE40" i="10"/>
  <c r="W73" i="10"/>
  <c r="AP85" i="10"/>
  <c r="AP40" i="10"/>
  <c r="Y29" i="10"/>
  <c r="W94" i="10"/>
  <c r="BE91" i="10"/>
  <c r="AB62" i="10"/>
  <c r="P97" i="10"/>
  <c r="AP49" i="10"/>
  <c r="T62" i="10"/>
  <c r="AQ27" i="10"/>
  <c r="AB56" i="10"/>
  <c r="AT27" i="10"/>
  <c r="W35" i="10"/>
  <c r="AX61" i="10"/>
  <c r="AD43" i="10"/>
  <c r="BV43" i="10" s="1"/>
  <c r="AB90" i="10"/>
  <c r="AP35" i="10"/>
  <c r="Z64" i="10"/>
  <c r="R95" i="10"/>
  <c r="AX62" i="10"/>
  <c r="AG43" i="10"/>
  <c r="Z91" i="10"/>
  <c r="AX42" i="10"/>
  <c r="AD37" i="10"/>
  <c r="BV37" i="10" s="1"/>
  <c r="Y85" i="10"/>
  <c r="AG72" i="10"/>
  <c r="O41" i="10"/>
  <c r="AQ44" i="10"/>
  <c r="T65" i="10"/>
  <c r="P27" i="10"/>
  <c r="T79" i="10"/>
  <c r="AW65" i="10"/>
  <c r="W31" i="10"/>
  <c r="P14" i="10"/>
  <c r="R62" i="10"/>
  <c r="AB79" i="10"/>
  <c r="CC64" i="10"/>
  <c r="AP42" i="10"/>
  <c r="BS54" i="10"/>
  <c r="BD69" i="10"/>
  <c r="W79" i="10"/>
  <c r="AG94" i="10"/>
  <c r="O79" i="10"/>
  <c r="AE54" i="10"/>
  <c r="AQ55" i="10"/>
  <c r="Y22" i="10"/>
  <c r="U94" i="10"/>
  <c r="BH65" i="10"/>
  <c r="AT85" i="10"/>
  <c r="AB35" i="10"/>
  <c r="U14" i="10"/>
  <c r="AG20" i="10"/>
  <c r="Z69" i="10"/>
  <c r="R90" i="10"/>
  <c r="AQ56" i="10"/>
  <c r="AD90" i="10"/>
  <c r="BV90" i="10" s="1"/>
  <c r="Z63" i="10"/>
  <c r="AX41" i="10"/>
  <c r="AB63" i="10"/>
  <c r="P96" i="10"/>
  <c r="Z97" i="10"/>
  <c r="AE22" i="10"/>
  <c r="Y71" i="10"/>
  <c r="Y98" i="10"/>
  <c r="O62" i="10"/>
  <c r="AW56" i="10"/>
  <c r="AD44" i="10"/>
  <c r="BV44" i="10" s="1"/>
  <c r="AB91" i="10"/>
  <c r="AE65" i="10"/>
  <c r="U44" i="10"/>
  <c r="AP44" i="10"/>
  <c r="AE79" i="10"/>
  <c r="AQ52" i="10"/>
  <c r="W71" i="10"/>
  <c r="R20" i="10"/>
  <c r="AQ23" i="10"/>
  <c r="AS23" i="10" s="1"/>
  <c r="Y53" i="10"/>
  <c r="W85" i="10"/>
  <c r="AE53" i="10"/>
  <c r="P52" i="10"/>
  <c r="AJ26" i="10"/>
  <c r="BD79" i="10"/>
  <c r="AM97" i="10"/>
  <c r="BE84" i="10"/>
  <c r="AM79" i="10"/>
  <c r="AE14" i="10"/>
  <c r="P72" i="10"/>
  <c r="AE61" i="10"/>
  <c r="AP100" i="10"/>
  <c r="AB81" i="10"/>
  <c r="O45" i="10"/>
  <c r="AQ70" i="10"/>
  <c r="AB28" i="10"/>
  <c r="T14" i="10"/>
  <c r="BE79" i="10"/>
  <c r="Z42" i="10"/>
  <c r="T21" i="10"/>
  <c r="AX32" i="10"/>
  <c r="AG27" i="10"/>
  <c r="O84" i="10"/>
  <c r="AT63" i="10"/>
  <c r="AG96" i="10"/>
  <c r="BA25" i="10"/>
  <c r="AE21" i="10"/>
  <c r="Y70" i="10"/>
  <c r="AW48" i="10"/>
  <c r="AG21" i="10"/>
  <c r="Z70" i="10"/>
  <c r="BA26" i="10"/>
  <c r="AE29" i="10"/>
  <c r="P55" i="10"/>
  <c r="BA69" i="10"/>
  <c r="Z98" i="10"/>
  <c r="R61" i="10"/>
  <c r="AE72" i="10"/>
  <c r="W64" i="10"/>
  <c r="R27" i="10"/>
  <c r="AG100" i="10"/>
  <c r="AH100" i="10" s="1"/>
  <c r="AQ30" i="10"/>
  <c r="Y20" i="10"/>
  <c r="BD94" i="10"/>
  <c r="BH19" i="10"/>
  <c r="AB27" i="10"/>
  <c r="W26" i="10"/>
  <c r="AQ25" i="10"/>
  <c r="Z35" i="10"/>
  <c r="W20" i="10"/>
  <c r="BD91" i="10"/>
  <c r="AP19" i="10"/>
  <c r="Y49" i="10"/>
  <c r="W27" i="10"/>
  <c r="AW40" i="10"/>
  <c r="AT71" i="10"/>
  <c r="BA40" i="10"/>
  <c r="AE28" i="10"/>
  <c r="BA54" i="10"/>
  <c r="AG28" i="10"/>
  <c r="AD64" i="10"/>
  <c r="BV64" i="10" s="1"/>
  <c r="T43" i="10"/>
  <c r="BA41" i="10"/>
  <c r="Z84" i="10"/>
  <c r="AW94" i="10"/>
  <c r="AG64" i="10"/>
  <c r="W43" i="10"/>
  <c r="R48" i="10"/>
  <c r="O55" i="10"/>
  <c r="AT43" i="10"/>
  <c r="AD79" i="10"/>
  <c r="BV79" i="10" s="1"/>
  <c r="U71" i="10"/>
  <c r="O21" i="10"/>
  <c r="AP67" i="10"/>
  <c r="Z19" i="10"/>
  <c r="T85" i="10"/>
  <c r="H94" i="10"/>
  <c r="AP37" i="10"/>
  <c r="AB26" i="10"/>
  <c r="T100" i="10"/>
  <c r="AW96" i="10"/>
  <c r="AE67" i="10"/>
  <c r="P40" i="10"/>
  <c r="BD100" i="10"/>
  <c r="BH100" i="10"/>
  <c r="AG53" i="10"/>
  <c r="BE100" i="10"/>
  <c r="Y41" i="10"/>
  <c r="AW23" i="10"/>
  <c r="R98" i="10"/>
  <c r="AQ32" i="10"/>
  <c r="Z14" i="10"/>
  <c r="O25" i="10"/>
  <c r="AQ85" i="10"/>
  <c r="Y42" i="10"/>
  <c r="U27" i="10"/>
  <c r="BA14" i="10"/>
  <c r="AQ26" i="10"/>
  <c r="AB55" i="10"/>
  <c r="AG41" i="10"/>
  <c r="R70" i="10"/>
  <c r="AP79" i="10"/>
  <c r="Y23" i="10"/>
  <c r="AX47" i="10"/>
  <c r="AE35" i="10"/>
  <c r="AW61" i="10"/>
  <c r="AG35" i="10"/>
  <c r="AW100" i="10"/>
  <c r="AD71" i="10"/>
  <c r="BV71" i="10" s="1"/>
  <c r="W49" i="10"/>
  <c r="AW62" i="10"/>
  <c r="AE43" i="10"/>
  <c r="Y91" i="10"/>
  <c r="O69" i="10"/>
  <c r="BA100" i="10"/>
  <c r="AG71" i="10"/>
  <c r="O42" i="10"/>
  <c r="AX94" i="10"/>
  <c r="AD65" i="10"/>
  <c r="BV65" i="10" s="1"/>
  <c r="T44" i="10"/>
  <c r="P48" i="10"/>
  <c r="AG85" i="10"/>
  <c r="U64" i="10"/>
  <c r="AE100" i="10"/>
  <c r="AF100" i="10" s="1"/>
  <c r="BR41" i="10"/>
  <c r="BD73" i="10"/>
  <c r="AM84" i="10"/>
  <c r="BD52" i="10"/>
  <c r="BE40" i="10"/>
  <c r="BA37" i="10"/>
  <c r="AB47" i="10"/>
  <c r="AG19" i="10"/>
  <c r="W40" i="10"/>
  <c r="L97" i="10" a="1"/>
  <c r="L97" i="10" s="1"/>
  <c r="AB48" i="10"/>
  <c r="BA23" i="10"/>
  <c r="Z62" i="10"/>
  <c r="R97" i="10"/>
  <c r="AG48" i="10"/>
  <c r="Y96" i="10"/>
  <c r="O64" i="10"/>
  <c r="AB29" i="10"/>
  <c r="U95" i="10"/>
  <c r="BA67" i="10"/>
  <c r="AE42" i="10"/>
  <c r="Y90" i="10"/>
  <c r="AG42" i="10"/>
  <c r="Z90" i="10"/>
  <c r="R69" i="10"/>
  <c r="AT42" i="10"/>
  <c r="U56" i="10"/>
  <c r="AB97" i="10"/>
  <c r="P62" i="10"/>
  <c r="AP43" i="10"/>
  <c r="P35" i="10"/>
  <c r="AD72" i="10"/>
  <c r="BV72" i="10" s="1"/>
  <c r="R41" i="10"/>
  <c r="T71" i="10"/>
  <c r="Y19" i="10"/>
  <c r="W84" i="10"/>
  <c r="K94" i="10" a="1"/>
  <c r="K94" i="10" s="1"/>
  <c r="AI32" i="10"/>
  <c r="AI97" i="10"/>
  <c r="BA48" i="10"/>
  <c r="AX26" i="10"/>
  <c r="AG67" i="10"/>
  <c r="Z54" i="10"/>
  <c r="AW52" i="10"/>
  <c r="AD95" i="10"/>
  <c r="BV95" i="10" s="1"/>
  <c r="BE63" i="10"/>
  <c r="AG26" i="10"/>
  <c r="U47" i="10"/>
  <c r="AS47" i="10" s="1"/>
  <c r="L91" i="10" a="1"/>
  <c r="L91" i="10" s="1"/>
  <c r="AQ100" i="10"/>
  <c r="Z55" i="10"/>
  <c r="O98" i="10"/>
  <c r="AW32" i="10"/>
  <c r="AE20" i="10"/>
  <c r="Y69" i="10"/>
  <c r="O91" i="10"/>
  <c r="AG55" i="10"/>
  <c r="AE49" i="10"/>
  <c r="AB96" i="10"/>
  <c r="AX81" i="10"/>
  <c r="AG49" i="10"/>
  <c r="Y97" i="10"/>
  <c r="O63" i="10"/>
  <c r="AE84" i="10"/>
  <c r="T63" i="10"/>
  <c r="R55" i="10"/>
  <c r="AD85" i="10"/>
  <c r="BV85" i="10" s="1"/>
  <c r="W63" i="10"/>
  <c r="R28" i="10"/>
  <c r="AQ43" i="10"/>
  <c r="O35" i="10"/>
  <c r="AD100" i="10"/>
  <c r="BV100" i="10" s="1"/>
  <c r="BH22" i="10"/>
  <c r="BH31" i="10"/>
  <c r="BA30" i="10"/>
  <c r="AD81" i="10"/>
  <c r="BV81" i="10" s="1"/>
  <c r="BA96" i="10"/>
  <c r="Y61" i="10"/>
  <c r="BA65" i="10"/>
  <c r="AG14" i="10"/>
  <c r="U67" i="10"/>
  <c r="C96" i="10"/>
  <c r="Y62" i="10"/>
  <c r="P91" i="10"/>
  <c r="AE27" i="10"/>
  <c r="P84" i="10"/>
  <c r="AG62" i="10"/>
  <c r="W41" i="10"/>
  <c r="BD28" i="10"/>
  <c r="Y43" i="10"/>
  <c r="U91" i="10"/>
  <c r="T45" i="10"/>
  <c r="AE45" i="10"/>
  <c r="AD53" i="10"/>
  <c r="BV53" i="10" s="1"/>
  <c r="H93" i="10"/>
  <c r="R54" i="10"/>
  <c r="R43" i="10"/>
  <c r="O19" i="10"/>
  <c r="D91" i="10"/>
  <c r="W21" i="10"/>
  <c r="AE85" i="10"/>
  <c r="T98" i="10"/>
  <c r="W91" i="10"/>
  <c r="BE98" i="10"/>
  <c r="Y67" i="10"/>
  <c r="D97" i="10"/>
  <c r="P32" i="10"/>
  <c r="L93" i="10" a="1"/>
  <c r="L93" i="10" s="1"/>
  <c r="AW81" i="10"/>
  <c r="T64" i="10"/>
  <c r="O81" i="10"/>
  <c r="U98" i="10"/>
  <c r="AD67" i="10"/>
  <c r="BV67" i="10" s="1"/>
  <c r="AW37" i="10"/>
  <c r="AB73" i="10"/>
  <c r="U35" i="10"/>
  <c r="P81" i="10"/>
  <c r="R45" i="10"/>
  <c r="P20" i="10"/>
  <c r="AE56" i="10"/>
  <c r="O95" i="10"/>
  <c r="O61" i="10"/>
  <c r="AG73" i="10"/>
  <c r="AW84" i="10"/>
  <c r="P100" i="10"/>
  <c r="Q100" i="10" s="1"/>
  <c r="O52" i="10"/>
  <c r="T72" i="10"/>
  <c r="W28" i="10"/>
  <c r="P85" i="10"/>
  <c r="P28" i="10"/>
  <c r="AB19" i="10"/>
  <c r="W52" i="10"/>
  <c r="R72" i="10"/>
  <c r="O28" i="10"/>
  <c r="U45" i="10"/>
  <c r="O47" i="10"/>
  <c r="BA49" i="10"/>
  <c r="BD54" i="10"/>
  <c r="Z26" i="10"/>
  <c r="Y40" i="10"/>
  <c r="AT45" i="10"/>
  <c r="R96" i="10"/>
  <c r="P41" i="10"/>
  <c r="C90" i="10"/>
  <c r="AG56" i="10"/>
  <c r="BH85" i="10"/>
  <c r="P67" i="10"/>
  <c r="AQ53" i="10"/>
  <c r="W32" i="10"/>
  <c r="R30" i="10"/>
  <c r="L92" i="10" a="1"/>
  <c r="L92" i="10" s="1"/>
  <c r="AE37" i="10"/>
  <c r="AX70" i="10"/>
  <c r="Z53" i="10"/>
  <c r="W72" i="10"/>
  <c r="R73" i="10"/>
  <c r="U65" i="10"/>
  <c r="O44" i="10"/>
  <c r="P19" i="10"/>
  <c r="Y73" i="10"/>
  <c r="P56" i="10"/>
  <c r="P47" i="10"/>
  <c r="R32" i="10"/>
  <c r="Z85" i="10"/>
  <c r="BD97" i="10"/>
  <c r="O100" i="10"/>
  <c r="C93" i="10"/>
  <c r="P29" i="10"/>
  <c r="AD91" i="10"/>
  <c r="BV91" i="10" s="1"/>
  <c r="AT96" i="10"/>
  <c r="BA64" i="10"/>
  <c r="W45" i="10"/>
  <c r="AP31" i="10"/>
  <c r="W25" i="10"/>
  <c r="L98" i="10" a="1"/>
  <c r="L98" i="10" s="1"/>
  <c r="R42" i="10"/>
  <c r="T26" i="10"/>
  <c r="W69" i="10"/>
  <c r="U84" i="10"/>
  <c r="BA43" i="10"/>
  <c r="BC43" i="10" s="1"/>
  <c r="U52" i="10"/>
  <c r="AT37" i="10"/>
  <c r="U32" i="10"/>
  <c r="O26" i="10"/>
  <c r="R56" i="10"/>
  <c r="C95" i="10"/>
  <c r="T22" i="10"/>
  <c r="BA81" i="10"/>
  <c r="AW70" i="10"/>
  <c r="AD45" i="10"/>
  <c r="BV45" i="10" s="1"/>
  <c r="AD25" i="10"/>
  <c r="BV25" i="10" s="1"/>
  <c r="R52" i="10"/>
  <c r="H90" i="10"/>
  <c r="H92" i="10"/>
  <c r="AE64" i="10"/>
  <c r="AT52" i="10"/>
  <c r="BA95" i="10"/>
  <c r="O32" i="10"/>
  <c r="K93" i="10" a="1"/>
  <c r="K93" i="10" s="1"/>
  <c r="U43" i="10"/>
  <c r="Y26" i="10"/>
  <c r="D93" i="10"/>
  <c r="O30" i="10"/>
  <c r="P45" i="10"/>
  <c r="O20" i="10"/>
  <c r="O49" i="10"/>
  <c r="AB32" i="10"/>
  <c r="AQ67" i="10"/>
  <c r="AQ90" i="10"/>
  <c r="U25" i="10"/>
  <c r="O53" i="10"/>
  <c r="P43" i="10"/>
  <c r="P61" i="10"/>
  <c r="AB25" i="10"/>
  <c r="AQ97" i="10"/>
  <c r="T32" i="10"/>
  <c r="R26" i="10"/>
  <c r="T25" i="10"/>
  <c r="AG91" i="10"/>
  <c r="Z32" i="10"/>
  <c r="AD94" i="10"/>
  <c r="BV94" i="10" s="1"/>
  <c r="O40" i="10"/>
  <c r="AB100" i="10"/>
  <c r="AC100" i="10" s="1"/>
  <c r="P65" i="10"/>
  <c r="U70" i="10"/>
  <c r="Y100" i="10"/>
  <c r="AE31" i="10"/>
  <c r="AT23" i="10"/>
  <c r="Y47" i="10"/>
  <c r="P26" i="10"/>
  <c r="R53" i="10"/>
  <c r="T52" i="10"/>
  <c r="D95" i="10"/>
  <c r="O22" i="10"/>
  <c r="AG45" i="10"/>
  <c r="P53" i="10"/>
  <c r="AB53" i="10"/>
  <c r="R19" i="10"/>
  <c r="O27" i="10"/>
  <c r="K90" i="10" a="1"/>
  <c r="K90" i="10" s="1"/>
  <c r="K92" i="10" a="1"/>
  <c r="K92" i="10" s="1"/>
  <c r="U19" i="10"/>
  <c r="Y92" i="10"/>
  <c r="AB87" i="10"/>
  <c r="AB18" i="10"/>
  <c r="AB78" i="10"/>
  <c r="Y58" i="10"/>
  <c r="Y39" i="10"/>
  <c r="Z93" i="10"/>
  <c r="Z66" i="10"/>
  <c r="AB13" i="10"/>
  <c r="Z58" i="10"/>
  <c r="Z38" i="10"/>
  <c r="Y68" i="10"/>
  <c r="AB46" i="10"/>
  <c r="Z51" i="10"/>
  <c r="Z59" i="10"/>
  <c r="Y46" i="10"/>
  <c r="AB60" i="10"/>
  <c r="Z18" i="10"/>
  <c r="Z89" i="10"/>
  <c r="Z86" i="10"/>
  <c r="AB51" i="10"/>
  <c r="AB16" i="10"/>
  <c r="Y17" i="10"/>
  <c r="Z60" i="10"/>
  <c r="Y18" i="10"/>
  <c r="Y78" i="10"/>
  <c r="Z34" i="10"/>
  <c r="Y51" i="10"/>
  <c r="Y82" i="10"/>
  <c r="Z87" i="10"/>
  <c r="Y15" i="10"/>
  <c r="Z78" i="10"/>
  <c r="Y80" i="10"/>
  <c r="Y59" i="10"/>
  <c r="Z88" i="10"/>
  <c r="Y12" i="10"/>
  <c r="Z76" i="10"/>
  <c r="Y75" i="10"/>
  <c r="Y89" i="10"/>
  <c r="Z68" i="10"/>
  <c r="AB17" i="10"/>
  <c r="Z83" i="10"/>
  <c r="Y87" i="10"/>
  <c r="Y36" i="10"/>
  <c r="AB39" i="10"/>
  <c r="Z33" i="10"/>
  <c r="Y74" i="10"/>
  <c r="AB83" i="10"/>
  <c r="AB36" i="10"/>
  <c r="Y16" i="10"/>
  <c r="AB66" i="10"/>
  <c r="AB88" i="10"/>
  <c r="AB12" i="10"/>
  <c r="AB15" i="10"/>
  <c r="Y66" i="10"/>
  <c r="Y60" i="10"/>
  <c r="Y34" i="10"/>
  <c r="AB93" i="10"/>
  <c r="Z80" i="10"/>
  <c r="AB59" i="10"/>
  <c r="AB58" i="10"/>
  <c r="Z46" i="10"/>
  <c r="Z13" i="10"/>
  <c r="AB89" i="10"/>
  <c r="Z77" i="10"/>
  <c r="AB33" i="10"/>
  <c r="AB92" i="10"/>
  <c r="Y24" i="10"/>
  <c r="AB50" i="10"/>
  <c r="AB75" i="10"/>
  <c r="Y76" i="10"/>
  <c r="Z57" i="10"/>
  <c r="Z12" i="10"/>
  <c r="Z15" i="10"/>
  <c r="AB24" i="10"/>
  <c r="Z36" i="10"/>
  <c r="AB77" i="10"/>
  <c r="Y93" i="10"/>
  <c r="Y88" i="10"/>
  <c r="Y50" i="10"/>
  <c r="AB76" i="10"/>
  <c r="Z74" i="10"/>
  <c r="AB80" i="10"/>
  <c r="Y38" i="10"/>
  <c r="AB82" i="10"/>
  <c r="Y13" i="10"/>
  <c r="Z50" i="10"/>
  <c r="AB74" i="10"/>
  <c r="Z16" i="10"/>
  <c r="Z92" i="10"/>
  <c r="Z39" i="10"/>
  <c r="AB57" i="10"/>
  <c r="Y33" i="10"/>
  <c r="AB34" i="10"/>
  <c r="AB38" i="10"/>
  <c r="AB86" i="10"/>
  <c r="Z17" i="10"/>
  <c r="Y77" i="10"/>
  <c r="Z24" i="10"/>
  <c r="Z75" i="10"/>
  <c r="Y83" i="10"/>
  <c r="Z82" i="10"/>
  <c r="Y86" i="10"/>
  <c r="Y57" i="10"/>
  <c r="AB68" i="10"/>
  <c r="AM13" i="10"/>
  <c r="AM18" i="10"/>
  <c r="AM77" i="10"/>
  <c r="AI38" i="10"/>
  <c r="AJ93" i="10"/>
  <c r="AJ76" i="10"/>
  <c r="AM17" i="10"/>
  <c r="AM66" i="10"/>
  <c r="AM46" i="10"/>
  <c r="AJ57" i="10"/>
  <c r="AJ89" i="10"/>
  <c r="AI78" i="10"/>
  <c r="AI92" i="10"/>
  <c r="AI15" i="10"/>
  <c r="AI34" i="10"/>
  <c r="AI16" i="10"/>
  <c r="AM74" i="10"/>
  <c r="AJ66" i="10"/>
  <c r="AI88" i="10"/>
  <c r="AM92" i="10"/>
  <c r="AM36" i="10"/>
  <c r="AI18" i="10"/>
  <c r="AM78" i="10"/>
  <c r="AJ58" i="10"/>
  <c r="AM33" i="10"/>
  <c r="AJ68" i="10"/>
  <c r="AJ86" i="10"/>
  <c r="AM76" i="10"/>
  <c r="AJ83" i="10"/>
  <c r="AM50" i="10"/>
  <c r="AM58" i="10"/>
  <c r="AI33" i="10"/>
  <c r="AJ38" i="10"/>
  <c r="AJ88" i="10"/>
  <c r="AM57" i="10"/>
  <c r="AI24" i="10"/>
  <c r="AJ78" i="10"/>
  <c r="AJ34" i="10"/>
  <c r="AJ16" i="10"/>
  <c r="AM82" i="10"/>
  <c r="AM87" i="10"/>
  <c r="AJ39" i="10"/>
  <c r="AM68" i="10"/>
  <c r="AJ51" i="10"/>
  <c r="AM16" i="10"/>
  <c r="AM86" i="10"/>
  <c r="AJ75" i="10"/>
  <c r="AJ17" i="10"/>
  <c r="AI57" i="10"/>
  <c r="AI60" i="10"/>
  <c r="AI75" i="10"/>
  <c r="AM80" i="10"/>
  <c r="AI83" i="10"/>
  <c r="AJ92" i="10"/>
  <c r="AM15" i="10"/>
  <c r="AM24" i="10"/>
  <c r="AJ60" i="10"/>
  <c r="AI80" i="10"/>
  <c r="AJ18" i="10"/>
  <c r="AM38" i="10"/>
  <c r="AI76" i="10"/>
  <c r="AJ59" i="10"/>
  <c r="AI46" i="10"/>
  <c r="AI82" i="10"/>
  <c r="AI13" i="10"/>
  <c r="AJ87" i="10"/>
  <c r="AM12" i="10"/>
  <c r="AJ74" i="10"/>
  <c r="AJ46" i="10"/>
  <c r="AI50" i="10"/>
  <c r="AM39" i="10"/>
  <c r="AJ80" i="10"/>
  <c r="AM59" i="10"/>
  <c r="AI59" i="10"/>
  <c r="AJ12" i="10"/>
  <c r="AJ36" i="10"/>
  <c r="AI39" i="10"/>
  <c r="AI51" i="10"/>
  <c r="AI86" i="10"/>
  <c r="AI87" i="10"/>
  <c r="AM60" i="10"/>
  <c r="AI68" i="10"/>
  <c r="AI74" i="10"/>
  <c r="AJ13" i="10"/>
  <c r="AI89" i="10"/>
  <c r="AI58" i="10"/>
  <c r="AJ77" i="10"/>
  <c r="AI77" i="10"/>
  <c r="AM34" i="10"/>
  <c r="AM51" i="10"/>
  <c r="AM93" i="10"/>
  <c r="AI17" i="10"/>
  <c r="AI36" i="10"/>
  <c r="AM75" i="10"/>
  <c r="AM89" i="10"/>
  <c r="AI93" i="10"/>
  <c r="AI66" i="10"/>
  <c r="AI12" i="10"/>
  <c r="AJ24" i="10"/>
  <c r="AJ33" i="10"/>
  <c r="AJ82" i="10"/>
  <c r="AJ15" i="10"/>
  <c r="AJ50" i="10"/>
  <c r="AM83" i="10"/>
  <c r="AM88" i="10"/>
  <c r="H77" i="10"/>
  <c r="D77" i="10"/>
  <c r="L80" i="10" a="1"/>
  <c r="L80" i="10" s="1"/>
  <c r="D88" i="10"/>
  <c r="K86" i="10" a="1"/>
  <c r="K86" i="10" s="1"/>
  <c r="H84" i="10"/>
  <c r="D84" i="10"/>
  <c r="H87" i="10"/>
  <c r="D85" i="10"/>
  <c r="C85" i="10"/>
  <c r="K84" i="10" a="1"/>
  <c r="K84" i="10" s="1"/>
  <c r="K77" i="10" a="1"/>
  <c r="K77" i="10" s="1"/>
  <c r="K78" i="10" a="1"/>
  <c r="K78" i="10" s="1"/>
  <c r="C79" i="10"/>
  <c r="H85" i="10"/>
  <c r="C82" i="10"/>
  <c r="D78" i="10"/>
  <c r="K79" i="10" a="1"/>
  <c r="K79" i="10" s="1"/>
  <c r="L77" i="10" a="1"/>
  <c r="L77" i="10" s="1"/>
  <c r="K87" i="10" a="1"/>
  <c r="K87" i="10" s="1"/>
  <c r="K81" i="10" a="1"/>
  <c r="K81" i="10" s="1"/>
  <c r="C80" i="10"/>
  <c r="L78" i="10" a="1"/>
  <c r="L78" i="10" s="1"/>
  <c r="K85" i="10" a="1"/>
  <c r="K85" i="10" s="1"/>
  <c r="C87" i="10"/>
  <c r="L88" i="10" a="1"/>
  <c r="L88" i="10" s="1"/>
  <c r="C88" i="10"/>
  <c r="H82" i="10"/>
  <c r="H78" i="10"/>
  <c r="D86" i="10"/>
  <c r="D79" i="10"/>
  <c r="L81" i="10" a="1"/>
  <c r="L81" i="10" s="1"/>
  <c r="D82" i="10"/>
  <c r="L86" i="10" a="1"/>
  <c r="L86" i="10" s="1"/>
  <c r="D83" i="10"/>
  <c r="H83" i="10"/>
  <c r="H81" i="10"/>
  <c r="D87" i="10"/>
  <c r="D80" i="10"/>
  <c r="L84" i="10" a="1"/>
  <c r="L84" i="10" s="1"/>
  <c r="C78" i="10"/>
  <c r="L83" i="10" a="1"/>
  <c r="L83" i="10" s="1"/>
  <c r="K82" i="10" a="1"/>
  <c r="K82" i="10" s="1"/>
  <c r="C84" i="10"/>
  <c r="H88" i="10"/>
  <c r="C77" i="10"/>
  <c r="H86" i="10"/>
  <c r="C83" i="10"/>
  <c r="H79" i="10"/>
  <c r="K88" i="10" a="1"/>
  <c r="K88" i="10" s="1"/>
  <c r="C86" i="10"/>
  <c r="K80" i="10" a="1"/>
  <c r="K80" i="10" s="1"/>
  <c r="L87" i="10" a="1"/>
  <c r="L87" i="10" s="1"/>
  <c r="K83" i="10" a="1"/>
  <c r="K83" i="10" s="1"/>
  <c r="L79" i="10" a="1"/>
  <c r="L79" i="10" s="1"/>
  <c r="H80" i="10"/>
  <c r="L82" i="10" a="1"/>
  <c r="L82" i="10" s="1"/>
  <c r="L85" i="10" a="1"/>
  <c r="L85" i="10" s="1"/>
  <c r="I1450" i="8"/>
  <c r="I1872" i="8"/>
  <c r="I1980" i="8"/>
  <c r="J1810" i="8"/>
  <c r="I1810" i="8"/>
  <c r="J1232" i="8"/>
  <c r="I1232" i="8"/>
  <c r="H1933" i="8"/>
  <c r="I1933" i="8"/>
  <c r="J1607" i="8"/>
  <c r="I1607" i="8"/>
  <c r="H1772" i="8"/>
  <c r="I1772" i="8"/>
  <c r="H1285" i="8"/>
  <c r="I1285" i="8"/>
  <c r="H1497" i="8"/>
  <c r="I1497" i="8"/>
  <c r="H1379" i="8"/>
  <c r="I1379" i="8"/>
  <c r="J1571" i="8"/>
  <c r="I1571" i="8"/>
  <c r="J1929" i="8"/>
  <c r="I1929" i="8"/>
  <c r="H1229" i="8"/>
  <c r="I1229" i="8"/>
  <c r="H1647" i="8"/>
  <c r="I1647" i="8"/>
  <c r="H1741" i="8"/>
  <c r="I1741" i="8"/>
  <c r="H1736" i="8"/>
  <c r="I1736" i="8"/>
  <c r="H1353" i="8"/>
  <c r="I1353" i="8"/>
  <c r="J1541" i="8"/>
  <c r="I1541" i="8"/>
  <c r="J1957" i="8"/>
  <c r="I1957" i="8"/>
  <c r="J1863" i="8"/>
  <c r="I1863" i="8"/>
  <c r="J1602" i="8"/>
  <c r="I1602" i="8"/>
  <c r="J1375" i="8"/>
  <c r="I1375" i="8"/>
  <c r="H1936" i="8"/>
  <c r="I1936" i="8"/>
  <c r="H1844" i="8"/>
  <c r="I1844" i="8"/>
  <c r="J1766" i="8"/>
  <c r="I1766" i="8"/>
  <c r="H1897" i="8"/>
  <c r="I1897" i="8"/>
  <c r="H1652" i="8"/>
  <c r="I1652" i="8"/>
  <c r="J1287" i="8"/>
  <c r="I1287" i="8"/>
  <c r="J1846" i="8"/>
  <c r="I1846" i="8"/>
  <c r="H1807" i="8"/>
  <c r="I1807" i="8"/>
  <c r="J1477" i="8"/>
  <c r="I1477" i="8"/>
  <c r="H1479" i="8"/>
  <c r="I1479" i="8"/>
  <c r="H1902" i="8"/>
  <c r="I1902" i="8"/>
  <c r="J1320" i="8"/>
  <c r="I1320" i="8"/>
  <c r="J1711" i="8"/>
  <c r="I1711" i="8"/>
  <c r="J1675" i="8"/>
  <c r="I1675" i="8"/>
  <c r="J1611" i="8"/>
  <c r="I1611" i="8"/>
  <c r="J1837" i="8"/>
  <c r="I1837" i="8"/>
  <c r="J1951" i="8"/>
  <c r="I1951" i="8"/>
  <c r="H1381" i="8"/>
  <c r="I1381" i="8"/>
  <c r="J1568" i="8"/>
  <c r="I1568" i="8"/>
  <c r="H1473" i="8"/>
  <c r="I1473" i="8"/>
  <c r="J1501" i="8"/>
  <c r="I1501" i="8"/>
  <c r="H1348" i="8"/>
  <c r="I1348" i="8"/>
  <c r="H1805" i="8"/>
  <c r="I1805" i="8"/>
  <c r="H1673" i="8"/>
  <c r="I1673" i="8"/>
  <c r="H1894" i="8"/>
  <c r="I1894" i="8"/>
  <c r="H1323" i="8"/>
  <c r="I1323" i="8"/>
  <c r="H1410" i="8"/>
  <c r="I1410" i="8"/>
  <c r="J1719" i="8"/>
  <c r="I1719" i="8"/>
  <c r="H1448" i="8"/>
  <c r="I1448" i="8"/>
  <c r="H1405" i="8"/>
  <c r="I1405" i="8"/>
  <c r="J1667" i="8"/>
  <c r="I1667" i="8"/>
  <c r="H1408" i="8"/>
  <c r="I1408" i="8"/>
  <c r="J1650" i="8"/>
  <c r="I1650" i="8"/>
  <c r="H1539" i="8"/>
  <c r="I1539" i="8"/>
  <c r="J1350" i="8"/>
  <c r="I1350" i="8"/>
  <c r="H1444" i="8"/>
  <c r="I1444" i="8"/>
  <c r="H1218" i="8"/>
  <c r="I1218" i="8"/>
  <c r="J1778" i="8"/>
  <c r="I1778" i="8"/>
  <c r="H1738" i="8"/>
  <c r="I1738" i="8"/>
  <c r="J1875" i="8"/>
  <c r="I1875" i="8"/>
  <c r="C73" i="10"/>
  <c r="C50" i="10"/>
  <c r="D46" i="10"/>
  <c r="K73" i="10" a="1"/>
  <c r="K73" i="10" s="1"/>
  <c r="C49" i="10"/>
  <c r="D45" i="10"/>
  <c r="C67" i="10"/>
  <c r="C32" i="10"/>
  <c r="H72" i="10"/>
  <c r="D72" i="10"/>
  <c r="C63" i="10"/>
  <c r="D59" i="10"/>
  <c r="K74" i="10" a="1"/>
  <c r="K74" i="10" s="1"/>
  <c r="C54" i="10"/>
  <c r="D50" i="10"/>
  <c r="C45" i="10"/>
  <c r="D41" i="10"/>
  <c r="C59" i="10"/>
  <c r="D12" i="10"/>
  <c r="K52" i="10" a="1"/>
  <c r="K52" i="10" s="1"/>
  <c r="D76" i="10"/>
  <c r="C42" i="10"/>
  <c r="D38" i="10"/>
  <c r="C41" i="10"/>
  <c r="D37" i="10"/>
  <c r="C19" i="10"/>
  <c r="L1034" i="20" s="1"/>
  <c r="C24" i="10"/>
  <c r="D20" i="10"/>
  <c r="C55" i="10"/>
  <c r="D51" i="10"/>
  <c r="L75" i="10" a="1"/>
  <c r="L75" i="10" s="1"/>
  <c r="C46" i="10"/>
  <c r="D42" i="10"/>
  <c r="H41" i="10"/>
  <c r="C37" i="10"/>
  <c r="D33" i="10"/>
  <c r="D55" i="10"/>
  <c r="C68" i="10"/>
  <c r="D64" i="10"/>
  <c r="D73" i="10"/>
  <c r="D67" i="10"/>
  <c r="D49" i="10"/>
  <c r="D16" i="10"/>
  <c r="C34" i="10"/>
  <c r="D30" i="10"/>
  <c r="K42" i="10" a="1"/>
  <c r="K42" i="10" s="1"/>
  <c r="C33" i="10"/>
  <c r="D29" i="10"/>
  <c r="D23" i="10"/>
  <c r="M983" i="20" s="1"/>
  <c r="C16" i="10"/>
  <c r="H51" i="10"/>
  <c r="C47" i="10"/>
  <c r="D43" i="10"/>
  <c r="C38" i="10"/>
  <c r="D34" i="10"/>
  <c r="C51" i="10"/>
  <c r="C29" i="10"/>
  <c r="D31" i="10"/>
  <c r="C60" i="10"/>
  <c r="D56" i="10"/>
  <c r="H75" i="10"/>
  <c r="C53" i="10"/>
  <c r="L76" i="10" a="1"/>
  <c r="L76" i="10" s="1"/>
  <c r="C26" i="10"/>
  <c r="D22" i="10"/>
  <c r="D21" i="10"/>
  <c r="M1119" i="20" s="1"/>
  <c r="D15" i="10"/>
  <c r="C12" i="10"/>
  <c r="D68" i="10"/>
  <c r="D74" i="10"/>
  <c r="H43" i="10"/>
  <c r="C39" i="10"/>
  <c r="D35" i="10"/>
  <c r="H42" i="10"/>
  <c r="C30" i="10"/>
  <c r="D26" i="10"/>
  <c r="L72" i="10" a="1"/>
  <c r="L72" i="10" s="1"/>
  <c r="C27" i="10"/>
  <c r="C21" i="10"/>
  <c r="L1119" i="20" s="1"/>
  <c r="D17" i="10"/>
  <c r="C52" i="10"/>
  <c r="D48" i="10"/>
  <c r="K76" i="10" a="1"/>
  <c r="K76" i="10" s="1"/>
  <c r="C57" i="10"/>
  <c r="C40" i="10"/>
  <c r="C18" i="10"/>
  <c r="D14" i="10"/>
  <c r="C17" i="10"/>
  <c r="D13" i="10"/>
  <c r="C64" i="10"/>
  <c r="D60" i="10"/>
  <c r="L74" i="10" a="1"/>
  <c r="L74" i="10" s="1"/>
  <c r="K41" i="10" a="1"/>
  <c r="K41" i="10" s="1"/>
  <c r="C31" i="10"/>
  <c r="D27" i="10"/>
  <c r="K72" i="10" a="1"/>
  <c r="K72" i="10" s="1"/>
  <c r="K43" i="10" a="1"/>
  <c r="K43" i="10" s="1"/>
  <c r="C22" i="10"/>
  <c r="D18" i="10"/>
  <c r="D63" i="10"/>
  <c r="C13" i="10"/>
  <c r="L52" i="10" a="1"/>
  <c r="L52" i="10" s="1"/>
  <c r="C89" i="10"/>
  <c r="L73" i="10" a="1"/>
  <c r="L73" i="10" s="1"/>
  <c r="C44" i="10"/>
  <c r="D40" i="10"/>
  <c r="D54" i="10"/>
  <c r="K75" i="10" a="1"/>
  <c r="K75" i="10" s="1"/>
  <c r="D36" i="10"/>
  <c r="L51" i="10" a="1"/>
  <c r="L51" i="10" s="1"/>
  <c r="D58" i="10"/>
  <c r="C20" i="10"/>
  <c r="C35" i="10"/>
  <c r="H53" i="10"/>
  <c r="D75" i="10"/>
  <c r="D69" i="10"/>
  <c r="H52" i="10"/>
  <c r="C75" i="10"/>
  <c r="C76" i="10"/>
  <c r="C56" i="10"/>
  <c r="D52" i="10"/>
  <c r="C23" i="10"/>
  <c r="L983" i="20" s="1"/>
  <c r="D19" i="10"/>
  <c r="M1034" i="20" s="1"/>
  <c r="C43" i="10"/>
  <c r="C14" i="10"/>
  <c r="K53" i="10" a="1"/>
  <c r="K53" i="10" s="1"/>
  <c r="D89" i="10"/>
  <c r="M1205" i="20" s="1"/>
  <c r="D39" i="10"/>
  <c r="C69" i="10"/>
  <c r="D65" i="10"/>
  <c r="C36" i="10"/>
  <c r="D32" i="10"/>
  <c r="C72" i="10"/>
  <c r="C58" i="10"/>
  <c r="D53" i="10"/>
  <c r="C74" i="10"/>
  <c r="C62" i="10"/>
  <c r="C66" i="10"/>
  <c r="D62" i="10"/>
  <c r="K51" i="10" a="1"/>
  <c r="K51" i="10" s="1"/>
  <c r="C65" i="10"/>
  <c r="D61" i="10"/>
  <c r="H73" i="10"/>
  <c r="H74" i="10"/>
  <c r="C48" i="10"/>
  <c r="D44" i="10"/>
  <c r="C15" i="10"/>
  <c r="L53" i="10" a="1"/>
  <c r="L53" i="10" s="1"/>
  <c r="D71" i="10"/>
  <c r="D66" i="10"/>
  <c r="C61" i="10"/>
  <c r="D57" i="10"/>
  <c r="H76" i="10"/>
  <c r="D24" i="10"/>
  <c r="C71" i="10"/>
  <c r="D47" i="10"/>
  <c r="H89" i="10"/>
  <c r="H1872" i="8"/>
  <c r="H28" i="10"/>
  <c r="L28" i="10" a="1"/>
  <c r="L28" i="10" s="1"/>
  <c r="H30" i="10"/>
  <c r="K30" i="10" a="1"/>
  <c r="K30" i="10" s="1"/>
  <c r="H29" i="10"/>
  <c r="K28" i="10" a="1"/>
  <c r="K28" i="10" s="1"/>
  <c r="L30" i="10" a="1"/>
  <c r="L30" i="10" s="1"/>
  <c r="K29" i="10" a="1"/>
  <c r="K29" i="10" s="1"/>
  <c r="L29" i="10" a="1"/>
  <c r="L29" i="10" s="1"/>
  <c r="H1450" i="8"/>
  <c r="K26" i="10" a="1"/>
  <c r="K26" i="10" s="1"/>
  <c r="L26" i="10" a="1"/>
  <c r="L26" i="10" s="1"/>
  <c r="H26" i="10"/>
  <c r="K21" i="10" a="1"/>
  <c r="K21" i="10" s="1"/>
  <c r="L20" i="10" a="1"/>
  <c r="L20" i="10" s="1"/>
  <c r="H20" i="10"/>
  <c r="L21" i="10" a="1"/>
  <c r="L21" i="10" s="1"/>
  <c r="H21" i="10"/>
  <c r="K20" i="10" a="1"/>
  <c r="K20" i="10" s="1"/>
  <c r="J1980" i="8"/>
  <c r="H1719" i="8"/>
  <c r="J1936" i="8"/>
  <c r="J1772" i="8"/>
  <c r="J1218" i="8"/>
  <c r="H1837" i="8"/>
  <c r="J1408" i="8"/>
  <c r="H1650" i="8"/>
  <c r="H1810" i="8"/>
  <c r="H1778" i="8"/>
  <c r="H1568" i="8"/>
  <c r="J1539" i="8"/>
  <c r="H1711" i="8"/>
  <c r="H1287" i="8"/>
  <c r="J1673" i="8"/>
  <c r="J1807" i="8"/>
  <c r="J1405" i="8"/>
  <c r="J1647" i="8"/>
  <c r="J1444" i="8"/>
  <c r="H57" i="10"/>
  <c r="H1350" i="8"/>
  <c r="J1738" i="8"/>
  <c r="J1473" i="8"/>
  <c r="J1872" i="8"/>
  <c r="J1323" i="8"/>
  <c r="L55" i="10" a="1"/>
  <c r="L55" i="10" s="1"/>
  <c r="J1894" i="8"/>
  <c r="J1353" i="8"/>
  <c r="K22" i="10" a="1"/>
  <c r="K22" i="10" s="1"/>
  <c r="L56" i="10" a="1"/>
  <c r="L56" i="10" s="1"/>
  <c r="K37" i="10" a="1"/>
  <c r="K37" i="10" s="1"/>
  <c r="L32" i="10" a="1"/>
  <c r="L32" i="10" s="1"/>
  <c r="J1285" i="8"/>
  <c r="J1497" i="8"/>
  <c r="J1897" i="8"/>
  <c r="J1736" i="8"/>
  <c r="L68" i="10" a="1"/>
  <c r="L68" i="10" s="1"/>
  <c r="L61" i="10" a="1"/>
  <c r="L61" i="10" s="1"/>
  <c r="L25" i="10" a="1"/>
  <c r="L25" i="10" s="1"/>
  <c r="H1957" i="8"/>
  <c r="H1501" i="8"/>
  <c r="H1929" i="8"/>
  <c r="H1980" i="8"/>
  <c r="T120" i="10" s="1"/>
  <c r="J1741" i="8"/>
  <c r="H1675" i="8"/>
  <c r="L47" i="10" a="1"/>
  <c r="L47" i="10" s="1"/>
  <c r="H15" i="10"/>
  <c r="H16" i="10"/>
  <c r="J1229" i="8"/>
  <c r="H1875" i="8"/>
  <c r="K57" i="10" a="1"/>
  <c r="K57" i="10" s="1"/>
  <c r="L67" i="10" a="1"/>
  <c r="L67" i="10" s="1"/>
  <c r="L31" i="10" a="1"/>
  <c r="L31" i="10" s="1"/>
  <c r="J1450" i="8"/>
  <c r="J1381" i="8"/>
  <c r="J1410" i="8"/>
  <c r="J1652" i="8"/>
  <c r="L62" i="10" a="1"/>
  <c r="L62" i="10" s="1"/>
  <c r="K50" i="10" a="1"/>
  <c r="K50" i="10" s="1"/>
  <c r="L49" i="10" a="1"/>
  <c r="L49" i="10" s="1"/>
  <c r="H1571" i="8"/>
  <c r="H1320" i="8"/>
  <c r="J1379" i="8"/>
  <c r="L13" i="10" a="1"/>
  <c r="L13" i="10" s="1"/>
  <c r="K31" i="10" a="1"/>
  <c r="K31" i="10" s="1"/>
  <c r="H24" i="10"/>
  <c r="H1375" i="8"/>
  <c r="H1543" i="8"/>
  <c r="J1902" i="8"/>
  <c r="K25" i="10" a="1"/>
  <c r="K25" i="10" s="1"/>
  <c r="H1561" i="8"/>
  <c r="J1314" i="8"/>
  <c r="H1314" i="8"/>
  <c r="L71" i="10" a="1"/>
  <c r="L71" i="10" s="1"/>
  <c r="H33" i="10"/>
  <c r="L46" i="10" a="1"/>
  <c r="L46" i="10" s="1"/>
  <c r="L22" i="10" a="1"/>
  <c r="L22" i="10" s="1"/>
  <c r="L63" i="10" a="1"/>
  <c r="L63" i="10" s="1"/>
  <c r="K67" i="10" a="1"/>
  <c r="K67" i="10" s="1"/>
  <c r="J1448" i="8"/>
  <c r="J1933" i="8"/>
  <c r="L45" i="10" a="1"/>
  <c r="L45" i="10" s="1"/>
  <c r="K13" i="10" a="1"/>
  <c r="K13" i="10" s="1"/>
  <c r="K70" i="10" a="1"/>
  <c r="K70" i="10" s="1"/>
  <c r="L38" i="10" a="1"/>
  <c r="L38" i="10" s="1"/>
  <c r="K24" i="10" a="1"/>
  <c r="K24" i="10" s="1"/>
  <c r="K63" i="10" a="1"/>
  <c r="K63" i="10" s="1"/>
  <c r="H65" i="10"/>
  <c r="H61" i="10"/>
  <c r="H60" i="10"/>
  <c r="H27" i="10"/>
  <c r="H46" i="10"/>
  <c r="H13" i="10"/>
  <c r="L37" i="10" a="1"/>
  <c r="L37" i="10" s="1"/>
  <c r="J1543" i="8"/>
  <c r="J1561" i="8"/>
  <c r="H1766" i="8"/>
  <c r="J1499" i="8"/>
  <c r="H1499" i="8"/>
  <c r="L33" i="10" a="1"/>
  <c r="L33" i="10" s="1"/>
  <c r="L70" i="10" a="1"/>
  <c r="L70" i="10" s="1"/>
  <c r="H64" i="10"/>
  <c r="K62" i="10" a="1"/>
  <c r="K62" i="10" s="1"/>
  <c r="K64" i="10" a="1"/>
  <c r="K64" i="10" s="1"/>
  <c r="L14" i="10" a="1"/>
  <c r="L14" i="10" s="1"/>
  <c r="H18" i="10"/>
  <c r="H62" i="10"/>
  <c r="K44" i="10" a="1"/>
  <c r="K44" i="10" s="1"/>
  <c r="K27" i="10" a="1"/>
  <c r="K27" i="10" s="1"/>
  <c r="H54" i="10"/>
  <c r="L50" i="10" a="1"/>
  <c r="L50" i="10" s="1"/>
  <c r="K59" i="10" a="1"/>
  <c r="K59" i="10" s="1"/>
  <c r="H55" i="10"/>
  <c r="K54" i="10" a="1"/>
  <c r="K54" i="10" s="1"/>
  <c r="H32" i="10"/>
  <c r="K46" i="10" a="1"/>
  <c r="K46" i="10" s="1"/>
  <c r="K16" i="10" a="1"/>
  <c r="K16" i="10" s="1"/>
  <c r="L15" i="10" a="1"/>
  <c r="L15" i="10" s="1"/>
  <c r="L57" i="10" a="1"/>
  <c r="L57" i="10" s="1"/>
  <c r="H1667" i="8"/>
  <c r="H1232" i="8"/>
  <c r="H1477" i="8"/>
  <c r="H1541" i="8"/>
  <c r="J1479" i="8"/>
  <c r="K36" i="10" a="1"/>
  <c r="K36" i="10" s="1"/>
  <c r="K33" i="10" a="1"/>
  <c r="K33" i="10" s="1"/>
  <c r="H35" i="10"/>
  <c r="K89" i="10" a="1"/>
  <c r="K89" i="10" s="1"/>
  <c r="H40" i="10"/>
  <c r="L40" i="10" a="1"/>
  <c r="L40" i="10" s="1"/>
  <c r="K15" i="10" a="1"/>
  <c r="K15" i="10" s="1"/>
  <c r="L59" i="10" a="1"/>
  <c r="L59" i="10" s="1"/>
  <c r="L69" i="10" a="1"/>
  <c r="L69" i="10" s="1"/>
  <c r="L54" i="10" a="1"/>
  <c r="L54" i="10" s="1"/>
  <c r="K48" i="10" a="1"/>
  <c r="K48" i="10" s="1"/>
  <c r="K61" i="10" a="1"/>
  <c r="K61" i="10" s="1"/>
  <c r="K45" i="10" a="1"/>
  <c r="K45" i="10" s="1"/>
  <c r="K58" i="10" a="1"/>
  <c r="K58" i="10" s="1"/>
  <c r="L36" i="10" a="1"/>
  <c r="L36" i="10" s="1"/>
  <c r="H23" i="10"/>
  <c r="K18" i="10" a="1"/>
  <c r="K18" i="10" s="1"/>
  <c r="K66" i="10" a="1"/>
  <c r="K66" i="10" s="1"/>
  <c r="K23" i="10" a="1"/>
  <c r="K23" i="10" s="1"/>
  <c r="K47" i="10" a="1"/>
  <c r="K47" i="10" s="1"/>
  <c r="L89" i="10" a="1"/>
  <c r="L89" i="10" s="1"/>
  <c r="H1717" i="8"/>
  <c r="J1717" i="8"/>
  <c r="H31" i="10"/>
  <c r="J1280" i="8"/>
  <c r="H49" i="10"/>
  <c r="H1602" i="8"/>
  <c r="K38" i="10" a="1"/>
  <c r="K38" i="10" s="1"/>
  <c r="H66" i="10"/>
  <c r="H47" i="10"/>
  <c r="H50" i="10"/>
  <c r="L48" i="10" a="1"/>
  <c r="L48" i="10" s="1"/>
  <c r="H63" i="10"/>
  <c r="H48" i="10"/>
  <c r="H36" i="10"/>
  <c r="K40" i="10" a="1"/>
  <c r="K40" i="10" s="1"/>
  <c r="L27" i="10" a="1"/>
  <c r="L27" i="10" s="1"/>
  <c r="H25" i="10"/>
  <c r="K55" i="10" a="1"/>
  <c r="K55" i="10" s="1"/>
  <c r="L66" i="10" a="1"/>
  <c r="L66" i="10" s="1"/>
  <c r="K68" i="10" a="1"/>
  <c r="K68" i="10" s="1"/>
  <c r="K71" i="10" a="1"/>
  <c r="K71" i="10" s="1"/>
  <c r="L23" i="10" a="1"/>
  <c r="L23" i="10" s="1"/>
  <c r="H1607" i="8"/>
  <c r="J1805" i="8"/>
  <c r="H1951" i="8"/>
  <c r="H12" i="10"/>
  <c r="L60" i="10" a="1"/>
  <c r="L60" i="10" s="1"/>
  <c r="K69" i="10" a="1"/>
  <c r="K69" i="10" s="1"/>
  <c r="H19" i="10"/>
  <c r="H58" i="10"/>
  <c r="K34" i="10" a="1"/>
  <c r="K34" i="10" s="1"/>
  <c r="L65" i="10" a="1"/>
  <c r="L65" i="10" s="1"/>
  <c r="L16" i="10" a="1"/>
  <c r="L16" i="10" s="1"/>
  <c r="K56" i="10" a="1"/>
  <c r="K56" i="10" s="1"/>
  <c r="K60" i="10" a="1"/>
  <c r="K60" i="10" s="1"/>
  <c r="K65" i="10" a="1"/>
  <c r="K65" i="10" s="1"/>
  <c r="H38" i="10"/>
  <c r="K32" i="10" a="1"/>
  <c r="K32" i="10" s="1"/>
  <c r="H22" i="10"/>
  <c r="H34" i="10"/>
  <c r="K19" i="10" a="1"/>
  <c r="K19" i="10" s="1"/>
  <c r="H68" i="10"/>
  <c r="L19" i="10" a="1"/>
  <c r="L19" i="10" s="1"/>
  <c r="L17" i="10" a="1"/>
  <c r="L17" i="10" s="1"/>
  <c r="H45" i="10"/>
  <c r="H67" i="10"/>
  <c r="H17" i="10"/>
  <c r="K35" i="10" a="1"/>
  <c r="K35" i="10" s="1"/>
  <c r="H71" i="10"/>
  <c r="H69" i="10"/>
  <c r="L34" i="10" a="1"/>
  <c r="L34" i="10" s="1"/>
  <c r="H37" i="10"/>
  <c r="H70" i="10"/>
  <c r="K39" i="10" a="1"/>
  <c r="K39" i="10" s="1"/>
  <c r="L39" i="10" a="1"/>
  <c r="L39" i="10" s="1"/>
  <c r="H56" i="10"/>
  <c r="L24" i="10" a="1"/>
  <c r="L24" i="10" s="1"/>
  <c r="L64" i="10" a="1"/>
  <c r="L64" i="10" s="1"/>
  <c r="H14" i="10"/>
  <c r="L18" i="10" a="1"/>
  <c r="L18" i="10" s="1"/>
  <c r="H44" i="10"/>
  <c r="K17" i="10" a="1"/>
  <c r="K17" i="10" s="1"/>
  <c r="K49" i="10" a="1"/>
  <c r="K49" i="10" s="1"/>
  <c r="L58" i="10" a="1"/>
  <c r="L58" i="10" s="1"/>
  <c r="H39" i="10"/>
  <c r="L35" i="10" a="1"/>
  <c r="L35" i="10" s="1"/>
  <c r="H59" i="10"/>
  <c r="K14" i="10" a="1"/>
  <c r="K14" i="10" s="1"/>
  <c r="J1348" i="8"/>
  <c r="H1280" i="8"/>
  <c r="H1863" i="8"/>
  <c r="H1611" i="8"/>
  <c r="J1844" i="8"/>
  <c r="H1846" i="8"/>
  <c r="CB93" i="10" l="1"/>
  <c r="CB38" i="10"/>
  <c r="BE123" i="10"/>
  <c r="BD120" i="10"/>
  <c r="BD110" i="10"/>
  <c r="BJ75" i="10"/>
  <c r="AS36" i="10"/>
  <c r="AV46" i="10"/>
  <c r="CB17" i="10"/>
  <c r="L1205" i="20"/>
  <c r="CB18" i="10"/>
  <c r="CE18" i="10"/>
  <c r="CE74" i="10"/>
  <c r="AV82" i="10"/>
  <c r="BU15" i="10"/>
  <c r="I22" i="13"/>
  <c r="BG75" i="10"/>
  <c r="CE83" i="10"/>
  <c r="BJ76" i="10"/>
  <c r="BG17" i="10"/>
  <c r="CE33" i="10"/>
  <c r="BG60" i="10"/>
  <c r="BG33" i="10"/>
  <c r="CE75" i="10"/>
  <c r="AS50" i="10"/>
  <c r="BJ77" i="10"/>
  <c r="AS80" i="10"/>
  <c r="BG83" i="10"/>
  <c r="AV18" i="10"/>
  <c r="L124" i="10" a="1"/>
  <c r="L124" i="10" s="1"/>
  <c r="AG124" i="10"/>
  <c r="AD124" i="10"/>
  <c r="AE124" i="10"/>
  <c r="BG78" i="10"/>
  <c r="BJ68" i="10"/>
  <c r="AJ124" i="10"/>
  <c r="AI124" i="10"/>
  <c r="H124" i="10"/>
  <c r="AM124" i="10"/>
  <c r="BG58" i="10"/>
  <c r="K124" i="10" a="1"/>
  <c r="K124" i="10" s="1"/>
  <c r="BJ17" i="10"/>
  <c r="BG82" i="10"/>
  <c r="Y124" i="10"/>
  <c r="Z124" i="10"/>
  <c r="AB124" i="10"/>
  <c r="AV88" i="10"/>
  <c r="AV33" i="10"/>
  <c r="BU80" i="10"/>
  <c r="BJ15" i="10"/>
  <c r="CE58" i="10"/>
  <c r="BU75" i="10"/>
  <c r="CB83" i="10"/>
  <c r="AS75" i="10"/>
  <c r="AS74" i="10"/>
  <c r="BG68" i="10"/>
  <c r="CB16" i="10"/>
  <c r="CE60" i="10"/>
  <c r="BG57" i="10"/>
  <c r="BU50" i="10"/>
  <c r="BU13" i="10"/>
  <c r="AL21" i="10"/>
  <c r="AZ81" i="10"/>
  <c r="AS13" i="10"/>
  <c r="CB59" i="10"/>
  <c r="AS60" i="10"/>
  <c r="CB34" i="10"/>
  <c r="AZ26" i="10"/>
  <c r="BG13" i="10"/>
  <c r="CE77" i="10"/>
  <c r="BG46" i="10"/>
  <c r="CE87" i="10"/>
  <c r="AV58" i="10"/>
  <c r="AS71" i="10"/>
  <c r="BG52" i="10"/>
  <c r="BJ86" i="10"/>
  <c r="AV57" i="10"/>
  <c r="AV17" i="10"/>
  <c r="BC67" i="10"/>
  <c r="CE78" i="10"/>
  <c r="CE46" i="10"/>
  <c r="AS18" i="10"/>
  <c r="AS79" i="10"/>
  <c r="BJ82" i="10"/>
  <c r="AV13" i="10"/>
  <c r="CB15" i="10"/>
  <c r="BG77" i="10"/>
  <c r="BU18" i="10"/>
  <c r="AV16" i="10"/>
  <c r="CB58" i="10"/>
  <c r="BJ74" i="10"/>
  <c r="AZ56" i="10"/>
  <c r="AS85" i="10"/>
  <c r="BJ59" i="10"/>
  <c r="CB36" i="10"/>
  <c r="AV39" i="10"/>
  <c r="CB13" i="10"/>
  <c r="BG38" i="10"/>
  <c r="AV92" i="10"/>
  <c r="BC49" i="10"/>
  <c r="AZ61" i="10"/>
  <c r="BG50" i="10"/>
  <c r="BG59" i="10"/>
  <c r="BX78" i="10"/>
  <c r="BJ51" i="10"/>
  <c r="BJ34" i="10"/>
  <c r="AV83" i="10"/>
  <c r="BJ36" i="10"/>
  <c r="BJ16" i="10"/>
  <c r="BJ46" i="10"/>
  <c r="BJ57" i="10"/>
  <c r="BX89" i="10"/>
  <c r="BJ38" i="10"/>
  <c r="BJ80" i="10"/>
  <c r="BC64" i="10"/>
  <c r="BC69" i="10"/>
  <c r="AV60" i="10"/>
  <c r="CE57" i="10"/>
  <c r="AV68" i="10"/>
  <c r="CE86" i="10"/>
  <c r="AV93" i="10"/>
  <c r="CE59" i="10"/>
  <c r="AV42" i="10"/>
  <c r="BJ33" i="10"/>
  <c r="CE68" i="10"/>
  <c r="BG89" i="10"/>
  <c r="CE50" i="10"/>
  <c r="CE17" i="10"/>
  <c r="CB75" i="10"/>
  <c r="BJ60" i="10"/>
  <c r="CB66" i="10"/>
  <c r="AZ73" i="10"/>
  <c r="BG16" i="10"/>
  <c r="AV66" i="10"/>
  <c r="AV59" i="10"/>
  <c r="AS93" i="10"/>
  <c r="CE80" i="10"/>
  <c r="BJ39" i="10"/>
  <c r="BX38" i="10"/>
  <c r="CB68" i="10"/>
  <c r="BU68" i="10"/>
  <c r="CE76" i="10"/>
  <c r="CE36" i="10"/>
  <c r="CE93" i="10"/>
  <c r="BG34" i="10"/>
  <c r="BU92" i="10"/>
  <c r="AS68" i="10"/>
  <c r="CB74" i="10"/>
  <c r="BG81" i="10"/>
  <c r="CB88" i="10"/>
  <c r="CB50" i="10"/>
  <c r="AS63" i="10"/>
  <c r="AZ67" i="10"/>
  <c r="AS57" i="10"/>
  <c r="BU77" i="10"/>
  <c r="BG51" i="10"/>
  <c r="AS30" i="10"/>
  <c r="BU87" i="10"/>
  <c r="AS33" i="10"/>
  <c r="CB60" i="10"/>
  <c r="AV24" i="10"/>
  <c r="BU60" i="10"/>
  <c r="CB51" i="10"/>
  <c r="BG74" i="10"/>
  <c r="BJ50" i="10"/>
  <c r="AS66" i="10"/>
  <c r="BU66" i="10"/>
  <c r="CB80" i="10"/>
  <c r="AV36" i="10"/>
  <c r="BU57" i="10"/>
  <c r="CE21" i="10"/>
  <c r="BJ18" i="10"/>
  <c r="CE15" i="10"/>
  <c r="BU93" i="10"/>
  <c r="CE51" i="10"/>
  <c r="BX39" i="10"/>
  <c r="CB46" i="10"/>
  <c r="AV77" i="10"/>
  <c r="AV15" i="10"/>
  <c r="BU89" i="10"/>
  <c r="AB101" i="10"/>
  <c r="BJ87" i="10"/>
  <c r="CE82" i="10"/>
  <c r="BJ13" i="10"/>
  <c r="CE13" i="10"/>
  <c r="AV51" i="10"/>
  <c r="AS77" i="10"/>
  <c r="AV74" i="10"/>
  <c r="BU76" i="10"/>
  <c r="AS76" i="10"/>
  <c r="AS41" i="10"/>
  <c r="BU59" i="10"/>
  <c r="AS59" i="10"/>
  <c r="AV86" i="10"/>
  <c r="AS24" i="10"/>
  <c r="AS51" i="10"/>
  <c r="BU51" i="10"/>
  <c r="CB77" i="10"/>
  <c r="AS53" i="10"/>
  <c r="AL69" i="10"/>
  <c r="BG36" i="10"/>
  <c r="BG24" i="10"/>
  <c r="AV89" i="10"/>
  <c r="AS86" i="10"/>
  <c r="BU86" i="10"/>
  <c r="BG63" i="10"/>
  <c r="BG18" i="10"/>
  <c r="BJ88" i="10"/>
  <c r="BU34" i="10"/>
  <c r="AS34" i="10"/>
  <c r="CE38" i="10"/>
  <c r="BU33" i="10"/>
  <c r="BU17" i="10"/>
  <c r="AS17" i="10"/>
  <c r="BU82" i="10"/>
  <c r="BJ89" i="10"/>
  <c r="CB39" i="10"/>
  <c r="CB33" i="10"/>
  <c r="BG86" i="10"/>
  <c r="CB92" i="10"/>
  <c r="AV75" i="10"/>
  <c r="AV76" i="10"/>
  <c r="AG101" i="10"/>
  <c r="AS88" i="10"/>
  <c r="BU88" i="10"/>
  <c r="J53" i="10"/>
  <c r="CD53" i="10" s="1"/>
  <c r="AV27" i="10"/>
  <c r="AZ44" i="10"/>
  <c r="BG70" i="10"/>
  <c r="AL49" i="10"/>
  <c r="BH101" i="10"/>
  <c r="BQ32" i="10"/>
  <c r="AQ101" i="10"/>
  <c r="BG71" i="10"/>
  <c r="CE88" i="10"/>
  <c r="CB24" i="10"/>
  <c r="AS16" i="10"/>
  <c r="BU16" i="10"/>
  <c r="BU36" i="10"/>
  <c r="BC81" i="10"/>
  <c r="I29" i="10"/>
  <c r="CA29" i="10" s="1"/>
  <c r="BU58" i="10"/>
  <c r="AS58" i="10"/>
  <c r="CE24" i="10"/>
  <c r="BU12" i="10"/>
  <c r="AV87" i="10"/>
  <c r="AO12" i="10"/>
  <c r="AM101" i="10"/>
  <c r="BX79" i="10"/>
  <c r="BU39" i="10"/>
  <c r="AS39" i="10"/>
  <c r="BE101" i="10"/>
  <c r="R101" i="10"/>
  <c r="Z101" i="10"/>
  <c r="AV50" i="10"/>
  <c r="CE12" i="10"/>
  <c r="AE101" i="10"/>
  <c r="BA101" i="10"/>
  <c r="W101" i="10"/>
  <c r="CE92" i="10"/>
  <c r="AL12" i="10"/>
  <c r="AJ101" i="10"/>
  <c r="AO65" i="10"/>
  <c r="AS83" i="10"/>
  <c r="BU83" i="10"/>
  <c r="AT101" i="10"/>
  <c r="AS87" i="10"/>
  <c r="BN85" i="10"/>
  <c r="AX101" i="10"/>
  <c r="CB12" i="10"/>
  <c r="BC65" i="10"/>
  <c r="BU46" i="10"/>
  <c r="AS46" i="10"/>
  <c r="U101" i="10"/>
  <c r="BU38" i="10"/>
  <c r="AS38" i="10"/>
  <c r="AV78" i="10"/>
  <c r="BU78" i="10"/>
  <c r="AS78" i="10"/>
  <c r="I35" i="10"/>
  <c r="BT35" i="10" s="1"/>
  <c r="AS70" i="10"/>
  <c r="AV21" i="10"/>
  <c r="AZ49" i="10"/>
  <c r="AZ27" i="10"/>
  <c r="BJ32" i="10"/>
  <c r="BC20" i="10"/>
  <c r="AZ28" i="10"/>
  <c r="AV37" i="10"/>
  <c r="CE22" i="10"/>
  <c r="J54" i="10"/>
  <c r="BW54" i="10" s="1"/>
  <c r="BX67" i="10"/>
  <c r="AV28" i="10"/>
  <c r="J84" i="10"/>
  <c r="CD84" i="10" s="1"/>
  <c r="BJ55" i="10"/>
  <c r="BG61" i="10"/>
  <c r="BJ14" i="10"/>
  <c r="AL20" i="10"/>
  <c r="BN45" i="10"/>
  <c r="BJ19" i="10"/>
  <c r="AZ47" i="10"/>
  <c r="J42" i="10"/>
  <c r="BP42" i="10" s="1"/>
  <c r="BC14" i="10"/>
  <c r="BQ40" i="10"/>
  <c r="BC23" i="10"/>
  <c r="AS28" i="10"/>
  <c r="AS49" i="10"/>
  <c r="I45" i="10"/>
  <c r="CA45" i="10" s="1"/>
  <c r="AO79" i="10"/>
  <c r="AL40" i="10"/>
  <c r="AV56" i="10"/>
  <c r="BG48" i="10"/>
  <c r="BJ52" i="10"/>
  <c r="BC37" i="10"/>
  <c r="J56" i="10"/>
  <c r="CD56" i="10" s="1"/>
  <c r="AV29" i="10"/>
  <c r="BG73" i="10"/>
  <c r="AO22" i="10"/>
  <c r="AL71" i="10"/>
  <c r="BQ70" i="10"/>
  <c r="AZ48" i="10"/>
  <c r="BJ81" i="10"/>
  <c r="AV81" i="10"/>
  <c r="BC41" i="10"/>
  <c r="AV73" i="10"/>
  <c r="BN81" i="10"/>
  <c r="BG32" i="10"/>
  <c r="H101" i="10"/>
  <c r="AS81" i="10"/>
  <c r="AS21" i="10"/>
  <c r="J26" i="10"/>
  <c r="CD26" i="10" s="1"/>
  <c r="I81" i="10"/>
  <c r="BT81" i="10" s="1"/>
  <c r="J43" i="10"/>
  <c r="BW43" i="10" s="1"/>
  <c r="I48" i="10"/>
  <c r="CA48" i="10" s="1"/>
  <c r="J70" i="10"/>
  <c r="CD70" i="10" s="1"/>
  <c r="CE90" i="10"/>
  <c r="I53" i="10"/>
  <c r="BM53" i="10" s="1"/>
  <c r="J73" i="10"/>
  <c r="BP73" i="10" s="1"/>
  <c r="CB72" i="10"/>
  <c r="BC30" i="10"/>
  <c r="BC54" i="10"/>
  <c r="AV47" i="10"/>
  <c r="AS26" i="10"/>
  <c r="AL54" i="10"/>
  <c r="AS40" i="10"/>
  <c r="AZ20" i="10"/>
  <c r="AZ70" i="10"/>
  <c r="BC40" i="10"/>
  <c r="J61" i="10"/>
  <c r="BW61" i="10" s="1"/>
  <c r="P101" i="10"/>
  <c r="BJ63" i="10"/>
  <c r="I43" i="10"/>
  <c r="CA43" i="10" s="1"/>
  <c r="J52" i="10"/>
  <c r="BW52" i="10" s="1"/>
  <c r="AV45" i="10"/>
  <c r="AV71" i="10"/>
  <c r="AS52" i="10"/>
  <c r="BJ35" i="10"/>
  <c r="AS22" i="10"/>
  <c r="AV72" i="10"/>
  <c r="CE37" i="10"/>
  <c r="CE62" i="10"/>
  <c r="AL37" i="10"/>
  <c r="AL31" i="10"/>
  <c r="AZ45" i="10"/>
  <c r="BQ54" i="10"/>
  <c r="AL25" i="10"/>
  <c r="BC31" i="10"/>
  <c r="BU21" i="10"/>
  <c r="BN69" i="10"/>
  <c r="BC52" i="10"/>
  <c r="AL58" i="10"/>
  <c r="BN58" i="10"/>
  <c r="BQ97" i="10"/>
  <c r="CB71" i="10"/>
  <c r="BX92" i="10"/>
  <c r="AL50" i="10"/>
  <c r="BN50" i="10"/>
  <c r="AO68" i="10"/>
  <c r="BQ68" i="10"/>
  <c r="AO78" i="10"/>
  <c r="BQ78" i="10"/>
  <c r="AO77" i="10"/>
  <c r="BQ77" i="10"/>
  <c r="BC74" i="10"/>
  <c r="J74" i="10"/>
  <c r="BW74" i="10" s="1"/>
  <c r="J83" i="10"/>
  <c r="BW83" i="10" s="1"/>
  <c r="BC83" i="10"/>
  <c r="I66" i="10"/>
  <c r="AZ66" i="10"/>
  <c r="I26" i="10"/>
  <c r="BT26" i="10" s="1"/>
  <c r="BX45" i="10"/>
  <c r="AV96" i="10"/>
  <c r="J30" i="10"/>
  <c r="BW30" i="10" s="1"/>
  <c r="I28" i="10"/>
  <c r="BM28" i="10" s="1"/>
  <c r="AS43" i="10"/>
  <c r="AS100" i="10"/>
  <c r="AR100" i="10"/>
  <c r="I55" i="10"/>
  <c r="BM55" i="10" s="1"/>
  <c r="I79" i="10"/>
  <c r="BT79" i="10" s="1"/>
  <c r="J91" i="10"/>
  <c r="S91" i="10" s="1"/>
  <c r="AS97" i="10"/>
  <c r="BC73" i="10"/>
  <c r="BX84" i="10"/>
  <c r="J21" i="10"/>
  <c r="BP21" i="10" s="1"/>
  <c r="AV25" i="10"/>
  <c r="BU71" i="10"/>
  <c r="BN97" i="10"/>
  <c r="CB42" i="10"/>
  <c r="BN53" i="10"/>
  <c r="BQ63" i="10"/>
  <c r="AO45" i="10"/>
  <c r="AL79" i="10"/>
  <c r="CB25" i="10"/>
  <c r="BQ71" i="10"/>
  <c r="CB31" i="10"/>
  <c r="BC85" i="10"/>
  <c r="J22" i="10"/>
  <c r="BP22" i="10" s="1"/>
  <c r="AS45" i="10"/>
  <c r="BN64" i="10"/>
  <c r="BC97" i="10"/>
  <c r="AV67" i="10"/>
  <c r="AO62" i="10"/>
  <c r="BU41" i="10"/>
  <c r="CB41" i="10"/>
  <c r="AL48" i="10"/>
  <c r="AO56" i="10"/>
  <c r="CB30" i="10"/>
  <c r="AO32" i="10"/>
  <c r="AL95" i="10"/>
  <c r="AO49" i="10"/>
  <c r="BG42" i="10"/>
  <c r="BX77" i="10"/>
  <c r="BC91" i="10"/>
  <c r="BN14" i="10"/>
  <c r="BU23" i="10"/>
  <c r="CB19" i="10"/>
  <c r="AL15" i="10"/>
  <c r="BN15" i="10"/>
  <c r="AL59" i="10"/>
  <c r="BN59" i="10"/>
  <c r="AL39" i="10"/>
  <c r="BN39" i="10"/>
  <c r="AO18" i="10"/>
  <c r="BQ18" i="10"/>
  <c r="AZ50" i="10"/>
  <c r="I50" i="10"/>
  <c r="BC92" i="10"/>
  <c r="J92" i="10"/>
  <c r="AH92" i="10" s="1"/>
  <c r="AZ34" i="10"/>
  <c r="I34" i="10"/>
  <c r="I93" i="10"/>
  <c r="AF93" i="10" s="1"/>
  <c r="AZ93" i="10"/>
  <c r="AS90" i="10"/>
  <c r="BX91" i="10"/>
  <c r="I85" i="10"/>
  <c r="BT85" i="10" s="1"/>
  <c r="J28" i="10"/>
  <c r="BW28" i="10" s="1"/>
  <c r="I62" i="10"/>
  <c r="BT62" i="10" s="1"/>
  <c r="I27" i="10"/>
  <c r="BM27" i="10" s="1"/>
  <c r="AS27" i="10"/>
  <c r="AZ55" i="10"/>
  <c r="BX23" i="10"/>
  <c r="AZ85" i="10"/>
  <c r="AZ96" i="10"/>
  <c r="AS14" i="10"/>
  <c r="BC90" i="10"/>
  <c r="AV49" i="10"/>
  <c r="CE56" i="10"/>
  <c r="BX14" i="10"/>
  <c r="AV70" i="10"/>
  <c r="CE98" i="10"/>
  <c r="BQ96" i="10"/>
  <c r="CE27" i="10"/>
  <c r="BJ61" i="10"/>
  <c r="AL81" i="10"/>
  <c r="BU61" i="10"/>
  <c r="BC62" i="10"/>
  <c r="BU43" i="10"/>
  <c r="BG49" i="10"/>
  <c r="CE30" i="10"/>
  <c r="BJ23" i="10"/>
  <c r="BU35" i="10"/>
  <c r="AL100" i="10"/>
  <c r="AK100" i="10"/>
  <c r="BQ37" i="10"/>
  <c r="CB69" i="10"/>
  <c r="CE61" i="10"/>
  <c r="BJ72" i="10"/>
  <c r="BN79" i="10"/>
  <c r="BG14" i="10"/>
  <c r="CE42" i="10"/>
  <c r="CB100" i="10"/>
  <c r="CA100" i="10"/>
  <c r="CB48" i="10"/>
  <c r="CB98" i="10"/>
  <c r="BX83" i="10"/>
  <c r="BG92" i="10"/>
  <c r="AL51" i="10"/>
  <c r="BN51" i="10"/>
  <c r="I98" i="10"/>
  <c r="CA98" i="10" s="1"/>
  <c r="BU95" i="10"/>
  <c r="CE45" i="10"/>
  <c r="BN47" i="10"/>
  <c r="BX16" i="10"/>
  <c r="AL82" i="10"/>
  <c r="BN82" i="10"/>
  <c r="AO60" i="10"/>
  <c r="BQ60" i="10"/>
  <c r="AO87" i="10"/>
  <c r="BQ87" i="10"/>
  <c r="AO36" i="10"/>
  <c r="BQ36" i="10"/>
  <c r="AO13" i="10"/>
  <c r="BQ13" i="10"/>
  <c r="J33" i="10"/>
  <c r="BW33" i="10" s="1"/>
  <c r="BC33" i="10"/>
  <c r="I33" i="10"/>
  <c r="AZ33" i="10"/>
  <c r="AS67" i="10"/>
  <c r="BC26" i="10"/>
  <c r="AV85" i="10"/>
  <c r="J25" i="10"/>
  <c r="CD25" i="10" s="1"/>
  <c r="BC27" i="10"/>
  <c r="BG94" i="10"/>
  <c r="AZ91" i="10"/>
  <c r="AS29" i="10"/>
  <c r="AO27" i="10"/>
  <c r="BX41" i="10"/>
  <c r="AS62" i="10"/>
  <c r="BC32" i="10"/>
  <c r="BQ56" i="10"/>
  <c r="BC98" i="10"/>
  <c r="BJ98" i="10"/>
  <c r="CE48" i="10"/>
  <c r="BJ27" i="10"/>
  <c r="J94" i="10"/>
  <c r="AH94" i="10" s="1"/>
  <c r="CE63" i="10"/>
  <c r="BC84" i="10"/>
  <c r="AL97" i="10"/>
  <c r="BU63" i="10"/>
  <c r="CB64" i="10"/>
  <c r="CE72" i="10"/>
  <c r="AL72" i="10"/>
  <c r="CB28" i="10"/>
  <c r="BC22" i="10"/>
  <c r="AL67" i="10"/>
  <c r="AO25" i="10"/>
  <c r="BU26" i="10"/>
  <c r="BQ42" i="10"/>
  <c r="BN30" i="10"/>
  <c r="AL45" i="10"/>
  <c r="AL30" i="10"/>
  <c r="CB40" i="10"/>
  <c r="BG23" i="10"/>
  <c r="BU30" i="10"/>
  <c r="CE52" i="10"/>
  <c r="BX50" i="10"/>
  <c r="BJ93" i="10"/>
  <c r="AL13" i="10"/>
  <c r="BN13" i="10"/>
  <c r="AZ19" i="10"/>
  <c r="AN100" i="10"/>
  <c r="AO100" i="10"/>
  <c r="CE32" i="10"/>
  <c r="AL33" i="10"/>
  <c r="BN33" i="10"/>
  <c r="AO38" i="10"/>
  <c r="BQ38" i="10"/>
  <c r="AO82" i="10"/>
  <c r="BQ82" i="10"/>
  <c r="AO92" i="10"/>
  <c r="BQ92" i="10"/>
  <c r="BC68" i="10"/>
  <c r="J68" i="10"/>
  <c r="J82" i="10"/>
  <c r="BW82" i="10" s="1"/>
  <c r="BC82" i="10"/>
  <c r="AZ77" i="10"/>
  <c r="I77" i="10"/>
  <c r="BC39" i="10"/>
  <c r="J39" i="10"/>
  <c r="I67" i="10"/>
  <c r="BT67" i="10" s="1"/>
  <c r="I32" i="10"/>
  <c r="BT32" i="10" s="1"/>
  <c r="BX85" i="10"/>
  <c r="AS32" i="10"/>
  <c r="BJ65" i="10"/>
  <c r="AS44" i="10"/>
  <c r="AV20" i="10"/>
  <c r="AV14" i="10"/>
  <c r="I95" i="10"/>
  <c r="Q95" i="10" s="1"/>
  <c r="BJ69" i="10"/>
  <c r="AV91" i="10"/>
  <c r="AL41" i="10"/>
  <c r="AS64" i="10"/>
  <c r="AS20" i="10"/>
  <c r="BN44" i="10"/>
  <c r="AV65" i="10"/>
  <c r="AZ79" i="10"/>
  <c r="BU81" i="10"/>
  <c r="I23" i="10"/>
  <c r="CA23" i="10" s="1"/>
  <c r="AL62" i="10"/>
  <c r="BX61" i="10"/>
  <c r="BQ62" i="10"/>
  <c r="BU55" i="10"/>
  <c r="BG26" i="10"/>
  <c r="CB90" i="10"/>
  <c r="AL28" i="10"/>
  <c r="AL22" i="10"/>
  <c r="CB61" i="10"/>
  <c r="BQ23" i="10"/>
  <c r="CE25" i="10"/>
  <c r="AS48" i="10"/>
  <c r="BG65" i="10"/>
  <c r="BN32" i="10"/>
  <c r="AL70" i="10"/>
  <c r="CB20" i="10"/>
  <c r="BJ53" i="10"/>
  <c r="CE71" i="10"/>
  <c r="BU49" i="10"/>
  <c r="AV98" i="10"/>
  <c r="BQ29" i="10"/>
  <c r="BG96" i="10"/>
  <c r="AL24" i="10"/>
  <c r="BN24" i="10"/>
  <c r="AL18" i="10"/>
  <c r="BN18" i="10"/>
  <c r="AL16" i="10"/>
  <c r="BN16" i="10"/>
  <c r="J89" i="10"/>
  <c r="BC89" i="10"/>
  <c r="AZ60" i="10"/>
  <c r="I60" i="10"/>
  <c r="BC78" i="10"/>
  <c r="J78" i="10"/>
  <c r="BJ85" i="10"/>
  <c r="I84" i="10"/>
  <c r="BT84" i="10" s="1"/>
  <c r="J55" i="10"/>
  <c r="BW55" i="10" s="1"/>
  <c r="J98" i="10"/>
  <c r="AU98" i="10" s="1"/>
  <c r="AV43" i="10"/>
  <c r="I72" i="10"/>
  <c r="BM72" i="10" s="1"/>
  <c r="BX44" i="10"/>
  <c r="I97" i="10"/>
  <c r="AF97" i="10" s="1"/>
  <c r="CB27" i="10"/>
  <c r="BC79" i="10"/>
  <c r="AV19" i="10"/>
  <c r="AV31" i="10"/>
  <c r="BX97" i="10"/>
  <c r="BX98" i="10"/>
  <c r="BJ84" i="10"/>
  <c r="I90" i="10"/>
  <c r="Q90" i="10" s="1"/>
  <c r="AV22" i="10"/>
  <c r="AV40" i="10"/>
  <c r="AS37" i="10"/>
  <c r="I42" i="10"/>
  <c r="CA42" i="10" s="1"/>
  <c r="CE97" i="10"/>
  <c r="BU14" i="10"/>
  <c r="BN90" i="10"/>
  <c r="BJ56" i="10"/>
  <c r="AZ65" i="10"/>
  <c r="AZ64" i="10"/>
  <c r="AO29" i="10"/>
  <c r="BJ44" i="10"/>
  <c r="BQ19" i="10"/>
  <c r="BN26" i="10"/>
  <c r="BP100" i="10"/>
  <c r="BQ100" i="10"/>
  <c r="AO90" i="10"/>
  <c r="CB49" i="10"/>
  <c r="BC21" i="10"/>
  <c r="AL73" i="10"/>
  <c r="BG25" i="10"/>
  <c r="BG55" i="10"/>
  <c r="CE23" i="10"/>
  <c r="BJ90" i="10"/>
  <c r="AO73" i="10"/>
  <c r="BG56" i="10"/>
  <c r="BQ45" i="10"/>
  <c r="CB21" i="10"/>
  <c r="BX58" i="10"/>
  <c r="BB100" i="10"/>
  <c r="BC100" i="10"/>
  <c r="AL34" i="10"/>
  <c r="BN34" i="10"/>
  <c r="AL66" i="10"/>
  <c r="BN66" i="10"/>
  <c r="BC80" i="10"/>
  <c r="J80" i="10"/>
  <c r="BW80" i="10" s="1"/>
  <c r="I13" i="10"/>
  <c r="AZ13" i="10"/>
  <c r="BC18" i="10"/>
  <c r="J18" i="10"/>
  <c r="BW18" i="10" s="1"/>
  <c r="BX95" i="10"/>
  <c r="J69" i="10"/>
  <c r="BW69" i="10" s="1"/>
  <c r="BG40" i="10"/>
  <c r="BX71" i="10"/>
  <c r="BJ97" i="10"/>
  <c r="BX22" i="10"/>
  <c r="AS35" i="10"/>
  <c r="AV79" i="10"/>
  <c r="AS72" i="10"/>
  <c r="AO26" i="10"/>
  <c r="I30" i="10"/>
  <c r="CA30" i="10" s="1"/>
  <c r="AS65" i="10"/>
  <c r="AS98" i="10"/>
  <c r="I64" i="10"/>
  <c r="BM64" i="10" s="1"/>
  <c r="BC28" i="10"/>
  <c r="CE79" i="10"/>
  <c r="BN29" i="10"/>
  <c r="BJ64" i="10"/>
  <c r="CB81" i="10"/>
  <c r="CE29" i="10"/>
  <c r="BU84" i="10"/>
  <c r="BN19" i="10"/>
  <c r="J65" i="10"/>
  <c r="CD65" i="10" s="1"/>
  <c r="AO61" i="10"/>
  <c r="BQ94" i="10"/>
  <c r="BN48" i="10"/>
  <c r="CE26" i="10"/>
  <c r="AL47" i="10"/>
  <c r="CE73" i="10"/>
  <c r="BQ95" i="10"/>
  <c r="BQ22" i="10"/>
  <c r="BN56" i="10"/>
  <c r="BQ52" i="10"/>
  <c r="CE95" i="10"/>
  <c r="BG29" i="10"/>
  <c r="BU27" i="10"/>
  <c r="BU45" i="10"/>
  <c r="AL35" i="10"/>
  <c r="BX75" i="10"/>
  <c r="BX80" i="10"/>
  <c r="AO88" i="10"/>
  <c r="BQ88" i="10"/>
  <c r="BC13" i="10"/>
  <c r="J13" i="10"/>
  <c r="BW13" i="10" s="1"/>
  <c r="AL60" i="10"/>
  <c r="BN60" i="10"/>
  <c r="AL78" i="10"/>
  <c r="BN78" i="10"/>
  <c r="AO74" i="10"/>
  <c r="BQ74" i="10"/>
  <c r="AZ82" i="10"/>
  <c r="I82" i="10"/>
  <c r="I74" i="10"/>
  <c r="AZ74" i="10"/>
  <c r="I46" i="10"/>
  <c r="AZ46" i="10"/>
  <c r="AZ83" i="10"/>
  <c r="I83" i="10"/>
  <c r="BC16" i="10"/>
  <c r="J16" i="10"/>
  <c r="BW16" i="10" s="1"/>
  <c r="BC87" i="10"/>
  <c r="J87" i="10"/>
  <c r="BW87" i="10" s="1"/>
  <c r="I65" i="10"/>
  <c r="BM65" i="10" s="1"/>
  <c r="BG98" i="10"/>
  <c r="I91" i="10"/>
  <c r="AY91" i="10" s="1"/>
  <c r="J48" i="10"/>
  <c r="CD48" i="10" s="1"/>
  <c r="AS25" i="10"/>
  <c r="AS55" i="10"/>
  <c r="BG91" i="10"/>
  <c r="AO30" i="10"/>
  <c r="AV62" i="10"/>
  <c r="BX35" i="10"/>
  <c r="BX21" i="10"/>
  <c r="BC70" i="10"/>
  <c r="I63" i="10"/>
  <c r="CA63" i="10" s="1"/>
  <c r="CE43" i="10"/>
  <c r="CE28" i="10"/>
  <c r="BU96" i="10"/>
  <c r="AO71" i="10"/>
  <c r="BX26" i="10"/>
  <c r="BG85" i="10"/>
  <c r="AO14" i="10"/>
  <c r="BQ61" i="10"/>
  <c r="BG44" i="10"/>
  <c r="CB35" i="10"/>
  <c r="AV64" i="10"/>
  <c r="CE67" i="10"/>
  <c r="BQ64" i="10"/>
  <c r="BN43" i="10"/>
  <c r="BU47" i="10"/>
  <c r="AO96" i="10"/>
  <c r="AZ21" i="10"/>
  <c r="AO54" i="10"/>
  <c r="BQ47" i="10"/>
  <c r="AO48" i="10"/>
  <c r="BU40" i="10"/>
  <c r="AZ22" i="10"/>
  <c r="BG47" i="10"/>
  <c r="BJ94" i="10"/>
  <c r="CB45" i="10"/>
  <c r="BX24" i="10"/>
  <c r="BX36" i="10"/>
  <c r="AL36" i="10"/>
  <c r="BN36" i="10"/>
  <c r="AO24" i="10"/>
  <c r="BQ24" i="10"/>
  <c r="BC76" i="10"/>
  <c r="J76" i="10"/>
  <c r="BW76" i="10" s="1"/>
  <c r="J58" i="10"/>
  <c r="BW58" i="10" s="1"/>
  <c r="BC58" i="10"/>
  <c r="BC17" i="10"/>
  <c r="J17" i="10"/>
  <c r="BW17" i="10" s="1"/>
  <c r="J51" i="10"/>
  <c r="BW51" i="10" s="1"/>
  <c r="BC51" i="10"/>
  <c r="J32" i="10"/>
  <c r="CD32" i="10" s="1"/>
  <c r="I41" i="10"/>
  <c r="BT41" i="10" s="1"/>
  <c r="AO84" i="10"/>
  <c r="BF100" i="10"/>
  <c r="BG100" i="10"/>
  <c r="BG84" i="10"/>
  <c r="BX37" i="10"/>
  <c r="BX29" i="10"/>
  <c r="AS94" i="10"/>
  <c r="I70" i="10"/>
  <c r="CA70" i="10" s="1"/>
  <c r="BJ48" i="10"/>
  <c r="AZ54" i="10"/>
  <c r="I25" i="10"/>
  <c r="BM25" i="10" s="1"/>
  <c r="AV94" i="10"/>
  <c r="AZ84" i="10"/>
  <c r="AZ40" i="10"/>
  <c r="CE54" i="10"/>
  <c r="AL27" i="10"/>
  <c r="AZ52" i="10"/>
  <c r="AL55" i="10"/>
  <c r="AO98" i="10"/>
  <c r="BG53" i="10"/>
  <c r="BX47" i="10"/>
  <c r="CD100" i="10"/>
  <c r="CE100" i="10"/>
  <c r="BJ29" i="10"/>
  <c r="BN27" i="10"/>
  <c r="BQ43" i="10"/>
  <c r="BU53" i="10"/>
  <c r="AZ30" i="10"/>
  <c r="AO53" i="10"/>
  <c r="CB95" i="10"/>
  <c r="BJ62" i="10"/>
  <c r="AO23" i="10"/>
  <c r="BN84" i="10"/>
  <c r="AO21" i="10"/>
  <c r="CB53" i="10"/>
  <c r="BX15" i="10"/>
  <c r="AO89" i="10"/>
  <c r="BQ89" i="10"/>
  <c r="AO15" i="10"/>
  <c r="BQ15" i="10"/>
  <c r="AO57" i="10"/>
  <c r="BQ57" i="10"/>
  <c r="I75" i="10"/>
  <c r="AZ75" i="10"/>
  <c r="BC59" i="10"/>
  <c r="J59" i="10"/>
  <c r="I68" i="10"/>
  <c r="AZ68" i="10"/>
  <c r="I86" i="10"/>
  <c r="AZ86" i="10"/>
  <c r="I47" i="10"/>
  <c r="CA47" i="10" s="1"/>
  <c r="J96" i="10"/>
  <c r="AH96" i="10" s="1"/>
  <c r="BC25" i="10"/>
  <c r="AO97" i="10"/>
  <c r="AZ42" i="10"/>
  <c r="J47" i="10"/>
  <c r="CD47" i="10" s="1"/>
  <c r="J79" i="10"/>
  <c r="CD79" i="10" s="1"/>
  <c r="BX19" i="10"/>
  <c r="BJ28" i="10"/>
  <c r="J63" i="10"/>
  <c r="BP63" i="10" s="1"/>
  <c r="BX42" i="10"/>
  <c r="BC56" i="10"/>
  <c r="CB29" i="10"/>
  <c r="I71" i="10"/>
  <c r="BC19" i="10"/>
  <c r="J49" i="10"/>
  <c r="BP49" i="10" s="1"/>
  <c r="AL29" i="10"/>
  <c r="BQ73" i="10"/>
  <c r="BG45" i="10"/>
  <c r="BG97" i="10"/>
  <c r="BU94" i="10"/>
  <c r="CE49" i="10"/>
  <c r="BN95" i="10"/>
  <c r="BN28" i="10"/>
  <c r="AO42" i="10"/>
  <c r="AS31" i="10"/>
  <c r="CE69" i="10"/>
  <c r="BQ98" i="10"/>
  <c r="BN23" i="10"/>
  <c r="AZ71" i="10"/>
  <c r="BN98" i="10"/>
  <c r="AL84" i="10"/>
  <c r="AL23" i="10"/>
  <c r="BJ42" i="10"/>
  <c r="BU48" i="10"/>
  <c r="J23" i="10"/>
  <c r="BP23" i="10" s="1"/>
  <c r="BC72" i="10"/>
  <c r="AO41" i="10"/>
  <c r="AL56" i="10"/>
  <c r="CE14" i="10"/>
  <c r="CC101" i="10"/>
  <c r="CE101" i="10" s="1"/>
  <c r="BX93" i="10"/>
  <c r="BX51" i="10"/>
  <c r="BX88" i="10"/>
  <c r="AO75" i="10"/>
  <c r="BQ75" i="10"/>
  <c r="AL92" i="10"/>
  <c r="BN92" i="10"/>
  <c r="AL88" i="10"/>
  <c r="BN88" i="10"/>
  <c r="AZ24" i="10"/>
  <c r="I24" i="10"/>
  <c r="I80" i="10"/>
  <c r="AZ80" i="10"/>
  <c r="I89" i="10"/>
  <c r="AZ89" i="10"/>
  <c r="BX94" i="10"/>
  <c r="I56" i="10"/>
  <c r="CA56" i="10" s="1"/>
  <c r="BJ100" i="10"/>
  <c r="BI100" i="10"/>
  <c r="BX32" i="10"/>
  <c r="BX40" i="10"/>
  <c r="BC42" i="10"/>
  <c r="BX27" i="10"/>
  <c r="AV30" i="10"/>
  <c r="BG90" i="10"/>
  <c r="BJ67" i="10"/>
  <c r="BQ55" i="10"/>
  <c r="BJ21" i="10"/>
  <c r="AL14" i="10"/>
  <c r="BU69" i="10"/>
  <c r="BJ40" i="10"/>
  <c r="I37" i="10"/>
  <c r="BT37" i="10" s="1"/>
  <c r="BU79" i="10"/>
  <c r="AZ37" i="10"/>
  <c r="BG20" i="10"/>
  <c r="BN96" i="10"/>
  <c r="BU28" i="10"/>
  <c r="CE41" i="10"/>
  <c r="BU65" i="10"/>
  <c r="AS91" i="10"/>
  <c r="AO43" i="10"/>
  <c r="BU97" i="10"/>
  <c r="BN35" i="10"/>
  <c r="CE35" i="10"/>
  <c r="BX68" i="10"/>
  <c r="BX87" i="10"/>
  <c r="AO59" i="10"/>
  <c r="BQ59" i="10"/>
  <c r="AL38" i="10"/>
  <c r="BN38" i="10"/>
  <c r="J93" i="10"/>
  <c r="BW93" i="10" s="1"/>
  <c r="BC93" i="10"/>
  <c r="I18" i="10"/>
  <c r="AZ18" i="10"/>
  <c r="BC48" i="10"/>
  <c r="AV63" i="10"/>
  <c r="AL26" i="10"/>
  <c r="AV26" i="10"/>
  <c r="BQ44" i="10"/>
  <c r="BX52" i="10"/>
  <c r="BX49" i="10"/>
  <c r="I44" i="10"/>
  <c r="BT44" i="10" s="1"/>
  <c r="AV97" i="10"/>
  <c r="BU44" i="10"/>
  <c r="J64" i="10"/>
  <c r="BP64" i="10" s="1"/>
  <c r="BG64" i="10"/>
  <c r="AO64" i="10"/>
  <c r="BN65" i="10"/>
  <c r="CE96" i="10"/>
  <c r="CE85" i="10"/>
  <c r="AZ72" i="10"/>
  <c r="AO52" i="10"/>
  <c r="BQ41" i="10"/>
  <c r="BC44" i="10"/>
  <c r="BQ79" i="10"/>
  <c r="AO20" i="10"/>
  <c r="BQ84" i="10"/>
  <c r="AL90" i="10"/>
  <c r="BQ28" i="10"/>
  <c r="BJ37" i="10"/>
  <c r="BG95" i="10"/>
  <c r="BQ91" i="10"/>
  <c r="AZ25" i="10"/>
  <c r="AV53" i="10"/>
  <c r="AO81" i="10"/>
  <c r="CB62" i="10"/>
  <c r="BU37" i="10"/>
  <c r="CB63" i="10"/>
  <c r="BQ14" i="10"/>
  <c r="BX60" i="10"/>
  <c r="AL80" i="10"/>
  <c r="BN80" i="10"/>
  <c r="AO80" i="10"/>
  <c r="BQ80" i="10"/>
  <c r="AZ17" i="10"/>
  <c r="I17" i="10"/>
  <c r="BC77" i="10"/>
  <c r="J77" i="10"/>
  <c r="BW77" i="10" s="1"/>
  <c r="I76" i="10"/>
  <c r="AZ76" i="10"/>
  <c r="BC60" i="10"/>
  <c r="J60" i="10"/>
  <c r="BW60" i="10" s="1"/>
  <c r="I19" i="10"/>
  <c r="BM19" i="10" s="1"/>
  <c r="I20" i="10"/>
  <c r="BM20" i="10" s="1"/>
  <c r="AS95" i="10"/>
  <c r="I40" i="10"/>
  <c r="BM40" i="10" s="1"/>
  <c r="I52" i="10"/>
  <c r="BT52" i="10" s="1"/>
  <c r="I96" i="10"/>
  <c r="BT96" i="10" s="1"/>
  <c r="AZ62" i="10"/>
  <c r="BC94" i="10"/>
  <c r="BJ45" i="10"/>
  <c r="BX63" i="10"/>
  <c r="BU20" i="10"/>
  <c r="J37" i="10"/>
  <c r="BW37" i="10" s="1"/>
  <c r="AV44" i="10"/>
  <c r="AO44" i="10"/>
  <c r="AV61" i="10"/>
  <c r="BJ71" i="10"/>
  <c r="BU90" i="10"/>
  <c r="AS42" i="10"/>
  <c r="AZ29" i="10"/>
  <c r="AO72" i="10"/>
  <c r="BU29" i="10"/>
  <c r="BN31" i="10"/>
  <c r="CB94" i="10"/>
  <c r="BJ43" i="10"/>
  <c r="BN70" i="10"/>
  <c r="BU42" i="10"/>
  <c r="AO40" i="10"/>
  <c r="CE47" i="10"/>
  <c r="BU32" i="10"/>
  <c r="CB56" i="10"/>
  <c r="BQ72" i="10"/>
  <c r="BJ25" i="10"/>
  <c r="CB85" i="10"/>
  <c r="BN52" i="10"/>
  <c r="BN37" i="10"/>
  <c r="BN20" i="10"/>
  <c r="CB23" i="10"/>
  <c r="BG93" i="10"/>
  <c r="AO83" i="10"/>
  <c r="BQ83" i="10"/>
  <c r="AO93" i="10"/>
  <c r="BQ93" i="10"/>
  <c r="AO39" i="10"/>
  <c r="BQ39" i="10"/>
  <c r="AO58" i="10"/>
  <c r="BQ58" i="10"/>
  <c r="AL89" i="10"/>
  <c r="BN89" i="10"/>
  <c r="BC86" i="10"/>
  <c r="J86" i="10"/>
  <c r="I36" i="10"/>
  <c r="AZ36" i="10"/>
  <c r="J19" i="10"/>
  <c r="BW19" i="10" s="1"/>
  <c r="AV69" i="10"/>
  <c r="J45" i="10"/>
  <c r="BW45" i="10" s="1"/>
  <c r="BU54" i="10"/>
  <c r="J95" i="10"/>
  <c r="X95" i="10" s="1"/>
  <c r="AL96" i="10"/>
  <c r="BC35" i="10"/>
  <c r="BN21" i="10"/>
  <c r="AZ53" i="10"/>
  <c r="BC63" i="10"/>
  <c r="CB67" i="10"/>
  <c r="BQ85" i="10"/>
  <c r="BQ69" i="10"/>
  <c r="BG62" i="10"/>
  <c r="CB47" i="10"/>
  <c r="BU19" i="10"/>
  <c r="BQ25" i="10"/>
  <c r="J31" i="10"/>
  <c r="CD31" i="10" s="1"/>
  <c r="BG43" i="10"/>
  <c r="BG69" i="10"/>
  <c r="BG35" i="10"/>
  <c r="AL64" i="10"/>
  <c r="BU72" i="10"/>
  <c r="BC61" i="10"/>
  <c r="AO70" i="10"/>
  <c r="BU67" i="10"/>
  <c r="AL61" i="10"/>
  <c r="BC29" i="10"/>
  <c r="BQ81" i="10"/>
  <c r="AL52" i="10"/>
  <c r="CE44" i="10"/>
  <c r="BG19" i="10"/>
  <c r="CE70" i="10"/>
  <c r="BC45" i="10"/>
  <c r="BQ27" i="10"/>
  <c r="I69" i="10"/>
  <c r="BT69" i="10" s="1"/>
  <c r="BX76" i="10"/>
  <c r="BX34" i="10"/>
  <c r="BX25" i="10"/>
  <c r="AO51" i="10"/>
  <c r="BQ51" i="10"/>
  <c r="AO50" i="10"/>
  <c r="BQ50" i="10"/>
  <c r="AL57" i="10"/>
  <c r="BN57" i="10"/>
  <c r="BC38" i="10"/>
  <c r="J38" i="10"/>
  <c r="J24" i="10"/>
  <c r="BW24" i="10" s="1"/>
  <c r="BC24" i="10"/>
  <c r="AZ88" i="10"/>
  <c r="I88" i="10"/>
  <c r="AZ59" i="10"/>
  <c r="I59" i="10"/>
  <c r="BC95" i="10"/>
  <c r="BC96" i="10"/>
  <c r="BX64" i="10"/>
  <c r="AZ32" i="10"/>
  <c r="AZ41" i="10"/>
  <c r="J85" i="10"/>
  <c r="BW85" i="10" s="1"/>
  <c r="J81" i="10"/>
  <c r="BW81" i="10" s="1"/>
  <c r="BJ91" i="10"/>
  <c r="BX56" i="10"/>
  <c r="AZ43" i="10"/>
  <c r="J44" i="10"/>
  <c r="BP44" i="10" s="1"/>
  <c r="BG72" i="10"/>
  <c r="BX31" i="10"/>
  <c r="J14" i="10"/>
  <c r="BW14" i="10" s="1"/>
  <c r="I22" i="10"/>
  <c r="BT22" i="10" s="1"/>
  <c r="AS84" i="10"/>
  <c r="AZ23" i="10"/>
  <c r="BX20" i="10"/>
  <c r="BN73" i="10"/>
  <c r="CE81" i="10"/>
  <c r="AL53" i="10"/>
  <c r="CE31" i="10"/>
  <c r="BQ49" i="10"/>
  <c r="BU64" i="10"/>
  <c r="BQ31" i="10"/>
  <c r="AO91" i="10"/>
  <c r="CB70" i="10"/>
  <c r="I49" i="10"/>
  <c r="BT49" i="10" s="1"/>
  <c r="CB84" i="10"/>
  <c r="CB91" i="10"/>
  <c r="CB65" i="10"/>
  <c r="CB73" i="10"/>
  <c r="BQ65" i="10"/>
  <c r="BG30" i="10"/>
  <c r="AL65" i="10"/>
  <c r="AV54" i="10"/>
  <c r="BJ79" i="10"/>
  <c r="BJ70" i="10"/>
  <c r="CB44" i="10"/>
  <c r="BN63" i="10"/>
  <c r="BJ73" i="10"/>
  <c r="AL42" i="10"/>
  <c r="BN49" i="10"/>
  <c r="BJ92" i="10"/>
  <c r="AO34" i="10"/>
  <c r="BQ34" i="10"/>
  <c r="AL46" i="10"/>
  <c r="BN46" i="10"/>
  <c r="AL83" i="10"/>
  <c r="BN83" i="10"/>
  <c r="AO46" i="10"/>
  <c r="BQ46" i="10"/>
  <c r="BC34" i="10"/>
  <c r="J34" i="10"/>
  <c r="BW34" i="10" s="1"/>
  <c r="I15" i="10"/>
  <c r="AZ15" i="10"/>
  <c r="J15" i="10"/>
  <c r="BW15" i="10" s="1"/>
  <c r="BC15" i="10"/>
  <c r="AZ51" i="10"/>
  <c r="I51" i="10"/>
  <c r="AV52" i="10"/>
  <c r="BX81" i="10"/>
  <c r="J27" i="10"/>
  <c r="BP27" i="10" s="1"/>
  <c r="CE64" i="10"/>
  <c r="BX30" i="10"/>
  <c r="J40" i="10"/>
  <c r="CD40" i="10" s="1"/>
  <c r="BX70" i="10"/>
  <c r="AU100" i="10"/>
  <c r="AV100" i="10"/>
  <c r="AV95" i="10"/>
  <c r="BX48" i="10"/>
  <c r="I94" i="10"/>
  <c r="Q94" i="10" s="1"/>
  <c r="BX28" i="10"/>
  <c r="AS73" i="10"/>
  <c r="AL94" i="10"/>
  <c r="AO69" i="10"/>
  <c r="CE91" i="10"/>
  <c r="AZ69" i="10"/>
  <c r="BN25" i="10"/>
  <c r="CB54" i="10"/>
  <c r="AV32" i="10"/>
  <c r="AO47" i="10"/>
  <c r="AV84" i="10"/>
  <c r="AO31" i="10"/>
  <c r="AO35" i="10"/>
  <c r="AZ35" i="10"/>
  <c r="CE65" i="10"/>
  <c r="CB55" i="10"/>
  <c r="BQ67" i="10"/>
  <c r="BN41" i="10"/>
  <c r="BJ47" i="10"/>
  <c r="BU62" i="10"/>
  <c r="BN67" i="10"/>
  <c r="BN54" i="10"/>
  <c r="BQ35" i="10"/>
  <c r="AO85" i="10"/>
  <c r="BX82" i="10"/>
  <c r="BC36" i="10"/>
  <c r="J36" i="10"/>
  <c r="BW36" i="10" s="1"/>
  <c r="AL74" i="10"/>
  <c r="BN74" i="10"/>
  <c r="AL17" i="10"/>
  <c r="BN17" i="10"/>
  <c r="AO76" i="10"/>
  <c r="BQ76" i="10"/>
  <c r="AO66" i="10"/>
  <c r="BQ66" i="10"/>
  <c r="J46" i="10"/>
  <c r="BC46" i="10"/>
  <c r="BX65" i="10"/>
  <c r="BX90" i="10"/>
  <c r="AZ97" i="10"/>
  <c r="BX73" i="10"/>
  <c r="AZ98" i="10"/>
  <c r="BQ21" i="10"/>
  <c r="J67" i="10"/>
  <c r="CD67" i="10" s="1"/>
  <c r="AV23" i="10"/>
  <c r="BX55" i="10"/>
  <c r="AZ14" i="10"/>
  <c r="BC71" i="10"/>
  <c r="J35" i="10"/>
  <c r="BW35" i="10" s="1"/>
  <c r="CE19" i="10"/>
  <c r="AL32" i="10"/>
  <c r="BT100" i="10"/>
  <c r="BU100" i="10"/>
  <c r="BJ20" i="10"/>
  <c r="AV48" i="10"/>
  <c r="CE53" i="10"/>
  <c r="BU85" i="10"/>
  <c r="BX54" i="10"/>
  <c r="BJ54" i="10"/>
  <c r="BU56" i="10"/>
  <c r="AZ90" i="10"/>
  <c r="AL43" i="10"/>
  <c r="BC53" i="10"/>
  <c r="BU25" i="10"/>
  <c r="CE40" i="10"/>
  <c r="BG21" i="10"/>
  <c r="CE20" i="10"/>
  <c r="BN94" i="10"/>
  <c r="CE84" i="10"/>
  <c r="CE55" i="10"/>
  <c r="BG27" i="10"/>
  <c r="BU52" i="10"/>
  <c r="BN22" i="10"/>
  <c r="AL85" i="10"/>
  <c r="AL91" i="10"/>
  <c r="AO28" i="10"/>
  <c r="AO63" i="10"/>
  <c r="BQ48" i="10"/>
  <c r="BX74" i="10"/>
  <c r="I16" i="10"/>
  <c r="AZ16" i="10"/>
  <c r="AL77" i="10"/>
  <c r="BN77" i="10"/>
  <c r="AL75" i="10"/>
  <c r="BN75" i="10"/>
  <c r="AL86" i="10"/>
  <c r="BN86" i="10"/>
  <c r="AO17" i="10"/>
  <c r="BQ17" i="10"/>
  <c r="BC57" i="10"/>
  <c r="J57" i="10"/>
  <c r="I57" i="10"/>
  <c r="AZ57" i="10"/>
  <c r="J88" i="10"/>
  <c r="BC88" i="10"/>
  <c r="I78" i="10"/>
  <c r="AZ78" i="10"/>
  <c r="BX53" i="10"/>
  <c r="BJ31" i="10"/>
  <c r="J97" i="10"/>
  <c r="S97" i="10" s="1"/>
  <c r="AZ94" i="10"/>
  <c r="BG79" i="10"/>
  <c r="J20" i="10"/>
  <c r="BP20" i="10" s="1"/>
  <c r="AS56" i="10"/>
  <c r="J62" i="10"/>
  <c r="BW62" i="10" s="1"/>
  <c r="BX43" i="10"/>
  <c r="J71" i="10"/>
  <c r="BW71" i="10" s="1"/>
  <c r="AZ95" i="10"/>
  <c r="BX96" i="10"/>
  <c r="I31" i="10"/>
  <c r="BM31" i="10" s="1"/>
  <c r="BJ95" i="10"/>
  <c r="AZ31" i="10"/>
  <c r="AS69" i="10"/>
  <c r="BJ96" i="10"/>
  <c r="BJ26" i="10"/>
  <c r="BJ49" i="10"/>
  <c r="BN55" i="10"/>
  <c r="BJ30" i="10"/>
  <c r="BU31" i="10"/>
  <c r="BJ41" i="10"/>
  <c r="CB52" i="10"/>
  <c r="BN40" i="10"/>
  <c r="CB97" i="10"/>
  <c r="AS61" i="10"/>
  <c r="BQ26" i="10"/>
  <c r="AL98" i="10"/>
  <c r="BU22" i="10"/>
  <c r="AO67" i="10"/>
  <c r="BN42" i="10"/>
  <c r="CB43" i="10"/>
  <c r="BQ30" i="10"/>
  <c r="BN100" i="10"/>
  <c r="BM100" i="10"/>
  <c r="BX17" i="10"/>
  <c r="BC50" i="10"/>
  <c r="J50" i="10"/>
  <c r="BW50" i="10" s="1"/>
  <c r="AL87" i="10"/>
  <c r="BN87" i="10"/>
  <c r="AO86" i="10"/>
  <c r="BQ86" i="10"/>
  <c r="AL68" i="10"/>
  <c r="BN68" i="10"/>
  <c r="AL76" i="10"/>
  <c r="BN76" i="10"/>
  <c r="AZ39" i="10"/>
  <c r="I39" i="10"/>
  <c r="J66" i="10"/>
  <c r="BC66" i="10"/>
  <c r="I38" i="10"/>
  <c r="AZ38" i="10"/>
  <c r="I61" i="10"/>
  <c r="J72" i="10"/>
  <c r="BJ22" i="10"/>
  <c r="J41" i="10"/>
  <c r="BP41" i="10" s="1"/>
  <c r="J90" i="10"/>
  <c r="AN90" i="10" s="1"/>
  <c r="I14" i="10"/>
  <c r="BM14" i="10" s="1"/>
  <c r="BC55" i="10"/>
  <c r="I54" i="10"/>
  <c r="CA54" i="10" s="1"/>
  <c r="AV35" i="10"/>
  <c r="AV55" i="10"/>
  <c r="AZ63" i="10"/>
  <c r="AV90" i="10"/>
  <c r="AV41" i="10"/>
  <c r="AZ100" i="10"/>
  <c r="AY100" i="10"/>
  <c r="AS96" i="10"/>
  <c r="BG37" i="10"/>
  <c r="BG41" i="10"/>
  <c r="CE94" i="10"/>
  <c r="AL63" i="10"/>
  <c r="BC47" i="10"/>
  <c r="BN62" i="10"/>
  <c r="BG54" i="10"/>
  <c r="CB96" i="10"/>
  <c r="AS19" i="10"/>
  <c r="AO37" i="10"/>
  <c r="AO55" i="10"/>
  <c r="BN72" i="10"/>
  <c r="BU98" i="10"/>
  <c r="BN71" i="10"/>
  <c r="AO94" i="10"/>
  <c r="BN91" i="10"/>
  <c r="BG67" i="10"/>
  <c r="AL44" i="10"/>
  <c r="BN61" i="10"/>
  <c r="AO19" i="10"/>
  <c r="CB79" i="10"/>
  <c r="I21" i="10"/>
  <c r="CA21" i="10" s="1"/>
  <c r="AL19" i="10"/>
  <c r="CB14" i="10"/>
  <c r="BX33" i="10"/>
  <c r="BX13" i="10"/>
  <c r="AO16" i="10"/>
  <c r="BQ16" i="10"/>
  <c r="AO33" i="10"/>
  <c r="BQ33" i="10"/>
  <c r="AL93" i="10"/>
  <c r="BN93" i="10"/>
  <c r="AZ92" i="10"/>
  <c r="I92" i="10"/>
  <c r="J75" i="10"/>
  <c r="BW75" i="10" s="1"/>
  <c r="BC75" i="10"/>
  <c r="AZ87" i="10"/>
  <c r="I87" i="10"/>
  <c r="AZ58" i="10"/>
  <c r="I58" i="10"/>
  <c r="BX100" i="10"/>
  <c r="BW100" i="10"/>
  <c r="BX72" i="10"/>
  <c r="BX69" i="10"/>
  <c r="BX62" i="10"/>
  <c r="I73" i="10"/>
  <c r="BT73" i="10" s="1"/>
  <c r="J29" i="10"/>
  <c r="CD29" i="10" s="1"/>
  <c r="CB32" i="10"/>
  <c r="CB37" i="10"/>
  <c r="BQ90" i="10"/>
  <c r="CB26" i="10"/>
  <c r="BQ53" i="10"/>
  <c r="BG31" i="10"/>
  <c r="BQ20" i="10"/>
  <c r="BU70" i="10"/>
  <c r="BG28" i="10"/>
  <c r="BU73" i="10"/>
  <c r="BU91" i="10"/>
  <c r="CB22" i="10"/>
  <c r="BG22" i="10"/>
  <c r="AO95" i="10"/>
  <c r="BX18" i="10"/>
  <c r="BX57" i="10"/>
  <c r="L660" i="20"/>
  <c r="L814" i="20"/>
  <c r="L1007" i="20"/>
  <c r="L789" i="20"/>
  <c r="L863" i="20"/>
  <c r="L1136" i="20"/>
  <c r="L927" i="20"/>
  <c r="L895" i="20"/>
  <c r="L1088" i="20"/>
  <c r="L1035" i="20"/>
  <c r="L1217" i="20"/>
  <c r="L1228" i="20"/>
  <c r="L723" i="20"/>
  <c r="L953" i="20"/>
  <c r="L1114" i="20"/>
  <c r="L976" i="20"/>
  <c r="L1054" i="20"/>
  <c r="L756" i="20"/>
  <c r="L877" i="20"/>
  <c r="L714" i="20"/>
  <c r="L1164" i="20"/>
  <c r="L1191" i="20"/>
  <c r="M953" i="20"/>
  <c r="M789" i="20"/>
  <c r="M863" i="20"/>
  <c r="M1136" i="20"/>
  <c r="M1054" i="20"/>
  <c r="M1228" i="20"/>
  <c r="M1088" i="20"/>
  <c r="M1114" i="20"/>
  <c r="M1007" i="20"/>
  <c r="M1191" i="20"/>
  <c r="M723" i="20"/>
  <c r="M877" i="20"/>
  <c r="M1217" i="20"/>
  <c r="M1035" i="20"/>
  <c r="M976" i="20"/>
  <c r="M1164" i="20"/>
  <c r="M756" i="20"/>
  <c r="M895" i="20"/>
  <c r="M927" i="20"/>
  <c r="M714" i="20"/>
  <c r="M660" i="20"/>
  <c r="M814" i="20"/>
  <c r="M104" i="20"/>
  <c r="M909" i="20"/>
  <c r="AX131" i="10"/>
  <c r="T109" i="10"/>
  <c r="AX110" i="10"/>
  <c r="BA130" i="10"/>
  <c r="BA114" i="10"/>
  <c r="AX128" i="10"/>
  <c r="P119" i="10"/>
  <c r="U109" i="10"/>
  <c r="U119" i="10"/>
  <c r="AW112" i="10"/>
  <c r="L909" i="20"/>
  <c r="AX117" i="10"/>
  <c r="AX126" i="10"/>
  <c r="AX116" i="10"/>
  <c r="BA117" i="10"/>
  <c r="BA121" i="10"/>
  <c r="AW109" i="10"/>
  <c r="AQ109" i="10"/>
  <c r="BA116" i="10"/>
  <c r="AW114" i="10"/>
  <c r="AW116" i="10"/>
  <c r="BA115" i="10"/>
  <c r="AX119" i="10"/>
  <c r="AQ120" i="10"/>
  <c r="BA129" i="10"/>
  <c r="AX114" i="10"/>
  <c r="AX111" i="10"/>
  <c r="BA113" i="10"/>
  <c r="AX113" i="10"/>
  <c r="BA109" i="10"/>
  <c r="AX129" i="10"/>
  <c r="BA111" i="10"/>
  <c r="BA108" i="10"/>
  <c r="AW111" i="10"/>
  <c r="AW130" i="10"/>
  <c r="AX109" i="10"/>
  <c r="AX122" i="10"/>
  <c r="BA125" i="10"/>
  <c r="AW128" i="10"/>
  <c r="BA118" i="10"/>
  <c r="AP120" i="10"/>
  <c r="BA123" i="10"/>
  <c r="BA131" i="10"/>
  <c r="AW118" i="10"/>
  <c r="AW122" i="10"/>
  <c r="AX125" i="10"/>
  <c r="AT120" i="10"/>
  <c r="BA120" i="10"/>
  <c r="W119" i="10"/>
  <c r="AP119" i="10"/>
  <c r="AW119" i="10"/>
  <c r="O120" i="10"/>
  <c r="AW120" i="10"/>
  <c r="W120" i="10"/>
  <c r="AQ119" i="10"/>
  <c r="T119" i="10"/>
  <c r="R109" i="10"/>
  <c r="AT119" i="10"/>
  <c r="BA119" i="10"/>
  <c r="U120" i="10"/>
  <c r="J8" i="13"/>
  <c r="P120" i="10"/>
  <c r="R120" i="10"/>
  <c r="O119" i="10"/>
  <c r="R119" i="10"/>
  <c r="AW108" i="10"/>
  <c r="AX120" i="10"/>
  <c r="AW110" i="10"/>
  <c r="M1071" i="20"/>
  <c r="L1069" i="20"/>
  <c r="AM120" i="10"/>
  <c r="AJ119" i="10"/>
  <c r="AM119" i="10"/>
  <c r="AI119" i="10"/>
  <c r="AJ120" i="10"/>
  <c r="AI120" i="10"/>
  <c r="AE119" i="10"/>
  <c r="BG119" i="10" s="1"/>
  <c r="AE120" i="10"/>
  <c r="BG120" i="10" s="1"/>
  <c r="AD119" i="10"/>
  <c r="AD120" i="10"/>
  <c r="AG119" i="10"/>
  <c r="BJ119" i="10" s="1"/>
  <c r="AG120" i="10"/>
  <c r="BJ120" i="10" s="1"/>
  <c r="Y119" i="10"/>
  <c r="AB120" i="10"/>
  <c r="AB119" i="10"/>
  <c r="Z120" i="10"/>
  <c r="Z119" i="10"/>
  <c r="Y120" i="10"/>
  <c r="L61" i="20"/>
  <c r="M1069" i="20"/>
  <c r="K119" i="10" a="1"/>
  <c r="K119" i="10" s="1"/>
  <c r="L119" i="10" a="1"/>
  <c r="L119" i="10" s="1"/>
  <c r="K120" i="10" a="1"/>
  <c r="K120" i="10" s="1"/>
  <c r="L120" i="10" a="1"/>
  <c r="L120" i="10" s="1"/>
  <c r="H119" i="10"/>
  <c r="H120" i="10"/>
  <c r="AW125" i="10"/>
  <c r="O109" i="10"/>
  <c r="AX115" i="10"/>
  <c r="AP109" i="10"/>
  <c r="AW117" i="10"/>
  <c r="AW113" i="10"/>
  <c r="W109" i="10"/>
  <c r="AT109" i="10"/>
  <c r="AX121" i="10"/>
  <c r="P109" i="10"/>
  <c r="AX123" i="10"/>
  <c r="AX127" i="10"/>
  <c r="AW121" i="10"/>
  <c r="AW127" i="10"/>
  <c r="AW129" i="10"/>
  <c r="AX130" i="10"/>
  <c r="AW115" i="10"/>
  <c r="BA126" i="10"/>
  <c r="BA122" i="10"/>
  <c r="BA128" i="10"/>
  <c r="BA127" i="10"/>
  <c r="BA112" i="10"/>
  <c r="AW123" i="10"/>
  <c r="AX118" i="10"/>
  <c r="AW126" i="10"/>
  <c r="AW131" i="10"/>
  <c r="AX108" i="10"/>
  <c r="BA110" i="10"/>
  <c r="AX112" i="10"/>
  <c r="AJ109" i="10"/>
  <c r="AI109" i="10"/>
  <c r="AM109" i="10"/>
  <c r="AE109" i="10"/>
  <c r="BG109" i="10" s="1"/>
  <c r="AD109" i="10"/>
  <c r="AG109" i="10"/>
  <c r="BJ109" i="10" s="1"/>
  <c r="AB109" i="10"/>
  <c r="H109" i="10"/>
  <c r="Z109" i="10"/>
  <c r="L109" i="10" a="1"/>
  <c r="L109" i="10" s="1"/>
  <c r="Y109" i="10"/>
  <c r="K109" i="10" a="1"/>
  <c r="K109" i="10" s="1"/>
  <c r="M61" i="20"/>
  <c r="M1072" i="20"/>
  <c r="L1071" i="20"/>
  <c r="L905" i="20"/>
  <c r="L1072" i="20"/>
  <c r="M1066" i="20"/>
  <c r="L104" i="20"/>
  <c r="L1066" i="20"/>
  <c r="L1067" i="20"/>
  <c r="L1068" i="20"/>
  <c r="M758" i="20"/>
  <c r="M648" i="20"/>
  <c r="M672" i="20"/>
  <c r="M906" i="20"/>
  <c r="M513" i="20"/>
  <c r="M479" i="20"/>
  <c r="M706" i="20"/>
  <c r="M539" i="20"/>
  <c r="M586" i="20"/>
  <c r="L586" i="20"/>
  <c r="L758" i="20"/>
  <c r="L648" i="20"/>
  <c r="L672" i="20"/>
  <c r="L906" i="20"/>
  <c r="L513" i="20"/>
  <c r="L479" i="20"/>
  <c r="L706" i="20"/>
  <c r="L539" i="20"/>
  <c r="L1003" i="20"/>
  <c r="L1031" i="20"/>
  <c r="L1002" i="20"/>
  <c r="L1032" i="20"/>
  <c r="L1052" i="20"/>
  <c r="L1053" i="20"/>
  <c r="M905" i="20"/>
  <c r="M1067" i="20"/>
  <c r="M1031" i="20"/>
  <c r="M1052" i="20"/>
  <c r="M1053" i="20"/>
  <c r="M1003" i="20"/>
  <c r="M1032" i="20"/>
  <c r="M1002" i="20"/>
  <c r="M1068" i="20"/>
  <c r="M583" i="20"/>
  <c r="L583" i="20"/>
  <c r="AT112" i="10"/>
  <c r="AT130" i="10"/>
  <c r="AP112" i="10"/>
  <c r="AP110" i="10"/>
  <c r="AP108" i="10"/>
  <c r="AP127" i="10"/>
  <c r="AT126" i="10"/>
  <c r="AQ130" i="10"/>
  <c r="AQ123" i="10"/>
  <c r="AQ128" i="10"/>
  <c r="AT129" i="10"/>
  <c r="AT125" i="10"/>
  <c r="AP128" i="10"/>
  <c r="AT127" i="10"/>
  <c r="AQ127" i="10"/>
  <c r="AT118" i="10"/>
  <c r="AP116" i="10"/>
  <c r="AP113" i="10"/>
  <c r="AP122" i="10"/>
  <c r="AQ125" i="10"/>
  <c r="AP125" i="10"/>
  <c r="AT123" i="10"/>
  <c r="AQ116" i="10"/>
  <c r="AQ113" i="10"/>
  <c r="AQ110" i="10"/>
  <c r="AP123" i="10"/>
  <c r="AT121" i="10"/>
  <c r="AQ121" i="10"/>
  <c r="AP121" i="10"/>
  <c r="AT113" i="10"/>
  <c r="AQ131" i="10"/>
  <c r="AQ126" i="10"/>
  <c r="AT115" i="10"/>
  <c r="AQ117" i="10"/>
  <c r="AP117" i="10"/>
  <c r="AT116" i="10"/>
  <c r="AT110" i="10"/>
  <c r="AP129" i="10"/>
  <c r="AQ112" i="10"/>
  <c r="AT114" i="10"/>
  <c r="AQ114" i="10"/>
  <c r="AP114" i="10"/>
  <c r="AT131" i="10"/>
  <c r="AT108" i="10"/>
  <c r="AQ108" i="10"/>
  <c r="AT111" i="10"/>
  <c r="AQ111" i="10"/>
  <c r="AP111" i="10"/>
  <c r="AQ129" i="10"/>
  <c r="AT122" i="10"/>
  <c r="AQ118" i="10"/>
  <c r="AP130" i="10"/>
  <c r="AP131" i="10"/>
  <c r="AT128" i="10"/>
  <c r="AP126" i="10"/>
  <c r="AQ122" i="10"/>
  <c r="AP118" i="10"/>
  <c r="AT117" i="10"/>
  <c r="AQ115" i="10"/>
  <c r="AP115" i="10"/>
  <c r="J4" i="13"/>
  <c r="J10" i="13"/>
  <c r="J5" i="13"/>
  <c r="J6" i="13"/>
  <c r="J7" i="13"/>
  <c r="L165" i="20"/>
  <c r="L600" i="20"/>
  <c r="L201" i="20"/>
  <c r="L108" i="20"/>
  <c r="L320" i="20"/>
  <c r="L36" i="20"/>
  <c r="L1146" i="20"/>
  <c r="L1099" i="20"/>
  <c r="L1009" i="20"/>
  <c r="L902" i="20"/>
  <c r="L66" i="20"/>
  <c r="L152" i="20"/>
  <c r="L142" i="20"/>
  <c r="L44" i="20"/>
  <c r="L99" i="20"/>
  <c r="L315" i="20"/>
  <c r="L114" i="20"/>
  <c r="L180" i="20"/>
  <c r="L76" i="20"/>
  <c r="L978" i="20"/>
  <c r="L128" i="20"/>
  <c r="L402" i="20"/>
  <c r="L727" i="20"/>
  <c r="L844" i="20"/>
  <c r="L249" i="20"/>
  <c r="L53" i="20"/>
  <c r="L430" i="20"/>
  <c r="L543" i="20"/>
  <c r="L364" i="20"/>
  <c r="L792" i="20"/>
  <c r="L297" i="20"/>
  <c r="L32" i="20"/>
  <c r="L872" i="20"/>
  <c r="L625" i="20"/>
  <c r="L232" i="20"/>
  <c r="L270" i="20"/>
  <c r="L378" i="20"/>
  <c r="L478" i="20"/>
  <c r="L692" i="20"/>
  <c r="L341" i="20"/>
  <c r="L936" i="20"/>
  <c r="L1197" i="20"/>
  <c r="L1040" i="20"/>
  <c r="L657" i="20"/>
  <c r="L568" i="20"/>
  <c r="L453" i="20"/>
  <c r="L214" i="20"/>
  <c r="L286" i="20"/>
  <c r="L514" i="20"/>
  <c r="L1173" i="20"/>
  <c r="L761" i="20"/>
  <c r="L1063" i="20"/>
  <c r="L822" i="20"/>
  <c r="L958" i="20"/>
  <c r="L1189" i="20"/>
  <c r="L500" i="20"/>
  <c r="L1211" i="20"/>
  <c r="L1081" i="20"/>
  <c r="L779" i="20"/>
  <c r="L801" i="20"/>
  <c r="L1027" i="20"/>
  <c r="L523" i="20"/>
  <c r="L558" i="20"/>
  <c r="L1001" i="20"/>
  <c r="L683" i="20"/>
  <c r="L922" i="20"/>
  <c r="L591" i="20"/>
  <c r="L742" i="20"/>
  <c r="L644" i="20"/>
  <c r="L619" i="20"/>
  <c r="L1157" i="20"/>
  <c r="L780" i="20"/>
  <c r="L592" i="20"/>
  <c r="L885" i="20"/>
  <c r="L923" i="20"/>
  <c r="L701" i="20"/>
  <c r="L436" i="20"/>
  <c r="L499" i="20"/>
  <c r="L435" i="20"/>
  <c r="L839" i="20"/>
  <c r="L971" i="20"/>
  <c r="L524" i="20"/>
  <c r="L618" i="20"/>
  <c r="L741" i="20"/>
  <c r="L682" i="20"/>
  <c r="L1128" i="20"/>
  <c r="L1232" i="20"/>
  <c r="L417" i="20"/>
  <c r="L470" i="20"/>
  <c r="L559" i="20"/>
  <c r="L886" i="20"/>
  <c r="L858" i="20"/>
  <c r="L800" i="20"/>
  <c r="L859" i="20"/>
  <c r="L840" i="20"/>
  <c r="L471" i="20"/>
  <c r="L643" i="20"/>
  <c r="L418" i="20"/>
  <c r="L972" i="20"/>
  <c r="L1000" i="20"/>
  <c r="L948" i="20"/>
  <c r="L949" i="20"/>
  <c r="L1080" i="20"/>
  <c r="L702" i="20"/>
  <c r="L1028" i="20"/>
  <c r="L30" i="20"/>
  <c r="L64" i="20"/>
  <c r="L125" i="20"/>
  <c r="L41" i="20"/>
  <c r="L224" i="20"/>
  <c r="L97" i="20"/>
  <c r="L20" i="20"/>
  <c r="L13" i="20"/>
  <c r="L257" i="20"/>
  <c r="L274" i="20"/>
  <c r="L237" i="20"/>
  <c r="L294" i="20"/>
  <c r="L316" i="20"/>
  <c r="L1070" i="20"/>
  <c r="L1206" i="20"/>
  <c r="M511" i="20"/>
  <c r="M455" i="20"/>
  <c r="M426" i="20"/>
  <c r="M573" i="20"/>
  <c r="M481" i="20"/>
  <c r="M540" i="20"/>
  <c r="M382" i="20"/>
  <c r="M404" i="20"/>
  <c r="M8" i="20"/>
  <c r="M50" i="20"/>
  <c r="M138" i="20"/>
  <c r="M120" i="20"/>
  <c r="M40" i="20"/>
  <c r="M29" i="20"/>
  <c r="M190" i="20"/>
  <c r="M174" i="20"/>
  <c r="M243" i="20"/>
  <c r="M96" i="20"/>
  <c r="M278" i="20"/>
  <c r="M60" i="20"/>
  <c r="M225" i="20"/>
  <c r="M73" i="20"/>
  <c r="M88" i="20"/>
  <c r="M261" i="20"/>
  <c r="M19" i="20"/>
  <c r="M208" i="20"/>
  <c r="M14" i="20"/>
  <c r="L510" i="20"/>
  <c r="L301" i="20"/>
  <c r="L425" i="20"/>
  <c r="L1181" i="20"/>
  <c r="L65" i="20"/>
  <c r="L143" i="20"/>
  <c r="L107" i="20"/>
  <c r="L101" i="20"/>
  <c r="L728" i="20"/>
  <c r="L845" i="20"/>
  <c r="L129" i="20"/>
  <c r="L153" i="20"/>
  <c r="L253" i="20"/>
  <c r="L166" i="20"/>
  <c r="L87" i="20"/>
  <c r="L829" i="20"/>
  <c r="L569" i="20"/>
  <c r="L77" i="20"/>
  <c r="L228" i="20"/>
  <c r="L323" i="20"/>
  <c r="L1123" i="20"/>
  <c r="L115" i="20"/>
  <c r="L365" i="20"/>
  <c r="L604" i="20"/>
  <c r="L693" i="20"/>
  <c r="L534" i="20"/>
  <c r="L198" i="20"/>
  <c r="L636" i="20"/>
  <c r="L874" i="20"/>
  <c r="L403" i="20"/>
  <c r="L662" i="20"/>
  <c r="L794" i="20"/>
  <c r="L457" i="20"/>
  <c r="L1075" i="20"/>
  <c r="L1208" i="20"/>
  <c r="L181" i="20"/>
  <c r="L762" i="20"/>
  <c r="L1159" i="20"/>
  <c r="L1013" i="20"/>
  <c r="L480" i="20"/>
  <c r="L903" i="20"/>
  <c r="L1105" i="20"/>
  <c r="L1178" i="20"/>
  <c r="L1203" i="20"/>
  <c r="L937" i="20"/>
  <c r="L802" i="20"/>
  <c r="L985" i="20"/>
  <c r="L545" i="20"/>
  <c r="L879" i="20"/>
  <c r="L576" i="20"/>
  <c r="L601" i="20"/>
  <c r="L517" i="20"/>
  <c r="L764" i="20"/>
  <c r="L824" i="20"/>
  <c r="L668" i="20"/>
  <c r="L1064" i="20"/>
  <c r="L912" i="20"/>
  <c r="L634" i="20"/>
  <c r="L1015" i="20"/>
  <c r="L1150" i="20"/>
  <c r="L1045" i="20"/>
  <c r="L734" i="20"/>
  <c r="L1124" i="20"/>
  <c r="L485" i="20"/>
  <c r="L849" i="20"/>
  <c r="L960" i="20"/>
  <c r="L709" i="20"/>
  <c r="M532" i="20"/>
  <c r="M335" i="20"/>
  <c r="M1143" i="20"/>
  <c r="M892" i="20"/>
  <c r="M1093" i="20"/>
  <c r="M264" i="20"/>
  <c r="M562" i="20"/>
  <c r="M594" i="20"/>
  <c r="M280" i="20"/>
  <c r="M421" i="20"/>
  <c r="M245" i="20"/>
  <c r="M925" i="20"/>
  <c r="M210" i="20"/>
  <c r="M689" i="20"/>
  <c r="M192" i="20"/>
  <c r="M447" i="20"/>
  <c r="M227" i="20"/>
  <c r="M720" i="20"/>
  <c r="M621" i="20"/>
  <c r="M783" i="20"/>
  <c r="M1030" i="20"/>
  <c r="M752" i="20"/>
  <c r="M473" i="20"/>
  <c r="M377" i="20"/>
  <c r="M651" i="20"/>
  <c r="M810" i="20"/>
  <c r="M314" i="20"/>
  <c r="M396" i="20"/>
  <c r="M1190" i="20"/>
  <c r="M995" i="20"/>
  <c r="M868" i="20"/>
  <c r="M359" i="20"/>
  <c r="M502" i="20"/>
  <c r="M951" i="20"/>
  <c r="L1016" i="20"/>
  <c r="L516" i="20"/>
  <c r="L850" i="20"/>
  <c r="L1065" i="20"/>
  <c r="L1179" i="20"/>
  <c r="L735" i="20"/>
  <c r="L578" i="20"/>
  <c r="L669" i="20"/>
  <c r="L1046" i="20"/>
  <c r="L826" i="20"/>
  <c r="L961" i="20"/>
  <c r="L486" i="20"/>
  <c r="L1204" i="20"/>
  <c r="L635" i="20"/>
  <c r="L546" i="20"/>
  <c r="L765" i="20"/>
  <c r="L1125" i="20"/>
  <c r="L1151" i="20"/>
  <c r="L880" i="20"/>
  <c r="L1107" i="20"/>
  <c r="L603" i="20"/>
  <c r="L986" i="20"/>
  <c r="L938" i="20"/>
  <c r="L703" i="20"/>
  <c r="L910" i="20"/>
  <c r="L803" i="20"/>
  <c r="L140" i="20"/>
  <c r="L306" i="20"/>
  <c r="L149" i="20"/>
  <c r="L173" i="20"/>
  <c r="L223" i="20"/>
  <c r="L160" i="20"/>
  <c r="L582" i="20"/>
  <c r="L255" i="20"/>
  <c r="L392" i="20"/>
  <c r="L271" i="20"/>
  <c r="L409" i="20"/>
  <c r="L242" i="20"/>
  <c r="L373" i="20"/>
  <c r="L344" i="20"/>
  <c r="L191" i="20"/>
  <c r="L712" i="20"/>
  <c r="L325" i="20"/>
  <c r="L289" i="20"/>
  <c r="L492" i="20"/>
  <c r="L647" i="20"/>
  <c r="L807" i="20"/>
  <c r="L613" i="20"/>
  <c r="L771" i="20"/>
  <c r="L474" i="20"/>
  <c r="L832" i="20"/>
  <c r="L526" i="20"/>
  <c r="L438" i="20"/>
  <c r="L207" i="20"/>
  <c r="L748" i="20"/>
  <c r="L550" i="20"/>
  <c r="L1186" i="20"/>
  <c r="L584" i="20"/>
  <c r="L530" i="20"/>
  <c r="L375" i="20"/>
  <c r="L553" i="20"/>
  <c r="L413" i="20"/>
  <c r="L834" i="20"/>
  <c r="L1019" i="20"/>
  <c r="L494" i="20"/>
  <c r="L991" i="20"/>
  <c r="L676" i="20"/>
  <c r="L966" i="20"/>
  <c r="L812" i="20"/>
  <c r="L352" i="20"/>
  <c r="L429" i="20"/>
  <c r="L394" i="20"/>
  <c r="L464" i="20"/>
  <c r="L624" i="20"/>
  <c r="L772" i="20"/>
  <c r="L328" i="20"/>
  <c r="L888" i="20"/>
  <c r="L1111" i="20"/>
  <c r="L1084" i="20"/>
  <c r="L916" i="20"/>
  <c r="L750" i="20"/>
  <c r="L655" i="20"/>
  <c r="L864" i="20"/>
  <c r="L716" i="20"/>
  <c r="L1134" i="20"/>
  <c r="L1050" i="20"/>
  <c r="L1168" i="20"/>
  <c r="L933" i="20"/>
  <c r="L1213" i="20"/>
  <c r="L947" i="20"/>
  <c r="L590" i="20"/>
  <c r="L1025" i="20"/>
  <c r="L699" i="20"/>
  <c r="L946" i="20"/>
  <c r="L1127" i="20"/>
  <c r="L969" i="20"/>
  <c r="L1153" i="20"/>
  <c r="L883" i="20"/>
  <c r="L1210" i="20"/>
  <c r="L433" i="20"/>
  <c r="L641" i="20"/>
  <c r="L642" i="20"/>
  <c r="L778" i="20"/>
  <c r="L739" i="20"/>
  <c r="L556" i="20"/>
  <c r="L740" i="20"/>
  <c r="L522" i="20"/>
  <c r="L498" i="20"/>
  <c r="L557" i="20"/>
  <c r="L617" i="20"/>
  <c r="L798" i="20"/>
  <c r="L681" i="20"/>
  <c r="L970" i="20"/>
  <c r="L857" i="20"/>
  <c r="L799" i="20"/>
  <c r="L777" i="20"/>
  <c r="L468" i="20"/>
  <c r="L700" i="20"/>
  <c r="L589" i="20"/>
  <c r="L521" i="20"/>
  <c r="L497" i="20"/>
  <c r="L680" i="20"/>
  <c r="L469" i="20"/>
  <c r="L856" i="20"/>
  <c r="L1079" i="20"/>
  <c r="L998" i="20"/>
  <c r="L999" i="20"/>
  <c r="L1078" i="20"/>
  <c r="L434" i="20"/>
  <c r="L385" i="20"/>
  <c r="L616" i="20"/>
  <c r="L884" i="20"/>
  <c r="L921" i="20"/>
  <c r="L386" i="20"/>
  <c r="L1026" i="20"/>
  <c r="L1231" i="20"/>
  <c r="L920" i="20"/>
  <c r="L838" i="20"/>
  <c r="L837" i="20"/>
  <c r="M1144" i="20"/>
  <c r="M1199" i="20"/>
  <c r="M894" i="20"/>
  <c r="L350" i="20"/>
  <c r="L137" i="20"/>
  <c r="L292" i="20"/>
  <c r="L252" i="20"/>
  <c r="L7" i="20"/>
  <c r="L148" i="20"/>
  <c r="L172" i="20"/>
  <c r="L220" i="20"/>
  <c r="L49" i="20"/>
  <c r="L206" i="20"/>
  <c r="L18" i="20"/>
  <c r="L241" i="20"/>
  <c r="L82" i="20"/>
  <c r="L189" i="20"/>
  <c r="L277" i="20"/>
  <c r="L119" i="20"/>
  <c r="L300" i="20"/>
  <c r="L38" i="20"/>
  <c r="L95" i="20"/>
  <c r="L12" i="20"/>
  <c r="L59" i="20"/>
  <c r="L72" i="20"/>
  <c r="L333" i="20"/>
  <c r="L311" i="20"/>
  <c r="L159" i="20"/>
  <c r="L28" i="20"/>
  <c r="M201" i="20"/>
  <c r="M1063" i="20"/>
  <c r="M108" i="20"/>
  <c r="M1173" i="20"/>
  <c r="M1146" i="20"/>
  <c r="M320" i="20"/>
  <c r="M36" i="20"/>
  <c r="M958" i="20"/>
  <c r="M936" i="20"/>
  <c r="M165" i="20"/>
  <c r="M44" i="20"/>
  <c r="M99" i="20"/>
  <c r="M315" i="20"/>
  <c r="M142" i="20"/>
  <c r="M114" i="20"/>
  <c r="M180" i="20"/>
  <c r="M128" i="20"/>
  <c r="M600" i="20"/>
  <c r="M402" i="20"/>
  <c r="M727" i="20"/>
  <c r="M844" i="20"/>
  <c r="M249" i="20"/>
  <c r="M53" i="20"/>
  <c r="M430" i="20"/>
  <c r="M543" i="20"/>
  <c r="M478" i="20"/>
  <c r="M692" i="20"/>
  <c r="M902" i="20"/>
  <c r="M364" i="20"/>
  <c r="M66" i="20"/>
  <c r="M378" i="20"/>
  <c r="M761" i="20"/>
  <c r="M32" i="20"/>
  <c r="M872" i="20"/>
  <c r="M625" i="20"/>
  <c r="M232" i="20"/>
  <c r="M270" i="20"/>
  <c r="M76" i="20"/>
  <c r="M1040" i="20"/>
  <c r="M657" i="20"/>
  <c r="M453" i="20"/>
  <c r="M214" i="20"/>
  <c r="M792" i="20"/>
  <c r="M1099" i="20"/>
  <c r="M286" i="20"/>
  <c r="M514" i="20"/>
  <c r="M822" i="20"/>
  <c r="M152" i="20"/>
  <c r="M341" i="20"/>
  <c r="M568" i="20"/>
  <c r="M978" i="20"/>
  <c r="M1197" i="20"/>
  <c r="M1009" i="20"/>
  <c r="M297" i="20"/>
  <c r="L183" i="20"/>
  <c r="L437" i="20"/>
  <c r="L823" i="20"/>
  <c r="L54" i="20"/>
  <c r="L388" i="20"/>
  <c r="L79" i="20"/>
  <c r="L33" i="20"/>
  <c r="L666" i="20"/>
  <c r="L102" i="20"/>
  <c r="L1154" i="20"/>
  <c r="L90" i="20"/>
  <c r="L217" i="20"/>
  <c r="L168" i="20"/>
  <c r="L1073" i="20"/>
  <c r="L185" i="20"/>
  <c r="L234" i="20"/>
  <c r="L123" i="20"/>
  <c r="L309" i="20"/>
  <c r="L23" i="20"/>
  <c r="L911" i="20"/>
  <c r="L68" i="20"/>
  <c r="L633" i="20"/>
  <c r="L155" i="20"/>
  <c r="L203" i="20"/>
  <c r="L110" i="20"/>
  <c r="L250" i="20"/>
  <c r="L528" i="20"/>
  <c r="L1214" i="20"/>
  <c r="L47" i="20"/>
  <c r="L745" i="20"/>
  <c r="L987" i="20"/>
  <c r="L770" i="20"/>
  <c r="L853" i="20"/>
  <c r="L1104" i="20"/>
  <c r="L22" i="20"/>
  <c r="L131" i="20"/>
  <c r="L355" i="20"/>
  <c r="L609" i="20"/>
  <c r="L490" i="20"/>
  <c r="L847" i="20"/>
  <c r="L397" i="20"/>
  <c r="L267" i="20"/>
  <c r="L177" i="20"/>
  <c r="L215" i="20"/>
  <c r="L357" i="20"/>
  <c r="L381" i="20"/>
  <c r="L1038" i="20"/>
  <c r="L955" i="20"/>
  <c r="L296" i="20"/>
  <c r="L322" i="20"/>
  <c r="L302" i="20"/>
  <c r="L1227" i="20"/>
  <c r="L536" i="20"/>
  <c r="L564" i="20"/>
  <c r="L197" i="20"/>
  <c r="L816" i="20"/>
  <c r="L596" i="20"/>
  <c r="L336" i="20"/>
  <c r="L785" i="20"/>
  <c r="L686" i="20"/>
  <c r="L247" i="20"/>
  <c r="L239" i="20"/>
  <c r="L449" i="20"/>
  <c r="L652" i="20"/>
  <c r="L161" i="20"/>
  <c r="L627" i="20"/>
  <c r="L476" i="20"/>
  <c r="L1118" i="20"/>
  <c r="L1010" i="20"/>
  <c r="L503" i="20"/>
  <c r="L282" i="20"/>
  <c r="L722" i="20"/>
  <c r="L930" i="20"/>
  <c r="L871" i="20"/>
  <c r="L900" i="20"/>
  <c r="L1096" i="20"/>
  <c r="L974" i="20"/>
  <c r="L1148" i="20"/>
  <c r="L419" i="20"/>
  <c r="L754" i="20"/>
  <c r="L1172" i="20"/>
  <c r="L60" i="20"/>
  <c r="L174" i="20"/>
  <c r="L8" i="20"/>
  <c r="L138" i="20"/>
  <c r="L40" i="20"/>
  <c r="L88" i="20"/>
  <c r="L29" i="20"/>
  <c r="L190" i="20"/>
  <c r="L50" i="20"/>
  <c r="L19" i="20"/>
  <c r="L120" i="20"/>
  <c r="L96" i="20"/>
  <c r="L278" i="20"/>
  <c r="L261" i="20"/>
  <c r="L208" i="20"/>
  <c r="L73" i="20"/>
  <c r="L225" i="20"/>
  <c r="L243" i="20"/>
  <c r="L14" i="20"/>
  <c r="M1027" i="20"/>
  <c r="M948" i="20"/>
  <c r="M523" i="20"/>
  <c r="M1080" i="20"/>
  <c r="M558" i="20"/>
  <c r="M801" i="20"/>
  <c r="M923" i="20"/>
  <c r="M500" i="20"/>
  <c r="M922" i="20"/>
  <c r="M972" i="20"/>
  <c r="M1081" i="20"/>
  <c r="M971" i="20"/>
  <c r="M780" i="20"/>
  <c r="M436" i="20"/>
  <c r="M742" i="20"/>
  <c r="M886" i="20"/>
  <c r="M471" i="20"/>
  <c r="M859" i="20"/>
  <c r="M470" i="20"/>
  <c r="M1157" i="20"/>
  <c r="M592" i="20"/>
  <c r="M1028" i="20"/>
  <c r="M618" i="20"/>
  <c r="M499" i="20"/>
  <c r="M435" i="20"/>
  <c r="M839" i="20"/>
  <c r="M524" i="20"/>
  <c r="M741" i="20"/>
  <c r="M682" i="20"/>
  <c r="M701" i="20"/>
  <c r="M702" i="20"/>
  <c r="M840" i="20"/>
  <c r="M858" i="20"/>
  <c r="M885" i="20"/>
  <c r="M417" i="20"/>
  <c r="M644" i="20"/>
  <c r="M1232" i="20"/>
  <c r="M1001" i="20"/>
  <c r="M1189" i="20"/>
  <c r="M619" i="20"/>
  <c r="M559" i="20"/>
  <c r="M591" i="20"/>
  <c r="M800" i="20"/>
  <c r="M683" i="20"/>
  <c r="M779" i="20"/>
  <c r="M949" i="20"/>
  <c r="M643" i="20"/>
  <c r="M418" i="20"/>
  <c r="M1211" i="20"/>
  <c r="M1000" i="20"/>
  <c r="M1128" i="20"/>
  <c r="M1163" i="20"/>
  <c r="M1087" i="20"/>
  <c r="M993" i="20"/>
  <c r="M571" i="20"/>
  <c r="M1176" i="20"/>
  <c r="M369" i="20"/>
  <c r="M1216" i="20"/>
  <c r="M907" i="20"/>
  <c r="M674" i="20"/>
  <c r="M1051" i="20"/>
  <c r="M439" i="20"/>
  <c r="M491" i="20"/>
  <c r="M351" i="20"/>
  <c r="M544" i="20"/>
  <c r="M1022" i="20"/>
  <c r="M612" i="20"/>
  <c r="M410" i="20"/>
  <c r="M890" i="20"/>
  <c r="M808" i="20"/>
  <c r="M736" i="20"/>
  <c r="M766" i="20"/>
  <c r="M866" i="20"/>
  <c r="M518" i="20"/>
  <c r="M638" i="20"/>
  <c r="M717" i="20"/>
  <c r="M830" i="20"/>
  <c r="M943" i="20"/>
  <c r="M963" i="20"/>
  <c r="M1130" i="20"/>
  <c r="M458" i="20"/>
  <c r="M1109" i="20"/>
  <c r="M391" i="20"/>
  <c r="L1193" i="20"/>
  <c r="L1194" i="20"/>
  <c r="L1235" i="20"/>
  <c r="L1223" i="20"/>
  <c r="L1219" i="20"/>
  <c r="L1237" i="20"/>
  <c r="L1215" i="20"/>
  <c r="L1192" i="20"/>
  <c r="L1236" i="20"/>
  <c r="L1220" i="20"/>
  <c r="M982" i="20"/>
  <c r="M1195" i="20"/>
  <c r="M1222" i="20"/>
  <c r="M1062" i="20"/>
  <c r="M1102" i="20"/>
  <c r="M1014" i="20"/>
  <c r="M1140" i="20"/>
  <c r="M1161" i="20"/>
  <c r="M1044" i="20"/>
  <c r="L918" i="20"/>
  <c r="L116" i="20"/>
  <c r="L919" i="20"/>
  <c r="L614" i="20"/>
  <c r="L835" i="20"/>
  <c r="L881" i="20"/>
  <c r="L520" i="20"/>
  <c r="L432" i="20"/>
  <c r="L1209" i="20"/>
  <c r="L697" i="20"/>
  <c r="L738" i="20"/>
  <c r="L836" i="20"/>
  <c r="L466" i="20"/>
  <c r="L467" i="20"/>
  <c r="L496" i="20"/>
  <c r="L968" i="20"/>
  <c r="L640" i="20"/>
  <c r="L519" i="20"/>
  <c r="L678" i="20"/>
  <c r="L797" i="20"/>
  <c r="L587" i="20"/>
  <c r="L416" i="20"/>
  <c r="L588" i="20"/>
  <c r="L854" i="20"/>
  <c r="L945" i="20"/>
  <c r="L431" i="20"/>
  <c r="L555" i="20"/>
  <c r="L679" i="20"/>
  <c r="L615" i="20"/>
  <c r="L776" i="20"/>
  <c r="L737" i="20"/>
  <c r="L855" i="20"/>
  <c r="L639" i="20"/>
  <c r="L1152" i="20"/>
  <c r="L495" i="20"/>
  <c r="L997" i="20"/>
  <c r="L796" i="20"/>
  <c r="L698" i="20"/>
  <c r="L1187" i="20"/>
  <c r="L1024" i="20"/>
  <c r="L967" i="20"/>
  <c r="L415" i="20"/>
  <c r="L944" i="20"/>
  <c r="L1126" i="20"/>
  <c r="L554" i="20"/>
  <c r="L1076" i="20"/>
  <c r="L1023" i="20"/>
  <c r="L882" i="20"/>
  <c r="L775" i="20"/>
  <c r="L1077" i="20"/>
  <c r="L1230" i="20"/>
  <c r="L996" i="20"/>
  <c r="M135" i="20"/>
  <c r="M186" i="20"/>
  <c r="M483" i="20"/>
  <c r="M146" i="20"/>
  <c r="M117" i="20"/>
  <c r="M897" i="20"/>
  <c r="M175" i="20"/>
  <c r="M258" i="20"/>
  <c r="M580" i="20"/>
  <c r="M157" i="20"/>
  <c r="M646" i="20"/>
  <c r="M608" i="20"/>
  <c r="M673" i="20"/>
  <c r="M711" i="20"/>
  <c r="M548" i="20"/>
  <c r="M768" i="20"/>
  <c r="M525" i="20"/>
  <c r="M273" i="20"/>
  <c r="M222" i="20"/>
  <c r="M348" i="20"/>
  <c r="M746" i="20"/>
  <c r="M332" i="20"/>
  <c r="M204" i="20"/>
  <c r="M211" i="20"/>
  <c r="M26" i="20"/>
  <c r="M62" i="20"/>
  <c r="M124" i="20"/>
  <c r="M74" i="20"/>
  <c r="M9" i="20"/>
  <c r="M150" i="20"/>
  <c r="M194" i="20"/>
  <c r="M139" i="20"/>
  <c r="M293" i="20"/>
  <c r="M285" i="20"/>
  <c r="M178" i="20"/>
  <c r="M42" i="20"/>
  <c r="M268" i="20"/>
  <c r="M229" i="20"/>
  <c r="M164" i="20"/>
  <c r="M51" i="20"/>
  <c r="M987" i="20"/>
  <c r="M388" i="20"/>
  <c r="M79" i="20"/>
  <c r="M54" i="20"/>
  <c r="M90" i="20"/>
  <c r="M1214" i="20"/>
  <c r="M217" i="20"/>
  <c r="M1104" i="20"/>
  <c r="M1154" i="20"/>
  <c r="M185" i="20"/>
  <c r="M234" i="20"/>
  <c r="M666" i="20"/>
  <c r="M102" i="20"/>
  <c r="M309" i="20"/>
  <c r="M23" i="20"/>
  <c r="M33" i="20"/>
  <c r="M633" i="20"/>
  <c r="M168" i="20"/>
  <c r="M68" i="20"/>
  <c r="M123" i="20"/>
  <c r="M155" i="20"/>
  <c r="M528" i="20"/>
  <c r="M770" i="20"/>
  <c r="M203" i="20"/>
  <c r="M22" i="20"/>
  <c r="M47" i="20"/>
  <c r="M131" i="20"/>
  <c r="M250" i="20"/>
  <c r="M745" i="20"/>
  <c r="M911" i="20"/>
  <c r="M823" i="20"/>
  <c r="M853" i="20"/>
  <c r="M355" i="20"/>
  <c r="M490" i="20"/>
  <c r="M609" i="20"/>
  <c r="M1073" i="20"/>
  <c r="M110" i="20"/>
  <c r="L868" i="20"/>
  <c r="L951" i="20"/>
  <c r="L532" i="20"/>
  <c r="L335" i="20"/>
  <c r="L995" i="20"/>
  <c r="L1143" i="20"/>
  <c r="L280" i="20"/>
  <c r="L227" i="20"/>
  <c r="L264" i="20"/>
  <c r="L421" i="20"/>
  <c r="L892" i="20"/>
  <c r="L245" i="20"/>
  <c r="L783" i="20"/>
  <c r="L473" i="20"/>
  <c r="L377" i="20"/>
  <c r="L621" i="20"/>
  <c r="L594" i="20"/>
  <c r="L210" i="20"/>
  <c r="L689" i="20"/>
  <c r="L651" i="20"/>
  <c r="L192" i="20"/>
  <c r="L447" i="20"/>
  <c r="L1030" i="20"/>
  <c r="L720" i="20"/>
  <c r="L562" i="20"/>
  <c r="L502" i="20"/>
  <c r="L925" i="20"/>
  <c r="L1190" i="20"/>
  <c r="L314" i="20"/>
  <c r="L810" i="20"/>
  <c r="L752" i="20"/>
  <c r="L396" i="20"/>
  <c r="L359" i="20"/>
  <c r="L1093" i="20"/>
  <c r="M884" i="20"/>
  <c r="M1078" i="20"/>
  <c r="M1153" i="20"/>
  <c r="M1025" i="20"/>
  <c r="M739" i="20"/>
  <c r="M1210" i="20"/>
  <c r="M433" i="20"/>
  <c r="M1127" i="20"/>
  <c r="M590" i="20"/>
  <c r="M522" i="20"/>
  <c r="M641" i="20"/>
  <c r="M556" i="20"/>
  <c r="M616" i="20"/>
  <c r="M740" i="20"/>
  <c r="M498" i="20"/>
  <c r="M617" i="20"/>
  <c r="M1026" i="20"/>
  <c r="M385" i="20"/>
  <c r="M799" i="20"/>
  <c r="M777" i="20"/>
  <c r="M468" i="20"/>
  <c r="M700" i="20"/>
  <c r="M589" i="20"/>
  <c r="M521" i="20"/>
  <c r="M642" i="20"/>
  <c r="M857" i="20"/>
  <c r="M778" i="20"/>
  <c r="M497" i="20"/>
  <c r="M798" i="20"/>
  <c r="M921" i="20"/>
  <c r="M557" i="20"/>
  <c r="M469" i="20"/>
  <c r="M1231" i="20"/>
  <c r="M837" i="20"/>
  <c r="M699" i="20"/>
  <c r="M1079" i="20"/>
  <c r="M680" i="20"/>
  <c r="M947" i="20"/>
  <c r="M434" i="20"/>
  <c r="M998" i="20"/>
  <c r="M856" i="20"/>
  <c r="M386" i="20"/>
  <c r="M883" i="20"/>
  <c r="M946" i="20"/>
  <c r="M970" i="20"/>
  <c r="M920" i="20"/>
  <c r="M838" i="20"/>
  <c r="M969" i="20"/>
  <c r="M681" i="20"/>
  <c r="M999" i="20"/>
  <c r="M1061" i="20"/>
  <c r="M941" i="20"/>
  <c r="M1047" i="20"/>
  <c r="M1218" i="20"/>
  <c r="M1234" i="20"/>
  <c r="M1160" i="20"/>
  <c r="M1184" i="20"/>
  <c r="M1121" i="20"/>
  <c r="M1101" i="20"/>
  <c r="M366" i="20"/>
  <c r="M342" i="20"/>
  <c r="M572" i="20"/>
  <c r="M875" i="20"/>
  <c r="M820" i="20"/>
  <c r="M848" i="20"/>
  <c r="M795" i="20"/>
  <c r="M981" i="20"/>
  <c r="M542" i="20"/>
  <c r="M1020" i="20"/>
  <c r="M664" i="20"/>
  <c r="M695" i="20"/>
  <c r="M763" i="20"/>
  <c r="M729" i="20"/>
  <c r="M904" i="20"/>
  <c r="L1195" i="20"/>
  <c r="L1161" i="20"/>
  <c r="L1102" i="20"/>
  <c r="L1014" i="20"/>
  <c r="L1140" i="20"/>
  <c r="L982" i="20"/>
  <c r="L1062" i="20"/>
  <c r="L1044" i="20"/>
  <c r="L1222" i="20"/>
  <c r="M1050" i="20"/>
  <c r="M375" i="20"/>
  <c r="M888" i="20"/>
  <c r="M1168" i="20"/>
  <c r="M530" i="20"/>
  <c r="M553" i="20"/>
  <c r="M394" i="20"/>
  <c r="M916" i="20"/>
  <c r="M413" i="20"/>
  <c r="M991" i="20"/>
  <c r="M812" i="20"/>
  <c r="M1019" i="20"/>
  <c r="M429" i="20"/>
  <c r="M494" i="20"/>
  <c r="M352" i="20"/>
  <c r="M464" i="20"/>
  <c r="M716" i="20"/>
  <c r="M772" i="20"/>
  <c r="M834" i="20"/>
  <c r="M750" i="20"/>
  <c r="M966" i="20"/>
  <c r="M1186" i="20"/>
  <c r="M584" i="20"/>
  <c r="M328" i="20"/>
  <c r="M1134" i="20"/>
  <c r="M655" i="20"/>
  <c r="M864" i="20"/>
  <c r="M676" i="20"/>
  <c r="M1111" i="20"/>
  <c r="M1084" i="20"/>
  <c r="M624" i="20"/>
  <c r="M933" i="20"/>
  <c r="M1213" i="20"/>
  <c r="L1144" i="20"/>
  <c r="L1199" i="20"/>
  <c r="L894" i="20"/>
  <c r="M183" i="20"/>
  <c r="M437" i="20"/>
  <c r="L1083" i="20"/>
  <c r="L915" i="20"/>
  <c r="L1049" i="20"/>
  <c r="L428" i="20"/>
  <c r="L887" i="20"/>
  <c r="L622" i="20"/>
  <c r="L1185" i="20"/>
  <c r="L353" i="20"/>
  <c r="L833" i="20"/>
  <c r="L715" i="20"/>
  <c r="L493" i="20"/>
  <c r="L654" i="20"/>
  <c r="L463" i="20"/>
  <c r="L411" i="20"/>
  <c r="L675" i="20"/>
  <c r="L552" i="20"/>
  <c r="L749" i="20"/>
  <c r="L529" i="20"/>
  <c r="L1018" i="20"/>
  <c r="L965" i="20"/>
  <c r="L811" i="20"/>
  <c r="L862" i="20"/>
  <c r="L374" i="20"/>
  <c r="L329" i="20"/>
  <c r="L393" i="20"/>
  <c r="L1133" i="20"/>
  <c r="L1110" i="20"/>
  <c r="L773" i="20"/>
  <c r="L932" i="20"/>
  <c r="L1212" i="20"/>
  <c r="L990" i="20"/>
  <c r="L1167" i="20"/>
  <c r="M260" i="20"/>
  <c r="M304" i="20"/>
  <c r="M112" i="20"/>
  <c r="M231" i="20"/>
  <c r="M127" i="20"/>
  <c r="M182" i="20"/>
  <c r="M84" i="20"/>
  <c r="M465" i="20"/>
  <c r="M86" i="20"/>
  <c r="M412" i="20"/>
  <c r="M445" i="20"/>
  <c r="L632" i="20"/>
  <c r="L1108" i="20"/>
  <c r="L132" i="20"/>
  <c r="L34" i="20"/>
  <c r="L1155" i="20"/>
  <c r="L1074" i="20"/>
  <c r="L46" i="20"/>
  <c r="L852" i="20"/>
  <c r="L91" i="20"/>
  <c r="L144" i="20"/>
  <c r="L308" i="20"/>
  <c r="L78" i="20"/>
  <c r="L169" i="20"/>
  <c r="L202" i="20"/>
  <c r="L251" i="20"/>
  <c r="L154" i="20"/>
  <c r="L233" i="20"/>
  <c r="L109" i="20"/>
  <c r="L187" i="20"/>
  <c r="L55" i="20"/>
  <c r="L744" i="20"/>
  <c r="L610" i="20"/>
  <c r="L21" i="20"/>
  <c r="L24" i="20"/>
  <c r="L103" i="20"/>
  <c r="L913" i="20"/>
  <c r="L527" i="20"/>
  <c r="L825" i="20"/>
  <c r="L667" i="20"/>
  <c r="L489" i="20"/>
  <c r="L122" i="20"/>
  <c r="L769" i="20"/>
  <c r="L354" i="20"/>
  <c r="L389" i="20"/>
  <c r="L988" i="20"/>
  <c r="L67" i="20"/>
  <c r="L4" i="20"/>
  <c r="L980" i="20"/>
  <c r="L31" i="20"/>
  <c r="L1177" i="20"/>
  <c r="L89" i="20"/>
  <c r="L57" i="20"/>
  <c r="L790" i="20"/>
  <c r="L694" i="20"/>
  <c r="L367" i="20"/>
  <c r="L15" i="20"/>
  <c r="L130" i="20"/>
  <c r="L898" i="20"/>
  <c r="L1082" i="20"/>
  <c r="L977" i="20"/>
  <c r="L1059" i="20"/>
  <c r="L843" i="20"/>
  <c r="L141" i="20"/>
  <c r="L98" i="20"/>
  <c r="L126" i="20"/>
  <c r="L791" i="20"/>
  <c r="L212" i="20"/>
  <c r="L75" i="20"/>
  <c r="L362" i="20"/>
  <c r="L284" i="20"/>
  <c r="L1145" i="20"/>
  <c r="L230" i="20"/>
  <c r="L400" i="20"/>
  <c r="L318" i="20"/>
  <c r="L248" i="20"/>
  <c r="L179" i="20"/>
  <c r="L931" i="20"/>
  <c r="L598" i="20"/>
  <c r="L269" i="20"/>
  <c r="L113" i="20"/>
  <c r="L451" i="20"/>
  <c r="L339" i="20"/>
  <c r="L1012" i="20"/>
  <c r="L760" i="20"/>
  <c r="L565" i="20"/>
  <c r="L623" i="20"/>
  <c r="L690" i="20"/>
  <c r="L195" i="20"/>
  <c r="L538" i="20"/>
  <c r="L85" i="20"/>
  <c r="L379" i="20"/>
  <c r="L477" i="20"/>
  <c r="L506" i="20"/>
  <c r="L213" i="20"/>
  <c r="L423" i="20"/>
  <c r="L725" i="20"/>
  <c r="L901" i="20"/>
  <c r="L63" i="20"/>
  <c r="L151" i="20"/>
  <c r="L661" i="20"/>
  <c r="L1039" i="20"/>
  <c r="L106" i="20"/>
  <c r="L817" i="20"/>
  <c r="M1203" i="20"/>
  <c r="M1178" i="20"/>
  <c r="M802" i="20"/>
  <c r="M1064" i="20"/>
  <c r="M1124" i="20"/>
  <c r="M985" i="20"/>
  <c r="M1045" i="20"/>
  <c r="M576" i="20"/>
  <c r="M601" i="20"/>
  <c r="M849" i="20"/>
  <c r="M1105" i="20"/>
  <c r="M912" i="20"/>
  <c r="M668" i="20"/>
  <c r="M545" i="20"/>
  <c r="M485" i="20"/>
  <c r="M634" i="20"/>
  <c r="M879" i="20"/>
  <c r="M1015" i="20"/>
  <c r="M937" i="20"/>
  <c r="M960" i="20"/>
  <c r="M764" i="20"/>
  <c r="M824" i="20"/>
  <c r="M517" i="20"/>
  <c r="M709" i="20"/>
  <c r="M1150" i="20"/>
  <c r="M734" i="20"/>
  <c r="L361" i="20"/>
  <c r="L440" i="20"/>
  <c r="L288" i="20"/>
  <c r="L16" i="20"/>
  <c r="L865" i="20"/>
  <c r="L83" i="20"/>
  <c r="L56" i="20"/>
  <c r="L818" i="20"/>
  <c r="L299" i="20"/>
  <c r="L1004" i="20"/>
  <c r="L1131" i="20"/>
  <c r="L340" i="20"/>
  <c r="L414" i="20"/>
  <c r="L10" i="20"/>
  <c r="L3" i="20"/>
  <c r="L111" i="20"/>
  <c r="L1033" i="20"/>
  <c r="L448" i="20"/>
  <c r="L121" i="20"/>
  <c r="L167" i="20"/>
  <c r="L92" i="20"/>
  <c r="L163" i="20"/>
  <c r="L330" i="20"/>
  <c r="L2" i="20"/>
  <c r="L896" i="20"/>
  <c r="L757" i="20"/>
  <c r="L70" i="20"/>
  <c r="L184" i="20"/>
  <c r="L145" i="20"/>
  <c r="L1175" i="20"/>
  <c r="L275" i="20"/>
  <c r="L5" i="20"/>
  <c r="L928" i="20"/>
  <c r="L317" i="20"/>
  <c r="L134" i="20"/>
  <c r="L236" i="20"/>
  <c r="L505" i="20"/>
  <c r="L43" i="20"/>
  <c r="L100" i="20"/>
  <c r="L200" i="20"/>
  <c r="L25" i="20"/>
  <c r="L262" i="20"/>
  <c r="L595" i="20"/>
  <c r="L1100" i="20"/>
  <c r="L39" i="20"/>
  <c r="L52" i="20"/>
  <c r="L685" i="20"/>
  <c r="L1233" i="20"/>
  <c r="L462" i="20"/>
  <c r="L218" i="20"/>
  <c r="L399" i="20"/>
  <c r="L563" i="20"/>
  <c r="L786" i="20"/>
  <c r="L954" i="20"/>
  <c r="L841" i="20"/>
  <c r="L372" i="20"/>
  <c r="L1196" i="20"/>
  <c r="L533" i="20"/>
  <c r="L724" i="20"/>
  <c r="L1060" i="20"/>
  <c r="L656" i="20"/>
  <c r="M843" i="20"/>
  <c r="M98" i="20"/>
  <c r="M126" i="20"/>
  <c r="M212" i="20"/>
  <c r="M248" i="20"/>
  <c r="M63" i="20"/>
  <c r="M1039" i="20"/>
  <c r="M75" i="20"/>
  <c r="M284" i="20"/>
  <c r="M1145" i="20"/>
  <c r="M506" i="20"/>
  <c r="M213" i="20"/>
  <c r="M230" i="20"/>
  <c r="M141" i="20"/>
  <c r="M179" i="20"/>
  <c r="M362" i="20"/>
  <c r="M598" i="20"/>
  <c r="M113" i="20"/>
  <c r="M451" i="20"/>
  <c r="M339" i="20"/>
  <c r="M400" i="20"/>
  <c r="M760" i="20"/>
  <c r="M565" i="20"/>
  <c r="M623" i="20"/>
  <c r="M318" i="20"/>
  <c r="M690" i="20"/>
  <c r="M195" i="20"/>
  <c r="M725" i="20"/>
  <c r="M379" i="20"/>
  <c r="M1012" i="20"/>
  <c r="M477" i="20"/>
  <c r="M661" i="20"/>
  <c r="M791" i="20"/>
  <c r="M269" i="20"/>
  <c r="M106" i="20"/>
  <c r="M817" i="20"/>
  <c r="M423" i="20"/>
  <c r="M538" i="20"/>
  <c r="M85" i="20"/>
  <c r="M1059" i="20"/>
  <c r="M151" i="20"/>
  <c r="M901" i="20"/>
  <c r="M931" i="20"/>
  <c r="M977" i="20"/>
  <c r="L511" i="20"/>
  <c r="L382" i="20"/>
  <c r="L455" i="20"/>
  <c r="L404" i="20"/>
  <c r="L573" i="20"/>
  <c r="L481" i="20"/>
  <c r="L426" i="20"/>
  <c r="L540" i="20"/>
  <c r="M1089" i="20"/>
  <c r="M1139" i="20"/>
  <c r="M1166" i="20"/>
  <c r="M1090" i="20"/>
  <c r="M1169" i="20"/>
  <c r="M1137" i="20"/>
  <c r="M1165" i="20"/>
  <c r="M1138" i="20"/>
  <c r="M1113" i="20"/>
  <c r="M1112" i="20"/>
  <c r="M64" i="20"/>
  <c r="M13" i="20"/>
  <c r="M41" i="20"/>
  <c r="M30" i="20"/>
  <c r="M97" i="20"/>
  <c r="M20" i="20"/>
  <c r="M224" i="20"/>
  <c r="M257" i="20"/>
  <c r="M274" i="20"/>
  <c r="M237" i="20"/>
  <c r="M125" i="20"/>
  <c r="M294" i="20"/>
  <c r="M316" i="20"/>
  <c r="M1057" i="20"/>
  <c r="M1122" i="20"/>
  <c r="M1097" i="20"/>
  <c r="M1224" i="20"/>
  <c r="M1141" i="20"/>
  <c r="M1170" i="20"/>
  <c r="M1200" i="20"/>
  <c r="M83" i="20"/>
  <c r="M818" i="20"/>
  <c r="M1196" i="20"/>
  <c r="M1033" i="20"/>
  <c r="M1060" i="20"/>
  <c r="M218" i="20"/>
  <c r="M340" i="20"/>
  <c r="M121" i="20"/>
  <c r="M1131" i="20"/>
  <c r="M111" i="20"/>
  <c r="M1004" i="20"/>
  <c r="M448" i="20"/>
  <c r="M56" i="20"/>
  <c r="M5" i="20"/>
  <c r="M288" i="20"/>
  <c r="M2" i="20"/>
  <c r="M163" i="20"/>
  <c r="M299" i="20"/>
  <c r="M330" i="20"/>
  <c r="M414" i="20"/>
  <c r="M896" i="20"/>
  <c r="M757" i="20"/>
  <c r="M70" i="20"/>
  <c r="M184" i="20"/>
  <c r="M145" i="20"/>
  <c r="M1175" i="20"/>
  <c r="M52" i="20"/>
  <c r="M16" i="20"/>
  <c r="M317" i="20"/>
  <c r="M134" i="20"/>
  <c r="M236" i="20"/>
  <c r="M43" i="20"/>
  <c r="M1100" i="20"/>
  <c r="M167" i="20"/>
  <c r="M100" i="20"/>
  <c r="M200" i="20"/>
  <c r="M25" i="20"/>
  <c r="M262" i="20"/>
  <c r="M3" i="20"/>
  <c r="M399" i="20"/>
  <c r="M39" i="20"/>
  <c r="M685" i="20"/>
  <c r="M462" i="20"/>
  <c r="M563" i="20"/>
  <c r="M786" i="20"/>
  <c r="M865" i="20"/>
  <c r="M954" i="20"/>
  <c r="M92" i="20"/>
  <c r="M275" i="20"/>
  <c r="M928" i="20"/>
  <c r="M533" i="20"/>
  <c r="M724" i="20"/>
  <c r="M841" i="20"/>
  <c r="M656" i="20"/>
  <c r="M372" i="20"/>
  <c r="M505" i="20"/>
  <c r="M595" i="20"/>
  <c r="M1233" i="20"/>
  <c r="M10" i="20"/>
  <c r="L1225" i="20"/>
  <c r="L658" i="20"/>
  <c r="L1041" i="20"/>
  <c r="L507" i="20"/>
  <c r="L793" i="20"/>
  <c r="L363" i="20"/>
  <c r="L873" i="20"/>
  <c r="L380" i="20"/>
  <c r="L401" i="20"/>
  <c r="L759" i="20"/>
  <c r="L537" i="20"/>
  <c r="L424" i="20"/>
  <c r="L819" i="20"/>
  <c r="L1174" i="20"/>
  <c r="L452" i="20"/>
  <c r="L484" i="20"/>
  <c r="L599" i="20"/>
  <c r="L1058" i="20"/>
  <c r="L628" i="20"/>
  <c r="L940" i="20"/>
  <c r="L846" i="20"/>
  <c r="L691" i="20"/>
  <c r="L319" i="20"/>
  <c r="L1008" i="20"/>
  <c r="L1198" i="20"/>
  <c r="L726" i="20"/>
  <c r="L1120" i="20"/>
  <c r="L1098" i="20"/>
  <c r="L567" i="20"/>
  <c r="L979" i="20"/>
  <c r="L1149" i="20"/>
  <c r="L338" i="20"/>
  <c r="L908" i="20"/>
  <c r="L959" i="20"/>
  <c r="M602" i="20"/>
  <c r="M441" i="20"/>
  <c r="M560" i="20"/>
  <c r="M581" i="20"/>
  <c r="M677" i="20"/>
  <c r="M360" i="20"/>
  <c r="M718" i="20"/>
  <c r="L1109" i="20"/>
  <c r="L1130" i="20"/>
  <c r="L993" i="20"/>
  <c r="L369" i="20"/>
  <c r="L963" i="20"/>
  <c r="L907" i="20"/>
  <c r="L491" i="20"/>
  <c r="L1051" i="20"/>
  <c r="L736" i="20"/>
  <c r="L439" i="20"/>
  <c r="L351" i="20"/>
  <c r="L544" i="20"/>
  <c r="L612" i="20"/>
  <c r="L890" i="20"/>
  <c r="L391" i="20"/>
  <c r="L717" i="20"/>
  <c r="L1163" i="20"/>
  <c r="L766" i="20"/>
  <c r="L674" i="20"/>
  <c r="L830" i="20"/>
  <c r="L571" i="20"/>
  <c r="L410" i="20"/>
  <c r="L518" i="20"/>
  <c r="L808" i="20"/>
  <c r="L1216" i="20"/>
  <c r="L866" i="20"/>
  <c r="L943" i="20"/>
  <c r="L1087" i="20"/>
  <c r="L638" i="20"/>
  <c r="L1176" i="20"/>
  <c r="L458" i="20"/>
  <c r="L1022" i="20"/>
  <c r="L112" i="20"/>
  <c r="L260" i="20"/>
  <c r="L304" i="20"/>
  <c r="L231" i="20"/>
  <c r="L86" i="20"/>
  <c r="L127" i="20"/>
  <c r="L412" i="20"/>
  <c r="L445" i="20"/>
  <c r="L182" i="20"/>
  <c r="L84" i="20"/>
  <c r="L465" i="20"/>
  <c r="M913" i="20"/>
  <c r="M132" i="20"/>
  <c r="M34" i="20"/>
  <c r="M1074" i="20"/>
  <c r="M1155" i="20"/>
  <c r="M988" i="20"/>
  <c r="M308" i="20"/>
  <c r="M744" i="20"/>
  <c r="M825" i="20"/>
  <c r="M852" i="20"/>
  <c r="M78" i="20"/>
  <c r="M122" i="20"/>
  <c r="M169" i="20"/>
  <c r="M251" i="20"/>
  <c r="M154" i="20"/>
  <c r="M233" i="20"/>
  <c r="M46" i="20"/>
  <c r="M109" i="20"/>
  <c r="M55" i="20"/>
  <c r="M91" i="20"/>
  <c r="M202" i="20"/>
  <c r="M610" i="20"/>
  <c r="M21" i="20"/>
  <c r="M24" i="20"/>
  <c r="M103" i="20"/>
  <c r="M144" i="20"/>
  <c r="M489" i="20"/>
  <c r="M667" i="20"/>
  <c r="M769" i="20"/>
  <c r="M632" i="20"/>
  <c r="M389" i="20"/>
  <c r="M67" i="20"/>
  <c r="M1108" i="20"/>
  <c r="M187" i="20"/>
  <c r="M354" i="20"/>
  <c r="M527" i="20"/>
  <c r="L606" i="20"/>
  <c r="L574" i="20"/>
  <c r="L731" i="20"/>
  <c r="L663" i="20"/>
  <c r="L630" i="20"/>
  <c r="L707" i="20"/>
  <c r="M350" i="20"/>
  <c r="M137" i="20"/>
  <c r="M292" i="20"/>
  <c r="M82" i="20"/>
  <c r="M7" i="20"/>
  <c r="M220" i="20"/>
  <c r="M38" i="20"/>
  <c r="M49" i="20"/>
  <c r="M18" i="20"/>
  <c r="M300" i="20"/>
  <c r="M59" i="20"/>
  <c r="M277" i="20"/>
  <c r="M189" i="20"/>
  <c r="M206" i="20"/>
  <c r="M148" i="20"/>
  <c r="M252" i="20"/>
  <c r="M119" i="20"/>
  <c r="M159" i="20"/>
  <c r="M333" i="20"/>
  <c r="M95" i="20"/>
  <c r="M12" i="20"/>
  <c r="M241" i="20"/>
  <c r="M172" i="20"/>
  <c r="M72" i="20"/>
  <c r="M311" i="20"/>
  <c r="M28" i="20"/>
  <c r="L1162" i="20"/>
  <c r="L1115" i="20"/>
  <c r="L331" i="20"/>
  <c r="L305" i="20"/>
  <c r="L1135" i="20"/>
  <c r="L649" i="20"/>
  <c r="L743" i="20"/>
  <c r="L671" i="20"/>
  <c r="L371" i="20"/>
  <c r="L345" i="20"/>
  <c r="L461" i="20"/>
  <c r="L579" i="20"/>
  <c r="L407" i="20"/>
  <c r="L861" i="20"/>
  <c r="L1238" i="20"/>
  <c r="L444" i="20"/>
  <c r="L942" i="20"/>
  <c r="L1021" i="20"/>
  <c r="L547" i="20"/>
  <c r="L254" i="20"/>
  <c r="L705" i="20"/>
  <c r="L1086" i="20"/>
  <c r="L804" i="20"/>
  <c r="L992" i="20"/>
  <c r="L1183" i="20"/>
  <c r="L964" i="20"/>
  <c r="L889" i="20"/>
  <c r="L828" i="20"/>
  <c r="L774" i="20"/>
  <c r="L1221" i="20"/>
  <c r="M1167" i="20"/>
  <c r="M1018" i="20"/>
  <c r="M932" i="20"/>
  <c r="M811" i="20"/>
  <c r="M1049" i="20"/>
  <c r="M622" i="20"/>
  <c r="M411" i="20"/>
  <c r="M529" i="20"/>
  <c r="M990" i="20"/>
  <c r="M353" i="20"/>
  <c r="M749" i="20"/>
  <c r="M675" i="20"/>
  <c r="M428" i="20"/>
  <c r="M715" i="20"/>
  <c r="M1212" i="20"/>
  <c r="M1185" i="20"/>
  <c r="M965" i="20"/>
  <c r="M862" i="20"/>
  <c r="M1083" i="20"/>
  <c r="M1133" i="20"/>
  <c r="M374" i="20"/>
  <c r="M654" i="20"/>
  <c r="M329" i="20"/>
  <c r="M393" i="20"/>
  <c r="M552" i="20"/>
  <c r="M833" i="20"/>
  <c r="M463" i="20"/>
  <c r="M773" i="20"/>
  <c r="M1110" i="20"/>
  <c r="M915" i="20"/>
  <c r="M887" i="20"/>
  <c r="M493" i="20"/>
  <c r="L456" i="20"/>
  <c r="L541" i="20"/>
  <c r="L512" i="20"/>
  <c r="L482" i="20"/>
  <c r="L384" i="20"/>
  <c r="L405" i="20"/>
  <c r="L427" i="20"/>
  <c r="L962" i="20"/>
  <c r="L287" i="20"/>
  <c r="L94" i="20"/>
  <c r="L80" i="20"/>
  <c r="L1182" i="20"/>
  <c r="L265" i="20"/>
  <c r="L390" i="20"/>
  <c r="L171" i="20"/>
  <c r="L1129" i="20"/>
  <c r="L35" i="20"/>
  <c r="L105" i="20"/>
  <c r="L69" i="20"/>
  <c r="L133" i="20"/>
  <c r="L156" i="20"/>
  <c r="L235" i="20"/>
  <c r="L611" i="20"/>
  <c r="L939" i="20"/>
  <c r="L370" i="20"/>
  <c r="L1106" i="20"/>
  <c r="L406" i="20"/>
  <c r="L219" i="20"/>
  <c r="L45" i="20"/>
  <c r="L199" i="20"/>
  <c r="L459" i="20"/>
  <c r="L549" i="20"/>
  <c r="L851" i="20"/>
  <c r="L298" i="20"/>
  <c r="L805" i="20"/>
  <c r="L1042" i="20"/>
  <c r="L670" i="20"/>
  <c r="L346" i="20"/>
  <c r="L281" i="20"/>
  <c r="L442" i="20"/>
  <c r="L515" i="20"/>
  <c r="L1085" i="20"/>
  <c r="L767" i="20"/>
  <c r="L831" i="20"/>
  <c r="L1207" i="20"/>
  <c r="L989" i="20"/>
  <c r="L312" i="20"/>
  <c r="L577" i="20"/>
  <c r="L1158" i="20"/>
  <c r="L914" i="20"/>
  <c r="L1017" i="20"/>
  <c r="L733" i="20"/>
  <c r="L1229" i="20"/>
  <c r="L637" i="20"/>
  <c r="L327" i="20"/>
  <c r="L704" i="20"/>
  <c r="L488" i="20"/>
  <c r="L893" i="20"/>
  <c r="L708" i="20"/>
  <c r="L665" i="20"/>
  <c r="L732" i="20"/>
  <c r="L605" i="20"/>
  <c r="L575" i="20"/>
  <c r="L631" i="20"/>
  <c r="L256" i="20"/>
  <c r="L272" i="20"/>
  <c r="L307" i="20"/>
  <c r="L326" i="20"/>
  <c r="L290" i="20"/>
  <c r="L347" i="20"/>
  <c r="M456" i="20"/>
  <c r="M384" i="20"/>
  <c r="M482" i="20"/>
  <c r="M427" i="20"/>
  <c r="M541" i="20"/>
  <c r="M512" i="20"/>
  <c r="M405" i="20"/>
  <c r="M658" i="20"/>
  <c r="M1120" i="20"/>
  <c r="M1098" i="20"/>
  <c r="M401" i="20"/>
  <c r="M908" i="20"/>
  <c r="M1041" i="20"/>
  <c r="M363" i="20"/>
  <c r="M380" i="20"/>
  <c r="M726" i="20"/>
  <c r="M424" i="20"/>
  <c r="M507" i="20"/>
  <c r="M979" i="20"/>
  <c r="M1225" i="20"/>
  <c r="M484" i="20"/>
  <c r="M567" i="20"/>
  <c r="M691" i="20"/>
  <c r="M873" i="20"/>
  <c r="M338" i="20"/>
  <c r="M628" i="20"/>
  <c r="M819" i="20"/>
  <c r="M793" i="20"/>
  <c r="M846" i="20"/>
  <c r="M599" i="20"/>
  <c r="M319" i="20"/>
  <c r="M1008" i="20"/>
  <c r="M940" i="20"/>
  <c r="M452" i="20"/>
  <c r="M759" i="20"/>
  <c r="M537" i="20"/>
  <c r="M1058" i="20"/>
  <c r="M1149" i="20"/>
  <c r="M1174" i="20"/>
  <c r="M959" i="20"/>
  <c r="M1198" i="20"/>
  <c r="L211" i="20"/>
  <c r="L9" i="20"/>
  <c r="L26" i="20"/>
  <c r="L194" i="20"/>
  <c r="L74" i="20"/>
  <c r="L293" i="20"/>
  <c r="L178" i="20"/>
  <c r="L124" i="20"/>
  <c r="L150" i="20"/>
  <c r="L139" i="20"/>
  <c r="L285" i="20"/>
  <c r="L42" i="20"/>
  <c r="L51" i="20"/>
  <c r="L62" i="20"/>
  <c r="L268" i="20"/>
  <c r="L229" i="20"/>
  <c r="L164" i="20"/>
  <c r="L291" i="20"/>
  <c r="L221" i="20"/>
  <c r="L81" i="20"/>
  <c r="L37" i="20"/>
  <c r="L58" i="20"/>
  <c r="L276" i="20"/>
  <c r="L349" i="20"/>
  <c r="L27" i="20"/>
  <c r="L147" i="20"/>
  <c r="L6" i="20"/>
  <c r="L93" i="20"/>
  <c r="L17" i="20"/>
  <c r="L259" i="20"/>
  <c r="L118" i="20"/>
  <c r="L310" i="20"/>
  <c r="L136" i="20"/>
  <c r="L170" i="20"/>
  <c r="L48" i="20"/>
  <c r="L240" i="20"/>
  <c r="L71" i="20"/>
  <c r="L205" i="20"/>
  <c r="L188" i="20"/>
  <c r="L158" i="20"/>
  <c r="L11" i="20"/>
  <c r="M665" i="20"/>
  <c r="M708" i="20"/>
  <c r="M732" i="20"/>
  <c r="M605" i="20"/>
  <c r="M575" i="20"/>
  <c r="M631" i="20"/>
  <c r="L1147" i="20"/>
  <c r="L303" i="20"/>
  <c r="L899" i="20"/>
  <c r="L176" i="20"/>
  <c r="L383" i="20"/>
  <c r="L566" i="20"/>
  <c r="L283" i="20"/>
  <c r="L337" i="20"/>
  <c r="L356" i="20"/>
  <c r="L1171" i="20"/>
  <c r="L504" i="20"/>
  <c r="L295" i="20"/>
  <c r="L842" i="20"/>
  <c r="L246" i="20"/>
  <c r="L721" i="20"/>
  <c r="L870" i="20"/>
  <c r="L398" i="20"/>
  <c r="L216" i="20"/>
  <c r="L238" i="20"/>
  <c r="L753" i="20"/>
  <c r="L162" i="20"/>
  <c r="L196" i="20"/>
  <c r="L266" i="20"/>
  <c r="L787" i="20"/>
  <c r="L815" i="20"/>
  <c r="L422" i="20"/>
  <c r="L597" i="20"/>
  <c r="L535" i="20"/>
  <c r="L929" i="20"/>
  <c r="L626" i="20"/>
  <c r="L1226" i="20"/>
  <c r="L653" i="20"/>
  <c r="L475" i="20"/>
  <c r="L1056" i="20"/>
  <c r="L450" i="20"/>
  <c r="L321" i="20"/>
  <c r="L1011" i="20"/>
  <c r="L1095" i="20"/>
  <c r="L973" i="20"/>
  <c r="L684" i="20"/>
  <c r="L956" i="20"/>
  <c r="L1117" i="20"/>
  <c r="L1037" i="20"/>
  <c r="M606" i="20"/>
  <c r="M731" i="20"/>
  <c r="M574" i="20"/>
  <c r="M630" i="20"/>
  <c r="M663" i="20"/>
  <c r="M707" i="20"/>
  <c r="L876" i="20"/>
  <c r="L755" i="20"/>
  <c r="L659" i="20"/>
  <c r="L860" i="20"/>
  <c r="L788" i="20"/>
  <c r="L975" i="20"/>
  <c r="L713" i="20"/>
  <c r="L813" i="20"/>
  <c r="L1116" i="20"/>
  <c r="L730" i="20"/>
  <c r="L926" i="20"/>
  <c r="L1055" i="20"/>
  <c r="L1094" i="20"/>
  <c r="L1006" i="20"/>
  <c r="L1036" i="20"/>
  <c r="L952" i="20"/>
  <c r="M81" i="20"/>
  <c r="M58" i="20"/>
  <c r="M170" i="20"/>
  <c r="M276" i="20"/>
  <c r="M349" i="20"/>
  <c r="M259" i="20"/>
  <c r="M37" i="20"/>
  <c r="M6" i="20"/>
  <c r="M291" i="20"/>
  <c r="M205" i="20"/>
  <c r="M93" i="20"/>
  <c r="M27" i="20"/>
  <c r="M17" i="20"/>
  <c r="M221" i="20"/>
  <c r="M118" i="20"/>
  <c r="M158" i="20"/>
  <c r="M48" i="20"/>
  <c r="M147" i="20"/>
  <c r="M136" i="20"/>
  <c r="M11" i="20"/>
  <c r="M71" i="20"/>
  <c r="M188" i="20"/>
  <c r="M310" i="20"/>
  <c r="M240" i="20"/>
  <c r="M306" i="20"/>
  <c r="M771" i="20"/>
  <c r="M149" i="20"/>
  <c r="M255" i="20"/>
  <c r="M492" i="20"/>
  <c r="M582" i="20"/>
  <c r="M392" i="20"/>
  <c r="M409" i="20"/>
  <c r="M271" i="20"/>
  <c r="M223" i="20"/>
  <c r="M173" i="20"/>
  <c r="M325" i="20"/>
  <c r="M160" i="20"/>
  <c r="M344" i="20"/>
  <c r="M191" i="20"/>
  <c r="M712" i="20"/>
  <c r="M526" i="20"/>
  <c r="M647" i="20"/>
  <c r="M807" i="20"/>
  <c r="M832" i="20"/>
  <c r="M289" i="20"/>
  <c r="M140" i="20"/>
  <c r="M242" i="20"/>
  <c r="M613" i="20"/>
  <c r="M550" i="20"/>
  <c r="M748" i="20"/>
  <c r="M474" i="20"/>
  <c r="M373" i="20"/>
  <c r="M438" i="20"/>
  <c r="M207" i="20"/>
  <c r="L1201" i="20"/>
  <c r="L570" i="20"/>
  <c r="L784" i="20"/>
  <c r="L508" i="20"/>
  <c r="L696" i="20"/>
  <c r="L454" i="20"/>
  <c r="L984" i="20"/>
  <c r="L629" i="20"/>
  <c r="L1043" i="20"/>
  <c r="L1103" i="20"/>
  <c r="L821" i="20"/>
  <c r="L1156" i="20"/>
  <c r="L934" i="20"/>
  <c r="L878" i="20"/>
  <c r="M827" i="20"/>
  <c r="M957" i="20"/>
  <c r="M1180" i="20"/>
  <c r="M1132" i="20"/>
  <c r="M551" i="20"/>
  <c r="M408" i="20"/>
  <c r="M509" i="20"/>
  <c r="M487" i="20"/>
  <c r="M687" i="20"/>
  <c r="M585" i="20"/>
  <c r="M607" i="20"/>
  <c r="M747" i="20"/>
  <c r="M806" i="20"/>
  <c r="M1005" i="20"/>
  <c r="M343" i="20"/>
  <c r="M710" i="20"/>
  <c r="M781" i="20"/>
  <c r="M645" i="20"/>
  <c r="M443" i="20"/>
  <c r="M935" i="20"/>
  <c r="M1048" i="20"/>
  <c r="M368" i="20"/>
  <c r="M917" i="20"/>
  <c r="M460" i="20"/>
  <c r="M324" i="20"/>
  <c r="M1202" i="20"/>
  <c r="M869" i="20"/>
  <c r="M387" i="20"/>
  <c r="M1091" i="20"/>
  <c r="M889" i="20"/>
  <c r="M305" i="20"/>
  <c r="M1135" i="20"/>
  <c r="M1183" i="20"/>
  <c r="M964" i="20"/>
  <c r="M345" i="20"/>
  <c r="M942" i="20"/>
  <c r="M461" i="20"/>
  <c r="M331" i="20"/>
  <c r="M743" i="20"/>
  <c r="M371" i="20"/>
  <c r="M444" i="20"/>
  <c r="M774" i="20"/>
  <c r="M649" i="20"/>
  <c r="M579" i="20"/>
  <c r="M407" i="20"/>
  <c r="M861" i="20"/>
  <c r="M1238" i="20"/>
  <c r="M1086" i="20"/>
  <c r="M671" i="20"/>
  <c r="M547" i="20"/>
  <c r="M254" i="20"/>
  <c r="M705" i="20"/>
  <c r="M992" i="20"/>
  <c r="M1115" i="20"/>
  <c r="M1021" i="20"/>
  <c r="M1221" i="20"/>
  <c r="M1162" i="20"/>
  <c r="M828" i="20"/>
  <c r="M804" i="20"/>
  <c r="L751" i="20"/>
  <c r="L376" i="20"/>
  <c r="L263" i="20"/>
  <c r="L226" i="20"/>
  <c r="L867" i="20"/>
  <c r="L279" i="20"/>
  <c r="L358" i="20"/>
  <c r="L501" i="20"/>
  <c r="L891" i="20"/>
  <c r="L209" i="20"/>
  <c r="L193" i="20"/>
  <c r="L472" i="20"/>
  <c r="L395" i="20"/>
  <c r="L446" i="20"/>
  <c r="L924" i="20"/>
  <c r="L561" i="20"/>
  <c r="L620" i="20"/>
  <c r="L688" i="20"/>
  <c r="L650" i="20"/>
  <c r="L809" i="20"/>
  <c r="L244" i="20"/>
  <c r="L531" i="20"/>
  <c r="L719" i="20"/>
  <c r="L420" i="20"/>
  <c r="L994" i="20"/>
  <c r="L334" i="20"/>
  <c r="L782" i="20"/>
  <c r="L593" i="20"/>
  <c r="L313" i="20"/>
  <c r="L1142" i="20"/>
  <c r="L950" i="20"/>
  <c r="L1029" i="20"/>
  <c r="L1092" i="20"/>
  <c r="L1188" i="20"/>
  <c r="M256" i="20"/>
  <c r="M307" i="20"/>
  <c r="M326" i="20"/>
  <c r="M290" i="20"/>
  <c r="M347" i="20"/>
  <c r="M272" i="20"/>
  <c r="L602" i="20"/>
  <c r="L360" i="20"/>
  <c r="L560" i="20"/>
  <c r="L581" i="20"/>
  <c r="L677" i="20"/>
  <c r="L441" i="20"/>
  <c r="L718" i="20"/>
  <c r="M1017" i="20"/>
  <c r="M459" i="20"/>
  <c r="M35" i="20"/>
  <c r="M893" i="20"/>
  <c r="M287" i="20"/>
  <c r="M80" i="20"/>
  <c r="M914" i="20"/>
  <c r="M69" i="20"/>
  <c r="M94" i="20"/>
  <c r="M133" i="20"/>
  <c r="M156" i="20"/>
  <c r="M235" i="20"/>
  <c r="M939" i="20"/>
  <c r="M219" i="20"/>
  <c r="M265" i="20"/>
  <c r="M171" i="20"/>
  <c r="M45" i="20"/>
  <c r="M199" i="20"/>
  <c r="M346" i="20"/>
  <c r="M549" i="20"/>
  <c r="M577" i="20"/>
  <c r="M851" i="20"/>
  <c r="M1042" i="20"/>
  <c r="M637" i="20"/>
  <c r="M298" i="20"/>
  <c r="M370" i="20"/>
  <c r="M805" i="20"/>
  <c r="M670" i="20"/>
  <c r="M488" i="20"/>
  <c r="M406" i="20"/>
  <c r="M281" i="20"/>
  <c r="M767" i="20"/>
  <c r="M831" i="20"/>
  <c r="M962" i="20"/>
  <c r="M1085" i="20"/>
  <c r="M1229" i="20"/>
  <c r="M312" i="20"/>
  <c r="M1207" i="20"/>
  <c r="M1158" i="20"/>
  <c r="M989" i="20"/>
  <c r="M733" i="20"/>
  <c r="M105" i="20"/>
  <c r="M1106" i="20"/>
  <c r="M704" i="20"/>
  <c r="M1182" i="20"/>
  <c r="M611" i="20"/>
  <c r="M442" i="20"/>
  <c r="M390" i="20"/>
  <c r="M327" i="20"/>
  <c r="M515" i="20"/>
  <c r="M1129" i="20"/>
  <c r="L646" i="20"/>
  <c r="L135" i="20"/>
  <c r="L157" i="20"/>
  <c r="L186" i="20"/>
  <c r="L483" i="20"/>
  <c r="L146" i="20"/>
  <c r="L117" i="20"/>
  <c r="L897" i="20"/>
  <c r="L204" i="20"/>
  <c r="L273" i="20"/>
  <c r="L711" i="20"/>
  <c r="L258" i="20"/>
  <c r="L580" i="20"/>
  <c r="L548" i="20"/>
  <c r="L768" i="20"/>
  <c r="L746" i="20"/>
  <c r="L175" i="20"/>
  <c r="L608" i="20"/>
  <c r="L222" i="20"/>
  <c r="L348" i="20"/>
  <c r="L525" i="20"/>
  <c r="L673" i="20"/>
  <c r="L332" i="20"/>
  <c r="M1043" i="20"/>
  <c r="M1156" i="20"/>
  <c r="M570" i="20"/>
  <c r="M1201" i="20"/>
  <c r="M934" i="20"/>
  <c r="M629" i="20"/>
  <c r="M508" i="20"/>
  <c r="M454" i="20"/>
  <c r="M984" i="20"/>
  <c r="M784" i="20"/>
  <c r="M821" i="20"/>
  <c r="M696" i="20"/>
  <c r="M878" i="20"/>
  <c r="M1103" i="20"/>
  <c r="L408" i="20"/>
  <c r="L645" i="20"/>
  <c r="L551" i="20"/>
  <c r="L827" i="20"/>
  <c r="L1091" i="20"/>
  <c r="L1202" i="20"/>
  <c r="L747" i="20"/>
  <c r="L1048" i="20"/>
  <c r="L443" i="20"/>
  <c r="L509" i="20"/>
  <c r="L487" i="20"/>
  <c r="L710" i="20"/>
  <c r="L935" i="20"/>
  <c r="L687" i="20"/>
  <c r="L585" i="20"/>
  <c r="L607" i="20"/>
  <c r="L869" i="20"/>
  <c r="L1005" i="20"/>
  <c r="L343" i="20"/>
  <c r="L917" i="20"/>
  <c r="L781" i="20"/>
  <c r="L806" i="20"/>
  <c r="L387" i="20"/>
  <c r="L1180" i="20"/>
  <c r="L368" i="20"/>
  <c r="L460" i="20"/>
  <c r="L324" i="20"/>
  <c r="L957" i="20"/>
  <c r="L1132" i="20"/>
  <c r="M1151" i="20"/>
  <c r="M986" i="20"/>
  <c r="M1065" i="20"/>
  <c r="M1179" i="20"/>
  <c r="M850" i="20"/>
  <c r="M516" i="20"/>
  <c r="M910" i="20"/>
  <c r="M578" i="20"/>
  <c r="M603" i="20"/>
  <c r="M669" i="20"/>
  <c r="M635" i="20"/>
  <c r="M803" i="20"/>
  <c r="M1046" i="20"/>
  <c r="M546" i="20"/>
  <c r="M765" i="20"/>
  <c r="M826" i="20"/>
  <c r="M961" i="20"/>
  <c r="M1125" i="20"/>
  <c r="M1204" i="20"/>
  <c r="M486" i="20"/>
  <c r="M880" i="20"/>
  <c r="M938" i="20"/>
  <c r="M1107" i="20"/>
  <c r="M703" i="20"/>
  <c r="M1016" i="20"/>
  <c r="M735" i="20"/>
  <c r="L342" i="20"/>
  <c r="L1234" i="20"/>
  <c r="L941" i="20"/>
  <c r="L1101" i="20"/>
  <c r="L875" i="20"/>
  <c r="L664" i="20"/>
  <c r="L763" i="20"/>
  <c r="L695" i="20"/>
  <c r="L1121" i="20"/>
  <c r="L366" i="20"/>
  <c r="L572" i="20"/>
  <c r="L820" i="20"/>
  <c r="L729" i="20"/>
  <c r="L1160" i="20"/>
  <c r="L1047" i="20"/>
  <c r="L1218" i="20"/>
  <c r="L1020" i="20"/>
  <c r="L542" i="20"/>
  <c r="L795" i="20"/>
  <c r="L1184" i="20"/>
  <c r="L848" i="20"/>
  <c r="L981" i="20"/>
  <c r="L1061" i="20"/>
  <c r="L904" i="20"/>
  <c r="M980" i="20"/>
  <c r="M1082" i="20"/>
  <c r="M57" i="20"/>
  <c r="M1177" i="20"/>
  <c r="M31" i="20"/>
  <c r="M4" i="20"/>
  <c r="M89" i="20"/>
  <c r="M790" i="20"/>
  <c r="M367" i="20"/>
  <c r="M130" i="20"/>
  <c r="M694" i="20"/>
  <c r="M15" i="20"/>
  <c r="M898" i="20"/>
  <c r="L1097" i="20"/>
  <c r="L1224" i="20"/>
  <c r="L1200" i="20"/>
  <c r="L1170" i="20"/>
  <c r="L1057" i="20"/>
  <c r="L1122" i="20"/>
  <c r="L1141" i="20"/>
  <c r="M361" i="20"/>
  <c r="M440" i="20"/>
  <c r="M1118" i="20"/>
  <c r="M1172" i="20"/>
  <c r="M397" i="20"/>
  <c r="M536" i="20"/>
  <c r="M955" i="20"/>
  <c r="M930" i="20"/>
  <c r="M267" i="20"/>
  <c r="M177" i="20"/>
  <c r="M1096" i="20"/>
  <c r="M1148" i="20"/>
  <c r="M1010" i="20"/>
  <c r="M357" i="20"/>
  <c r="M381" i="20"/>
  <c r="M336" i="20"/>
  <c r="M722" i="20"/>
  <c r="M296" i="20"/>
  <c r="M322" i="20"/>
  <c r="M302" i="20"/>
  <c r="M974" i="20"/>
  <c r="M1038" i="20"/>
  <c r="M197" i="20"/>
  <c r="M596" i="20"/>
  <c r="M449" i="20"/>
  <c r="M785" i="20"/>
  <c r="M816" i="20"/>
  <c r="M652" i="20"/>
  <c r="M900" i="20"/>
  <c r="M215" i="20"/>
  <c r="M754" i="20"/>
  <c r="M686" i="20"/>
  <c r="M161" i="20"/>
  <c r="M282" i="20"/>
  <c r="M564" i="20"/>
  <c r="M503" i="20"/>
  <c r="M247" i="20"/>
  <c r="M871" i="20"/>
  <c r="M239" i="20"/>
  <c r="M419" i="20"/>
  <c r="M1227" i="20"/>
  <c r="M476" i="20"/>
  <c r="M627" i="20"/>
  <c r="M847" i="20"/>
  <c r="M926" i="20"/>
  <c r="M952" i="20"/>
  <c r="M1036" i="20"/>
  <c r="M876" i="20"/>
  <c r="M755" i="20"/>
  <c r="M659" i="20"/>
  <c r="M813" i="20"/>
  <c r="M975" i="20"/>
  <c r="M788" i="20"/>
  <c r="M713" i="20"/>
  <c r="M1094" i="20"/>
  <c r="M730" i="20"/>
  <c r="M1055" i="20"/>
  <c r="M1006" i="20"/>
  <c r="M1116" i="20"/>
  <c r="M860" i="20"/>
  <c r="M1147" i="20"/>
  <c r="M475" i="20"/>
  <c r="M1056" i="20"/>
  <c r="M1037" i="20"/>
  <c r="M956" i="20"/>
  <c r="M295" i="20"/>
  <c r="M337" i="20"/>
  <c r="M303" i="20"/>
  <c r="M1095" i="20"/>
  <c r="M566" i="20"/>
  <c r="M283" i="20"/>
  <c r="M973" i="20"/>
  <c r="M398" i="20"/>
  <c r="M1117" i="20"/>
  <c r="M356" i="20"/>
  <c r="M1171" i="20"/>
  <c r="M176" i="20"/>
  <c r="M383" i="20"/>
  <c r="M216" i="20"/>
  <c r="M238" i="20"/>
  <c r="M504" i="20"/>
  <c r="M246" i="20"/>
  <c r="M597" i="20"/>
  <c r="M1011" i="20"/>
  <c r="M162" i="20"/>
  <c r="M196" i="20"/>
  <c r="M266" i="20"/>
  <c r="M787" i="20"/>
  <c r="M422" i="20"/>
  <c r="M535" i="20"/>
  <c r="M815" i="20"/>
  <c r="M929" i="20"/>
  <c r="M653" i="20"/>
  <c r="M450" i="20"/>
  <c r="M321" i="20"/>
  <c r="M684" i="20"/>
  <c r="M842" i="20"/>
  <c r="M870" i="20"/>
  <c r="M899" i="20"/>
  <c r="M626" i="20"/>
  <c r="M1226" i="20"/>
  <c r="M753" i="20"/>
  <c r="M721" i="20"/>
  <c r="M301" i="20"/>
  <c r="M662" i="20"/>
  <c r="M65" i="20"/>
  <c r="M1159" i="20"/>
  <c r="M1208" i="20"/>
  <c r="M425" i="20"/>
  <c r="M143" i="20"/>
  <c r="M107" i="20"/>
  <c r="M1075" i="20"/>
  <c r="M845" i="20"/>
  <c r="M101" i="20"/>
  <c r="M129" i="20"/>
  <c r="M153" i="20"/>
  <c r="M728" i="20"/>
  <c r="M253" i="20"/>
  <c r="M115" i="20"/>
  <c r="M323" i="20"/>
  <c r="M228" i="20"/>
  <c r="M1013" i="20"/>
  <c r="M794" i="20"/>
  <c r="M636" i="20"/>
  <c r="M77" i="20"/>
  <c r="M365" i="20"/>
  <c r="M403" i="20"/>
  <c r="M198" i="20"/>
  <c r="M569" i="20"/>
  <c r="M510" i="20"/>
  <c r="M166" i="20"/>
  <c r="M829" i="20"/>
  <c r="M457" i="20"/>
  <c r="M181" i="20"/>
  <c r="M762" i="20"/>
  <c r="M480" i="20"/>
  <c r="M903" i="20"/>
  <c r="M874" i="20"/>
  <c r="M534" i="20"/>
  <c r="M604" i="20"/>
  <c r="M693" i="20"/>
  <c r="M87" i="20"/>
  <c r="M1123" i="20"/>
  <c r="M1181" i="20"/>
  <c r="L1139" i="20"/>
  <c r="L1113" i="20"/>
  <c r="L1169" i="20"/>
  <c r="L1138" i="20"/>
  <c r="L1089" i="20"/>
  <c r="L1166" i="20"/>
  <c r="L1137" i="20"/>
  <c r="L1112" i="20"/>
  <c r="L1090" i="20"/>
  <c r="L1165" i="20"/>
  <c r="M1220" i="20"/>
  <c r="M1192" i="20"/>
  <c r="M1219" i="20"/>
  <c r="M1237" i="20"/>
  <c r="M1215" i="20"/>
  <c r="M1193" i="20"/>
  <c r="M1194" i="20"/>
  <c r="M1235" i="20"/>
  <c r="M1223" i="20"/>
  <c r="M1236" i="20"/>
  <c r="M1070" i="20"/>
  <c r="M1206" i="20"/>
  <c r="M520" i="20"/>
  <c r="M116" i="20"/>
  <c r="M587" i="20"/>
  <c r="M1230" i="20"/>
  <c r="M614" i="20"/>
  <c r="M944" i="20"/>
  <c r="M996" i="20"/>
  <c r="M967" i="20"/>
  <c r="M1152" i="20"/>
  <c r="M555" i="20"/>
  <c r="M1209" i="20"/>
  <c r="M881" i="20"/>
  <c r="M432" i="20"/>
  <c r="M738" i="20"/>
  <c r="M836" i="20"/>
  <c r="M466" i="20"/>
  <c r="M1076" i="20"/>
  <c r="M1126" i="20"/>
  <c r="M640" i="20"/>
  <c r="M519" i="20"/>
  <c r="M588" i="20"/>
  <c r="M835" i="20"/>
  <c r="M796" i="20"/>
  <c r="M945" i="20"/>
  <c r="M467" i="20"/>
  <c r="M431" i="20"/>
  <c r="M679" i="20"/>
  <c r="M775" i="20"/>
  <c r="M495" i="20"/>
  <c r="M415" i="20"/>
  <c r="M882" i="20"/>
  <c r="M968" i="20"/>
  <c r="M496" i="20"/>
  <c r="M416" i="20"/>
  <c r="M639" i="20"/>
  <c r="M918" i="20"/>
  <c r="M615" i="20"/>
  <c r="M797" i="20"/>
  <c r="M997" i="20"/>
  <c r="M697" i="20"/>
  <c r="M854" i="20"/>
  <c r="M698" i="20"/>
  <c r="M855" i="20"/>
  <c r="M1187" i="20"/>
  <c r="M554" i="20"/>
  <c r="M1023" i="20"/>
  <c r="M678" i="20"/>
  <c r="M776" i="20"/>
  <c r="M1077" i="20"/>
  <c r="M919" i="20"/>
  <c r="M737" i="20"/>
  <c r="M1024" i="20"/>
  <c r="M1142" i="20"/>
  <c r="M1029" i="20"/>
  <c r="M279" i="20"/>
  <c r="M244" i="20"/>
  <c r="M358" i="20"/>
  <c r="M501" i="20"/>
  <c r="M209" i="20"/>
  <c r="M376" i="20"/>
  <c r="M226" i="20"/>
  <c r="M891" i="20"/>
  <c r="M193" i="20"/>
  <c r="M446" i="20"/>
  <c r="M1188" i="20"/>
  <c r="M395" i="20"/>
  <c r="M924" i="20"/>
  <c r="M561" i="20"/>
  <c r="M531" i="20"/>
  <c r="M650" i="20"/>
  <c r="M950" i="20"/>
  <c r="M688" i="20"/>
  <c r="M334" i="20"/>
  <c r="M472" i="20"/>
  <c r="M751" i="20"/>
  <c r="M867" i="20"/>
  <c r="M809" i="20"/>
  <c r="M994" i="20"/>
  <c r="M263" i="20"/>
  <c r="M420" i="20"/>
  <c r="M782" i="20"/>
  <c r="M593" i="20"/>
  <c r="M620" i="20"/>
  <c r="M313" i="20"/>
  <c r="M1092" i="20"/>
  <c r="M719" i="20"/>
  <c r="W118" i="10"/>
  <c r="U113" i="10"/>
  <c r="R126" i="10"/>
  <c r="T111" i="10"/>
  <c r="T130" i="10"/>
  <c r="U125" i="10"/>
  <c r="O112" i="10"/>
  <c r="T123" i="10"/>
  <c r="W114" i="10"/>
  <c r="P111" i="10"/>
  <c r="T115" i="10"/>
  <c r="R116" i="10"/>
  <c r="U116" i="10"/>
  <c r="T121" i="10"/>
  <c r="T118" i="10"/>
  <c r="U117" i="10"/>
  <c r="T127" i="10"/>
  <c r="P113" i="10"/>
  <c r="U122" i="10"/>
  <c r="O129" i="10"/>
  <c r="O122" i="10"/>
  <c r="U118" i="10"/>
  <c r="O128" i="10"/>
  <c r="W129" i="10"/>
  <c r="P130" i="10"/>
  <c r="U131" i="10"/>
  <c r="P123" i="10"/>
  <c r="O117" i="10"/>
  <c r="P112" i="10"/>
  <c r="O131" i="10"/>
  <c r="U126" i="10"/>
  <c r="O125" i="10"/>
  <c r="W125" i="10"/>
  <c r="T112" i="10"/>
  <c r="R122" i="10"/>
  <c r="O118" i="10"/>
  <c r="W115" i="10"/>
  <c r="R111" i="10"/>
  <c r="R115" i="10"/>
  <c r="O111" i="10"/>
  <c r="U111" i="10"/>
  <c r="O123" i="10"/>
  <c r="T113" i="10"/>
  <c r="U129" i="10"/>
  <c r="P129" i="10"/>
  <c r="O127" i="10"/>
  <c r="W131" i="10"/>
  <c r="T131" i="10"/>
  <c r="R125" i="10"/>
  <c r="U121" i="10"/>
  <c r="W116" i="10"/>
  <c r="R114" i="10"/>
  <c r="T128" i="10"/>
  <c r="W117" i="10"/>
  <c r="T129" i="10"/>
  <c r="W128" i="10"/>
  <c r="P128" i="10"/>
  <c r="P127" i="10"/>
  <c r="W126" i="10"/>
  <c r="O126" i="10"/>
  <c r="W111" i="10"/>
  <c r="R113" i="10"/>
  <c r="P117" i="10"/>
  <c r="U112" i="10"/>
  <c r="O115" i="10"/>
  <c r="P118" i="10"/>
  <c r="U128" i="10"/>
  <c r="T126" i="10"/>
  <c r="T122" i="10"/>
  <c r="R123" i="10"/>
  <c r="T114" i="10"/>
  <c r="W121" i="10"/>
  <c r="O116" i="10"/>
  <c r="B2" i="18" a="1"/>
  <c r="R129" i="10"/>
  <c r="R130" i="10"/>
  <c r="R110" i="10"/>
  <c r="R127" i="10"/>
  <c r="R112" i="10"/>
  <c r="R108" i="10"/>
  <c r="P121" i="10"/>
  <c r="P108" i="10"/>
  <c r="U127" i="10"/>
  <c r="P110" i="10"/>
  <c r="W122" i="10"/>
  <c r="R121" i="10"/>
  <c r="U114" i="10"/>
  <c r="O114" i="10"/>
  <c r="O121" i="10"/>
  <c r="W108" i="10"/>
  <c r="P131" i="10"/>
  <c r="P115" i="10"/>
  <c r="T117" i="10"/>
  <c r="U108" i="10"/>
  <c r="P116" i="10"/>
  <c r="U110" i="10"/>
  <c r="T125" i="10"/>
  <c r="R128" i="10"/>
  <c r="T116" i="10"/>
  <c r="W123" i="10"/>
  <c r="U123" i="10"/>
  <c r="P122" i="10"/>
  <c r="W112" i="10"/>
  <c r="R118" i="10"/>
  <c r="U115" i="10"/>
  <c r="U130" i="10"/>
  <c r="R131" i="10"/>
  <c r="P126" i="10"/>
  <c r="P125" i="10"/>
  <c r="O130" i="10"/>
  <c r="W130" i="10"/>
  <c r="W127" i="10"/>
  <c r="O113" i="10"/>
  <c r="P114" i="10"/>
  <c r="W113" i="10"/>
  <c r="R117" i="10"/>
  <c r="AJ118" i="10"/>
  <c r="AM112" i="10"/>
  <c r="AJ108" i="10"/>
  <c r="AI122" i="10"/>
  <c r="AI115" i="10"/>
  <c r="AI121" i="10"/>
  <c r="AI118" i="10"/>
  <c r="AJ129" i="10"/>
  <c r="AM129" i="10"/>
  <c r="AM123" i="10"/>
  <c r="AM117" i="10"/>
  <c r="AI114" i="10"/>
  <c r="AI126" i="10"/>
  <c r="AM118" i="10"/>
  <c r="AM111" i="10"/>
  <c r="AM121" i="10"/>
  <c r="AM127" i="10"/>
  <c r="AM126" i="10"/>
  <c r="AI128" i="10"/>
  <c r="AM116" i="10"/>
  <c r="AJ122" i="10"/>
  <c r="AI125" i="10"/>
  <c r="AI123" i="10"/>
  <c r="AM130" i="10"/>
  <c r="AJ117" i="10"/>
  <c r="AJ115" i="10"/>
  <c r="AM131" i="10"/>
  <c r="AM110" i="10"/>
  <c r="AJ125" i="10"/>
  <c r="AI111" i="10"/>
  <c r="AJ126" i="10"/>
  <c r="AI117" i="10"/>
  <c r="AI113" i="10"/>
  <c r="AM128" i="10"/>
  <c r="AJ127" i="10"/>
  <c r="AI127" i="10"/>
  <c r="AM125" i="10"/>
  <c r="AM113" i="10"/>
  <c r="AM115" i="10"/>
  <c r="AI129" i="10"/>
  <c r="AJ128" i="10"/>
  <c r="AJ123" i="10"/>
  <c r="AJ121" i="10"/>
  <c r="AM108" i="10"/>
  <c r="AJ116" i="10"/>
  <c r="AM122" i="10"/>
  <c r="AJ114" i="10"/>
  <c r="AJ131" i="10"/>
  <c r="AJ113" i="10"/>
  <c r="AI116" i="10"/>
  <c r="AI112" i="10"/>
  <c r="AJ112" i="10"/>
  <c r="AI131" i="10"/>
  <c r="AJ111" i="10"/>
  <c r="AJ130" i="10"/>
  <c r="AM114" i="10"/>
  <c r="AI130" i="10"/>
  <c r="AG126" i="10"/>
  <c r="BJ126" i="10" s="1"/>
  <c r="AE118" i="10"/>
  <c r="BG118" i="10" s="1"/>
  <c r="AE126" i="10"/>
  <c r="BG126" i="10" s="1"/>
  <c r="AE111" i="10"/>
  <c r="BG111" i="10" s="1"/>
  <c r="AD130" i="10"/>
  <c r="AG114" i="10"/>
  <c r="BJ114" i="10" s="1"/>
  <c r="AD129" i="10"/>
  <c r="AG127" i="10"/>
  <c r="BJ127" i="10" s="1"/>
  <c r="AE110" i="10"/>
  <c r="BG110" i="10" s="1"/>
  <c r="AG116" i="10"/>
  <c r="BJ116" i="10" s="1"/>
  <c r="AE129" i="10"/>
  <c r="BG129" i="10" s="1"/>
  <c r="AG129" i="10"/>
  <c r="BJ129" i="10" s="1"/>
  <c r="AD126" i="10"/>
  <c r="AG108" i="10"/>
  <c r="BJ108" i="10" s="1"/>
  <c r="AE123" i="10"/>
  <c r="BG123" i="10" s="1"/>
  <c r="AD125" i="10"/>
  <c r="AG117" i="10"/>
  <c r="BJ117" i="10" s="1"/>
  <c r="AE131" i="10"/>
  <c r="BG131" i="10" s="1"/>
  <c r="AD116" i="10"/>
  <c r="AD114" i="10"/>
  <c r="AG118" i="10"/>
  <c r="BJ118" i="10" s="1"/>
  <c r="AG125" i="10"/>
  <c r="BJ125" i="10" s="1"/>
  <c r="AG111" i="10"/>
  <c r="BJ111" i="10" s="1"/>
  <c r="AD127" i="10"/>
  <c r="AD112" i="10"/>
  <c r="AD131" i="10"/>
  <c r="AD118" i="10"/>
  <c r="AE130" i="10"/>
  <c r="BG130" i="10" s="1"/>
  <c r="AE113" i="10"/>
  <c r="BG113" i="10" s="1"/>
  <c r="AE115" i="10"/>
  <c r="BG115" i="10" s="1"/>
  <c r="AE125" i="10"/>
  <c r="BG125" i="10" s="1"/>
  <c r="AE122" i="10"/>
  <c r="BG122" i="10" s="1"/>
  <c r="AD111" i="10"/>
  <c r="AE117" i="10"/>
  <c r="BG117" i="10" s="1"/>
  <c r="AD123" i="10"/>
  <c r="AE108" i="10"/>
  <c r="BG108" i="10" s="1"/>
  <c r="AE128" i="10"/>
  <c r="BG128" i="10" s="1"/>
  <c r="AD113" i="10"/>
  <c r="AE112" i="10"/>
  <c r="BG112" i="10" s="1"/>
  <c r="AD117" i="10"/>
  <c r="AG123" i="10"/>
  <c r="BJ123" i="10" s="1"/>
  <c r="AG113" i="10"/>
  <c r="BJ113" i="10" s="1"/>
  <c r="AG115" i="10"/>
  <c r="BJ115" i="10" s="1"/>
  <c r="AG128" i="10"/>
  <c r="BJ128" i="10" s="1"/>
  <c r="AG121" i="10"/>
  <c r="BJ121" i="10" s="1"/>
  <c r="AD121" i="10"/>
  <c r="AG112" i="10"/>
  <c r="BJ112" i="10" s="1"/>
  <c r="AG110" i="10"/>
  <c r="BJ110" i="10" s="1"/>
  <c r="AE121" i="10"/>
  <c r="BG121" i="10" s="1"/>
  <c r="AG131" i="10"/>
  <c r="BJ131" i="10" s="1"/>
  <c r="AE127" i="10"/>
  <c r="BG127" i="10" s="1"/>
  <c r="AD128" i="10"/>
  <c r="AE114" i="10"/>
  <c r="BG114" i="10" s="1"/>
  <c r="AG122" i="10"/>
  <c r="BJ122" i="10" s="1"/>
  <c r="AD122" i="10"/>
  <c r="AD115" i="10"/>
  <c r="AE116" i="10"/>
  <c r="BG116" i="10" s="1"/>
  <c r="AG130" i="10"/>
  <c r="BJ130" i="10" s="1"/>
  <c r="W110" i="10"/>
  <c r="H131" i="10"/>
  <c r="B7" i="13" s="1"/>
  <c r="L130" i="10" a="1"/>
  <c r="L130" i="10" s="1"/>
  <c r="L121" i="10" a="1"/>
  <c r="L121" i="10" s="1"/>
  <c r="AB131" i="10"/>
  <c r="L113" i="10" a="1"/>
  <c r="L113" i="10" s="1"/>
  <c r="AB127" i="10"/>
  <c r="Y112" i="10"/>
  <c r="L116" i="10" a="1"/>
  <c r="L116" i="10" s="1"/>
  <c r="K116" i="10" a="1"/>
  <c r="K116" i="10" s="1"/>
  <c r="K131" i="10" a="1"/>
  <c r="K131" i="10" s="1"/>
  <c r="Y126" i="10"/>
  <c r="Z110" i="10"/>
  <c r="AB118" i="10"/>
  <c r="L112" i="10" a="1"/>
  <c r="L112" i="10" s="1"/>
  <c r="H122" i="10"/>
  <c r="Y129" i="10"/>
  <c r="K122" i="10" a="1"/>
  <c r="K122" i="10" s="1"/>
  <c r="Y128" i="10"/>
  <c r="L127" i="10" a="1"/>
  <c r="L127" i="10" s="1"/>
  <c r="H127" i="10"/>
  <c r="Y131" i="10"/>
  <c r="AB116" i="10"/>
  <c r="H118" i="10"/>
  <c r="Z118" i="10"/>
  <c r="Z108" i="10"/>
  <c r="Z127" i="10"/>
  <c r="Z117" i="10"/>
  <c r="L108" i="10" a="1"/>
  <c r="L108" i="10" s="1"/>
  <c r="K111" i="10" a="1"/>
  <c r="K111" i="10" s="1"/>
  <c r="K129" i="10" a="1"/>
  <c r="K129" i="10" s="1"/>
  <c r="Z123" i="10"/>
  <c r="Z121" i="10"/>
  <c r="Z116" i="10"/>
  <c r="K118" i="10" a="1"/>
  <c r="K118" i="10" s="1"/>
  <c r="Z129" i="10"/>
  <c r="AB113" i="10"/>
  <c r="AB129" i="10"/>
  <c r="K115" i="10" a="1"/>
  <c r="K115" i="10" s="1"/>
  <c r="Z130" i="10"/>
  <c r="K112" i="10" a="1"/>
  <c r="K112" i="10" s="1"/>
  <c r="Z126" i="10"/>
  <c r="Z112" i="10"/>
  <c r="Y121" i="10"/>
  <c r="Z122" i="10"/>
  <c r="H108" i="10"/>
  <c r="H112" i="10"/>
  <c r="L129" i="10" a="1"/>
  <c r="L129" i="10" s="1"/>
  <c r="K130" i="10" a="1"/>
  <c r="K130" i="10" s="1"/>
  <c r="K114" i="10" a="1"/>
  <c r="K114" i="10" s="1"/>
  <c r="K127" i="10" a="1"/>
  <c r="K127" i="10" s="1"/>
  <c r="Z125" i="10"/>
  <c r="AB112" i="10"/>
  <c r="Y122" i="10"/>
  <c r="L118" i="10" a="1"/>
  <c r="L118" i="10" s="1"/>
  <c r="AB123" i="10"/>
  <c r="AB111" i="10"/>
  <c r="H115" i="10"/>
  <c r="H117" i="10"/>
  <c r="Y113" i="10"/>
  <c r="H123" i="10"/>
  <c r="L131" i="10" a="1"/>
  <c r="L131" i="10" s="1"/>
  <c r="H126" i="10"/>
  <c r="B6" i="13" s="1"/>
  <c r="L122" i="10" a="1"/>
  <c r="L122" i="10" s="1"/>
  <c r="K123" i="10" a="1"/>
  <c r="K123" i="10" s="1"/>
  <c r="Y127" i="10"/>
  <c r="Y117" i="10"/>
  <c r="H114" i="10"/>
  <c r="Y116" i="10"/>
  <c r="H113" i="10"/>
  <c r="Z131" i="10"/>
  <c r="L128" i="10" a="1"/>
  <c r="L128" i="10" s="1"/>
  <c r="AB110" i="10"/>
  <c r="L125" i="10" a="1"/>
  <c r="L125" i="10" s="1"/>
  <c r="K113" i="10" a="1"/>
  <c r="K113" i="10" s="1"/>
  <c r="Y130" i="10"/>
  <c r="Z113" i="10"/>
  <c r="K108" i="10" a="1"/>
  <c r="K108" i="10" s="1"/>
  <c r="H121" i="10"/>
  <c r="B5" i="13" s="1"/>
  <c r="AB121" i="10"/>
  <c r="H125" i="10"/>
  <c r="Z111" i="10"/>
  <c r="Z128" i="10"/>
  <c r="K125" i="10" a="1"/>
  <c r="K125" i="10" s="1"/>
  <c r="Y125" i="10"/>
  <c r="L115" i="10" a="1"/>
  <c r="L115" i="10" s="1"/>
  <c r="L126" i="10" a="1"/>
  <c r="L126" i="10" s="1"/>
  <c r="K117" i="10" a="1"/>
  <c r="K117" i="10" s="1"/>
  <c r="Y123" i="10"/>
  <c r="Y115" i="10"/>
  <c r="AB130" i="10"/>
  <c r="Y118" i="10"/>
  <c r="AB126" i="10"/>
  <c r="Z115" i="10"/>
  <c r="Z114" i="10"/>
  <c r="H128" i="10"/>
  <c r="H116" i="10"/>
  <c r="AB122" i="10"/>
  <c r="AB117" i="10"/>
  <c r="K128" i="10" a="1"/>
  <c r="K128" i="10" s="1"/>
  <c r="AB115" i="10"/>
  <c r="L117" i="10" a="1"/>
  <c r="L117" i="10" s="1"/>
  <c r="AB128" i="10"/>
  <c r="AB114" i="10"/>
  <c r="L111" i="10" a="1"/>
  <c r="L111" i="10" s="1"/>
  <c r="L114" i="10" a="1"/>
  <c r="L114" i="10" s="1"/>
  <c r="K121" i="10" a="1"/>
  <c r="K121" i="10" s="1"/>
  <c r="Y111" i="10"/>
  <c r="AB108" i="10"/>
  <c r="AB125" i="10"/>
  <c r="H130" i="10"/>
  <c r="K126" i="10" a="1"/>
  <c r="K126" i="10" s="1"/>
  <c r="H129" i="10"/>
  <c r="Y114" i="10"/>
  <c r="L123" i="10" a="1"/>
  <c r="L123" i="10" s="1"/>
  <c r="O108" i="10"/>
  <c r="T110" i="10"/>
  <c r="Y108" i="10"/>
  <c r="Y110" i="10"/>
  <c r="O110" i="10"/>
  <c r="T108" i="10"/>
  <c r="AJ110" i="10"/>
  <c r="H110" i="10"/>
  <c r="K110" i="10" a="1"/>
  <c r="K110" i="10" s="1"/>
  <c r="AI110" i="10"/>
  <c r="AI108" i="10"/>
  <c r="H111" i="10"/>
  <c r="L110" i="10" a="1"/>
  <c r="L110" i="10" s="1"/>
  <c r="AD108" i="10"/>
  <c r="AD110" i="10"/>
  <c r="BP52" i="10" l="1"/>
  <c r="AO124" i="10"/>
  <c r="AL124" i="10"/>
  <c r="BG124" i="10"/>
  <c r="BJ124" i="10"/>
  <c r="BC124" i="10"/>
  <c r="J124" i="10"/>
  <c r="AH124" i="10" s="1"/>
  <c r="AZ124" i="10"/>
  <c r="I124" i="10"/>
  <c r="AK124" i="10" s="1"/>
  <c r="BV133" i="10"/>
  <c r="BX133" i="10" s="1"/>
  <c r="BS133" i="10"/>
  <c r="BU133" i="10" s="1"/>
  <c r="CC133" i="10"/>
  <c r="CE133" i="10" s="1"/>
  <c r="BZ133" i="10"/>
  <c r="CB133" i="10" s="1"/>
  <c r="BP84" i="10"/>
  <c r="BW53" i="10"/>
  <c r="BM35" i="10"/>
  <c r="BT29" i="10"/>
  <c r="CA62" i="10"/>
  <c r="CA35" i="10"/>
  <c r="BP70" i="10"/>
  <c r="BP53" i="10"/>
  <c r="BF90" i="10"/>
  <c r="V90" i="10"/>
  <c r="AA97" i="10"/>
  <c r="BM29" i="10"/>
  <c r="BP54" i="10"/>
  <c r="AF90" i="10"/>
  <c r="CD61" i="10"/>
  <c r="BP61" i="10"/>
  <c r="CA53" i="10"/>
  <c r="BT91" i="10"/>
  <c r="CD42" i="10"/>
  <c r="BW84" i="10"/>
  <c r="BW42" i="10"/>
  <c r="CA96" i="10"/>
  <c r="BG101" i="10"/>
  <c r="V98" i="10"/>
  <c r="BB94" i="10"/>
  <c r="AR97" i="10"/>
  <c r="BT53" i="10"/>
  <c r="BP43" i="10"/>
  <c r="CD30" i="10"/>
  <c r="BM23" i="10"/>
  <c r="BJ101" i="10"/>
  <c r="CA52" i="10"/>
  <c r="BM81" i="10"/>
  <c r="BT27" i="10"/>
  <c r="BW21" i="10"/>
  <c r="AF95" i="10"/>
  <c r="CA27" i="10"/>
  <c r="AR95" i="10"/>
  <c r="BM95" i="10"/>
  <c r="BF97" i="10"/>
  <c r="CD43" i="10"/>
  <c r="AN94" i="10"/>
  <c r="CD54" i="10"/>
  <c r="BT48" i="10"/>
  <c r="BT43" i="10"/>
  <c r="BW70" i="10"/>
  <c r="CA91" i="10"/>
  <c r="AN93" i="10"/>
  <c r="BT45" i="10"/>
  <c r="CA97" i="10"/>
  <c r="BM43" i="10"/>
  <c r="BW56" i="10"/>
  <c r="BT97" i="10"/>
  <c r="BM45" i="10"/>
  <c r="AK97" i="10"/>
  <c r="CD94" i="10"/>
  <c r="AY97" i="10"/>
  <c r="BM30" i="10"/>
  <c r="CA26" i="10"/>
  <c r="BW26" i="10"/>
  <c r="CD73" i="10"/>
  <c r="BM26" i="10"/>
  <c r="BP56" i="10"/>
  <c r="BP19" i="10"/>
  <c r="BP67" i="10"/>
  <c r="CD55" i="10"/>
  <c r="BT42" i="10"/>
  <c r="BM48" i="10"/>
  <c r="BM70" i="10"/>
  <c r="AC94" i="10"/>
  <c r="AN95" i="10"/>
  <c r="BI90" i="10"/>
  <c r="CD52" i="10"/>
  <c r="BW65" i="10"/>
  <c r="BW91" i="10"/>
  <c r="AY94" i="10"/>
  <c r="BW64" i="10"/>
  <c r="AK96" i="10"/>
  <c r="CA69" i="10"/>
  <c r="BB91" i="10"/>
  <c r="BB96" i="10"/>
  <c r="BT65" i="10"/>
  <c r="BP65" i="10"/>
  <c r="CD41" i="10"/>
  <c r="BI96" i="10"/>
  <c r="AA96" i="10"/>
  <c r="AU91" i="10"/>
  <c r="AU96" i="10"/>
  <c r="AR96" i="10"/>
  <c r="BM37" i="10"/>
  <c r="AC96" i="10"/>
  <c r="AA95" i="10"/>
  <c r="CA65" i="10"/>
  <c r="BP25" i="10"/>
  <c r="BB90" i="10"/>
  <c r="BP90" i="10"/>
  <c r="AF96" i="10"/>
  <c r="BM96" i="10"/>
  <c r="CA37" i="10"/>
  <c r="BT19" i="10"/>
  <c r="AH91" i="10"/>
  <c r="CD96" i="10"/>
  <c r="AF98" i="10"/>
  <c r="CA85" i="10"/>
  <c r="X91" i="10"/>
  <c r="AU90" i="10"/>
  <c r="CA84" i="10"/>
  <c r="BP91" i="10"/>
  <c r="BT55" i="10"/>
  <c r="AC90" i="10"/>
  <c r="BP81" i="10"/>
  <c r="BP35" i="10"/>
  <c r="BW90" i="10"/>
  <c r="AN91" i="10"/>
  <c r="BP28" i="10"/>
  <c r="X90" i="10"/>
  <c r="BW49" i="10"/>
  <c r="BT56" i="10"/>
  <c r="V95" i="10"/>
  <c r="CA14" i="10"/>
  <c r="CA55" i="10"/>
  <c r="BW48" i="10"/>
  <c r="BP14" i="10"/>
  <c r="BW94" i="10"/>
  <c r="X94" i="10"/>
  <c r="BP94" i="10"/>
  <c r="BM47" i="10"/>
  <c r="S90" i="10"/>
  <c r="AU95" i="10"/>
  <c r="CA67" i="10"/>
  <c r="BW22" i="10"/>
  <c r="AY98" i="10"/>
  <c r="BP55" i="10"/>
  <c r="S94" i="10"/>
  <c r="BT72" i="10"/>
  <c r="S96" i="10"/>
  <c r="BI94" i="10"/>
  <c r="BP45" i="10"/>
  <c r="BT95" i="10"/>
  <c r="BW73" i="10"/>
  <c r="CA73" i="10"/>
  <c r="BF91" i="10"/>
  <c r="BF96" i="10"/>
  <c r="Q98" i="10"/>
  <c r="BT31" i="10"/>
  <c r="CA81" i="10"/>
  <c r="BM91" i="10"/>
  <c r="S98" i="10"/>
  <c r="BP29" i="10"/>
  <c r="AK93" i="10"/>
  <c r="S95" i="10"/>
  <c r="BW40" i="10"/>
  <c r="AU94" i="10"/>
  <c r="BF98" i="10"/>
  <c r="AA98" i="10"/>
  <c r="AH90" i="10"/>
  <c r="AR98" i="10"/>
  <c r="AY96" i="10"/>
  <c r="AK98" i="10"/>
  <c r="Q96" i="10"/>
  <c r="BT47" i="10"/>
  <c r="BM97" i="10"/>
  <c r="BP26" i="10"/>
  <c r="V96" i="10"/>
  <c r="BW98" i="10"/>
  <c r="BM92" i="10"/>
  <c r="V92" i="10"/>
  <c r="AR92" i="10"/>
  <c r="Q92" i="10"/>
  <c r="BT92" i="10"/>
  <c r="CA92" i="10"/>
  <c r="AY92" i="10"/>
  <c r="BF92" i="10"/>
  <c r="BP50" i="10"/>
  <c r="CD50" i="10"/>
  <c r="CA78" i="10"/>
  <c r="BM78" i="10"/>
  <c r="BT78" i="10"/>
  <c r="BT25" i="10"/>
  <c r="BT15" i="10"/>
  <c r="CA15" i="10"/>
  <c r="BM15" i="10"/>
  <c r="CA44" i="10"/>
  <c r="BW31" i="10"/>
  <c r="CD19" i="10"/>
  <c r="BW63" i="10"/>
  <c r="BM82" i="10"/>
  <c r="CA82" i="10"/>
  <c r="BT82" i="10"/>
  <c r="BT14" i="10"/>
  <c r="AC91" i="10"/>
  <c r="BP37" i="10"/>
  <c r="BM62" i="10"/>
  <c r="V97" i="10"/>
  <c r="CD83" i="10"/>
  <c r="BP83" i="10"/>
  <c r="CA31" i="10"/>
  <c r="BM67" i="10"/>
  <c r="BP40" i="10"/>
  <c r="CD34" i="10"/>
  <c r="BP34" i="10"/>
  <c r="BP31" i="10"/>
  <c r="BP85" i="10"/>
  <c r="CA94" i="10"/>
  <c r="CA17" i="10"/>
  <c r="BT17" i="10"/>
  <c r="BM17" i="10"/>
  <c r="CD85" i="10"/>
  <c r="CD35" i="10"/>
  <c r="AA91" i="10"/>
  <c r="BM98" i="10"/>
  <c r="BW96" i="10"/>
  <c r="BW29" i="10"/>
  <c r="AN96" i="10"/>
  <c r="BP48" i="10"/>
  <c r="Q97" i="10"/>
  <c r="CD98" i="10"/>
  <c r="CD28" i="10"/>
  <c r="CA25" i="10"/>
  <c r="BP74" i="10"/>
  <c r="CD74" i="10"/>
  <c r="AA92" i="10"/>
  <c r="BW41" i="10"/>
  <c r="BP88" i="10"/>
  <c r="CD88" i="10"/>
  <c r="AK91" i="10"/>
  <c r="AF91" i="10"/>
  <c r="BW25" i="10"/>
  <c r="BM36" i="10"/>
  <c r="CA36" i="10"/>
  <c r="BT36" i="10"/>
  <c r="BF95" i="10"/>
  <c r="CD49" i="10"/>
  <c r="AN98" i="10"/>
  <c r="AA90" i="10"/>
  <c r="AF92" i="10"/>
  <c r="BM85" i="10"/>
  <c r="X96" i="10"/>
  <c r="AY95" i="10"/>
  <c r="AY90" i="10"/>
  <c r="BW46" i="10"/>
  <c r="BP46" i="10"/>
  <c r="CD46" i="10"/>
  <c r="BT64" i="10"/>
  <c r="CD44" i="10"/>
  <c r="BB95" i="10"/>
  <c r="BW86" i="10"/>
  <c r="CD86" i="10"/>
  <c r="BP86" i="10"/>
  <c r="BW88" i="10"/>
  <c r="BM84" i="10"/>
  <c r="Q91" i="10"/>
  <c r="CD95" i="10"/>
  <c r="CA49" i="10"/>
  <c r="CD97" i="10"/>
  <c r="V94" i="10"/>
  <c r="CD63" i="10"/>
  <c r="BP72" i="10"/>
  <c r="BT57" i="10"/>
  <c r="CA57" i="10"/>
  <c r="BM57" i="10"/>
  <c r="BM86" i="10"/>
  <c r="BT86" i="10"/>
  <c r="CA86" i="10"/>
  <c r="AF94" i="10"/>
  <c r="CA32" i="10"/>
  <c r="CD91" i="10"/>
  <c r="BM61" i="10"/>
  <c r="CD57" i="10"/>
  <c r="BP57" i="10"/>
  <c r="CD27" i="10"/>
  <c r="BM42" i="10"/>
  <c r="BW44" i="10"/>
  <c r="BF94" i="10"/>
  <c r="AR90" i="10"/>
  <c r="CA41" i="10"/>
  <c r="CA79" i="10"/>
  <c r="AK94" i="10"/>
  <c r="AH98" i="10"/>
  <c r="BT68" i="10"/>
  <c r="BM68" i="10"/>
  <c r="CA68" i="10"/>
  <c r="BM56" i="10"/>
  <c r="BI97" i="10"/>
  <c r="CA72" i="10"/>
  <c r="BM44" i="10"/>
  <c r="BW39" i="10"/>
  <c r="CD39" i="10"/>
  <c r="BP39" i="10"/>
  <c r="BW72" i="10"/>
  <c r="BM71" i="10"/>
  <c r="CA38" i="10"/>
  <c r="BM38" i="10"/>
  <c r="BT38" i="10"/>
  <c r="BW67" i="10"/>
  <c r="BI91" i="10"/>
  <c r="BM59" i="10"/>
  <c r="BT59" i="10"/>
  <c r="CA59" i="10"/>
  <c r="BM69" i="10"/>
  <c r="BM21" i="10"/>
  <c r="BM52" i="10"/>
  <c r="AK90" i="10"/>
  <c r="X97" i="10"/>
  <c r="AR91" i="10"/>
  <c r="BW59" i="10"/>
  <c r="CD59" i="10"/>
  <c r="BP59" i="10"/>
  <c r="CA95" i="10"/>
  <c r="AH97" i="10"/>
  <c r="CA61" i="10"/>
  <c r="BT23" i="10"/>
  <c r="CD62" i="10"/>
  <c r="CA18" i="10"/>
  <c r="BM18" i="10"/>
  <c r="BT18" i="10"/>
  <c r="BP13" i="10"/>
  <c r="CD13" i="10"/>
  <c r="BT77" i="10"/>
  <c r="BM77" i="10"/>
  <c r="CA77" i="10"/>
  <c r="Q93" i="10"/>
  <c r="AY93" i="10"/>
  <c r="V93" i="10"/>
  <c r="BT93" i="10"/>
  <c r="BM93" i="10"/>
  <c r="CA93" i="10"/>
  <c r="AR93" i="10"/>
  <c r="BF93" i="10"/>
  <c r="BW66" i="10"/>
  <c r="CD66" i="10"/>
  <c r="BP66" i="10"/>
  <c r="CA88" i="10"/>
  <c r="BT88" i="10"/>
  <c r="BM88" i="10"/>
  <c r="CD64" i="10"/>
  <c r="BP98" i="10"/>
  <c r="X98" i="10"/>
  <c r="AA93" i="10"/>
  <c r="BM39" i="10"/>
  <c r="BT39" i="10"/>
  <c r="CA39" i="10"/>
  <c r="CD20" i="10"/>
  <c r="BI93" i="10"/>
  <c r="AU93" i="10"/>
  <c r="S93" i="10"/>
  <c r="X93" i="10"/>
  <c r="CD93" i="10"/>
  <c r="BP93" i="10"/>
  <c r="BB93" i="10"/>
  <c r="BM89" i="10"/>
  <c r="BT89" i="10"/>
  <c r="CA89" i="10"/>
  <c r="CA75" i="10"/>
  <c r="BT75" i="10"/>
  <c r="BM75" i="10"/>
  <c r="BM41" i="10"/>
  <c r="AC95" i="10"/>
  <c r="CD87" i="10"/>
  <c r="BP87" i="10"/>
  <c r="BP95" i="10"/>
  <c r="BT90" i="10"/>
  <c r="CA34" i="10"/>
  <c r="BM34" i="10"/>
  <c r="BT34" i="10"/>
  <c r="BB97" i="10"/>
  <c r="CA28" i="10"/>
  <c r="CD81" i="10"/>
  <c r="AC93" i="10"/>
  <c r="BP32" i="10"/>
  <c r="CD69" i="10"/>
  <c r="CD82" i="10"/>
  <c r="BP82" i="10"/>
  <c r="BI98" i="10"/>
  <c r="AC97" i="10"/>
  <c r="BP30" i="10"/>
  <c r="BP36" i="10"/>
  <c r="CD36" i="10"/>
  <c r="CD24" i="10"/>
  <c r="BP24" i="10"/>
  <c r="CA80" i="10"/>
  <c r="BT80" i="10"/>
  <c r="BM80" i="10"/>
  <c r="AA94" i="10"/>
  <c r="BP16" i="10"/>
  <c r="CD16" i="10"/>
  <c r="BW95" i="10"/>
  <c r="CA90" i="10"/>
  <c r="CD68" i="10"/>
  <c r="BP68" i="10"/>
  <c r="AH93" i="10"/>
  <c r="BP92" i="10"/>
  <c r="BB92" i="10"/>
  <c r="S92" i="10"/>
  <c r="BI92" i="10"/>
  <c r="AU92" i="10"/>
  <c r="X92" i="10"/>
  <c r="CD92" i="10"/>
  <c r="BW92" i="10"/>
  <c r="BW57" i="10"/>
  <c r="BM73" i="10"/>
  <c r="BW38" i="10"/>
  <c r="BP38" i="10"/>
  <c r="CD38" i="10"/>
  <c r="AC98" i="10"/>
  <c r="CA19" i="10"/>
  <c r="BP79" i="10"/>
  <c r="AU97" i="10"/>
  <c r="BT28" i="10"/>
  <c r="BW27" i="10"/>
  <c r="BM24" i="10"/>
  <c r="BT24" i="10"/>
  <c r="CA24" i="10"/>
  <c r="CD51" i="10"/>
  <c r="BP51" i="10"/>
  <c r="BW78" i="10"/>
  <c r="CD78" i="10"/>
  <c r="BP78" i="10"/>
  <c r="BB98" i="10"/>
  <c r="BM79" i="10"/>
  <c r="BT61" i="10"/>
  <c r="BT71" i="10"/>
  <c r="CA71" i="10"/>
  <c r="CA58" i="10"/>
  <c r="BT58" i="10"/>
  <c r="BM58" i="10"/>
  <c r="BM94" i="10"/>
  <c r="BW20" i="10"/>
  <c r="BW79" i="10"/>
  <c r="CD17" i="10"/>
  <c r="BP17" i="10"/>
  <c r="CA83" i="10"/>
  <c r="BM83" i="10"/>
  <c r="BT83" i="10"/>
  <c r="CD71" i="10"/>
  <c r="CD72" i="10"/>
  <c r="CD45" i="10"/>
  <c r="AC92" i="10"/>
  <c r="CA51" i="10"/>
  <c r="BT51" i="10"/>
  <c r="BM51" i="10"/>
  <c r="BP60" i="10"/>
  <c r="CD60" i="10"/>
  <c r="AH95" i="10"/>
  <c r="BT94" i="10"/>
  <c r="BP47" i="10"/>
  <c r="BT40" i="10"/>
  <c r="BP18" i="10"/>
  <c r="CD18" i="10"/>
  <c r="BW97" i="10"/>
  <c r="BM60" i="10"/>
  <c r="BT60" i="10"/>
  <c r="CA60" i="10"/>
  <c r="AN92" i="10"/>
  <c r="BW23" i="10"/>
  <c r="CA50" i="10"/>
  <c r="BT50" i="10"/>
  <c r="BM50" i="10"/>
  <c r="CD22" i="10"/>
  <c r="CA87" i="10"/>
  <c r="BT87" i="10"/>
  <c r="BM87" i="10"/>
  <c r="BT16" i="10"/>
  <c r="CA16" i="10"/>
  <c r="BM16" i="10"/>
  <c r="BM49" i="10"/>
  <c r="CD37" i="10"/>
  <c r="CA20" i="10"/>
  <c r="BP62" i="10"/>
  <c r="BT33" i="10"/>
  <c r="BM33" i="10"/>
  <c r="CA33" i="10"/>
  <c r="CD21" i="10"/>
  <c r="BP97" i="10"/>
  <c r="BT21" i="10"/>
  <c r="BM63" i="10"/>
  <c r="BT54" i="10"/>
  <c r="BT20" i="10"/>
  <c r="AN97" i="10"/>
  <c r="BT70" i="10"/>
  <c r="BP58" i="10"/>
  <c r="CD58" i="10"/>
  <c r="BM46" i="10"/>
  <c r="BT46" i="10"/>
  <c r="CA46" i="10"/>
  <c r="CD23" i="10"/>
  <c r="CA64" i="10"/>
  <c r="AK95" i="10"/>
  <c r="V91" i="10"/>
  <c r="CD15" i="10"/>
  <c r="BP15" i="10"/>
  <c r="BM22" i="10"/>
  <c r="BT76" i="10"/>
  <c r="BM76" i="10"/>
  <c r="CA76" i="10"/>
  <c r="BW68" i="10"/>
  <c r="AK92" i="10"/>
  <c r="AR94" i="10"/>
  <c r="BP76" i="10"/>
  <c r="CD76" i="10"/>
  <c r="BM13" i="10"/>
  <c r="BT13" i="10"/>
  <c r="CA13" i="10"/>
  <c r="BW89" i="10"/>
  <c r="CD89" i="10"/>
  <c r="BP89" i="10"/>
  <c r="CD33" i="10"/>
  <c r="BP33" i="10"/>
  <c r="BT98" i="10"/>
  <c r="BT66" i="10"/>
  <c r="CA66" i="10"/>
  <c r="BM66" i="10"/>
  <c r="CA22" i="10"/>
  <c r="CD75" i="10"/>
  <c r="BP75" i="10"/>
  <c r="CD90" i="10"/>
  <c r="BI95" i="10"/>
  <c r="BM54" i="10"/>
  <c r="CD14" i="10"/>
  <c r="BP69" i="10"/>
  <c r="CD77" i="10"/>
  <c r="BP77" i="10"/>
  <c r="BW32" i="10"/>
  <c r="BW47" i="10"/>
  <c r="BT74" i="10"/>
  <c r="BM74" i="10"/>
  <c r="CA74" i="10"/>
  <c r="BT30" i="10"/>
  <c r="BP80" i="10"/>
  <c r="CD80" i="10"/>
  <c r="BM90" i="10"/>
  <c r="BM32" i="10"/>
  <c r="CA40" i="10"/>
  <c r="BT63" i="10"/>
  <c r="BP96" i="10"/>
  <c r="BP71" i="10"/>
  <c r="AN57" i="10"/>
  <c r="BI57" i="10"/>
  <c r="BF31" i="10"/>
  <c r="AK31" i="10"/>
  <c r="AN26" i="10"/>
  <c r="BI26" i="10"/>
  <c r="BF23" i="10"/>
  <c r="AK23" i="10"/>
  <c r="AN72" i="10"/>
  <c r="BI72" i="10"/>
  <c r="AN22" i="10"/>
  <c r="BI22" i="10"/>
  <c r="AK22" i="10"/>
  <c r="BF22" i="10"/>
  <c r="AK25" i="10"/>
  <c r="BF25" i="10"/>
  <c r="BF63" i="10"/>
  <c r="AK63" i="10"/>
  <c r="AN34" i="10"/>
  <c r="BI34" i="10"/>
  <c r="AK59" i="10"/>
  <c r="BF59" i="10"/>
  <c r="AN56" i="10"/>
  <c r="BI56" i="10"/>
  <c r="AN52" i="10"/>
  <c r="BI52" i="10"/>
  <c r="AK18" i="10"/>
  <c r="BF18" i="10"/>
  <c r="BI13" i="10"/>
  <c r="AN13" i="10"/>
  <c r="BF35" i="10"/>
  <c r="AK35" i="10"/>
  <c r="AK56" i="10"/>
  <c r="BF56" i="10"/>
  <c r="AN54" i="10"/>
  <c r="BI54" i="10"/>
  <c r="BF64" i="10"/>
  <c r="AK64" i="10"/>
  <c r="BF40" i="10"/>
  <c r="AK40" i="10"/>
  <c r="BF76" i="10"/>
  <c r="AK76" i="10"/>
  <c r="AN62" i="10"/>
  <c r="BI62" i="10"/>
  <c r="BI35" i="10"/>
  <c r="AN35" i="10"/>
  <c r="AK34" i="10"/>
  <c r="BF34" i="10"/>
  <c r="BF28" i="10"/>
  <c r="AK28" i="10"/>
  <c r="AK26" i="10"/>
  <c r="BF26" i="10"/>
  <c r="BI44" i="10"/>
  <c r="AN44" i="10"/>
  <c r="BF44" i="10"/>
  <c r="AK44" i="10"/>
  <c r="BF60" i="10"/>
  <c r="AK60" i="10"/>
  <c r="AN29" i="10"/>
  <c r="BI29" i="10"/>
  <c r="BI23" i="10"/>
  <c r="AN23" i="10"/>
  <c r="BF33" i="10"/>
  <c r="AK33" i="10"/>
  <c r="AK50" i="10"/>
  <c r="BF50" i="10"/>
  <c r="BI43" i="10"/>
  <c r="AN43" i="10"/>
  <c r="AN85" i="10"/>
  <c r="BI85" i="10"/>
  <c r="BI24" i="10"/>
  <c r="AN24" i="10"/>
  <c r="AN36" i="10"/>
  <c r="BI36" i="10"/>
  <c r="AN21" i="10"/>
  <c r="BI21" i="10"/>
  <c r="BI75" i="10"/>
  <c r="AN75" i="10"/>
  <c r="BI71" i="10"/>
  <c r="AN71" i="10"/>
  <c r="BF54" i="10"/>
  <c r="AK54" i="10"/>
  <c r="AK41" i="10"/>
  <c r="BF41" i="10"/>
  <c r="BI67" i="10"/>
  <c r="AN67" i="10"/>
  <c r="BF32" i="10"/>
  <c r="AK32" i="10"/>
  <c r="BF82" i="10"/>
  <c r="AK82" i="10"/>
  <c r="AK61" i="10"/>
  <c r="BF61" i="10"/>
  <c r="AN88" i="10"/>
  <c r="BI88" i="10"/>
  <c r="AK27" i="10"/>
  <c r="BF27" i="10"/>
  <c r="BF73" i="10"/>
  <c r="AK73" i="10"/>
  <c r="BI40" i="10"/>
  <c r="AN40" i="10"/>
  <c r="BF68" i="10"/>
  <c r="AK68" i="10"/>
  <c r="BI84" i="10"/>
  <c r="AN84" i="10"/>
  <c r="BI82" i="10"/>
  <c r="AN82" i="10"/>
  <c r="AK17" i="10"/>
  <c r="BF17" i="10"/>
  <c r="AK66" i="10"/>
  <c r="BF66" i="10"/>
  <c r="BI47" i="10"/>
  <c r="AN47" i="10"/>
  <c r="AN87" i="10"/>
  <c r="BI87" i="10"/>
  <c r="AN70" i="10"/>
  <c r="BI70" i="10"/>
  <c r="BF24" i="10"/>
  <c r="AK24" i="10"/>
  <c r="AN45" i="10"/>
  <c r="BI45" i="10"/>
  <c r="AN77" i="10"/>
  <c r="BI77" i="10"/>
  <c r="BF83" i="10"/>
  <c r="AK83" i="10"/>
  <c r="BF69" i="10"/>
  <c r="AK69" i="10"/>
  <c r="AN38" i="10"/>
  <c r="BI38" i="10"/>
  <c r="AK16" i="10"/>
  <c r="BF16" i="10"/>
  <c r="BF88" i="10"/>
  <c r="AK88" i="10"/>
  <c r="AK38" i="10"/>
  <c r="BF38" i="10"/>
  <c r="AK30" i="10"/>
  <c r="BF30" i="10"/>
  <c r="BI42" i="10"/>
  <c r="AN42" i="10"/>
  <c r="BI79" i="10"/>
  <c r="AN79" i="10"/>
  <c r="BI33" i="10"/>
  <c r="AN33" i="10"/>
  <c r="BF15" i="10"/>
  <c r="AK15" i="10"/>
  <c r="BI31" i="10"/>
  <c r="AN31" i="10"/>
  <c r="AK84" i="10"/>
  <c r="BF84" i="10"/>
  <c r="BF29" i="10"/>
  <c r="AK29" i="10"/>
  <c r="BI51" i="10"/>
  <c r="AN51" i="10"/>
  <c r="BI20" i="10"/>
  <c r="AN20" i="10"/>
  <c r="BI86" i="10"/>
  <c r="AN86" i="10"/>
  <c r="AK65" i="10"/>
  <c r="BF65" i="10"/>
  <c r="BF47" i="10"/>
  <c r="AK47" i="10"/>
  <c r="BF72" i="10"/>
  <c r="AK72" i="10"/>
  <c r="BI73" i="10"/>
  <c r="AN73" i="10"/>
  <c r="AN39" i="10"/>
  <c r="BI39" i="10"/>
  <c r="BF48" i="10"/>
  <c r="AK48" i="10"/>
  <c r="AK85" i="10"/>
  <c r="BF85" i="10"/>
  <c r="BI59" i="10"/>
  <c r="AN59" i="10"/>
  <c r="AN65" i="10"/>
  <c r="BI65" i="10"/>
  <c r="BI74" i="10"/>
  <c r="AN74" i="10"/>
  <c r="AK42" i="10"/>
  <c r="BF42" i="10"/>
  <c r="AK37" i="10"/>
  <c r="BF37" i="10"/>
  <c r="AK57" i="10"/>
  <c r="BF57" i="10"/>
  <c r="AK86" i="10"/>
  <c r="BF86" i="10"/>
  <c r="BI83" i="10"/>
  <c r="AN83" i="10"/>
  <c r="AN46" i="10"/>
  <c r="BI46" i="10"/>
  <c r="BF55" i="10"/>
  <c r="AK55" i="10"/>
  <c r="AN41" i="10"/>
  <c r="BI41" i="10"/>
  <c r="BF20" i="10"/>
  <c r="AK20" i="10"/>
  <c r="AN69" i="10"/>
  <c r="BI69" i="10"/>
  <c r="BF13" i="10"/>
  <c r="AK13" i="10"/>
  <c r="AK79" i="10"/>
  <c r="BF79" i="10"/>
  <c r="AN53" i="10"/>
  <c r="BI53" i="10"/>
  <c r="AK62" i="10"/>
  <c r="BF62" i="10"/>
  <c r="BI58" i="10"/>
  <c r="AN58" i="10"/>
  <c r="AN76" i="10"/>
  <c r="BI76" i="10"/>
  <c r="BF43" i="10"/>
  <c r="AK43" i="10"/>
  <c r="AK45" i="10"/>
  <c r="BF45" i="10"/>
  <c r="BF14" i="10"/>
  <c r="AK14" i="10"/>
  <c r="BI78" i="10"/>
  <c r="AN78" i="10"/>
  <c r="AN30" i="10"/>
  <c r="BI30" i="10"/>
  <c r="AN25" i="10"/>
  <c r="BI25" i="10"/>
  <c r="AK39" i="10"/>
  <c r="BF39" i="10"/>
  <c r="AN32" i="10"/>
  <c r="BI32" i="10"/>
  <c r="BF21" i="10"/>
  <c r="AK21" i="10"/>
  <c r="BI15" i="10"/>
  <c r="AN15" i="10"/>
  <c r="BF71" i="10"/>
  <c r="AK71" i="10"/>
  <c r="AK74" i="10"/>
  <c r="BF74" i="10"/>
  <c r="AN61" i="10"/>
  <c r="BI61" i="10"/>
  <c r="AK70" i="10"/>
  <c r="BF70" i="10"/>
  <c r="BF87" i="10"/>
  <c r="AK87" i="10"/>
  <c r="BI18" i="10"/>
  <c r="AN18" i="10"/>
  <c r="AN68" i="10"/>
  <c r="BI68" i="10"/>
  <c r="AK46" i="10"/>
  <c r="BF46" i="10"/>
  <c r="BF53" i="10"/>
  <c r="AK53" i="10"/>
  <c r="AN17" i="10"/>
  <c r="BI17" i="10"/>
  <c r="AK81" i="10"/>
  <c r="BF81" i="10"/>
  <c r="BI64" i="10"/>
  <c r="AN64" i="10"/>
  <c r="AK78" i="10"/>
  <c r="BF78" i="10"/>
  <c r="BF67" i="10"/>
  <c r="AK67" i="10"/>
  <c r="AN19" i="10"/>
  <c r="BI19" i="10"/>
  <c r="AK36" i="10"/>
  <c r="BF36" i="10"/>
  <c r="BI66" i="10"/>
  <c r="AN66" i="10"/>
  <c r="BF75" i="10"/>
  <c r="AK75" i="10"/>
  <c r="BF89" i="10"/>
  <c r="AK89" i="10"/>
  <c r="AN81" i="10"/>
  <c r="BI81" i="10"/>
  <c r="AN89" i="10"/>
  <c r="BI89" i="10"/>
  <c r="BF80" i="10"/>
  <c r="AK80" i="10"/>
  <c r="AK58" i="10"/>
  <c r="BF58" i="10"/>
  <c r="AN48" i="10"/>
  <c r="BI48" i="10"/>
  <c r="BI14" i="10"/>
  <c r="AN14" i="10"/>
  <c r="BF52" i="10"/>
  <c r="AK52" i="10"/>
  <c r="AN49" i="10"/>
  <c r="BI49" i="10"/>
  <c r="BI80" i="10"/>
  <c r="AN80" i="10"/>
  <c r="BI55" i="10"/>
  <c r="AN55" i="10"/>
  <c r="BF51" i="10"/>
  <c r="AK51" i="10"/>
  <c r="BI60" i="10"/>
  <c r="AN60" i="10"/>
  <c r="AN27" i="10"/>
  <c r="BI27" i="10"/>
  <c r="BI63" i="10"/>
  <c r="AN63" i="10"/>
  <c r="AN28" i="10"/>
  <c r="BI28" i="10"/>
  <c r="BI16" i="10"/>
  <c r="AN16" i="10"/>
  <c r="AK77" i="10"/>
  <c r="BF77" i="10"/>
  <c r="BF49" i="10"/>
  <c r="AK49" i="10"/>
  <c r="AN50" i="10"/>
  <c r="BI50" i="10"/>
  <c r="AN37" i="10"/>
  <c r="BI37" i="10"/>
  <c r="AK19" i="10"/>
  <c r="BF19" i="10"/>
  <c r="BB57" i="10"/>
  <c r="AY31" i="10"/>
  <c r="BB26" i="10"/>
  <c r="AY23" i="10"/>
  <c r="BB72" i="10"/>
  <c r="BB22" i="10"/>
  <c r="AY22" i="10"/>
  <c r="AY25" i="10"/>
  <c r="AY63" i="10"/>
  <c r="BB34" i="10"/>
  <c r="AY59" i="10"/>
  <c r="BB56" i="10"/>
  <c r="BB52" i="10"/>
  <c r="AY18" i="10"/>
  <c r="BB13" i="10"/>
  <c r="AY35" i="10"/>
  <c r="BB67" i="10"/>
  <c r="AY32" i="10"/>
  <c r="BB45" i="10"/>
  <c r="AY26" i="10"/>
  <c r="BB44" i="10"/>
  <c r="AY44" i="10"/>
  <c r="AY60" i="10"/>
  <c r="BB29" i="10"/>
  <c r="BB23" i="10"/>
  <c r="AY33" i="10"/>
  <c r="AY61" i="10"/>
  <c r="BB40" i="10"/>
  <c r="BB62" i="10"/>
  <c r="BB43" i="10"/>
  <c r="BB85" i="10"/>
  <c r="BB36" i="10"/>
  <c r="BB75" i="10"/>
  <c r="AY54" i="10"/>
  <c r="AY41" i="10"/>
  <c r="AY82" i="10"/>
  <c r="BB88" i="10"/>
  <c r="AY27" i="10"/>
  <c r="AY73" i="10"/>
  <c r="AY68" i="10"/>
  <c r="BB82" i="10"/>
  <c r="AY17" i="10"/>
  <c r="AY66" i="10"/>
  <c r="BB47" i="10"/>
  <c r="BB87" i="10"/>
  <c r="BB70" i="10"/>
  <c r="BB54" i="10"/>
  <c r="AY28" i="10"/>
  <c r="BB84" i="10"/>
  <c r="BB77" i="10"/>
  <c r="AY83" i="10"/>
  <c r="AY69" i="10"/>
  <c r="BB38" i="10"/>
  <c r="AY16" i="10"/>
  <c r="AY88" i="10"/>
  <c r="AY38" i="10"/>
  <c r="AY30" i="10"/>
  <c r="AY64" i="10"/>
  <c r="AY24" i="10"/>
  <c r="BB24" i="10"/>
  <c r="BB21" i="10"/>
  <c r="BB71" i="10"/>
  <c r="BB42" i="10"/>
  <c r="BB79" i="10"/>
  <c r="BB33" i="10"/>
  <c r="AY15" i="10"/>
  <c r="BB31" i="10"/>
  <c r="AY84" i="10"/>
  <c r="AY29" i="10"/>
  <c r="BB51" i="10"/>
  <c r="BB20" i="10"/>
  <c r="BB86" i="10"/>
  <c r="AY65" i="10"/>
  <c r="AY47" i="10"/>
  <c r="AY72" i="10"/>
  <c r="BB73" i="10"/>
  <c r="AY76" i="10"/>
  <c r="AY50" i="10"/>
  <c r="BB39" i="10"/>
  <c r="AY48" i="10"/>
  <c r="AY85" i="10"/>
  <c r="BB59" i="10"/>
  <c r="BB65" i="10"/>
  <c r="BB74" i="10"/>
  <c r="AY42" i="10"/>
  <c r="AY37" i="10"/>
  <c r="AY57" i="10"/>
  <c r="AY86" i="10"/>
  <c r="BB83" i="10"/>
  <c r="BB46" i="10"/>
  <c r="AY55" i="10"/>
  <c r="BB41" i="10"/>
  <c r="AY20" i="10"/>
  <c r="AY40" i="10"/>
  <c r="BB69" i="10"/>
  <c r="AY13" i="10"/>
  <c r="AY79" i="10"/>
  <c r="BB53" i="10"/>
  <c r="AY62" i="10"/>
  <c r="BB58" i="10"/>
  <c r="BB76" i="10"/>
  <c r="AY43" i="10"/>
  <c r="AY45" i="10"/>
  <c r="AY14" i="10"/>
  <c r="BB78" i="10"/>
  <c r="BB30" i="10"/>
  <c r="BB25" i="10"/>
  <c r="AY39" i="10"/>
  <c r="BB32" i="10"/>
  <c r="AY21" i="10"/>
  <c r="BB15" i="10"/>
  <c r="AY71" i="10"/>
  <c r="AY74" i="10"/>
  <c r="BB61" i="10"/>
  <c r="AY70" i="10"/>
  <c r="AY87" i="10"/>
  <c r="BB18" i="10"/>
  <c r="BB68" i="10"/>
  <c r="AY46" i="10"/>
  <c r="AY53" i="10"/>
  <c r="BB17" i="10"/>
  <c r="AY81" i="10"/>
  <c r="BB64" i="10"/>
  <c r="AY78" i="10"/>
  <c r="AY67" i="10"/>
  <c r="BB19" i="10"/>
  <c r="AY36" i="10"/>
  <c r="BB66" i="10"/>
  <c r="AY75" i="10"/>
  <c r="AY89" i="10"/>
  <c r="BB81" i="10"/>
  <c r="AY58" i="10"/>
  <c r="AY56" i="10"/>
  <c r="AY34" i="10"/>
  <c r="BB89" i="10"/>
  <c r="BB48" i="10"/>
  <c r="BB14" i="10"/>
  <c r="AY52" i="10"/>
  <c r="BB49" i="10"/>
  <c r="BB80" i="10"/>
  <c r="BB55" i="10"/>
  <c r="AY51" i="10"/>
  <c r="BB60" i="10"/>
  <c r="BB35" i="10"/>
  <c r="AY80" i="10"/>
  <c r="BB27" i="10"/>
  <c r="BB63" i="10"/>
  <c r="BB28" i="10"/>
  <c r="BB16" i="10"/>
  <c r="AY77" i="10"/>
  <c r="AY49" i="10"/>
  <c r="BB50" i="10"/>
  <c r="BB37" i="10"/>
  <c r="AY19" i="10"/>
  <c r="BC108" i="10"/>
  <c r="AZ117" i="10"/>
  <c r="AR33" i="10"/>
  <c r="AU33" i="10"/>
  <c r="AR50" i="10"/>
  <c r="AR83" i="10"/>
  <c r="AU56" i="10"/>
  <c r="AR66" i="10"/>
  <c r="AR43" i="10"/>
  <c r="AU79" i="10"/>
  <c r="AU38" i="10"/>
  <c r="AU71" i="10"/>
  <c r="AU40" i="10"/>
  <c r="AR67" i="10"/>
  <c r="AR60" i="10"/>
  <c r="AR65" i="10"/>
  <c r="AU87" i="10"/>
  <c r="AR58" i="10"/>
  <c r="AR88" i="10"/>
  <c r="AR89" i="10"/>
  <c r="AU65" i="10"/>
  <c r="AU73" i="10"/>
  <c r="AU57" i="10"/>
  <c r="AU74" i="10"/>
  <c r="AR42" i="10"/>
  <c r="AR63" i="10"/>
  <c r="AR53" i="10"/>
  <c r="AU58" i="10"/>
  <c r="AU41" i="10"/>
  <c r="AR59" i="10"/>
  <c r="AU59" i="10"/>
  <c r="AR56" i="10"/>
  <c r="AR75" i="10"/>
  <c r="AR39" i="10"/>
  <c r="AU76" i="10"/>
  <c r="AU44" i="10"/>
  <c r="AR52" i="10"/>
  <c r="AR40" i="10"/>
  <c r="AU51" i="10"/>
  <c r="AR44" i="10"/>
  <c r="AU81" i="10"/>
  <c r="AU39" i="10"/>
  <c r="AR71" i="10"/>
  <c r="AU80" i="10"/>
  <c r="AR70" i="10"/>
  <c r="AU84" i="10"/>
  <c r="AR87" i="10"/>
  <c r="AR46" i="10"/>
  <c r="AR86" i="10"/>
  <c r="AR61" i="10"/>
  <c r="AU83" i="10"/>
  <c r="AU64" i="10"/>
  <c r="AU45" i="10"/>
  <c r="AU69" i="10"/>
  <c r="AU66" i="10"/>
  <c r="AR77" i="10"/>
  <c r="AU89" i="10"/>
  <c r="AU75" i="10"/>
  <c r="AR78" i="10"/>
  <c r="AR45" i="10"/>
  <c r="AR69" i="10"/>
  <c r="AU55" i="10"/>
  <c r="AR73" i="10"/>
  <c r="AR54" i="10"/>
  <c r="AU68" i="10"/>
  <c r="AU86" i="10"/>
  <c r="AR80" i="10"/>
  <c r="AU70" i="10"/>
  <c r="AU61" i="10"/>
  <c r="AU88" i="10"/>
  <c r="AU52" i="10"/>
  <c r="AR51" i="10"/>
  <c r="AR84" i="10"/>
  <c r="AR38" i="10"/>
  <c r="AU48" i="10"/>
  <c r="AR82" i="10"/>
  <c r="AU54" i="10"/>
  <c r="AU78" i="10"/>
  <c r="AR76" i="10"/>
  <c r="AU62" i="10"/>
  <c r="AR47" i="10"/>
  <c r="AU50" i="10"/>
  <c r="AR85" i="10"/>
  <c r="AU77" i="10"/>
  <c r="AU85" i="10"/>
  <c r="AR57" i="10"/>
  <c r="AR64" i="10"/>
  <c r="AR81" i="10"/>
  <c r="AU46" i="10"/>
  <c r="AU42" i="10"/>
  <c r="AU67" i="10"/>
  <c r="AR62" i="10"/>
  <c r="AU63" i="10"/>
  <c r="AR79" i="10"/>
  <c r="AU53" i="10"/>
  <c r="AU72" i="10"/>
  <c r="AR49" i="10"/>
  <c r="AU47" i="10"/>
  <c r="AR68" i="10"/>
  <c r="AR74" i="10"/>
  <c r="AU43" i="10"/>
  <c r="AR72" i="10"/>
  <c r="AU49" i="10"/>
  <c r="AR48" i="10"/>
  <c r="AU60" i="10"/>
  <c r="AU82" i="10"/>
  <c r="AR55" i="10"/>
  <c r="AR41" i="10"/>
  <c r="AU27" i="10"/>
  <c r="AU34" i="10"/>
  <c r="AU37" i="10"/>
  <c r="AR31" i="10"/>
  <c r="AR26" i="10"/>
  <c r="AR17" i="10"/>
  <c r="AU18" i="10"/>
  <c r="AR36" i="10"/>
  <c r="AR28" i="10"/>
  <c r="AU17" i="10"/>
  <c r="AR21" i="10"/>
  <c r="AR18" i="10"/>
  <c r="AR35" i="10"/>
  <c r="AU16" i="10"/>
  <c r="AU29" i="10"/>
  <c r="AU31" i="10"/>
  <c r="AR27" i="10"/>
  <c r="AU14" i="10"/>
  <c r="AU22" i="10"/>
  <c r="AR25" i="10"/>
  <c r="AR23" i="10"/>
  <c r="AU21" i="10"/>
  <c r="AU20" i="10"/>
  <c r="AU28" i="10"/>
  <c r="AU19" i="10"/>
  <c r="AU30" i="10"/>
  <c r="AR20" i="10"/>
  <c r="AR34" i="10"/>
  <c r="AR16" i="10"/>
  <c r="AU26" i="10"/>
  <c r="AR24" i="10"/>
  <c r="AR22" i="10"/>
  <c r="AR15" i="10"/>
  <c r="AU13" i="10"/>
  <c r="AR13" i="10"/>
  <c r="AU36" i="10"/>
  <c r="AU35" i="10"/>
  <c r="AR37" i="10"/>
  <c r="AR32" i="10"/>
  <c r="AR30" i="10"/>
  <c r="AR29" i="10"/>
  <c r="AR14" i="10"/>
  <c r="AU23" i="10"/>
  <c r="AU24" i="10"/>
  <c r="AR19" i="10"/>
  <c r="AU15" i="10"/>
  <c r="AU25" i="10"/>
  <c r="AU32" i="10"/>
  <c r="AF15" i="10"/>
  <c r="AF13" i="10"/>
  <c r="AH17" i="10"/>
  <c r="AF14" i="10"/>
  <c r="AH15" i="10"/>
  <c r="AH16" i="10"/>
  <c r="AH13" i="10"/>
  <c r="AH14" i="10"/>
  <c r="AF18" i="10"/>
  <c r="AF17" i="10"/>
  <c r="AH18" i="10"/>
  <c r="AF16" i="10"/>
  <c r="AA35" i="10"/>
  <c r="AF35" i="10"/>
  <c r="AA53" i="10"/>
  <c r="AF53" i="10"/>
  <c r="AC38" i="10"/>
  <c r="AH38" i="10"/>
  <c r="AC60" i="10"/>
  <c r="AH60" i="10"/>
  <c r="AA37" i="10"/>
  <c r="AF37" i="10"/>
  <c r="AA48" i="10"/>
  <c r="AF48" i="10"/>
  <c r="AA75" i="10"/>
  <c r="AF75" i="10"/>
  <c r="AC81" i="10"/>
  <c r="AH81" i="10"/>
  <c r="AC65" i="10"/>
  <c r="AH65" i="10"/>
  <c r="AC37" i="10"/>
  <c r="AH37" i="10"/>
  <c r="AA20" i="10"/>
  <c r="AF20" i="10"/>
  <c r="AA21" i="10"/>
  <c r="AF21" i="10"/>
  <c r="AC39" i="10"/>
  <c r="AH39" i="10"/>
  <c r="AC30" i="10"/>
  <c r="AH30" i="10"/>
  <c r="AA47" i="10"/>
  <c r="AF47" i="10"/>
  <c r="AA26" i="10"/>
  <c r="AF26" i="10"/>
  <c r="AC69" i="10"/>
  <c r="AH69" i="10"/>
  <c r="AA57" i="10"/>
  <c r="AF57" i="10"/>
  <c r="AA85" i="10"/>
  <c r="AF85" i="10"/>
  <c r="AC61" i="10"/>
  <c r="AH61" i="10"/>
  <c r="AC80" i="10"/>
  <c r="AH80" i="10"/>
  <c r="AA65" i="10"/>
  <c r="AF65" i="10"/>
  <c r="AA55" i="10"/>
  <c r="AF55" i="10"/>
  <c r="AA80" i="10"/>
  <c r="AF80" i="10"/>
  <c r="AA25" i="10"/>
  <c r="AF25" i="10"/>
  <c r="AA43" i="10"/>
  <c r="AF43" i="10"/>
  <c r="AA41" i="10"/>
  <c r="AF41" i="10"/>
  <c r="AC58" i="10"/>
  <c r="AH58" i="10"/>
  <c r="AC28" i="10"/>
  <c r="AH28" i="10"/>
  <c r="AA34" i="10"/>
  <c r="AF34" i="10"/>
  <c r="AC82" i="10"/>
  <c r="AH82" i="10"/>
  <c r="AC68" i="10"/>
  <c r="AH68" i="10"/>
  <c r="AA71" i="10"/>
  <c r="AF71" i="10"/>
  <c r="AC49" i="10"/>
  <c r="AH49" i="10"/>
  <c r="AC88" i="10"/>
  <c r="AH88" i="10"/>
  <c r="AA62" i="10"/>
  <c r="AF62" i="10"/>
  <c r="AA51" i="10"/>
  <c r="AF51" i="10"/>
  <c r="AC45" i="10"/>
  <c r="AH45" i="10"/>
  <c r="AC59" i="10"/>
  <c r="AH59" i="10"/>
  <c r="AA89" i="10"/>
  <c r="AF89" i="10"/>
  <c r="AA88" i="10"/>
  <c r="AF88" i="10"/>
  <c r="AA36" i="10"/>
  <c r="AF36" i="10"/>
  <c r="AA46" i="10"/>
  <c r="AF46" i="10"/>
  <c r="AC26" i="10"/>
  <c r="AH26" i="10"/>
  <c r="AC25" i="10"/>
  <c r="AH25" i="10"/>
  <c r="AC50" i="10"/>
  <c r="AH50" i="10"/>
  <c r="AA33" i="10"/>
  <c r="AF33" i="10"/>
  <c r="AA77" i="10"/>
  <c r="AF77" i="10"/>
  <c r="AC48" i="10"/>
  <c r="AH48" i="10"/>
  <c r="AC66" i="10"/>
  <c r="AH66" i="10"/>
  <c r="AA23" i="10"/>
  <c r="AF23" i="10"/>
  <c r="AA70" i="10"/>
  <c r="AF70" i="10"/>
  <c r="AA22" i="10"/>
  <c r="AF22" i="10"/>
  <c r="AA84" i="10"/>
  <c r="AF84" i="10"/>
  <c r="AA54" i="10"/>
  <c r="AF54" i="10"/>
  <c r="AC46" i="10"/>
  <c r="AH46" i="10"/>
  <c r="AC27" i="10"/>
  <c r="AH27" i="10"/>
  <c r="AA59" i="10"/>
  <c r="AF59" i="10"/>
  <c r="AC56" i="10"/>
  <c r="AH56" i="10"/>
  <c r="AC72" i="10"/>
  <c r="AH72" i="10"/>
  <c r="AC64" i="10"/>
  <c r="AH64" i="10"/>
  <c r="AA68" i="10"/>
  <c r="AF68" i="10"/>
  <c r="AC57" i="10"/>
  <c r="AH57" i="10"/>
  <c r="AC63" i="10"/>
  <c r="AH63" i="10"/>
  <c r="AA64" i="10"/>
  <c r="AF64" i="10"/>
  <c r="AA40" i="10"/>
  <c r="AF40" i="10"/>
  <c r="AC89" i="10"/>
  <c r="AH89" i="10"/>
  <c r="AC35" i="10"/>
  <c r="AH35" i="10"/>
  <c r="AC70" i="10"/>
  <c r="AH70" i="10"/>
  <c r="AC19" i="10"/>
  <c r="AH19" i="10"/>
  <c r="AA52" i="10"/>
  <c r="AF52" i="10"/>
  <c r="AA39" i="10"/>
  <c r="AF39" i="10"/>
  <c r="AA63" i="10"/>
  <c r="AF63" i="10"/>
  <c r="AA82" i="10"/>
  <c r="AF82" i="10"/>
  <c r="AA31" i="10"/>
  <c r="AF31" i="10"/>
  <c r="AA86" i="10"/>
  <c r="AF86" i="10"/>
  <c r="AC67" i="10"/>
  <c r="AH67" i="10"/>
  <c r="AA24" i="10"/>
  <c r="AF24" i="10"/>
  <c r="AC52" i="10"/>
  <c r="AH52" i="10"/>
  <c r="AC55" i="10"/>
  <c r="AH55" i="10"/>
  <c r="AC84" i="10"/>
  <c r="AH84" i="10"/>
  <c r="AA32" i="10"/>
  <c r="AF32" i="10"/>
  <c r="AA38" i="10"/>
  <c r="AF38" i="10"/>
  <c r="AA56" i="10"/>
  <c r="AF56" i="10"/>
  <c r="AC34" i="10"/>
  <c r="AH34" i="10"/>
  <c r="AA44" i="10"/>
  <c r="AF44" i="10"/>
  <c r="AA76" i="10"/>
  <c r="AF76" i="10"/>
  <c r="AA49" i="10"/>
  <c r="AF49" i="10"/>
  <c r="AC23" i="10"/>
  <c r="AH23" i="10"/>
  <c r="AA72" i="10"/>
  <c r="AF72" i="10"/>
  <c r="AA50" i="10"/>
  <c r="AF50" i="10"/>
  <c r="AC54" i="10"/>
  <c r="AH54" i="10"/>
  <c r="AA60" i="10"/>
  <c r="AF60" i="10"/>
  <c r="AC43" i="10"/>
  <c r="AH43" i="10"/>
  <c r="AC22" i="10"/>
  <c r="AH22" i="10"/>
  <c r="AC71" i="10"/>
  <c r="AH71" i="10"/>
  <c r="AC74" i="10"/>
  <c r="AH74" i="10"/>
  <c r="AC44" i="10"/>
  <c r="AH44" i="10"/>
  <c r="AA61" i="10"/>
  <c r="AF61" i="10"/>
  <c r="AC36" i="10"/>
  <c r="AH36" i="10"/>
  <c r="AC40" i="10"/>
  <c r="AH40" i="10"/>
  <c r="AC41" i="10"/>
  <c r="AH41" i="10"/>
  <c r="AA45" i="10"/>
  <c r="AF45" i="10"/>
  <c r="AC24" i="10"/>
  <c r="AH24" i="10"/>
  <c r="AA79" i="10"/>
  <c r="AF79" i="10"/>
  <c r="AC29" i="10"/>
  <c r="AH29" i="10"/>
  <c r="AC62" i="10"/>
  <c r="AH62" i="10"/>
  <c r="AC87" i="10"/>
  <c r="AH87" i="10"/>
  <c r="AA30" i="10"/>
  <c r="AF30" i="10"/>
  <c r="AC77" i="10"/>
  <c r="AH77" i="10"/>
  <c r="AA83" i="10"/>
  <c r="AF83" i="10"/>
  <c r="AA69" i="10"/>
  <c r="AF69" i="10"/>
  <c r="AC83" i="10"/>
  <c r="AH83" i="10"/>
  <c r="AC75" i="10"/>
  <c r="AH75" i="10"/>
  <c r="AC76" i="10"/>
  <c r="AH76" i="10"/>
  <c r="AA19" i="10"/>
  <c r="AF19" i="10"/>
  <c r="AA29" i="10"/>
  <c r="AF29" i="10"/>
  <c r="AC79" i="10"/>
  <c r="AH79" i="10"/>
  <c r="AC33" i="10"/>
  <c r="AH33" i="10"/>
  <c r="AC21" i="10"/>
  <c r="AH21" i="10"/>
  <c r="AA73" i="10"/>
  <c r="AF73" i="10"/>
  <c r="AC32" i="10"/>
  <c r="AH32" i="10"/>
  <c r="AC73" i="10"/>
  <c r="AH73" i="10"/>
  <c r="AC42" i="10"/>
  <c r="AH42" i="10"/>
  <c r="AC85" i="10"/>
  <c r="AH85" i="10"/>
  <c r="AC78" i="10"/>
  <c r="AH78" i="10"/>
  <c r="AC86" i="10"/>
  <c r="AH86" i="10"/>
  <c r="AA81" i="10"/>
  <c r="AF81" i="10"/>
  <c r="AC47" i="10"/>
  <c r="AH47" i="10"/>
  <c r="AA87" i="10"/>
  <c r="AF87" i="10"/>
  <c r="AA74" i="10"/>
  <c r="AF74" i="10"/>
  <c r="AA27" i="10"/>
  <c r="AF27" i="10"/>
  <c r="AA67" i="10"/>
  <c r="AF67" i="10"/>
  <c r="AA42" i="10"/>
  <c r="AF42" i="10"/>
  <c r="AC51" i="10"/>
  <c r="AH51" i="10"/>
  <c r="AC20" i="10"/>
  <c r="AH20" i="10"/>
  <c r="AC53" i="10"/>
  <c r="AH53" i="10"/>
  <c r="AA66" i="10"/>
  <c r="AF66" i="10"/>
  <c r="AC31" i="10"/>
  <c r="AH31" i="10"/>
  <c r="AA78" i="10"/>
  <c r="AF78" i="10"/>
  <c r="AA58" i="10"/>
  <c r="AF58" i="10"/>
  <c r="AA28" i="10"/>
  <c r="AF28" i="10"/>
  <c r="X17" i="10"/>
  <c r="AC17" i="10"/>
  <c r="X15" i="10"/>
  <c r="AC15" i="10"/>
  <c r="V14" i="10"/>
  <c r="AA14" i="10"/>
  <c r="V13" i="10"/>
  <c r="AA13" i="10"/>
  <c r="X16" i="10"/>
  <c r="AC16" i="10"/>
  <c r="X14" i="10"/>
  <c r="AC14" i="10"/>
  <c r="X13" i="10"/>
  <c r="AC13" i="10"/>
  <c r="V18" i="10"/>
  <c r="AA18" i="10"/>
  <c r="V17" i="10"/>
  <c r="AA17" i="10"/>
  <c r="X18" i="10"/>
  <c r="AC18" i="10"/>
  <c r="V15" i="10"/>
  <c r="AA15" i="10"/>
  <c r="V16" i="10"/>
  <c r="AA16" i="10"/>
  <c r="Q53" i="10"/>
  <c r="V53" i="10"/>
  <c r="Q47" i="10"/>
  <c r="V47" i="10"/>
  <c r="S60" i="10"/>
  <c r="X60" i="10"/>
  <c r="Q48" i="10"/>
  <c r="V48" i="10"/>
  <c r="Q75" i="10"/>
  <c r="V75" i="10"/>
  <c r="S81" i="10"/>
  <c r="X81" i="10"/>
  <c r="S65" i="10"/>
  <c r="X65" i="10"/>
  <c r="S69" i="10"/>
  <c r="X69" i="10"/>
  <c r="Q57" i="10"/>
  <c r="V57" i="10"/>
  <c r="Q85" i="10"/>
  <c r="V85" i="10"/>
  <c r="S61" i="10"/>
  <c r="X61" i="10"/>
  <c r="S80" i="10"/>
  <c r="X80" i="10"/>
  <c r="Q65" i="10"/>
  <c r="V65" i="10"/>
  <c r="Q55" i="10"/>
  <c r="V55" i="10"/>
  <c r="Q80" i="10"/>
  <c r="V80" i="10"/>
  <c r="Q43" i="10"/>
  <c r="V43" i="10"/>
  <c r="Q41" i="10"/>
  <c r="V41" i="10"/>
  <c r="Q45" i="10"/>
  <c r="V45" i="10"/>
  <c r="Q52" i="10"/>
  <c r="V52" i="10"/>
  <c r="S58" i="10"/>
  <c r="X58" i="10"/>
  <c r="Q89" i="10"/>
  <c r="V89" i="10"/>
  <c r="Q77" i="10"/>
  <c r="V77" i="10"/>
  <c r="S46" i="10"/>
  <c r="X46" i="10"/>
  <c r="Q88" i="10"/>
  <c r="V88" i="10"/>
  <c r="S82" i="10"/>
  <c r="X82" i="10"/>
  <c r="S68" i="10"/>
  <c r="X68" i="10"/>
  <c r="Q71" i="10"/>
  <c r="V71" i="10"/>
  <c r="S49" i="10"/>
  <c r="X49" i="10"/>
  <c r="S88" i="10"/>
  <c r="X88" i="10"/>
  <c r="Q62" i="10"/>
  <c r="V62" i="10"/>
  <c r="Q51" i="10"/>
  <c r="V51" i="10"/>
  <c r="S45" i="10"/>
  <c r="X45" i="10"/>
  <c r="Q46" i="10"/>
  <c r="V46" i="10"/>
  <c r="S50" i="10"/>
  <c r="X50" i="10"/>
  <c r="S48" i="10"/>
  <c r="X48" i="10"/>
  <c r="S66" i="10"/>
  <c r="X66" i="10"/>
  <c r="Q70" i="10"/>
  <c r="V70" i="10"/>
  <c r="Q84" i="10"/>
  <c r="V84" i="10"/>
  <c r="Q54" i="10"/>
  <c r="V54" i="10"/>
  <c r="Q59" i="10"/>
  <c r="V59" i="10"/>
  <c r="S56" i="10"/>
  <c r="X56" i="10"/>
  <c r="S72" i="10"/>
  <c r="X72" i="10"/>
  <c r="S64" i="10"/>
  <c r="X64" i="10"/>
  <c r="Q68" i="10"/>
  <c r="V68" i="10"/>
  <c r="S57" i="10"/>
  <c r="X57" i="10"/>
  <c r="S63" i="10"/>
  <c r="X63" i="10"/>
  <c r="Q64" i="10"/>
  <c r="V64" i="10"/>
  <c r="Q40" i="10"/>
  <c r="V40" i="10"/>
  <c r="S89" i="10"/>
  <c r="X89" i="10"/>
  <c r="S70" i="10"/>
  <c r="X70" i="10"/>
  <c r="Q63" i="10"/>
  <c r="V63" i="10"/>
  <c r="Q82" i="10"/>
  <c r="V82" i="10"/>
  <c r="Q86" i="10"/>
  <c r="V86" i="10"/>
  <c r="S67" i="10"/>
  <c r="X67" i="10"/>
  <c r="S52" i="10"/>
  <c r="X52" i="10"/>
  <c r="S55" i="10"/>
  <c r="X55" i="10"/>
  <c r="S84" i="10"/>
  <c r="X84" i="10"/>
  <c r="S59" i="10"/>
  <c r="X59" i="10"/>
  <c r="Q56" i="10"/>
  <c r="V56" i="10"/>
  <c r="Q44" i="10"/>
  <c r="V44" i="10"/>
  <c r="Q76" i="10"/>
  <c r="V76" i="10"/>
  <c r="Q49" i="10"/>
  <c r="V49" i="10"/>
  <c r="Q72" i="10"/>
  <c r="V72" i="10"/>
  <c r="Q50" i="10"/>
  <c r="V50" i="10"/>
  <c r="S54" i="10"/>
  <c r="X54" i="10"/>
  <c r="Q60" i="10"/>
  <c r="V60" i="10"/>
  <c r="S43" i="10"/>
  <c r="X43" i="10"/>
  <c r="S71" i="10"/>
  <c r="X71" i="10"/>
  <c r="S74" i="10"/>
  <c r="X74" i="10"/>
  <c r="S44" i="10"/>
  <c r="X44" i="10"/>
  <c r="Q61" i="10"/>
  <c r="V61" i="10"/>
  <c r="S40" i="10"/>
  <c r="X40" i="10"/>
  <c r="S41" i="10"/>
  <c r="X41" i="10"/>
  <c r="Q79" i="10"/>
  <c r="V79" i="10"/>
  <c r="S62" i="10"/>
  <c r="X62" i="10"/>
  <c r="S87" i="10"/>
  <c r="X87" i="10"/>
  <c r="S77" i="10"/>
  <c r="X77" i="10"/>
  <c r="Q83" i="10"/>
  <c r="V83" i="10"/>
  <c r="Q69" i="10"/>
  <c r="V69" i="10"/>
  <c r="S83" i="10"/>
  <c r="X83" i="10"/>
  <c r="S75" i="10"/>
  <c r="X75" i="10"/>
  <c r="S76" i="10"/>
  <c r="X76" i="10"/>
  <c r="S79" i="10"/>
  <c r="X79" i="10"/>
  <c r="Q73" i="10"/>
  <c r="V73" i="10"/>
  <c r="S73" i="10"/>
  <c r="X73" i="10"/>
  <c r="S42" i="10"/>
  <c r="X42" i="10"/>
  <c r="S85" i="10"/>
  <c r="X85" i="10"/>
  <c r="S78" i="10"/>
  <c r="X78" i="10"/>
  <c r="S86" i="10"/>
  <c r="X86" i="10"/>
  <c r="Q81" i="10"/>
  <c r="V81" i="10"/>
  <c r="S47" i="10"/>
  <c r="X47" i="10"/>
  <c r="Q87" i="10"/>
  <c r="V87" i="10"/>
  <c r="Q74" i="10"/>
  <c r="V74" i="10"/>
  <c r="Q67" i="10"/>
  <c r="V67" i="10"/>
  <c r="Q42" i="10"/>
  <c r="V42" i="10"/>
  <c r="S51" i="10"/>
  <c r="X51" i="10"/>
  <c r="S53" i="10"/>
  <c r="X53" i="10"/>
  <c r="Q66" i="10"/>
  <c r="V66" i="10"/>
  <c r="Q78" i="10"/>
  <c r="V78" i="10"/>
  <c r="Q58" i="10"/>
  <c r="V58" i="10"/>
  <c r="Q37" i="10"/>
  <c r="V37" i="10"/>
  <c r="Q20" i="10"/>
  <c r="V20" i="10"/>
  <c r="Q35" i="10"/>
  <c r="V35" i="10"/>
  <c r="Q21" i="10"/>
  <c r="V21" i="10"/>
  <c r="S28" i="10"/>
  <c r="X28" i="10"/>
  <c r="Q39" i="10"/>
  <c r="V39" i="10"/>
  <c r="Q34" i="10"/>
  <c r="V34" i="10"/>
  <c r="Q33" i="10"/>
  <c r="V33" i="10"/>
  <c r="S27" i="10"/>
  <c r="X27" i="10"/>
  <c r="S37" i="10"/>
  <c r="X37" i="10"/>
  <c r="Q25" i="10"/>
  <c r="V25" i="10"/>
  <c r="S35" i="10"/>
  <c r="X35" i="10"/>
  <c r="S19" i="10"/>
  <c r="X19" i="10"/>
  <c r="S30" i="10"/>
  <c r="X30" i="10"/>
  <c r="Q31" i="10"/>
  <c r="V31" i="10"/>
  <c r="Q24" i="10"/>
  <c r="V24" i="10"/>
  <c r="Q32" i="10"/>
  <c r="V32" i="10"/>
  <c r="Q38" i="10"/>
  <c r="V38" i="10"/>
  <c r="Q36" i="10"/>
  <c r="V36" i="10"/>
  <c r="Q23" i="10"/>
  <c r="V23" i="10"/>
  <c r="S34" i="10"/>
  <c r="X34" i="10"/>
  <c r="S23" i="10"/>
  <c r="X23" i="10"/>
  <c r="S24" i="10"/>
  <c r="X24" i="10"/>
  <c r="S22" i="10"/>
  <c r="X22" i="10"/>
  <c r="S38" i="10"/>
  <c r="X38" i="10"/>
  <c r="Q22" i="10"/>
  <c r="V22" i="10"/>
  <c r="S36" i="10"/>
  <c r="X36" i="10"/>
  <c r="S29" i="10"/>
  <c r="X29" i="10"/>
  <c r="Q30" i="10"/>
  <c r="V30" i="10"/>
  <c r="S39" i="10"/>
  <c r="X39" i="10"/>
  <c r="Q26" i="10"/>
  <c r="V26" i="10"/>
  <c r="S26" i="10"/>
  <c r="X26" i="10"/>
  <c r="Q19" i="10"/>
  <c r="V19" i="10"/>
  <c r="Q29" i="10"/>
  <c r="V29" i="10"/>
  <c r="S33" i="10"/>
  <c r="X33" i="10"/>
  <c r="S21" i="10"/>
  <c r="X21" i="10"/>
  <c r="S32" i="10"/>
  <c r="X32" i="10"/>
  <c r="Q27" i="10"/>
  <c r="V27" i="10"/>
  <c r="S25" i="10"/>
  <c r="X25" i="10"/>
  <c r="S20" i="10"/>
  <c r="X20" i="10"/>
  <c r="S31" i="10"/>
  <c r="X31" i="10"/>
  <c r="Q28" i="10"/>
  <c r="V28" i="10"/>
  <c r="Q15" i="10"/>
  <c r="Q13" i="10"/>
  <c r="S17" i="10"/>
  <c r="S15" i="10"/>
  <c r="Q14" i="10"/>
  <c r="S16" i="10"/>
  <c r="S14" i="10"/>
  <c r="S13" i="10"/>
  <c r="Q18" i="10"/>
  <c r="Q17" i="10"/>
  <c r="S18" i="10"/>
  <c r="Q16" i="10"/>
  <c r="BO133" i="10"/>
  <c r="BQ133" i="10" s="1"/>
  <c r="BE133" i="10"/>
  <c r="BH133" i="10"/>
  <c r="BL133" i="10"/>
  <c r="BN133" i="10" s="1"/>
  <c r="BL101" i="10"/>
  <c r="BO101" i="10"/>
  <c r="BS101" i="10"/>
  <c r="BZ101" i="10"/>
  <c r="BF101" i="10"/>
  <c r="BC121" i="10"/>
  <c r="BC116" i="10"/>
  <c r="BC114" i="10"/>
  <c r="AZ131" i="10"/>
  <c r="BC130" i="10"/>
  <c r="BC131" i="10"/>
  <c r="BC125" i="10"/>
  <c r="AZ128" i="10"/>
  <c r="AZ111" i="10"/>
  <c r="BC111" i="10"/>
  <c r="AZ125" i="10"/>
  <c r="BC129" i="10"/>
  <c r="AZ126" i="10"/>
  <c r="BC115" i="10"/>
  <c r="BC118" i="10"/>
  <c r="AZ110" i="10"/>
  <c r="BC123" i="10"/>
  <c r="AZ113" i="10"/>
  <c r="BC113" i="10"/>
  <c r="AZ129" i="10"/>
  <c r="AZ114" i="10"/>
  <c r="BC117" i="10"/>
  <c r="AZ116" i="10"/>
  <c r="AV119" i="10"/>
  <c r="AZ122" i="10"/>
  <c r="AZ109" i="10"/>
  <c r="AO109" i="10"/>
  <c r="AS109" i="10"/>
  <c r="AS119" i="10"/>
  <c r="AS120" i="10"/>
  <c r="AV120" i="10"/>
  <c r="BC109" i="10"/>
  <c r="J9" i="13"/>
  <c r="AZ112" i="10"/>
  <c r="BC127" i="10"/>
  <c r="AZ120" i="10"/>
  <c r="I120" i="10"/>
  <c r="AY120" i="10" s="1"/>
  <c r="BA133" i="10"/>
  <c r="BC110" i="10"/>
  <c r="BC128" i="10"/>
  <c r="AZ127" i="10"/>
  <c r="BC119" i="10"/>
  <c r="J119" i="10"/>
  <c r="BB119" i="10" s="1"/>
  <c r="AZ108" i="10"/>
  <c r="BC122" i="10"/>
  <c r="AZ123" i="10"/>
  <c r="AZ115" i="10"/>
  <c r="J120" i="10"/>
  <c r="BB120" i="10" s="1"/>
  <c r="BC120" i="10"/>
  <c r="BC126" i="10"/>
  <c r="AL120" i="10"/>
  <c r="AX133" i="10"/>
  <c r="AZ121" i="10"/>
  <c r="AZ118" i="10"/>
  <c r="AZ130" i="10"/>
  <c r="AO119" i="10"/>
  <c r="AL119" i="10"/>
  <c r="BC112" i="10"/>
  <c r="AZ119" i="10"/>
  <c r="I119" i="10"/>
  <c r="BF119" i="10" s="1"/>
  <c r="AO120" i="10"/>
  <c r="I126" i="10"/>
  <c r="AY126" i="10" s="1"/>
  <c r="I116" i="10"/>
  <c r="AY116" i="10" s="1"/>
  <c r="J112" i="10"/>
  <c r="BB112" i="10" s="1"/>
  <c r="I117" i="10"/>
  <c r="AY117" i="10" s="1"/>
  <c r="J115" i="10"/>
  <c r="BB115" i="10" s="1"/>
  <c r="I109" i="10"/>
  <c r="BF109" i="10" s="1"/>
  <c r="I122" i="10"/>
  <c r="AY122" i="10" s="1"/>
  <c r="J121" i="10"/>
  <c r="BB121" i="10" s="1"/>
  <c r="J127" i="10"/>
  <c r="BB127" i="10" s="1"/>
  <c r="J123" i="10"/>
  <c r="BB123" i="10" s="1"/>
  <c r="J113" i="10"/>
  <c r="BB113" i="10" s="1"/>
  <c r="J111" i="10"/>
  <c r="BB111" i="10" s="1"/>
  <c r="I125" i="10"/>
  <c r="AY125" i="10" s="1"/>
  <c r="J110" i="10"/>
  <c r="BB110" i="10" s="1"/>
  <c r="I129" i="10"/>
  <c r="AY129" i="10" s="1"/>
  <c r="I112" i="10"/>
  <c r="AY112" i="10" s="1"/>
  <c r="AV109" i="10"/>
  <c r="J117" i="10"/>
  <c r="BB117" i="10" s="1"/>
  <c r="I115" i="10"/>
  <c r="AY115" i="10" s="1"/>
  <c r="I110" i="10"/>
  <c r="AY110" i="10" s="1"/>
  <c r="J130" i="10"/>
  <c r="BB130" i="10" s="1"/>
  <c r="J114" i="10"/>
  <c r="BB114" i="10" s="1"/>
  <c r="J116" i="10"/>
  <c r="BB116" i="10" s="1"/>
  <c r="J109" i="10"/>
  <c r="BB109" i="10" s="1"/>
  <c r="J131" i="10"/>
  <c r="BB131" i="10" s="1"/>
  <c r="I131" i="10"/>
  <c r="J129" i="10"/>
  <c r="BB129" i="10" s="1"/>
  <c r="J122" i="10"/>
  <c r="BB122" i="10" s="1"/>
  <c r="I123" i="10"/>
  <c r="AY123" i="10" s="1"/>
  <c r="J126" i="10"/>
  <c r="BB126" i="10" s="1"/>
  <c r="I114" i="10"/>
  <c r="AY114" i="10" s="1"/>
  <c r="J128" i="10"/>
  <c r="BB128" i="10" s="1"/>
  <c r="I108" i="10"/>
  <c r="AY108" i="10" s="1"/>
  <c r="I118" i="10"/>
  <c r="AY118" i="10" s="1"/>
  <c r="I127" i="10"/>
  <c r="AY127" i="10" s="1"/>
  <c r="I113" i="10"/>
  <c r="AY113" i="10" s="1"/>
  <c r="I111" i="10"/>
  <c r="BF111" i="10" s="1"/>
  <c r="I121" i="10"/>
  <c r="AY121" i="10" s="1"/>
  <c r="I128" i="10"/>
  <c r="AY128" i="10" s="1"/>
  <c r="J125" i="10"/>
  <c r="BB125" i="10" s="1"/>
  <c r="I130" i="10"/>
  <c r="AY130" i="10" s="1"/>
  <c r="J118" i="10"/>
  <c r="BB118" i="10" s="1"/>
  <c r="J108" i="10"/>
  <c r="BB108" i="10" s="1"/>
  <c r="AS123" i="10"/>
  <c r="AL109" i="10"/>
  <c r="AV112" i="10"/>
  <c r="AS129" i="10"/>
  <c r="AV126" i="10"/>
  <c r="AS131" i="10"/>
  <c r="AV117" i="10"/>
  <c r="AS118" i="10"/>
  <c r="AS130" i="10"/>
  <c r="AS127" i="10"/>
  <c r="AS110" i="10"/>
  <c r="AV130" i="10"/>
  <c r="AS108" i="10"/>
  <c r="AS114" i="10"/>
  <c r="AV115" i="10"/>
  <c r="AS122" i="10"/>
  <c r="AS128" i="10"/>
  <c r="AS117" i="10"/>
  <c r="AV122" i="10"/>
  <c r="AS126" i="10"/>
  <c r="AS113" i="10"/>
  <c r="AV114" i="10"/>
  <c r="AV118" i="10"/>
  <c r="AV108" i="10"/>
  <c r="AS121" i="10"/>
  <c r="AS125" i="10"/>
  <c r="AS116" i="10"/>
  <c r="AV116" i="10"/>
  <c r="AS115" i="10"/>
  <c r="AS111" i="10"/>
  <c r="AV125" i="10"/>
  <c r="AS112" i="10"/>
  <c r="AV128" i="10"/>
  <c r="AV129" i="10"/>
  <c r="AT133" i="10"/>
  <c r="AV121" i="10"/>
  <c r="AV131" i="10"/>
  <c r="AV127" i="10"/>
  <c r="AV111" i="10"/>
  <c r="AV123" i="10"/>
  <c r="AV113" i="10"/>
  <c r="AQ133" i="10"/>
  <c r="W133" i="10"/>
  <c r="AV110" i="10"/>
  <c r="U133" i="10"/>
  <c r="R133" i="10"/>
  <c r="AO129" i="10"/>
  <c r="B2" i="18"/>
  <c r="E2" i="18" s="1"/>
  <c r="E28" i="18"/>
  <c r="E61" i="18"/>
  <c r="E33" i="18"/>
  <c r="E66" i="18"/>
  <c r="E36" i="18"/>
  <c r="E7" i="18"/>
  <c r="E42" i="18"/>
  <c r="E10" i="18"/>
  <c r="E45" i="18"/>
  <c r="E50" i="18"/>
  <c r="E16" i="18"/>
  <c r="E20" i="18"/>
  <c r="E53" i="18"/>
  <c r="E25" i="18"/>
  <c r="E58" i="18"/>
  <c r="E65" i="18"/>
  <c r="E64" i="18"/>
  <c r="E63" i="18"/>
  <c r="E62" i="18"/>
  <c r="E60" i="18"/>
  <c r="E59" i="18"/>
  <c r="E57" i="18"/>
  <c r="E56" i="18"/>
  <c r="E55" i="18"/>
  <c r="E54" i="18"/>
  <c r="E52" i="18"/>
  <c r="E51" i="18"/>
  <c r="E49" i="18"/>
  <c r="E48" i="18"/>
  <c r="E47" i="18"/>
  <c r="E46" i="18"/>
  <c r="E44" i="18"/>
  <c r="E43" i="18"/>
  <c r="E41" i="18"/>
  <c r="E39" i="18"/>
  <c r="E38" i="18"/>
  <c r="E37" i="18"/>
  <c r="E35" i="18"/>
  <c r="E34" i="18"/>
  <c r="E32" i="18"/>
  <c r="E31" i="18"/>
  <c r="E30" i="18"/>
  <c r="E29" i="18"/>
  <c r="E27" i="18"/>
  <c r="E26" i="18"/>
  <c r="E24" i="18"/>
  <c r="E23" i="18"/>
  <c r="E22" i="18"/>
  <c r="E21" i="18"/>
  <c r="E18" i="18"/>
  <c r="E17" i="18"/>
  <c r="E6" i="18"/>
  <c r="E4" i="18"/>
  <c r="E3" i="18"/>
  <c r="E15" i="18"/>
  <c r="E14" i="18"/>
  <c r="E13" i="18"/>
  <c r="E12" i="18"/>
  <c r="E9" i="18"/>
  <c r="E8" i="18"/>
  <c r="E5" i="18"/>
  <c r="E67" i="18"/>
  <c r="P133" i="10"/>
  <c r="AL130" i="10"/>
  <c r="AL114" i="10"/>
  <c r="AO115" i="10"/>
  <c r="AL126" i="10"/>
  <c r="AO122" i="10"/>
  <c r="AO113" i="10"/>
  <c r="AO118" i="10"/>
  <c r="AL116" i="10"/>
  <c r="AO125" i="10"/>
  <c r="AL125" i="10"/>
  <c r="AL122" i="10"/>
  <c r="AJ133" i="10"/>
  <c r="AB133" i="10"/>
  <c r="AL112" i="10"/>
  <c r="AM133" i="10"/>
  <c r="AO116" i="10"/>
  <c r="AL121" i="10"/>
  <c r="AL127" i="10"/>
  <c r="AO131" i="10"/>
  <c r="AO117" i="10"/>
  <c r="AE133" i="10"/>
  <c r="AL123" i="10"/>
  <c r="AO128" i="10"/>
  <c r="AL115" i="10"/>
  <c r="AO126" i="10"/>
  <c r="AO123" i="10"/>
  <c r="AO112" i="10"/>
  <c r="AG133" i="10"/>
  <c r="AL113" i="10"/>
  <c r="AL128" i="10"/>
  <c r="AL117" i="10"/>
  <c r="AO127" i="10"/>
  <c r="AL118" i="10"/>
  <c r="H133" i="10"/>
  <c r="Z133" i="10"/>
  <c r="AO114" i="10"/>
  <c r="AL131" i="10"/>
  <c r="AO130" i="10"/>
  <c r="AO121" i="10"/>
  <c r="AL129" i="10"/>
  <c r="AO111" i="10"/>
  <c r="AO110" i="10"/>
  <c r="AL111" i="10"/>
  <c r="AL110" i="10"/>
  <c r="AO108" i="10"/>
  <c r="AL108" i="10"/>
  <c r="B4" i="13"/>
  <c r="B8" i="13" s="1"/>
  <c r="BJ133" i="10" l="1"/>
  <c r="AA124" i="10"/>
  <c r="AY111" i="10"/>
  <c r="V124" i="10"/>
  <c r="AY124" i="10"/>
  <c r="Q124" i="10"/>
  <c r="BF124" i="10"/>
  <c r="AR124" i="10"/>
  <c r="BG133" i="10"/>
  <c r="S124" i="10"/>
  <c r="BB124" i="10"/>
  <c r="BI124" i="10"/>
  <c r="X124" i="10"/>
  <c r="AU124" i="10"/>
  <c r="AF124" i="10"/>
  <c r="AC124" i="10"/>
  <c r="AY119" i="10"/>
  <c r="AN124" i="10"/>
  <c r="AY109" i="10"/>
  <c r="AK108" i="10"/>
  <c r="BF114" i="10"/>
  <c r="BI123" i="10"/>
  <c r="AR123" i="10"/>
  <c r="BF123" i="10"/>
  <c r="BI127" i="10"/>
  <c r="BI129" i="10"/>
  <c r="BF122" i="10"/>
  <c r="AN120" i="10"/>
  <c r="BI120" i="10"/>
  <c r="BI121" i="10"/>
  <c r="AY131" i="10"/>
  <c r="BF131" i="10"/>
  <c r="BI113" i="10"/>
  <c r="BI131" i="10"/>
  <c r="BI115" i="10"/>
  <c r="BI109" i="10"/>
  <c r="BF117" i="10"/>
  <c r="BI122" i="10"/>
  <c r="BI108" i="10"/>
  <c r="BI116" i="10"/>
  <c r="BI112" i="10"/>
  <c r="CB101" i="10"/>
  <c r="CA101" i="10"/>
  <c r="BI118" i="10"/>
  <c r="BI114" i="10"/>
  <c r="BF116" i="10"/>
  <c r="AH119" i="10"/>
  <c r="BI119" i="10"/>
  <c r="BI126" i="10"/>
  <c r="AR130" i="10"/>
  <c r="BF130" i="10"/>
  <c r="BI130" i="10"/>
  <c r="BF126" i="10"/>
  <c r="BN101" i="10"/>
  <c r="BM101" i="10"/>
  <c r="BI125" i="10"/>
  <c r="BF110" i="10"/>
  <c r="BF128" i="10"/>
  <c r="AR115" i="10"/>
  <c r="BF115" i="10"/>
  <c r="BF121" i="10"/>
  <c r="BI117" i="10"/>
  <c r="BU101" i="10"/>
  <c r="BT101" i="10"/>
  <c r="BF113" i="10"/>
  <c r="BF112" i="10"/>
  <c r="AK120" i="10"/>
  <c r="BF120" i="10"/>
  <c r="BF129" i="10"/>
  <c r="BF118" i="10"/>
  <c r="AU110" i="10"/>
  <c r="BI110" i="10"/>
  <c r="AR108" i="10"/>
  <c r="BF108" i="10"/>
  <c r="BF125" i="10"/>
  <c r="BQ101" i="10"/>
  <c r="AR127" i="10"/>
  <c r="BF127" i="10"/>
  <c r="BI128" i="10"/>
  <c r="BI111" i="10"/>
  <c r="AK130" i="10"/>
  <c r="AK118" i="10"/>
  <c r="AA110" i="10"/>
  <c r="AF115" i="10"/>
  <c r="AA116" i="10"/>
  <c r="Q108" i="10"/>
  <c r="AK127" i="10"/>
  <c r="AF112" i="10"/>
  <c r="AU129" i="10"/>
  <c r="AU125" i="10"/>
  <c r="AC109" i="10"/>
  <c r="AF120" i="10"/>
  <c r="AR125" i="10"/>
  <c r="AR131" i="10"/>
  <c r="AR110" i="10"/>
  <c r="AR112" i="10"/>
  <c r="AC120" i="10"/>
  <c r="AK113" i="10"/>
  <c r="AN119" i="10"/>
  <c r="AR117" i="10"/>
  <c r="AK117" i="10"/>
  <c r="AK129" i="10"/>
  <c r="AR109" i="10"/>
  <c r="V119" i="10"/>
  <c r="Q119" i="10"/>
  <c r="AR119" i="10"/>
  <c r="AR114" i="10"/>
  <c r="V120" i="10"/>
  <c r="Q120" i="10"/>
  <c r="AR120" i="10"/>
  <c r="AK109" i="10"/>
  <c r="Q111" i="10"/>
  <c r="AR111" i="10"/>
  <c r="AR129" i="10"/>
  <c r="AR121" i="10"/>
  <c r="AA119" i="10"/>
  <c r="AK119" i="10"/>
  <c r="AR122" i="10"/>
  <c r="AA120" i="10"/>
  <c r="AK114" i="10"/>
  <c r="AF119" i="10"/>
  <c r="AR118" i="10"/>
  <c r="X119" i="10"/>
  <c r="AU119" i="10"/>
  <c r="S119" i="10"/>
  <c r="AR113" i="10"/>
  <c r="AZ133" i="10"/>
  <c r="BC133" i="10"/>
  <c r="AK128" i="10"/>
  <c r="AR116" i="10"/>
  <c r="AR126" i="10"/>
  <c r="AR128" i="10"/>
  <c r="AH120" i="10"/>
  <c r="X120" i="10"/>
  <c r="S120" i="10"/>
  <c r="AU120" i="10"/>
  <c r="AC119" i="10"/>
  <c r="AA109" i="10"/>
  <c r="V109" i="10"/>
  <c r="Q109" i="10"/>
  <c r="AF109" i="10"/>
  <c r="AN109" i="10"/>
  <c r="AU109" i="10"/>
  <c r="S109" i="10"/>
  <c r="X109" i="10"/>
  <c r="AH109" i="10"/>
  <c r="AV133" i="10"/>
  <c r="AS133" i="10"/>
  <c r="AH131" i="10"/>
  <c r="AU131" i="10"/>
  <c r="AH117" i="10"/>
  <c r="AU117" i="10"/>
  <c r="AC111" i="10"/>
  <c r="AU111" i="10"/>
  <c r="AF131" i="10"/>
  <c r="AC118" i="10"/>
  <c r="AU118" i="10"/>
  <c r="AA122" i="10"/>
  <c r="AN128" i="10"/>
  <c r="AU128" i="10"/>
  <c r="AA123" i="10"/>
  <c r="S108" i="10"/>
  <c r="AU108" i="10"/>
  <c r="AN112" i="10"/>
  <c r="AU112" i="10"/>
  <c r="AF121" i="10"/>
  <c r="AH113" i="10"/>
  <c r="AU113" i="10"/>
  <c r="AN127" i="10"/>
  <c r="AU127" i="10"/>
  <c r="AH123" i="10"/>
  <c r="AU123" i="10"/>
  <c r="AK125" i="10"/>
  <c r="AN126" i="10"/>
  <c r="AU126" i="10"/>
  <c r="AC116" i="10"/>
  <c r="AU116" i="10"/>
  <c r="AC121" i="10"/>
  <c r="AU121" i="10"/>
  <c r="AK126" i="10"/>
  <c r="AN130" i="10"/>
  <c r="AU130" i="10"/>
  <c r="AC115" i="10"/>
  <c r="AU115" i="10"/>
  <c r="AC114" i="10"/>
  <c r="AU114" i="10"/>
  <c r="AH122" i="10"/>
  <c r="AU122" i="10"/>
  <c r="AF123" i="10"/>
  <c r="AK131" i="10"/>
  <c r="AN114" i="10"/>
  <c r="AF125" i="10"/>
  <c r="AF117" i="10"/>
  <c r="AF126" i="10"/>
  <c r="AN117" i="10"/>
  <c r="AK123" i="10"/>
  <c r="AC127" i="10"/>
  <c r="AN121" i="10"/>
  <c r="AC113" i="10"/>
  <c r="AH121" i="10"/>
  <c r="AC126" i="10"/>
  <c r="AF116" i="10"/>
  <c r="AN131" i="10"/>
  <c r="AH112" i="10"/>
  <c r="AA130" i="10"/>
  <c r="AN116" i="10"/>
  <c r="AA128" i="10"/>
  <c r="AK116" i="10"/>
  <c r="AC131" i="10"/>
  <c r="AC112" i="10"/>
  <c r="AH116" i="10"/>
  <c r="AC123" i="10"/>
  <c r="AA113" i="10"/>
  <c r="AA126" i="10"/>
  <c r="AH127" i="10"/>
  <c r="AN123" i="10"/>
  <c r="J133" i="10"/>
  <c r="BB133" i="10" s="1"/>
  <c r="S110" i="10"/>
  <c r="V122" i="10"/>
  <c r="Q122" i="10"/>
  <c r="X115" i="10"/>
  <c r="S115" i="10"/>
  <c r="AC128" i="10"/>
  <c r="X123" i="10"/>
  <c r="S123" i="10"/>
  <c r="AA118" i="10"/>
  <c r="AA111" i="10"/>
  <c r="AN113" i="10"/>
  <c r="AA127" i="10"/>
  <c r="AN115" i="10"/>
  <c r="AN129" i="10"/>
  <c r="X129" i="10"/>
  <c r="S129" i="10"/>
  <c r="V121" i="10"/>
  <c r="Q121" i="10"/>
  <c r="I133" i="10"/>
  <c r="Q110" i="10"/>
  <c r="X122" i="10"/>
  <c r="S122" i="10"/>
  <c r="AN122" i="10"/>
  <c r="V112" i="10"/>
  <c r="Q112" i="10"/>
  <c r="V117" i="10"/>
  <c r="Q117" i="10"/>
  <c r="X118" i="10"/>
  <c r="S118" i="10"/>
  <c r="V110" i="10"/>
  <c r="S131" i="10"/>
  <c r="X131" i="10"/>
  <c r="S112" i="10"/>
  <c r="X112" i="10"/>
  <c r="AC129" i="10"/>
  <c r="S127" i="10"/>
  <c r="X127" i="10"/>
  <c r="S121" i="10"/>
  <c r="X121" i="10"/>
  <c r="AK112" i="10"/>
  <c r="AA121" i="10"/>
  <c r="AK122" i="10"/>
  <c r="AF111" i="10"/>
  <c r="AC122" i="10"/>
  <c r="AA112" i="10"/>
  <c r="AA117" i="10"/>
  <c r="Q127" i="10"/>
  <c r="V127" i="10"/>
  <c r="Q131" i="10"/>
  <c r="V131" i="10"/>
  <c r="Q115" i="10"/>
  <c r="V115" i="10"/>
  <c r="AH126" i="10"/>
  <c r="AH129" i="10"/>
  <c r="X117" i="10"/>
  <c r="S117" i="10"/>
  <c r="AH118" i="10"/>
  <c r="AH130" i="10"/>
  <c r="X130" i="10"/>
  <c r="S130" i="10"/>
  <c r="AF129" i="10"/>
  <c r="V129" i="10"/>
  <c r="Q129" i="10"/>
  <c r="Q118" i="10"/>
  <c r="V118" i="10"/>
  <c r="V113" i="10"/>
  <c r="Q113" i="10"/>
  <c r="AA131" i="10"/>
  <c r="AF122" i="10"/>
  <c r="AA115" i="10"/>
  <c r="AF110" i="10"/>
  <c r="S116" i="10"/>
  <c r="X116" i="10"/>
  <c r="AK121" i="10"/>
  <c r="V123" i="10"/>
  <c r="Q123" i="10"/>
  <c r="X114" i="10"/>
  <c r="S114" i="10"/>
  <c r="AH115" i="10"/>
  <c r="AC110" i="10"/>
  <c r="Q116" i="10"/>
  <c r="V116" i="10"/>
  <c r="AC117" i="10"/>
  <c r="AF113" i="10"/>
  <c r="AC130" i="10"/>
  <c r="AA129" i="10"/>
  <c r="AH128" i="10"/>
  <c r="X128" i="10"/>
  <c r="S128" i="10"/>
  <c r="X111" i="10"/>
  <c r="S111" i="10"/>
  <c r="Q114" i="10"/>
  <c r="V114" i="10"/>
  <c r="AH110" i="10"/>
  <c r="X125" i="10"/>
  <c r="S125" i="10"/>
  <c r="AF127" i="10"/>
  <c r="AH114" i="10"/>
  <c r="V125" i="10"/>
  <c r="Q125" i="10"/>
  <c r="AH111" i="10"/>
  <c r="S113" i="10"/>
  <c r="X113" i="10"/>
  <c r="S126" i="10"/>
  <c r="X126" i="10"/>
  <c r="AA114" i="10"/>
  <c r="AC125" i="10"/>
  <c r="AK115" i="10"/>
  <c r="AF118" i="10"/>
  <c r="AF130" i="10"/>
  <c r="Q130" i="10"/>
  <c r="V130" i="10"/>
  <c r="AF128" i="10"/>
  <c r="Q128" i="10"/>
  <c r="V128" i="10"/>
  <c r="AN125" i="10"/>
  <c r="V126" i="10"/>
  <c r="Q126" i="10"/>
  <c r="AN118" i="10"/>
  <c r="AF114" i="10"/>
  <c r="AH125" i="10"/>
  <c r="AA125" i="10"/>
  <c r="V111" i="10"/>
  <c r="AF108" i="10"/>
  <c r="AA108" i="10"/>
  <c r="V108" i="10"/>
  <c r="AC108" i="10"/>
  <c r="AH108" i="10"/>
  <c r="X110" i="10"/>
  <c r="X108" i="10"/>
  <c r="AN110" i="10"/>
  <c r="AN108" i="10"/>
  <c r="AK110" i="10"/>
  <c r="AK111" i="10"/>
  <c r="AO133" i="10"/>
  <c r="AL133" i="10"/>
  <c r="AN111" i="10"/>
  <c r="AY133" i="10" l="1"/>
  <c r="BF133" i="10"/>
  <c r="BT133" i="10"/>
  <c r="BM133" i="10"/>
  <c r="CA133" i="10"/>
  <c r="BI133" i="10"/>
  <c r="BP133" i="10"/>
  <c r="AA133" i="10"/>
  <c r="AR133" i="10"/>
  <c r="AN133" i="10"/>
  <c r="AU133" i="10"/>
  <c r="AH133" i="10"/>
  <c r="AC133" i="10"/>
  <c r="AF133" i="10"/>
  <c r="V133" i="10"/>
  <c r="Q133" i="10"/>
  <c r="AK133" i="10"/>
  <c r="S133" i="10"/>
  <c r="X133" i="10"/>
  <c r="CD133" i="10" l="1"/>
  <c r="BW133" i="10"/>
  <c r="BC101" i="10" l="1"/>
  <c r="AO101" i="10"/>
  <c r="AV101" i="10"/>
  <c r="AZ101" i="10"/>
  <c r="AS101" i="10"/>
  <c r="AS12" i="10"/>
  <c r="BN12" i="10"/>
  <c r="BG12" i="10"/>
  <c r="BV12" i="10"/>
  <c r="BV101" i="10" s="1"/>
  <c r="BJ12" i="10"/>
  <c r="BQ12" i="10"/>
  <c r="AZ12" i="10"/>
  <c r="AV12" i="10"/>
  <c r="I12" i="10"/>
  <c r="I101" i="10" s="1"/>
  <c r="BC12" i="10"/>
  <c r="BF12" i="10" l="1"/>
  <c r="BM12" i="10"/>
  <c r="M12" i="10"/>
  <c r="M48" i="10"/>
  <c r="M53" i="10"/>
  <c r="M43" i="10"/>
  <c r="M29" i="10"/>
  <c r="M35" i="10"/>
  <c r="M45" i="10"/>
  <c r="M81" i="10"/>
  <c r="M73" i="10"/>
  <c r="M15" i="10"/>
  <c r="M56" i="10"/>
  <c r="M21" i="10"/>
  <c r="M61" i="10"/>
  <c r="M68" i="10"/>
  <c r="M93" i="10"/>
  <c r="M65" i="10"/>
  <c r="M34" i="10"/>
  <c r="M19" i="10"/>
  <c r="M16" i="10"/>
  <c r="M14" i="10"/>
  <c r="M92" i="10"/>
  <c r="M31" i="10"/>
  <c r="M89" i="10"/>
  <c r="M58" i="10"/>
  <c r="M54" i="10"/>
  <c r="M22" i="10"/>
  <c r="M27" i="10"/>
  <c r="M60" i="10"/>
  <c r="M57" i="10"/>
  <c r="M94" i="10"/>
  <c r="M76" i="10"/>
  <c r="M36" i="10"/>
  <c r="M59" i="10"/>
  <c r="M24" i="10"/>
  <c r="M51" i="10"/>
  <c r="M49" i="10"/>
  <c r="M40" i="10"/>
  <c r="M39" i="10"/>
  <c r="M75" i="10"/>
  <c r="M28" i="10"/>
  <c r="M70" i="10"/>
  <c r="M98" i="10"/>
  <c r="M72" i="10"/>
  <c r="M18" i="10"/>
  <c r="M95" i="10"/>
  <c r="M66" i="10"/>
  <c r="M82" i="10"/>
  <c r="M71" i="10"/>
  <c r="M42" i="10"/>
  <c r="M20" i="10"/>
  <c r="M74" i="10"/>
  <c r="M86" i="10"/>
  <c r="M69" i="10"/>
  <c r="M67" i="10"/>
  <c r="M80" i="10"/>
  <c r="M25" i="10"/>
  <c r="M33" i="10"/>
  <c r="M46" i="10"/>
  <c r="M63" i="10"/>
  <c r="M41" i="10"/>
  <c r="M50" i="10"/>
  <c r="M78" i="10"/>
  <c r="M23" i="10"/>
  <c r="M17" i="10"/>
  <c r="M47" i="10"/>
  <c r="M52" i="10"/>
  <c r="M91" i="10"/>
  <c r="M84" i="10"/>
  <c r="M44" i="10"/>
  <c r="M30" i="10"/>
  <c r="M55" i="10"/>
  <c r="M83" i="10"/>
  <c r="M13" i="10"/>
  <c r="M97" i="10"/>
  <c r="M79" i="10"/>
  <c r="M77" i="10"/>
  <c r="M88" i="10"/>
  <c r="M62" i="10"/>
  <c r="M32" i="10"/>
  <c r="M87" i="10"/>
  <c r="M26" i="10"/>
  <c r="M38" i="10"/>
  <c r="M37" i="10"/>
  <c r="M85" i="10"/>
  <c r="M96" i="10"/>
  <c r="M90" i="10"/>
  <c r="M64" i="10"/>
  <c r="AK12" i="10"/>
  <c r="AF12" i="10"/>
  <c r="AA12" i="10"/>
  <c r="V12" i="10"/>
  <c r="Q12" i="10"/>
  <c r="BT12" i="10"/>
  <c r="CA12" i="10"/>
  <c r="AA101" i="10"/>
  <c r="AL101" i="10"/>
  <c r="AR12" i="10"/>
  <c r="AY12" i="10"/>
  <c r="BX101" i="10"/>
  <c r="J12" i="10"/>
  <c r="J101" i="10" s="1"/>
  <c r="BI101" i="10" s="1"/>
  <c r="BX12" i="10"/>
  <c r="N12" i="10" l="1"/>
  <c r="N70" i="10"/>
  <c r="N56" i="10"/>
  <c r="N42" i="10"/>
  <c r="N52" i="10"/>
  <c r="N84" i="10"/>
  <c r="N73" i="10"/>
  <c r="N54" i="10"/>
  <c r="N26" i="10"/>
  <c r="N53" i="10"/>
  <c r="N43" i="10"/>
  <c r="N61" i="10"/>
  <c r="N25" i="10"/>
  <c r="N64" i="10"/>
  <c r="N55" i="10"/>
  <c r="N18" i="10"/>
  <c r="N89" i="10"/>
  <c r="N88" i="10"/>
  <c r="N30" i="10"/>
  <c r="N68" i="10"/>
  <c r="N71" i="10"/>
  <c r="N14" i="10"/>
  <c r="N96" i="10"/>
  <c r="N67" i="10"/>
  <c r="N98" i="10"/>
  <c r="N36" i="10"/>
  <c r="N33" i="10"/>
  <c r="N46" i="10"/>
  <c r="N72" i="10"/>
  <c r="N57" i="10"/>
  <c r="N97" i="10"/>
  <c r="N45" i="10"/>
  <c r="N77" i="10"/>
  <c r="N92" i="10"/>
  <c r="N19" i="10"/>
  <c r="N40" i="10"/>
  <c r="N62" i="10"/>
  <c r="N63" i="10"/>
  <c r="N34" i="10"/>
  <c r="N48" i="10"/>
  <c r="N27" i="10"/>
  <c r="N24" i="10"/>
  <c r="N65" i="10"/>
  <c r="N23" i="10"/>
  <c r="N37" i="10"/>
  <c r="N44" i="10"/>
  <c r="N95" i="10"/>
  <c r="N58" i="10"/>
  <c r="N50" i="10"/>
  <c r="N51" i="10"/>
  <c r="N79" i="10"/>
  <c r="N60" i="10"/>
  <c r="N39" i="10"/>
  <c r="N66" i="10"/>
  <c r="N20" i="10"/>
  <c r="N32" i="10"/>
  <c r="N28" i="10"/>
  <c r="N49" i="10"/>
  <c r="N86" i="10"/>
  <c r="N85" i="10"/>
  <c r="N17" i="10"/>
  <c r="N13" i="10"/>
  <c r="N31" i="10"/>
  <c r="N69" i="10"/>
  <c r="N76" i="10"/>
  <c r="N29" i="10"/>
  <c r="N74" i="10"/>
  <c r="N94" i="10"/>
  <c r="N81" i="10"/>
  <c r="N93" i="10"/>
  <c r="N87" i="10"/>
  <c r="N78" i="10"/>
  <c r="N75" i="10"/>
  <c r="N82" i="10"/>
  <c r="N16" i="10"/>
  <c r="N38" i="10"/>
  <c r="N22" i="10"/>
  <c r="N21" i="10"/>
  <c r="N80" i="10"/>
  <c r="N47" i="10"/>
  <c r="N35" i="10"/>
  <c r="N59" i="10"/>
  <c r="N90" i="10"/>
  <c r="N83" i="10"/>
  <c r="N41" i="10"/>
  <c r="N91" i="10"/>
  <c r="N15" i="10"/>
  <c r="AR101" i="10"/>
  <c r="AY101" i="10"/>
  <c r="AN12" i="10"/>
  <c r="AH12" i="10"/>
  <c r="AC12" i="10"/>
  <c r="X12" i="10"/>
  <c r="S12" i="10"/>
  <c r="AU12" i="10"/>
  <c r="BI12" i="10"/>
  <c r="CD12" i="10"/>
  <c r="BP12" i="10"/>
  <c r="BB12" i="10"/>
  <c r="BW12" i="10"/>
  <c r="V101" i="10"/>
  <c r="Q101" i="10"/>
  <c r="AF101" i="10"/>
  <c r="AK101" i="10"/>
  <c r="BB101" i="10" l="1"/>
  <c r="AU101" i="10"/>
  <c r="AH101" i="10"/>
  <c r="AC101" i="10"/>
  <c r="S101" i="10"/>
  <c r="AN101" i="10"/>
  <c r="X101" i="10"/>
  <c r="BP101" i="10"/>
  <c r="CD101" i="10"/>
  <c r="BW101"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34A621C-CE19-4888-A5D9-DFDB6D5B6FE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E8064C5-0CBA-4CD1-B2B9-3DF12DA6154B}" name="WorksheetConnection_AllData" type="102" refreshedVersion="8" minRefreshableVersion="5">
    <extLst>
      <ext xmlns:x15="http://schemas.microsoft.com/office/spreadsheetml/2010/11/main" uri="{DE250136-89BD-433C-8126-D09CA5730AF9}">
        <x15:connection id="AllData">
          <x15:rangePr sourceName="_xlcn.WorksheetConnection_AllData"/>
        </x15:connection>
      </ext>
    </extLst>
  </connection>
  <connection id="3" xr16:uid="{74C837A9-90F1-4BB6-81E9-6982EB9FF9C0}" name="WorksheetConnection_AllDataMap" type="102" refreshedVersion="8" minRefreshableVersion="5">
    <extLst>
      <ext xmlns:x15="http://schemas.microsoft.com/office/spreadsheetml/2010/11/main" uri="{DE250136-89BD-433C-8126-D09CA5730AF9}">
        <x15:connection id="AllDataMap">
          <x15:rangePr sourceName="_xlcn.WorksheetConnection_AllDataMap"/>
        </x15:connection>
      </ext>
    </extLst>
  </connection>
  <connection id="4" xr16:uid="{9DD929D0-D1A8-4FA6-AA21-8B6CB2A0CC59}" name="WorksheetConnection_Code for MapCustomiser!$A$1:$C$67" type="102" refreshedVersion="8" minRefreshableVersion="5">
    <extLst>
      <ext xmlns:x15="http://schemas.microsoft.com/office/spreadsheetml/2010/11/main" uri="{DE250136-89BD-433C-8126-D09CA5730AF9}">
        <x15:connection id="Range">
          <x15:rangePr sourceName="_xlcn.WorksheetConnection_CodeforMapCustomiserA1C67"/>
        </x15:connection>
      </ext>
    </extLst>
  </connection>
  <connection id="5" xr16:uid="{438D44EA-00EF-4797-8978-E9B54DE0B404}" name="WorksheetConnection_Excel 3D Map!$A$1:$I$67" type="102" refreshedVersion="8" minRefreshableVersion="5">
    <extLst>
      <ext xmlns:x15="http://schemas.microsoft.com/office/spreadsheetml/2010/11/main" uri="{DE250136-89BD-433C-8126-D09CA5730AF9}">
        <x15:connection id="Range 3">
          <x15:rangePr sourceName="_xlcn.WorksheetConnection_Excel3DMapA1I67"/>
        </x15:connection>
      </ext>
    </extLst>
  </connection>
  <connection id="6" xr16:uid="{9EC45D93-403B-4692-9E35-C3FA4F1EC4D5}" name="WorksheetConnection_Tables!$B$11:$D$77" type="102" refreshedVersion="8" minRefreshableVersion="5">
    <extLst>
      <ext xmlns:x15="http://schemas.microsoft.com/office/spreadsheetml/2010/11/main" uri="{DE250136-89BD-433C-8126-D09CA5730AF9}">
        <x15:connection id="Range 1">
          <x15:rangePr sourceName="_xlcn.WorksheetConnection_TablesB11D77"/>
        </x15:connection>
      </ext>
    </extLst>
  </connection>
  <connection id="7" xr16:uid="{1865A49F-0863-4DAD-BA0F-C8AC886B25B1}" name="WorksheetConnection_Tables!$H$11:$H$77" type="102" refreshedVersion="8" minRefreshableVersion="5">
    <extLst>
      <ext xmlns:x15="http://schemas.microsoft.com/office/spreadsheetml/2010/11/main" uri="{DE250136-89BD-433C-8126-D09CA5730AF9}">
        <x15:connection id="Range 2">
          <x15:rangePr sourceName="_xlcn.WorksheetConnection_TablesH11H77"/>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6">
    <bk>
      <extLst>
        <ext uri="{3e2802c4-a4d2-4d8b-9148-e3be6c30e623}">
          <xlrd:rvb i="0"/>
        </ext>
      </extLst>
    </bk>
    <bk>
      <extLst>
        <ext uri="{3e2802c4-a4d2-4d8b-9148-e3be6c30e623}">
          <xlrd:rvb i="61"/>
        </ext>
      </extLst>
    </bk>
    <bk>
      <extLst>
        <ext uri="{3e2802c4-a4d2-4d8b-9148-e3be6c30e623}">
          <xlrd:rvb i="74"/>
        </ext>
      </extLst>
    </bk>
    <bk>
      <extLst>
        <ext uri="{3e2802c4-a4d2-4d8b-9148-e3be6c30e623}">
          <xlrd:rvb i="79"/>
        </ext>
      </extLst>
    </bk>
    <bk>
      <extLst>
        <ext uri="{3e2802c4-a4d2-4d8b-9148-e3be6c30e623}">
          <xlrd:rvb i="89"/>
        </ext>
      </extLst>
    </bk>
    <bk>
      <extLst>
        <ext uri="{3e2802c4-a4d2-4d8b-9148-e3be6c30e623}">
          <xlrd:rvb i="96"/>
        </ext>
      </extLst>
    </bk>
    <bk>
      <extLst>
        <ext uri="{3e2802c4-a4d2-4d8b-9148-e3be6c30e623}">
          <xlrd:rvb i="105"/>
        </ext>
      </extLst>
    </bk>
    <bk>
      <extLst>
        <ext uri="{3e2802c4-a4d2-4d8b-9148-e3be6c30e623}">
          <xlrd:rvb i="111"/>
        </ext>
      </extLst>
    </bk>
    <bk>
      <extLst>
        <ext uri="{3e2802c4-a4d2-4d8b-9148-e3be6c30e623}">
          <xlrd:rvb i="119"/>
        </ext>
      </extLst>
    </bk>
    <bk>
      <extLst>
        <ext uri="{3e2802c4-a4d2-4d8b-9148-e3be6c30e623}">
          <xlrd:rvb i="128"/>
        </ext>
      </extLst>
    </bk>
    <bk>
      <extLst>
        <ext uri="{3e2802c4-a4d2-4d8b-9148-e3be6c30e623}">
          <xlrd:rvb i="135"/>
        </ext>
      </extLst>
    </bk>
    <bk>
      <extLst>
        <ext uri="{3e2802c4-a4d2-4d8b-9148-e3be6c30e623}">
          <xlrd:rvb i="62"/>
        </ext>
      </extLst>
    </bk>
    <bk>
      <extLst>
        <ext uri="{3e2802c4-a4d2-4d8b-9148-e3be6c30e623}">
          <xlrd:rvb i="142"/>
        </ext>
      </extLst>
    </bk>
    <bk>
      <extLst>
        <ext uri="{3e2802c4-a4d2-4d8b-9148-e3be6c30e623}">
          <xlrd:rvb i="149"/>
        </ext>
      </extLst>
    </bk>
    <bk>
      <extLst>
        <ext uri="{3e2802c4-a4d2-4d8b-9148-e3be6c30e623}">
          <xlrd:rvb i="156"/>
        </ext>
      </extLst>
    </bk>
    <bk>
      <extLst>
        <ext uri="{3e2802c4-a4d2-4d8b-9148-e3be6c30e623}">
          <xlrd:rvb i="164"/>
        </ext>
      </extLst>
    </bk>
    <bk>
      <extLst>
        <ext uri="{3e2802c4-a4d2-4d8b-9148-e3be6c30e623}">
          <xlrd:rvb i="171"/>
        </ext>
      </extLst>
    </bk>
    <bk>
      <extLst>
        <ext uri="{3e2802c4-a4d2-4d8b-9148-e3be6c30e623}">
          <xlrd:rvb i="178"/>
        </ext>
      </extLst>
    </bk>
    <bk>
      <extLst>
        <ext uri="{3e2802c4-a4d2-4d8b-9148-e3be6c30e623}">
          <xlrd:rvb i="185"/>
        </ext>
      </extLst>
    </bk>
    <bk>
      <extLst>
        <ext uri="{3e2802c4-a4d2-4d8b-9148-e3be6c30e623}">
          <xlrd:rvb i="192"/>
        </ext>
      </extLst>
    </bk>
    <bk>
      <extLst>
        <ext uri="{3e2802c4-a4d2-4d8b-9148-e3be6c30e623}">
          <xlrd:rvb i="199"/>
        </ext>
      </extLst>
    </bk>
    <bk>
      <extLst>
        <ext uri="{3e2802c4-a4d2-4d8b-9148-e3be6c30e623}">
          <xlrd:rvb i="206"/>
        </ext>
      </extLst>
    </bk>
    <bk>
      <extLst>
        <ext uri="{3e2802c4-a4d2-4d8b-9148-e3be6c30e623}">
          <xlrd:rvb i="214"/>
        </ext>
      </extLst>
    </bk>
    <bk>
      <extLst>
        <ext uri="{3e2802c4-a4d2-4d8b-9148-e3be6c30e623}">
          <xlrd:rvb i="221"/>
        </ext>
      </extLst>
    </bk>
    <bk>
      <extLst>
        <ext uri="{3e2802c4-a4d2-4d8b-9148-e3be6c30e623}">
          <xlrd:rvb i="227"/>
        </ext>
      </extLst>
    </bk>
    <bk>
      <extLst>
        <ext uri="{3e2802c4-a4d2-4d8b-9148-e3be6c30e623}">
          <xlrd:rvb i="232"/>
        </ext>
      </extLst>
    </bk>
    <bk>
      <extLst>
        <ext uri="{3e2802c4-a4d2-4d8b-9148-e3be6c30e623}">
          <xlrd:rvb i="239"/>
        </ext>
      </extLst>
    </bk>
    <bk>
      <extLst>
        <ext uri="{3e2802c4-a4d2-4d8b-9148-e3be6c30e623}">
          <xlrd:rvb i="245"/>
        </ext>
      </extLst>
    </bk>
    <bk>
      <extLst>
        <ext uri="{3e2802c4-a4d2-4d8b-9148-e3be6c30e623}">
          <xlrd:rvb i="252"/>
        </ext>
      </extLst>
    </bk>
    <bk>
      <extLst>
        <ext uri="{3e2802c4-a4d2-4d8b-9148-e3be6c30e623}">
          <xlrd:rvb i="258"/>
        </ext>
      </extLst>
    </bk>
    <bk>
      <extLst>
        <ext uri="{3e2802c4-a4d2-4d8b-9148-e3be6c30e623}">
          <xlrd:rvb i="265"/>
        </ext>
      </extLst>
    </bk>
    <bk>
      <extLst>
        <ext uri="{3e2802c4-a4d2-4d8b-9148-e3be6c30e623}">
          <xlrd:rvb i="272"/>
        </ext>
      </extLst>
    </bk>
    <bk>
      <extLst>
        <ext uri="{3e2802c4-a4d2-4d8b-9148-e3be6c30e623}">
          <xlrd:rvb i="278"/>
        </ext>
      </extLst>
    </bk>
    <bk>
      <extLst>
        <ext uri="{3e2802c4-a4d2-4d8b-9148-e3be6c30e623}">
          <xlrd:rvb i="285"/>
        </ext>
      </extLst>
    </bk>
    <bk>
      <extLst>
        <ext uri="{3e2802c4-a4d2-4d8b-9148-e3be6c30e623}">
          <xlrd:rvb i="291"/>
        </ext>
      </extLst>
    </bk>
    <bk>
      <extLst>
        <ext uri="{3e2802c4-a4d2-4d8b-9148-e3be6c30e623}">
          <xlrd:rvb i="298"/>
        </ext>
      </extLst>
    </bk>
  </futureMetadata>
  <cellMetadata count="1">
    <bk>
      <rc t="1" v="0"/>
    </bk>
  </cellMetadata>
  <valueMetadata count="36">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valueMetadata>
</metadata>
</file>

<file path=xl/sharedStrings.xml><?xml version="1.0" encoding="utf-8"?>
<sst xmlns="http://schemas.openxmlformats.org/spreadsheetml/2006/main" count="13528" uniqueCount="3673">
  <si>
    <t>EC UUID</t>
  </si>
  <si>
    <t>Date</t>
  </si>
  <si>
    <t>Season</t>
  </si>
  <si>
    <t>Year</t>
  </si>
  <si>
    <t>Time</t>
  </si>
  <si>
    <t>Time of Day</t>
  </si>
  <si>
    <t>Volunteer</t>
  </si>
  <si>
    <t>Site Name</t>
  </si>
  <si>
    <t>District</t>
  </si>
  <si>
    <t>Town</t>
  </si>
  <si>
    <t>River</t>
  </si>
  <si>
    <t>Location Name</t>
  </si>
  <si>
    <t>Latitude</t>
  </si>
  <si>
    <t>Longitude</t>
  </si>
  <si>
    <t>Above or Below CSO</t>
  </si>
  <si>
    <t>Electrical Conductivity (Micros)</t>
  </si>
  <si>
    <t>Water Temp (deg C)</t>
  </si>
  <si>
    <t>Nitrate (PPM)</t>
  </si>
  <si>
    <t>Nitrate Pollution Category</t>
  </si>
  <si>
    <t>Phosphate (PPM)</t>
  </si>
  <si>
    <t>Phosphate Pollution Category</t>
  </si>
  <si>
    <t>River Height</t>
  </si>
  <si>
    <t>Comments</t>
  </si>
  <si>
    <t>6ed071cd-45fd-4875-8cd6-450bf52aa8cb</t>
  </si>
  <si>
    <t>Abbey mill</t>
  </si>
  <si>
    <t>N/A</t>
  </si>
  <si>
    <t>f4ef2256-af96-4f64-a6d8-ceee237ca5ef</t>
  </si>
  <si>
    <t>Abbey Mill</t>
  </si>
  <si>
    <t>Heavy rain night before</t>
  </si>
  <si>
    <t>a0cc23bb-7d8c-4571-8157-2d0ef58f61d0</t>
  </si>
  <si>
    <t>Twyning fleet</t>
  </si>
  <si>
    <t>Below</t>
  </si>
  <si>
    <t>Overnight rain</t>
  </si>
  <si>
    <t>c55c84cd-5ff1-412b-ad2a-dd08ef95f200</t>
  </si>
  <si>
    <t>Na</t>
  </si>
  <si>
    <t>b6891147-dc9b-41c9-a2d6-6968f644f703</t>
  </si>
  <si>
    <t>Hampton Wood</t>
  </si>
  <si>
    <t>Recent heavy rain</t>
  </si>
  <si>
    <t>01525da3-924e-4390-89af-a8800931128f</t>
  </si>
  <si>
    <t>Hampton Lucy</t>
  </si>
  <si>
    <t>d68e83ca-6e5b-42df-a0ed-4690e321a2bc</t>
  </si>
  <si>
    <t>Welford Boat Station</t>
  </si>
  <si>
    <t>0ef93e7c-b600-4737-8350-3642f0fa5ebb</t>
  </si>
  <si>
    <t>Weston on Avon</t>
  </si>
  <si>
    <t>Recent rain</t>
  </si>
  <si>
    <t>ff26a779-a533-4993-9a3d-843bffed6f4e</t>
  </si>
  <si>
    <t>b253354f-f980-4246-997b-3eaf71f60bed</t>
  </si>
  <si>
    <t>River level up</t>
  </si>
  <si>
    <t>d69491ee-8874-4f31-aacd-9be8661e0b93</t>
  </si>
  <si>
    <t>River level up, recent persistent rainfall</t>
  </si>
  <si>
    <t>d7a20ea7-ff8e-4286-b6f7-1d7422c8dc96</t>
  </si>
  <si>
    <t>Barton</t>
  </si>
  <si>
    <t>Recent rain, river up</t>
  </si>
  <si>
    <t>257f6381-de53-42a1-bab6-fe9f0b117aa0</t>
  </si>
  <si>
    <t>River up recent rain</t>
  </si>
  <si>
    <t>3821b560-ac71-4948-8687-5c108d83cbde</t>
  </si>
  <si>
    <t>Twyning Fleet</t>
  </si>
  <si>
    <t>No rain for 24 hours</t>
  </si>
  <si>
    <t>22a4cc33-34d7-4fed-9c34-614c31334e0a</t>
  </si>
  <si>
    <t>ed9be5c9-edb7-4ad0-ba12-eec02f3924e8</t>
  </si>
  <si>
    <t>Recent heavy rain, river up</t>
  </si>
  <si>
    <t>af14d607-196b-495a-bd78-6f0bb09961a7</t>
  </si>
  <si>
    <t>87320fc3-299b-4125-8145-5b5b42cb3f39</t>
  </si>
  <si>
    <t>Slight rain period</t>
  </si>
  <si>
    <t>cc4830d9-6616-4d87-bb68-f1cbd984807e</t>
  </si>
  <si>
    <t>Rain</t>
  </si>
  <si>
    <t>641baca1-69b1-46ce-8b68-ef76e812053f</t>
  </si>
  <si>
    <t>Avonbank Drive</t>
  </si>
  <si>
    <t>Above</t>
  </si>
  <si>
    <t>Nitrites zero</t>
  </si>
  <si>
    <t>c289325c-e4ce-4658-a15b-58e53567bcd6</t>
  </si>
  <si>
    <t>Pitch 16</t>
  </si>
  <si>
    <t>Nitrite zero</t>
  </si>
  <si>
    <t>04705aae-02a3-4d7c-86bb-d289bf72f9a1</t>
  </si>
  <si>
    <t>6f8aac89-5e80-4193-97f4-940bd1cae727</t>
  </si>
  <si>
    <t>1d7efa85-fdfa-4911-ac48-c2996ce570a9</t>
  </si>
  <si>
    <t>a139e5f8-2568-4632-b572-20c71197e869</t>
  </si>
  <si>
    <t>500dc2ae-8a76-4294-aaf3-2c4ea95ce1a3</t>
  </si>
  <si>
    <t>1a5bf170-f294-4dab-a6aa-1b960f341b04</t>
  </si>
  <si>
    <t>c2bf2c75-7240-438e-9523-3069f22fd502</t>
  </si>
  <si>
    <t>Mod rain 2 days before</t>
  </si>
  <si>
    <t>fe878346-e8e5-4fe8-a2ef-2a96edd3ebc6</t>
  </si>
  <si>
    <t>044a1787-e7c8-4e65-8cf2-327cf840cc90</t>
  </si>
  <si>
    <t>Rainy day</t>
  </si>
  <si>
    <t>e4c50923-d8fd-42f6-aa0c-d1283da57bb0</t>
  </si>
  <si>
    <t>Swillgate A38</t>
  </si>
  <si>
    <t>9dd01429-9938-4955-99d9-2b00ef8772fc</t>
  </si>
  <si>
    <t>Air temp 22.0C</t>
  </si>
  <si>
    <t>049b517d-96ed-401c-83f3-bb85b4119f7f</t>
  </si>
  <si>
    <t>Air temp 20.4C</t>
  </si>
  <si>
    <t>f06abadc-cffb-46b2-90c4-bf62dab1d467</t>
  </si>
  <si>
    <t>Carrant Bredon rd</t>
  </si>
  <si>
    <t>f9f101f9-5e04-4344-b569-6107169e2e5a</t>
  </si>
  <si>
    <t>f67ab0de-4a10-4580-ae20-61aa4775ea05</t>
  </si>
  <si>
    <t>5b9811d1-9c8b-4f79-b179-89a432ab89fd</t>
  </si>
  <si>
    <t>74104bdd-3d24-4c1f-8d70-1f3ad35ec2b5</t>
  </si>
  <si>
    <t>1091ecb3-1dbe-4072-a76e-5ddf5f74e263</t>
  </si>
  <si>
    <t>Good weather</t>
  </si>
  <si>
    <t>c968c458-847b-4b97-9ea6-abb038149e0c</t>
  </si>
  <si>
    <t>4d4d0d95-a16a-4d7e-8a19-f630552ae11e</t>
  </si>
  <si>
    <t>109d5e15-a4e5-42b1-bbbb-cbfe613f4579</t>
  </si>
  <si>
    <t>48f70567-cdaa-44a3-a9f3-48da21469e75</t>
  </si>
  <si>
    <t>584e557c-49ba-4917-9d69-4c1caccd5cfc</t>
  </si>
  <si>
    <t>9ba82700-d5a6-11ee-bc34-7bdadb8024dc</t>
  </si>
  <si>
    <t>Avonbank</t>
  </si>
  <si>
    <t>66671370-d5a7-11ee-bc34-7bdadb8024dc</t>
  </si>
  <si>
    <t>66595e15-931f-4649-aa03-7eb9b9b3a889</t>
  </si>
  <si>
    <t>42262e65-3844-423a-b60c-94e77b94c258</t>
  </si>
  <si>
    <t>829c7a9c-2a5c-4618-89c9-9536e47d0a96</t>
  </si>
  <si>
    <t>54d8c716-7b4b-4a10-b7af-134877ef1673</t>
  </si>
  <si>
    <t>a3a6f1f0-e6c5-4317-a4be-8ab3b2a782f7</t>
  </si>
  <si>
    <t>19390f38-33bb-44c2-8bad-fa16a9c02fb1</t>
  </si>
  <si>
    <t>a8d5dfa9-564f-4bc2-b725-8326b886ea58</t>
  </si>
  <si>
    <t>69496ec7-e66d-4e43-927f-293cfc600852</t>
  </si>
  <si>
    <t>66a8bac9-97e6-4d80-8e16-5d0c5578223b</t>
  </si>
  <si>
    <t>67b272c8-cdfe-4791-923c-4ad2f96e0d15</t>
  </si>
  <si>
    <t>Dry day</t>
  </si>
  <si>
    <t>5634ba26-37cd-42cc-a4e2-bf2cd32144e7</t>
  </si>
  <si>
    <t>46d07d91-e86e-4ca4-8b80-bf8e8a969a50</t>
  </si>
  <si>
    <t>7c6698dc-54aa-4e44-b992-035c2b2e007a</t>
  </si>
  <si>
    <t>159457e7-de9b-4ca1-accb-41acf8da0741</t>
  </si>
  <si>
    <t>Talton Lodge</t>
  </si>
  <si>
    <t>fd2ba0ca-ee20-4359-8446-f84ec7be2466</t>
  </si>
  <si>
    <t>9da0a316-c8ad-4c11-86f6-1228f59a0725</t>
  </si>
  <si>
    <t>Stour Mill house Newbold</t>
  </si>
  <si>
    <t>River stour levelsv low</t>
  </si>
  <si>
    <t>f3fe33d0-6e6b-4631-b2eb-314106b412bf</t>
  </si>
  <si>
    <t>dc657287-9490-4f86-ba8c-420181d9799d</t>
  </si>
  <si>
    <t>Preston- on- stour.River bridge</t>
  </si>
  <si>
    <t>Slight drizzle falling.water height average.water sample taken,mid-stream.Flow rate- slow.</t>
  </si>
  <si>
    <t>1f121ae4-9ec4-4998-aeec-fccc36d4ac54</t>
  </si>
  <si>
    <t>a975abe0-d5a7-11ee-bc34-7bdadb8024dc</t>
  </si>
  <si>
    <t>08841540-d5a8-11ee-bc34-7bdadb8024dc</t>
  </si>
  <si>
    <t>6a96a3c3-3366-4e2f-b96b-93c4a1445c17</t>
  </si>
  <si>
    <t>dc33693c-593c-4326-939e-b84448cad98f</t>
  </si>
  <si>
    <t>517dc94f-9488-4c62-83af-39092ae41367</t>
  </si>
  <si>
    <t>3e6083f7-549f-40c1-9686-551580a6a90d</t>
  </si>
  <si>
    <t>01ec9871-3da1-4ff6-9a9b-805938c26770</t>
  </si>
  <si>
    <t>Calm - sunny - warm</t>
  </si>
  <si>
    <t>ff92751b-bfdc-420a-a829-67658b39ede1</t>
  </si>
  <si>
    <t>cc9edb2c-ddcf-4cbc-9a53-88cafda2642d</t>
  </si>
  <si>
    <t>Newbold Mill Stour</t>
  </si>
  <si>
    <t>Hot dry day 30C</t>
  </si>
  <si>
    <t>b8af2216-8351-4bc0-96b1-f9fdd2701644</t>
  </si>
  <si>
    <t>No phosphate test</t>
  </si>
  <si>
    <t>991eb9da-4b4f-4219-aca2-ace328ed78cc</t>
  </si>
  <si>
    <t>Preston- on- stour river bridge</t>
  </si>
  <si>
    <t>Outside temp 28c.mid river readings.still water.</t>
  </si>
  <si>
    <t>9be8c473-7a1f-4891-8ee0-2498d806ae79</t>
  </si>
  <si>
    <t>2ee360ba-cbe7-43f5-a3b5-59a49c43c793</t>
  </si>
  <si>
    <t>7040ea96-dbd0-437b-896f-18c654dff538</t>
  </si>
  <si>
    <t>d2a0f436-1fb5-45c4-9eb7-2190a13390d2</t>
  </si>
  <si>
    <t>962212ed-108d-41e0-a70e-37594a764c44</t>
  </si>
  <si>
    <t>3e565480-7013-4aec-97f1-4d8a7c44add1</t>
  </si>
  <si>
    <t>78fcc4e8-7025-4426-aa2d-8c263736fd78</t>
  </si>
  <si>
    <t>Stour Shipston bridge</t>
  </si>
  <si>
    <t>9cb85a1c-7267-49cd-8588-fc889f2c734b</t>
  </si>
  <si>
    <t>Stour, Mill House, Newbold</t>
  </si>
  <si>
    <t>1m below</t>
  </si>
  <si>
    <t>Heavy rain day before</t>
  </si>
  <si>
    <t>8f28044a-e54b-4286-9137-48536f4b8882</t>
  </si>
  <si>
    <t>Stour Bridge Shipston</t>
  </si>
  <si>
    <t>15m below</t>
  </si>
  <si>
    <t>0d83ac4c-a020-42cf-a098-61d39c624f96</t>
  </si>
  <si>
    <t>Preston river bridge</t>
  </si>
  <si>
    <t>Significant rainfall on 12 sept.</t>
  </si>
  <si>
    <t>f20ea913-9b8f-4e6b-884d-3f349678f523</t>
  </si>
  <si>
    <t>Overcast, occasional light rain</t>
  </si>
  <si>
    <t>d5d336de-b7dc-46f9-8499-7f11d49e7999</t>
  </si>
  <si>
    <t>43657ec0-b0a0-4485-b17f-d0199fba3b2b</t>
  </si>
  <si>
    <t>f847e8b9-d500-46e6-a4bd-969804a98039</t>
  </si>
  <si>
    <t>1c11bb32-ddf8-4c54-816f-e625d8887e3d</t>
  </si>
  <si>
    <t>e2f82034-8ee4-4122-91ce-c7d64c3a5591</t>
  </si>
  <si>
    <t>11f2d041-375d-4856-b733-44cd2786e013</t>
  </si>
  <si>
    <t>d13bb693-ba94-4d86-bcb9-66ebe621057c</t>
  </si>
  <si>
    <t>c7b8aee9-61a9-448f-a82a-5010cda6421b</t>
  </si>
  <si>
    <t>Light rain</t>
  </si>
  <si>
    <t>cb69ec20-772c-4f22-b2f5-9e66d2fd9b93</t>
  </si>
  <si>
    <t>Nitrate test failure, awaiting new equipment</t>
  </si>
  <si>
    <t>420affce-963a-4dba-89c1-85a53205aa79</t>
  </si>
  <si>
    <t>Heavy rainfall</t>
  </si>
  <si>
    <t>a76600a3-5b04-4f75-8a13-8b898ea5626b</t>
  </si>
  <si>
    <t>a63678f1-9874-467e-a5fd-ca5ae6072f1c</t>
  </si>
  <si>
    <t>806410c6-cab8-4bf5-a8f1-b46cea828067</t>
  </si>
  <si>
    <t>Preston onStour river bridge</t>
  </si>
  <si>
    <t>Readings taken day after heavy rain</t>
  </si>
  <si>
    <t>42cb884c-ccab-4725-b69c-b606fec57942</t>
  </si>
  <si>
    <t>Nitrite was zero</t>
  </si>
  <si>
    <t>074a8767-e1b3-4ac2-af1c-ba16d9a758d2</t>
  </si>
  <si>
    <t>8deb2403-cfd2-4330-959d-cca9b336fa07</t>
  </si>
  <si>
    <t>The Dell, TRINITY CHURCH</t>
  </si>
  <si>
    <t>Unknown</t>
  </si>
  <si>
    <t>One off test for the local paper</t>
  </si>
  <si>
    <t>375f367c-ce94-4904-9f51-95f00d5ce208</t>
  </si>
  <si>
    <t>0b0862c1-004c-496b-b3d1-43fc3a12b057</t>
  </si>
  <si>
    <t>9940d247-c159-4f66-b2cb-cc8c870f3d35</t>
  </si>
  <si>
    <t>Readings taken day after heavy rain showers.</t>
  </si>
  <si>
    <t>78be5301-6322-4227-b2aa-52e7e068ec92</t>
  </si>
  <si>
    <t>519734b0-d5a8-11ee-bc34-7bdadb8024dc</t>
  </si>
  <si>
    <t>966b4ae0-d5a8-11ee-bc34-7bdadb8024dc</t>
  </si>
  <si>
    <t>43321018-eab5-46c6-abae-e3960f788a59</t>
  </si>
  <si>
    <t>61bf3403-5bbf-40a5-b116-1e742085808c</t>
  </si>
  <si>
    <t>Stour, Mill Bridge, Shipston</t>
  </si>
  <si>
    <t>30m below</t>
  </si>
  <si>
    <t>9f9f1eaa-2ad7-47ac-8cdd-935dd9af0f6c</t>
  </si>
  <si>
    <t>Mill Stour Newbold</t>
  </si>
  <si>
    <t>88a978e6-d8fb-4c5e-8596-9217373f256b</t>
  </si>
  <si>
    <t>3399fa21-f6b5-4935-b46b-0e1178d30cdf</t>
  </si>
  <si>
    <t>River height slightly elevated</t>
  </si>
  <si>
    <t>f188a315-9a23-468e-a7cd-a199fb41d5e5</t>
  </si>
  <si>
    <t>Illmington middle st</t>
  </si>
  <si>
    <t>51c48674-7f99-41c4-8940-55aab9ed0f42</t>
  </si>
  <si>
    <t>Lucy's Mill Bridge</t>
  </si>
  <si>
    <t>90dce08d-c7f3-48df-bf96-1b07787b9f06</t>
  </si>
  <si>
    <t>dfc672e4-8cf7-4838-af51-5f31049c330e</t>
  </si>
  <si>
    <t>8c09afbc-b831-45ef-b78a-e7e93eb60496</t>
  </si>
  <si>
    <t>8c82a6ed-a29e-4e8e-9c8c-c6551a01ba30</t>
  </si>
  <si>
    <t>0338fdc0-d5a9-11ee-bc34-7bdadb8024dc</t>
  </si>
  <si>
    <t>4be237d0-d5a9-11ee-bc34-7bdadb8024dc</t>
  </si>
  <si>
    <t>efbb770e-c45d-4bf3-8c6e-f896cf34b8f0</t>
  </si>
  <si>
    <t>785a0237-fc41-4757-bf46-7ef3f141146e</t>
  </si>
  <si>
    <t>c9125da6-fdbc-44eb-aca6-8b0b6f7ac88b</t>
  </si>
  <si>
    <t>Stour, Mill Newbold</t>
  </si>
  <si>
    <t>Heavy rain this am, but 1st for a while</t>
  </si>
  <si>
    <t>e5489438-fbb3-43bd-821a-9a7432397e7b</t>
  </si>
  <si>
    <t>Stour Shipston Mill bridge</t>
  </si>
  <si>
    <t>1st rain for a while</t>
  </si>
  <si>
    <t>d9a9caac-8d2d-4efd-b326-b3498b47e6a8</t>
  </si>
  <si>
    <t>Heavy rain overnight</t>
  </si>
  <si>
    <t>4035417c-d232-446a-9792-b6004802cb60</t>
  </si>
  <si>
    <t>Preston River bridge</t>
  </si>
  <si>
    <t>Readings taken the day after sustained rainfall.</t>
  </si>
  <si>
    <t>77da4ce6-896b-4de9-a57e-4445f78bfaa8</t>
  </si>
  <si>
    <t>Rain overnight</t>
  </si>
  <si>
    <t>d8905c11-d763-4b07-916d-6121063bf27d</t>
  </si>
  <si>
    <t>Cloudy muddy water. Nitrite zero.</t>
  </si>
  <si>
    <t>e6e2689b-d66e-4b78-b856-41c3438e3c1f</t>
  </si>
  <si>
    <t>f44c9eb5-bf6d-4f36-92e3-2e6a3a6bc30f</t>
  </si>
  <si>
    <t>Heavy rain</t>
  </si>
  <si>
    <t>ebff985e-6d41-4f09-9277-f3a4fe08e97c</t>
  </si>
  <si>
    <t>Heavy rain over night</t>
  </si>
  <si>
    <t>6670e8be-c5de-4d2d-9c5e-d0c064f667bb</t>
  </si>
  <si>
    <t>210526a8-153f-419d-a5a2-66a4042665c3</t>
  </si>
  <si>
    <t>Recent heavy rain, high river level</t>
  </si>
  <si>
    <t>81bedac2-d003-4550-a8a6-ceb144ce0707</t>
  </si>
  <si>
    <t>River up</t>
  </si>
  <si>
    <t>9138680a-729a-4aab-9e06-c326493fa0e0</t>
  </si>
  <si>
    <t>2 days rain, low temps</t>
  </si>
  <si>
    <t>135ea84a-e4e8-42a8-842a-7df1eb7f746a</t>
  </si>
  <si>
    <t>River high</t>
  </si>
  <si>
    <t>afe4d8d4-03ce-4bb7-aa07-45d5ac9c741b</t>
  </si>
  <si>
    <t>Clifford Chambers</t>
  </si>
  <si>
    <t>0bf43174-1b8c-4f1f-9cbb-793dc7c12935</t>
  </si>
  <si>
    <t>Wet and windy conditions</t>
  </si>
  <si>
    <t>d7063002-74ca-4dc6-ae2d-48c950474bcf</t>
  </si>
  <si>
    <t>48dd4415-8282-49c4-8be1-1873ac555b71</t>
  </si>
  <si>
    <t>Fairly consistant overnight rain</t>
  </si>
  <si>
    <t>181fbd61-8a30-458c-8033-f4cecacb0342</t>
  </si>
  <si>
    <t>River in flood, rainfall 60 mm in week up to 21/10 (my measurement close to sampling point</t>
  </si>
  <si>
    <t>8498d5bb-7e57-4e10-b44b-50fe752ea1d1</t>
  </si>
  <si>
    <t>Cloudy with heavy flooding</t>
  </si>
  <si>
    <t>9716305c-1c82-42a6-8aa0-a4ef562e7505</t>
  </si>
  <si>
    <t>a5557349-697c-41a3-aa31-150475eb0be9</t>
  </si>
  <si>
    <t>heavy rain, river high</t>
  </si>
  <si>
    <t>d4ec5169-2c4f-474a-9a7b-d3b75989cdda</t>
  </si>
  <si>
    <t>8e3dd0a6-e6cf-4ecb-b351-3799ee0da48b</t>
  </si>
  <si>
    <t>Clifford Chambers mill bridge</t>
  </si>
  <si>
    <t>River was in flood previous 2 days</t>
  </si>
  <si>
    <t>17164a2c-dc08-422b-a891-ae2d29b1bcb7</t>
  </si>
  <si>
    <t>e7a1f84c-5936-4fe3-8ccb-0df4246bf1f2</t>
  </si>
  <si>
    <t>River levels were very high on preceding days. On the 20th Oct Shipston gauge recorded 3.2m and the Mill Stour paddock  was completely submerged. This could account for the lower phosphate levels due to dilution effect of substantial rain fall.</t>
  </si>
  <si>
    <t>80b604d6-f670-4734-96ba-121858915922</t>
  </si>
  <si>
    <t>Flooding</t>
  </si>
  <si>
    <t>92c8867a-7ce2-4325-97f2-d83ba16f3296</t>
  </si>
  <si>
    <t>Preston river bridge.</t>
  </si>
  <si>
    <t>Some heavy rain over past few days</t>
  </si>
  <si>
    <t>95e18c00-d5a9-11ee-bc34-7bdadb8024dc</t>
  </si>
  <si>
    <t>d4540710-d5a9-11ee-bc34-7bdadb8024dc</t>
  </si>
  <si>
    <t>96090f29-fd2e-4abf-8bda-18bf913fb5c7</t>
  </si>
  <si>
    <t>High but falling.</t>
  </si>
  <si>
    <t>08ac030d-4455-4060-bfcb-e4a9d90380f0</t>
  </si>
  <si>
    <t>de8ca881-ffbc-4ca2-babe-9eaa9bf7fc32</t>
  </si>
  <si>
    <t>16521a20-cba5-4c5e-b3e5-e4fe6b7e728a</t>
  </si>
  <si>
    <t>2ba03779-8183-4ed4-a6b6-6597b7d51f73</t>
  </si>
  <si>
    <t>Rain the night before</t>
  </si>
  <si>
    <t>3634b7ae-9aa1-4e30-9571-06d3265094e3</t>
  </si>
  <si>
    <t>Swiffen Bank</t>
  </si>
  <si>
    <t>1caf13cd-200a-4a23-ba1a-b4634aec5846</t>
  </si>
  <si>
    <t>Alveston Weir</t>
  </si>
  <si>
    <t>8fb016f8-c0ba-4ecb-a6e4-041eb50c7642</t>
  </si>
  <si>
    <t>Falling floods, cloudy water</t>
  </si>
  <si>
    <t>ff580d46-1b49-4a24-820a-3699a3e913f4</t>
  </si>
  <si>
    <t>f6229593-01f2-45d6-b65a-230b3e483d31</t>
  </si>
  <si>
    <t>Floods</t>
  </si>
  <si>
    <t>897cabb8-10e8-4050-a7b2-537230639910</t>
  </si>
  <si>
    <t>River swollen,steady rainfall overnight</t>
  </si>
  <si>
    <t>d8501db5-3e92-4956-ad7e-02dd54e77320</t>
  </si>
  <si>
    <t>6322c611-ef17-419e-b07a-b1dcc787fd3d</t>
  </si>
  <si>
    <t>b18b967b-bf1d-4533-b271-baef20c3756c</t>
  </si>
  <si>
    <t>River height 0.99m. CSO gushing visibly as river level is above its outflow.</t>
  </si>
  <si>
    <t>59bfb2e7-e506-4569-904b-2c35835d25ad</t>
  </si>
  <si>
    <t>river high</t>
  </si>
  <si>
    <t>eb2117c9-e72a-40b3-aae7-99c136f2a6f3</t>
  </si>
  <si>
    <t>Flood, noticeable current</t>
  </si>
  <si>
    <t>233c0ac5-d98b-402c-9316-618f3f43793a</t>
  </si>
  <si>
    <t>4db7b3f7-7993-4cd0-b5dd-7717bc14ef96</t>
  </si>
  <si>
    <t>Rain day before</t>
  </si>
  <si>
    <t>253ceb35-5f3e-473f-8be2-414873c389bc</t>
  </si>
  <si>
    <t>Rain - river up, brown</t>
  </si>
  <si>
    <t>a8da563b-bed3-4ab9-9417-68e52e1e5467</t>
  </si>
  <si>
    <t>4cadf966-51ae-4bc8-801b-87bae5888a32</t>
  </si>
  <si>
    <t>No rain for 3 days, flood susiding</t>
  </si>
  <si>
    <t>da686336-e3e4-4d27-9229-08aa4e1ea5bc</t>
  </si>
  <si>
    <t>River starting to recede after overflowing following heavy rain</t>
  </si>
  <si>
    <t>b0f72158-ec32-4f28-8179-c163b971bde1</t>
  </si>
  <si>
    <t>14936ade-32e5-4893-bfd0-3f548a0fc805</t>
  </si>
  <si>
    <t>Overcast. Raining preceding day</t>
  </si>
  <si>
    <t>c7290f07-1070-43a7-b434-27d8c0788462</t>
  </si>
  <si>
    <t>e0d76c7c-4219-4f47-b880-25d50120bc02</t>
  </si>
  <si>
    <t>River level fairly high</t>
  </si>
  <si>
    <t>122e0892-aee7-489b-a5f1-e6009a4c540d</t>
  </si>
  <si>
    <t>Stour, Shipston, Mill bridge</t>
  </si>
  <si>
    <t>a742d9c3-c5e7-48e5-8916-6536bd256c38</t>
  </si>
  <si>
    <t>Stour, Cherington, bridge next to treatment plant</t>
  </si>
  <si>
    <t>f282b36f-7b7d-42b4-adaf-4ef6802b5aa6</t>
  </si>
  <si>
    <t>41df3fbe-236b-4dd0-bb57-f5ac9963f060</t>
  </si>
  <si>
    <t>c5b3f6d9-30a8-4213-b353-e5bc7a0bf332</t>
  </si>
  <si>
    <t>7812fd5e-977e-491b-87ec-7e153f110769</t>
  </si>
  <si>
    <t>Avonbank drive</t>
  </si>
  <si>
    <t>988ff23c-d3dd-4d09-a0cd-1c81a501deef</t>
  </si>
  <si>
    <t>633d5253-c5a1-4044-85f0-4af7a892150d</t>
  </si>
  <si>
    <t>5df15fd3-83c2-4908-b277-166e7e4fd608</t>
  </si>
  <si>
    <t>wet - river up, slow flow</t>
  </si>
  <si>
    <t>c217b04a-ea2f-442b-ae8e-c9954c0163e6</t>
  </si>
  <si>
    <t>Clifford mill bridge</t>
  </si>
  <si>
    <t>Some rain night before</t>
  </si>
  <si>
    <t>391c9c70-8794-11ee-914d-6b49437b7337</t>
  </si>
  <si>
    <t>Stour Stretton-on-Fosse sewage</t>
  </si>
  <si>
    <t>ddf41fd0-8793-11ee-914d-6b49437b7337</t>
  </si>
  <si>
    <t>Stour Stretton-on-Fosse village side</t>
  </si>
  <si>
    <t>b45fca82-8a42-4e47-81f5-01ba85913f4a</t>
  </si>
  <si>
    <t>d98f4eca-1824-4f76-b0cb-8cf16d73e032</t>
  </si>
  <si>
    <t>Dry. Rain on preceding days</t>
  </si>
  <si>
    <t>08d7d7ca-19e3-4ab3-8482-e62906f2aa1c</t>
  </si>
  <si>
    <t>Visible copious quantities white foam</t>
  </si>
  <si>
    <t>30eeb99c-dc1d-4c87-868a-57690e4ef7a0</t>
  </si>
  <si>
    <t>Floods receding</t>
  </si>
  <si>
    <t>3029cea9-cca6-456a-8c63-e8189adc38e5</t>
  </si>
  <si>
    <t>Fast flowing and swollen after sustained rainfall</t>
  </si>
  <si>
    <t>dcad51ed-7e2d-4870-90b8-9baf5a6501c3</t>
  </si>
  <si>
    <t>da0474af-e15b-43de-a655-c91d6d6cf338</t>
  </si>
  <si>
    <t>72696092-20b4-47e6-b6ed-5dc874d3f5ff</t>
  </si>
  <si>
    <t>20cdaa10-d5aa-11ee-bc34-7bdadb8024dc</t>
  </si>
  <si>
    <t>5e013c80-d5aa-11ee-bc34-7bdadb8024dc</t>
  </si>
  <si>
    <t>60aaa763-4ff9-4816-997b-44a7a431bfb6</t>
  </si>
  <si>
    <t>33ad9768-6294-4062-9d15-093a44f585f0</t>
  </si>
  <si>
    <t>c8616238-dab5-4aff-a4d7-6816734a772e</t>
  </si>
  <si>
    <t>60f36add-ea4b-4bb6-bb93-78e6a5aaed71</t>
  </si>
  <si>
    <t>8fff187f-bcf1-471c-af96-d00c00e8e1e7</t>
  </si>
  <si>
    <t>Wet, river up, fast flow</t>
  </si>
  <si>
    <t>6cb68667-2ffe-495f-a697-e3a017a395c0</t>
  </si>
  <si>
    <t>1f335672-8451-4b38-a7a4-7977d44c7eda</t>
  </si>
  <si>
    <t>90227f33-1e30-4e86-b50f-b6e6b071d8ce</t>
  </si>
  <si>
    <t>3dbef070-22d5-40fb-b68e-41a1833f3e4e</t>
  </si>
  <si>
    <t>Stour, Newbold, Mill</t>
  </si>
  <si>
    <t>New nitrate strips being used</t>
  </si>
  <si>
    <t>53c96d42-5bbe-4fa8-8d5c-fa67f4e447e1</t>
  </si>
  <si>
    <t>Stour, Newbold, millstream</t>
  </si>
  <si>
    <t>20m above</t>
  </si>
  <si>
    <t>Upstream with new nitrate strips</t>
  </si>
  <si>
    <t>9008626e-9af1-477d-b981-a2102e0a8598</t>
  </si>
  <si>
    <t>c237c586-c0cf-480a-b309-4e3ceebfaf24</t>
  </si>
  <si>
    <t>94b1240e-b71e-4971-905b-812a3b5f2dae</t>
  </si>
  <si>
    <t>River is quite a bit lower this week</t>
  </si>
  <si>
    <t>1b805132-3573-496c-8b3c-910181a08f22</t>
  </si>
  <si>
    <t>4f7816e0-0daa-4109-95d3-62d006ed352f</t>
  </si>
  <si>
    <t>e1abf9d7-4884-4a50-9dd9-b935563ca07f</t>
  </si>
  <si>
    <t>00c6b1c0-5fc1-4c89-b7bd-1952cf466e47</t>
  </si>
  <si>
    <t>8b1a5760-d38c-4d0b-afab-7879eaff055b</t>
  </si>
  <si>
    <t>0b91d7bc-ba28-4182-b202-fc7387c65e94</t>
  </si>
  <si>
    <t>d9731765-dca0-4b5f-9350-bb7760e87df4</t>
  </si>
  <si>
    <t>12350ba8-6e64-4500-90a8-48a2a6f6a5b1</t>
  </si>
  <si>
    <t>63d664c9-744b-48e7-a420-204e44133d89</t>
  </si>
  <si>
    <t>river down - slow flow</t>
  </si>
  <si>
    <t>756cdf58-bc67-43cd-a211-eb3d9448cf04</t>
  </si>
  <si>
    <t>Stour Stretton-on-Fosse Village side</t>
  </si>
  <si>
    <t>8b0d7c1a-0fc7-4dc5-91c2-3bb5d83ba62d</t>
  </si>
  <si>
    <t>1356f307-582f-4c81-84b7-e9546325680f</t>
  </si>
  <si>
    <t>ceb9be50-0616-4d1d-af4d-89c6ea72fe8e</t>
  </si>
  <si>
    <t>0b021b97-9d43-4ef8-a3fa-d1ff192ea184</t>
  </si>
  <si>
    <t>Dry sunny cold</t>
  </si>
  <si>
    <t>0002cd55-161b-49c4-b066-318afa8b3b46</t>
  </si>
  <si>
    <t>215f5837-a339-46f7-89e9-b8874652120e</t>
  </si>
  <si>
    <t>a92e3b40-d5aa-11ee-bc34-7bdadb8024dc</t>
  </si>
  <si>
    <t>df258a00-d5aa-11ee-bc34-7bdadb8024dc</t>
  </si>
  <si>
    <t>cb12f430-3801-427d-93fc-bf46147eabff</t>
  </si>
  <si>
    <t>e0b36504-61ec-40ed-90c3-ce6bf2abed7d</t>
  </si>
  <si>
    <t>26b01a1d-2012-4298-9aed-1288e2134e46</t>
  </si>
  <si>
    <t>dbfe05a5-494d-4a1b-b1eb-30dc7d3d0e7e</t>
  </si>
  <si>
    <t>Low surface foam</t>
  </si>
  <si>
    <t>daae94f3-2708-4192-a7c3-2e6d8976587a</t>
  </si>
  <si>
    <t>c0017d5b-205c-4065-94de-873d1cc85c13</t>
  </si>
  <si>
    <t>b4f0a4eb-a3ab-4ec6-9187-9120dbc8e7fa</t>
  </si>
  <si>
    <t>f4317780-a947-45da-ba54-9f2a7594efbd</t>
  </si>
  <si>
    <t>dcbd175a-6538-4f5c-9a53-53f68bd3a9f1</t>
  </si>
  <si>
    <t>Raim - river slightly up</t>
  </si>
  <si>
    <t>27e21a5b-4d52-4538-8d53-dd5761317e21</t>
  </si>
  <si>
    <t>0464ad52-0271-41bb-9dab-03f30e55a852</t>
  </si>
  <si>
    <t>a6c8ac4c-0605-411f-b35e-71f8f8254ab0</t>
  </si>
  <si>
    <t>There has been heavy rain a few days ago and the river has flooded</t>
  </si>
  <si>
    <t>8e337339-eecd-4685-8bf2-a085f6dc9801</t>
  </si>
  <si>
    <t>River flooded after heavy rainfall - farm opposite collection point flooded</t>
  </si>
  <si>
    <t>ffc6aff0-3f65-4ea8-ad2c-430ef18f2adc</t>
  </si>
  <si>
    <t>Wet weather</t>
  </si>
  <si>
    <t>337b3f1d-6c2c-4985-ade3-fdce87ef6aa4</t>
  </si>
  <si>
    <t>Swilgate A38</t>
  </si>
  <si>
    <t>heavy rain day before.</t>
  </si>
  <si>
    <t>a064518e-9cee-4efd-8998-602626c83ebd</t>
  </si>
  <si>
    <t>Tested 20metres from pitch 16 because it was underwater</t>
  </si>
  <si>
    <t>391d5add-c9e5-4ff9-8134-ec86ac0e6302</t>
  </si>
  <si>
    <t>d264a693-f51c-452d-959a-87929c1fe13d</t>
  </si>
  <si>
    <t>e12bb254-4f03-4df3-b62f-d0b8782d070f</t>
  </si>
  <si>
    <t>River swollen after heavy day/ night rain</t>
  </si>
  <si>
    <t>fca199ee-c7a5-400b-8542-77dfa21d85c0</t>
  </si>
  <si>
    <t>Stour Shipston Fell Mill Bridge</t>
  </si>
  <si>
    <t>River in flood up to bridge</t>
  </si>
  <si>
    <t>beb995be-7d75-468d-bf84-7113319a6f26</t>
  </si>
  <si>
    <t>Rain am</t>
  </si>
  <si>
    <t>46a08c95-64cf-4827-b125-21a300209d58</t>
  </si>
  <si>
    <t>Clifford Chambers Road bridge</t>
  </si>
  <si>
    <t>In flood</t>
  </si>
  <si>
    <t>b659bf6f-85a0-4f42-9370-c43ff6071239</t>
  </si>
  <si>
    <t>6d1d06a9-7dc1-46bc-903d-56518f6cbd62</t>
  </si>
  <si>
    <t>72fc7fda-5867-47d7-878c-3c8bfde5cab9</t>
  </si>
  <si>
    <t>696cbad9-0a47-491a-9d65-6c9c81418429</t>
  </si>
  <si>
    <t>Shipston - Mill Bridge</t>
  </si>
  <si>
    <t>47aec998-1e8b-475e-ac61-7b616990a281</t>
  </si>
  <si>
    <t>b8e2d122-ae9b-436f-a86a-2f7d6271823b</t>
  </si>
  <si>
    <t>5d9b2941-b82d-442c-9413-4127f0e2ba0c</t>
  </si>
  <si>
    <t>4a15214a-a5ec-4220-8a45-68db678d1012</t>
  </si>
  <si>
    <t>ca978dfa-e396-4ecd-b82b-960885370cc4</t>
  </si>
  <si>
    <t>Carrant Bredon road</t>
  </si>
  <si>
    <t>494332c2-53e6-475f-9f86-7b8e6d5fcfb3</t>
  </si>
  <si>
    <t>Flood receeding.</t>
  </si>
  <si>
    <t>201e0360-d9b9-4bc8-9e06-9d9c74adce20</t>
  </si>
  <si>
    <t>Swiffen bank</t>
  </si>
  <si>
    <t>6c13ec04-810d-4aba-b307-e10674926059</t>
  </si>
  <si>
    <t>1623c9b5-3ef3-4714-b93e-936e2dadd69e</t>
  </si>
  <si>
    <t>458049f2-7150-4a50-8d6f-53e3f75a96f8</t>
  </si>
  <si>
    <t>759068f4-afcb-4793-8e8b-9c8e614d59f7</t>
  </si>
  <si>
    <t>No rain</t>
  </si>
  <si>
    <t>6dab7b82-ceaa-4340-be37-adc242b7b38d</t>
  </si>
  <si>
    <t>792be88e-b97c-4371-8659-27b0db36df5a</t>
  </si>
  <si>
    <t>5fa119f9-f9be-43f3-ac3d-327b89029709</t>
  </si>
  <si>
    <t>78826b7e-c7f2-4896-afb6-774de138c34b</t>
  </si>
  <si>
    <t>130c4864-5896-4f84-b4f2-32bc27872af6</t>
  </si>
  <si>
    <t>10e79842-dbcb-4d36-9b58-7af6863111d3</t>
  </si>
  <si>
    <t>a2b8e44a-28ec-445e-a446-b20eee260f60</t>
  </si>
  <si>
    <t>Fair weather - river slow</t>
  </si>
  <si>
    <t>394d487e-49c6-475a-bf63-2ec9d997722f</t>
  </si>
  <si>
    <t>7c6b7589-c455-4cd6-809e-200b8e70e79a</t>
  </si>
  <si>
    <t>27916f8d-04c2-40f4-bfc7-163f2dd1da6b</t>
  </si>
  <si>
    <t>0d4f454f-b435-407a-b977-aeda83f3e985</t>
  </si>
  <si>
    <t>It's been raining a lot agai.but water is lower than previous week</t>
  </si>
  <si>
    <t>143ad04a-01b3-4d32-a673-90f03ed4fc5b</t>
  </si>
  <si>
    <t>Light rain, flood still receeding.</t>
  </si>
  <si>
    <t>68e8fa00-ef10-41df-93c5-903ce68cbc80</t>
  </si>
  <si>
    <t>Stour, Newbold, MillHouse</t>
  </si>
  <si>
    <t>Overcast, cold, rain yesterday</t>
  </si>
  <si>
    <t>dccf02f0-89e9-40f8-b04e-4cd151120355</t>
  </si>
  <si>
    <t>6671141a-3d3a-4fb9-947c-6bba558f488e</t>
  </si>
  <si>
    <t>b8a9a21d-e4fe-4ac8-89bf-26cc3d249e55</t>
  </si>
  <si>
    <t>624b0419-e5d1-4273-a8a1-4fb6c53faf7f</t>
  </si>
  <si>
    <t>8752acca-6a53-485d-a856-2c63b7a5e341</t>
  </si>
  <si>
    <t>c59177ea-ea1e-43b0-a39b-486ca9a79297</t>
  </si>
  <si>
    <t>71a66781-6df3-497f-bf69-1b546ed98c85</t>
  </si>
  <si>
    <t>5b084c83-a71d-42c7-9a55-56dc390cd169</t>
  </si>
  <si>
    <t>e32d44cd-cd69-448d-b727-914ee6830ce2</t>
  </si>
  <si>
    <t>Fladbury Paddle Club</t>
  </si>
  <si>
    <t>bcc05ac4-de12-468b-935a-52d717737127</t>
  </si>
  <si>
    <t>190a0496-7744-4544-9aad-27cfaeb59cb3</t>
  </si>
  <si>
    <t>f9020a2e-dc95-4e6b-a7cf-9c24856b4d26</t>
  </si>
  <si>
    <t>It's been heavy rain most days this week</t>
  </si>
  <si>
    <t>9b6b4334-c89e-4664-9db8-9e6cee39c634</t>
  </si>
  <si>
    <t>Heavy rain most of week ..flooded almost to steps</t>
  </si>
  <si>
    <t>5aac40f0-d010-40fa-bf3f-b4ad987322aa</t>
  </si>
  <si>
    <t>Swillgate</t>
  </si>
  <si>
    <t>Flooding and rain</t>
  </si>
  <si>
    <t>383776a5-186e-4210-b1ff-6394571d9505</t>
  </si>
  <si>
    <t>cc2e5a8d-6a98-42cb-860b-d4199b4d821c</t>
  </si>
  <si>
    <t>Folding</t>
  </si>
  <si>
    <t>d8919322-09fd-45e6-b804-4e2ab048cf8b</t>
  </si>
  <si>
    <t>3f550df0-ceb0-499b-bb07-f020a752940a</t>
  </si>
  <si>
    <t>River very swollen.Prolonged rain.</t>
  </si>
  <si>
    <t>c88b34d3-a7c1-449e-af5b-99446a1d0e7e</t>
  </si>
  <si>
    <t>Very heavy rain and flooding 2 days ago</t>
  </si>
  <si>
    <t>587966fd-9ee0-4102-8560-bda7a42b7f7f</t>
  </si>
  <si>
    <t>Heavy rain and flooding 2 days ago</t>
  </si>
  <si>
    <t>a0961b92-331f-4d1f-a340-3dc44c0c1166</t>
  </si>
  <si>
    <t>d094226a-4b44-405d-8d82-749d822147d0</t>
  </si>
  <si>
    <t>Fell Mill Lane Footbridge nr Sewage Works</t>
  </si>
  <si>
    <t>5f9fb9d2-b74f-4f32-827d-c976815401c0</t>
  </si>
  <si>
    <t>In flood previous week</t>
  </si>
  <si>
    <t>e92e9643-1a60-4d52-a735-1980660d96df</t>
  </si>
  <si>
    <t>1a0b108f-af6f-47fc-9848-a92c2a6f9ba4</t>
  </si>
  <si>
    <t>Air temp 5</t>
  </si>
  <si>
    <t>eb7b2e94-cf61-4e37-bd0e-d95e051c6d34</t>
  </si>
  <si>
    <t>Air temp 4.8</t>
  </si>
  <si>
    <t>8af81e3d-dd23-4206-afcd-ae4622dff424</t>
  </si>
  <si>
    <t>870699d2-2f19-4a54-8ae3-55797a9c8ec3</t>
  </si>
  <si>
    <t>f2f37a55-e682-4bea-874d-00b86245beef</t>
  </si>
  <si>
    <t>Flooded but falling. just within banks. V. Turbid</t>
  </si>
  <si>
    <t>c1784267-217a-4727-b0bd-e684876e1bb1</t>
  </si>
  <si>
    <t>b1b90b9b-a8fa-4432-bdd1-2297cf2085bb</t>
  </si>
  <si>
    <t>adaccdcb-75ce-42ab-9be7-39ce8509104b</t>
  </si>
  <si>
    <t>Flooding.</t>
  </si>
  <si>
    <t>6ca7bf78-c341-4438-87d0-8482c2bf144a</t>
  </si>
  <si>
    <t>30c9788a-0cfa-453e-a15a-14cd16c788fb</t>
  </si>
  <si>
    <t>df0e05ba-96e7-4b25-b040-1fd0da26e18a</t>
  </si>
  <si>
    <t>Cold and dry (flooding of area over previous 2 weeks)</t>
  </si>
  <si>
    <t>8050d985-c27e-4a63-ba12-515a6673f418</t>
  </si>
  <si>
    <t>Stour Willington</t>
  </si>
  <si>
    <t>9c395c72-7b9f-45c8-a40f-ba1d627d4e27</t>
  </si>
  <si>
    <t>03017726-cc5e-4ecb-b74c-f131f98e567f</t>
  </si>
  <si>
    <t>Significant flood receeding and lots of flood related debris.</t>
  </si>
  <si>
    <t>115cf91d-595b-4a77-869f-a33347325a95</t>
  </si>
  <si>
    <t>Flood receding, debris evident</t>
  </si>
  <si>
    <t>ac49420d-4876-4454-a84e-d174b813bc54</t>
  </si>
  <si>
    <t>No rain for 3 days</t>
  </si>
  <si>
    <t>19200398-892b-433d-8523-97ebdfa8b885</t>
  </si>
  <si>
    <t>The Ford, Langley</t>
  </si>
  <si>
    <t>Dry clear weather</t>
  </si>
  <si>
    <t>99f4e3d2-ddb9-479e-a297-cad7e96267a4</t>
  </si>
  <si>
    <t>Dry</t>
  </si>
  <si>
    <t>28ddec3d-18b9-4eb5-8082-e64718993631</t>
  </si>
  <si>
    <t>da80b7ed-22a8-40ec-83e8-22991936fad6</t>
  </si>
  <si>
    <t>Level dropped rapidly. Also a lot clearer</t>
  </si>
  <si>
    <t>f5fa4ac3-5a71-46a9-a902-46c719e53ed0</t>
  </si>
  <si>
    <t>Bell Brook 1</t>
  </si>
  <si>
    <t>Nitrite = 0</t>
  </si>
  <si>
    <t>6e948500-fdcc-4a41-80f1-71fe7e4f248e</t>
  </si>
  <si>
    <t>Sherbourne Brook 1</t>
  </si>
  <si>
    <t>Nitrite = 0.51</t>
  </si>
  <si>
    <t>dc9bd81c-a801-4135-b6f5-78eb4d39a259</t>
  </si>
  <si>
    <t>1f574aec-52f5-43d0-8934-22ff79f0808b</t>
  </si>
  <si>
    <t>2f80474e-dc0a-4d62-94f9-86474b9984b6</t>
  </si>
  <si>
    <t>a7476504-7fc6-4d0c-90ae-a759f36c0134</t>
  </si>
  <si>
    <t>2f2b42f7-dada-4659-9342-2ecc1955e576</t>
  </si>
  <si>
    <t>Stour Stretton-on-Fosse Village</t>
  </si>
  <si>
    <t>243c68e1-be2b-4696-82be-c9b72c802fa2</t>
  </si>
  <si>
    <t>Value exceeded limit of reader (2.50 flashing) . No obvious debris in sample, reading repeated, same result</t>
  </si>
  <si>
    <t>31739bce-9be5-4035-9f3f-0794cecfff5e</t>
  </si>
  <si>
    <t>9bf27c1c-b64d-4868-8938-703196dcb979</t>
  </si>
  <si>
    <t>6444e11c-237d-47cc-b6c8-1f397ccee063</t>
  </si>
  <si>
    <t>90405f01-247c-49bc-ba43-9633d0a7b2ec</t>
  </si>
  <si>
    <t>Dry and cloudy 5C</t>
  </si>
  <si>
    <t>92c29529-a704-4a95-8a7d-8d7551c7da81</t>
  </si>
  <si>
    <t>432be4ed-73e4-417c-8896-9cb43dbda9d8</t>
  </si>
  <si>
    <t>a6965d7f-fc8f-46fc-b7b3-d90c1effa274</t>
  </si>
  <si>
    <t>Lower lode</t>
  </si>
  <si>
    <t>f7e6466d-2cc7-42c7-a488-019dc534f389</t>
  </si>
  <si>
    <t>Langley Ford</t>
  </si>
  <si>
    <t>Dry clear day</t>
  </si>
  <si>
    <t>0da362ef-7dfa-4695-94b6-0cd7123f8bb0</t>
  </si>
  <si>
    <t>Dry all week</t>
  </si>
  <si>
    <t>c2200985-df1b-4d45-b9fc-c68cfd4123af</t>
  </si>
  <si>
    <t>d9ca1429-4b6b-4938-8ec9-b39b4756ade5</t>
  </si>
  <si>
    <t>3af9140d-883c-4385-946a-760eb903ece5</t>
  </si>
  <si>
    <t>7a0c2c2a-d399-4f3c-9331-6cc21ef8c98f</t>
  </si>
  <si>
    <t>8d7d51b2-15ce-475c-ae7d-a29bd677da97</t>
  </si>
  <si>
    <t>4c979640-409b-4035-9323-0c856a8b70f8</t>
  </si>
  <si>
    <t>99119816-e4ed-4300-a884-da2d6b1d2c2a</t>
  </si>
  <si>
    <t>Black Bear</t>
  </si>
  <si>
    <t>db9d0262-7df7-427a-a7ef-82437162a2ae</t>
  </si>
  <si>
    <t>a1bf6012-fc72-4405-83bf-608d00d5ad54</t>
  </si>
  <si>
    <t>1a1df980-d5ab-11ee-bc34-7bdadb8024dc</t>
  </si>
  <si>
    <t>60715cb0-d5ab-11ee-bc34-7bdadb8024dc</t>
  </si>
  <si>
    <t>de4abaa5-f623-4c60-8c4d-c3bdeceba2c5</t>
  </si>
  <si>
    <t>cf4cd5e8-f8bc-4b87-89f7-711579cf95c3</t>
  </si>
  <si>
    <t>054fb488-4bdf-4b39-93ec-c39ec0ed1ddd</t>
  </si>
  <si>
    <t>Water very murky</t>
  </si>
  <si>
    <t>57ab01b0-ae21-4b3d-9f11-b6426a7e68c5</t>
  </si>
  <si>
    <t>Very murky after storm</t>
  </si>
  <si>
    <t>81d8cf21-49bc-465a-b954-44003cfc7dfa</t>
  </si>
  <si>
    <t>Pershore bridges</t>
  </si>
  <si>
    <t>c7920ee1-5ac0-47fc-a4b7-3d39a30f97d3</t>
  </si>
  <si>
    <t>Pershore leisure centre</t>
  </si>
  <si>
    <t>219851c4-c764-4cef-a766-2d5ce1c6e42f</t>
  </si>
  <si>
    <t>Cold and dry</t>
  </si>
  <si>
    <t>735e4b06-eff3-4d8f-87bb-9b7d85d5c1a8</t>
  </si>
  <si>
    <t>After flood</t>
  </si>
  <si>
    <t>dbd39613-7f9c-43c6-87ee-cb5cacf4b718</t>
  </si>
  <si>
    <t>High sediment</t>
  </si>
  <si>
    <t>f586dcc3-da35-4dc5-9dc3-740207c8c405</t>
  </si>
  <si>
    <t>c0224e96-428e-40fe-bb46-09a95d81b5da</t>
  </si>
  <si>
    <t>Lower Lode</t>
  </si>
  <si>
    <t>Dry and Windy</t>
  </si>
  <si>
    <t>ca765ae9-082b-4baf-9b3b-d852ee466a85</t>
  </si>
  <si>
    <t>River level high after recent flood</t>
  </si>
  <si>
    <t>87ee9d25-649b-4ca1-b380-485b438e2754</t>
  </si>
  <si>
    <t>Dry clear</t>
  </si>
  <si>
    <t>9160bce0-30dd-45e4-9a30-367c46e3f914</t>
  </si>
  <si>
    <t>b8ce4b7f-ea23-425a-bb27-9ba495f74f23</t>
  </si>
  <si>
    <t>Carrant Bredon Rd</t>
  </si>
  <si>
    <t>c71ec141-40ad-43e7-b140-312ff571503e</t>
  </si>
  <si>
    <t>d2a757b6-70ca-49f1-bca6-7e155876e922</t>
  </si>
  <si>
    <t>cde18298-ab3b-4622-aa57-551161bcc924</t>
  </si>
  <si>
    <t>d2017734-8ed9-4009-85a4-6fda59e7e00e</t>
  </si>
  <si>
    <t>008e9bd5-a5b5-4f3e-8884-e08d2ab65a5e</t>
  </si>
  <si>
    <t>34cefa65-60e3-43fc-a765-8b6c3d8e632d</t>
  </si>
  <si>
    <t>18bfd1d6-bd72-447f-a0bd-6a1924c7b611</t>
  </si>
  <si>
    <t>a1677aaf-c40e-4ded-a0a2-c7d35ba17984</t>
  </si>
  <si>
    <t>cd209a8a-321e-472f-87d2-28676a3302bc</t>
  </si>
  <si>
    <t>Dry and cloudy</t>
  </si>
  <si>
    <t>d29e3793-44cc-42b9-8b4e-eaf40d743062</t>
  </si>
  <si>
    <t>fe9a51d6-2e5f-47c8-9529-be0d3ecaaebd</t>
  </si>
  <si>
    <t>Lovely afternoon</t>
  </si>
  <si>
    <t>90e33a6e-404d-4350-b29c-bef2affe57bd</t>
  </si>
  <si>
    <t>Preston Bagot Canal</t>
  </si>
  <si>
    <t>3b130c5d-5a22-4c18-8f61-e9e029732126</t>
  </si>
  <si>
    <t>53d3bee4-eaa7-4b39-9a74-287568c8791c</t>
  </si>
  <si>
    <t>Preston Bagot Brook</t>
  </si>
  <si>
    <t>2bb1df24-05b1-4581-864a-77409e6c30e0</t>
  </si>
  <si>
    <t>Site 2  :  Cross Leys culvert</t>
  </si>
  <si>
    <t>Nitrites: 0; After heavy rainfall. Time not accurate.</t>
  </si>
  <si>
    <t>3a758ea0-edcf-11ee-8b39-83c0bad69482</t>
  </si>
  <si>
    <t>Cross Leys culvert</t>
  </si>
  <si>
    <t>After heavy rainfall</t>
  </si>
  <si>
    <t>1d5de988-062a-448d-a263-d80a9e29b3a3</t>
  </si>
  <si>
    <t>21ceb11c-6b65-494f-8ef8-6885f557f1f8</t>
  </si>
  <si>
    <t>I check the phosphate reading by retesting and it can out the same again.</t>
  </si>
  <si>
    <t>4e66531e-5fea-414e-963b-db17a5d50127</t>
  </si>
  <si>
    <t>93f43250-c2ce-11ee-a880-59195475c978</t>
  </si>
  <si>
    <t>236a88e0-c2ce-11ee-a880-59195475c978</t>
  </si>
  <si>
    <t>5b45c7de-5132-4d6d-b32f-2a11f54be682</t>
  </si>
  <si>
    <t>517dfd9a-a01a-4f8d-8f3d-84664c2adb78</t>
  </si>
  <si>
    <t>bdeb83c6-8cec-45f0-b06c-b7fa804926ca</t>
  </si>
  <si>
    <t>d10d708b-dda6-4516-881c-82c6ed91460b</t>
  </si>
  <si>
    <t>7bb6cac1-6026-4fad-b3bd-6361383e8df2</t>
  </si>
  <si>
    <t>Phosphate reading off scale. True value thus not reflected in result</t>
  </si>
  <si>
    <t>e1b79719-f2d7-4532-b473-7d8a74b07188</t>
  </si>
  <si>
    <t>6012aa92-9c36-446f-a743-5902430a673a</t>
  </si>
  <si>
    <t>Alveston weir</t>
  </si>
  <si>
    <t>d0d97f7a-d3f3-48f4-aaaa-dbac200fe775</t>
  </si>
  <si>
    <t>Really windy, river moving quickly</t>
  </si>
  <si>
    <t>1ae702b3-279c-4f17-b7d7-dad7833a064d</t>
  </si>
  <si>
    <t>River v murky. Recent garden flooding Mill house</t>
  </si>
  <si>
    <t>0c059e2a-8eca-4bea-bab3-4035f4eb5976</t>
  </si>
  <si>
    <t>191a898a-b094-44db-93d4-06bbab195680</t>
  </si>
  <si>
    <t>82c77a1f-b58a-48f0-9765-94e4ef5482e0</t>
  </si>
  <si>
    <t>Readings taken after heavy overnight rain.</t>
  </si>
  <si>
    <t>d68075bd-b85b-4933-ba20-52488cbd8f90</t>
  </si>
  <si>
    <t>28c41ef5-0a8b-47dc-adaf-f03a7f1af7fe</t>
  </si>
  <si>
    <t>dc762e79-4903-48d1-befe-ff8ffb5ffe46</t>
  </si>
  <si>
    <t>Heavy rain in week. Flooded and flowing back from Avon</t>
  </si>
  <si>
    <t>bad5ec9c-dedd-4f40-8fdf-8016b7225104</t>
  </si>
  <si>
    <t>30a7166b-70c2-4355-9927-16d17da63bf0</t>
  </si>
  <si>
    <t>Post h flooding and heavy rain Friday</t>
  </si>
  <si>
    <t>95ccdcb4-97ae-4abb-8c53-769e7adc3efb</t>
  </si>
  <si>
    <t>Flood 2 days before</t>
  </si>
  <si>
    <t>37e00742-b3ef-4391-a89e-31beefcbc8f0</t>
  </si>
  <si>
    <t>cea151d0-f5a4-4a32-98c9-3cbd6ed38688</t>
  </si>
  <si>
    <t>33947668-8db2-4fa5-880a-7ac5dc54e144</t>
  </si>
  <si>
    <t>272a0d75-d01c-4630-87f9-5da0284705dc</t>
  </si>
  <si>
    <t>4ac49b0e-79b3-4099-8069-3362bd25e2a6</t>
  </si>
  <si>
    <t>River in flood. Can’t see marking on usual gauge, its reading +6 on gauge to bridge</t>
  </si>
  <si>
    <t>581f0fc7-1ba1-4456-9a9e-7ac6daadaa18</t>
  </si>
  <si>
    <t>Site 1  :  Middle Street</t>
  </si>
  <si>
    <t>Nitrites: 0; Heavy rainfall for the week leading up to this set of measurements.. Time not accurate.</t>
  </si>
  <si>
    <t>56aa1f3c-0bce-4208-8034-5c72251ddf24</t>
  </si>
  <si>
    <t>Middle Street</t>
  </si>
  <si>
    <t>Heavy rainfall for the week leading up to this set of measurements.</t>
  </si>
  <si>
    <t>e82e6b84-eaae-4df7-ade2-8eef73031648</t>
  </si>
  <si>
    <t>Site 3  :  Severn Trent Water processing plant outflow</t>
  </si>
  <si>
    <t>Nitrites: 0.15; After heavy rainfall. Time not accurate.</t>
  </si>
  <si>
    <t>44dba590-edd0-11ee-8b39-83c0bad69482</t>
  </si>
  <si>
    <t>Severn Trent Water processing plant outflow</t>
  </si>
  <si>
    <t>966a6d60-cd36-11ef-8a1f-e5630c87e35c</t>
  </si>
  <si>
    <t>Fosseway Brook, Middle Street</t>
  </si>
  <si>
    <t>743afbfa-d3ed-4428-9c0a-8cfda283b8ee</t>
  </si>
  <si>
    <t>It flooded 3 days ago.. now starting to subside</t>
  </si>
  <si>
    <t>2cc9f2f1-31ac-4c5b-a1b0-af9d93496b58</t>
  </si>
  <si>
    <t>34dfadf2-e9df-4c55-8e3c-c8c60cd15121</t>
  </si>
  <si>
    <t>6eb99272-232d-41dc-aa30-e8e46377afc8</t>
  </si>
  <si>
    <t>Flooded 3 days ago and flood resurgent.</t>
  </si>
  <si>
    <t>2d4d1478-befb-4a4f-808c-34da077f0b23</t>
  </si>
  <si>
    <t>Rainy. Murky water</t>
  </si>
  <si>
    <t>50d42c4e-f07c-4826-b418-ccdd4ebd6efc</t>
  </si>
  <si>
    <t>Fast flowing river</t>
  </si>
  <si>
    <t>553b88c7-791a-4f22-a44e-0dab9ebd4fa2</t>
  </si>
  <si>
    <t>Readings taken in swollen river</t>
  </si>
  <si>
    <t>cb3d0d1e-3b66-4c8b-9951-1d6625fbc1ed</t>
  </si>
  <si>
    <t>73a3b1c4-22c9-4b60-b2d9-3725d5a8510a</t>
  </si>
  <si>
    <t>6955b0dd-83fb-4a6a-b668-790ff4ee06ce</t>
  </si>
  <si>
    <t>8afa47c1-1cca-420b-a449-12b438dea653</t>
  </si>
  <si>
    <t>bc51df4d-51cd-4135-b35e-d69c03907387</t>
  </si>
  <si>
    <t>1eb84d14-bb1c-4747-88b1-7303f89da1b7</t>
  </si>
  <si>
    <t>Nitrites: 0; No notes. Time not accurate.</t>
  </si>
  <si>
    <t>5e49575b-4cb1-45a3-ba02-c52df288ba9f</t>
  </si>
  <si>
    <t>No notes</t>
  </si>
  <si>
    <t>1ba471c7-78ec-4bf9-b10e-040c344885a8</t>
  </si>
  <si>
    <t>Nitrites: 0; None. Time not accurate.</t>
  </si>
  <si>
    <t>6fceefb0-edcf-11ee-8b39-83c0bad69482</t>
  </si>
  <si>
    <t>None</t>
  </si>
  <si>
    <t>e27cc6d7-c583-429b-af59-0ff55877e4d9</t>
  </si>
  <si>
    <t>Nitrites: 0.15; None. Time not accurate.</t>
  </si>
  <si>
    <t>70f021b0-edd0-11ee-8b39-83c0bad69482</t>
  </si>
  <si>
    <t>19482ab0-cd37-11ef-8a1f-e5630c87e35c</t>
  </si>
  <si>
    <t>8e754c9d-ddfa-49f8-aed0-404683f2f46a</t>
  </si>
  <si>
    <t>River Stour Cherington after sewerage works</t>
  </si>
  <si>
    <t>Sunny dry day</t>
  </si>
  <si>
    <t>7b50dcae-58de-4ae7-bfa9-8dcf7eebcde5</t>
  </si>
  <si>
    <t>89b020eb-9850-4e02-b1a5-dfa807d88db6</t>
  </si>
  <si>
    <t>8e65e7e1-0d27-4ed5-9859-22f4208fbce7</t>
  </si>
  <si>
    <t>Very brown and muddy</t>
  </si>
  <si>
    <t>512d19d3-e5b0-4b88-9b79-07c95aeb8abf</t>
  </si>
  <si>
    <t>Very muddy and brown water</t>
  </si>
  <si>
    <t>f531ffe5-1e79-4878-8deb-a4a237cadd3d</t>
  </si>
  <si>
    <t>Flooded and turbid</t>
  </si>
  <si>
    <t>5c189f9e-6a52-4adb-b4c3-05919d718ebe</t>
  </si>
  <si>
    <t>Dry clear but Flood water full flood at Ford still rising</t>
  </si>
  <si>
    <t>da3babce-7f8c-4716-81cd-dd2110983e85</t>
  </si>
  <si>
    <t>106bc49b-dda1-4e7a-aff2-408b472b7b0a</t>
  </si>
  <si>
    <t>4fc763c2-2560-4940-b3e8-cede1417adae</t>
  </si>
  <si>
    <t>8a39be60-faf9-4d3e-b176-2d7be4e4b7c5</t>
  </si>
  <si>
    <t>c6c8346f-7f60-4068-965d-489874f57a06</t>
  </si>
  <si>
    <t>River in flood, moving slowly, lots of debris in water. Gauge was at 3.5 on pavement by Abbey Mill</t>
  </si>
  <si>
    <t>8ea35b85-6f55-4acd-89a1-78f3e2dbeb7e</t>
  </si>
  <si>
    <t>After heavy rain and flooding</t>
  </si>
  <si>
    <t>721d3b49-c888-4462-8452-6cda71887536</t>
  </si>
  <si>
    <t>Flood has increased since last week and is subsiding.</t>
  </si>
  <si>
    <t>0419e702-981f-4827-b63f-ee2c2bf5064d</t>
  </si>
  <si>
    <t>Dry. V murky water</t>
  </si>
  <si>
    <t>ec7601ab-1d32-4b34-ada5-a8c683258007</t>
  </si>
  <si>
    <t>234c2a2d-03c4-469c-8a9c-4defdf0b925b</t>
  </si>
  <si>
    <t>9da144c6-4e5c-4f20-85fe-673c5c4c717d</t>
  </si>
  <si>
    <t>Mill Bridge, Peopleton, Worcs</t>
  </si>
  <si>
    <t>Brook in full flood. Unable to access the bridge</t>
  </si>
  <si>
    <t>860a3222-19af-45ab-8f5e-5624b1bc9476</t>
  </si>
  <si>
    <t>Water level high</t>
  </si>
  <si>
    <t>edd9062f-e89f-4afd-8ceb-a751b5975dd1</t>
  </si>
  <si>
    <t>840c890f-df5c-4b01-bcfe-48f62d6b6bc3</t>
  </si>
  <si>
    <t>Readings taken day after heavy persistant     rain</t>
  </si>
  <si>
    <t>1c7b6c3d-6853-42d3-9eb5-d809dec2699e</t>
  </si>
  <si>
    <t>e42b07d0-d34a-11ee-97ac-d1a83362c118</t>
  </si>
  <si>
    <t>Avon in flood and backflowing into Carrant</t>
  </si>
  <si>
    <t>d26d4355-cb45-433b-933d-d9578e0b8c58</t>
  </si>
  <si>
    <t>V Wet week with frequent floods but sunny and bright Sat/Sun</t>
  </si>
  <si>
    <t>3dbc0967-cced-4f0c-92e7-4e6bf20df2c8</t>
  </si>
  <si>
    <t>f48c5467-758e-4e34-8e50-a3175ded4f2b</t>
  </si>
  <si>
    <t>River in flood, and bridge over river inaccessible. Gauge height on pavement side at 5</t>
  </si>
  <si>
    <t>44e5e827-577b-42d2-8515-4b735f0aff0b</t>
  </si>
  <si>
    <t>d512ed60-6371-4fba-9390-7d05c82100dc</t>
  </si>
  <si>
    <t>4a95a8a6-3a2e-4d09-883a-3c530ba4157c</t>
  </si>
  <si>
    <t>90d407fa-ea2e-4dfc-8f34-968b6bc4cbbf</t>
  </si>
  <si>
    <t>Nitrites: 0; After heavy rain. Time not accurate.</t>
  </si>
  <si>
    <t>edd10ce7-e060-4080-99fe-44db3b9bd73d</t>
  </si>
  <si>
    <t>After heavy rain</t>
  </si>
  <si>
    <t>a318a430-3650-48c8-8bdc-4bd7add25ca1</t>
  </si>
  <si>
    <t>9f605d90-edcf-11ee-8b39-83c0bad69482</t>
  </si>
  <si>
    <t>02e4c9d9-f311-4d83-9258-4b0013e38853</t>
  </si>
  <si>
    <t>a09d06d0-edd0-11ee-8b39-83c0bad69482</t>
  </si>
  <si>
    <t>977ea710-cd37-11ef-8a1f-e5630c87e35c</t>
  </si>
  <si>
    <t>dd51aa5b-e12f-4825-a7ab-fb8d910fa325</t>
  </si>
  <si>
    <t>2416173c-fbb3-4f37-ae74-d80421a2333a</t>
  </si>
  <si>
    <t>d9a1845a-7222-4309-bfab-e3aba97d6afa</t>
  </si>
  <si>
    <t>Clifford Chambers Mill bridge</t>
  </si>
  <si>
    <t>Lots of rain in the week</t>
  </si>
  <si>
    <t>fb568367-31c6-41af-8e3d-3ff7e5c7b036</t>
  </si>
  <si>
    <t>Fields very flooded after a lot of rain</t>
  </si>
  <si>
    <t>a8705bf5-5702-4e4a-8590-38c3565a9c72</t>
  </si>
  <si>
    <t>0ca90f4f-a38b-46f5-88d9-768201e80cbd</t>
  </si>
  <si>
    <t>Dry day. Emergency incident of raw sewage being pumped into Stoir. Faeces and toilet paper on river bank. EA informed</t>
  </si>
  <si>
    <t>0c00e148-8fe2-4b05-99dc-fff43cf00861</t>
  </si>
  <si>
    <t>577782e2-9eb4-4ad2-ab8b-51f493e586e0</t>
  </si>
  <si>
    <t>Walcot Lane, Bow Brook Ford</t>
  </si>
  <si>
    <t>High water after heavy rain, ford in flood</t>
  </si>
  <si>
    <t>fdeaf4a2-2723-458d-b77d-a974043ded57</t>
  </si>
  <si>
    <t>2401fa5a-4b97-47e1-8307-0fba8a71e655</t>
  </si>
  <si>
    <t>2c8ed3e4-64f8-4392-b4ad-bc5127570a80</t>
  </si>
  <si>
    <t>6b43de31-da97-41c9-91a2-569982a83793</t>
  </si>
  <si>
    <t>8d249dc6-d4c7-4d00-97b1-cdab62d4cb52</t>
  </si>
  <si>
    <t>Fast flowing</t>
  </si>
  <si>
    <t>62f147c9-9a34-4e7e-90c1-2e8179036302</t>
  </si>
  <si>
    <t>Avon Smiths Meadow Wyre Piddle</t>
  </si>
  <si>
    <t>Slight rain. Recent floods. River above landing stage and rising. Some scum</t>
  </si>
  <si>
    <t>20b8eb79-d3bc-4a57-88d2-eacfa9bf7bc6</t>
  </si>
  <si>
    <t>Piddle Brook Wyre Piddle Bridge</t>
  </si>
  <si>
    <t>Level high recent rain. Brown, with scum.</t>
  </si>
  <si>
    <t>b207ded4-8e6f-4784-909b-f588d7ebee13</t>
  </si>
  <si>
    <t>bed9e3b1-d162-45d5-a5e7-b3f139d60ebd</t>
  </si>
  <si>
    <t>River in flood but flowing</t>
  </si>
  <si>
    <t>b46dc920-d957-11ee-8e34-8b11b50df496</t>
  </si>
  <si>
    <t>49407fd0-d957-11ee-8e34-8b11b50df496</t>
  </si>
  <si>
    <t>c84f529d-4a49-4afd-a813-d048deebbb8e</t>
  </si>
  <si>
    <t>6de62990-a60a-492b-a258-7aeed521183b</t>
  </si>
  <si>
    <t>Lots of rain previous week</t>
  </si>
  <si>
    <t>f1722ecb-df6f-41ea-acd2-480609f1a87a</t>
  </si>
  <si>
    <t>N/a</t>
  </si>
  <si>
    <t>e05e8579-b2ce-4b3b-94de-acceff027afa</t>
  </si>
  <si>
    <t>eb0e2cce-22a7-4b26-96ba-94a712a0f0cd</t>
  </si>
  <si>
    <t>390e6ee8-cbab-478e-af56-99cd15568f78</t>
  </si>
  <si>
    <t>40695b0e-da74-4f2d-a9a3-979ab9bfa760</t>
  </si>
  <si>
    <t>d6a42980-edcf-11ee-8b39-83c0bad69482</t>
  </si>
  <si>
    <t>bf16e1f5-e1e2-4a1c-a2db-e05915c36dc0</t>
  </si>
  <si>
    <t>fec99bb0-edd0-11ee-bbaf-f30c03f3512a</t>
  </si>
  <si>
    <t>e698be80-cd37-11ef-8a1f-e5630c87e35c</t>
  </si>
  <si>
    <t>ed1ae48e-17fe-4fc4-9f2e-8bb31dba471d</t>
  </si>
  <si>
    <t>f230fe98-49d6-494d-9836-ddb85a4948fa</t>
  </si>
  <si>
    <t>7deba08a-efdc-48b5-bbd7-55861c062374</t>
  </si>
  <si>
    <t>Floods still receeding.</t>
  </si>
  <si>
    <t>2df0fb77-00c6-493a-b64f-fc4a41490c70</t>
  </si>
  <si>
    <t>30e4c49f-afcb-4921-b2f7-8f72ac866631</t>
  </si>
  <si>
    <t>49bb7608-c47a-41ff-8ef2-ce82aa631f89</t>
  </si>
  <si>
    <t>Sunny</t>
  </si>
  <si>
    <t>46ffb501-1fc5-448f-a1e1-9456d01a2cee</t>
  </si>
  <si>
    <t>bd40eb0c-0a54-46ce-83b3-11f281127a57</t>
  </si>
  <si>
    <t>Centre bridge, The Mill, Peopleton, Pershore</t>
  </si>
  <si>
    <t>Brook level back within its banks</t>
  </si>
  <si>
    <t>1ca6af9b-327b-4c89-95ef-bb44668baf6f</t>
  </si>
  <si>
    <t>Lowest levelin several Weeks</t>
  </si>
  <si>
    <t>65e3c0b0-2fcc-4fc7-86bf-e6b5fb2a8ee6</t>
  </si>
  <si>
    <t>3d91c270-5482-45be-9065-818bc50ac84d</t>
  </si>
  <si>
    <t>13503fbc-faab-47ba-b9d8-30e2f4b5754f</t>
  </si>
  <si>
    <t>44ec4633-4e68-45d0-972b-4778a1606945</t>
  </si>
  <si>
    <t>Brook flowing fast, water slightly cloudy</t>
  </si>
  <si>
    <t>cdb0d3ee-7a19-4a6f-8a10-4afc958786c5</t>
  </si>
  <si>
    <t>b7ea8f60-6cef-446f-a27d-4093177e4aa8</t>
  </si>
  <si>
    <t>River returned to normal level and flow</t>
  </si>
  <si>
    <t>b9a2c628-b410-4883-88c7-151caab88753</t>
  </si>
  <si>
    <t>No recent rain. Normal flow. Some scum.</t>
  </si>
  <si>
    <t>ded035b4-8125-4154-85b4-e960898e76d9</t>
  </si>
  <si>
    <t>Normal height. No rain for several days. No scum.</t>
  </si>
  <si>
    <t>9617ff3e-b4b9-4b87-8e20-8bb9d91ec99c</t>
  </si>
  <si>
    <t>0fdd4d34-a731-40bc-938c-9af5ae774bdd</t>
  </si>
  <si>
    <t>Nitrites: 0; . Time not accurate.</t>
  </si>
  <si>
    <t>bbe81ddb-66dc-47eb-9a04-9c09487aae54</t>
  </si>
  <si>
    <t>e40bcf99-77eb-44ac-a955-b16387bdd6fb</t>
  </si>
  <si>
    <t>1ce1778a-6be5-4dbc-9167-6eba7fcffa18</t>
  </si>
  <si>
    <t>da985563-7d81-4a1e-a35d-781508111252</t>
  </si>
  <si>
    <t>Nitrites: 0.15; . Time not accurate.</t>
  </si>
  <si>
    <t>dad65a85-6dcd-4c90-8e46-b461e479fdb5</t>
  </si>
  <si>
    <t>33e764c0-cd38-11ef-8a1f-e5630c87e35c</t>
  </si>
  <si>
    <t>9b6a740f-e9e5-4fc6-895a-d47943b581af</t>
  </si>
  <si>
    <t>9f7c3a22-e8e1-414a-b988-d1a00fb8b37c</t>
  </si>
  <si>
    <t>Mostly dry week</t>
  </si>
  <si>
    <t>85c98400-0be4-11ef-b7bd-6b7e4abfa6c6</t>
  </si>
  <si>
    <t>2f40a730-0be4-11ef-b7bd-6b7e4abfa6c6</t>
  </si>
  <si>
    <t>63ecca50-e3f4-48bf-9e5d-6d1f0a7da000</t>
  </si>
  <si>
    <t>Flooded, brown water</t>
  </si>
  <si>
    <t>8284562f-a9a0-4330-a1b2-1e0201287c43</t>
  </si>
  <si>
    <t>bda5f5f9-721e-465b-be28-2d96c3bc8321</t>
  </si>
  <si>
    <t>565ac3ed-1477-4646-a00f-5584fe53b694</t>
  </si>
  <si>
    <t>839f57b1-c598-460d-b5f7-996ae26c3ea9</t>
  </si>
  <si>
    <t>0be815ff-2a63-4261-8fdb-be579d67b1ab</t>
  </si>
  <si>
    <t>River swollen</t>
  </si>
  <si>
    <t>de4cd6a7-bce2-4e08-8a0e-d1f19e36ad96</t>
  </si>
  <si>
    <t>River high after lots of rainfall</t>
  </si>
  <si>
    <t>9798b3ee-9dd9-47a4-807f-d22902c47b68</t>
  </si>
  <si>
    <t>Flooding following more heavy rain</t>
  </si>
  <si>
    <t>1aa95936-18ba-4c12-9057-e86bf7d366ed</t>
  </si>
  <si>
    <t>dd2a6f12-bdea-450e-9dc1-b7bef6fcb0da</t>
  </si>
  <si>
    <t>Rainy</t>
  </si>
  <si>
    <t>ac8ffd22-f36d-4357-8732-004fa08bfbcf</t>
  </si>
  <si>
    <t>Water cloudy and fast flowing after heavy rain</t>
  </si>
  <si>
    <t>3ba17b97-5e9d-435d-a673-7c44c5e8f699</t>
  </si>
  <si>
    <t>169b311d-adda-4288-bf55-17e13cdf3c64</t>
  </si>
  <si>
    <t>ba02a633-2308-4f42-85ba-0dbb5d4d6e75</t>
  </si>
  <si>
    <t>2fee292b-b3c7-405a-80b4-cce155162481</t>
  </si>
  <si>
    <t>bd0cd363-61a7-4ced-8750-850200d3fd61</t>
  </si>
  <si>
    <t>8f7ae63b-6219-4fbc-ab25-6ad17db8c4be</t>
  </si>
  <si>
    <t>1.1m at Evesham. Falling. Brown.</t>
  </si>
  <si>
    <t>c633b014-dd8b-4723-9566-6b0292c1bdbb</t>
  </si>
  <si>
    <t>Brown and scummy</t>
  </si>
  <si>
    <t>30243170-e3b8-11ee-9952-b79de09316b9</t>
  </si>
  <si>
    <t>Fell Mill Footbridge</t>
  </si>
  <si>
    <t>Depth unknown yet</t>
  </si>
  <si>
    <t>cb4197ec-651f-4317-b4c8-3586f581228c</t>
  </si>
  <si>
    <t>438d051c-04dd-4161-9296-43c8118245dd</t>
  </si>
  <si>
    <t>Fast current. Flecks of foam on surface</t>
  </si>
  <si>
    <t>489dd80e-cf02-4325-ab00-060064b9ed94</t>
  </si>
  <si>
    <t>2d720972-b849-479c-8a74-794ba1df80b1</t>
  </si>
  <si>
    <t>River in flood</t>
  </si>
  <si>
    <t>25694235-4f5d-4c48-a7e5-9582b1f77fbe</t>
  </si>
  <si>
    <t>Flooded</t>
  </si>
  <si>
    <t>b30b6065-fda3-43dd-a35b-bdeef6356c4b</t>
  </si>
  <si>
    <t>b021cf42-9100-4893-b08d-9df23df4ef98</t>
  </si>
  <si>
    <t>Nitrites: 0; After heavy rainfall. Brook was running really fast at Middle St. Water was running across and down the Armscote Road from the gates into the ST site.. Time not accurate.</t>
  </si>
  <si>
    <t>7cd2a93b-3b67-4071-876a-4e58ed4ba95f</t>
  </si>
  <si>
    <t>After heavy rainfall. Brook was running really fast at Middle St. Water was running across and down the Armscote Road from the gates into the ST site.</t>
  </si>
  <si>
    <t>df2274b9-2691-4ad6-a5aa-afe6f0a62769</t>
  </si>
  <si>
    <t>Nitrites: 0; After heavy rainfall. The brook was running very fast at this point.. Time not accurate.</t>
  </si>
  <si>
    <t>058d2260-edd0-11ee-8b39-83c0bad69482</t>
  </si>
  <si>
    <t>After heavy rainfall. The brook was running very fast at this point.</t>
  </si>
  <si>
    <t>d82422d1-b2f4-43b7-a6f0-14e44986a512</t>
  </si>
  <si>
    <t>Nitrites: 0; After very heavy rainfall. Water running down the Armscote Road from the Severn Trent treatment site's gateway.. Time not accurate.</t>
  </si>
  <si>
    <t>25ff2510-edd1-11ee-bbaf-f30c03f3512a</t>
  </si>
  <si>
    <t>After very heavy rainfall. Water running down the Armscote Road from the Severn Trent treatment site's gateway.</t>
  </si>
  <si>
    <t>6f51cff0-cd38-11ef-8a1f-e5630c87e35c</t>
  </si>
  <si>
    <t>39648168-f46f-4405-9899-ff9a607fab72</t>
  </si>
  <si>
    <t>18cde8d0-517a-40a3-b427-78622c670b7a</t>
  </si>
  <si>
    <t>Lots of surface foam visible</t>
  </si>
  <si>
    <t>74cfcf9c-96e6-49d8-b786-21bed3b2f347</t>
  </si>
  <si>
    <t>6f66e10a-c9cd-4e7f-b2f2-d816b4f01bbd</t>
  </si>
  <si>
    <t>River in flood, moving fast</t>
  </si>
  <si>
    <t>b438575e-dc1d-4b80-a018-0b9280e6759e</t>
  </si>
  <si>
    <t>Lots of rain again this week</t>
  </si>
  <si>
    <t>0fd60c6c-13fe-406e-9d5b-40463eb7bd9b</t>
  </si>
  <si>
    <t>Dry weather</t>
  </si>
  <si>
    <t>3bca709a-2843-4ca9-bac8-1bc87fdcc778</t>
  </si>
  <si>
    <t>More rain again</t>
  </si>
  <si>
    <t>d2b382e6-b121-4e52-8acf-e7e0ffea757f</t>
  </si>
  <si>
    <t>f93cffcc-5208-4fb6-9c95-2d47c669fc15</t>
  </si>
  <si>
    <t>a9f10a1f-213e-47d6-80c2-aa823b2d2a35</t>
  </si>
  <si>
    <t>b5544ac6-04ff-4916-9d3f-01ed304eaa7c</t>
  </si>
  <si>
    <t>Mill Bridge Peopleton</t>
  </si>
  <si>
    <t>The bucket untied itself from the string and floated off downstream. Took from the bank</t>
  </si>
  <si>
    <t>7e964e07-2051-4fb5-a632-35f2ae7d3f9e</t>
  </si>
  <si>
    <t>688c26a2-37ef-4c38-bace-06802cd933e1</t>
  </si>
  <si>
    <t>Cloudy</t>
  </si>
  <si>
    <t>3a3fee0a-64f5-44a3-9713-7dc200ab440f</t>
  </si>
  <si>
    <t>Canal height varies little, actual depth not known</t>
  </si>
  <si>
    <t>4bc35611-6e62-48bb-9f78-afb33f319b40</t>
  </si>
  <si>
    <t>Height estimate given as 1 as unable to enter medium</t>
  </si>
  <si>
    <t>ea3f5753-c287-4e55-8e73-8975e90ce19a</t>
  </si>
  <si>
    <t>Stour Whichford</t>
  </si>
  <si>
    <t>5baf1698-cc9b-40c3-b8e1-e5439ded42fe</t>
  </si>
  <si>
    <t>Stour Ascott village</t>
  </si>
  <si>
    <t>69ab8809-debc-4002-9e11-7951a259b1c3</t>
  </si>
  <si>
    <t>River quite high, brown, scum.</t>
  </si>
  <si>
    <t>5fcbf25c-d954-47b0-8c65-90aa0fa7d0a3</t>
  </si>
  <si>
    <t>River level dropped a lot and water a lot clearer</t>
  </si>
  <si>
    <t>b96147aa-d9c9-49d2-ab02-35bc98d0daf3</t>
  </si>
  <si>
    <t>River Green/brown and lots of scum.</t>
  </si>
  <si>
    <t>e660e540-e9e0-11ee-b655-139e2e752314</t>
  </si>
  <si>
    <t>River well within its banks and more settled.  Depth from River bed to Footbridge Deck measured as 3.6m.</t>
  </si>
  <si>
    <t>2026d497-c6e8-417d-8c31-823a41d7ca42</t>
  </si>
  <si>
    <t>0fcef01f-9e16-4ecc-b25a-8c729b3b437b</t>
  </si>
  <si>
    <t>Pershore Bridges</t>
  </si>
  <si>
    <t>6a987e7e-07f3-4914-b7dd-fa63edf8d908</t>
  </si>
  <si>
    <t>595c4ac9-3b59-4030-9ca9-bbb660fd9093</t>
  </si>
  <si>
    <t>Sherbourne Brook 2</t>
  </si>
  <si>
    <t>c161b9b1-fb85-4750-8467-1695c3fc5be1</t>
  </si>
  <si>
    <t>e1c8e981-ccf1-4130-b84b-8ca6c8c81538</t>
  </si>
  <si>
    <t>46ae4640-7ac5-4b80-977f-d5597a986a75</t>
  </si>
  <si>
    <t>Walcot Lane Ford, Bow Brook Ford</t>
  </si>
  <si>
    <t>Water fast flowing and murky</t>
  </si>
  <si>
    <t>82fe0a52-f7b2-42c5-a93a-03069b033c34</t>
  </si>
  <si>
    <t>Nitrites: 0; none. Time not accurate.</t>
  </si>
  <si>
    <t>09c75a70-f443-11ee-bb8b-0f5353699b34</t>
  </si>
  <si>
    <t>none</t>
  </si>
  <si>
    <t>1d1ad07e-87b9-4b65-a5e1-508a8d8f9082</t>
  </si>
  <si>
    <t>3ac02080-f443-11ee-bb8b-0f5353699b34</t>
  </si>
  <si>
    <t>93d17838-d964-44cc-91e0-c54991887099</t>
  </si>
  <si>
    <t>Nitrites: 0.3; none. Time not accurate.</t>
  </si>
  <si>
    <t>76037bb0-f443-11ee-bb8b-0f5353699b34</t>
  </si>
  <si>
    <t>b2f79f50-cd38-11ef-8a1f-e5630c87e35c</t>
  </si>
  <si>
    <t>88af3368-8257-448e-9d5c-1e8e086ee8d2</t>
  </si>
  <si>
    <t>2d4fcf48-d245-4dbd-a8bb-89e490f66c6f</t>
  </si>
  <si>
    <t>Phosphate reading off the readable scale of the colourometer. Recorded result is therefore too low</t>
  </si>
  <si>
    <t>d0ab48d8-9c7c-4b2a-9799-b1840b2e6b34</t>
  </si>
  <si>
    <t>Windy, lots of foam on the water</t>
  </si>
  <si>
    <t>52ecad55-8f04-4cec-91c2-3d34ec642431</t>
  </si>
  <si>
    <t>Rain again most days</t>
  </si>
  <si>
    <t>38a4ef42-e299-461b-9c5d-aba98bc963b4</t>
  </si>
  <si>
    <t>Heavy rainfall continues</t>
  </si>
  <si>
    <t>5e2bb4d6-3e03-4d63-8948-b303dfec3244</t>
  </si>
  <si>
    <t>e5e0250a-f521-4b36-a5fe-9e699cff8845</t>
  </si>
  <si>
    <t>c364b542-11f6-4bcd-833b-9bb430be0395</t>
  </si>
  <si>
    <t>eef6908b-3b2e-4883-8299-14113e1dfd87</t>
  </si>
  <si>
    <t>1 as depth unable to enter low, med, high estimate</t>
  </si>
  <si>
    <t>a85f387f-9ac3-44a6-9dbd-998445bffea0</t>
  </si>
  <si>
    <t>9b09fd00-ed60-4c4c-a523-f39e8a71c453</t>
  </si>
  <si>
    <t>Receding flood. Tested at Waterside House.</t>
  </si>
  <si>
    <t>d87a8330-b8c1-4fca-9b9e-a0530f8f081c</t>
  </si>
  <si>
    <t>b565995f-3ac2-4d67-8683-c47734688c12</t>
  </si>
  <si>
    <t>Receding flood. High. Brown. Scum.</t>
  </si>
  <si>
    <t>46768095-9896-45c9-8295-42891fc9cd0f</t>
  </si>
  <si>
    <t>e4afe100-7e35-4a37-b4dc-a9b2bfe485e8</t>
  </si>
  <si>
    <t>abf4787e-d229-45dc-a4ee-80ef1168896f</t>
  </si>
  <si>
    <t>Stour Whichford village</t>
  </si>
  <si>
    <t>942ac25b-16fe-4823-913f-862e08a330a2</t>
  </si>
  <si>
    <t>Overcast windy</t>
  </si>
  <si>
    <t>75ce108d-ad9b-4f9f-a953-a9ec9ce9f2dd</t>
  </si>
  <si>
    <t>7701dfaa-40a4-46b6-8f90-862433f521f9</t>
  </si>
  <si>
    <t>Actually pitch 15. 16 was under water</t>
  </si>
  <si>
    <t>7a493636-1ee7-46f7-8a72-4f23bae11a96</t>
  </si>
  <si>
    <t>534e5779-61bd-45cf-98d4-46ddd5a0df0b</t>
  </si>
  <si>
    <t>Turbid. In flood. No noticeable flow</t>
  </si>
  <si>
    <t>9f5bdae7-261a-4a60-9a5a-6ed691bd049b</t>
  </si>
  <si>
    <t>River fast flowing and in flood</t>
  </si>
  <si>
    <t>f02c8621-13ae-4c73-9141-b0d7d8cbfdb9</t>
  </si>
  <si>
    <t>c923b0dc-ca6f-40a7-b4e2-b99bef3d9371</t>
  </si>
  <si>
    <t>ab6e1053-7d25-467c-8cae-13918b81cc44</t>
  </si>
  <si>
    <t>45df84b2-126a-41cf-863c-5035b9c62ed4</t>
  </si>
  <si>
    <t>Nitrites: 0; Relatively dry. Time not accurate.</t>
  </si>
  <si>
    <t>dd8dec6e-3a34-41db-9e50-c0292e5676a3</t>
  </si>
  <si>
    <t>Relatively dry</t>
  </si>
  <si>
    <t>e2f99be6-4583-41ca-ac08-41855364fc8c</t>
  </si>
  <si>
    <t>4e4f7e06-5151-4cdb-ac73-3b33f58dff15</t>
  </si>
  <si>
    <t>eda87e80-cd38-11ef-8a1f-e5630c87e35c</t>
  </si>
  <si>
    <t>07572716-c4b3-47e4-ab40-24583a5e0a37</t>
  </si>
  <si>
    <t>adfba85a-e992-442d-a2c3-024f54ff1996</t>
  </si>
  <si>
    <t>b5553b56-129e-4e35-a4dc-de0926b13998</t>
  </si>
  <si>
    <t>Brown water</t>
  </si>
  <si>
    <t>79d09e7d-d8e6-40a4-9b44-c3649eb158c1</t>
  </si>
  <si>
    <t>bc601dd7-fe59-4a47-8a36-1ec64ffe8bbe</t>
  </si>
  <si>
    <t>1a0861ab-6953-4866-8656-8f455dcca8eb</t>
  </si>
  <si>
    <t>f3f2cec3-3568-4347-89c3-4dae09e9dc23</t>
  </si>
  <si>
    <t>Another flood, brown and murky</t>
  </si>
  <si>
    <t>ae5392e6-3841-432b-b5f9-5bcb944c799a</t>
  </si>
  <si>
    <t>Another flood...water very high...brown and murky</t>
  </si>
  <si>
    <t>72ae4b7d-e0b0-423e-b3f0-776d66193711</t>
  </si>
  <si>
    <t>Full and fast flowing river</t>
  </si>
  <si>
    <t>7e727877-ccac-4857-92cd-b9aa6f047619</t>
  </si>
  <si>
    <t>Mill Bridge, Peopleton</t>
  </si>
  <si>
    <t>Fast flow</t>
  </si>
  <si>
    <t>c9be8c2d-29a5-48ef-b47d-a39c87771115</t>
  </si>
  <si>
    <t>ca3ca8e6-ba74-4169-8455-a489332d4c5a</t>
  </si>
  <si>
    <t>84ef8782-302c-4452-9182-13f486e53ec3</t>
  </si>
  <si>
    <t>6c6e54e6-ffbb-492a-b022-020b9b0d0465</t>
  </si>
  <si>
    <t>5ed3cd50-0be5-11ef-b7bd-6b7e4abfa6c6</t>
  </si>
  <si>
    <t>ff0150a0-0be4-11ef-b7bd-6b7e4abfa6c6</t>
  </si>
  <si>
    <t>2ce53f62-3389-4f11-a778-4d0c239ea150</t>
  </si>
  <si>
    <t>Receding flood. River fast brown and scum. Tested at Waterside House.</t>
  </si>
  <si>
    <t>571f01a5-231d-4219-b9d7-82e85525071c</t>
  </si>
  <si>
    <t>Quite high, brown, scum.</t>
  </si>
  <si>
    <t>5c313c26-64dc-4a81-a277-7339b3e16bbe</t>
  </si>
  <si>
    <t>2nd day after heavy rain</t>
  </si>
  <si>
    <t>ea768ba1-4301-40b3-8992-e4d4959ef878</t>
  </si>
  <si>
    <t>Fast flowing and turbid</t>
  </si>
  <si>
    <t>234deca5-e968-469e-abbd-d03d863378a0</t>
  </si>
  <si>
    <t>Water level high and fast flowing. Some foam on surface</t>
  </si>
  <si>
    <t>b9890936-4147-49be-b5dc-10fe06c228e8</t>
  </si>
  <si>
    <t>Nitrites: 0; Heavy rainfall on previous days. Dry today.. Time not accurate.</t>
  </si>
  <si>
    <t>1fcd2120-f442-11ee-bb8b-0f5353699b34</t>
  </si>
  <si>
    <t>Heavy rainfall on previous days. Dry today.</t>
  </si>
  <si>
    <t>6807e3b4-d092-47f7-bd01-3aa43cb6d311</t>
  </si>
  <si>
    <t>7fa85060-f442-11ee-bb8b-0f5353699b34</t>
  </si>
  <si>
    <t>46bc4d03-3219-4b8d-b0e7-614eb91795ca</t>
  </si>
  <si>
    <t>Nitrites: 0.15; none. Time not accurate.</t>
  </si>
  <si>
    <t>bb48bfb0-f442-11ee-bb8b-0f5353699b34</t>
  </si>
  <si>
    <t>2ff610e0-cd39-11ef-8a1f-e5630c87e35c</t>
  </si>
  <si>
    <t>def71727-505d-4692-a9a6-83a0f20df5a0</t>
  </si>
  <si>
    <t>Showery windy</t>
  </si>
  <si>
    <t>d56d4fa1-cac1-4f0e-84cf-bacb647649c8</t>
  </si>
  <si>
    <t>39ba55f0-71e7-41b2-8ffb-18d6b9d85875</t>
  </si>
  <si>
    <t>572ae431-4aa3-4881-acb8-5695f6959570</t>
  </si>
  <si>
    <t>Water murky and fast flowing after heavy rain</t>
  </si>
  <si>
    <t>2e0aed90-f4ff-11ee-aee2-03fd31675b72</t>
  </si>
  <si>
    <t>Blustery wind but warm &amp; dry.  Flooded fields still very wet, but drying quickly.</t>
  </si>
  <si>
    <t>bb4d0c11-16bf-4024-86e7-d9c176d5a6fe</t>
  </si>
  <si>
    <t>7334d04a-5edd-4399-a3eb-2bfc4c7971bf</t>
  </si>
  <si>
    <t>4d5bf8f9-5362-4ac4-93f7-3140c1d9df48</t>
  </si>
  <si>
    <t>River level subsiding.</t>
  </si>
  <si>
    <t>adcc344a-0fe5-4832-b657-df7e57b1ff5f</t>
  </si>
  <si>
    <t>River height more or less back to normal</t>
  </si>
  <si>
    <t>49dca7d1-7223-4a2f-9da6-4b1558992f8c</t>
  </si>
  <si>
    <t>b99b6528-6c97-4a2c-8aa7-9ebcd6cc4bca</t>
  </si>
  <si>
    <t>19577766-de42-49d3-8e8c-21d98cb6fed2</t>
  </si>
  <si>
    <t>River in flood, very windy</t>
  </si>
  <si>
    <t>7afab269-1a46-4322-a00f-ed4e2e509bb6</t>
  </si>
  <si>
    <t>acb0f39f-27ee-4f91-821b-437c48dde607</t>
  </si>
  <si>
    <t>48ef79a3-31d4-433f-9eaa-f123f41cbebd</t>
  </si>
  <si>
    <t>Carrant mitton path</t>
  </si>
  <si>
    <t>7a04facb-1d12-498a-8945-58214bf47114</t>
  </si>
  <si>
    <t>Carrant M5 bridge</t>
  </si>
  <si>
    <t>235412c1-0581-4781-bf6e-56308e29c571</t>
  </si>
  <si>
    <t>90ccebcd-23a0-443d-97cd-540670b3f7cc</t>
  </si>
  <si>
    <t>4fe35a6a-6118-4556-92e7-0016f8590084</t>
  </si>
  <si>
    <t>7c6ef338-b9b3-4839-8fc7-f09bd49d9f4b</t>
  </si>
  <si>
    <t>5009023a-ac57-4cb1-967a-96034e78bd89</t>
  </si>
  <si>
    <t>0435b25d-0b33-4b37-ad3e-9af7bb9d601a</t>
  </si>
  <si>
    <t>bb0701a2-e197-4bef-8f3b-f21477896b5d</t>
  </si>
  <si>
    <t>e63d4c0d-1394-4e62-aa7b-06664a3fc080</t>
  </si>
  <si>
    <t>Air temp 14C</t>
  </si>
  <si>
    <t>61964050-338e-4f94-b1fd-7763913f5a78</t>
  </si>
  <si>
    <t>Air temp 16C</t>
  </si>
  <si>
    <t>77f25b53-d28d-456c-a011-0b13467d1390</t>
  </si>
  <si>
    <t>Normal flow. No scum.</t>
  </si>
  <si>
    <t>8ae0b0ad-34c7-4215-80e3-68e737ee6677</t>
  </si>
  <si>
    <t>Normal flow. Debris and scum.</t>
  </si>
  <si>
    <t>c973ad88-7ac4-40f3-87a0-c7ab1a2f17c1</t>
  </si>
  <si>
    <t>4fc7bd60-f9ae-11ee-8646-436ad8a0950a</t>
  </si>
  <si>
    <t>Well within its banks.</t>
  </si>
  <si>
    <t>d8dcd923-75ff-4454-952f-74d8e44a1ea7</t>
  </si>
  <si>
    <t>Water murky</t>
  </si>
  <si>
    <t>ea154644-327f-4770-9cd7-d6d2cddc3811</t>
  </si>
  <si>
    <t>e70f803b-8f80-4f38-a63d-bb741592c0f2</t>
  </si>
  <si>
    <t>e1753c0f-66d8-4f85-855a-febe69ba24f3</t>
  </si>
  <si>
    <t>743fbd06-8d1b-483c-81be-e98abb0140f4</t>
  </si>
  <si>
    <t>744c0434-e537-418e-b659-286eea75ca4a</t>
  </si>
  <si>
    <t>ac283e28-9613-45c8-a303-c397130f586e</t>
  </si>
  <si>
    <t>Nitrites: 0; Dry for several days. Time not accurate.</t>
  </si>
  <si>
    <t>79b148c0-4806-11ef-b264-cb332efe4c4c</t>
  </si>
  <si>
    <t>Dry for several days</t>
  </si>
  <si>
    <t>b459a524-6de0-432a-8fca-159ad739ad23</t>
  </si>
  <si>
    <t>a80b2100-4806-11ef-b264-cb332efe4c4c</t>
  </si>
  <si>
    <t>d21341f6-0982-499d-8a90-76cb5bbf08a2</t>
  </si>
  <si>
    <t>ccf35f00-4806-11ef-b264-cb332efe4c4c</t>
  </si>
  <si>
    <t>6d9f4880-cd39-11ef-8a1f-e5630c87e35c</t>
  </si>
  <si>
    <t>3b0292a8-6205-402c-b1bb-c4e7fe67943f</t>
  </si>
  <si>
    <t>Water looked clear compared to previous tests.</t>
  </si>
  <si>
    <t>c2753b89-434f-453d-98f3-7f6ba5589cb8</t>
  </si>
  <si>
    <t>No flooding, very windy</t>
  </si>
  <si>
    <t>3a4cfb0e-a7b3-4f21-b65b-3184aa6d2deb</t>
  </si>
  <si>
    <t>48ddf743-e233-4bdc-865f-0a4080a87b02</t>
  </si>
  <si>
    <t>ad4c4228-ec22-4193-b617-e5225b695a9a</t>
  </si>
  <si>
    <t>4a008b00-d59e-497b-bc5d-31136028329e</t>
  </si>
  <si>
    <t>Phosphate measurement off scale (reading of 2.50 flashing)</t>
  </si>
  <si>
    <t>92abbc31-5215-4d8d-b038-cb9f35e6bd1d</t>
  </si>
  <si>
    <t>f9c5e6f6-6d62-4e08-a793-94200bb87da6</t>
  </si>
  <si>
    <t>fe8898db-45e4-411a-adeb-30d6f26a7208</t>
  </si>
  <si>
    <t>cba784d2-293c-4670-83ec-d5103552b9e5</t>
  </si>
  <si>
    <t>f1d080a3-163e-4e3b-8b50-b8bbcc3e0c99</t>
  </si>
  <si>
    <t>Dry weather for a few days after months of flooding</t>
  </si>
  <si>
    <t>431fb8b0-2642-40ec-aa41-acecf561ea2f</t>
  </si>
  <si>
    <t>8e117575-0ac9-402a-98e5-62f762418cf6</t>
  </si>
  <si>
    <t>646584d7-13b5-4cfc-bd0a-ed763812269e</t>
  </si>
  <si>
    <t>Nitrites: 0; Drizzly, sunny, windy. Time not accurate.</t>
  </si>
  <si>
    <t>76a41db1-7002-43bd-944c-e90429d864a5</t>
  </si>
  <si>
    <t>Drizzly, sunny, windy</t>
  </si>
  <si>
    <t>8840e389-71d7-416c-836b-f44cb518a508</t>
  </si>
  <si>
    <t>61d5e9fa-3fe0-4e98-a80d-a22a4706b92e</t>
  </si>
  <si>
    <t>efec8129-baa0-4fb8-9364-c351406b68b9</t>
  </si>
  <si>
    <t>d5964c38-7ac1-416d-acb5-8ce9e5442555</t>
  </si>
  <si>
    <t>bcafea10-cd39-11ef-8a1f-e5630c87e35c</t>
  </si>
  <si>
    <t>ce07d34a-0353-45cd-9602-4dd95b5f5cd2</t>
  </si>
  <si>
    <t>Normal steady flow. Little recent rain</t>
  </si>
  <si>
    <t>d754cc2b-450a-4355-bdd2-26a08efb2358</t>
  </si>
  <si>
    <t>38158c80-ff10-11ee-988e-b90fac504e2c</t>
  </si>
  <si>
    <t>8369e0db-0ccf-4163-a6a6-53a8ea0f853c</t>
  </si>
  <si>
    <t>Water brown but clear</t>
  </si>
  <si>
    <t>1e3ec355-2964-4fb0-83dc-08bd6bdd42a3</t>
  </si>
  <si>
    <t>4ddd647f-1190-402b-b9a3-c5c474d1e06d</t>
  </si>
  <si>
    <t>548c2b25-8a88-4408-8247-e1af877028b4</t>
  </si>
  <si>
    <t>89567002-5313-40b5-9e5a-a12ee9e35aee</t>
  </si>
  <si>
    <t>2b1f872d-4b1e-4ead-ad74-35697812df29</t>
  </si>
  <si>
    <t>Normal flow no scum. Probable error in yesterday’s test so retested.</t>
  </si>
  <si>
    <t>89a633a3-c489-404a-a73b-2e9a729cd995</t>
  </si>
  <si>
    <t>d9831652-21f1-44ea-be37-0c8699d90398</t>
  </si>
  <si>
    <t>131f88dd-4e91-40b7-aa69-b96a4e48cd87</t>
  </si>
  <si>
    <t>48b67074-d5ca-4395-a95e-235d29cf5430</t>
  </si>
  <si>
    <t>b35b97fb-c7cc-4a4e-b20c-b522b6b206b0</t>
  </si>
  <si>
    <t>Carrant m5 bridge</t>
  </si>
  <si>
    <t>fdd016b6-7dba-4423-8e2a-739b16f60b65</t>
  </si>
  <si>
    <t>f6885646-6cb8-44b0-a389-8348b3b85a82</t>
  </si>
  <si>
    <t>4b695845-338f-472c-b9ff-891190c0ec89</t>
  </si>
  <si>
    <t>3b51ee9a-0141-49ed-be17-58af9950b9f8</t>
  </si>
  <si>
    <t>b3f1d8fb-25b2-4331-8532-c64bfd113218</t>
  </si>
  <si>
    <t>aa5bf9b3-ef44-45a9-a1dd-8b0b9fc0c40b</t>
  </si>
  <si>
    <t>Phosphate reading off the scale so record is underestimated</t>
  </si>
  <si>
    <t>7e844f89-2ac9-417b-ac92-355dd5d2467a</t>
  </si>
  <si>
    <t>4ca7dbb3-7997-412a-bae2-1607b3df98be</t>
  </si>
  <si>
    <t>Normal and clearer water</t>
  </si>
  <si>
    <t>ce5a569c-5fd3-406a-8b63-f86b030770a9</t>
  </si>
  <si>
    <t>d931e762-7a53-42c8-b7df-79c10df58707</t>
  </si>
  <si>
    <t>Froth on water</t>
  </si>
  <si>
    <t>0c936093-aaab-4c68-8f92-07a597c7bfc3</t>
  </si>
  <si>
    <t>24185690-34fc-4327-9fb7-1b59562f8ec3</t>
  </si>
  <si>
    <t>fdf2df8b-3ddf-4401-8624-42195217fa49</t>
  </si>
  <si>
    <t>8d82356d-8634-4461-b9d9-913934153b8c</t>
  </si>
  <si>
    <t>cc0a390c-d98b-4252-aee7-721d7f0d4b34</t>
  </si>
  <si>
    <t>ee31b6fa-7cfe-4782-b760-1cca261120be</t>
  </si>
  <si>
    <t>39defd8b-8bb2-4bd4-af93-fb721a128c71</t>
  </si>
  <si>
    <t>d8781ff7-89c1-444a-8881-13fc30649674</t>
  </si>
  <si>
    <t>67ae92ea-7377-4889-b703-79d716440205</t>
  </si>
  <si>
    <t>9c821cb4-74b7-46b4-873d-6a5dbefa393f</t>
  </si>
  <si>
    <t>Note last week entry EC reading mistake</t>
  </si>
  <si>
    <t>ebee0c4d-d015-4413-97a0-997ec27cdeb8</t>
  </si>
  <si>
    <t>bcb61384-0315-41e8-a2e5-3f11d0910baf</t>
  </si>
  <si>
    <t>Cold. Drizzle. Normal flow, clear, no scum.</t>
  </si>
  <si>
    <t>15faa5e5-5011-4154-886b-4c84fc4bff0b</t>
  </si>
  <si>
    <t>Cold,drizzle. Water clear, normal flow, no scum.</t>
  </si>
  <si>
    <t>ee444a1b-9f31-473a-8250-4c894f0b8836</t>
  </si>
  <si>
    <t>Black bear</t>
  </si>
  <si>
    <t>2457c939-5583-4461-9cb8-f5771879633d</t>
  </si>
  <si>
    <t>a6e77a48-cb03-4bd6-b2b6-f058a23aa989</t>
  </si>
  <si>
    <t>ec97b557-e3ea-4ce9-aaf6-11c126726fd7</t>
  </si>
  <si>
    <t>7631907c-2afd-4631-a035-b16926075313</t>
  </si>
  <si>
    <t>874db6df-860e-4a5d-bde9-cbde3f9363c7</t>
  </si>
  <si>
    <t>eec13000-c5f3-4f9c-8f5d-c14a8a31cd3f</t>
  </si>
  <si>
    <t>2510ccf0-cd3a-11ef-8a1f-e5630c87e35c</t>
  </si>
  <si>
    <t>16e24eb0-06fc-11ef-9a53-a12537d3e599</t>
  </si>
  <si>
    <t>9c4d22b0-0be2-11ef-b7bd-6b7e4abfa6c6</t>
  </si>
  <si>
    <t>c79b0ff0-0be1-11ef-b7bd-6b7e4abfa6c6</t>
  </si>
  <si>
    <t>below</t>
  </si>
  <si>
    <t>2ab7ff1e-539e-4a16-8919-d0affcbb5ee5</t>
  </si>
  <si>
    <t>df6e2390-b6cd-4e9d-a87b-7bddaa1b08bd</t>
  </si>
  <si>
    <t>118b3de5-91ee-4243-b5c1-8b02c6e0d0d6</t>
  </si>
  <si>
    <t>77835f94-5feb-4ec2-9340-8dfdf9d308c2</t>
  </si>
  <si>
    <t>f211e450-f528-4d3a-9ea4-8c01ae7835e2</t>
  </si>
  <si>
    <t>9e761d2a-2cb7-4f3b-954a-9d4abb0d8e37</t>
  </si>
  <si>
    <t>1692954d-c764-40b1-ae2d-0c32719b6611</t>
  </si>
  <si>
    <t>1821ad85-d487-446d-ac22-515ebc748266</t>
  </si>
  <si>
    <t>ce0719c9-82c8-4d7b-a3c6-afaca977623d</t>
  </si>
  <si>
    <t>Flooded again due to 1 day of rain</t>
  </si>
  <si>
    <t>5405fd4b-7e44-47e1-9d54-36366c04a185</t>
  </si>
  <si>
    <t>Carrant Mitton path</t>
  </si>
  <si>
    <t>4bbf5b2e-a602-4441-8a99-c1a2f0619fb3</t>
  </si>
  <si>
    <t>3117fc39-f719-4a86-b623-99a4eee569de</t>
  </si>
  <si>
    <t>e1e15cbc-018a-461e-b022-1915bfff4f19</t>
  </si>
  <si>
    <t>169bbb75-dda3-4209-9f01-94ac049023b6</t>
  </si>
  <si>
    <t>f2f36b06-75ee-44b4-bb07-aca863a98d92</t>
  </si>
  <si>
    <t>7005200b-98e5-4f40-b068-e7293abbc4d0</t>
  </si>
  <si>
    <t>40d35022-eed9-4b89-9d9d-58517ac52391</t>
  </si>
  <si>
    <t>0568a495-7796-4598-8911-be0f38ff55f2</t>
  </si>
  <si>
    <t>2c1a4d7b-737d-4e28-a0b0-52a820cf451f</t>
  </si>
  <si>
    <t>edcc1bca-609e-472a-8fef-22aadc6a819a</t>
  </si>
  <si>
    <t>871326ca-831a-4496-960d-b4b024d27802</t>
  </si>
  <si>
    <t>ef5d06ff-9d46-4292-8f6b-b9e8104e972d</t>
  </si>
  <si>
    <t>Brown. Normal flow. Sunny and coolish.</t>
  </si>
  <si>
    <t>c8bf08a0-fdf9-418d-87b1-959d244b3e0e</t>
  </si>
  <si>
    <t>Brown sediment above normal. Sunny and coolish</t>
  </si>
  <si>
    <t>fb44d47b-56f2-4768-a0e7-e63ef99129df</t>
  </si>
  <si>
    <t>cea04840-5251-4e54-85f7-fdef1e4cc904</t>
  </si>
  <si>
    <t>Very fast flowing</t>
  </si>
  <si>
    <t>dd8fc5b6-0c38-44b7-a1dc-04543a86e74b</t>
  </si>
  <si>
    <t>81b577d0-0be3-11ef-b7bd-6b7e4abfa6c6</t>
  </si>
  <si>
    <t>1208c0e0-0be3-11ef-b7bd-6b7e4abfa6c6</t>
  </si>
  <si>
    <t>8acfd74a-e39b-4980-9c2d-c117b72d23b5</t>
  </si>
  <si>
    <t>34bfa726-1a7d-4af9-ab75-ea85e5c4ee47</t>
  </si>
  <si>
    <t>f21fe4dc-3b7d-40e6-b3c2-33d4d5fcf255</t>
  </si>
  <si>
    <t>b2d57930-0b18-11ef-a336-5dadd969e403</t>
  </si>
  <si>
    <t>Insects, swallows, swifts &amp; house martins over river + fields</t>
  </si>
  <si>
    <t>02535598-0664-4890-849e-0922f3d19a64</t>
  </si>
  <si>
    <t>46d5ae60-4805-11ef-9137-2b62b3d14d1e</t>
  </si>
  <si>
    <t>dceff4b0-20ea-4fb8-a84b-cfdf7f3eb480</t>
  </si>
  <si>
    <t>78dde8a0-4805-11ef-9137-2b62b3d14d1e</t>
  </si>
  <si>
    <t>43af4544-99e1-4e85-90d2-4fbb44d67fa5</t>
  </si>
  <si>
    <t>b4c042f0-4805-11ef-9137-2b62b3d14d1e</t>
  </si>
  <si>
    <t>6e02a8c0-cd3a-11ef-8a1f-e5630c87e35c</t>
  </si>
  <si>
    <t>e19d3239-907a-4ac4-91c1-c8cd4cad672f</t>
  </si>
  <si>
    <t>a8cf7ed7-8e91-413e-896a-d5bbbf9906b8</t>
  </si>
  <si>
    <t>b9aa6d83-5655-4979-8c6b-a75f26f2b27a</t>
  </si>
  <si>
    <t>Phosphate level off the scale so under reported</t>
  </si>
  <si>
    <t>ceb42653-4259-4b20-a451-0bcda228c362</t>
  </si>
  <si>
    <t>002d1b0b-393e-476f-a27b-34e8b68160ba</t>
  </si>
  <si>
    <t>River back to normal today</t>
  </si>
  <si>
    <t>c1f59582-ee3f-4f48-becb-1026bf9cfb9c</t>
  </si>
  <si>
    <t>Frothy water</t>
  </si>
  <si>
    <t>ddefedb6-813f-4a58-b074-e66cf6c5d2b1</t>
  </si>
  <si>
    <t>Water appearance clear.</t>
  </si>
  <si>
    <t>682844ff-3941-4beb-a395-ea47f7f4da29</t>
  </si>
  <si>
    <t>Carrant Mitton Path</t>
  </si>
  <si>
    <t>6363a8fc-cf34-4989-830d-5b9739734e90</t>
  </si>
  <si>
    <t>b4ad0df7-1800-4739-8984-425df968d2c3</t>
  </si>
  <si>
    <t>64635392-911e-48c1-8731-8ba1f5fb036a</t>
  </si>
  <si>
    <t>Warm and dry</t>
  </si>
  <si>
    <t>f5b69040-c105-467c-acd0-c858f5b844f8</t>
  </si>
  <si>
    <t>71c27d1c-f3b5-4ebb-a10f-c4e06a9398a4</t>
  </si>
  <si>
    <t>9f549c5a-17c9-47af-bb17-6c026a99ed3f</t>
  </si>
  <si>
    <t>No rain here for5 days.</t>
  </si>
  <si>
    <t>4d5612d9-4851-46d9-b14e-e1bfc9c963a5</t>
  </si>
  <si>
    <t>6339a15e-cee1-4638-b795-cd061bc496a5</t>
  </si>
  <si>
    <t>4223d957-9010-478d-bf66-c087d6d5d065</t>
  </si>
  <si>
    <t>122bef96-38b6-4f1f-a717-c0344f22f197</t>
  </si>
  <si>
    <t>69296837-fc2d-4b68-94bc-3ca5bbdb9f51</t>
  </si>
  <si>
    <t>6438fedf-8f80-4e4e-8e8e-e53fd838eef3</t>
  </si>
  <si>
    <t>Nitrites: 0.3; . Time not accurate.</t>
  </si>
  <si>
    <t>0180c2f1-1b17-4266-bc53-19a87bfe46b1</t>
  </si>
  <si>
    <t>9c3bf8cc-48e2-4b8c-9bd3-eec44db7e225</t>
  </si>
  <si>
    <t>Normal flow</t>
  </si>
  <si>
    <t>2ab21050-8627-46a0-ab66-5c9dd458a65b</t>
  </si>
  <si>
    <t>Normal flow. Warm, dry, sunny</t>
  </si>
  <si>
    <t>35d5c5f0-1038-11ef-8262-b141d0ef07c8</t>
  </si>
  <si>
    <t>Pleasant appearance.  Swallows heard in the river vicinity.</t>
  </si>
  <si>
    <t>58ed370c-30cb-4eb7-8aa4-50bc80a4fa5c</t>
  </si>
  <si>
    <t>f61b450d-b832-44cb-ad58-a82c0c85e03d</t>
  </si>
  <si>
    <t>c5575f5f-b32d-4ca2-9d4b-a86346394b35</t>
  </si>
  <si>
    <t>3d91c194-2b9e-4167-9415-f741087766ff</t>
  </si>
  <si>
    <t>2a70b2f9-280a-4841-87cf-c771aca4d83d</t>
  </si>
  <si>
    <t>3730471c-e4c7-4d4b-b345-f4fd3fddeb49</t>
  </si>
  <si>
    <t>13cad749-52a7-4117-8e25-1e46e5d8e1a5</t>
  </si>
  <si>
    <t>Phosphate off scale so value underrecorded</t>
  </si>
  <si>
    <t>8d1f9e3d-5fc8-4cdf-b261-cc069ca915d8</t>
  </si>
  <si>
    <t>152ebf9d-77ec-46c2-9516-243b73c560c7</t>
  </si>
  <si>
    <t>2209254a-aa82-4813-b56f-27f5603c3ecd</t>
  </si>
  <si>
    <t>5ed4d10e-e11d-45df-8913-60a4354d3f18</t>
  </si>
  <si>
    <t>528871cf-e8c1-4bf3-89ee-dc264781dad9</t>
  </si>
  <si>
    <t>Highest EC score since we started testing in October.Linked to spraying on farmland we think</t>
  </si>
  <si>
    <t>794164c1-3cbf-4ca2-a633-1e8e22a4ace2</t>
  </si>
  <si>
    <t>Normal</t>
  </si>
  <si>
    <t>badd480f-aa8d-4857-84e5-1829e30a03bb</t>
  </si>
  <si>
    <t>155d5e33-85a7-47de-bfa5-09daa7fb0b12</t>
  </si>
  <si>
    <t>42e0a972-1f83-4794-a222-ce8c64f76de2</t>
  </si>
  <si>
    <t>73f1b712-7a94-41f1-827c-87f40776e2fb</t>
  </si>
  <si>
    <t>9b543db0-9e79-403b-8026-83a15421feba</t>
  </si>
  <si>
    <t>e17ed909-cea8-4e0e-ab01-e621e892a3fd</t>
  </si>
  <si>
    <t>afc1b1f8-17af-4ec6-a410-11372f0a2128</t>
  </si>
  <si>
    <t>21b99809-50e1-4736-b7e6-f446a0323c80</t>
  </si>
  <si>
    <t>Low green water. No scum.Quite clear.</t>
  </si>
  <si>
    <t>c0c6b22c-d3b1-40ae-9de8-07f448a2f7fb</t>
  </si>
  <si>
    <t>a8643032-f684-4d0d-a7dd-e656a483d675</t>
  </si>
  <si>
    <t>Warm dry brown clear slow</t>
  </si>
  <si>
    <t>0c8ad18a-c0b6-4ff6-8cff-da4209ccc110</t>
  </si>
  <si>
    <t>99b0bb00-15a8-11ef-a549-ad8311e2328c</t>
  </si>
  <si>
    <t>Looking clear</t>
  </si>
  <si>
    <t>7d06b169-2f84-48ef-bad5-fedcc1003cf7</t>
  </si>
  <si>
    <t>f65ba866-a285-44fe-93ae-7e7f5b145616</t>
  </si>
  <si>
    <t>a0617872-f53a-4e3a-996d-9af18aa7c2c6</t>
  </si>
  <si>
    <t>4c2e333d-6ea7-4a20-9823-5e83d80145b8</t>
  </si>
  <si>
    <t>55f94c40-63ff-4404-9191-6ed9e7b4ab33</t>
  </si>
  <si>
    <t>37176442-a458-49e6-b53e-bc416255665e</t>
  </si>
  <si>
    <t>52f645c1-c63f-46d9-820a-e2864cb34a0a</t>
  </si>
  <si>
    <t>71abad42-ea98-4e53-a4c9-a5d96377700a</t>
  </si>
  <si>
    <t>Nitrites 0.2</t>
  </si>
  <si>
    <t>f8afca6a-5ce8-42d6-a8b8-f04a49c6d05c</t>
  </si>
  <si>
    <t>Nitrites: 0; Warm, dry and shallow stream at this point. Time not accurate.</t>
  </si>
  <si>
    <t>f83bdf22-42cb-41d0-9702-e2240eeabd65</t>
  </si>
  <si>
    <t>Warm, dry and shallow stream at this point</t>
  </si>
  <si>
    <t>70112f2d-d401-4ebb-bee3-db62c562333f</t>
  </si>
  <si>
    <t>Nitrites: 0.15; After a dry week. Time not accurate.</t>
  </si>
  <si>
    <t>5b406ed0-37df-45c7-8d8c-f1d89de810da</t>
  </si>
  <si>
    <t>After a dry week</t>
  </si>
  <si>
    <t>429f9801-1530-490a-8f13-7dcea5d4148a</t>
  </si>
  <si>
    <t>5f5b18db-cd42-4eaa-8bd5-2ece1d61c8e5</t>
  </si>
  <si>
    <t>aa9407c0-cd3a-11ef-8a1f-e5630c87e35c</t>
  </si>
  <si>
    <t>436ae7b9-338e-458d-841a-204f46277b70</t>
  </si>
  <si>
    <t>5d32d6d0-a283-4ea0-9e92-a74904c401c3</t>
  </si>
  <si>
    <t>Muddy coloured water.</t>
  </si>
  <si>
    <t>51515883-cea3-4f98-9221-e510825ef718</t>
  </si>
  <si>
    <t>Rainy and rising river levels</t>
  </si>
  <si>
    <t>5261eae9-a282-42a8-8fd6-16203985c019</t>
  </si>
  <si>
    <t>8d952e09-7eb6-4b25-a12d-d0dc7a75fed1</t>
  </si>
  <si>
    <t>7c5ee228-3051-42a0-8b77-85ffe3d03ed2</t>
  </si>
  <si>
    <t>Reasonable fast flowing river after rains</t>
  </si>
  <si>
    <t>52a8a557-fadc-47f3-8454-5cb0470bd728</t>
  </si>
  <si>
    <t>Muddy again after day of heavy rain. Jetty submerged</t>
  </si>
  <si>
    <t>6ea8c422-7388-4af6-aa1f-cf68f75bd1ae</t>
  </si>
  <si>
    <t>ce5a240f-c85a-4b25-a1d3-ce3914f4a221</t>
  </si>
  <si>
    <t>Recently flooded. Still a bit high. Brown silty. No scum.</t>
  </si>
  <si>
    <t>b0c6f7cb-c6d5-4e25-830c-6753b53248cb</t>
  </si>
  <si>
    <t>Low slow flow brown some scum</t>
  </si>
  <si>
    <t>51a7cc45-392b-4cb4-a4d4-210f61979328</t>
  </si>
  <si>
    <t>970e7edd-d6ee-4c28-a864-87d146fca9ea</t>
  </si>
  <si>
    <t>165cd3ca-bd1c-4558-be72-7e62821aae7c</t>
  </si>
  <si>
    <t>778201f0-1e5f-11ef-8277-51f9655d92c9</t>
  </si>
  <si>
    <t>.</t>
  </si>
  <si>
    <t>d781c5a0-1e5e-11ef-8277-51f9655d92c9</t>
  </si>
  <si>
    <t>226831fd-b517-4f60-a397-334e71b53d0b</t>
  </si>
  <si>
    <t>68579410-47fe-11ef-b545-71ff5e2f5541</t>
  </si>
  <si>
    <t>a3384cef-3d82-4872-82de-3e99703a1e77</t>
  </si>
  <si>
    <t>a9d8fcd0-47fe-11ef-b545-71ff5e2f5541</t>
  </si>
  <si>
    <t>2bb46e54-d5d6-408b-8faf-83202755b3a9</t>
  </si>
  <si>
    <t>d826c720-47fe-11ef-b545-71ff5e2f5541</t>
  </si>
  <si>
    <t>cb760d60-cec7-11ef-b1bd-37d65fab9ff1</t>
  </si>
  <si>
    <t>cfc56be6-4365-4111-a88c-c273e7ac714f</t>
  </si>
  <si>
    <t>f8971f80-1c36-11ef-bebf-11a8798c6533</t>
  </si>
  <si>
    <t>c831ea12-c860-4454-a250-fa89520278c4</t>
  </si>
  <si>
    <t>b93e6b8e-dc2a-4f54-b264-0fa4fa25fd5a</t>
  </si>
  <si>
    <t>a17d41b6-2e00-4b81-a823-d53c8c520a59</t>
  </si>
  <si>
    <t>ab039903-18e1-4b9f-8574-eb7eb1c37a98</t>
  </si>
  <si>
    <t>fdfe430a-cec1-4d9d-aafd-b3145a00723d</t>
  </si>
  <si>
    <t>d7d8212c-69a9-4df1-8c1a-8a5d485d4471</t>
  </si>
  <si>
    <t>cda2b518-ae00-4d25-9020-13e961719e84</t>
  </si>
  <si>
    <t>Phosphate reading off the scale so under reported</t>
  </si>
  <si>
    <t>881a8c2c-ed99-4d29-9359-9a7d495d0d2c</t>
  </si>
  <si>
    <t>04cf475a-5017-46e5-81a8-ec9c00ae92b0</t>
  </si>
  <si>
    <t>Water is much clear</t>
  </si>
  <si>
    <t>d2e69092-33d2-41e0-9e86-c8de6fd856fe</t>
  </si>
  <si>
    <t>187c2996-922a-4da1-b125-accbb23a51df</t>
  </si>
  <si>
    <t>7e063a5e-bcb8-47de-afbd-fdb0e08eb8c6</t>
  </si>
  <si>
    <t>93b42621-2933-44c9-823c-54a02ced2887</t>
  </si>
  <si>
    <t>dc3800ba-5473-4a42-b7e4-1796bfa468a3</t>
  </si>
  <si>
    <t>71a5fb4c-a5e0-4745-8475-30ed22020985</t>
  </si>
  <si>
    <t>96873b44-ded8-47f6-833f-857414945dab</t>
  </si>
  <si>
    <t>fde5635b-2171-442b-94aa-8ff019a4dc65</t>
  </si>
  <si>
    <t>1ec68b4b-c087-4428-8f8d-c2c21aa0016d</t>
  </si>
  <si>
    <t>Dry cool calm. Slow water</t>
  </si>
  <si>
    <t>370489d2-2103-47a5-a111-3c61bfe24ec6</t>
  </si>
  <si>
    <t>Dry, cool, calm. River very slow, low.</t>
  </si>
  <si>
    <t>a9b345f5-38b0-49bf-9611-d7725f6696a1</t>
  </si>
  <si>
    <t>Nitrites: 0.1; Dry with showers. Time not accurate.</t>
  </si>
  <si>
    <t>cbc8386e-2a76-4fbe-bec3-700b4b0a401f</t>
  </si>
  <si>
    <t>Dry with showers</t>
  </si>
  <si>
    <t>f6bd584f-432e-491a-a19f-8aa1ac25bf6b</t>
  </si>
  <si>
    <t>Nitrites: 0.1; . Time not accurate.</t>
  </si>
  <si>
    <t>fef68583-b848-45ad-9128-c8fbb7f002c3</t>
  </si>
  <si>
    <t>b4f30fca-f39b-4bf0-aac6-5fcf55a31315</t>
  </si>
  <si>
    <t>Nitrites: 0.2; . Time not accurate.</t>
  </si>
  <si>
    <t>dfa4f7db-930a-4c22-941e-7a8d9f975ce2</t>
  </si>
  <si>
    <t>66525c49-3a07-457b-af8a-9d4c9cccf8d8</t>
  </si>
  <si>
    <t>1728b6e0-cec8-11ef-b1bd-37d65fab9ff1</t>
  </si>
  <si>
    <t>9d22d2e2-8d1f-4d5c-a04d-ce64e771bb94</t>
  </si>
  <si>
    <t>a66d1ea1-f2e6-48dd-9f81-8fffd09a222d</t>
  </si>
  <si>
    <t>a0726050-22b5-11ef-b460-cdd46a34a150</t>
  </si>
  <si>
    <t>99e3e493-34ac-41f8-8bb3-54e5b9b306c0</t>
  </si>
  <si>
    <t>4dd2b617-5567-4f46-844d-21cbfce25cc2</t>
  </si>
  <si>
    <t>Phosphate reading off the scale of is under reported</t>
  </si>
  <si>
    <t>df610d46-9fc7-4bc8-bd3d-fef4dcdae15b</t>
  </si>
  <si>
    <t>Phosphate reading off the scale so under recorded</t>
  </si>
  <si>
    <t>0e4524fb-6207-44d3-bd58-0397c8530bac</t>
  </si>
  <si>
    <t>75121f5c-4fd8-4933-81bc-e21a47f4fa4e</t>
  </si>
  <si>
    <t>Carrant mitton bridge</t>
  </si>
  <si>
    <t>2b40c560-83dc-4414-8a34-7fd88abd8285</t>
  </si>
  <si>
    <t>1bfd3f6b-590a-4c18-96fb-21142d99b146</t>
  </si>
  <si>
    <t>Lots of froth - dirty yellow</t>
  </si>
  <si>
    <t>c9a2ee79-fc98-4375-8f37-4ed4d2e1ec66</t>
  </si>
  <si>
    <t>1361d72c-7c42-48ec-8c53-0ee091fb1ba1</t>
  </si>
  <si>
    <t>ecc91d8c-eada-48a7-80a8-f0fe54a1040c</t>
  </si>
  <si>
    <t>Water very clear</t>
  </si>
  <si>
    <t>1f4858b1-e719-45f8-9582-bcd0e713cd87</t>
  </si>
  <si>
    <t>90fa0f55-5b22-4954-ad00-7665fb22e81e</t>
  </si>
  <si>
    <t>Dry and sunny</t>
  </si>
  <si>
    <t>a7e537a4-0ddf-451c-a5a8-112d093af65c</t>
  </si>
  <si>
    <t>c27a8a1a-3e7b-4a17-a208-5ac38cf92d76</t>
  </si>
  <si>
    <t>ff86a82f-a71f-4833-925d-7d3a734dcdf3</t>
  </si>
  <si>
    <t>a045b662-a58e-43aa-851a-18fe5a37e62c</t>
  </si>
  <si>
    <t>Swillgate TNR 2nd bridge</t>
  </si>
  <si>
    <t>e6745736-88ab-4c09-aa3d-792317ffdbc5</t>
  </si>
  <si>
    <t>Water low but fast-flowing</t>
  </si>
  <si>
    <t>cf8ba859-8450-404d-9b1b-6bee159f823b</t>
  </si>
  <si>
    <t>c2efb53b-f241-4be6-ba7c-d401cf9fae59</t>
  </si>
  <si>
    <t>39b8f1cc-0e8f-4240-9e58-0e4280d46346</t>
  </si>
  <si>
    <t>a846981f-fb5f-4d4b-beee-cfa8c57dfaff</t>
  </si>
  <si>
    <t>Stratford upon avon by RSC</t>
  </si>
  <si>
    <t>Extra testundertaken as part of big green week.i fo not have the exact longitude and latitude</t>
  </si>
  <si>
    <t>c94d340d-fa78-4550-88c4-e0f4dd34b815</t>
  </si>
  <si>
    <t>Dry, no significant recent rain. Slow flow. Sediment in bucket</t>
  </si>
  <si>
    <t>d490cfef-f1ed-4b0f-934a-9fcb68fb9011</t>
  </si>
  <si>
    <t>5721a82c-1c0d-4ff2-a160-af7cde4f2845</t>
  </si>
  <si>
    <t>Dry no significant recent rain. Slow flow</t>
  </si>
  <si>
    <t>60ba8dfa-9c41-44bc-bd1f-0f42d9ddb653</t>
  </si>
  <si>
    <t>4dd33272-9239-45b6-9ea1-9f316943ff2f</t>
  </si>
  <si>
    <t>0f150759-29d0-450d-ae33-bf20800f283c</t>
  </si>
  <si>
    <t>f828ae45-93b8-4c91-9725-e88f2ba9e93f</t>
  </si>
  <si>
    <t>f028b59f-1e0b-42b7-b823-166d738f02ab</t>
  </si>
  <si>
    <t>41a76322-6c34-4729-ae52-137285af5a84</t>
  </si>
  <si>
    <t>Nitrites: 0; Dru few days. Time not accurate.</t>
  </si>
  <si>
    <t>5bcb7406-1d40-41ac-886b-d0fb6d6c8a5f</t>
  </si>
  <si>
    <t>Dru few days</t>
  </si>
  <si>
    <t>df068f8e-1bdd-4af9-a0a0-69c00d474802</t>
  </si>
  <si>
    <t>d57fc8d6-c15d-4ccd-9122-7f6b7a2967d6</t>
  </si>
  <si>
    <t>ff234a72-e083-49ea-83cb-771d22fa0e53</t>
  </si>
  <si>
    <t>eb298c1a-99d5-40e2-8218-ba12760117e6</t>
  </si>
  <si>
    <t>62ff8a30-cec8-11ef-b1bd-37d65fab9ff1</t>
  </si>
  <si>
    <t>d9d8dbf7-42fe-46b9-9a4d-852e7433d123</t>
  </si>
  <si>
    <t>Phosphate off the scale so under reported</t>
  </si>
  <si>
    <t>6fc5683d-7900-484e-a257-dd223002dab0</t>
  </si>
  <si>
    <t>435991dc-dec6-461b-b227-264020af24f9</t>
  </si>
  <si>
    <t>stour Ascott village</t>
  </si>
  <si>
    <t>d72b1479-57dc-41ec-87cf-01d78a0319b6</t>
  </si>
  <si>
    <t>f702eebe-d65f-4309-b29e-49219414093f</t>
  </si>
  <si>
    <t>1d666b71-3dce-44a9-b578-a70e2263ae06</t>
  </si>
  <si>
    <t>65b7777a-0cb9-439d-bf70-4cedfee48924</t>
  </si>
  <si>
    <t>Lots of scum by weir</t>
  </si>
  <si>
    <t>0aefd38d-01ae-41e9-8dce-ebb96452e4a0</t>
  </si>
  <si>
    <t>Alveston Swiffen Bank</t>
  </si>
  <si>
    <t>Fine weather,  little rain in the last 48 hours</t>
  </si>
  <si>
    <t>a99c8319-21cb-488b-9cd2-0451bf28e616</t>
  </si>
  <si>
    <t>aa3e7831-0964-4db2-94aa-f1210afbdc16</t>
  </si>
  <si>
    <t>6f2ccc50-83f3-4a46-bf06-88e1bfb868c0</t>
  </si>
  <si>
    <t>93b6b3b0-9bf0-42df-8b97-22c98087e6ec</t>
  </si>
  <si>
    <t>Centre Mill  Bridge, Peopleton</t>
  </si>
  <si>
    <t>063c7c28-f405-4839-8b4c-b2353c2a3364</t>
  </si>
  <si>
    <t>Stream at standard level</t>
  </si>
  <si>
    <t>0b2f2bf3-f74a-47c1-a9a7-4a761411c215</t>
  </si>
  <si>
    <t>d96abcac-042a-4638-8d66-17522909265f</t>
  </si>
  <si>
    <t>bfdf92cc-0d5a-4cd0-8adb-afb3ff951832</t>
  </si>
  <si>
    <t>73366d4d-4f24-474b-bec5-9adc787b0fcf</t>
  </si>
  <si>
    <t>Water low, fast flowing, sheep with access to water</t>
  </si>
  <si>
    <t>f32c9013-ec59-4ee5-8fcb-4c99b2ce1f36</t>
  </si>
  <si>
    <t>Wet, recent rain not heavy. Clear, slow</t>
  </si>
  <si>
    <t>c404517c-4726-4112-a402-4d7e9bff74b4</t>
  </si>
  <si>
    <t>Wet. Recent rain not heavy. Slow.</t>
  </si>
  <si>
    <t>a8c95ed1-caad-4699-97dd-0bb9ea6f20cc</t>
  </si>
  <si>
    <t>07413e98-c9f2-4cdb-a922-3476d62e5ece</t>
  </si>
  <si>
    <t>08f19baa-46b0-4523-8bee-c8db8ea50586</t>
  </si>
  <si>
    <t>66213450-2c2c-11ef-b75d-6fdbb10664f5</t>
  </si>
  <si>
    <t>2b3301e2-5105-48b1-ac67-389d7de829ea</t>
  </si>
  <si>
    <t>e3b9d30f-26d9-4315-9f1d-dbec2c2b58c2</t>
  </si>
  <si>
    <t>911492b0-47fc-11ef-ad31-bfffe324e33f</t>
  </si>
  <si>
    <t>b204c7ba-4815-4d70-bbf7-de7ba004e536</t>
  </si>
  <si>
    <t>c83577e0-47fd-11ef-ad31-bfffe324e33f</t>
  </si>
  <si>
    <t>58b1b143-cb55-4186-91dd-380ba6daa5d3</t>
  </si>
  <si>
    <t>fa448ff0-47fd-11ef-ad31-bfffe324e33f</t>
  </si>
  <si>
    <t>9e0714e0-cec8-11ef-b1bd-37d65fab9ff1</t>
  </si>
  <si>
    <t>abc6a90a-51a9-4190-aa31-c07c11a4c56d</t>
  </si>
  <si>
    <t>Phosphate off the scale, so under recorded</t>
  </si>
  <si>
    <t>0052e0cb-752c-4bcc-9b82-ac766ae99d88</t>
  </si>
  <si>
    <t>92d33c0a-d925-47f0-a442-79dc97e1a1ec</t>
  </si>
  <si>
    <t>6c25623a-2a4e-4024-b039-bfdd144994d8</t>
  </si>
  <si>
    <t>24966a9f-edef-4fdd-8742-3feab3c93d52</t>
  </si>
  <si>
    <t>9c9ee7ed-94f4-4c47-8cf0-cad6cdbf0aec</t>
  </si>
  <si>
    <t>ba4275cc-2b00-41b7-9cc7-85c9df95a5a9</t>
  </si>
  <si>
    <t>Clear water, small fry swimming.</t>
  </si>
  <si>
    <t>92bf79a4-697a-4a64-86e2-9562f364ef32</t>
  </si>
  <si>
    <t>347c9b58-e8b3-40d9-b3aa-9f5def6162ed</t>
  </si>
  <si>
    <t>b2b8ecf2-81fb-4a1f-8e58-855ab2342d34</t>
  </si>
  <si>
    <t>0e9b19af-005e-49f7-a42e-07575a9dfd2b</t>
  </si>
  <si>
    <t>3544cc13-181b-4db3-ad5a-d0c78e4fc6e4</t>
  </si>
  <si>
    <t>Sunny, minimal overnight rain, river low slow and clear</t>
  </si>
  <si>
    <t>55d51474-ca8d-4d7b-9712-36179d161bcf</t>
  </si>
  <si>
    <t>Sunny, minimal rain overnight. RiverLow , Hazy and slow. Re samples and confirmed Phosphate.</t>
  </si>
  <si>
    <t>5d33584b-3c72-4a6f-b6b1-68eb852207f7</t>
  </si>
  <si>
    <t>039601e8-eb2d-42ed-b44e-88756002eb21</t>
  </si>
  <si>
    <t>2352e821-38b7-4b06-8459-f498ffb1cb5e</t>
  </si>
  <si>
    <t>480e2970-dd36-428a-9e6a-acb7cf85654e</t>
  </si>
  <si>
    <t>2307ddff-7203-412f-b30b-c3d43437cba9</t>
  </si>
  <si>
    <t>3c786ec5-f82c-4518-8e39-f6e080f58c33</t>
  </si>
  <si>
    <t>103d1170-315a-11ef-be8a-7f03c842e60e</t>
  </si>
  <si>
    <t>Plenty of damsel flies</t>
  </si>
  <si>
    <t>c76293bc-6a6e-4d88-8b63-922e5c8e7e9e</t>
  </si>
  <si>
    <t>1f03453f-9510-406d-87f7-0233c6b5cd67</t>
  </si>
  <si>
    <t>6ce05b6f-918c-4eeb-9119-b23f0dc1bd27</t>
  </si>
  <si>
    <t>Nitrites: 0; Dry week, little flow. Time not accurate.</t>
  </si>
  <si>
    <t>72b22da6-ef37-4fb2-b662-aa930429cba5</t>
  </si>
  <si>
    <t>Dry week, little flow</t>
  </si>
  <si>
    <t>effa384e-166d-404f-be31-70fe581a3fe0</t>
  </si>
  <si>
    <t>Nitrites: 0; Highest ec recorded at this site so far....could be due to building works?. Time not accurate.</t>
  </si>
  <si>
    <t>c54fa63a-d4bd-466f-9084-827d717ae039</t>
  </si>
  <si>
    <t>Highest ec recorded at this site so far....could be due to building works?</t>
  </si>
  <si>
    <t>64a4aa16-f386-4f3b-be1e-39ac194dcbea</t>
  </si>
  <si>
    <t>Nitrites: 0; Saw some freshwater shrimp in the sample. Time not accurate.</t>
  </si>
  <si>
    <t>0c655d8c-0527-4f65-9249-93534ad36700</t>
  </si>
  <si>
    <t>Saw some freshwater shrimp in the sample</t>
  </si>
  <si>
    <t>e1d8d640-cec8-11ef-b1bd-37d65fab9ff1</t>
  </si>
  <si>
    <t>41ac1c4d-62d2-4cc5-9958-3d5c4d993d5f</t>
  </si>
  <si>
    <t>Clear water</t>
  </si>
  <si>
    <t>826f5e09-a77e-4e6e-a7c1-a254513af100</t>
  </si>
  <si>
    <t>Clearing nicely</t>
  </si>
  <si>
    <t>dd28a461-9131-41b5-8b45-d02bb4eb235c</t>
  </si>
  <si>
    <t>Water low but fast flowing, clear but green colour</t>
  </si>
  <si>
    <t>41ac0a08-f642-452e-be18-f927c0d4ce1f</t>
  </si>
  <si>
    <t>0664cf3d-d87b-422b-bfa9-586b2c0647b1</t>
  </si>
  <si>
    <t>145b4f5b-834e-485c-a17d-7cce2be0e331</t>
  </si>
  <si>
    <t>Hot and dry weather</t>
  </si>
  <si>
    <t>c81d35e0-5b96-41ea-b9cd-a71890953034</t>
  </si>
  <si>
    <t>9688508e-5056-409e-8feb-f9ff14228b15</t>
  </si>
  <si>
    <t>5296e517-02e1-4cec-aa7c-df4962a6344a</t>
  </si>
  <si>
    <t>Sunny dry period</t>
  </si>
  <si>
    <t>42703fae-cf29-4d7c-b498-3f9f99522485</t>
  </si>
  <si>
    <t>e918c2e9-404a-4746-8b21-4dc3846d6eef</t>
  </si>
  <si>
    <t>55768222-43d5-4c0e-8fa8-ab44887f60c0</t>
  </si>
  <si>
    <t>Carrant back lane Beckford</t>
  </si>
  <si>
    <t>c6c22870-793f-4184-aa50-da495a2d3911</t>
  </si>
  <si>
    <t>Carrant Beckford sewage works</t>
  </si>
  <si>
    <t>4316cdae-4ade-4430-a3ea-9b37e71c3005</t>
  </si>
  <si>
    <t>Centre Mill Bridge, Peopleton</t>
  </si>
  <si>
    <t>Dry period</t>
  </si>
  <si>
    <t>52dd174a-8473-4e1e-935b-959f53e364d6</t>
  </si>
  <si>
    <t>1f1db2fa-0e02-440f-bf8e-4523bf3a345c</t>
  </si>
  <si>
    <t>Dry and cloudy. Water low, clear, slow</t>
  </si>
  <si>
    <t>e154523e-c7d1-4968-bdb4-7419a9be48b1</t>
  </si>
  <si>
    <t>Dry and cloudy. Water low, clear and slow.</t>
  </si>
  <si>
    <t>d974f04f-7e05-489c-b2c9-cfae7ae10578</t>
  </si>
  <si>
    <t>8fb5a430-4bad-4074-b95c-b8226fcfff64</t>
  </si>
  <si>
    <t>59f69a8c-b2f2-4033-aeb8-20e0578a605b</t>
  </si>
  <si>
    <t>5d3f6490-e0cd-4eaf-9290-3d0e94faab60</t>
  </si>
  <si>
    <t>34895cdb-79ad-4f0c-9e95-7cf4115f31b4</t>
  </si>
  <si>
    <t>6e02fb90-3708-11ef-89a2-3fe0a3f4cc59</t>
  </si>
  <si>
    <t>Fell Mill footbridge</t>
  </si>
  <si>
    <t>4bc1d6a5-ca1e-4db0-9bc2-354484ee7e23</t>
  </si>
  <si>
    <t>acf3a4a5-ad01-4b4d-92a9-dd84a772a64f</t>
  </si>
  <si>
    <t>3cccb78e-f409-4351-8b32-b6e5ffc8cf2c</t>
  </si>
  <si>
    <t>64d54a5c-78f1-4eaf-b374-d88fe163f938</t>
  </si>
  <si>
    <t>Nitrites: 0; Dry spell - water low. Time not accurate.</t>
  </si>
  <si>
    <t>ed188b5e-5baf-4a4b-86bc-b900ab22143f</t>
  </si>
  <si>
    <t>Dry spell - water low</t>
  </si>
  <si>
    <t>69f0d6b5-159d-41d1-bbd4-012f698a1f9c</t>
  </si>
  <si>
    <t>Nitrites: 0; Dry spell - water very low. Time not accurate.</t>
  </si>
  <si>
    <t>bc65b0e1-8569-4ae4-a39b-497c18d3716d</t>
  </si>
  <si>
    <t>Dry spell - water very low</t>
  </si>
  <si>
    <t>519a0c1b-f797-47cc-b659-4ef6bce8d9a3</t>
  </si>
  <si>
    <t>Nitrites: 0.3; Dry spell- water low. Time not accurate.</t>
  </si>
  <si>
    <t>95a5cd95-980e-4329-ad47-8253c960347c</t>
  </si>
  <si>
    <t>Dry spell- water low</t>
  </si>
  <si>
    <t>23ed5740-cec9-11ef-b1bd-37d65fab9ff1</t>
  </si>
  <si>
    <t>ec0f72a1-c431-47b6-94ac-55b9a379ac54</t>
  </si>
  <si>
    <t>Cam Chipping Campden Sewage Works</t>
  </si>
  <si>
    <t>First test</t>
  </si>
  <si>
    <t>3f17aed5-a62e-46c7-b0f4-a112f942fe5a</t>
  </si>
  <si>
    <t>Cam Chipping Campden Lady J Gateway</t>
  </si>
  <si>
    <t>e0e52fb6-a98b-43a1-b028-484d51449036</t>
  </si>
  <si>
    <t>ff3e43b1-62e2-4d2c-b67a-2dd6fbbe6196</t>
  </si>
  <si>
    <t>d929dc47-d2fc-49b6-b396-3549a6c1b1ae</t>
  </si>
  <si>
    <t>b3b7c58d-da61-40a7-858f-91d6b4e535e8</t>
  </si>
  <si>
    <t>eee3da3d-fdfa-4c01-9048-4a05c539f4af</t>
  </si>
  <si>
    <t>Water fast flowing, dark green colour</t>
  </si>
  <si>
    <t>bfe8757f-5f43-4ad2-9cd8-99302fea5aaf</t>
  </si>
  <si>
    <t>8b65a41c-b4de-4f21-84a8-512a2ed8e1ef</t>
  </si>
  <si>
    <t>Low level</t>
  </si>
  <si>
    <t>69cb6fba-c5f2-42cb-b29b-440caf2b676d</t>
  </si>
  <si>
    <t>57766fb3-6051-4108-b407-ad3371a56eab</t>
  </si>
  <si>
    <t>dbde660a-34bb-4906-b0f6-ce1c50557e9a</t>
  </si>
  <si>
    <t>Cloudy and dry</t>
  </si>
  <si>
    <t>88bb4153-1d2a-4537-9e61-b09eaad817c2</t>
  </si>
  <si>
    <t>Readings taken day after heavy night rain</t>
  </si>
  <si>
    <t>e6193300-6984-47b5-a155-364daa237133</t>
  </si>
  <si>
    <t>My first reading for SafeAvon</t>
  </si>
  <si>
    <t>080e1e92-5507-41dc-bb2c-28e199ab150e</t>
  </si>
  <si>
    <t>de0153da-5035-41b6-adfc-4e2ccb640a7d</t>
  </si>
  <si>
    <t>b7612b8d-5239-494c-91f6-68b192244e75</t>
  </si>
  <si>
    <t>55f33762-7e39-4a12-b45d-bc09dec5b660</t>
  </si>
  <si>
    <t>6026521f-5b68-423d-9dc9-6852e03d5269</t>
  </si>
  <si>
    <t>Raining. Still. Tested at home.</t>
  </si>
  <si>
    <t>7045c246-1d15-4b00-9265-ffce36d00b45</t>
  </si>
  <si>
    <t>Raining. Still.Tested at home.</t>
  </si>
  <si>
    <t>71e462ed-e3e8-426a-9549-7abd58f45a19</t>
  </si>
  <si>
    <t>Rain through the night.</t>
  </si>
  <si>
    <t>a33083eb-aefc-484f-931a-929c30ace93f</t>
  </si>
  <si>
    <t>395f1dc4-f3b4-4605-8435-b00542c17917</t>
  </si>
  <si>
    <t>ba5591cf-0af8-4310-93b9-e653c8d0f2a8</t>
  </si>
  <si>
    <t>dcb4dc88-060e-4524-a31f-8ed187237d2a</t>
  </si>
  <si>
    <t>b86cc390-3ca9-11ef-a5b7-a72564a79fba</t>
  </si>
  <si>
    <t>2bff353e-11fb-4be4-b5e9-e5612cb6524d</t>
  </si>
  <si>
    <t>30b65453-9a5e-48a8-96e6-d733005c0877</t>
  </si>
  <si>
    <t>Nitrites: 0; Following heavy rain. Time not accurate.</t>
  </si>
  <si>
    <t>a0c523e0-4807-11ef-9d6a-515c86fbb5ad</t>
  </si>
  <si>
    <t>Following heavy rain</t>
  </si>
  <si>
    <t>1167301b-f2e9-46a1-9421-a6f58660198e</t>
  </si>
  <si>
    <t>e21e1d10-4807-11ef-9d6a-515c86fbb5ad</t>
  </si>
  <si>
    <t>f76ce364-24bc-404a-a158-245318cc9368</t>
  </si>
  <si>
    <t>1211a820-4808-11ef-9d6a-515c86fbb5ad</t>
  </si>
  <si>
    <t>65130b70-cec9-11ef-b1bd-37d65fab9ff1</t>
  </si>
  <si>
    <t>2f16671d-3764-44a9-a433-27f828c7c8d3</t>
  </si>
  <si>
    <t>e0b262b7-7b23-4537-9c77-bd289dd0c304</t>
  </si>
  <si>
    <t>47b52e0f-2425-403c-9128-68ee57a40e51</t>
  </si>
  <si>
    <t>e9f25c4f-a4d4-4e2c-b920-9fe954921451</t>
  </si>
  <si>
    <t>02b0b0c5-c93b-4c9f-8593-b98ca5323427</t>
  </si>
  <si>
    <t>9fb23c7d-0735-427e-b1be-a2255ab6168c</t>
  </si>
  <si>
    <t>Water fast-flowing, clear but green in colour.</t>
  </si>
  <si>
    <t>1173adc7-a7a1-4fa4-82b7-49005255d400</t>
  </si>
  <si>
    <t>Bredon docklane</t>
  </si>
  <si>
    <t>7e918f72-132f-4ce4-a991-9d7f2bce0fe4</t>
  </si>
  <si>
    <t>c7c8ddae-cdba-4099-bba8-103758b58c02</t>
  </si>
  <si>
    <t>7fcd427e-97e0-4564-b450-1359cfc2d6a7</t>
  </si>
  <si>
    <t>a63405cd-a558-4817-83ae-e1a0515f4092</t>
  </si>
  <si>
    <t>c1134ba0-11f9-42e9-bbf7-58a22ace65ed</t>
  </si>
  <si>
    <t>Dry. There had been a sewage spill from CSO on 10th July 2024</t>
  </si>
  <si>
    <t>f2303e3e-686e-4ebf-808a-563b63baf6e9</t>
  </si>
  <si>
    <t>86be36a2-e391-40be-b148-2c1932f919fd</t>
  </si>
  <si>
    <t>0abc6c24-bff0-49c8-96a1-39ed761eaac1</t>
  </si>
  <si>
    <t>a8736495-89bb-4676-b21e-9ef45b2e6b41</t>
  </si>
  <si>
    <t>Cool, dry</t>
  </si>
  <si>
    <t>16213d3c-3698-4b47-803b-1d976ff3917a</t>
  </si>
  <si>
    <t>faf8a1e1-6bdd-4f1d-8b5a-17ee5e187af5</t>
  </si>
  <si>
    <t>201a71fe-5d8c-40b4-8563-3ecf32fc69b2</t>
  </si>
  <si>
    <t>3f66a26e-0eea-47ed-8021-284cd3a3a901</t>
  </si>
  <si>
    <t>Drizzle. River clear and slow.</t>
  </si>
  <si>
    <t>0d140a73-c83d-445d-b4cb-e6085a38f926</t>
  </si>
  <si>
    <t>Drizzle. Water clear, hardly moving.</t>
  </si>
  <si>
    <t>48f12617-cab4-4329-96e0-1dffa1aaf051</t>
  </si>
  <si>
    <t>Highest Phosphate Level</t>
  </si>
  <si>
    <t>6f277627-3d0a-43d0-94d8-3015252d1a90</t>
  </si>
  <si>
    <t>157afccb-eda1-4609-b71d-700516d2e17e</t>
  </si>
  <si>
    <t>0d5d9af4-82f8-4df9-aa99-1fb364a943d5</t>
  </si>
  <si>
    <t>9146db30-2bbe-4252-8913-b2e76fb80faa</t>
  </si>
  <si>
    <t>29847322-c8e6-44fb-a2d5-caad68710dcc</t>
  </si>
  <si>
    <t>e9a70072-d0fd-4b62-a85b-1be0b00470a9</t>
  </si>
  <si>
    <t>839d8dc5-1c8c-44d2-9cd0-fd9b18bf4ab7</t>
  </si>
  <si>
    <t>f2e36851-a332-4396-b867-72015fc36a8a</t>
  </si>
  <si>
    <t>6ed42ffc-3752-4670-a4a6-409e4cc4319e</t>
  </si>
  <si>
    <t>038889d4-bcec-4f9a-8ad3-330f36e84e03</t>
  </si>
  <si>
    <t>8b708ab2-32ad-4152-96a9-986909047825</t>
  </si>
  <si>
    <t>Water fast flowing after heavy rain yesterday, dark green in colour. Sheep in field with access to water.</t>
  </si>
  <si>
    <t>d11aa80c-69cd-4b1c-8d53-62ec7eab3cad</t>
  </si>
  <si>
    <t>943628ff-dd07-4eba-9202-2a40b8071e22</t>
  </si>
  <si>
    <t>b5f288b0-fec3-4bcb-b01e-894553069d5d</t>
  </si>
  <si>
    <t>Jackie Price</t>
  </si>
  <si>
    <t>Bredon marina</t>
  </si>
  <si>
    <t>681ed8ac-7879-449b-a316-1144470ca63e</t>
  </si>
  <si>
    <t>8ab3259c-ced4-4c99-ada2-9d715ad6198d</t>
  </si>
  <si>
    <t>Very warm and dry</t>
  </si>
  <si>
    <t>24c20dce-a5a1-4d14-bd1a-6879c51e9229</t>
  </si>
  <si>
    <t>fc815384-5b25-4c23-ab18-5ffff5bac586</t>
  </si>
  <si>
    <t>1 entered as unable to enter high, medium, low</t>
  </si>
  <si>
    <t>90ad6c7f-3dbf-4e9c-978d-adf66b60490e</t>
  </si>
  <si>
    <t>preston Bagot Canal</t>
  </si>
  <si>
    <t>5c62ba1b-6d31-4f39-9284-2829fcce3b11</t>
  </si>
  <si>
    <t>94b729ea-e01f-465a-a107-865619d09a22</t>
  </si>
  <si>
    <t>Carrant Brook Beckford BackLane</t>
  </si>
  <si>
    <t>Zero level on Gov website but some flow.</t>
  </si>
  <si>
    <t>cecf513d-d0e4-40c3-aaf0-93bba1bc94a3</t>
  </si>
  <si>
    <t>18f98523-e57e-4e68-b107-c49113cc3d83</t>
  </si>
  <si>
    <t>Dry hot spell. Now cloudy. Clear low water.</t>
  </si>
  <si>
    <t>0f6f17f2-810d-4482-89f2-9b1aff86179b</t>
  </si>
  <si>
    <t>Dry hot spell. River low slow and clear.</t>
  </si>
  <si>
    <t>8c1b6e71-3184-42ee-b960-e3d8b44534ac</t>
  </si>
  <si>
    <t>Piddle Brook Long Lane Pinvin</t>
  </si>
  <si>
    <t>Dry spell, warm. River hazy and slow. Above the Tip. Below confluence with Whitsun Brook</t>
  </si>
  <si>
    <t>f49bf4d5-e704-401b-bede-119b8ad8f5f2</t>
  </si>
  <si>
    <t>Piddle Brook Norton Beachamp Bridge</t>
  </si>
  <si>
    <t>Hot dry spell. River hazy and slow. Upstream of confluence with WhitsunBrook</t>
  </si>
  <si>
    <t>241d5710-54c0-43b8-89ce-4a4414b75775</t>
  </si>
  <si>
    <t>Piddle Brook North of Radford</t>
  </si>
  <si>
    <t>Hot dry spell. Slow and clear. Above all STWs</t>
  </si>
  <si>
    <t>f6211097-5039-4516-8c6f-5ee99c267ca4</t>
  </si>
  <si>
    <t>Whitsun Brook Rous Church Lench</t>
  </si>
  <si>
    <t>Warm dry spell. Brown tinge to water. Smelly area</t>
  </si>
  <si>
    <t>eae67d9b-4fee-4bd6-9c02-acd2bd2351de</t>
  </si>
  <si>
    <t>Whitsun Brook Church Lench Bridge</t>
  </si>
  <si>
    <t>Brown tinge to water. Wafting smell.</t>
  </si>
  <si>
    <t>e1e2db2f-a1bb-4903-89a5-454456deddbf</t>
  </si>
  <si>
    <t>Whitsun Brook Rous Lench Bishampton</t>
  </si>
  <si>
    <t>Clear, not brown. Hot dry spell. No Nitrate test done.</t>
  </si>
  <si>
    <t>fa3bb001-a89a-40e4-bf04-e34134b9023f</t>
  </si>
  <si>
    <t>Whitsun Brook north of Bishampton</t>
  </si>
  <si>
    <t>Water clear. Hot dry spell.</t>
  </si>
  <si>
    <t>099f3b75-e3bd-4509-a4da-78c4860ade51</t>
  </si>
  <si>
    <t>3c3a1afb-f7af-43f7-aa78-553dcbecbef9</t>
  </si>
  <si>
    <t>0f1bbb73-d1b4-4c9c-a7f1-8717cc610dd3</t>
  </si>
  <si>
    <t>60b579ef-dcac-4c58-b836-8a2d65135a65</t>
  </si>
  <si>
    <t>Nitrites: 0; Dry and very warm for the last 3 days (29 C). Time not accurate.</t>
  </si>
  <si>
    <t>597ef854-22b0-4ea8-b652-f83581680ec8</t>
  </si>
  <si>
    <t>Dry and very warm for the last 3 days (29 C)</t>
  </si>
  <si>
    <t>8ad6bbe0-f258-43ea-bd27-73b8d33a37f0</t>
  </si>
  <si>
    <t>895681df-c8d5-4556-8b2c-0c74c41b6065</t>
  </si>
  <si>
    <t>a6fe3678-64c1-4ca4-a2cc-adee7076ec57</t>
  </si>
  <si>
    <t>25296f91-fbc0-4b6c-81c6-dc9d0e5f2187</t>
  </si>
  <si>
    <t>c89e4a60-cec9-11ef-b1bd-37d65fab9ff1</t>
  </si>
  <si>
    <t>ad8aaa03-ae2d-414e-90e7-9c4b5a4bc31e</t>
  </si>
  <si>
    <t>Morning after rain</t>
  </si>
  <si>
    <t>a94c39b3-6cad-48c3-9911-d5845fd7ddad</t>
  </si>
  <si>
    <t>c2f200d0-ed93-450e-839f-d1773022a386</t>
  </si>
  <si>
    <t>1a5390d7-563c-40c9-b813-6a09f27e42a0</t>
  </si>
  <si>
    <t>e5419810-47a2-11ef-aa3b-fde3b9b8f1fa</t>
  </si>
  <si>
    <t>88310a5d-f8fd-4a0f-b875-9b21c8378990</t>
  </si>
  <si>
    <t>923bfae2-739b-4513-a3c8-85d6a160e135</t>
  </si>
  <si>
    <t>69d6018a-404d-40f3-8af2-e38a07020bdd</t>
  </si>
  <si>
    <t>10854eee-2b24-4b92-a957-142ab7c73d56</t>
  </si>
  <si>
    <t>6c35c281-587c-460a-adc3-19089923076d</t>
  </si>
  <si>
    <t>86ee4cfa-4753-4dda-aec3-483e7d314c36</t>
  </si>
  <si>
    <t>adb18144-0acb-4c33-a374-ef747fed77ca</t>
  </si>
  <si>
    <t>e2e0ef44-4c3f-42a5-86aa-ba2122cd1aa8</t>
  </si>
  <si>
    <t>595dd3e3-ff25-4937-90b6-6d77931e799e</t>
  </si>
  <si>
    <t>9ecd261c-c835-4bf0-9323-09a1388e13a6</t>
  </si>
  <si>
    <t>ecc1cd65-0f20-44eb-865b-26da9b9a9eb0</t>
  </si>
  <si>
    <t>Riverwas minus 0.5..slightly lower than usual</t>
  </si>
  <si>
    <t>3cabfe7a-f66e-4b63-b062-8667781efd91</t>
  </si>
  <si>
    <t>5123a886-92d4-4770-a63b-e39731813392</t>
  </si>
  <si>
    <t>523304bc-b5ea-48a3-bd39-4821b4c1891f</t>
  </si>
  <si>
    <t>a19b3837-34bc-4267-8866-b5c82750def3</t>
  </si>
  <si>
    <t>dfc7eff1-4674-477f-a871-4b51a9966812</t>
  </si>
  <si>
    <t>d8e48725-dd07-4ebb-87fa-64e412c0e481</t>
  </si>
  <si>
    <t>Carrant Brook Back Lane Beckford</t>
  </si>
  <si>
    <t>27de898d-1003-46e8-97d5-0a78e0ba112e</t>
  </si>
  <si>
    <t>Warm, dry</t>
  </si>
  <si>
    <t>3982d493-0155-4bbd-bcd5-153887d41fbd</t>
  </si>
  <si>
    <t>2d789485-3b7c-4003-b870-744a06e298cc</t>
  </si>
  <si>
    <t>d5829518-8829-4a02-935d-ba0b8afff99f</t>
  </si>
  <si>
    <t>Sunny day. No rain in last 24 hours</t>
  </si>
  <si>
    <t>dde2da79-d5bc-4465-8a1b-5cf442d39335</t>
  </si>
  <si>
    <t>Clear. Sunny. Steady clear flow</t>
  </si>
  <si>
    <t>abfd9b1e-4018-4287-b477-bcd42491de20</t>
  </si>
  <si>
    <t>94683628-b7e5-4946-aa57-8787d910bdf6</t>
  </si>
  <si>
    <t>Clear, Sunny, Water clear and still.</t>
  </si>
  <si>
    <t>d1f3598a-8419-43d7-be62-0606b4a73ef8</t>
  </si>
  <si>
    <t>578dab72-4dae-4385-afa5-25e63139067a</t>
  </si>
  <si>
    <t>8381be3f-95ac-48dd-bfae-a1875afddcfd</t>
  </si>
  <si>
    <t>48e6b0fb-32c3-4d67-955b-81ba89ab1f63</t>
  </si>
  <si>
    <t>10ca5319-47cb-4806-b236-ba86ba4973f7</t>
  </si>
  <si>
    <t>8041a501-03e3-494b-bae6-ab5bcb8873bc</t>
  </si>
  <si>
    <t>b6417dfd-0069-4cf7-9349-0f45063086d5</t>
  </si>
  <si>
    <t>603d4de3-60d3-448d-8706-9792af3bf6af</t>
  </si>
  <si>
    <t>0dfbd270-50b3-11ef-8ec3-e3dfc32355e8</t>
  </si>
  <si>
    <t>EC Machine failed - batteries needed replacing.  Temp is an estimation.</t>
  </si>
  <si>
    <t>d4b56e5b-77d6-4d1f-b8c6-eb2198f8e2f6</t>
  </si>
  <si>
    <t>d0ab2866-5eea-412b-a4de-5ea9da0a91ac</t>
  </si>
  <si>
    <t>Water fast flowing</t>
  </si>
  <si>
    <t>8b731966-45ae-45ad-b5d5-7523b0c68fae</t>
  </si>
  <si>
    <t>No rain.in past 5 days..very dry</t>
  </si>
  <si>
    <t>f4428f23-e669-4cba-ade8-63149f5d6928</t>
  </si>
  <si>
    <t>No rain recently</t>
  </si>
  <si>
    <t>8709035e-726c-4139-8391-13eb128d7ab6</t>
  </si>
  <si>
    <t>Carrant A38</t>
  </si>
  <si>
    <t>0a09936e-b998-4521-b617-3ff39c512be7</t>
  </si>
  <si>
    <t>fcd850b0-a1c5-4ce1-9891-6897b50f9a3d</t>
  </si>
  <si>
    <t>c254e340-f641-47d0-9587-360b2076245b</t>
  </si>
  <si>
    <t>e64435d3-9271-4a2c-9146-3dd73cc2a37f</t>
  </si>
  <si>
    <t>River low after days of hot weather</t>
  </si>
  <si>
    <t>5fc4d5b2-9b1c-47ff-9541-1e81987b3b8a</t>
  </si>
  <si>
    <t>Dry warm overcast. Rain elsewhere. Water slow clear green.</t>
  </si>
  <si>
    <t>8260b404-e830-4c0d-969e-4ab17714b2e4</t>
  </si>
  <si>
    <t>Clear but green. Dry sunny warm. Light breeze. Very little rain here.</t>
  </si>
  <si>
    <t>020c61d2-bb53-46b6-b1ac-c7be3ebbcf2b</t>
  </si>
  <si>
    <t>Middle street</t>
  </si>
  <si>
    <t>Followsthunderstirmandheavy rain 18 hours ago</t>
  </si>
  <si>
    <t>ff0f158a-673f-4a5c-bfa9-9cf551f35b40</t>
  </si>
  <si>
    <t>Cross leys</t>
  </si>
  <si>
    <t>f12593b1-2b3f-46eb-9d61-2ef07927e45f</t>
  </si>
  <si>
    <t>After sewage works</t>
  </si>
  <si>
    <t>f45c744c-cdfd-4253-9b19-2111e36d2f51</t>
  </si>
  <si>
    <t>f193bc06-36f0-473e-b601-91245f0d971e</t>
  </si>
  <si>
    <t>320ad2e7-4234-490a-9e47-24440c901dcb</t>
  </si>
  <si>
    <t>4ba90b20-ceca-11ef-b1bd-37d65fab9ff1</t>
  </si>
  <si>
    <t>6b405265-ab07-4dbb-8e51-9475ee3739ad</t>
  </si>
  <si>
    <t>b3b5502e-75d5-4be6-b03f-41f5c4667dd5</t>
  </si>
  <si>
    <t>25b5ca37-881a-4df2-9515-fe1a29018d25</t>
  </si>
  <si>
    <t>5d0be5c0-528a-11ef-a1a1-3d9d2be9a0bb</t>
  </si>
  <si>
    <t>Steady flow but surprisingly clear after thunder shower on Thursday.  Swallows, house martins, damsel flies and butterflies around.</t>
  </si>
  <si>
    <t>18768c2f-8814-438a-988a-a85778a2049f</t>
  </si>
  <si>
    <t>3aea7ea6-9d7e-4b93-94b6-5b1c031dce7d</t>
  </si>
  <si>
    <t>f85f25eb-5cd6-49d9-b723-18aac06db929</t>
  </si>
  <si>
    <t>c051e1e0-c78f-4069-91e7-a00949ccb156</t>
  </si>
  <si>
    <t>adfed117-3ef3-4d1d-a02d-b0d32f2ebb76</t>
  </si>
  <si>
    <t>Cam Chipping Campden Craves</t>
  </si>
  <si>
    <t>b0103f45-623d-4dc6-9a7b-26567c70ea17</t>
  </si>
  <si>
    <t>Battery replacement for P</t>
  </si>
  <si>
    <t>21afa1ca-4426-4a8e-a623-e09c93f3c15d</t>
  </si>
  <si>
    <t>15be20c4-fc59-4301-b537-7a721d3ba58a</t>
  </si>
  <si>
    <t>22ba2dac-7f32-4c58-b69b-cf3530098df6</t>
  </si>
  <si>
    <t>51eb7901-6d36-4e05-aa04-327f94202fb0</t>
  </si>
  <si>
    <t>3f686737-1b95-4aa8-9c0a-5d7afe1ca36f</t>
  </si>
  <si>
    <t>bb0cd8b8-e715-4058-96f1-ebbe72f92eeb</t>
  </si>
  <si>
    <t>d150ea70-bdbf-426f-b15b-27da11a16390</t>
  </si>
  <si>
    <t>Water fast flowing, brown</t>
  </si>
  <si>
    <t>059dbd98-215b-45bd-9028-6a3c7e6b9584</t>
  </si>
  <si>
    <t>69da1d42-6820-4c1e-8a82-be395c6cfb5a</t>
  </si>
  <si>
    <t>870f76e2-6739-4bbc-9e3b-a9c49e11cae3</t>
  </si>
  <si>
    <t>No rain in the previous 48 hours.</t>
  </si>
  <si>
    <t>98ec0b0a-1500-442d-8f7e-1d1960e0bb80</t>
  </si>
  <si>
    <t>3171b82b-694c-4d0d-bdca-59edef05b898</t>
  </si>
  <si>
    <t>cd9b139e-93ce-4ae0-a537-1886e444f1ee</t>
  </si>
  <si>
    <t>Slow clear flow. Cloudy and breezy</t>
  </si>
  <si>
    <t>70db069a-ec3c-4f8f-8a96-40c725d7815b</t>
  </si>
  <si>
    <t>Cloudy and breezy, water slow and clear.</t>
  </si>
  <si>
    <t>8edd2f0d-bf71-4a7b-9712-406991dbd9d5</t>
  </si>
  <si>
    <t>Low flow</t>
  </si>
  <si>
    <t>ed2c6b1c-afa4-4814-8a21-dabd6d03be1e</t>
  </si>
  <si>
    <t>Fosseway Brook, Cross Leys</t>
  </si>
  <si>
    <t>4d1f49c0-6777-11ef-a9e5-57dde72569b0</t>
  </si>
  <si>
    <t>a0fda000-6777-11ef-a9e5-57dde72569b0</t>
  </si>
  <si>
    <t>0c32bf35-a627-4e2c-bf85-0be55b9b9b09</t>
  </si>
  <si>
    <t>6f45768c-ce47-4d0b-990e-6594a1f40e35</t>
  </si>
  <si>
    <t>Fosseway Brook, ST outflow</t>
  </si>
  <si>
    <t>078abea9-de61-44e5-b952-a5386bcb6e24</t>
  </si>
  <si>
    <t>59c73089-3263-4d1d-ba6f-fe7441645d13</t>
  </si>
  <si>
    <t>River low,after many warm days</t>
  </si>
  <si>
    <t>44cf3d29-2b3c-45e8-bf47-7db4345455c2</t>
  </si>
  <si>
    <t>7c326313-4285-414a-9c29-073e78063b9f</t>
  </si>
  <si>
    <t>f28e5e7e-4537-47de-bb5e-abd4ea6e1b0a</t>
  </si>
  <si>
    <t>0e6f1331-ce3a-4da2-a4d4-f256c059b2d0</t>
  </si>
  <si>
    <t>Carrant Brook Back 8</t>
  </si>
  <si>
    <t>Hot day</t>
  </si>
  <si>
    <t>caf45820-58c4-11ef-89bf-a397d218a523</t>
  </si>
  <si>
    <t>b2bb0a08-03a1-46e1-a7bb-2d2a0ac553ae</t>
  </si>
  <si>
    <t>521182ad-e37a-4907-9dca-90d25c7f7c3a</t>
  </si>
  <si>
    <t>8c6bb7d7-323a-4630-977c-2c6e06e6b374</t>
  </si>
  <si>
    <t>149e0d10-3415-4ace-99db-10518d8cbdc0</t>
  </si>
  <si>
    <t>a6f53e90-5be9-4d16-b29a-7ef878351a67</t>
  </si>
  <si>
    <t>38c7cda7-f30e-44a6-b81d-faac69836c4d</t>
  </si>
  <si>
    <t>64bb43d8-c126-4140-8ee9-dda3f3eac9b7</t>
  </si>
  <si>
    <t>72a177fd-46a5-475b-906f-069499d66448</t>
  </si>
  <si>
    <t>Cam chipping Campden craves</t>
  </si>
  <si>
    <t>dcab37ba-284b-45e1-b47d-702de275db37</t>
  </si>
  <si>
    <t>Water flowing gently</t>
  </si>
  <si>
    <t>9345215b-c057-45e5-a58a-cdc18b469888</t>
  </si>
  <si>
    <t>Bredon Marina</t>
  </si>
  <si>
    <t>Point just low cso</t>
  </si>
  <si>
    <t>5ec605b9-4eb1-4994-8605-52d69f34982f</t>
  </si>
  <si>
    <t>Heavy rain during the previous  night I.e. within the last 24 hours.</t>
  </si>
  <si>
    <t>5eb6ff16-3912-4cbf-8487-ea036e784362</t>
  </si>
  <si>
    <t>Heavy rain overnight and continuing light rain all morning</t>
  </si>
  <si>
    <t>5e27df43-b56a-4335-8377-5d221bd386da</t>
  </si>
  <si>
    <t>fd548a59-ace2-44ed-b4aa-af497d90a327</t>
  </si>
  <si>
    <t>07451b57-4c93-4c6c-840c-56c3c3f6d77b</t>
  </si>
  <si>
    <t>ac90d7dc-0507-4d22-9a09-3de89813a91e</t>
  </si>
  <si>
    <t>ca4d6eba-1ebe-4dc3-9001-b5d96d786ec8</t>
  </si>
  <si>
    <t>3a3f0f19-2335-4ede-a7c0-3fe5da3911c6</t>
  </si>
  <si>
    <t>Sunny and calm. River slow and clear.</t>
  </si>
  <si>
    <t>016b3c43-9a22-4362-b22f-294556ff6de9</t>
  </si>
  <si>
    <t>Sunny and calm, water clear, hardly moving.</t>
  </si>
  <si>
    <t>943f5b11-9160-47fa-b8d6-6237db7a6c6b</t>
  </si>
  <si>
    <t>901dddf2-d5ff-42f4-883e-e55879b1a3b7</t>
  </si>
  <si>
    <t>2ef77fd1-d1f3-4e0e-9c85-8ccd3f830310</t>
  </si>
  <si>
    <t>39d256d0-5cca-11ef-8fb2-39724c024ce1</t>
  </si>
  <si>
    <t>edd8ac9f-b5ef-4191-8788-66499cf291bd</t>
  </si>
  <si>
    <t>9c6062de-f4e0-4ea5-883f-5617551af021</t>
  </si>
  <si>
    <t>a8dc7600-bcb8-401c-b3f5-7509c73e4a56</t>
  </si>
  <si>
    <t>bf330650-7ebd-48c4-b4c4-55be9d178e2c</t>
  </si>
  <si>
    <t>After very dry spell (unable to sample the Cross Leys site this week dilute to insufficient water /accessibility)</t>
  </si>
  <si>
    <t>c2a4c463-cbad-4294-be06-f3bfad89c466</t>
  </si>
  <si>
    <t>d42c76aa-a9c5-448f-a5dc-65da72387e8e</t>
  </si>
  <si>
    <t>After very dry spell</t>
  </si>
  <si>
    <t>91ed7d55-ff95-4c6d-b04e-11a960a5b1bd</t>
  </si>
  <si>
    <t>Phosphate reading off the scale so under</t>
  </si>
  <si>
    <t>c3c537cc-610f-4e46-9e91-fd8034870ced</t>
  </si>
  <si>
    <t>3713b671-5b2c-422d-94b3-53803ff34140</t>
  </si>
  <si>
    <t>0f5dec10-1f1d-41e1-86b3-5ad3f30fac5b</t>
  </si>
  <si>
    <t>cb4be598-81a0-4db9-b41c-0d3ae3bb088c</t>
  </si>
  <si>
    <t>74185210-c94e-4052-aa71-9cf6daac914a</t>
  </si>
  <si>
    <t>f6b07239-bc49-41f8-a5dd-5f8e37a1d660</t>
  </si>
  <si>
    <t>Ph checker fault observed</t>
  </si>
  <si>
    <t>7c0f6277-d83f-44fe-94f7-f700176351ee</t>
  </si>
  <si>
    <t>39fe67c5-0116-4631-be15-fe8c522bc882</t>
  </si>
  <si>
    <t>2502a857-29fa-4e31-bbc6-1488110eeb0d</t>
  </si>
  <si>
    <t>59f509e9-f4f5-4012-af87-873848715bfc</t>
  </si>
  <si>
    <t>3a399b66-2b52-4d9d-bf5b-8c631e648280</t>
  </si>
  <si>
    <t>6ecacb01-4e72-4e79-8502-0ca733a21802</t>
  </si>
  <si>
    <t>8db9d77d-2095-4f8d-985c-26be540da1cf</t>
  </si>
  <si>
    <t>96efd8bb-870e-4908-b71f-d8697e071fa1</t>
  </si>
  <si>
    <t>a9214fc2-7356-4d4c-a68e-e3ca6ec97608</t>
  </si>
  <si>
    <t>Very little rain in past 48 hours</t>
  </si>
  <si>
    <t>65a0de00-f1d3-4a1a-8a89-1744ab49a45d</t>
  </si>
  <si>
    <t>Sunny, windy. Dry period.</t>
  </si>
  <si>
    <t>f31f71b3-7494-4f35-b751-9b6e52605843</t>
  </si>
  <si>
    <t>147cf2b4-d388-4d95-9cea-2d313a6ecb45</t>
  </si>
  <si>
    <t>4eeaa2a2-d420-4942-8631-7cba76cfdd5b</t>
  </si>
  <si>
    <t>Raining. Water clear and slow.</t>
  </si>
  <si>
    <t>f164b819-0783-4f09-9273-b72ac87013e4</t>
  </si>
  <si>
    <t>Raining. Nitrate and phosphate done at home. Slow clear brook.</t>
  </si>
  <si>
    <t>346366b4-7b36-4e62-bdd2-41c42804c053</t>
  </si>
  <si>
    <t>Whitsun Brook. Low road, Church Lench</t>
  </si>
  <si>
    <t>Water clear, brown, sample from bridge culvert outfall.</t>
  </si>
  <si>
    <t>44b5aeb5-72c3-499a-b83d-929ab8d452f2</t>
  </si>
  <si>
    <t>Whitsun Brook Atch Lench Road, Church Lench.</t>
  </si>
  <si>
    <t>Clear, brown</t>
  </si>
  <si>
    <t>e66c46a7-cfcc-4b2b-ad91-b397dee0af97</t>
  </si>
  <si>
    <t>acb8e2e6-a856-4f87-94ca-9bf45611883e</t>
  </si>
  <si>
    <t>Taken after heavy morning rain</t>
  </si>
  <si>
    <t>00167682-6898-40b9-9f15-ba34ce364348</t>
  </si>
  <si>
    <t>Heavy rain during day</t>
  </si>
  <si>
    <t>511df0e8-109f-4ae4-9650-9d65685037a3</t>
  </si>
  <si>
    <t>Cross Leys</t>
  </si>
  <si>
    <t>5e5df17e-a809-4a64-a6e4-0648552388c9</t>
  </si>
  <si>
    <t>ST Outflow</t>
  </si>
  <si>
    <t>999086f8-4c89-4e63-ba17-add023e5d43b</t>
  </si>
  <si>
    <t>99e1f50f-3d05-4af9-9f4d-c5eedd3344f6</t>
  </si>
  <si>
    <t>dd435000-6777-11ef-a9e5-57dde72569b0</t>
  </si>
  <si>
    <t>1c370900-6778-11ef-a9e5-57dde72569b0</t>
  </si>
  <si>
    <t>539ffe7f-46d4-4b74-87e8-8d9dcae4d88c</t>
  </si>
  <si>
    <t>dcc6d72a-1361-4e3f-9f2c-4460bfa61590</t>
  </si>
  <si>
    <t>168c4434-09a5-4893-a817-e869e192b467</t>
  </si>
  <si>
    <t>8c38ffff-8990-4ba0-bf18-3b3e96fc221e</t>
  </si>
  <si>
    <t>bdbc14dd-86a3-43a0-bc4c-13a3aed505c5</t>
  </si>
  <si>
    <t>e2c990d0-64ba-11ef-b7a3-11d7e66f0fd9</t>
  </si>
  <si>
    <t>Fell Mill footbridge - River Stour</t>
  </si>
  <si>
    <t>Cattle loose at bridge!</t>
  </si>
  <si>
    <t>493f4a89-9996-43be-8ed2-1f49241de50b</t>
  </si>
  <si>
    <t>On track with Phosphate accuracy</t>
  </si>
  <si>
    <t>71191ffa-4faa-4a55-ac23-ba3dfedba44d</t>
  </si>
  <si>
    <t>8756d67a-357a-4934-b435-578efebc6fd6</t>
  </si>
  <si>
    <t>e580d43f-fa90-4ef0-a8d7-f233f459efce</t>
  </si>
  <si>
    <t>6cf672fd-2621-49d5-aba9-9445bad5ac2e</t>
  </si>
  <si>
    <t>Water clear but greenish coloured</t>
  </si>
  <si>
    <t>1e59cb14-2e85-40da-8597-f046b3db75e2</t>
  </si>
  <si>
    <t>d007ffcf-e2d7-46e9-9683-b8e5b234b969</t>
  </si>
  <si>
    <t>cf37382c-bb9c-436d-a472-fb7b4817f9e7</t>
  </si>
  <si>
    <t>A little rain 36 hours ago</t>
  </si>
  <si>
    <t>5e505974-0612-407b-ac5c-c0634e30f04d</t>
  </si>
  <si>
    <t>Little rain within the last 36 hours</t>
  </si>
  <si>
    <t>61e5b85f-4c31-4fca-8610-44eabf420939</t>
  </si>
  <si>
    <t>775f88d5-4a55-4afe-8fce-4bc4ab7d14f8</t>
  </si>
  <si>
    <t>fff77805-a7c5-4b87-a001-384a928139e4</t>
  </si>
  <si>
    <t>Grey</t>
  </si>
  <si>
    <t>3621c971-d4b5-486f-8b16-7d41213c78e4</t>
  </si>
  <si>
    <t>6a5d2cca-95df-41d8-94fd-e9dc5fd8b68c</t>
  </si>
  <si>
    <t>Very dry...so low flow</t>
  </si>
  <si>
    <t>4c18b982-74d0-4fbf-a8aa-fc5644c99fdd</t>
  </si>
  <si>
    <t>fosseway Brook, Cross Leys</t>
  </si>
  <si>
    <t>V dry</t>
  </si>
  <si>
    <t>35df6e3c-a2ca-49fe-a8e8-b24d0c410a44</t>
  </si>
  <si>
    <t>cbe2cd96-7e09-4758-ae99-2995e50d42b6</t>
  </si>
  <si>
    <t>ebd068ed-aa3f-4564-be00-22c4ea17b006</t>
  </si>
  <si>
    <t>177d342b-93be-4395-a2a4-f3fb332dde32</t>
  </si>
  <si>
    <t>Slow. Clear</t>
  </si>
  <si>
    <t>608f036f-d0d9-4c40-b681-0311c9a4ca43</t>
  </si>
  <si>
    <t>River slow, brown</t>
  </si>
  <si>
    <t>9a11ae29-028c-446a-b90b-297db0fe0f64</t>
  </si>
  <si>
    <t>3e2f1a6b-188b-4eaf-97e9-be0e822c6eeb</t>
  </si>
  <si>
    <t>7cf5b88c-fb94-4535-92ff-2da4d25b1ea7</t>
  </si>
  <si>
    <t>ad9343d6-b529-4151-a706-3eab19ec047e</t>
  </si>
  <si>
    <t>38c969ef-05f9-485d-b36f-a332600e2661</t>
  </si>
  <si>
    <t>There were a lot of recently cut plant strimmings in the river channel partially obstructing the flow (someone has cut back undergrowth around the river bank).</t>
  </si>
  <si>
    <t>f889e142-dac7-4768-ab99-36171d468cfd</t>
  </si>
  <si>
    <t>5e5e7300-696b-11ef-a220-cf9109a76d16</t>
  </si>
  <si>
    <t>Fell Mill Footbridge, River Stour</t>
  </si>
  <si>
    <t>Riverbank field ploughed and harrowed</t>
  </si>
  <si>
    <t>1fff5ed9-470c-4263-8da5-4e681fad130e</t>
  </si>
  <si>
    <t>5790135f-06cf-49c4-ab97-56fc5937d477</t>
  </si>
  <si>
    <t>Water fast flowing after heavy rain</t>
  </si>
  <si>
    <t>0489c359-1747-4d67-aed9-f4b0ac923413</t>
  </si>
  <si>
    <t>5f6b3865-aced-4212-962d-a144881379e7</t>
  </si>
  <si>
    <t>stour Whichford village</t>
  </si>
  <si>
    <t>c579c8dc-2d68-4c54-82d0-6632717b6561</t>
  </si>
  <si>
    <t>Rained overnight</t>
  </si>
  <si>
    <t>a6dc38fc-fc2f-46b0-8ae7-c54d9cca356a</t>
  </si>
  <si>
    <t>Rained a little last night</t>
  </si>
  <si>
    <t>f3032d4a-56f9-41d8-922c-995805069ad4</t>
  </si>
  <si>
    <t>2cc8aa05-2d96-439c-8faa-9de3044f83e0</t>
  </si>
  <si>
    <t>451fc404-b172-4f61-a0c1-d5d4797f864d</t>
  </si>
  <si>
    <t>8d1db8c3-4ba2-44da-bb4b-ad48c30d3f30</t>
  </si>
  <si>
    <t>58e9cb6f-1213-4a3a-a7d9-d3ed00853b37</t>
  </si>
  <si>
    <t>1f277182-d58e-404e-a49e-be8555491624</t>
  </si>
  <si>
    <t>94daa83f-e43e-418b-9e42-e389206d1fcc</t>
  </si>
  <si>
    <t>Very dry and warm spell</t>
  </si>
  <si>
    <t>efc077d4-a9b4-47b9-98ce-fb08c2e9084d</t>
  </si>
  <si>
    <t>64433dfd-8ec0-4e83-a41c-8c8a307d2609</t>
  </si>
  <si>
    <t>Some rain after dry spell. Water clear</t>
  </si>
  <si>
    <t>011c3c94-945e-4484-8c36-f5cd82945b0f</t>
  </si>
  <si>
    <t>53060440-77f9-11ef-bd03-73eda9220ec1</t>
  </si>
  <si>
    <t>4a5f6d10-77f7-11ef-bd03-73eda9220ec1</t>
  </si>
  <si>
    <t>7759bd63-8e19-4217-bedc-75c05d95b712</t>
  </si>
  <si>
    <t>Slow</t>
  </si>
  <si>
    <t>4de12c48-cabc-4dde-abc0-f0d8a4e9d417</t>
  </si>
  <si>
    <t>Slow river</t>
  </si>
  <si>
    <t>932f99ed-5efc-4262-b544-4e3acaea88c7</t>
  </si>
  <si>
    <t>2038260f-e485-48f9-b188-1e378ab6cb06</t>
  </si>
  <si>
    <t>8d4c6d57-bbb1-444e-9844-d1671a2a7c1a</t>
  </si>
  <si>
    <t>5b9d9f40-71c4-11ef-89da-a5d938fb985d</t>
  </si>
  <si>
    <t>5117a445-6c60-446b-9a1c-1850772f2e15</t>
  </si>
  <si>
    <t>b7993808-e3d4-477e-81eb-a2f92402bc7e</t>
  </si>
  <si>
    <t>Sun dry</t>
  </si>
  <si>
    <t>24ace67c-34bb-4503-89ba-3be53ff72bc0</t>
  </si>
  <si>
    <t>Stour Shipston Mill Bridge</t>
  </si>
  <si>
    <t>f66357de-c8bc-47b0-af46-b00ddce4e443</t>
  </si>
  <si>
    <t>8cd9ae4e-3e7b-41a9-beda-2866b73af20f</t>
  </si>
  <si>
    <t>e66ed807-0e89-4a5b-b925-ca7a14f52631</t>
  </si>
  <si>
    <t>a4416299-93e2-4bee-adb4-262e2f33bc17</t>
  </si>
  <si>
    <t>e66f44b8-8acb-4c75-86e4-0051486a9d29</t>
  </si>
  <si>
    <t>dec998b0-15e9-4700-ac26-df504856a606</t>
  </si>
  <si>
    <t>4f741ebe-cd2f-47f3-a5f4-b66cb65c6539</t>
  </si>
  <si>
    <t>636e821c-65d8-4935-a095-4733687bc463</t>
  </si>
  <si>
    <t>Rain within last 36 hours</t>
  </si>
  <si>
    <t>308e1c13-9690-419d-8787-bcf9c895a366</t>
  </si>
  <si>
    <t>Rained quite heavily last 24 hours</t>
  </si>
  <si>
    <t>f17a6c87-7ed5-4b06-92eb-e8bfffbb2c5f</t>
  </si>
  <si>
    <t>Swillgate lowdilow lane</t>
  </si>
  <si>
    <t>MW: changed phosphate from 9.38 to 0.38</t>
  </si>
  <si>
    <t>7c86df33-320e-44b3-9ae7-bfd774116de3</t>
  </si>
  <si>
    <t>ef022603-7b1c-4e27-bbbc-24050e52c1b0</t>
  </si>
  <si>
    <t>9bdffe76-74fa-4575-9d30-bfd7dba6b568</t>
  </si>
  <si>
    <t>28d8aebc-bdb5-46be-9b7c-ece13feeb9f3</t>
  </si>
  <si>
    <t>a49fe8c0-77f9-11ef-bd03-73eda9220ec1</t>
  </si>
  <si>
    <t>7d641dd0-77f9-11ef-bd03-73eda9220ec1</t>
  </si>
  <si>
    <t>f5241004-4f99-4782-8e46-15bca8a3ead7</t>
  </si>
  <si>
    <t>fc2c0524-9b22-43eb-bc9b-0c8b3a7a3334</t>
  </si>
  <si>
    <t>Slow, clear, steady.</t>
  </si>
  <si>
    <t>d9400c8c-6d97-4d6b-bdd8-ebfd04c4adb8</t>
  </si>
  <si>
    <t>Slow, clear, falling</t>
  </si>
  <si>
    <t>0bc35f93-b1d3-435c-be5f-1f88f9e8934c</t>
  </si>
  <si>
    <t>801cd1b0-7476-11ef-87f5-9f270d19985a</t>
  </si>
  <si>
    <t>Fell Mill Footbridge - River Stour</t>
  </si>
  <si>
    <t>e1ff1c42-fb9d-46f8-8bd2-fb7577469768</t>
  </si>
  <si>
    <t>ace57354-65cd-4ad7-9da1-b815f528d1d1</t>
  </si>
  <si>
    <t>c1e633a0-e6c2-4f61-9f92-35fa74b419e6</t>
  </si>
  <si>
    <t>Stour, Shipston, Mill Bridge</t>
  </si>
  <si>
    <t>Dry, no overnight rain</t>
  </si>
  <si>
    <t>f8569764-515b-4fb2-94c1-808964deb5a3</t>
  </si>
  <si>
    <t>ST outflow</t>
  </si>
  <si>
    <t>4ffe375a-a881-4b25-a6e6-60dd7123a7cd</t>
  </si>
  <si>
    <t>be2a1405-927f-4585-a89b-827ed1eb2816</t>
  </si>
  <si>
    <t>7ce9e272-6bbf-4ab4-b249-20ce05d0bc05</t>
  </si>
  <si>
    <t>fe6c7b50-dd6d-4c0d-9065-192b55fee2e4</t>
  </si>
  <si>
    <t>ec6de147-19ae-4d22-a212-16a2037a23db</t>
  </si>
  <si>
    <t>Oily film on the top of the water</t>
  </si>
  <si>
    <t>51884237-3fe0-43b7-a696-aa0d89e2c33c</t>
  </si>
  <si>
    <t>891571a3-cc69-4fa7-8b56-edd086155440</t>
  </si>
  <si>
    <t>Sunny dry. MW: Deleted anomalous nitrate reading of 863</t>
  </si>
  <si>
    <t>bc7060c6-98d4-4bb5-a0e8-1043008c1eb0</t>
  </si>
  <si>
    <t>The craves</t>
  </si>
  <si>
    <t>fc9a5061-af97-42d5-9879-5751da9ad97f</t>
  </si>
  <si>
    <t>f7aa467c-71f9-442d-baab-d7be2ad309f0</t>
  </si>
  <si>
    <t>431374c8-87d6-4615-910a-5839e96f90d2</t>
  </si>
  <si>
    <t>41a182aa-c36b-48b0-bb07-51fcf2697429</t>
  </si>
  <si>
    <t>4f9ed409-afea-4a35-a127-38ca50c757fd</t>
  </si>
  <si>
    <t>83b1824c-563f-42ab-bf43-8bf12b0f0960</t>
  </si>
  <si>
    <t>d9709d80-8128-4b82-88fc-31a1d9d2809c</t>
  </si>
  <si>
    <t>Water flowing fast, greenish coloured</t>
  </si>
  <si>
    <t>033569b2-8159-4547-ac49-a3e564a3e770</t>
  </si>
  <si>
    <t>Twyning key</t>
  </si>
  <si>
    <t>358251c7-4456-49df-b9a6-3e9e9136cf7f</t>
  </si>
  <si>
    <t>65e516dd-d913-494e-97cf-22a04388e540</t>
  </si>
  <si>
    <t>eb02219b-7a5b-46b0-ae10-04f0609fddf3</t>
  </si>
  <si>
    <t>Dry and warm</t>
  </si>
  <si>
    <t>783026b5-98d1-415d-bd34-90c16ca2ce01</t>
  </si>
  <si>
    <t>No rain in preceding 48 hrs</t>
  </si>
  <si>
    <t>2802afc6-03a9-4d55-8aa5-e3baa89eb23a</t>
  </si>
  <si>
    <t>Dull, dry</t>
  </si>
  <si>
    <t>ec2983d9-ebc5-44d0-95b9-2f524ad1f772</t>
  </si>
  <si>
    <t>Preston Bagot brook</t>
  </si>
  <si>
    <t>2473914e-3a44-4d96-a825-db22e037d47a</t>
  </si>
  <si>
    <t>Preston Bagot canal</t>
  </si>
  <si>
    <t>0e88c271-49ee-42cb-b958-2d8c958ab608</t>
  </si>
  <si>
    <t>Dry conditions</t>
  </si>
  <si>
    <t>fa140bbe-76f1-4540-bd5d-f4a40ad5d32e</t>
  </si>
  <si>
    <t>1a3d43f8-228b-46e6-a0db-c666e14f43aa</t>
  </si>
  <si>
    <t>c30a9a30-98ba-4d5f-95cb-dd353cc41a01</t>
  </si>
  <si>
    <t>After dry spell</t>
  </si>
  <si>
    <t>961253d8-2006-410c-a5cd-168a04bf8586</t>
  </si>
  <si>
    <t>937e77b0-78d9-11ef-9425-e763345cf2c9</t>
  </si>
  <si>
    <t>40b662a0-ab0d-47c5-b075-6b7a41c66bfd</t>
  </si>
  <si>
    <t>Turbid. Very heavy rain yesterday</t>
  </si>
  <si>
    <t>2da3213b-e13f-4bf9-a359-74a4b5227802</t>
  </si>
  <si>
    <t>d3f6f4fe-f488-4cb8-a729-3a74afb52826</t>
  </si>
  <si>
    <t>Warm dry, thunderstorms elsewhere. River clear.</t>
  </si>
  <si>
    <t>50b55b17-d088-4866-9112-ceeb72e90dba</t>
  </si>
  <si>
    <t>Warm and dry. Thunderstorms elsewhere. River clear.</t>
  </si>
  <si>
    <t>cdf0fd69-0e97-4d27-9655-b0ef5dbab133</t>
  </si>
  <si>
    <t>e5919188-5e1b-403f-b14b-78e6819b212b</t>
  </si>
  <si>
    <t>After rain</t>
  </si>
  <si>
    <t>2604d0f3-9863-47f3-8753-545ee168555a</t>
  </si>
  <si>
    <t>8c901ef1-08c3-4d10-ac0d-6a793792a377</t>
  </si>
  <si>
    <t>Heavy rain in the last 18 hours</t>
  </si>
  <si>
    <t>32b53fb8-e230-4c80-90f1-0e2e79c04065</t>
  </si>
  <si>
    <t>a9dee3e5-2918-4fe5-aed7-bd4752bf08e6</t>
  </si>
  <si>
    <t>Heavy overnight and day rain resulting in high surging river levels. Plus overflow by Severn Trent reported currently or within the last hour of testing time.</t>
  </si>
  <si>
    <t>7cd991de-9e33-4f3a-8944-cffeae99e2c2</t>
  </si>
  <si>
    <t>Heavy Prolonged Rain through the previous night</t>
  </si>
  <si>
    <t>80d5e22a-14b3-4635-b09b-3cb3cf21cf2b</t>
  </si>
  <si>
    <t>bb786be5-db39-4ddd-8253-b8a00f73bb92</t>
  </si>
  <si>
    <t>Carrant M5 Bridge</t>
  </si>
  <si>
    <t>64de9f8a-57b6-4aaa-88e3-ddf18c85b3c8</t>
  </si>
  <si>
    <t>c502c96b-dd09-4613-8ea3-8dfb0cb64b19</t>
  </si>
  <si>
    <t>6fecf862-2f9f-487c-b516-93127c24cec6</t>
  </si>
  <si>
    <t>Falling level</t>
  </si>
  <si>
    <t>876c9a1a-63b7-4d11-a6da-5df019c85db4</t>
  </si>
  <si>
    <t>River in flood, fast flowing</t>
  </si>
  <si>
    <t>a2bbf239-ac41-4cd2-a3c0-147d90166d6a</t>
  </si>
  <si>
    <t>Flooding following heavy rain</t>
  </si>
  <si>
    <t>fa15b662-f471-46ce-b45e-d018954c2e9c</t>
  </si>
  <si>
    <t>Rising levels</t>
  </si>
  <si>
    <t>478797a9-d91b-4d24-baa4-bc57a32307dd</t>
  </si>
  <si>
    <t>Flood following prolonged rain.</t>
  </si>
  <si>
    <t>547ce239-d288-4020-ad03-9df9d719c1f9</t>
  </si>
  <si>
    <t>Twyning Quay</t>
  </si>
  <si>
    <t>eb671a72-660e-47a3-8a92-8c9face525c0</t>
  </si>
  <si>
    <t>Extremely heavy rain 2 days ago which caused flooding</t>
  </si>
  <si>
    <t>e1603ba9-924d-4a29-9c98-6c3badb81618</t>
  </si>
  <si>
    <t>SSC BREDONS NORTON</t>
  </si>
  <si>
    <t>Heavy rain in last 2 days</t>
  </si>
  <si>
    <t>48b381a2-539f-4b54-988b-92689863fba9</t>
  </si>
  <si>
    <t>aae73c13-7f71-4b3c-9fd8-bb6ee21b2c1e</t>
  </si>
  <si>
    <t>84d102e4-fd59-4946-8d67-05efbcd5f7c9</t>
  </si>
  <si>
    <t>Silty and slow</t>
  </si>
  <si>
    <t>bacae7bc-e7b3-4ba6-911b-e101880ec6b9</t>
  </si>
  <si>
    <t>Avon Smiths Meadow Wyre piddle</t>
  </si>
  <si>
    <t>Middle Cottage not Smiths Meadow. River in flood</t>
  </si>
  <si>
    <t>6f9d1218-d528-41f7-a6e3-92d8cbbaa966</t>
  </si>
  <si>
    <t>Fast flowing and almost overtopping the banks. Very turbid</t>
  </si>
  <si>
    <t>b6931b30-7e8c-11ef-a0ac-2309e64e14f4</t>
  </si>
  <si>
    <t>d5ae00af-439d-421b-859a-7c35e1e828a3</t>
  </si>
  <si>
    <t>Very heavy rain leading to flooding 5 days ago.more very heavy rain night before last through to yesterday at 11 am..river still floodedm.</t>
  </si>
  <si>
    <t>3a5f4dd2-fc1a-45c6-90f1-8ddbbaa612d6</t>
  </si>
  <si>
    <t>Dry, sunny after heavy rain day before</t>
  </si>
  <si>
    <t>940c338d-18a2-4895-bbd9-111284510e36</t>
  </si>
  <si>
    <t>109fda76-8e56-4de0-999c-875b862ff183</t>
  </si>
  <si>
    <t>2f18ff18-fc93-46da-81c0-a99abe89127f</t>
  </si>
  <si>
    <t>Fosseway Brook, Severn Trent Outflow</t>
  </si>
  <si>
    <t>Flooding across road</t>
  </si>
  <si>
    <t>43b27972-5bcb-4442-9b38-f6c52c29efa0</t>
  </si>
  <si>
    <t>a2df0086-329f-4f9b-a423-a653b44c2d00</t>
  </si>
  <si>
    <t>No rain but CSO gushing into river. Small pieces of toilet paper evident. Hence high phosphate reading. Notified EA. Plait of rain and flooding preceding days</t>
  </si>
  <si>
    <t>784bd2eb-c8d7-4eed-873f-e0b882cddb58</t>
  </si>
  <si>
    <t>c8c14b75-d4bd-4596-be80-69b199b794ba</t>
  </si>
  <si>
    <t>64642d7c-4d61-4bd6-a3b3-6ef18761e78b</t>
  </si>
  <si>
    <t>9ba0d44c-508b-4223-a776-3f4975978840</t>
  </si>
  <si>
    <t>Cloudy rain</t>
  </si>
  <si>
    <t>6155d603-e0f4-4558-ae3e-0f2fa794e0b2</t>
  </si>
  <si>
    <t>a18497b3-d6eb-42e2-8666-da3ae7074470</t>
  </si>
  <si>
    <t>Heavy overnight rain. Severn Trent reported a storm overflow spilled 5.10am until 8.43am at Campden Sewage Treatment Works</t>
  </si>
  <si>
    <t>2a1ff7a8-f0ed-4c60-9c69-3af556005ecd</t>
  </si>
  <si>
    <t>The Craves</t>
  </si>
  <si>
    <t>fb792395-0109-46bd-852c-0261b2733caa</t>
  </si>
  <si>
    <t>CSO gushing with foul water</t>
  </si>
  <si>
    <t>5e865ea1-3478-4b8a-a014-65d0b41004cc</t>
  </si>
  <si>
    <t>River flowing very fast, in flood</t>
  </si>
  <si>
    <t>ad22c376-1582-4f50-a69c-fc2feac3dca4</t>
  </si>
  <si>
    <t>74aed8bf-3ef9-4dc9-96fd-87d0b95893a8</t>
  </si>
  <si>
    <t>ca5efb47-ddba-41cb-846a-05c1da26a32a</t>
  </si>
  <si>
    <t>fcb7eb51-0b58-44c9-82c0-65b879b7130d</t>
  </si>
  <si>
    <t>eebca3b8-928b-462a-ac06-5c7d7013d03c</t>
  </si>
  <si>
    <t>River level high. A meter above CSO</t>
  </si>
  <si>
    <t>4a344889-2fdc-49e4-8c05-16b1edb7848c</t>
  </si>
  <si>
    <t>Heavy rain in the last 48 hours.</t>
  </si>
  <si>
    <t>12091a79-7166-4b16-9e41-54808eadb652</t>
  </si>
  <si>
    <t>Heavy rain past 2 days</t>
  </si>
  <si>
    <t>b286dd7e-89b6-4e70-98f7-291e510b3a54</t>
  </si>
  <si>
    <t>Water brown and fast flowing, stream in flood, ford impassable</t>
  </si>
  <si>
    <t>410b07a5-face-49dd-a2c5-17b8b2c544b2</t>
  </si>
  <si>
    <t>95f2950b-6c01-48a0-a01d-7bfb08885905</t>
  </si>
  <si>
    <t>ddf96db0-fdf6-488c-ab08-a37f295c01c0</t>
  </si>
  <si>
    <t>SSC Bredons Norton</t>
  </si>
  <si>
    <t>River above normal. Flowing fast but within banks.</t>
  </si>
  <si>
    <t>cf00c360-b5a7-4905-8b20-301ee54dcab1</t>
  </si>
  <si>
    <t>86a7c8c8-7b22-4f8f-8972-610358e660fb</t>
  </si>
  <si>
    <t>776d5527-5393-4318-9bfa-e1aa545764a0</t>
  </si>
  <si>
    <t>A couple of dry days after prolonged rain</t>
  </si>
  <si>
    <t>78a2821a-001d-45c1-82e6-a7b0904ab51d</t>
  </si>
  <si>
    <t>Twyning quay</t>
  </si>
  <si>
    <t>d67f6c70-9370-11ef-8f78-b171d8f85fb8</t>
  </si>
  <si>
    <t>68e4cca0-9370-11ef-8f78-b171d8f85fb8</t>
  </si>
  <si>
    <t>1cdf3ea6-5fa6-4ddb-b5ef-ef10efadb618</t>
  </si>
  <si>
    <t>Slow and clear, Steady</t>
  </si>
  <si>
    <t>7af01256-ee9c-46dd-abda-5651147692d7</t>
  </si>
  <si>
    <t>Brown silty some debris fast, falling</t>
  </si>
  <si>
    <t>3955057c-5348-4ce7-bf99-959a0aa707ff</t>
  </si>
  <si>
    <t>a4d33d5a-07c0-4e18-9c8b-3b554e6c3c42</t>
  </si>
  <si>
    <t>92e02b2b-7c7c-4799-b28a-2474603836cb</t>
  </si>
  <si>
    <t>c78299f0-8406-11ef-b2d4-09d57b0dc02f</t>
  </si>
  <si>
    <t>ST have been carrying out major improvement works to Shipston's water infrastructure this past week.  Despite recent heavy rainfall depositing debris on the Fell Mill Bridge, the water quality does appear to have improved somewhat.</t>
  </si>
  <si>
    <t>d84ad16f-472f-4eaa-94b6-49a0acae589d</t>
  </si>
  <si>
    <t>Previous 3 days dry</t>
  </si>
  <si>
    <t>022315c5-d2fc-4ad1-857b-76a8526756ed</t>
  </si>
  <si>
    <t>288596f1-cd9b-41b4-a55a-7423b5184f5d</t>
  </si>
  <si>
    <t>80aebcb6-6a29-4a55-8881-bd1d13de9bfe</t>
  </si>
  <si>
    <t>8742d271-737a-41da-8757-b8bed4a94b44</t>
  </si>
  <si>
    <t>31e14ee4-85f5-43a9-b4d1-13849defcf35</t>
  </si>
  <si>
    <t>Sunny heavy rain overnight</t>
  </si>
  <si>
    <t>ed1c82b0-6376-4337-ba3e-325bba750515</t>
  </si>
  <si>
    <t>No rain within the previous 48 hours.</t>
  </si>
  <si>
    <t>d31afb0c-6647-441a-a758-db5d8eb6a326</t>
  </si>
  <si>
    <t>Post flooding</t>
  </si>
  <si>
    <t>0dfe3608-73df-4e33-ad0b-8a1f8cb3fa48</t>
  </si>
  <si>
    <t>1f3de192-d7d7-4d17-9e18-f8298e4b4848</t>
  </si>
  <si>
    <t>8de96985-f79a-450e-8039-eb5fda05b1a1</t>
  </si>
  <si>
    <t>9f2cfedd-77d4-4943-ae5f-d0a3984f333a</t>
  </si>
  <si>
    <t>2628a93f-9743-4dc6-8aea-3ca0103c9260</t>
  </si>
  <si>
    <t>Cam Chipping Campden Sewage Treatment Works</t>
  </si>
  <si>
    <t>4526eb01-a681-47b5-8976-f44d17f93d8f</t>
  </si>
  <si>
    <t>School lane</t>
  </si>
  <si>
    <t>3c6b2bac-bdc8-4d55-88a4-c78ce18264dc</t>
  </si>
  <si>
    <t>Lots of foam on the water</t>
  </si>
  <si>
    <t>cb0f1f28-16b0-4909-8242-b71916a8e16a</t>
  </si>
  <si>
    <t>360332bf-7f9a-44ed-90af-465687e0c7a8</t>
  </si>
  <si>
    <t>SSC Bredon's Norton</t>
  </si>
  <si>
    <t>b6708f0e-a8e9-49ea-9b21-d9d9e90b2e36</t>
  </si>
  <si>
    <t>078cd12d-63ab-4683-a3a8-e2236a48b762</t>
  </si>
  <si>
    <t>76c0030e-c9ef-4045-8ade-8a75b23a5eb4</t>
  </si>
  <si>
    <t>16e4c0be-9b35-44d2-858f-564be9b228d5</t>
  </si>
  <si>
    <t>b45caf2a-1dd7-4005-8880-5ed602117799</t>
  </si>
  <si>
    <t>River swollen after continuous rains</t>
  </si>
  <si>
    <t>8f72a8a4-da30-4565-81ef-e7f8491ca834</t>
  </si>
  <si>
    <t>MW: divided phosphate reading by 100</t>
  </si>
  <si>
    <t>55ca5f64-1a6e-487e-b888-5c315f927575</t>
  </si>
  <si>
    <t>Stour shipston mill bridge</t>
  </si>
  <si>
    <t>260fb82e-775a-4455-babd-2685f4d12b79</t>
  </si>
  <si>
    <t>b3b510e2-7f9d-4d6d-b03b-4eee4e4780e2</t>
  </si>
  <si>
    <t>Avon Smith's Meadow</t>
  </si>
  <si>
    <t>Medium flow, silty</t>
  </si>
  <si>
    <t>8eb9a2a0-9372-11ef-8c49-ffb6836f2e77</t>
  </si>
  <si>
    <t>5319f6a0-9372-11ef-8c49-ffb6836f2e77</t>
  </si>
  <si>
    <t>e075d933-e116-4463-bbbe-21ecfe2b7dea</t>
  </si>
  <si>
    <t>af80eb71-1412-40b3-8c7f-8e72e36dda74</t>
  </si>
  <si>
    <t>Piddle Brook Bridge</t>
  </si>
  <si>
    <t>Slow flow,some foam,silty</t>
  </si>
  <si>
    <t>69e7b62a-5646-48bf-ab4e-a6e239b97eb8</t>
  </si>
  <si>
    <t>afc47e73-e1c3-4982-898e-9b74ae06b8e4</t>
  </si>
  <si>
    <t>4 days after heavy rain</t>
  </si>
  <si>
    <t>3d5733b1-a3b0-43f9-9f5d-3ed4f7357611</t>
  </si>
  <si>
    <t>a2af01b0-8972-11ef-a4db-9151cba85e9a</t>
  </si>
  <si>
    <t>c17c5269-2c0c-4fdb-b836-25ecdde7edfb</t>
  </si>
  <si>
    <t>Cam chipping campden craves</t>
  </si>
  <si>
    <t>65538e31-674a-48c1-b9a6-007046bdf758</t>
  </si>
  <si>
    <t>11aebeca-0c8b-4644-97b3-7d5c8d28f07e</t>
  </si>
  <si>
    <t>4698cc8b-d425-4011-a260-b0288a77b1c0</t>
  </si>
  <si>
    <t>9b3f1d60-431a-4b32-ba5f-b8a8a53d9354</t>
  </si>
  <si>
    <t>da87f64d-fd64-4448-a0ff-8166071d6d79</t>
  </si>
  <si>
    <t>Carters Lane</t>
  </si>
  <si>
    <t>74f6f4a5-f8be-42f8-a478-49aac8c47b58</t>
  </si>
  <si>
    <t>School Lane</t>
  </si>
  <si>
    <t>Test site below sewage outlet</t>
  </si>
  <si>
    <t>7c0925a9-a223-4215-8244-82b12f23bee4</t>
  </si>
  <si>
    <t>4b721377-4c0e-4ca4-a33a-d8eb46edf94e</t>
  </si>
  <si>
    <t>76d4aba6-7817-40d5-bb00-1d7e8642c97d</t>
  </si>
  <si>
    <t>Ford in flood after heavy rain, water brown and fast-flowing</t>
  </si>
  <si>
    <t>50de3765-dee5-499b-b0ff-242a0b59e684</t>
  </si>
  <si>
    <t>Some rain previous night</t>
  </si>
  <si>
    <t>b2e05887-2c47-479d-9ade-22a11cf7f14d</t>
  </si>
  <si>
    <t>Light rain overnight and today</t>
  </si>
  <si>
    <t>1934766f-f856-4e10-8d41-6ca0a869b5a8</t>
  </si>
  <si>
    <t>River Level Normal</t>
  </si>
  <si>
    <t>b47a3685-f8bc-48bb-b9d2-26947c8bea4b</t>
  </si>
  <si>
    <t>f3c3015c-eb8d-46c1-a114-4637a92604c0</t>
  </si>
  <si>
    <t>931b2410-0816-4f34-819e-948c2300db62</t>
  </si>
  <si>
    <t>74b78d51-562b-413b-b974-6f82551445b6</t>
  </si>
  <si>
    <t>dd016105-bea9-409b-9812-604ea997a660</t>
  </si>
  <si>
    <t>Avon Smith's Meadow Wyre Piddle</t>
  </si>
  <si>
    <t>Brown,normal flow</t>
  </si>
  <si>
    <t>16145c90-9373-11ef-8c49-ffb6836f2e77</t>
  </si>
  <si>
    <t>c0e54360-9372-11ef-8c49-ffb6836f2e77</t>
  </si>
  <si>
    <t>c70abb65-2c19-422c-b8da-de6aece16759</t>
  </si>
  <si>
    <t>5ab5fcab-7075-40f2-a34c-dd58a46bf46b</t>
  </si>
  <si>
    <t>Severn in flood. Carrant backing up.</t>
  </si>
  <si>
    <t>57aa0931-bf08-45b5-a7ce-5f3fcbe7e1ce</t>
  </si>
  <si>
    <t>river in flood 6.5 m above normal height. MW: divided phosphate reading by 100</t>
  </si>
  <si>
    <t>5900111d-60a9-4e1e-abd1-5f22d5fbdb08</t>
  </si>
  <si>
    <t>Water just in its banks at this point, after heavy rains</t>
  </si>
  <si>
    <t>1fa2b98c-bca0-4012-a0ee-04b5435c6df4</t>
  </si>
  <si>
    <t>Dry,sunny, after overnight rain</t>
  </si>
  <si>
    <t>7fcf5380-994d-11ef-ae7d-c99084a1b7be</t>
  </si>
  <si>
    <t>Fosseway Brook; Cross Leys</t>
  </si>
  <si>
    <t>Following heavy rainfall</t>
  </si>
  <si>
    <t>01210f10-994d-11ef-ae7d-c99084a1b7be</t>
  </si>
  <si>
    <t>Fosseway Brook; Middle Street</t>
  </si>
  <si>
    <t>cee99200-994d-11ef-ae7d-c99084a1b7be</t>
  </si>
  <si>
    <t>Fosseway Brook; Severn Trent Outflow</t>
  </si>
  <si>
    <t>Following heavy rainfall; water flooding across the road from the water treatment works into the brook</t>
  </si>
  <si>
    <t>be835d27-8df9-4409-8c34-227579b7b1f6</t>
  </si>
  <si>
    <t>Carrant Brook M5</t>
  </si>
  <si>
    <t>45dff7fe-0001-46da-ba3e-d4301ce8c9e3</t>
  </si>
  <si>
    <t>High water</t>
  </si>
  <si>
    <t>ab44cb83-d7af-4586-a39a-2d57e62142a5</t>
  </si>
  <si>
    <t>Heavy rain last 2 days. High water</t>
  </si>
  <si>
    <t>de4b5d64-719d-4baa-af85-7150ad6695df</t>
  </si>
  <si>
    <t>2f5a0100-8f09-11ef-b375-69453adbed05</t>
  </si>
  <si>
    <t>River very full but EC/Temp machine not working again!</t>
  </si>
  <si>
    <t>68d4bcd5-77fc-4f93-8e5d-a914ea48ca27</t>
  </si>
  <si>
    <t>9fcefe2c-f3bb-4034-9e65-05b734c931ba</t>
  </si>
  <si>
    <t>16d2239c-47f4-45d8-beaf-6a868abe8ca6</t>
  </si>
  <si>
    <t>5be85d80-ee8c-418a-9eec-880f6646dd53</t>
  </si>
  <si>
    <t>798a12b0-beda-44a6-8ef3-bf8ce38f132c</t>
  </si>
  <si>
    <t>River high and full after plentiful rainfall this week</t>
  </si>
  <si>
    <t>295346a4-c542-47f3-8059-5c90632b9d1c</t>
  </si>
  <si>
    <t>River very swollen after heavy rainfall the past week</t>
  </si>
  <si>
    <t>35c6f327-3099-4c41-baa0-a318ba564c71</t>
  </si>
  <si>
    <t>Avon and Carrant in flood</t>
  </si>
  <si>
    <t>0c3ac3df-18bb-4435-b197-c34c44d0bdfb</t>
  </si>
  <si>
    <t>e216594f-b0ac-4b4f-bdbd-9ad9cdd7f632</t>
  </si>
  <si>
    <t>River in full flood.Severn Trent overflow shows that Twyning discharged this morning 1109-1120.</t>
  </si>
  <si>
    <t>a6e19043-9ede-4aef-9b75-bf207c2ae2ba</t>
  </si>
  <si>
    <t>8c4aaa67-d0b8-4656-bc25-57694e0caf25</t>
  </si>
  <si>
    <t>Flood water as couldn’t get to main flow</t>
  </si>
  <si>
    <t>f2bdaa95-68f2-4016-a863-77bb42ef94f5</t>
  </si>
  <si>
    <t>School Lane (below outlet)</t>
  </si>
  <si>
    <t>Below outlet</t>
  </si>
  <si>
    <t>be1e251e-ee61-424d-9c50-2497265ef744</t>
  </si>
  <si>
    <t>Seven sailing club</t>
  </si>
  <si>
    <t>d041bb14-be00-4f77-9d65-7e8dd5d12908</t>
  </si>
  <si>
    <t>ec986a1b-6a88-43d6-b9f2-d3ca81fc8796</t>
  </si>
  <si>
    <t>9e945d7f-25d9-4302-91c6-cf93b5491f06</t>
  </si>
  <si>
    <t>89cea397-9bb7-47f3-9527-1777abadb7ab</t>
  </si>
  <si>
    <t>Flood receded. MW: divided phosphate reading by 100</t>
  </si>
  <si>
    <t>02641b34-fdd2-42cd-86c2-bbe8955be476</t>
  </si>
  <si>
    <t>eef9080a-a94d-4cdd-be66-e3c7b970a480</t>
  </si>
  <si>
    <t>ad75cdb5-e65e-40d3-9f63-183c7e687b52</t>
  </si>
  <si>
    <t>4ff5e3d6-1006-4a78-b4da-67d097773676</t>
  </si>
  <si>
    <t>AvonSmith'sMeadow- Wyre Piddle</t>
  </si>
  <si>
    <t>Slow flowing and silty</t>
  </si>
  <si>
    <t>ab875410-3241-4e87-91f2-772a74ccc8b2</t>
  </si>
  <si>
    <t>Rain in previous 24 hours</t>
  </si>
  <si>
    <t>c847da62-a3a7-4728-98cd-fb5d0fafdb84</t>
  </si>
  <si>
    <t>b1deeee0-b07d-4a31-8bb1-23855e70942f</t>
  </si>
  <si>
    <t>MW: deleted 41 degree water temp</t>
  </si>
  <si>
    <t>57151cac-825e-4d3d-8f77-ff90c1342d6a</t>
  </si>
  <si>
    <t>4cb60ca0-1d91-4320-85e4-69e8b46fe24d</t>
  </si>
  <si>
    <t>PiddleBrook-Wyre Piddle Bridge</t>
  </si>
  <si>
    <t>Steady, slow, with debris &amp; scum</t>
  </si>
  <si>
    <t>96748fc8-c430-485a-8b08-0a5423cf8267</t>
  </si>
  <si>
    <t>22a044c0-79a6-4af0-8cea-8394bec5ed8c</t>
  </si>
  <si>
    <t>42e32bc6-8bfb-4d81-b41f-e11605b5784f</t>
  </si>
  <si>
    <t>Medium flow</t>
  </si>
  <si>
    <t>d348bc88-7929-4fa0-a08c-f475dc0fb2aa</t>
  </si>
  <si>
    <t>School Lane below</t>
  </si>
  <si>
    <t>4cedac12-90b1-40a3-a845-c024f7a64e1d</t>
  </si>
  <si>
    <t>After ST Outflow</t>
  </si>
  <si>
    <t>57fbb350-97b6-11ef-97fb-b3da43a0f9f4</t>
  </si>
  <si>
    <t>fb0dfe72-02d7-485e-8f4b-21b9de1cbddd</t>
  </si>
  <si>
    <t>500fb685-1942-4fd2-991f-032cc60f371d</t>
  </si>
  <si>
    <t>Water level normal .</t>
  </si>
  <si>
    <t>255efd04-fc88-4ea9-b19e-ae8f9a59b56b</t>
  </si>
  <si>
    <t>12444baf-03b1-4710-a263-8ca41422ee23</t>
  </si>
  <si>
    <t>97190e75-1678-462d-8008-28a6e0c7e9ad</t>
  </si>
  <si>
    <t>2185d355-cdb3-457f-92ff-d3c220421691</t>
  </si>
  <si>
    <t>Cloud and sun rain overnight</t>
  </si>
  <si>
    <t>8a752678-06fb-40dc-a12c-03ad98428dea</t>
  </si>
  <si>
    <t>Chipping Campden Craves</t>
  </si>
  <si>
    <t>e1d0ce0c-a90e-4298-8b2c-624827ad7039</t>
  </si>
  <si>
    <t>fb0a559f-781a-40f1-a6f8-003528616d0b</t>
  </si>
  <si>
    <t>Water high, but receding  after flooding</t>
  </si>
  <si>
    <t>71209ad2-4973-496b-9d3b-2a15cbd38810</t>
  </si>
  <si>
    <t>99e3c537-6871-43ac-b956-ed407f88f065</t>
  </si>
  <si>
    <t>Mostly dry last week</t>
  </si>
  <si>
    <t>b501eb87-c4d1-4393-874d-06713fcc440f</t>
  </si>
  <si>
    <t>No rain in last 24 hours</t>
  </si>
  <si>
    <t>45c4f6c1-afaa-417d-b9c2-d0461d4557b1</t>
  </si>
  <si>
    <t>09455ed9-230d-4665-ae93-a07d14c09a4d</t>
  </si>
  <si>
    <t>08d58948-d651-4cf0-a9fa-e1671adbb806</t>
  </si>
  <si>
    <t>57dd4ed9-760a-4eb8-abf6-dab38aaea663</t>
  </si>
  <si>
    <t>0798d4b8-2f5a-40b5-8931-471bab548982</t>
  </si>
  <si>
    <t>2f6c025b-46d4-4855-b792-08ef726ba665</t>
  </si>
  <si>
    <t>fda77988-f95a-4c61-ada6-6d2e9d1ef596</t>
  </si>
  <si>
    <t>Dock Lane Bredon</t>
  </si>
  <si>
    <t>8ca2a60f-d1e3-4751-bf63-52f348946a90</t>
  </si>
  <si>
    <t>AvonSmiths Meadow</t>
  </si>
  <si>
    <t>Slow,clear leaves. MW: deleted 127.2 degree water temp</t>
  </si>
  <si>
    <t>51a17485-6328-47f2-9553-daae74359a6e</t>
  </si>
  <si>
    <t>e32878c0-99b7-11ef-bcdf-77e157cd17e0</t>
  </si>
  <si>
    <t>d00544d5-8ac8-4110-a1a7-2a196035cb9a</t>
  </si>
  <si>
    <t>bbfceaa0-992c-11ef-b176-35a3b7136922</t>
  </si>
  <si>
    <t>7a99b840-992c-11ef-b176-35a3b7136922</t>
  </si>
  <si>
    <t>54899e2a-1899-4277-885c-a39d7184603a</t>
  </si>
  <si>
    <t>Several days calm, grey, still weather. Water looks clear</t>
  </si>
  <si>
    <t>1a220256-88b5-472c-9c20-9455a1fba615</t>
  </si>
  <si>
    <t>PiddleBrook WyrePiddleBridge</t>
  </si>
  <si>
    <t>Slow, steady clear</t>
  </si>
  <si>
    <t>38615318-07c3-41b7-9555-47c152d44a84</t>
  </si>
  <si>
    <t>0629d714-8868-44f4-a736-e6a1e1aabe6c</t>
  </si>
  <si>
    <t>89e1960a-bb0d-49b4-b537-c407179e325f</t>
  </si>
  <si>
    <t>Low water</t>
  </si>
  <si>
    <t>0be81681-d848-458e-b8fe-fb27c523b71f</t>
  </si>
  <si>
    <t>691b70fd-d05c-4188-b9de-9d29cfb92e20</t>
  </si>
  <si>
    <t>First time using the high range phosphate kit</t>
  </si>
  <si>
    <t>3f53d4a8-01c7-4993-b5eb-ed71958fbee6</t>
  </si>
  <si>
    <t>de027cf7-6cd0-47ed-b3b7-7fd80e8f369a</t>
  </si>
  <si>
    <t>A freshwater shrimp in the sample</t>
  </si>
  <si>
    <t>a1511211-c058-4f96-983a-c4111c49b6d6</t>
  </si>
  <si>
    <t>School Lane Below</t>
  </si>
  <si>
    <t>70a117d4-06fa-48f1-9961-8bccc01f2da6</t>
  </si>
  <si>
    <t>Craves Chipping Campden</t>
  </si>
  <si>
    <t>7ca316df-d07e-46d4-8bb8-46e000234ee9</t>
  </si>
  <si>
    <t>97ff815d-1677-4d66-a400-998162360fe5</t>
  </si>
  <si>
    <t>a98b51d6-0fb7-4bc5-9f7a-996dc853466e</t>
  </si>
  <si>
    <t>No rain for a week</t>
  </si>
  <si>
    <t>f47d9d01-4aa9-43ee-a84e-f19c5f04f5cb</t>
  </si>
  <si>
    <t>7c7daf12-a762-4428-be89-6154e3a24fdd</t>
  </si>
  <si>
    <t>695d04e8-05f7-4ef3-aaea-d7cab5bb8ccb</t>
  </si>
  <si>
    <t>Water clear but greenish</t>
  </si>
  <si>
    <t>38482487-d50d-45b8-a004-dbaa4ba4ae3e</t>
  </si>
  <si>
    <t>5e1439b4-874e-4b5a-b9b6-746c5593c179</t>
  </si>
  <si>
    <t>Carrant Brook M5 Bridge</t>
  </si>
  <si>
    <t>94c3f27b-d0ad-4289-ae91-14902552a1ad</t>
  </si>
  <si>
    <t>70ad58bf-5291-4013-b371-a1e0a2b957d5</t>
  </si>
  <si>
    <t>No rainfall for over a week</t>
  </si>
  <si>
    <t>1de3de4c-b019-48b0-87fb-ceaaf456369f</t>
  </si>
  <si>
    <t>No rain for approx 10 days</t>
  </si>
  <si>
    <t>2c1cf31f-12f6-49a4-8fd1-6fcbb4ffb2b0</t>
  </si>
  <si>
    <t>Water clear</t>
  </si>
  <si>
    <t>f515f3ab-dc37-4d36-874f-cf02dabf8b44</t>
  </si>
  <si>
    <t>Lots of debris on the water. Overflow recorded at Lower Moor this morning for 3 hours. Dry weather spill.</t>
  </si>
  <si>
    <t>30f79bf0-35ee-4bf0-8f1f-1b99b1852839</t>
  </si>
  <si>
    <t>c7e59b36-8583-4628-af69-4ee89eacf8b7</t>
  </si>
  <si>
    <t>37bb6caa-578e-4429-a947-44307f2b4a2c</t>
  </si>
  <si>
    <t>Avon Smith Meadow Wyre Piddle</t>
  </si>
  <si>
    <t>Slow,cloudy,leaf debris</t>
  </si>
  <si>
    <t>2896e4f0-a020-11ef-86ea-539cffed6c0a</t>
  </si>
  <si>
    <t>Fosseway Brook: Cross Leys</t>
  </si>
  <si>
    <t>cc4ec780-a01f-11ef-86ea-539cffed6c0a</t>
  </si>
  <si>
    <t>Fosseway Brook: Middle St</t>
  </si>
  <si>
    <t>005bd02e-f48c-438e-8d98-f9a56153c145</t>
  </si>
  <si>
    <t>448aa025-de46-4a5e-928b-ad6332b2e75a</t>
  </si>
  <si>
    <t>6515e522-885c-4431-9a65-734d52ce3e4d</t>
  </si>
  <si>
    <t>642c584b-0448-47e5-bb5d-24e41f939dd9</t>
  </si>
  <si>
    <t>65918d10-a020-11ef-86ea-539cffed6c0a</t>
  </si>
  <si>
    <t>Fosseway Brook: Severn Trent Outflow</t>
  </si>
  <si>
    <t>second measurement using the high range phosphate testing kit</t>
  </si>
  <si>
    <t>223f1130-38a0-47be-9f65-277b60edce0f</t>
  </si>
  <si>
    <t>Piddlebrook Wyre piddle bridge</t>
  </si>
  <si>
    <t>Still, clear</t>
  </si>
  <si>
    <t>791a53a3-b740-43aa-a3a0-b845fe0ad692</t>
  </si>
  <si>
    <t>208ce286-687a-4f3a-91b3-70c8deba3a13</t>
  </si>
  <si>
    <t>d29cf954-4de0-4fe0-8299-f8bf8369b080</t>
  </si>
  <si>
    <t>989d29a0-9f88-11ef-a801-c19d2dd5e891</t>
  </si>
  <si>
    <t>Very dry weather recently - river looked 'green' and pleasant - rather than murky brown soup</t>
  </si>
  <si>
    <t>1789e0e1-4ae4-4de5-91e1-1c0a3de157af</t>
  </si>
  <si>
    <t>Rain over night</t>
  </si>
  <si>
    <t>c768a52a-b0e2-45e5-ba60-747a6cd8ce2d</t>
  </si>
  <si>
    <t>7f22cb5e-abc1-4f76-af59-11d405002b2a</t>
  </si>
  <si>
    <t>Slightly damp. A bit colder</t>
  </si>
  <si>
    <t>1da522da-232a-4212-94ce-9932788a8cf8</t>
  </si>
  <si>
    <t>Pitch 15</t>
  </si>
  <si>
    <t>Light rain over night</t>
  </si>
  <si>
    <t>5ed07e1b-6295-4dfd-8020-2188f44f2713</t>
  </si>
  <si>
    <t>5ed58a58-1cfd-4cc4-9c1d-bbed59875b43</t>
  </si>
  <si>
    <t>dd29240f-58d0-45ef-9cef-28f0724f38d3</t>
  </si>
  <si>
    <t>e67bf311-aa96-43a2-8d66-4030e1af4573</t>
  </si>
  <si>
    <t>The craves chipping campden</t>
  </si>
  <si>
    <t>a7711ed3-2df7-4660-a946-479ad76e21c6</t>
  </si>
  <si>
    <t>Clear bright day</t>
  </si>
  <si>
    <t>7fdd9165-92a4-4ff0-abd5-de0a174076a7</t>
  </si>
  <si>
    <t>No rain within the last 48 hours</t>
  </si>
  <si>
    <t>1bcf39a4-a380-46a6-b757-4b95dee62c1c</t>
  </si>
  <si>
    <t>No /rain minimal rain within the last 48 hours.</t>
  </si>
  <si>
    <t>71017eab-250d-4126-a7a0-becacb93a372</t>
  </si>
  <si>
    <t>Water greenish</t>
  </si>
  <si>
    <t>8c238c94-f5db-41c0-8f50-b7113708ce3e</t>
  </si>
  <si>
    <t>Carter lane</t>
  </si>
  <si>
    <t>3f0cffb0-d352-4c27-a6b8-4d85f15c81d8</t>
  </si>
  <si>
    <t>Dock lane Bredon</t>
  </si>
  <si>
    <t>fcea3125-eabc-4db1-a906-86ed7df5492f</t>
  </si>
  <si>
    <t>86e10cbb-d509-4eee-a11a-5e5f9717df35</t>
  </si>
  <si>
    <t>d65fc6f1-d3d8-465e-82ac-1081a8c79cf7</t>
  </si>
  <si>
    <t>cafbafa3-db09-4115-8347-6faaa1e7e2bc</t>
  </si>
  <si>
    <t>School Lane below cso</t>
  </si>
  <si>
    <t>Below cso. Trend for lower phosphates and higher ec?</t>
  </si>
  <si>
    <t>e25b7111-36e8-4e60-ace8-2e224eaf0a0c</t>
  </si>
  <si>
    <t>1b7a9981-fac6-4fe3-92bc-607d522ca825</t>
  </si>
  <si>
    <t>cd1888d0-a390-11ef-84e6-a3f7a5d4eacd</t>
  </si>
  <si>
    <t>d766a2fa-83dd-476e-91dc-fec1a96cdc2d</t>
  </si>
  <si>
    <t>Dry still weather continued</t>
  </si>
  <si>
    <t>b7486f45-1e3f-4932-aef9-851fe181742c</t>
  </si>
  <si>
    <t>STOUR, SHIPSTON, MILL BRIDGE</t>
  </si>
  <si>
    <t>Clear water. No sediment</t>
  </si>
  <si>
    <t>4f7f845a-2666-4d29-b5da-9037f723d73d</t>
  </si>
  <si>
    <t>Slow, clear, few leaves</t>
  </si>
  <si>
    <t>ad1e190f-c86c-43a1-85c3-82a25a95928b</t>
  </si>
  <si>
    <t>pitch 16</t>
  </si>
  <si>
    <t>5165c3fa-5fac-400b-b2d2-b2d7f40ee534</t>
  </si>
  <si>
    <t>40dc3682-9917-4bf3-a6f9-59c936060428</t>
  </si>
  <si>
    <t>9b7df6bf-52ea-4e8f-803a-3f92a9205a96</t>
  </si>
  <si>
    <t>fb6a687f-4f0d-4489-a1b0-ff24cf5058fe</t>
  </si>
  <si>
    <t>4245ed6f-e7d4-4539-8903-dd9064d4653d</t>
  </si>
  <si>
    <t>Luddington Avon drive</t>
  </si>
  <si>
    <t>b7a2e5dc-2634-462f-b429-be4bb9609833</t>
  </si>
  <si>
    <t>PiddleBrookBridge, Wyre Piddle</t>
  </si>
  <si>
    <t>V.Slow, cleat</t>
  </si>
  <si>
    <t>7f9e1d0a-0394-48b5-9369-3eca5f172647</t>
  </si>
  <si>
    <t>Steady flow</t>
  </si>
  <si>
    <t>3b2902be-2f75-422d-97eb-8b054b3f1099</t>
  </si>
  <si>
    <t>edaba3d7-7b8c-4563-93ee-ff011e2b75d1</t>
  </si>
  <si>
    <t>899a9818-86e0-4d84-bda7-2eabec95b026</t>
  </si>
  <si>
    <t>f237b2c4-7a84-4664-bdf2-f5487958ff94</t>
  </si>
  <si>
    <t>Generally dry</t>
  </si>
  <si>
    <t>df42c89f-f542-458a-b3f0-0b22127330c7</t>
  </si>
  <si>
    <t>61f6e7e5-95b4-4f37-b2b5-7604fe1135fc</t>
  </si>
  <si>
    <t>Little rain in the last 48 hours.</t>
  </si>
  <si>
    <t>4f67d688-617b-4009-ba22-cc1a0ba41495</t>
  </si>
  <si>
    <t>Little rain in last 48 hours</t>
  </si>
  <si>
    <t>4888efbe-b03d-419e-85c9-c5d710bb6397</t>
  </si>
  <si>
    <t>c28c5c08-3771-407c-b6be-445ab3217e78</t>
  </si>
  <si>
    <t>Reading taken during meeting with Cameron Thomas MP</t>
  </si>
  <si>
    <t>417a1ea2-fb29-4f83-b247-b7fdc1ebae28</t>
  </si>
  <si>
    <t>e1fe70a7-755a-4e32-9cc1-3605396f922e</t>
  </si>
  <si>
    <t>d7bf4d8f-7bf1-4081-b450-2801b584d23d</t>
  </si>
  <si>
    <t>b1db315c-d397-408f-b4da-8b478102e29e</t>
  </si>
  <si>
    <t>fc08df1a-4060-4235-843e-46146f48fbc2</t>
  </si>
  <si>
    <t>c1bce782-53d2-43a5-9384-678fe9103d58</t>
  </si>
  <si>
    <t>bd8aba5e-90e2-4785-97cb-3ba35f123c88</t>
  </si>
  <si>
    <t>Carters lane</t>
  </si>
  <si>
    <t>ca1bc92f-b79b-4bf3-ae9a-64ea35e79500</t>
  </si>
  <si>
    <t>School lane below</t>
  </si>
  <si>
    <t>f854f7a6-4016-450e-a6b9-a508c1fcaca3</t>
  </si>
  <si>
    <t>a8010bdd-c711-428d-85b2-a491b6a2491d</t>
  </si>
  <si>
    <t>aae3f5ce-feb5-4c2e-b345-a13c7cb02479</t>
  </si>
  <si>
    <t>4adb4a71-ffaf-4f49-a966-7baf6fcb5693</t>
  </si>
  <si>
    <t>6bef3dae-4dad-4957-b7ff-06de4c3d77da</t>
  </si>
  <si>
    <t>8ed5ba49-df45-49b6-8ad6-cb19bf964522</t>
  </si>
  <si>
    <t>1b639e39-5ce7-493b-a5f9-7e05fc0b09ba</t>
  </si>
  <si>
    <t>Luddington Avonbank Drive</t>
  </si>
  <si>
    <t>956e8e67-fcae-4a84-97bd-6e8306d25743</t>
  </si>
  <si>
    <t>Luddington Pitch 16</t>
  </si>
  <si>
    <t>42e60df7-e7f1-46a7-9d10-20f2d5026aff</t>
  </si>
  <si>
    <t>Storm Bert affecting area</t>
  </si>
  <si>
    <t>fc19513d-e3b9-41b2-90cb-b0f35fcb5da3</t>
  </si>
  <si>
    <t>Brown, normal flow</t>
  </si>
  <si>
    <t>bc9b7567-5784-45ad-a25b-3ba2ec66d85c</t>
  </si>
  <si>
    <t>River brown, silty, rising. Drizzle</t>
  </si>
  <si>
    <t>4fb91d3a-d659-440b-be48-ae6a3ee068a6</t>
  </si>
  <si>
    <t>Flooded. No phosphate reading - error</t>
  </si>
  <si>
    <t>910865de-594e-4a26-8eb4-2e9b68717d4e</t>
  </si>
  <si>
    <t>Flooded. Heavy rain all day</t>
  </si>
  <si>
    <t>8fd0f0db-73ec-4e54-b0db-2d95a65e8d2f</t>
  </si>
  <si>
    <t>Flooding, very murcky</t>
  </si>
  <si>
    <t>7110fd21-4976-4dd3-94dc-e2373467650a</t>
  </si>
  <si>
    <t>da2aa08e-080d-4a1a-8253-84b63f8572ac</t>
  </si>
  <si>
    <t>Brook in flood and water very murky</t>
  </si>
  <si>
    <t>d795b9ba-817b-4069-a0ac-b40c4d722dd2</t>
  </si>
  <si>
    <t>183743d8-b01e-4956-8783-bdd51ff03fcb</t>
  </si>
  <si>
    <t>64bcb603-a8ad-4dae-840c-aba0a814b7c8</t>
  </si>
  <si>
    <t>Sewage Outage for 7 minutes. 0.13am to 0.20am 25/11/24</t>
  </si>
  <si>
    <t>02d2cc94-9077-4589-b875-c69034c415eb</t>
  </si>
  <si>
    <t>In flood after storm Bert</t>
  </si>
  <si>
    <t>88b6ac35-bfb4-4436-8373-44c1cfe45b5c</t>
  </si>
  <si>
    <t>7a89e485-5cad-477d-a90c-dd4a6caea8e2</t>
  </si>
  <si>
    <t>High flow after Storm Bert</t>
  </si>
  <si>
    <t>00ad55db-07c0-4d10-8737-d633d7d48b7a</t>
  </si>
  <si>
    <t>The Craves Chipping Campden</t>
  </si>
  <si>
    <t>4f3bcf66-dc69-4dda-bb72-aed30e07a16c</t>
  </si>
  <si>
    <t>155aae0b-b224-4c05-8cce-2237ad0b5ffd</t>
  </si>
  <si>
    <t>High St Brailes</t>
  </si>
  <si>
    <t>Phosphate Meter away for repair</t>
  </si>
  <si>
    <t>f2f84d22-2113-4baa-9494-a504b61e4114</t>
  </si>
  <si>
    <t>New Barn Farm Brailes</t>
  </si>
  <si>
    <t>d7ea3294-4559-43dd-9244-26f337011658</t>
  </si>
  <si>
    <t>Heavy rain 36 hours ago</t>
  </si>
  <si>
    <t>4fd175f8-e679-481a-8e0c-f7d598184e33</t>
  </si>
  <si>
    <t>River in full flood</t>
  </si>
  <si>
    <t>4b196a2d-104d-4c98-ae94-0d4c74a7a1ad</t>
  </si>
  <si>
    <t>After storm Bert, river swollen and water cloudy</t>
  </si>
  <si>
    <t>ab9c6c18-6d64-4f60-9dfd-b97f19c9d691</t>
  </si>
  <si>
    <t>Heavy rain in the previous 48 hrs, flooding and reported sewage spill at Wellesbourne. MW: deleted 93 degree water temp</t>
  </si>
  <si>
    <t>53d99baa-3f07-4f7c-878a-8cd70abcd049</t>
  </si>
  <si>
    <t>6cc00c90-1d49-454f-9d27-fa0cb070dc58</t>
  </si>
  <si>
    <t>6811859c-4293-4bd4-ac41-47438bd18abc</t>
  </si>
  <si>
    <t>8f77fb71-e13a-4f9b-9b24-1f95fcfc78a8</t>
  </si>
  <si>
    <t>f438c2f0-ab25-4bc8-ba48-26f810f83557</t>
  </si>
  <si>
    <t>abbey mill</t>
  </si>
  <si>
    <t>River fast flowing, in full flood, Twyning showing it is pumping today since 1118</t>
  </si>
  <si>
    <t>b7177e14-fcc4-4e4d-b2ca-2c2c55b261ca</t>
  </si>
  <si>
    <t>After heavy rain and flood in Storm Bert. Water in the brook looks brown but just a little murky in the collection pot</t>
  </si>
  <si>
    <t>fd5881fe-fe2c-4572-9699-c5fddc38beda</t>
  </si>
  <si>
    <t>No readings taken due lack of access due river level</t>
  </si>
  <si>
    <t>fc0288ef-541e-47a1-ad94-20cfd1545618</t>
  </si>
  <si>
    <t>River floods. MW: divided phosphate reading by 100</t>
  </si>
  <si>
    <t>5fa3ac0c-5c11-4a69-bb27-bbb3ecaa3c90</t>
  </si>
  <si>
    <t>Luddington Avonbank drive</t>
  </si>
  <si>
    <t>River fast flowing due to rain this last week.</t>
  </si>
  <si>
    <t>cc781954-4152-4246-9f1c-da4acd37bce0</t>
  </si>
  <si>
    <t>Samples taken on Pitch 15, As Pitch 16 was under water.</t>
  </si>
  <si>
    <t>3d757d21-382f-4ec2-9b37-25a647595c63</t>
  </si>
  <si>
    <t>Brown slow flow. Falling</t>
  </si>
  <si>
    <t>b4cc51f4-0b5d-43ee-8463-115e03cec3b3</t>
  </si>
  <si>
    <t>Brown. Faster than normal. Falling.</t>
  </si>
  <si>
    <t>a335fe55-fe48-41c2-af50-c2f9a646756c</t>
  </si>
  <si>
    <t>River in flood. Very little flow</t>
  </si>
  <si>
    <t>5788d48d-674d-413e-9823-643588747a11</t>
  </si>
  <si>
    <t>194f2383-cbe7-4af3-a81e-e0ef8e6d2532</t>
  </si>
  <si>
    <t>bfb2e9d0-ec79-4e4c-a210-969e948d8b10</t>
  </si>
  <si>
    <t>Scummy</t>
  </si>
  <si>
    <t>5f9c2df2-4e92-4b58-a0eb-20cfbca0c64a</t>
  </si>
  <si>
    <t>bfd9d4e0-f666-4451-9789-c389afc42e35</t>
  </si>
  <si>
    <t>d69b63f4-e096-4458-8fb2-f5469a6519f9</t>
  </si>
  <si>
    <t>Phosphates data error</t>
  </si>
  <si>
    <t>1700c2a8-244e-4dc1-b59e-743278e420bc</t>
  </si>
  <si>
    <t>After rain. Muddy water</t>
  </si>
  <si>
    <t>6ccc8900-b00a-11ef-8579-a757b493204c</t>
  </si>
  <si>
    <t>d03578c9-3e6e-4b39-bc7d-59411bb7a88e</t>
  </si>
  <si>
    <t>53791c04-e2e7-4f2b-af53-3ff489efdf51</t>
  </si>
  <si>
    <t>7fd516d7-112e-4042-ae5b-b5e626b83c7b</t>
  </si>
  <si>
    <t>92a11904-9e47-4f33-817b-d03fb9c479fc</t>
  </si>
  <si>
    <t>High street,Brailes</t>
  </si>
  <si>
    <t>New phosphate meter</t>
  </si>
  <si>
    <t>9e5e1e80-4046-4257-9560-1f3e17e6171a</t>
  </si>
  <si>
    <t>New Barn Farm,Brailes</t>
  </si>
  <si>
    <t>03eb7088-cfbd-42db-a5b7-f3d638cfcf80</t>
  </si>
  <si>
    <t>a668ed30-6db2-4095-92dc-dc2eda5cb6e3</t>
  </si>
  <si>
    <t>Very light rain yesterday and today</t>
  </si>
  <si>
    <t>77752e29-f375-468e-aaff-322837146aae</t>
  </si>
  <si>
    <t>25434ee9-fe5a-40d2-a62e-409e4c915ecc</t>
  </si>
  <si>
    <t>4831a183-4cc5-48db-8161-2324d767ed90</t>
  </si>
  <si>
    <t>3420a046-ff4a-492e-9bab-bffd11948f40</t>
  </si>
  <si>
    <t>442e64c4-aa35-463f-ad1b-2eb0810b70b5</t>
  </si>
  <si>
    <t>Heavy rain last night</t>
  </si>
  <si>
    <t>7568c51a-2917-4932-a1b5-939f12805a56</t>
  </si>
  <si>
    <t>High point and dropping</t>
  </si>
  <si>
    <t>276988f6-77ab-41bc-8c90-c0376c40d1a5</t>
  </si>
  <si>
    <t>2aca828e-c564-4cc8-ae22-a436fdf89556</t>
  </si>
  <si>
    <t>d8280fde-0270-44b4-9edf-eb79918e8675</t>
  </si>
  <si>
    <t>407222e3-db52-4885-af59-5838fb718298</t>
  </si>
  <si>
    <t>3ccc3094-b8f4-4958-909e-dfd3dabe6ddb</t>
  </si>
  <si>
    <t>River flowing quickly, lots of debris</t>
  </si>
  <si>
    <t>6a150ad8-b1f9-4d27-b894-3458a68dea21</t>
  </si>
  <si>
    <t>Brown normal flow.</t>
  </si>
  <si>
    <t>1da264e4-3814-46f9-be2e-3c8665b2c086</t>
  </si>
  <si>
    <t>Brown. Sudsy. Fast.</t>
  </si>
  <si>
    <t>76c8c52e-102c-4648-b2e2-e127c8b4fe1a</t>
  </si>
  <si>
    <t>18e28b5e-35ab-4b26-9344-bea8928fa63f</t>
  </si>
  <si>
    <t>In flood very turbid but no discharge from Claverdon in last 24 hours</t>
  </si>
  <si>
    <t>c52b685b-1deb-4129-a6e1-72540804d912</t>
  </si>
  <si>
    <t>After ST outflow</t>
  </si>
  <si>
    <t>3fc95a71-2b8c-448f-9171-aa458bf1aed3</t>
  </si>
  <si>
    <t>R.Stowe - Lower Fields Farm, Old Brickyard Lane</t>
  </si>
  <si>
    <t>pH 7.5</t>
  </si>
  <si>
    <t>1cb509dc-466a-4b5d-887a-35e03f7f0cf0</t>
  </si>
  <si>
    <t>R.Stowe - New Zealand Spinney, off Napton Rd</t>
  </si>
  <si>
    <t>Below 0.23 mile</t>
  </si>
  <si>
    <t>pH - 7.6   Wet windy cold . Total disolved solids 270ppm</t>
  </si>
  <si>
    <t>f8544b1a-dc03-4c39-8b9e-5ae27a850c89</t>
  </si>
  <si>
    <t>After storm darragh yesterday</t>
  </si>
  <si>
    <t>b7755f10-b71a-11ef-87c3-0b319b7fad45</t>
  </si>
  <si>
    <t>60f8c6c6-a257-438e-af5e-7eca328bed81</t>
  </si>
  <si>
    <t>cb1f5cf4-e9ce-443e-9608-0947d051a627</t>
  </si>
  <si>
    <t>0f7ff114-9167-4ede-84a4-add418507013</t>
  </si>
  <si>
    <t>c2ff2684-8286-421e-a024-f55dae901d8b</t>
  </si>
  <si>
    <t>71e5770e-4cec-4e3c-9bbe-81af4891d5f9</t>
  </si>
  <si>
    <t>ccd696a2-102f-4fca-a23c-5d35d7c50fd3</t>
  </si>
  <si>
    <t>68ba3d93-18cc-4ffc-ac54-89538297de1d</t>
  </si>
  <si>
    <t>35cdb959-6545-45f3-9263-31bbadfe72a5</t>
  </si>
  <si>
    <t>High Street Brailes</t>
  </si>
  <si>
    <t>55616c6a-2a00-4ab8-a364-6c0be930439b</t>
  </si>
  <si>
    <t>022116f5-a082-4682-9214-75c38e6031f4</t>
  </si>
  <si>
    <t>80376265-7196-40fe-9ef8-73773f11f4b5</t>
  </si>
  <si>
    <t>In flood. Sample from flood water, not main flow.</t>
  </si>
  <si>
    <t>766f4827-56ee-42c3-bb70-5eae597f1666</t>
  </si>
  <si>
    <t>baa9af5a-34e1-427d-a8f2-d98d1066c377</t>
  </si>
  <si>
    <t>Some rain within previous 48 hrs. Reported spill Weybourne 10/12/24 1hr 20 min</t>
  </si>
  <si>
    <t>3c02bc7c-7661-4c0d-abe0-823607e9f393</t>
  </si>
  <si>
    <t>Light eain today.dry previous 24 hours</t>
  </si>
  <si>
    <t>52cf11a1-8b97-45cb-85ef-d1227b796162</t>
  </si>
  <si>
    <t>9bbefc49-ac39-46b8-96f4-a6e86d8d1f09</t>
  </si>
  <si>
    <t>Water brown inbrook but mostly clear in sample. Light rain, floods subsided</t>
  </si>
  <si>
    <t>92410f57-0ffa-4f77-bd93-2826113ce62a</t>
  </si>
  <si>
    <t>3ca0b563-a8b8-4883-bd88-cd33872464f5</t>
  </si>
  <si>
    <t>After a wet week</t>
  </si>
  <si>
    <t>5702596e-123c-48c3-9f58-3c8e352e3090</t>
  </si>
  <si>
    <t>fdd88f9a-479e-47a9-a09e-61411d7bf338</t>
  </si>
  <si>
    <t>621c7c0d-5386-41db-80e2-2ad59097047b</t>
  </si>
  <si>
    <t>No recorded sewage spills in last 24 hours</t>
  </si>
  <si>
    <t>85319de4-189a-4eff-be4d-86d5b8a3e103</t>
  </si>
  <si>
    <t>Luddington pitch 16</t>
  </si>
  <si>
    <t>No recorded sewage spills locally in last 24 hours</t>
  </si>
  <si>
    <t>ce109e2c-f9bb-4e4e-84d7-252efbaa7ae2</t>
  </si>
  <si>
    <t>0af1d6ae-12e9-4bf3-90f3-fb3b404a8931</t>
  </si>
  <si>
    <t>89426174-2985-4e36-879f-e4351ef86f93</t>
  </si>
  <si>
    <t>9351ca97-b96e-40f6-85d1-b7a31ab08152</t>
  </si>
  <si>
    <t>1590fb26-8079-4da3-800b-bc4af2e7dbe6</t>
  </si>
  <si>
    <t>a2b664fb-74bb-4c1e-b5b5-679d94f40eef</t>
  </si>
  <si>
    <t>Slow. Brown. Scum.</t>
  </si>
  <si>
    <t>c0147328-fabf-4c20-945f-b1e4d80f2148</t>
  </si>
  <si>
    <t>5e8f7d9b-55fd-42a7-9baf-5b22574ab13e</t>
  </si>
  <si>
    <t>No flood this week dry weekend</t>
  </si>
  <si>
    <t>940a43b0-bb16-11ef-b82b-77469faa7887</t>
  </si>
  <si>
    <t>5dd40cac-4712-4f71-8603-f4ae8f84152c</t>
  </si>
  <si>
    <t>99902fe6-b3fc-45a7-a87e-7cf1485a50ae</t>
  </si>
  <si>
    <t>b2825dd6-caa4-4b68-bff7-9d1d577af13a</t>
  </si>
  <si>
    <t>e99dbe1f-fd4e-4bb7-8560-c9574fb50d22</t>
  </si>
  <si>
    <t>e00a16e0-6668-40d7-bfe5-ef6723095962</t>
  </si>
  <si>
    <t>b1b9c051-da3c-4442-8fe9-13810d0475b4</t>
  </si>
  <si>
    <t>Brailes main road</t>
  </si>
  <si>
    <t>Height 20 cm. MW: deleted 574ppm nitrate</t>
  </si>
  <si>
    <t>ecc082cb-911e-486f-b564-24c67e3a3705</t>
  </si>
  <si>
    <t>8a0bc569-1d8b-48ff-97b9-d7322ed2eafb</t>
  </si>
  <si>
    <t>Newbarn</t>
  </si>
  <si>
    <t>25cm</t>
  </si>
  <si>
    <t>fd6b9b91-e357-4b46-929a-2d25afd669c1</t>
  </si>
  <si>
    <t>d82814ae-bce9-470e-bf55-2960f03b8b17</t>
  </si>
  <si>
    <t>O rain for 48 hours but very windy today</t>
  </si>
  <si>
    <t>6cf854f5-1e0d-4f69-be99-b823157c68c1</t>
  </si>
  <si>
    <t>1738b047-e74b-4c9a-a387-64f0126160d8</t>
  </si>
  <si>
    <t>bd2d2691-dc3e-47d5-ac53-8eec0d40a445</t>
  </si>
  <si>
    <t>a4745de3-748d-4e4f-a14f-9cf247382c7c</t>
  </si>
  <si>
    <t>Floodwater, rainy</t>
  </si>
  <si>
    <t>57b4707b-10a9-40dc-94a8-e4a68b70fbcb</t>
  </si>
  <si>
    <t>Silty /strong flow</t>
  </si>
  <si>
    <t>965a7117-1ec8-4b76-94d8-46275b5e3887</t>
  </si>
  <si>
    <t>Falling from Flood/Silty/Scum</t>
  </si>
  <si>
    <t>fbe3bfd8-3078-4cca-9090-ea4481b83dab</t>
  </si>
  <si>
    <t>2db6dedb-b369-4907-b7df-397a560b9f92</t>
  </si>
  <si>
    <t>a0812537-8675-4729-892a-94c2ef8c8c87</t>
  </si>
  <si>
    <t>After wet week</t>
  </si>
  <si>
    <t>43d8b123-9de5-4cd3-b2f0-1d0dde9a4ffc</t>
  </si>
  <si>
    <t>555790ae-0954-43e9-824e-d941acae588f</t>
  </si>
  <si>
    <t>Mildly cloudy water</t>
  </si>
  <si>
    <t>24ceadc0-c0ab-11ef-b0f4-afba8ecbaa68</t>
  </si>
  <si>
    <t>443d0a9a-db19-4495-915c-17c1e15dd077</t>
  </si>
  <si>
    <t>989e140f-8dd5-476a-a6cf-05b6558f1346</t>
  </si>
  <si>
    <t>d920d7af-7dab-4c44-ba55-a14b485f45f1</t>
  </si>
  <si>
    <t>5086d3f9-0307-4549-a5bf-5bda5023f433</t>
  </si>
  <si>
    <t>e818648d-1dcf-426e-ab19-3f11406265f8</t>
  </si>
  <si>
    <t>4a687d50-ada3-4b35-a1ea-e46145605d9d</t>
  </si>
  <si>
    <t>Some heavy rain yesterday afternoon.  Wellesbourne spill on 22ndfrom 2 to 11.20</t>
  </si>
  <si>
    <t>fc08a7c4-25cd-49b6-ab65-67516429844f</t>
  </si>
  <si>
    <t>Some heavy rain yesterday afternoon</t>
  </si>
  <si>
    <t>72e74421-822c-404b-94c0-e1762b9792ab</t>
  </si>
  <si>
    <t>High street, Lower Brailes</t>
  </si>
  <si>
    <t>29b0de09-69f7-49b5-9edf-29e90d0b8836</t>
  </si>
  <si>
    <t>New Farm Barn Brailes</t>
  </si>
  <si>
    <t>fb63a71c-2702-4a4e-98c9-18ad130eab02</t>
  </si>
  <si>
    <t>ba115c2a-bfdb-4020-ab59-aa39b504f87b</t>
  </si>
  <si>
    <t>0d6261c1-2be9-483e-93e7-1407ecff8fcb</t>
  </si>
  <si>
    <t>b608a12e-359c-48a1-9d5c-a1a594f78dc6</t>
  </si>
  <si>
    <t>57f3cef4-58af-44f0-bad5-c5b5fcf2e5ff</t>
  </si>
  <si>
    <t>07e2faac-2a9f-4932-a613-f98fdb906412</t>
  </si>
  <si>
    <t>cd2b13ff-e112-4cc4-baef-50ed83b5222a</t>
  </si>
  <si>
    <t>de6271e4-8f91-49cf-8019-1803bcd4588d</t>
  </si>
  <si>
    <t>Steadybflow/ svummy</t>
  </si>
  <si>
    <t>fcf8187a-ba83-4eda-82c7-15ac04f07e6c</t>
  </si>
  <si>
    <t>30810df4-6f11-4e46-8551-6390fa6ca80e</t>
  </si>
  <si>
    <t>88402062-1374-4ceb-add0-04c312cdd6f4</t>
  </si>
  <si>
    <t>bcea3439-3a2e-4594-9ab4-d55acf43c72f</t>
  </si>
  <si>
    <t>fa3ce93a-ec52-4fb6-af22-a0f3a06bee75</t>
  </si>
  <si>
    <t>Really foamy water - excessively so . Mounds of bubbles around 1m in diameter. Many CSOs not operational. Screen shot of map.</t>
  </si>
  <si>
    <t>f80d568f-929c-42bf-ad63-e9df2c361879</t>
  </si>
  <si>
    <t>WyrePiddleBrook, WyrePiddle</t>
  </si>
  <si>
    <t>Slow flow/Scummy</t>
  </si>
  <si>
    <t>93257450-cbb1-11ef-8c00-af6f5160aff2</t>
  </si>
  <si>
    <t>4ed2b47e-1c13-48af-82aa-cabe1b760ec2</t>
  </si>
  <si>
    <t>Overcast and murky for a week. Slow running water</t>
  </si>
  <si>
    <t>daaed355-0f0b-4b13-94ff-a57f4ce6c84a</t>
  </si>
  <si>
    <t>3cbb497a-c303-491f-a5d4-7a585687c533</t>
  </si>
  <si>
    <t>3855b46d-046c-4fe9-83b0-3bf80707cff4</t>
  </si>
  <si>
    <t>MW: deleted 307ppm phosphate</t>
  </si>
  <si>
    <t>e3159354-8727-4467-8efc-4eebdecaefe8</t>
  </si>
  <si>
    <t>Dry for previous days</t>
  </si>
  <si>
    <t>57dcd387-af02-4380-ba50-2b332ddf8415</t>
  </si>
  <si>
    <t>f8d0ca5c-c800-4aab-a356-0d3e11e8b779</t>
  </si>
  <si>
    <t>Dry over previous days</t>
  </si>
  <si>
    <t>dadedd5c-04f9-42d2-8509-15e09d219278</t>
  </si>
  <si>
    <t>05eb7ae4-64ad-4daf-bdd8-58a127fbfaf9</t>
  </si>
  <si>
    <t>8a6b4c58-b924-40f4-9133-e992ebb7c3f0</t>
  </si>
  <si>
    <t>New Barn Farm</t>
  </si>
  <si>
    <t>87964e83-b654-49b9-893b-660e08f25a61</t>
  </si>
  <si>
    <t>Took phosphates back up reading- same result</t>
  </si>
  <si>
    <t>57e62072-c804-4922-b109-b9d6129eb18c</t>
  </si>
  <si>
    <t>770992e5-2a00-4342-b8e9-2d28c6f1880f</t>
  </si>
  <si>
    <t>3768a5e2-c2f1-4671-b68d-cfd722a5a8a7</t>
  </si>
  <si>
    <t>Very cold and sunny today...very wet and windy yesterday..Wellesbourne had event discharge on 1.1.25 from 9.25 to 13.00</t>
  </si>
  <si>
    <t>8d970ccf-0246-43af-9088-3a0f669ca3ed</t>
  </si>
  <si>
    <t>Rain within previous 24 hours. Event Discharge from Wellesbourne from 09:25 01/01/2025 to 13:00 02/01/2025.  to</t>
  </si>
  <si>
    <t>db6597a6-3ec4-49e2-acdf-124e542dc502</t>
  </si>
  <si>
    <t>b58792a1-c26c-43f2-9af6-53620b7a27f6</t>
  </si>
  <si>
    <t>55466a46-4575-4945-be75-bfc8f6e94955</t>
  </si>
  <si>
    <t>V cold</t>
  </si>
  <si>
    <t>96500cc7-4668-4137-9da5-331675e7e52b</t>
  </si>
  <si>
    <t>Brook normal level</t>
  </si>
  <si>
    <t>58bde268-3bef-4f8c-b611-c70580432730</t>
  </si>
  <si>
    <t>Muddy water</t>
  </si>
  <si>
    <t>0fe85fa1-8c1a-4f17-b50c-0f8281a0ce29</t>
  </si>
  <si>
    <t>7fd5b449-ccf5-4d38-8aae-62f94674b032</t>
  </si>
  <si>
    <t>594b329a-555a-4a84-836f-2e03f77c0864</t>
  </si>
  <si>
    <t>AvonSmithsMeadow</t>
  </si>
  <si>
    <t>Slw/clear</t>
  </si>
  <si>
    <t>8ffe62ca-acdf-4c98-aba3-3d25f9f81f5a</t>
  </si>
  <si>
    <t>45c64c64-d374-4e37-b441-29a68c4607f3</t>
  </si>
  <si>
    <t>be6f82c3-d942-4eaa-8077-21a0b94863e1</t>
  </si>
  <si>
    <t>10d70fe1-5784-4d7e-b90e-e921db38bea2</t>
  </si>
  <si>
    <t>d6dea3c6-6f7a-44d9-898b-ea88e5dd8899</t>
  </si>
  <si>
    <t>6f0c906b-b259-4c27-979b-0bdf23a13064</t>
  </si>
  <si>
    <t>Very sllow/clear</t>
  </si>
  <si>
    <t>71e6373b-1efd-492b-b75d-f4f7e5709fd1</t>
  </si>
  <si>
    <t>Very heavy rain and a little snow last night. River burst its banks.Sewagd spill started at Wellesbourne on 5th at 3.32a.m.</t>
  </si>
  <si>
    <t>bc7be73a-d8de-46dd-8c6c-07d5fecea41f</t>
  </si>
  <si>
    <t>Heavy rain all night before reading</t>
  </si>
  <si>
    <t>3857c7dd-1174-4085-95eb-96b22b2a471f</t>
  </si>
  <si>
    <t>Recent heavy rain and snow, flooded.Temperature debatable as flood water very shallow</t>
  </si>
  <si>
    <t>7ff3cfc5-dd92-4be2-9b8f-ac05278ef85c</t>
  </si>
  <si>
    <t>Storm overflow spilling from sewage works at time of testing.</t>
  </si>
  <si>
    <t>3bc59931-1623-4898-9c05-9b8a026d4159</t>
  </si>
  <si>
    <t>09c26e1f-2df9-40e9-b8cb-6dc5b68788fd</t>
  </si>
  <si>
    <t>Sutton Brook - High St, Brailes</t>
  </si>
  <si>
    <t>40f1e17d-d87c-4a22-8c5b-06efe432ab97</t>
  </si>
  <si>
    <t>Sutton Brook - New Barn Farm, Brailes</t>
  </si>
  <si>
    <t>Last spill ended 7Jan 12:56AM</t>
  </si>
  <si>
    <t>ee73b892-e756-48fe-ac45-bece693ab67d</t>
  </si>
  <si>
    <t>f33da333-90c0-4d1e-b387-38b96aa58fb4</t>
  </si>
  <si>
    <t>In flood, sample from floodwater</t>
  </si>
  <si>
    <t>95f1dca2-7ff2-4f97-bd70-d2716e155d17</t>
  </si>
  <si>
    <t>Post flood 4 days before</t>
  </si>
  <si>
    <t>212146fa-231e-4648-9f97-645f672de727</t>
  </si>
  <si>
    <t>2102031d-8793-4b9f-9407-5ee45c6bd05d</t>
  </si>
  <si>
    <t>Flooded for two days earlier in the week. Hard frost, hazy sun, still</t>
  </si>
  <si>
    <t>0e174db0-ef84-4bdb-801b-42de763bab2f</t>
  </si>
  <si>
    <t>After flood, clear water</t>
  </si>
  <si>
    <t>b1f7bfac-54b9-4196-917d-fe57447775a0</t>
  </si>
  <si>
    <t>7ef25d36-ff78-4250-b52e-050cf5f67af3</t>
  </si>
  <si>
    <t>Cold frosty. Receded flood. Normal flow. Silt and scum</t>
  </si>
  <si>
    <t>78f7d733-2e30-4ae5-a054-79709bab72eb</t>
  </si>
  <si>
    <t>Normal level after flood. Silt and scum. Cold and dry</t>
  </si>
  <si>
    <t>aff37f1c-230c-4bc5-844b-f403fde81ed6</t>
  </si>
  <si>
    <t>2c185df5-6745-4b58-9d8a-c33eeeadb3e4</t>
  </si>
  <si>
    <t>feaf6cf7-7327-4b6c-93c4-f15655736a3a</t>
  </si>
  <si>
    <t>Flood water receded</t>
  </si>
  <si>
    <t>ef6f47b4-eba7-43d1-96c5-f66c3bf7f14b</t>
  </si>
  <si>
    <t>R.Stowe,  Lower Field's Farm, Napton</t>
  </si>
  <si>
    <t>pH-7.9.    Water level low - looking clearer than previous</t>
  </si>
  <si>
    <t>879071f9-fa89-4044-8c02-10adf662b532</t>
  </si>
  <si>
    <t>R.Stowe, New Zealand Spinney, Stockton</t>
  </si>
  <si>
    <t>pH-7.7   Dry day water levels v low</t>
  </si>
  <si>
    <t>1d4f8fce-40c4-4b1b-ba3e-fb700f1b0094</t>
  </si>
  <si>
    <t>Cross Leys Ilmington</t>
  </si>
  <si>
    <t>bda7f06c-8dee-40b2-ba63-347ad87c4148</t>
  </si>
  <si>
    <t>Middle street Ilmington</t>
  </si>
  <si>
    <t>cd67a0b0-fcd7-4ce1-96e1-9994ef102382</t>
  </si>
  <si>
    <t>793bdce3-c8ed-4f98-b662-3fc01733204a</t>
  </si>
  <si>
    <t>STW outfall Ilmington</t>
  </si>
  <si>
    <t>34e9150d-66d9-4387-bfbf-2b2582f8aa4e</t>
  </si>
  <si>
    <t>Low water, quite clear</t>
  </si>
  <si>
    <t>0fc4b8b3-b843-436d-87e7-4e26496ec1fa</t>
  </si>
  <si>
    <t>0e89cc8a-e472-46ee-a02c-d8f65c1d6113</t>
  </si>
  <si>
    <t>7783936f-a35a-49cc-b82d-c717ebd02066</t>
  </si>
  <si>
    <t>22326db0-294b-499a-b8fd-c0068100a96c</t>
  </si>
  <si>
    <t>3727e46a-2bc9-42ba-b840-fddcbdc3cb95</t>
  </si>
  <si>
    <t>8d4a6cd8-95fe-4e21-be73-aa2a69a0d55b</t>
  </si>
  <si>
    <t>Below CSO</t>
  </si>
  <si>
    <t>Lots of debris in water after floods</t>
  </si>
  <si>
    <t>5e22e7e3-6fb7-4575-ad76-f9fa64ff3cfb</t>
  </si>
  <si>
    <t>62c10f04-9a3d-4cdb-b97e-226fc8441721</t>
  </si>
  <si>
    <t>9fdd0c46-0434-45f2-b3f3-0bc2ad1fc0c8</t>
  </si>
  <si>
    <t>f003e85f-1036-4c05-aa43-3510fc6d4268</t>
  </si>
  <si>
    <t>Water high after flooding</t>
  </si>
  <si>
    <t>652066e0-d2c4-11ef-9b33-e99d3124cd60</t>
  </si>
  <si>
    <t>8f7f6380-57e3-4b75-83c5-105787efaf6d</t>
  </si>
  <si>
    <t>Sutton Brook - High Street, Brailes</t>
  </si>
  <si>
    <t>1e446eba-0293-4354-8a52-21931c918a5c</t>
  </si>
  <si>
    <t>a9d6e8d8-4a90-4a03-b8eb-3d1eb1f33281</t>
  </si>
  <si>
    <t>f6b6157a-2fcd-46db-a3b8-5fa75911b422</t>
  </si>
  <si>
    <t>3a23a89c-cc7f-4cf3-9e2a-b62324db2e93</t>
  </si>
  <si>
    <t>Dry the last few days, river lower than last week</t>
  </si>
  <si>
    <t>ac7f9957-5359-4a4e-97fd-0548043a99b5</t>
  </si>
  <si>
    <t>No rain for several days. River back to"normal" after flooding last week.</t>
  </si>
  <si>
    <t>c659567e-3865-4f9c-afcd-447157913983</t>
  </si>
  <si>
    <t>Brook level normal</t>
  </si>
  <si>
    <t>7bbc610f-7f76-4b48-9dea-c4839f2c4b09</t>
  </si>
  <si>
    <t>Stour, Shipston Mill Bridge</t>
  </si>
  <si>
    <t>3642fd3a-a2b4-41ea-a7a0-cb9ca93e9b56</t>
  </si>
  <si>
    <t>3ad289b1-fd54-4afd-8b83-2d51430b9fe7</t>
  </si>
  <si>
    <t>4f759169-c752-4e79-8e85-ba753431bce3</t>
  </si>
  <si>
    <t>9b0d20aa-75d5-4a71-b364-0d7f584f9f1b</t>
  </si>
  <si>
    <t>Overcast. River slow and silty</t>
  </si>
  <si>
    <t>b88e3a60-9c80-49f3-a1e8-58df3e75bbd4</t>
  </si>
  <si>
    <t>Slow foam silty</t>
  </si>
  <si>
    <t>fb5f04ec-b544-45d4-86ff-dd5fea8fc358</t>
  </si>
  <si>
    <t>cc21d216-d930-4b74-8b28-78e4b21177c6</t>
  </si>
  <si>
    <t>48ac7680-f104-11ef-abb5-1b40d9eb8791</t>
  </si>
  <si>
    <t>Linda</t>
  </si>
  <si>
    <t>b1316e36-f35f-428b-92d5-637b2337b6f7</t>
  </si>
  <si>
    <t>77cbb17f-7ab3-4107-a557-9dc38c7e4e63</t>
  </si>
  <si>
    <t>99983d81-70b8-46bf-96bd-1175afde95a4</t>
  </si>
  <si>
    <t>8946803d-ad9f-447a-9713-0e05f29a48c1</t>
  </si>
  <si>
    <t>4d736d42-ded5-422a-b20a-3d0b3a43fc41</t>
  </si>
  <si>
    <t>R.Stowe, Lower Fields Farm, Napton</t>
  </si>
  <si>
    <t>Very low. No recent rain. pH - 7.86</t>
  </si>
  <si>
    <t>da303e16-32ee-4dd4-8900-d49a8e4b5c82</t>
  </si>
  <si>
    <t>74ec16fb-8dfe-4ce1-a0d1-3b6a30ae14bd</t>
  </si>
  <si>
    <t>1b4b0dad-e2f2-4b2f-acb6-1b57b93399d3</t>
  </si>
  <si>
    <t>953386b2-9f99-4727-98ac-446f3fc3d7aa</t>
  </si>
  <si>
    <t>0a0c2670-db1e-4148-abd4-c0d89ac0f3a9</t>
  </si>
  <si>
    <t>5ff8252d-1d6a-4508-9bf9-39a8eb8db88b</t>
  </si>
  <si>
    <t>9cca61f2-60c0-4af7-9e77-7441f5f89064</t>
  </si>
  <si>
    <t>Below CSO.</t>
  </si>
  <si>
    <t>1] No rain in the previous 24 hours, limited in 48 hrs. 2] Wellesbourne STP spilling for previous 48 hrs</t>
  </si>
  <si>
    <t>fd07c9c0-9bba-415a-b0f7-c240bce858be</t>
  </si>
  <si>
    <t>No rain for past few weeks</t>
  </si>
  <si>
    <t>c3fe567b-6b90-4ae2-92fc-84f5dcb3212a</t>
  </si>
  <si>
    <t>No rain for past few days</t>
  </si>
  <si>
    <t>b3105fdd-1b68-4c47-8fab-20eca7db9bad</t>
  </si>
  <si>
    <t>c41d1c30-da47-11ef-9212-7d428a4c8a65</t>
  </si>
  <si>
    <t>EC/temp meter not working again</t>
  </si>
  <si>
    <t>bf7f5bd5-7760-42c8-b03b-7184a97a9773</t>
  </si>
  <si>
    <t>No CSO overflows since Sunday upstream to Pershore</t>
  </si>
  <si>
    <t>c8a4f20e-d2d0-4534-a4a0-80dba5fec742</t>
  </si>
  <si>
    <t>High street Brailes</t>
  </si>
  <si>
    <t>Could not get EC</t>
  </si>
  <si>
    <t>1aee7d73-67c4-467c-ab1a-805bd8acac44</t>
  </si>
  <si>
    <t>New barn Brailes</t>
  </si>
  <si>
    <t>EC tool not working</t>
  </si>
  <si>
    <t>48f5f436-23cd-47ad-9de2-da28dbdd1ad3</t>
  </si>
  <si>
    <t>514f00bc-dfda-4c53-9bae-a1bed41854ed</t>
  </si>
  <si>
    <t>e863b3ed-e1e4-4edd-a99b-6b41613902c4</t>
  </si>
  <si>
    <t>Water bubbling up through manhole cover next to out let. Video taken citizen has reported to Severn Trent water. Been going on for two days</t>
  </si>
  <si>
    <t>aaa61075-50f6-4111-91a2-550d00d1e36b</t>
  </si>
  <si>
    <t>310e14f2-fe12-4753-8e3c-a45b910e1052</t>
  </si>
  <si>
    <t>1435c93b-4d2f-456e-a7aa-abb43ace315a</t>
  </si>
  <si>
    <t>Clear</t>
  </si>
  <si>
    <t>f1174d80-7286-41c8-a9e7-36925bf23d54</t>
  </si>
  <si>
    <t>after period without rain overnight rain</t>
  </si>
  <si>
    <t>15d9ff73-636d-4bf9-bb81-e49eca3430cf</t>
  </si>
  <si>
    <t>6d72356d-5c1a-4790-8e76-50beca7c14b9</t>
  </si>
  <si>
    <t>Day after some heavy night rain</t>
  </si>
  <si>
    <t>4353222e-40d4-48ff-8672-6830f8ef6841</t>
  </si>
  <si>
    <t>Slow. Silty</t>
  </si>
  <si>
    <t>948aea61-e8c7-4287-98b4-610615ecccbe</t>
  </si>
  <si>
    <t>4ff46664-5c00-4a11-9d65-2e063e85c091</t>
  </si>
  <si>
    <t>00e2bbe2-11a7-4e79-b452-92418474d273</t>
  </si>
  <si>
    <t>Severn Trent outflow</t>
  </si>
  <si>
    <t>7eb12610-2ecc-4d13-a31b-2037287d3520</t>
  </si>
  <si>
    <t>Black water flowing from CSO</t>
  </si>
  <si>
    <t>898beb18-4013-460c-8f21-51573ed7170d</t>
  </si>
  <si>
    <t>Slow. Silty. Frothy.</t>
  </si>
  <si>
    <t>dae7bad0-db49-11ef-bce4-67ed3e4fdd73</t>
  </si>
  <si>
    <t>193ba4e6-62cd-4329-8c2a-9ad4dd6114e7</t>
  </si>
  <si>
    <t>R.Stowe, Lower Fields Farm,  Napton</t>
  </si>
  <si>
    <t>River low, not clear, some recent rain. Bright sunny day. Ph 7.6</t>
  </si>
  <si>
    <t>ac6b4ac3-1319-4ac2-a8cd-c4381f083ec5</t>
  </si>
  <si>
    <t>07974953-bbb1-4f60-b794-e68374bc557d</t>
  </si>
  <si>
    <t>Medium water. Fairly muddy</t>
  </si>
  <si>
    <t>bf0c3073-00b0-437a-beb1-7e439a9631f0</t>
  </si>
  <si>
    <t>Medium water depth, fairly muddy</t>
  </si>
  <si>
    <t>513dbd71-591c-4ab4-8cea-c0ac33e3f890</t>
  </si>
  <si>
    <t>RAINING</t>
  </si>
  <si>
    <t>3ac41892-e61c-47e1-99f9-2c42a7b632f1</t>
  </si>
  <si>
    <t>Luddington Avon Bank</t>
  </si>
  <si>
    <t>Raining</t>
  </si>
  <si>
    <t>64d1e238-ba8f-4642-ae4c-c5982892fa1c</t>
  </si>
  <si>
    <t>d2bb71c4-17f6-4c23-a739-26b7610350e5</t>
  </si>
  <si>
    <t>5897982b-7ac6-40e8-8397-8aaf94a8eb4e</t>
  </si>
  <si>
    <t>Heavy rainfall night before readings</t>
  </si>
  <si>
    <t>904bc1c4-3380-485c-b457-3b5793871707</t>
  </si>
  <si>
    <t>31d98d40-5f21-4e57-a659-cae1bbe92ddc</t>
  </si>
  <si>
    <t>Little rain</t>
  </si>
  <si>
    <t>907785a7-005c-402e-b453-85a1a7c38a26</t>
  </si>
  <si>
    <t>River in flood, could only collect from side. CSO map shows multiple discharges upstream and downstream today.</t>
  </si>
  <si>
    <t>8b25aee0-57fc-4cdc-9c10-bf46879ed3bd</t>
  </si>
  <si>
    <t>Sutton Brook, New Barn Farm - Brailes</t>
  </si>
  <si>
    <t>CSO currently spilling. Water fast flowing, light brown in colour</t>
  </si>
  <si>
    <t>66cdda0f-78b4-49a6-8f5e-72beb7738d6c</t>
  </si>
  <si>
    <t>After heavy rain, brook just in its banks. Water in sample dilute murky</t>
  </si>
  <si>
    <t>12dd4928-1c9e-403a-8747-0009f89f6d6b</t>
  </si>
  <si>
    <t>Sutton Brook, High Street,Brailes</t>
  </si>
  <si>
    <t>Fast flowing, light brown in colour</t>
  </si>
  <si>
    <t>5458fa4f-03ab-4a8b-8e0a-29e44a5f58b1</t>
  </si>
  <si>
    <t>In flood, fast flowing and very brown</t>
  </si>
  <si>
    <t>4e73512d-b6d3-43d2-89bc-b858a3239a01</t>
  </si>
  <si>
    <t>Heavy rain 2 days ago..River 1 metre higher than usual usu</t>
  </si>
  <si>
    <t>10fedbbb-1f19-4c5d-bbd0-a5f5a7e42616</t>
  </si>
  <si>
    <t>3444b7e0-1580-49ee-90e5-35c071b2aaa2</t>
  </si>
  <si>
    <t>f72bf94c-7ed2-446e-85ea-9229746ca4df</t>
  </si>
  <si>
    <t>High. Brown scum</t>
  </si>
  <si>
    <t>2ca08717-751a-402c-9d30-ff538a6e86ef</t>
  </si>
  <si>
    <t>Silty slow. Some foam.</t>
  </si>
  <si>
    <t>39f8997f-09a6-436b-8857-febfdde9d4aa</t>
  </si>
  <si>
    <t>019d38c3-9e6f-4d00-adba-b532673a87f7</t>
  </si>
  <si>
    <t>357c12f8-b3ab-44ff-9800-d6e97e5679e3</t>
  </si>
  <si>
    <t>6e46590f-357a-4ceb-acb8-f39a896dc4d7</t>
  </si>
  <si>
    <t>Air temp 8 degrees. No rain in last 24 hours</t>
  </si>
  <si>
    <t>8ac5e550-e1b5-11ef-8216-4d23dd46e0e2</t>
  </si>
  <si>
    <t>345b5139-7e2c-4ebf-8aaa-0fbbc5b80a7e</t>
  </si>
  <si>
    <t>5d49c399-0057-4218-b1eb-7fa942848af6</t>
  </si>
  <si>
    <t>Cross leys Ilmington</t>
  </si>
  <si>
    <t>202eef20-64f6-4353-b0c3-62e5b308a128</t>
  </si>
  <si>
    <t>694f1c6c-41a7-4636-948c-dff74b3954fe</t>
  </si>
  <si>
    <t>Middle street ilmington</t>
  </si>
  <si>
    <t>885dba80-8058-4235-87db-ccffee58dcba</t>
  </si>
  <si>
    <t>Sherbourne Brook</t>
  </si>
  <si>
    <t>Cloudy water</t>
  </si>
  <si>
    <t>620814b4-4805-4beb-b9c8-68d9f6f1158f</t>
  </si>
  <si>
    <t>fb415650-be7f-4875-927e-82ab78c8f908</t>
  </si>
  <si>
    <t>f11af58e-3f31-4ee9-bf81-0286c8a698e9</t>
  </si>
  <si>
    <t>Bell Brook</t>
  </si>
  <si>
    <t>ebf32bde-69bd-4a3f-a007-fa79a3b3d83f</t>
  </si>
  <si>
    <t>13bc3d97-5f5e-42bf-8dd3-6fbfc52f285e</t>
  </si>
  <si>
    <t>d16ffe7a-5269-4519-ae4a-526bfd658450</t>
  </si>
  <si>
    <t>865bf6f0-2043-4c4d-b49a-f1139d09a6f5</t>
  </si>
  <si>
    <t>f66a1247-5ba1-47ee-84f0-bf7b06867981</t>
  </si>
  <si>
    <t>No rain in previous 24 hours Spill started at Wellesbourne at 9.20 this morning however!</t>
  </si>
  <si>
    <t>a79e4ddf-5a91-4cd2-835d-d495355c5120</t>
  </si>
  <si>
    <t>54a5d6fd-43f7-4a20-949b-aab3b6376dc1</t>
  </si>
  <si>
    <t>Sutton Brook, New Barn Farm Brailes</t>
  </si>
  <si>
    <t>aad142c7-b375-461a-8dc3-ddc66ed4fd5b</t>
  </si>
  <si>
    <t>Sutton Brook, High Street Brailes</t>
  </si>
  <si>
    <t>6e61f640-5629-4e6f-805b-1d900d8876e5</t>
  </si>
  <si>
    <t>d7817473-fa53-4a1c-9c25-255b9dea1556</t>
  </si>
  <si>
    <t>3fb23663-f4eb-4316-a433-0a031b5772ad</t>
  </si>
  <si>
    <t>a1005370-88b9-4fdf-9b0b-32291ca773a2</t>
  </si>
  <si>
    <t>2df3056c-80bd-4e9a-aa9b-0e03046164f9</t>
  </si>
  <si>
    <t>78a86659-071b-4c40-96d6-1cb2e8249668</t>
  </si>
  <si>
    <t>567e9b9f-cc8e-431d-92a2-553c537802e3</t>
  </si>
  <si>
    <t>3f494d91-a937-4d58-8bc4-d01b8b2992fb</t>
  </si>
  <si>
    <t>6add3c2f-8b65-4294-9acb-376d61027ce4</t>
  </si>
  <si>
    <t>3618d808-b5a9-4c72-b51c-7101fa6298ae</t>
  </si>
  <si>
    <t>b97fb1d3-99e4-42cc-9ef8-801e9adde150</t>
  </si>
  <si>
    <t>Not applicable</t>
  </si>
  <si>
    <t>14b70be4-87ac-46d6-b191-66102c970ba6</t>
  </si>
  <si>
    <t>NA</t>
  </si>
  <si>
    <t>6839d74d-a92c-4f8e-93c3-ce3929eecab4</t>
  </si>
  <si>
    <t>d0c531e4-aacc-47a9-bb46-114f19d47fa1</t>
  </si>
  <si>
    <t>Piddlebrookbridge</t>
  </si>
  <si>
    <t>Steady/ overnight rain</t>
  </si>
  <si>
    <t>12542c55-6238-4c66-b5d8-1183651dba76</t>
  </si>
  <si>
    <t>Recent rain, but not heavy</t>
  </si>
  <si>
    <t>a82709d3-e6bb-432c-90be-9e917b291d3f</t>
  </si>
  <si>
    <t>Steady</t>
  </si>
  <si>
    <t>23c1b953-d38b-4abe-882b-635f094d4264</t>
  </si>
  <si>
    <t>b9d7a144-f87b-4882-a307-28558a918c21</t>
  </si>
  <si>
    <t>89eac11b-f5f2-49ef-b900-f4f01b1a22dc</t>
  </si>
  <si>
    <t>47b6bf26-7562-4275-9112-b5226dcdd8ff</t>
  </si>
  <si>
    <t>Fast flowing.  Loaded with mud. Higher than in recent weeks.  7.6 pH</t>
  </si>
  <si>
    <t>30490f60-e702-11ef-9321-9d8a24590e74</t>
  </si>
  <si>
    <t>976b5f7a-d861-4925-8b28-1894de18afd0</t>
  </si>
  <si>
    <t>Slightly cloudy water</t>
  </si>
  <si>
    <t>3539447a-db26-43ab-aa82-6c02e7997e48</t>
  </si>
  <si>
    <t>fa7d72d3-f527-4224-a99a-92d6f46c996b</t>
  </si>
  <si>
    <t>Langley</t>
  </si>
  <si>
    <t>704efe3c-652e-4a1d-ad34-bd343ef58cd3</t>
  </si>
  <si>
    <t>be5fe28c-9f0a-4b7c-939b-81cae3f3a947</t>
  </si>
  <si>
    <t>ba368121-a5b6-4a36-98d5-3196d38f191b</t>
  </si>
  <si>
    <t>779b74a3-7825-4e3c-af6b-57f16a2b82fe</t>
  </si>
  <si>
    <t>1mm Rainfall within 24 hrs 10 Feb &amp; spilling from 07:53. Also, spillingfrom Sunday 09 Feb 07.58 to 08.29. Minimal rainfall in 24 hrs.</t>
  </si>
  <si>
    <t>75d063b4-fccc-4eea-a8b1-02b2e2791485</t>
  </si>
  <si>
    <t>1mm in last 24 hrs, spilling from 07:53 10 Feb and Sunday 09 Feb, minimal rain, spilling 07:53 until 08:29.</t>
  </si>
  <si>
    <t>01b6df30-ee04-4357-bad4-5537908ca838</t>
  </si>
  <si>
    <t>Cold, drizzle all day</t>
  </si>
  <si>
    <t>e49e7934-7427-4777-a045-6069bf49ff3f</t>
  </si>
  <si>
    <t>Brook slightly high</t>
  </si>
  <si>
    <t>2ca9e578-9b7a-4d4b-b778-34d5d7d7f916</t>
  </si>
  <si>
    <t>63a1cf75-8282-4e2b-9371-4aa4ac4bc1e5</t>
  </si>
  <si>
    <t>High street</t>
  </si>
  <si>
    <t>17b71c4b-5722-49fc-ba6f-1f6c6f2e5244</t>
  </si>
  <si>
    <t>New barn</t>
  </si>
  <si>
    <t>Phosphate is .29</t>
  </si>
  <si>
    <t>06cf198f-37eb-46a0-8647-46be51db4fac</t>
  </si>
  <si>
    <t>Water receding after flooding, still fast flowing.</t>
  </si>
  <si>
    <t>512b61b3-2106-4007-96b5-24e9bfbd9164</t>
  </si>
  <si>
    <t>b04d4809-0264-415a-9090-4991f48c40c7</t>
  </si>
  <si>
    <t>754af881-d7e5-4d2a-9cf7-23c652bab41d</t>
  </si>
  <si>
    <t>Carrant Brook Beckford Back Lane</t>
  </si>
  <si>
    <t>d3c1cde1-53da-4493-94ea-6b50faf9b509</t>
  </si>
  <si>
    <t>4ec207ee-4d47-4802-9c16-b04d24961076</t>
  </si>
  <si>
    <t>36bf019e-6aee-4bec-8bf7-ba8ff8b6bd0e</t>
  </si>
  <si>
    <t>f9379cbc-0302-49e1-88ba-1af7a501bde6</t>
  </si>
  <si>
    <t>Fosseway Brook, Heath Gate</t>
  </si>
  <si>
    <t>First time.samplong Heath Gate site</t>
  </si>
  <si>
    <t>697c2847-d1c5-4379-948f-a546b75ec379</t>
  </si>
  <si>
    <t>Work in.progress. clearing vegetation and dogging alongside brook as part of ST groundwork for treatment site</t>
  </si>
  <si>
    <t>2b115b08-ead6-4b27-a3b1-ffe54b92d6c6</t>
  </si>
  <si>
    <t>d4d44755-ab9f-4e12-a752-a72949b5be95</t>
  </si>
  <si>
    <t>5e5c9af3-1d4e-4a9f-8bd6-fdedce314c38</t>
  </si>
  <si>
    <t>a026044e-ba1c-4160-aa51-6577225bf201</t>
  </si>
  <si>
    <t>Muddy scummy slow</t>
  </si>
  <si>
    <t>95f5b708-672c-4b92-8c64-c64ac1190b84</t>
  </si>
  <si>
    <t>Muddy &amp; low</t>
  </si>
  <si>
    <t>a8697131-0714-478b-9040-f3b9cec7aa06</t>
  </si>
  <si>
    <t>a19c9cb5-a59c-40a3-8db2-f16f2b8e1e75</t>
  </si>
  <si>
    <t>b5c00575-14bc-4e9d-960b-d8ed896f319d</t>
  </si>
  <si>
    <t>Below 1.25km</t>
  </si>
  <si>
    <t>Dry after day of prolonged rain. River up (new measuring stick) Ph 7.82</t>
  </si>
  <si>
    <t>a2675960-f104-11ef-abb5-1b40d9eb8791</t>
  </si>
  <si>
    <t>f7ac4f10-f105-11ef-abb5-1b40d9eb8791</t>
  </si>
  <si>
    <t>508e6adf-7314-43fd-9f29-b09ab5ead9a2</t>
  </si>
  <si>
    <t>a5e6db9d-a74f-4247-8483-fc81651cbfb9</t>
  </si>
  <si>
    <t>The Ford Langley</t>
  </si>
  <si>
    <t>105030cd-3c09-4302-b773-8c7ecea362b0</t>
  </si>
  <si>
    <t>Cloudy water, high level</t>
  </si>
  <si>
    <t>a607618b-4da5-4051-a9b9-1cdcf0bbe002</t>
  </si>
  <si>
    <t>d573b9b0-ed81-11ef-ba3d-431f6dc8bcff</t>
  </si>
  <si>
    <t>Fell Mill Footbridge,  River Stour</t>
  </si>
  <si>
    <t>5360e7d0-0ea3-4ee9-97b0-79cea43f46d7</t>
  </si>
  <si>
    <t>Cam Chipping Campden Sewage</t>
  </si>
  <si>
    <t>061d32ce-f135-4bc3-aec3-d4ea78c087db</t>
  </si>
  <si>
    <t>dbdc7838-f130-48d6-9977-83775f8d4eab</t>
  </si>
  <si>
    <t>43c5f009-0b02-411d-b010-ad18924e7112</t>
  </si>
  <si>
    <t>Sutton Brook,Brailes</t>
  </si>
  <si>
    <t>Cold, sunny day. Last spill 28.01.25</t>
  </si>
  <si>
    <t>a8767b1d-a6c4-4db2-bf7a-6556860cadd8</t>
  </si>
  <si>
    <t>Sutton Brook - High Street Brailes</t>
  </si>
  <si>
    <t>Cold, sunny day - last spill 28.01.25</t>
  </si>
  <si>
    <t>89d10eb0-f103-11ef-abb5-1b40d9eb8791</t>
  </si>
  <si>
    <t>5b1715c1-f288-499b-928c-85288e8489b3</t>
  </si>
  <si>
    <t>0c2eaf8a-7a7e-413d-bb97-e126c1fb7a60</t>
  </si>
  <si>
    <t>Water not completely receded after flooding</t>
  </si>
  <si>
    <t>40f8926b-f360-461b-891a-380ac8ef471b</t>
  </si>
  <si>
    <t>1e8e7af0-d5c6-4811-b9a9-6755305131a8</t>
  </si>
  <si>
    <t>932b3210-8d48-4181-93c0-ca993a498239</t>
  </si>
  <si>
    <t>ee19298b-e00b-4b12-b83f-fb8cf459b5c6</t>
  </si>
  <si>
    <t>Drizzle past few months. Heavy rain this morning. Wellesbourne sewage works have been discharging effluent every day this week</t>
  </si>
  <si>
    <t>a54d16f4-e553-4727-b84a-4a0877b31ce2</t>
  </si>
  <si>
    <t>8638bedd-de4a-49f3-886e-117d9ce9600a</t>
  </si>
  <si>
    <t>e3baa0c7-abed-4150-b7c6-a98de10aedab</t>
  </si>
  <si>
    <t>f364c10a-9357-4030-bb93-b7c91f0f8be4</t>
  </si>
  <si>
    <t>Mild windy wet after cold spell. Water clear to the eye</t>
  </si>
  <si>
    <t>934a4792-8643-4dd5-9c6d-b9ffed7e4148</t>
  </si>
  <si>
    <t>de2bec07-712e-466c-b79e-f3f63bb7f250</t>
  </si>
  <si>
    <t>cc88cc78-e02b-45a9-9641-535bc17e8118</t>
  </si>
  <si>
    <t>bad8708b-9787-47fe-9a44-6a9a406aad3f</t>
  </si>
  <si>
    <t>9f6408c2-24aa-40af-9de0-347193bffe20</t>
  </si>
  <si>
    <t>Medium flow no scum</t>
  </si>
  <si>
    <t>9390364a-30ec-4136-9c11-67ebc4d18bdf</t>
  </si>
  <si>
    <t>Medium flow. Scum. Slightly sediment.</t>
  </si>
  <si>
    <t>18dc1558-e0d3-4a08-90f6-cf1d291211c3</t>
  </si>
  <si>
    <t>dface780-b020-4c98-be65-77f23f31e182</t>
  </si>
  <si>
    <t>8e3f963c-fd34-4f72-b1a4-8b9a294ef300</t>
  </si>
  <si>
    <t>82a00b21-2a82-4335-b991-10f40eff1761</t>
  </si>
  <si>
    <t>Ph- 7.9.  Cloudy, more shitty than usual</t>
  </si>
  <si>
    <t>383f838e-815d-41f3-819d-389aeba9bc95</t>
  </si>
  <si>
    <t>469f1950-f5f1-11ef-9474-33b90b690e12</t>
  </si>
  <si>
    <t>cab308c9-befc-46c1-bc56-b4b9aca0bf45</t>
  </si>
  <si>
    <t>Raining, cloudy water, medium flow</t>
  </si>
  <si>
    <t>1260ab2b-369a-4ad9-a915-75264bc50363</t>
  </si>
  <si>
    <t>5401b7a1-04b9-4cba-bd47-77be071d2276</t>
  </si>
  <si>
    <t>6c6b2577-9bf9-45a6-ac86-037276852471</t>
  </si>
  <si>
    <t>b04e13ec-243c-4c68-b56b-65ebcba3bd73</t>
  </si>
  <si>
    <t>6b105aa5-7052-40f0-95eb-073a464aaefc</t>
  </si>
  <si>
    <t>aa74d201-2c71-4bcb-a381-12d78cfa970a</t>
  </si>
  <si>
    <t>Carrant crashmore lane</t>
  </si>
  <si>
    <t>First attempt!</t>
  </si>
  <si>
    <t>b6e7b11c-ef89-467b-b547-b7e2b3bb111c</t>
  </si>
  <si>
    <t>8f3dd865-083b-4570-a544-086e15a05fdc</t>
  </si>
  <si>
    <t>903a5841-dc69-47db-bb46-c1c5edadff58</t>
  </si>
  <si>
    <t>Heath culvert ilmington</t>
  </si>
  <si>
    <t>3559330c-1a40-4d74-af70-96a09be2f428</t>
  </si>
  <si>
    <t>River has burst bank..very heavy rain last night</t>
  </si>
  <si>
    <t>eb0e9930-4c5b-4960-8670-ff41386939dc</t>
  </si>
  <si>
    <t>River high after lots of rainfall over night</t>
  </si>
  <si>
    <t>26496297-91e7-42d1-b887-eb24dba58d1d</t>
  </si>
  <si>
    <t>1bf1bae1-4835-45e6-baad-8fafb3f12a7b</t>
  </si>
  <si>
    <t>fcdb24c4-8966-4df4-91fd-ab55b9b37180</t>
  </si>
  <si>
    <t>f50befa3-f94c-4ea5-a3f9-0f905d9c87bb</t>
  </si>
  <si>
    <t>428782ea-4a50-43b5-8766-bd8b94910097</t>
  </si>
  <si>
    <t>14d985d3-f246-4f48-81dd-ca92ace5c03c</t>
  </si>
  <si>
    <t>8112d40d-c9d2-417b-a890-83ee9c28b9f7</t>
  </si>
  <si>
    <t>Dry sunny cold. River silty, scummy, quite slow.</t>
  </si>
  <si>
    <t>5511b7ab-7fe8-4c14-b061-db212091ab8d</t>
  </si>
  <si>
    <t>River Avon at Quay Lane</t>
  </si>
  <si>
    <t>No rain. Muddy looking water. Calm flow.</t>
  </si>
  <si>
    <t>a3397450-f784-11ef-a2b6-4792dc7a80ab</t>
  </si>
  <si>
    <t>d56a3787-693b-4acb-9686-befe955c4f63</t>
  </si>
  <si>
    <t>No flow on river and river above normal</t>
  </si>
  <si>
    <t>e2e064c9-9172-473d-8c15-e5d856db5b38</t>
  </si>
  <si>
    <t>Dry sunny and cold. Rive silty scummy and slow.</t>
  </si>
  <si>
    <t>28a67a79-31fa-444e-9d3e-f55c0c3c7b49</t>
  </si>
  <si>
    <t>6e64b2ca-5e71-4079-a64d-6327754f1408</t>
  </si>
  <si>
    <t>c8495631-985b-4f68-906f-6736de91bf30</t>
  </si>
  <si>
    <t>f4a48c18-59e9-434f-9487-1db9c232844a</t>
  </si>
  <si>
    <t>Beloe</t>
  </si>
  <si>
    <t>07dcef3b-d1b8-4945-ad25-eda626175903</t>
  </si>
  <si>
    <t>8c31694f-d679-4c63-b15e-e061fd68cd70</t>
  </si>
  <si>
    <t>R.Stowe,  Lower Fields Farm, Napton</t>
  </si>
  <si>
    <t>Ph - 7.42.  Lovely sunny day. Water quite clear. Could see bottom in places.</t>
  </si>
  <si>
    <t>9d507415-c686-4f13-9116-28858c8319c8</t>
  </si>
  <si>
    <t>96c210f0-5588-4211-9bf0-d18ddcc5f7b3</t>
  </si>
  <si>
    <t>93f7e832-a123-41ae-9f0b-bbacd333bcdb</t>
  </si>
  <si>
    <t>Heath Gate</t>
  </si>
  <si>
    <t>2c44d20b-cfe1-461d-8eca-d3c14e1b49ce</t>
  </si>
  <si>
    <t>Brown water, medium flow</t>
  </si>
  <si>
    <t>63f81be9-2dec-4e51-88da-a3a08a1d66a2</t>
  </si>
  <si>
    <t>2cbca9c8-2343-4f7c-ba4c-1d591ddf9905</t>
  </si>
  <si>
    <t>Isbourne</t>
  </si>
  <si>
    <t>962dd85c-1367-4718-bc59-f7795a028ec4</t>
  </si>
  <si>
    <t>Quite a lot of foam on the river. No overflows shown as recently discharging</t>
  </si>
  <si>
    <t>8ab89fc6-2997-4796-acc9-3ae848d611a9</t>
  </si>
  <si>
    <t>Preston bagot Brook</t>
  </si>
  <si>
    <t>10f75c07-6d95-4193-8c72-958f130f9676</t>
  </si>
  <si>
    <t>Preston bagot Canal</t>
  </si>
  <si>
    <t>635ede3c-c218-4aff-b729-6adaaeb5e255</t>
  </si>
  <si>
    <t>8eb0c3b7-d75d-4fe1-b11d-436e65e5caf7</t>
  </si>
  <si>
    <t>120b53b0-92a7-403a-b2d3-52922c62f692</t>
  </si>
  <si>
    <t>The Craves Chipping Campdem</t>
  </si>
  <si>
    <t>adb335b4-050f-4007-a6ae-16534d4e379c</t>
  </si>
  <si>
    <t>a60a1107-ec8a-45a9-9bf8-60e1d8b20ea4</t>
  </si>
  <si>
    <t>cd5c3512-f9bf-4883-b1fe-dc0cb0752c29</t>
  </si>
  <si>
    <t>71ad503f-1faf-4cd1-9dd1-f113f577a7c4</t>
  </si>
  <si>
    <t>Sutton Brook - High St - Brailes</t>
  </si>
  <si>
    <t>15ea1067-2c4f-4210-b051-85c4b380bd8d</t>
  </si>
  <si>
    <t>Sutton Brook - New Barn Farm - Brailes</t>
  </si>
  <si>
    <t>7e41631b-c188-4b41-b470-dc4114d973ad</t>
  </si>
  <si>
    <t>Water receding after flooding</t>
  </si>
  <si>
    <t>4b92a198-05a6-43fb-ace2-c1ff87762489</t>
  </si>
  <si>
    <t>No spills at Wellesbourne Sewage works last few days.no rain past few days</t>
  </si>
  <si>
    <t>61eca4b1-b269-4bd4-8167-1256e4706481</t>
  </si>
  <si>
    <t>O spills at Wellesbourne last few days. No rain past few days</t>
  </si>
  <si>
    <t>803cfec2-bcb8-42d3-bb3f-531ea3c40c5a</t>
  </si>
  <si>
    <t>119f154e-a6b5-46c4-8da5-f741271c9ce2</t>
  </si>
  <si>
    <t>adcea937-9c11-42eb-ae42-a418a90d4437</t>
  </si>
  <si>
    <t>a68a3574-b179-4d02-a0d4-202e9d74004f</t>
  </si>
  <si>
    <t>No rain for 3 days now.</t>
  </si>
  <si>
    <t>39aed963-d57b-4dcc-8bfd-2201b49f02a6</t>
  </si>
  <si>
    <t>Mild, some cloud, water free flowing, looks clear</t>
  </si>
  <si>
    <t>a793ff43-a171-438e-a3a7-912810983f92</t>
  </si>
  <si>
    <t>e6182f75-4e85-47ca-887a-f67a1a4bec72</t>
  </si>
  <si>
    <t>7ce1004c-61e1-48d6-ba67-8f0629fae034</t>
  </si>
  <si>
    <t>3b8d8c3d-2f39-4e0d-bcd3-4d6c15b25cb9</t>
  </si>
  <si>
    <t>6c442c23-8544-4c7b-ab9e-4b71ade25486</t>
  </si>
  <si>
    <t>AvonMeadow</t>
  </si>
  <si>
    <t>Slow/silty</t>
  </si>
  <si>
    <t>d46a10f5-dea8-42fe-b9c4-4054af2da574</t>
  </si>
  <si>
    <t>738af6ee-2112-4450-9bcc-276b5244ce30</t>
  </si>
  <si>
    <t>fa63743b-6153-4ea1-a017-87fc02006db6</t>
  </si>
  <si>
    <t>Piddlebrook bridge</t>
  </si>
  <si>
    <t>Slow/slight scum</t>
  </si>
  <si>
    <t>de271811-267a-43d7-adc1-5d765ca5fb90</t>
  </si>
  <si>
    <t>add9d4e3-057b-4704-a962-0460799eb86e</t>
  </si>
  <si>
    <t>Great Comberton Quay</t>
  </si>
  <si>
    <t>Not known</t>
  </si>
  <si>
    <t>Sunny and warm, little wind</t>
  </si>
  <si>
    <t>874042a0-fea1-11ef-acab-97d2ec24e26a</t>
  </si>
  <si>
    <t>ff67c557-35af-44d9-95e5-49a47bcb0f1d</t>
  </si>
  <si>
    <t>63f468f1-546e-4c67-8e79-e029a2a6b040</t>
  </si>
  <si>
    <t>Below by 1.25km</t>
  </si>
  <si>
    <t>PH - 7.93.  Water v clear in river</t>
  </si>
  <si>
    <t>f251dc1d-8c7d-4fb7-b6a1-c354850b4d56</t>
  </si>
  <si>
    <t>fcc72158-8341-4e38-8fd5-52ba099f6c04</t>
  </si>
  <si>
    <t>0349b1a9-104e-43ec-9791-c4386b70a670</t>
  </si>
  <si>
    <t>9aaab8a5-50a4-4e8f-b188-0229f2c4da3a</t>
  </si>
  <si>
    <t>Carrant mItton path</t>
  </si>
  <si>
    <t>f053e10b-7904-4c9c-8926-9cb6fecfb48c</t>
  </si>
  <si>
    <t>Below CSo</t>
  </si>
  <si>
    <t>No overflows shown as discharging on ST map</t>
  </si>
  <si>
    <t>be718931-951d-48ac-8400-b1e2d560096a</t>
  </si>
  <si>
    <t>04c15d17-650b-49f3-9797-eea045754b4f</t>
  </si>
  <si>
    <t>Slow flow, clear water</t>
  </si>
  <si>
    <t>78825347-5dd6-4314-8ddf-dfbab5e09c36</t>
  </si>
  <si>
    <t>8f6a9cbe-0787-491e-b04a-e81ad7a7590b</t>
  </si>
  <si>
    <t>No spillage last few days in Wellesbourne.  0.2mm rain in past few days</t>
  </si>
  <si>
    <t>e65ca814-9bd2-475c-923a-a51529c2631e</t>
  </si>
  <si>
    <t>A few mms rain on last 48 hours</t>
  </si>
  <si>
    <t>2dd6b887-60ee-4d90-aa29-5f02b76d5e1d</t>
  </si>
  <si>
    <t>156818d9-e772-4149-82ed-1b1c34387894</t>
  </si>
  <si>
    <t>Could not get EC to work for New Barn so entered same as high street</t>
  </si>
  <si>
    <t>589ddca0-9e24-45f8-bc8c-bf492a45b017</t>
  </si>
  <si>
    <t>34297550-1bee-4d53-a775-04a33875b77e</t>
  </si>
  <si>
    <t>920c32c0-49ef-4a98-879f-91f9e97b519b</t>
  </si>
  <si>
    <t>d778c57c-f8be-4d8b-aae1-7d71281e1e6e</t>
  </si>
  <si>
    <t>c13f8fe3-3030-4f65-b089-b183d19579f7</t>
  </si>
  <si>
    <t>de2017d6-ca31-4156-b1bb-175632669407</t>
  </si>
  <si>
    <t>8419eee5-3c98-48ba-a5ae-130db3786421</t>
  </si>
  <si>
    <t>09ea1cfe-4d18-4ef2-9f74-da95c40b5016</t>
  </si>
  <si>
    <t>Dry sunny cold river normal.Slight scum.</t>
  </si>
  <si>
    <t>f6c2e6b4-89f6-4b88-8ed4-ff181e5eda24</t>
  </si>
  <si>
    <t>Dry cold sunny. Brook low green no scum.</t>
  </si>
  <si>
    <t>16971e7b-9ff8-412f-b88d-65aa6d0264e5</t>
  </si>
  <si>
    <t>55ca8b97-0b02-425f-a29c-9cf4603e8643</t>
  </si>
  <si>
    <t>9bb82de9-e62f-464d-b49b-572625d6839b</t>
  </si>
  <si>
    <t>Clear water, slow flow</t>
  </si>
  <si>
    <t>dbd0a53e-3a85-494d-aa12-fe59835c18bd</t>
  </si>
  <si>
    <t>be647bb5-cd75-439c-9e88-808db430b34a</t>
  </si>
  <si>
    <t>Ph - 7.97.  River level low and quite clear</t>
  </si>
  <si>
    <t>4c297000-0262-11f0-8eb2-1b4b218e51fe</t>
  </si>
  <si>
    <t>c29519c0-0261-11f0-8eb2-1b4b218e51fe</t>
  </si>
  <si>
    <t>53c46812-bcb7-408e-8d1c-45a6fbd4b235</t>
  </si>
  <si>
    <t>9f35550e-4621-4eec-a6b4-a3db9ba72e47</t>
  </si>
  <si>
    <t>785aba3e-515e-43fa-a6fc-21ad4f444f95</t>
  </si>
  <si>
    <t>c3e23624-bb8a-4cba-b451-93866e8b581a</t>
  </si>
  <si>
    <t>bd317ce0-8c27-4bed-8fbc-975fb8d843b3</t>
  </si>
  <si>
    <t>9f59fedd-d6b4-4d4f-80d1-9991e254e465</t>
  </si>
  <si>
    <t>47efb785-439f-4737-a636-07614573614c</t>
  </si>
  <si>
    <t>bb3c2570-0355-11f0-9163-69b9370308db</t>
  </si>
  <si>
    <t>Fell Mill Footbridge Bridge, River Stour</t>
  </si>
  <si>
    <t>54cbe1b7-e0c0-4a50-af18-101f82dfe3f1</t>
  </si>
  <si>
    <t>59c5b71b-3489-4bbf-8fbb-5981a3bffd7d</t>
  </si>
  <si>
    <t>Water clear and fast flowing</t>
  </si>
  <si>
    <t>7a7d0dea-ad95-4982-8a44-f560ede97122</t>
  </si>
  <si>
    <t>Sutton Brook, New Barn Farm, Brailes</t>
  </si>
  <si>
    <t>Dry sunny day</t>
  </si>
  <si>
    <t>c4137a2a-7499-42ba-8092-957b51d38056</t>
  </si>
  <si>
    <t>Overflow currently at Teddington. Other local monitors  are clear.</t>
  </si>
  <si>
    <t>5a5e965b-0f58-423b-97e6-d8b3e9df8ea2</t>
  </si>
  <si>
    <t>Sutton Brook, High Street, Brailes</t>
  </si>
  <si>
    <t>Sunny day</t>
  </si>
  <si>
    <t>78b81a42-6bcb-45ca-affa-4a117ab10c0f</t>
  </si>
  <si>
    <t>b14e3080-5d97-4781-b388-6f3b165bb92f</t>
  </si>
  <si>
    <t>636829f7-c4a8-40f9-a820-fe834e2d46f4</t>
  </si>
  <si>
    <t>Severn sailing club</t>
  </si>
  <si>
    <t>Riverislandat normal level</t>
  </si>
  <si>
    <t>19528575-6599-47af-becd-91e5f04ad8e6</t>
  </si>
  <si>
    <t>Brook low</t>
  </si>
  <si>
    <t>469bec9c-67cd-4937-99af-64445b8c4796</t>
  </si>
  <si>
    <t>No rain for several days but we notice there are sewage spills at Wellesbourne...also spraying in nearby fields</t>
  </si>
  <si>
    <t>df9b7049-9c78-44e1-8422-acea17cfe9c2</t>
  </si>
  <si>
    <t>No rain for several days ..spraying in nearby fields..Wellesbourne sewage is seeing sewage spills last night</t>
  </si>
  <si>
    <t>c0a818e6-ee19-4a44-b25e-f2d3073de61c</t>
  </si>
  <si>
    <t>4a513789-084c-4e42-a237-0400f09af201</t>
  </si>
  <si>
    <t>Dull after week of dry sunny days. Water clear</t>
  </si>
  <si>
    <t>aca5dc2f-1f65-49a4-8545-c1ae7b2d7e7d</t>
  </si>
  <si>
    <t>3822b1c7-774c-4ed8-95f6-994b22b6ac5c</t>
  </si>
  <si>
    <t>Quay Lane Great Comberton</t>
  </si>
  <si>
    <t>River height taken from Gov UK site (Eckington sluice)</t>
  </si>
  <si>
    <t>91ff9a51-eeee-4f08-a438-a6ed809af76a</t>
  </si>
  <si>
    <t>Luddington PItch 16</t>
  </si>
  <si>
    <t>No heavy rain recently</t>
  </si>
  <si>
    <t>e1eba3fe-32f4-4afa-9df4-0e26a305dc5d</t>
  </si>
  <si>
    <t>Avon meadow</t>
  </si>
  <si>
    <t>Overcast, calm</t>
  </si>
  <si>
    <t>c8a52d21-e0f9-4795-91b7-0a64ee0b29fa</t>
  </si>
  <si>
    <t>b908aa38-9506-4741-b39f-c3ca0ddc0b4b</t>
  </si>
  <si>
    <t>N/</t>
  </si>
  <si>
    <t>4202dc90-0813-11f0-a123-1d051f8a8fe3</t>
  </si>
  <si>
    <t>43530dfd-d8a7-46bd-9444-525dc5acc0db</t>
  </si>
  <si>
    <t>38e6eb76-98c8-4ef2-8d75-e31257919f28</t>
  </si>
  <si>
    <t>V. Little rain recently.  Clear see bottom. Did second test for phosphate test again as first reading 0.06.  Ph - 8.18 !</t>
  </si>
  <si>
    <t>c4047c9b-9956-4479-a707-69343e70895e</t>
  </si>
  <si>
    <t>After heavy rain. Fast flow, slightly cloudy water</t>
  </si>
  <si>
    <t>d02bf079-ec32-46ec-9f3b-ed823182c3cf</t>
  </si>
  <si>
    <t>782e1289-bf53-4cc7-82bb-cf6df83dc7d6</t>
  </si>
  <si>
    <t>fc722feb-cd43-412e-bcb3-07cceff9751e</t>
  </si>
  <si>
    <t>62139328-5b40-43c3-b876-38b05f06fe4b</t>
  </si>
  <si>
    <t>d10a0e73-57d9-4b13-8b60-ceeed1963718</t>
  </si>
  <si>
    <t>c8f75434-6145-4469-95ea-aa92f940acda</t>
  </si>
  <si>
    <t>28a7e1dd-3be1-4d77-a9cf-25fe155cc0bd</t>
  </si>
  <si>
    <t>794b7c3c-2b26-4ae5-8d68-7c4bb24d10b3</t>
  </si>
  <si>
    <t>83f8a8e7-6d6b-42a5-a7f2-502c24b9e07d</t>
  </si>
  <si>
    <t>b6b23e8b-fd9c-47c9-a635-fa6a9d4606a8</t>
  </si>
  <si>
    <t>No sewage discharges shown in the last 48 hours</t>
  </si>
  <si>
    <t>bab3bcfd-05d9-4fd5-8dc8-75c21e770283</t>
  </si>
  <si>
    <t>d3928966-eae6-4e33-950a-45772fb0303e</t>
  </si>
  <si>
    <t>d8f92fcc-e79f-4c92-b4f6-11d43baf7ed3</t>
  </si>
  <si>
    <t>Water fast flowing and opaque, foam bubbles on surface</t>
  </si>
  <si>
    <t>efd0b854-ef5b-427a-a520-e7b3f9c260c9</t>
  </si>
  <si>
    <t>Heavy rain 3 days ago.short sharp shower this morning</t>
  </si>
  <si>
    <t>6b9dfcce-7cb8-46ac-bcec-1570606d6d36</t>
  </si>
  <si>
    <t>Heavy rainfall 4 days before, some flooding and very muddy</t>
  </si>
  <si>
    <t>4be35bca-dd72-4e1d-989b-07cd18d65e47</t>
  </si>
  <si>
    <t>e690f3a4-d210-48af-9383-a0dc09f76a49</t>
  </si>
  <si>
    <t>River low</t>
  </si>
  <si>
    <t>27919ac9-3a19-4849-92ee-1947db3ab000</t>
  </si>
  <si>
    <t>Stour Shipston mill bridge</t>
  </si>
  <si>
    <t>fcf3032d-7268-4dc5-91af-1698b24f2de6</t>
  </si>
  <si>
    <t>Shipston mill bridge</t>
  </si>
  <si>
    <t>ed14d4d5-7f43-4236-8a67-e72b4ce907f9</t>
  </si>
  <si>
    <t>Sunny. Cold. Breezy. Dry. River slow, light silt. No scum.</t>
  </si>
  <si>
    <t>411dbcfc-2154-4552-bf11-33baab00bb5e</t>
  </si>
  <si>
    <t>Dry. Sunny. Breezy light brown. Scummy. Slow.</t>
  </si>
  <si>
    <t>33878262-d64a-40f6-81ba-d3d5bd43cc25</t>
  </si>
  <si>
    <t>a9d08ffb-c4d1-4cff-a258-dbdf7920e837</t>
  </si>
  <si>
    <t>3ad4c6d4-8459-4770-96b2-937c26a6fbe0</t>
  </si>
  <si>
    <t>a8437caa-9536-4b53-9bf3-f89e93282da8</t>
  </si>
  <si>
    <t>ab254f1e-35fe-4a0a-83ca-9e2b75504544</t>
  </si>
  <si>
    <t>Sunny dry</t>
  </si>
  <si>
    <t>0964f871-57b4-410b-9ab3-b34bb58ff2c8</t>
  </si>
  <si>
    <t>fd124bc2-83d0-4e77-8ad6-07440cdc1c6e</t>
  </si>
  <si>
    <t>Heath gate</t>
  </si>
  <si>
    <t>c7e5976a-f9a6-4a24-87aa-a08b9a8d0bde</t>
  </si>
  <si>
    <t>River height as recorded at Eckington sluice. Phosphate level may not be accurate - added reagent to cuvette at home but it had turned blue by the time we got to the river so suspect- possibly due to a residue of tap water in the cuvette?</t>
  </si>
  <si>
    <t>85a1d7e9-41a6-4bf7-a1c3-231e7104532c</t>
  </si>
  <si>
    <t>Water clear, quite low level</t>
  </si>
  <si>
    <t>025b66d1-91f5-473a-907b-dfe36e79f76c</t>
  </si>
  <si>
    <t>Clear water, quite low level</t>
  </si>
  <si>
    <t>ab1fcf25-9002-4873-9b81-671a9cdddbcf</t>
  </si>
  <si>
    <t>R.Stowe,  Lower Fields Farm,  Napton</t>
  </si>
  <si>
    <t>Ph ?.  River clear. Several rain episodes but river Lower.</t>
  </si>
  <si>
    <t>7efce20b-791b-4b0e-9496-12ec9e3688e9</t>
  </si>
  <si>
    <t>594d6733-4cfe-47aa-9d93-9a88d4a5706f</t>
  </si>
  <si>
    <t>72f2fbde-f5ef-4dcb-817e-ad89687a60c5</t>
  </si>
  <si>
    <t>R.Stowe, Welsh Rd East, Southam</t>
  </si>
  <si>
    <t>Ph - 8.72.  Combined flows N and S branches of R.Stowe</t>
  </si>
  <si>
    <t>baf13cd2-7cdd-4217-92bf-0566d061e68a</t>
  </si>
  <si>
    <t>ef01591d-a0f5-4e64-a45d-0b8d0d2e2704</t>
  </si>
  <si>
    <t>46b829ae-b8f2-4a41-a0f2-ededc907d549</t>
  </si>
  <si>
    <t>bf402cc4-6279-414a-82b2-6736d63543b6</t>
  </si>
  <si>
    <t>2812349a-4965-4777-b93d-860b4d873d03</t>
  </si>
  <si>
    <t>Water quite low..no rain for several days</t>
  </si>
  <si>
    <t>f1a6fc75-f001-4542-b258-51b5f5216711</t>
  </si>
  <si>
    <t>No recent rain</t>
  </si>
  <si>
    <t>907c6780-0f14-11f0-b376-414086c96ab9</t>
  </si>
  <si>
    <t>0a4a5486-6ee7-4993-b765-40043bdbb83f</t>
  </si>
  <si>
    <t>Sutton Brook - Hight Street - Brailes</t>
  </si>
  <si>
    <t>299e1f98-5d6b-4619-b014-9dbf2544432c</t>
  </si>
  <si>
    <t>New Barn Farm ~ Brailes</t>
  </si>
  <si>
    <t>ca0a88f1-74c6-42ef-8b80-e516351ffd6a</t>
  </si>
  <si>
    <t>1ef9f630-f959-4db2-b205-a00faa043033</t>
  </si>
  <si>
    <t>879fb3ce-a1f6-4e3b-a675-bfb84b863ff1</t>
  </si>
  <si>
    <t>abe58f6f-9fe8-4e0c-9c66-bd7af58e8766</t>
  </si>
  <si>
    <t>5a644cc3-90cf-403f-80cf-cc0f1fbfd59f</t>
  </si>
  <si>
    <t>137382d7-3c6e-4a96-850c-b5c73fee471c</t>
  </si>
  <si>
    <t>e8152611-2fcd-4a63-8b92-84bf72a90191</t>
  </si>
  <si>
    <t>Dull, dry period. Water clear</t>
  </si>
  <si>
    <t>b829eee9-92cf-4d3d-8a59-b79e77d67a4b</t>
  </si>
  <si>
    <t>cf76c23b-cf04-4430-b7a2-439b7e8ca8b7</t>
  </si>
  <si>
    <t>Bright and breezy. River brown no scum.</t>
  </si>
  <si>
    <t>2713dd49-8da0-43d8-8603-59e819d3184d</t>
  </si>
  <si>
    <t>No scum. Hazy. Green</t>
  </si>
  <si>
    <t>4f1d6464-49f0-425a-b30e-a3d65ecf4f2b</t>
  </si>
  <si>
    <t>8d200871-4198-4509-8e91-7baa1ba53392</t>
  </si>
  <si>
    <t>36787b6a-5078-4dfc-ad1b-9bb12d9a0809</t>
  </si>
  <si>
    <t>0291379e-e2c7-4490-9264-722ffcd059cd</t>
  </si>
  <si>
    <t>078d4d82-9f36-4181-8175-e8908fa3dbd2</t>
  </si>
  <si>
    <t>a97c0012-c1d0-473b-b425-de1e76064491</t>
  </si>
  <si>
    <t>8c4b2131-8aac-4959-82db-12406c17ee33</t>
  </si>
  <si>
    <t>Clear water, low</t>
  </si>
  <si>
    <t>47bc9fac-5b50-4bf8-91e3-0a8f64506e13</t>
  </si>
  <si>
    <t>6c7fa441-f120-4cc7-9b56-9738e3bf3ec6</t>
  </si>
  <si>
    <t>R.Stowe,  Lower Fields Farm</t>
  </si>
  <si>
    <t>Continued dry spell. R v low. Sun blue skies Ph 7.76</t>
  </si>
  <si>
    <t>2c19c7f0-1541-11f0-950f-f9551fef187c</t>
  </si>
  <si>
    <t>06dad5d7-c165-4969-a4f0-e7ec15dde624</t>
  </si>
  <si>
    <t>R.Stowe,  Welsh Rd East, Southam</t>
  </si>
  <si>
    <t>Ph - 7.72.  V. Low.</t>
  </si>
  <si>
    <t>bb9d0cfd-4584-4cce-b366-4983f4c71099</t>
  </si>
  <si>
    <t>Winchcombe C</t>
  </si>
  <si>
    <t>942094cf-ce0f-495a-bcce-03523e5d7851</t>
  </si>
  <si>
    <t>Winchcombe D</t>
  </si>
  <si>
    <t>Upstream of pottery</t>
  </si>
  <si>
    <t>ddb8ae91-52d5-4a7b-9703-1ce37297deb1</t>
  </si>
  <si>
    <t>Isbourne Winchcombe A</t>
  </si>
  <si>
    <t>unexpectedly high phosphate reading compared to readings further down the river.  Might this be groundwater or could it be to do with the farm that is upstream?  (The testing point is not at the very source but just a bit further down)</t>
  </si>
  <si>
    <t>82d001df-f3ed-4091-8252-5d7b1f7bfb8b</t>
  </si>
  <si>
    <t>80f33fcb-3c44-4bd7-8767-920cbf26e942</t>
  </si>
  <si>
    <t>Winchcombe B</t>
  </si>
  <si>
    <t>Zero Phosphates ; Odd?</t>
  </si>
  <si>
    <t>5a47d163-0435-4606-8342-ab1b88d7966c</t>
  </si>
  <si>
    <t>Ilmington Middle Street</t>
  </si>
  <si>
    <t>c53a3bec-b676-4120-bba2-d19f17ada6bd</t>
  </si>
  <si>
    <t>Ilmington sewage outfall</t>
  </si>
  <si>
    <t>2e156e7b-e176-4497-9499-0c3211de9e52</t>
  </si>
  <si>
    <t>Ilmington Heath</t>
  </si>
  <si>
    <t>43efb100-a367-40be-8f9a-6c2e6efb6bd5</t>
  </si>
  <si>
    <t>979c7dc8-4b25-41f4-8d06-d5ad24888629</t>
  </si>
  <si>
    <t>37bbd511-80eb-4539-be21-51a76a8877df</t>
  </si>
  <si>
    <t>10ada834-5908-441d-9884-22a37558e7d0</t>
  </si>
  <si>
    <t>River very low. No rain for past 7 days</t>
  </si>
  <si>
    <t>e13d0b21-711a-47a0-9d76-1607e6732e66</t>
  </si>
  <si>
    <t>no rain for many days</t>
  </si>
  <si>
    <t>3064f357-faf6-4b3c-92c9-5ad75361d405</t>
  </si>
  <si>
    <t>No recent discharges shown on overflow map</t>
  </si>
  <si>
    <t>085958ef-74bd-4535-95eb-a823f8fe1220</t>
  </si>
  <si>
    <t>19194be9-ee55-480d-8069-2b8adddb3467</t>
  </si>
  <si>
    <t>Water clear, sheep in field with access to water</t>
  </si>
  <si>
    <t>175d831c-9a36-484c-839b-517423870297</t>
  </si>
  <si>
    <t>593bf5b2-b701-4746-88d5-e88c628db621</t>
  </si>
  <si>
    <t>ceee1321-830a-40a2-b29c-becb7d40274d</t>
  </si>
  <si>
    <t>No Flow</t>
  </si>
  <si>
    <t>1012c4dd-b217-43b1-8743-ab7b51f56673</t>
  </si>
  <si>
    <t>92e75311-abbb-4f9e-a33f-e11936ff3dcb</t>
  </si>
  <si>
    <t>Nitrate strips working?</t>
  </si>
  <si>
    <t>438a7e9b-0e7d-42ba-981f-9072dfab909c</t>
  </si>
  <si>
    <t>N /A</t>
  </si>
  <si>
    <t>9af0f6c8-24d4-485f-b893-8d57278bb9a6</t>
  </si>
  <si>
    <t>4a0aadff-cdd5-429c-b85b-5dd609152b1c</t>
  </si>
  <si>
    <t>c75eca2d-6186-435e-aaaf-c9a0c7552b85</t>
  </si>
  <si>
    <t>Dry day, no wind, water still.</t>
  </si>
  <si>
    <t>adb36dc2-7fb6-4aa2-83a1-e3593536d52c</t>
  </si>
  <si>
    <t>90f2b0f7-d047-475c-b42a-c9e8dddb9e37</t>
  </si>
  <si>
    <t>b2d0f18b-c265-47aa-9d89-aecae3d35291</t>
  </si>
  <si>
    <t>Ph - 7.79.</t>
  </si>
  <si>
    <t>560125ee-2300-40bd-bf4c-bde2d71f4a86</t>
  </si>
  <si>
    <t>Ph - 7.8</t>
  </si>
  <si>
    <t>cbf7727c-958d-41ed-991c-cddad171f4ed</t>
  </si>
  <si>
    <t>d65c68e6-b4cc-4b97-8c9f-19c38d51b924</t>
  </si>
  <si>
    <t>Isbourne Winchcombe C</t>
  </si>
  <si>
    <t>6efdd2ff-9b7b-4729-9c94-0aa4c377ad6b</t>
  </si>
  <si>
    <t>f8ae07f9-a509-4928-8109-e97f3f24a09f</t>
  </si>
  <si>
    <t>99457c94-4b73-41d3-9ded-626a22e99d93</t>
  </si>
  <si>
    <t>064e19dd-da5c-4236-b4ce-71912cb2537d</t>
  </si>
  <si>
    <t>d4687930-188c-11f0-84f7-3df445bcbb6f</t>
  </si>
  <si>
    <t>d1505a28-1c79-4515-85af-d9a71fd04894</t>
  </si>
  <si>
    <t>No rain or spills in the last 48 hours</t>
  </si>
  <si>
    <t>4b7e846b-ee7e-4d97-a225-6fddaaabe99e</t>
  </si>
  <si>
    <t>3b589b42-d395-46d6-904b-dfa510fcf837</t>
  </si>
  <si>
    <t>747f6c1e-ea59-4d3d-a089-4322745a7cb8</t>
  </si>
  <si>
    <t>Long dry period with first rain yesterday</t>
  </si>
  <si>
    <t>6df541be-dc05-4a17-a3bc-8b65e43940e6</t>
  </si>
  <si>
    <t>cff01911-37ca-4cd1-a104-32ccc7a68960</t>
  </si>
  <si>
    <t>c065fdd5-e8ac-468d-970b-7e504afdb5de</t>
  </si>
  <si>
    <t>No rain for w weeks untilSunday afternoon</t>
  </si>
  <si>
    <t>1effeb39-512c-40d9-9e9b-289988848504</t>
  </si>
  <si>
    <t>083a22ab-f38e-4eb8-8cd8-ad423ab10a14</t>
  </si>
  <si>
    <t>4ed7efb2-e959-4a93-b2c2-3867c45429fa</t>
  </si>
  <si>
    <t>Fladbury paddle club</t>
  </si>
  <si>
    <t>29dd5ea7-101b-47f5-a6a8-2d9b057e49c0</t>
  </si>
  <si>
    <t>7ed11ab4-7f2e-492f-a3c0-7e66a07b5702</t>
  </si>
  <si>
    <t>5ba5bfdd-d8cc-46fa-88f6-07f4e359ee6f</t>
  </si>
  <si>
    <t>A</t>
  </si>
  <si>
    <t>8a8412cc-37c4-4ca6-a092-7fa5b5f7cfda</t>
  </si>
  <si>
    <t>Stour, Shipston, mill bridge</t>
  </si>
  <si>
    <t>2e8e0ff1-3566-4c3b-b4f7-d767ade11796</t>
  </si>
  <si>
    <t>Weather - grey/cool, has been raining - river normal</t>
  </si>
  <si>
    <t>6f93d2e9-37b9-4257-911e-d5d94e8a4ba6</t>
  </si>
  <si>
    <t>Weather -grey cool, has rained- normal and clear River</t>
  </si>
  <si>
    <t>e01c8189-9f90-4ff1-abcb-b7cb7325d890</t>
  </si>
  <si>
    <t>20e125f0-21a3-43f7-909c-a7d2fa8a7ad4</t>
  </si>
  <si>
    <t>7fae3d9c-4a47-4d03-a30d-c4fb9636200d</t>
  </si>
  <si>
    <t>Ilmington heathgate</t>
  </si>
  <si>
    <t>c3a97cd8-09aa-43c1-90f2-0fc4cb617946</t>
  </si>
  <si>
    <t>dddb996c-12c6-4859-a560-57086d7b5631</t>
  </si>
  <si>
    <t>8d3f5880-745e-4760-bb89-f2b58d19859a</t>
  </si>
  <si>
    <t>Light rain in previous 24 hours</t>
  </si>
  <si>
    <t>53652fc9-9a61-4414-82c3-bba71af1b405</t>
  </si>
  <si>
    <t>035268e1-37b2-4240-a4a3-c3cd0324d109</t>
  </si>
  <si>
    <t>83422423-fe96-4749-98ba-4051dbe44d65</t>
  </si>
  <si>
    <t>88b7dee4-9438-4043-b54f-1b0275824d20</t>
  </si>
  <si>
    <t>f98d44c3-253b-4ffa-91a0-f9d024d60ec7</t>
  </si>
  <si>
    <t>46c518e1-e7e9-46a9-9859-de64efe634dd</t>
  </si>
  <si>
    <t>cf6e8da5-7df2-4677-a632-e0d4be4c534c</t>
  </si>
  <si>
    <t>Very little rain since last test. Dry, hazy</t>
  </si>
  <si>
    <t>1f8f848f-7e5d-4a22-b8c2-7764cc3bfe53</t>
  </si>
  <si>
    <t>66c873bd-51f3-412a-b877-1dba03b173d6</t>
  </si>
  <si>
    <t>2555f81b-ac3d-4a4a-a0f8-9a989e9b53ec</t>
  </si>
  <si>
    <t>368f2728-55c3-4557-bf7c-939d9e9e6165</t>
  </si>
  <si>
    <t>b487a3e7-af62-4473-9c33-5ca013665fbf</t>
  </si>
  <si>
    <t>c463de15-9439-4af9-9e43-4a55502c4b1d</t>
  </si>
  <si>
    <t>Sutton Brook, New Barn Farm</t>
  </si>
  <si>
    <t>Last spill 26.02.25</t>
  </si>
  <si>
    <t>2428eac8-0ebc-464f-a24d-26e969346bfc</t>
  </si>
  <si>
    <t>b58f9d62-cf05-480d-9d39-eb7be2c33033</t>
  </si>
  <si>
    <t>Rain ++ last night</t>
  </si>
  <si>
    <t>a086d170-55b4-4990-8a72-be1452166405</t>
  </si>
  <si>
    <t>ea53b8ed-f099-4eaf-a54c-09a2398aacc3</t>
  </si>
  <si>
    <t>39234b5d-23b1-4e9e-b8c9-ae638a725726</t>
  </si>
  <si>
    <t>A little rain yesterday and day before</t>
  </si>
  <si>
    <t>All Site Name Variations</t>
  </si>
  <si>
    <t>Unique Site Names</t>
  </si>
  <si>
    <t>Latitude Range</t>
  </si>
  <si>
    <t>Longitude Range</t>
  </si>
  <si>
    <t>Group As</t>
  </si>
  <si>
    <t>Waterway</t>
  </si>
  <si>
    <t>Designation</t>
  </si>
  <si>
    <t>Cam Brook</t>
  </si>
  <si>
    <t>Chipping Campden Lady J Gateway</t>
  </si>
  <si>
    <t>Chipping Campden Sewage Works</t>
  </si>
  <si>
    <t>Swilgate lowdilow lane</t>
  </si>
  <si>
    <t>Swilgate</t>
  </si>
  <si>
    <t>Avon</t>
  </si>
  <si>
    <t>Bredon Dock Lane</t>
  </si>
  <si>
    <t>Stratford RSC</t>
  </si>
  <si>
    <t>Carrant Back Lane Beckford</t>
  </si>
  <si>
    <t>Carrant Beckford Sewage Works</t>
  </si>
  <si>
    <t>Trinity Church</t>
  </si>
  <si>
    <t>Weston-on-Avon</t>
  </si>
  <si>
    <t>Fosseway Brook</t>
  </si>
  <si>
    <t>Carrant Mitton Bridge</t>
  </si>
  <si>
    <t>Clifford Chambers Mill Bridge</t>
  </si>
  <si>
    <t>Stour</t>
  </si>
  <si>
    <t>Clifford Chambers Road Bridge</t>
  </si>
  <si>
    <t>Preston-on-Stour River Bridge</t>
  </si>
  <si>
    <t>Stour Ascott Village</t>
  </si>
  <si>
    <t>Stour Cherington Sewage Works</t>
  </si>
  <si>
    <t>Cherington</t>
  </si>
  <si>
    <t>Stour Newbold Mill</t>
  </si>
  <si>
    <t>Stour Stretton-on-Fosse Sewage Works</t>
  </si>
  <si>
    <t>Willington</t>
  </si>
  <si>
    <t>Stowe</t>
  </si>
  <si>
    <t>Sutton Brook</t>
  </si>
  <si>
    <t>Twyning Green</t>
  </si>
  <si>
    <t>Carrant</t>
  </si>
  <si>
    <t>Beckford</t>
  </si>
  <si>
    <t>Pershore Leisure Centre</t>
  </si>
  <si>
    <t>Pitch 16 (Linda)</t>
  </si>
  <si>
    <t>Pitch16</t>
  </si>
  <si>
    <t>Bredon's Norton</t>
  </si>
  <si>
    <t>Bow Brook</t>
  </si>
  <si>
    <t>Peopleton</t>
  </si>
  <si>
    <t>Piddle Brook</t>
  </si>
  <si>
    <t>Tilesford</t>
  </si>
  <si>
    <t>Radford</t>
  </si>
  <si>
    <t>Norton Beauchamp</t>
  </si>
  <si>
    <t>Sherborne Brook 1</t>
  </si>
  <si>
    <t>Whitsun Brook</t>
  </si>
  <si>
    <t>Summer = Jun/Jul/Aug</t>
  </si>
  <si>
    <t>Pollution Categories</t>
  </si>
  <si>
    <t>Autumn = Sep/Oct/Nov</t>
  </si>
  <si>
    <t>Nitrate</t>
  </si>
  <si>
    <r>
      <t>0.0-0.5 =</t>
    </r>
    <r>
      <rPr>
        <sz val="11"/>
        <color theme="1"/>
        <rFont val="Bahnschrift SemiBold"/>
        <family val="2"/>
      </rPr>
      <t xml:space="preserve"> No Evidence</t>
    </r>
  </si>
  <si>
    <r>
      <t xml:space="preserve">0.5-1.0 = </t>
    </r>
    <r>
      <rPr>
        <sz val="11"/>
        <color theme="1"/>
        <rFont val="Bahnschrift SemiBold"/>
        <family val="2"/>
      </rPr>
      <t>Some Evidence</t>
    </r>
  </si>
  <si>
    <r>
      <t xml:space="preserve">1.0-2.0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</si>
  <si>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&gt;2.0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</si>
  <si>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t>Winter = Dec/Jan/Feb</t>
  </si>
  <si>
    <t>Phosphate</t>
  </si>
  <si>
    <r>
      <t xml:space="preserve">0.00-0.05 = </t>
    </r>
    <r>
      <rPr>
        <sz val="11"/>
        <color theme="1"/>
        <rFont val="Bahnschrift SemiBold"/>
        <family val="2"/>
      </rPr>
      <t>No Evidence</t>
    </r>
  </si>
  <si>
    <r>
      <t xml:space="preserve">0.05-0.10 = </t>
    </r>
    <r>
      <rPr>
        <sz val="11"/>
        <color theme="1"/>
        <rFont val="Bahnschrift SemiBold"/>
        <family val="2"/>
      </rPr>
      <t>Some Evidence</t>
    </r>
  </si>
  <si>
    <r>
      <t xml:space="preserve">0.10-0.50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</si>
  <si>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&gt;0.50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</si>
  <si>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t>Spring = Mar/Apr/May</t>
  </si>
  <si>
    <t>Pollution Categories from here:</t>
  </si>
  <si>
    <t>https://content.freshwaterhabitats.org.uk/2015/10/CWfWTechnicalDocumentFINAL.pdf</t>
  </si>
  <si>
    <t>Methodology here:</t>
  </si>
  <si>
    <t>https://www.wyeuskfoundation.org/wp-content/uploads/2023/10/aguidetocitizenscienceriverwatersamplingandwaterqualitytestinginthefield.pdf</t>
  </si>
  <si>
    <t>Field testing.</t>
  </si>
  <si>
    <t>TABLE 1: Summary by Test Site</t>
  </si>
  <si>
    <t>Seasonal Baselines</t>
  </si>
  <si>
    <t>All Time</t>
  </si>
  <si>
    <t>Summer</t>
  </si>
  <si>
    <t>Autumn</t>
  </si>
  <si>
    <t>Winter</t>
  </si>
  <si>
    <t>Spring</t>
  </si>
  <si>
    <t>River/Stream/Brook</t>
  </si>
  <si>
    <t>Samples</t>
  </si>
  <si>
    <t>% Nitrate Readings 
"High" or "Very High"</t>
  </si>
  <si>
    <t>% Phosphate Readings 
"High" or "Very High"</t>
  </si>
  <si>
    <t>Deviation from Site
Avg (N)</t>
  </si>
  <si>
    <t>Deviation from Site
Avg (P)</t>
  </si>
  <si>
    <t>Change from Previous Year
(N)</t>
  </si>
  <si>
    <t>Change from Previous Year
(P)</t>
  </si>
  <si>
    <t>Total</t>
  </si>
  <si>
    <t>test sites</t>
  </si>
  <si>
    <t>TABLE 2: Summary by District</t>
  </si>
  <si>
    <t>N District Pollution Rank 
(4 = Least Polluted)</t>
  </si>
  <si>
    <t>Region</t>
  </si>
  <si>
    <t>Summer '23</t>
  </si>
  <si>
    <t>Autumn '23</t>
  </si>
  <si>
    <t>Winter '23/24</t>
  </si>
  <si>
    <t>Spring '24</t>
  </si>
  <si>
    <t>TOTAL</t>
  </si>
  <si>
    <t>Summer '24</t>
  </si>
  <si>
    <t>Other</t>
  </si>
  <si>
    <t>Autumn '24</t>
  </si>
  <si>
    <t>Winter '24/25</t>
  </si>
  <si>
    <t>Test Type</t>
  </si>
  <si>
    <t>Count</t>
  </si>
  <si>
    <t>Sites Sampled</t>
  </si>
  <si>
    <t>Electrical Conductivity</t>
  </si>
  <si>
    <t>Sites Sampled 10+ times</t>
  </si>
  <si>
    <t>Sites Sampled Every Season</t>
  </si>
  <si>
    <t>Nitrate Readings</t>
  </si>
  <si>
    <t>Very High</t>
  </si>
  <si>
    <t>High</t>
  </si>
  <si>
    <t>Some Evidence</t>
  </si>
  <si>
    <t>No Evidence</t>
  </si>
  <si>
    <t>Phosphate Readings</t>
  </si>
  <si>
    <t>Pollution Thresholds</t>
  </si>
  <si>
    <t>No evidence</t>
  </si>
  <si>
    <t>Some evidence</t>
  </si>
  <si>
    <t>High levels</t>
  </si>
  <si>
    <t>Very high levels</t>
  </si>
  <si>
    <t>https://www.mapcustomizer.com/map/Safe%20Avon%20Test%20Sites%2003-09-2024</t>
  </si>
  <si>
    <t>(if the link gives an error, refresh the page)</t>
  </si>
  <si>
    <t>To open Excel map:</t>
  </si>
  <si>
    <r>
      <t xml:space="preserve">Insert &gt; Tours &gt; 3D Map &gt; </t>
    </r>
    <r>
      <rPr>
        <i/>
        <sz val="11"/>
        <color theme="1"/>
        <rFont val="Calibri"/>
        <family val="2"/>
        <scheme val="minor"/>
      </rPr>
      <t>Safe Avon 02-09-2024</t>
    </r>
  </si>
  <si>
    <t>no CSO nearby</t>
  </si>
  <si>
    <t>No CSO nearby</t>
  </si>
  <si>
    <t>Carrant Crashmore Lane</t>
  </si>
  <si>
    <t>Site 4 : Heath Gate Ilmington</t>
  </si>
  <si>
    <t>Isbourne Winchcombe B</t>
  </si>
  <si>
    <t>Isbourne Winchcombe D</t>
  </si>
  <si>
    <t>Winchcombe</t>
  </si>
  <si>
    <t>Isbourne Silk Mill Lane</t>
  </si>
  <si>
    <t>R.Stowe - Welsh Rd East, Southam</t>
  </si>
  <si>
    <t>Note: Up-to-date as of start of 26 Apr 2025</t>
  </si>
  <si>
    <t>Up to 26 Apr 2025</t>
  </si>
  <si>
    <t>TO ADD NEW SITES INSERT ROWS ABOVE THIS ONE</t>
  </si>
  <si>
    <t>P District Pollution Rank
(4 = Least Polluted)</t>
  </si>
  <si>
    <t>Electrical Conductivity (µS)</t>
  </si>
  <si>
    <t>Spring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</si>
</sst>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
    <numFmt numFmtId="167" formatCode="0.0000"/>
    <numFmt numFmtId="168" formatCode="dd/mm/yyyy;@"/>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Bahnschrift SemiLight"/>
      <family val="2"/>
    </font>
    <font>
      <sz val="11"/>
      <color theme="1"/>
      <name val="Bahnschrift SemiBold"/>
      <family val="2"/>
    </font>
    <font>
      <sz val="11"/>
      <color theme="0"/>
      <name val="Bahnschrift SemiLight"/>
      <family val="2"/>
    </font>
    <font>
      <sz val="16"/>
      <color theme="1"/>
      <name val="Bahnschrift SemiLight"/>
      <family val="2"/>
    </font>
    <font>
      <b/>
      <sz val="11"/>
      <color theme="1"/>
      <name val="Calibri"/>
      <family val="2"/>
      <scheme val="minor"/>
    </font>
    <font>
      <u/>
      <sz val="11"/>
      <color theme="10"/>
      <name val="Calibri"/>
      <family val="2"/>
      <scheme val="minor"/>
    </font>
    <font>
      <b/>
      <sz val="11"/>
      <color theme="1"/>
      <name val="Bahnschrift SemiLight"/>
      <family val="2"/>
    </font>
    <font>
      <sz val="11"/>
      <color theme="1"/>
      <name val="Bahnschrift"/>
      <family val="2"/>
    </font>
    <font>
      <sz val="18"/>
      <color theme="0"/>
      <name val="Bahnschrift SemiBold"/>
      <family val="2"/>
    </font>
    <font>
      <b/>
      <sz val="11"/>
      <color theme="1"/>
      <name val="Bahnschrift"/>
      <family val="2"/>
    </font>
    <font>
      <u/>
      <sz val="11"/>
      <color theme="10"/>
      <name val="Bahnschrift"/>
      <family val="2"/>
    </font>
    <font>
      <i/>
      <sz val="11"/>
      <color theme="1"/>
      <name val="Calibri"/>
      <family val="2"/>
      <scheme val="minor"/>
    </font>
    <font>
      <sz val="11"/>
      <color rgb="FF000000"/>
      <name val="Calibri"/>
      <family val="2"/>
      <scheme val="minor"/>
    </font>
    <font>
      <sz val="11"/>
      <color rgb="FF000000"/>
      <name val="Aptos Narrow"/>
      <family val="2"/>
    </font>
    <font>
      <sz val="8"/>
      <name val="Calibri"/>
      <family val="2"/>
      <scheme val="minor"/>
    </font>
  </fonts>
  <fills count="17">
    <fill>
      <patternFill patternType="none"/>
    </fill>
    <fill>
      <patternFill patternType="gray125"/>
    </fill>
    <fill>
      <patternFill patternType="solid">
        <fgColor theme="6"/>
        <bgColor theme="6"/>
      </patternFill>
    </fill>
    <fill>
      <patternFill patternType="solid">
        <fgColor theme="6" tint="0.59999389629810485"/>
        <bgColor theme="6" tint="0.59999389629810485"/>
      </patternFill>
    </fill>
    <fill>
      <patternFill patternType="solid">
        <fgColor theme="7"/>
        <bgColor indexed="64"/>
      </patternFill>
    </fill>
    <fill>
      <patternFill patternType="solid">
        <fgColor theme="1" tint="0.499984740745262"/>
        <bgColor indexed="64"/>
      </patternFill>
    </fill>
    <fill>
      <patternFill patternType="solid">
        <fgColor theme="5"/>
        <bgColor indexed="64"/>
      </patternFill>
    </fill>
    <fill>
      <patternFill patternType="solid">
        <fgColor rgb="FFFFAFAF"/>
        <bgColor indexed="64"/>
      </patternFill>
    </fill>
    <fill>
      <patternFill patternType="solid">
        <fgColor theme="4"/>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EDEDED"/>
        <bgColor rgb="FFEDEDED"/>
      </patternFill>
    </fill>
    <fill>
      <patternFill patternType="solid">
        <fgColor theme="6" tint="0.79998168889431442"/>
        <bgColor theme="6" tint="0.79998168889431442"/>
      </patternFill>
    </fill>
    <fill>
      <patternFill patternType="solid">
        <fgColor rgb="FFFFFF00"/>
        <bgColor indexed="64"/>
      </patternFill>
    </fill>
    <fill>
      <patternFill patternType="solid">
        <fgColor theme="7" tint="0.59999389629810485"/>
        <bgColor indexed="64"/>
      </patternFill>
    </fill>
  </fills>
  <borders count="74">
    <border>
      <left/>
      <right/>
      <top/>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right style="thin">
        <color theme="0"/>
      </right>
      <top/>
      <bottom style="thick">
        <color theme="0"/>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top/>
      <bottom style="double">
        <color indexed="64"/>
      </bottom>
      <diagonal/>
    </border>
    <border>
      <left/>
      <right/>
      <top/>
      <bottom style="double">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double">
        <color indexed="64"/>
      </bottom>
      <diagonal/>
    </border>
    <border>
      <left/>
      <right/>
      <top style="medium">
        <color indexed="64"/>
      </top>
      <bottom/>
      <diagonal/>
    </border>
    <border>
      <left style="thin">
        <color theme="0"/>
      </left>
      <right style="thin">
        <color theme="0"/>
      </right>
      <top style="thin">
        <color theme="0"/>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4"/>
      </right>
      <top/>
      <bottom style="medium">
        <color indexed="64"/>
      </bottom>
      <diagonal/>
    </border>
    <border>
      <left/>
      <right style="thin">
        <color indexed="64"/>
      </right>
      <top style="hair">
        <color indexed="64"/>
      </top>
      <bottom style="double">
        <color indexed="64"/>
      </bottom>
      <diagonal/>
    </border>
    <border>
      <left/>
      <right/>
      <top style="thin">
        <color rgb="FFC9C9C9"/>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uble">
        <color indexed="64"/>
      </top>
      <bottom style="medium">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290">
    <xf numFmtId="0" fontId="0" fillId="0" borderId="0" xfId="0"/>
    <xf numFmtId="20" fontId="0" fillId="0" borderId="0" xfId="0" applyNumberFormat="1"/>
    <xf numFmtId="14" fontId="0" fillId="0" borderId="0" xfId="0" applyNumberFormat="1"/>
    <xf numFmtId="164" fontId="0" fillId="0" borderId="0" xfId="0" applyNumberFormat="1"/>
    <xf numFmtId="2" fontId="0" fillId="0" borderId="0" xfId="0" applyNumberFormat="1"/>
    <xf numFmtId="0" fontId="2" fillId="2" borderId="1" xfId="0" applyFont="1" applyFill="1" applyBorder="1"/>
    <xf numFmtId="0" fontId="2" fillId="2" borderId="2" xfId="0" applyFont="1" applyFill="1" applyBorder="1"/>
    <xf numFmtId="0" fontId="0" fillId="3" borderId="3" xfId="0" applyFill="1" applyBorder="1"/>
    <xf numFmtId="0" fontId="2" fillId="2" borderId="4" xfId="0" applyFont="1" applyFill="1" applyBorder="1"/>
    <xf numFmtId="14" fontId="2" fillId="2" borderId="1" xfId="0" applyNumberFormat="1" applyFont="1" applyFill="1" applyBorder="1"/>
    <xf numFmtId="20" fontId="2" fillId="2" borderId="1" xfId="0" applyNumberFormat="1" applyFont="1" applyFill="1" applyBorder="1"/>
    <xf numFmtId="0" fontId="0" fillId="0" borderId="0" xfId="0" applyAlignment="1">
      <alignment wrapText="1"/>
    </xf>
    <xf numFmtId="165" fontId="0" fillId="0" borderId="0" xfId="0" applyNumberFormat="1"/>
    <xf numFmtId="0" fontId="3" fillId="0" borderId="0" xfId="0" applyFont="1"/>
    <xf numFmtId="0" fontId="3" fillId="4" borderId="5" xfId="0" applyFont="1" applyFill="1" applyBorder="1"/>
    <xf numFmtId="0" fontId="3" fillId="6" borderId="9" xfId="0" applyFont="1" applyFill="1" applyBorder="1"/>
    <xf numFmtId="0" fontId="3" fillId="7" borderId="10" xfId="0" applyFont="1" applyFill="1" applyBorder="1"/>
    <xf numFmtId="0" fontId="5" fillId="8" borderId="9" xfId="0" applyFont="1" applyFill="1" applyBorder="1"/>
    <xf numFmtId="0" fontId="3" fillId="9" borderId="20" xfId="0" applyFont="1" applyFill="1" applyBorder="1"/>
    <xf numFmtId="0" fontId="3" fillId="0" borderId="18" xfId="0" applyFont="1" applyBorder="1"/>
    <xf numFmtId="0" fontId="3" fillId="0" borderId="19" xfId="0" applyFont="1" applyBorder="1"/>
    <xf numFmtId="0" fontId="3" fillId="10" borderId="7"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13" xfId="0" applyFont="1" applyFill="1" applyBorder="1" applyAlignment="1">
      <alignment horizontal="center" vertical="center" wrapText="1"/>
    </xf>
    <xf numFmtId="0" fontId="3" fillId="0" borderId="24" xfId="0" applyFont="1" applyBorder="1"/>
    <xf numFmtId="0" fontId="3" fillId="0" borderId="23" xfId="0" applyFont="1" applyBorder="1" applyAlignment="1">
      <alignment horizontal="center"/>
    </xf>
    <xf numFmtId="9" fontId="3" fillId="0" borderId="0" xfId="1" applyFont="1" applyBorder="1" applyAlignment="1">
      <alignment horizontal="center"/>
    </xf>
    <xf numFmtId="9" fontId="3" fillId="0" borderId="25" xfId="1" applyFont="1" applyBorder="1" applyAlignment="1">
      <alignment horizontal="center"/>
    </xf>
    <xf numFmtId="0" fontId="0" fillId="0" borderId="24" xfId="0" applyBorder="1"/>
    <xf numFmtId="165" fontId="6" fillId="0" borderId="18" xfId="0" applyNumberFormat="1" applyFont="1" applyBorder="1" applyAlignment="1">
      <alignment horizontal="center" vertical="center"/>
    </xf>
    <xf numFmtId="2" fontId="6" fillId="0" borderId="18" xfId="0" applyNumberFormat="1" applyFont="1" applyBorder="1" applyAlignment="1">
      <alignment horizontal="center"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15" xfId="0" applyFont="1" applyBorder="1" applyAlignment="1">
      <alignment horizontal="center" vertical="center"/>
    </xf>
    <xf numFmtId="9" fontId="6" fillId="0" borderId="18" xfId="1" applyFont="1" applyBorder="1" applyAlignment="1">
      <alignment horizontal="center" vertical="center"/>
    </xf>
    <xf numFmtId="0" fontId="6" fillId="0" borderId="0" xfId="0" applyFont="1" applyAlignment="1">
      <alignment vertical="center"/>
    </xf>
    <xf numFmtId="0" fontId="3" fillId="10" borderId="21" xfId="0" applyFont="1" applyFill="1" applyBorder="1" applyAlignment="1">
      <alignment horizontal="center" vertical="center" wrapText="1"/>
    </xf>
    <xf numFmtId="0" fontId="6" fillId="0" borderId="29" xfId="0" applyFont="1" applyBorder="1" applyAlignment="1">
      <alignment horizontal="center" vertical="center"/>
    </xf>
    <xf numFmtId="165" fontId="6" fillId="0" borderId="28" xfId="0" applyNumberFormat="1" applyFont="1" applyBorder="1" applyAlignment="1">
      <alignment horizontal="center" vertical="center"/>
    </xf>
    <xf numFmtId="9" fontId="6" fillId="0" borderId="28" xfId="1" applyFont="1" applyBorder="1" applyAlignment="1">
      <alignment horizontal="center" vertical="center"/>
    </xf>
    <xf numFmtId="2" fontId="6" fillId="0" borderId="28" xfId="0" applyNumberFormat="1" applyFont="1" applyBorder="1" applyAlignment="1">
      <alignment horizontal="center" vertical="center"/>
    </xf>
    <xf numFmtId="9" fontId="6" fillId="0" borderId="30" xfId="1" applyFont="1" applyBorder="1" applyAlignment="1">
      <alignment horizontal="center" vertical="center"/>
    </xf>
    <xf numFmtId="0" fontId="3" fillId="10" borderId="14" xfId="0" applyFont="1" applyFill="1" applyBorder="1" applyAlignment="1">
      <alignment horizontal="center" vertical="center" wrapText="1"/>
    </xf>
    <xf numFmtId="9" fontId="3" fillId="0" borderId="24" xfId="1" applyFont="1" applyBorder="1" applyAlignment="1">
      <alignment horizontal="center"/>
    </xf>
    <xf numFmtId="9" fontId="6" fillId="0" borderId="31" xfId="1" applyFont="1" applyBorder="1" applyAlignment="1">
      <alignment horizontal="center" vertical="center"/>
    </xf>
    <xf numFmtId="0" fontId="6" fillId="0" borderId="24" xfId="0" applyFont="1" applyBorder="1" applyAlignment="1">
      <alignment vertical="center"/>
    </xf>
    <xf numFmtId="0" fontId="6" fillId="0" borderId="0" xfId="0" applyFont="1" applyAlignment="1">
      <alignment horizontal="center" vertical="center"/>
    </xf>
    <xf numFmtId="165" fontId="6" fillId="0" borderId="0" xfId="0" applyNumberFormat="1" applyFont="1" applyAlignment="1">
      <alignment horizontal="center" vertical="center"/>
    </xf>
    <xf numFmtId="2" fontId="6" fillId="0" borderId="0" xfId="0" applyNumberFormat="1" applyFont="1" applyAlignment="1">
      <alignment horizontal="center" vertical="center"/>
    </xf>
    <xf numFmtId="166" fontId="6" fillId="0" borderId="0" xfId="1" applyNumberFormat="1" applyFont="1" applyBorder="1" applyAlignment="1">
      <alignment horizontal="center" vertical="center"/>
    </xf>
    <xf numFmtId="9" fontId="6" fillId="0" borderId="0" xfId="1" applyFont="1" applyBorder="1" applyAlignment="1">
      <alignment horizontal="center" vertical="center"/>
    </xf>
    <xf numFmtId="0" fontId="3" fillId="12" borderId="0" xfId="0" applyFont="1" applyFill="1"/>
    <xf numFmtId="0" fontId="3" fillId="12" borderId="24" xfId="0" applyFont="1" applyFill="1" applyBorder="1"/>
    <xf numFmtId="0" fontId="3" fillId="12" borderId="23" xfId="0" applyFont="1" applyFill="1" applyBorder="1" applyAlignment="1">
      <alignment horizontal="center"/>
    </xf>
    <xf numFmtId="165" fontId="3" fillId="12" borderId="0" xfId="0" applyNumberFormat="1" applyFont="1" applyFill="1" applyAlignment="1">
      <alignment horizontal="center"/>
    </xf>
    <xf numFmtId="2" fontId="3" fillId="12" borderId="0" xfId="0" applyNumberFormat="1" applyFont="1" applyFill="1" applyAlignment="1">
      <alignment horizontal="center"/>
    </xf>
    <xf numFmtId="9" fontId="3" fillId="12" borderId="0" xfId="1" applyFont="1" applyFill="1" applyBorder="1" applyAlignment="1">
      <alignment horizontal="center"/>
    </xf>
    <xf numFmtId="0" fontId="3" fillId="12" borderId="0" xfId="0" applyFont="1" applyFill="1" applyAlignment="1">
      <alignment horizontal="center"/>
    </xf>
    <xf numFmtId="9" fontId="3" fillId="12" borderId="25" xfId="1" applyFont="1" applyFill="1" applyBorder="1" applyAlignment="1">
      <alignment horizontal="center"/>
    </xf>
    <xf numFmtId="9" fontId="3" fillId="12" borderId="24" xfId="1" applyFont="1" applyFill="1" applyBorder="1" applyAlignment="1">
      <alignment horizontal="center"/>
    </xf>
    <xf numFmtId="0" fontId="3" fillId="10" borderId="0" xfId="0" applyFont="1" applyFill="1"/>
    <xf numFmtId="0" fontId="3" fillId="10" borderId="24" xfId="0" applyFont="1" applyFill="1" applyBorder="1"/>
    <xf numFmtId="0" fontId="3" fillId="10" borderId="23" xfId="0" applyFont="1" applyFill="1" applyBorder="1" applyAlignment="1">
      <alignment horizontal="center"/>
    </xf>
    <xf numFmtId="165" fontId="3" fillId="10" borderId="0" xfId="0" applyNumberFormat="1" applyFont="1" applyFill="1" applyAlignment="1">
      <alignment horizontal="center"/>
    </xf>
    <xf numFmtId="2" fontId="3" fillId="10" borderId="0" xfId="0" applyNumberFormat="1" applyFont="1" applyFill="1" applyAlignment="1">
      <alignment horizontal="center"/>
    </xf>
    <xf numFmtId="9" fontId="3" fillId="10" borderId="0" xfId="1" applyFont="1" applyFill="1" applyBorder="1" applyAlignment="1">
      <alignment horizontal="center"/>
    </xf>
    <xf numFmtId="0" fontId="3" fillId="10" borderId="0" xfId="0" applyFont="1" applyFill="1" applyAlignment="1">
      <alignment horizontal="center"/>
    </xf>
    <xf numFmtId="9" fontId="3" fillId="10" borderId="25" xfId="1" applyFont="1" applyFill="1" applyBorder="1" applyAlignment="1">
      <alignment horizontal="center"/>
    </xf>
    <xf numFmtId="9" fontId="3" fillId="10" borderId="24" xfId="1" applyFont="1" applyFill="1" applyBorder="1" applyAlignment="1">
      <alignment horizontal="center"/>
    </xf>
    <xf numFmtId="0" fontId="9" fillId="12" borderId="23" xfId="0" applyFont="1" applyFill="1" applyBorder="1" applyAlignment="1">
      <alignment horizontal="center"/>
    </xf>
    <xf numFmtId="0" fontId="7" fillId="0" borderId="0" xfId="0" applyFont="1"/>
    <xf numFmtId="9" fontId="9" fillId="12" borderId="0" xfId="1" applyFont="1" applyFill="1" applyBorder="1" applyAlignment="1">
      <alignment horizontal="center"/>
    </xf>
    <xf numFmtId="9" fontId="9" fillId="12" borderId="25" xfId="1" applyFont="1" applyFill="1" applyBorder="1" applyAlignment="1">
      <alignment horizontal="center"/>
    </xf>
    <xf numFmtId="0" fontId="7" fillId="0" borderId="24" xfId="0" applyFont="1" applyBorder="1"/>
    <xf numFmtId="0" fontId="9" fillId="12" borderId="32" xfId="0" applyFont="1" applyFill="1" applyBorder="1"/>
    <xf numFmtId="0" fontId="9" fillId="12" borderId="33" xfId="0" applyFont="1" applyFill="1" applyBorder="1" applyAlignment="1">
      <alignment horizontal="center"/>
    </xf>
    <xf numFmtId="165" fontId="9" fillId="12" borderId="34" xfId="0" applyNumberFormat="1" applyFont="1" applyFill="1" applyBorder="1" applyAlignment="1">
      <alignment horizontal="center"/>
    </xf>
    <xf numFmtId="2" fontId="9" fillId="12" borderId="34" xfId="0" applyNumberFormat="1" applyFont="1" applyFill="1" applyBorder="1" applyAlignment="1">
      <alignment horizontal="center"/>
    </xf>
    <xf numFmtId="9" fontId="9" fillId="12" borderId="34" xfId="1" applyFont="1" applyFill="1" applyBorder="1" applyAlignment="1">
      <alignment horizontal="center"/>
    </xf>
    <xf numFmtId="0" fontId="9" fillId="12" borderId="34" xfId="0" applyFont="1" applyFill="1" applyBorder="1" applyAlignment="1">
      <alignment horizontal="center"/>
    </xf>
    <xf numFmtId="9" fontId="9" fillId="12" borderId="35" xfId="1" applyFont="1" applyFill="1" applyBorder="1" applyAlignment="1">
      <alignment horizontal="center"/>
    </xf>
    <xf numFmtId="0" fontId="9" fillId="12" borderId="34" xfId="0" applyFont="1" applyFill="1" applyBorder="1"/>
    <xf numFmtId="0" fontId="9" fillId="12" borderId="34" xfId="0" quotePrefix="1" applyFont="1" applyFill="1" applyBorder="1" applyAlignment="1">
      <alignment horizontal="center"/>
    </xf>
    <xf numFmtId="0" fontId="9" fillId="10" borderId="34" xfId="0" applyFont="1" applyFill="1" applyBorder="1"/>
    <xf numFmtId="0" fontId="9" fillId="10" borderId="33" xfId="0" applyFont="1" applyFill="1" applyBorder="1" applyAlignment="1">
      <alignment horizontal="center"/>
    </xf>
    <xf numFmtId="9" fontId="9" fillId="10" borderId="34" xfId="1" applyFont="1" applyFill="1" applyBorder="1" applyAlignment="1">
      <alignment horizontal="center"/>
    </xf>
    <xf numFmtId="0" fontId="9" fillId="10" borderId="34" xfId="0" applyFont="1" applyFill="1" applyBorder="1" applyAlignment="1">
      <alignment horizontal="center"/>
    </xf>
    <xf numFmtId="165" fontId="9" fillId="10" borderId="34" xfId="0" applyNumberFormat="1" applyFont="1" applyFill="1" applyBorder="1" applyAlignment="1">
      <alignment horizontal="center"/>
    </xf>
    <xf numFmtId="2" fontId="9" fillId="10" borderId="34" xfId="0" applyNumberFormat="1" applyFont="1" applyFill="1" applyBorder="1" applyAlignment="1">
      <alignment horizontal="center"/>
    </xf>
    <xf numFmtId="9" fontId="9" fillId="10" borderId="35" xfId="1" applyFont="1" applyFill="1" applyBorder="1" applyAlignment="1">
      <alignment horizontal="center"/>
    </xf>
    <xf numFmtId="0" fontId="9" fillId="10" borderId="32" xfId="0" applyFont="1" applyFill="1" applyBorder="1"/>
    <xf numFmtId="9" fontId="9" fillId="12" borderId="32" xfId="1" applyFont="1" applyFill="1" applyBorder="1" applyAlignment="1">
      <alignment horizontal="center"/>
    </xf>
    <xf numFmtId="9" fontId="9" fillId="10" borderId="32" xfId="1" applyFont="1" applyFill="1" applyBorder="1" applyAlignment="1">
      <alignment horizontal="center"/>
    </xf>
    <xf numFmtId="165" fontId="9" fillId="12" borderId="0" xfId="0" applyNumberFormat="1" applyFont="1" applyFill="1" applyAlignment="1">
      <alignment horizontal="center"/>
    </xf>
    <xf numFmtId="2" fontId="9" fillId="12" borderId="0" xfId="0" applyNumberFormat="1" applyFont="1" applyFill="1" applyAlignment="1">
      <alignment horizontal="center"/>
    </xf>
    <xf numFmtId="0" fontId="9" fillId="12" borderId="0" xfId="0" applyFont="1" applyFill="1" applyAlignment="1">
      <alignment horizontal="center"/>
    </xf>
    <xf numFmtId="0" fontId="3" fillId="0" borderId="39" xfId="0" applyFont="1" applyBorder="1"/>
    <xf numFmtId="0" fontId="3" fillId="0" borderId="26" xfId="0" applyFont="1" applyBorder="1"/>
    <xf numFmtId="0" fontId="10" fillId="0" borderId="0" xfId="0" applyFont="1"/>
    <xf numFmtId="0" fontId="3" fillId="0" borderId="0" xfId="0" applyFont="1" applyAlignment="1">
      <alignment vertical="center"/>
    </xf>
    <xf numFmtId="0" fontId="3" fillId="8" borderId="15" xfId="0" applyFont="1" applyFill="1" applyBorder="1"/>
    <xf numFmtId="9" fontId="0" fillId="0" borderId="0" xfId="1" applyFont="1"/>
    <xf numFmtId="2" fontId="0" fillId="0" borderId="0" xfId="1" applyNumberFormat="1" applyFont="1"/>
    <xf numFmtId="165" fontId="0" fillId="0" borderId="0" xfId="1" applyNumberFormat="1" applyFont="1"/>
    <xf numFmtId="0" fontId="12" fillId="4" borderId="0" xfId="0" applyFont="1" applyFill="1"/>
    <xf numFmtId="0" fontId="13" fillId="0" borderId="0" xfId="2" applyFont="1"/>
    <xf numFmtId="0" fontId="0" fillId="3" borderId="40" xfId="0" applyFill="1" applyBorder="1"/>
    <xf numFmtId="0" fontId="0" fillId="0" borderId="3" xfId="0" applyBorder="1"/>
    <xf numFmtId="0" fontId="6" fillId="0" borderId="28" xfId="0" applyFont="1" applyBorder="1" applyAlignment="1">
      <alignment horizontal="center" vertical="center"/>
    </xf>
    <xf numFmtId="0" fontId="6" fillId="0" borderId="39" xfId="0" applyFont="1" applyBorder="1" applyAlignment="1">
      <alignment vertical="center"/>
    </xf>
    <xf numFmtId="2" fontId="6" fillId="0" borderId="39" xfId="0" applyNumberFormat="1" applyFont="1" applyBorder="1" applyAlignment="1">
      <alignment horizontal="center" vertical="center"/>
    </xf>
    <xf numFmtId="2" fontId="0" fillId="3" borderId="0" xfId="0" applyNumberFormat="1" applyFill="1"/>
    <xf numFmtId="167" fontId="3" fillId="0" borderId="0" xfId="0" applyNumberFormat="1" applyFont="1"/>
    <xf numFmtId="0" fontId="9" fillId="10" borderId="36" xfId="0" applyFont="1" applyFill="1" applyBorder="1"/>
    <xf numFmtId="0" fontId="9" fillId="10" borderId="38" xfId="0" applyFont="1" applyFill="1" applyBorder="1"/>
    <xf numFmtId="0" fontId="9" fillId="10" borderId="36" xfId="0" applyFont="1" applyFill="1" applyBorder="1" applyAlignment="1">
      <alignment horizontal="center"/>
    </xf>
    <xf numFmtId="9" fontId="9" fillId="10" borderId="38" xfId="1" applyFont="1" applyFill="1" applyBorder="1" applyAlignment="1">
      <alignment horizontal="center"/>
    </xf>
    <xf numFmtId="0" fontId="9" fillId="10" borderId="38" xfId="0" applyFont="1" applyFill="1" applyBorder="1" applyAlignment="1">
      <alignment horizontal="center"/>
    </xf>
    <xf numFmtId="0" fontId="9" fillId="10" borderId="37" xfId="0" applyFont="1" applyFill="1" applyBorder="1" applyAlignment="1">
      <alignment horizontal="center"/>
    </xf>
    <xf numFmtId="165" fontId="9" fillId="10" borderId="38" xfId="0" applyNumberFormat="1" applyFont="1" applyFill="1" applyBorder="1" applyAlignment="1">
      <alignment horizontal="center"/>
    </xf>
    <xf numFmtId="2" fontId="9" fillId="10" borderId="38" xfId="0" applyNumberFormat="1" applyFont="1" applyFill="1" applyBorder="1" applyAlignment="1">
      <alignment horizontal="center"/>
    </xf>
    <xf numFmtId="9" fontId="3" fillId="10" borderId="0" xfId="1" applyFont="1" applyFill="1" applyAlignment="1">
      <alignment horizontal="center"/>
    </xf>
    <xf numFmtId="167" fontId="3" fillId="0" borderId="27" xfId="0" applyNumberFormat="1" applyFont="1" applyBorder="1"/>
    <xf numFmtId="9" fontId="6" fillId="0" borderId="47" xfId="1" applyFont="1" applyBorder="1" applyAlignment="1">
      <alignment horizontal="center" vertical="center"/>
    </xf>
    <xf numFmtId="0" fontId="6" fillId="0" borderId="18" xfId="0" applyFont="1" applyBorder="1" applyAlignment="1">
      <alignment horizontal="center" vertical="center"/>
    </xf>
    <xf numFmtId="2" fontId="3" fillId="10" borderId="25" xfId="0" applyNumberFormat="1" applyFont="1" applyFill="1" applyBorder="1" applyAlignment="1">
      <alignment horizontal="center"/>
    </xf>
    <xf numFmtId="0" fontId="9" fillId="12" borderId="46" xfId="0" applyFont="1" applyFill="1" applyBorder="1"/>
    <xf numFmtId="0" fontId="9" fillId="12" borderId="44" xfId="0" applyFont="1" applyFill="1" applyBorder="1"/>
    <xf numFmtId="0" fontId="9" fillId="12" borderId="46" xfId="0" applyFont="1" applyFill="1" applyBorder="1" applyAlignment="1">
      <alignment horizontal="center"/>
    </xf>
    <xf numFmtId="165" fontId="9" fillId="12" borderId="45" xfId="0" applyNumberFormat="1" applyFont="1" applyFill="1" applyBorder="1" applyAlignment="1">
      <alignment horizontal="center"/>
    </xf>
    <xf numFmtId="2" fontId="9" fillId="12" borderId="45" xfId="0" applyNumberFormat="1" applyFont="1" applyFill="1" applyBorder="1" applyAlignment="1">
      <alignment horizontal="center"/>
    </xf>
    <xf numFmtId="9" fontId="9" fillId="12" borderId="45" xfId="1" applyFont="1" applyFill="1" applyBorder="1" applyAlignment="1">
      <alignment horizontal="center"/>
    </xf>
    <xf numFmtId="0" fontId="9" fillId="12" borderId="45" xfId="0" applyFont="1" applyFill="1" applyBorder="1" applyAlignment="1">
      <alignment horizontal="center"/>
    </xf>
    <xf numFmtId="0" fontId="9" fillId="12" borderId="44" xfId="0" quotePrefix="1" applyFont="1" applyFill="1" applyBorder="1" applyAlignment="1">
      <alignment horizontal="center"/>
    </xf>
    <xf numFmtId="9" fontId="9" fillId="10" borderId="48" xfId="1" applyFont="1" applyFill="1" applyBorder="1" applyAlignment="1">
      <alignment horizontal="center"/>
    </xf>
    <xf numFmtId="9" fontId="9" fillId="10" borderId="37" xfId="1" applyFont="1" applyFill="1" applyBorder="1" applyAlignment="1">
      <alignment horizontal="center"/>
    </xf>
    <xf numFmtId="0" fontId="8" fillId="0" borderId="0" xfId="2"/>
    <xf numFmtId="0" fontId="7" fillId="0" borderId="25" xfId="0" applyFont="1" applyBorder="1"/>
    <xf numFmtId="0" fontId="16" fillId="0" borderId="0" xfId="0" applyFont="1"/>
    <xf numFmtId="11" fontId="16" fillId="0" borderId="0" xfId="0" applyNumberFormat="1" applyFont="1"/>
    <xf numFmtId="0" fontId="0" fillId="3" borderId="52" xfId="0" applyFill="1" applyBorder="1"/>
    <xf numFmtId="168" fontId="2" fillId="2" borderId="1" xfId="0" applyNumberFormat="1" applyFont="1" applyFill="1" applyBorder="1"/>
    <xf numFmtId="168" fontId="0" fillId="0" borderId="0" xfId="0" applyNumberFormat="1"/>
    <xf numFmtId="0" fontId="3" fillId="0" borderId="11" xfId="0" applyFont="1" applyBorder="1" applyAlignment="1">
      <alignment horizontal="left" vertical="center"/>
    </xf>
    <xf numFmtId="0" fontId="3" fillId="0" borderId="16" xfId="0" applyFont="1" applyBorder="1" applyAlignment="1">
      <alignment horizontal="left" vertical="center"/>
    </xf>
    <xf numFmtId="14" fontId="16" fillId="0" borderId="0" xfId="0" applyNumberFormat="1" applyFont="1"/>
    <xf numFmtId="20" fontId="16" fillId="0" borderId="0" xfId="0" applyNumberFormat="1" applyFont="1"/>
    <xf numFmtId="0" fontId="16" fillId="14" borderId="53" xfId="0" applyFont="1" applyFill="1" applyBorder="1"/>
    <xf numFmtId="0" fontId="16" fillId="0" borderId="53" xfId="0" applyFont="1" applyBorder="1"/>
    <xf numFmtId="0" fontId="0" fillId="0" borderId="53" xfId="0" applyBorder="1"/>
    <xf numFmtId="0" fontId="0" fillId="0" borderId="54" xfId="0" applyBorder="1"/>
    <xf numFmtId="0" fontId="16" fillId="14" borderId="0" xfId="0" applyFont="1" applyFill="1"/>
    <xf numFmtId="0" fontId="15" fillId="13" borderId="53" xfId="0" applyFont="1" applyFill="1" applyBorder="1"/>
    <xf numFmtId="0" fontId="0" fillId="0" borderId="49" xfId="0" applyBorder="1"/>
    <xf numFmtId="0" fontId="0" fillId="0" borderId="40" xfId="0" applyBorder="1"/>
    <xf numFmtId="0" fontId="0" fillId="3" borderId="0" xfId="0" applyFill="1"/>
    <xf numFmtId="0" fontId="3" fillId="0" borderId="0" xfId="0" applyFont="1" applyAlignment="1">
      <alignment horizontal="center"/>
    </xf>
    <xf numFmtId="0" fontId="3" fillId="10" borderId="6" xfId="0" applyFont="1" applyFill="1" applyBorder="1" applyAlignment="1">
      <alignment horizontal="center" vertical="center"/>
    </xf>
    <xf numFmtId="0" fontId="3" fillId="0" borderId="23" xfId="0" applyFont="1" applyBorder="1"/>
    <xf numFmtId="165" fontId="3" fillId="0" borderId="0" xfId="0" applyNumberFormat="1" applyFont="1" applyAlignment="1">
      <alignment horizontal="center"/>
    </xf>
    <xf numFmtId="2" fontId="3" fillId="0" borderId="0" xfId="0" applyNumberFormat="1" applyFont="1" applyAlignment="1">
      <alignment horizontal="center"/>
    </xf>
    <xf numFmtId="0" fontId="0" fillId="0" borderId="0" xfId="0" applyAlignment="1">
      <alignment horizontal="center"/>
    </xf>
    <xf numFmtId="0" fontId="3" fillId="10" borderId="8" xfId="0" applyFont="1" applyFill="1" applyBorder="1" applyAlignment="1">
      <alignment horizontal="center" vertical="center" wrapText="1"/>
    </xf>
    <xf numFmtId="9" fontId="6" fillId="0" borderId="19" xfId="1" applyFont="1" applyBorder="1" applyAlignment="1">
      <alignment horizontal="center" vertical="center"/>
    </xf>
    <xf numFmtId="0" fontId="3" fillId="0" borderId="56" xfId="0" applyFont="1" applyBorder="1" applyAlignment="1">
      <alignment horizontal="center"/>
    </xf>
    <xf numFmtId="0" fontId="3" fillId="0" borderId="57" xfId="0" applyFont="1" applyBorder="1" applyAlignment="1">
      <alignment horizontal="center"/>
    </xf>
    <xf numFmtId="165" fontId="3" fillId="0" borderId="55" xfId="0" applyNumberFormat="1" applyFont="1" applyBorder="1" applyAlignment="1">
      <alignment horizontal="center"/>
    </xf>
    <xf numFmtId="9" fontId="3" fillId="0" borderId="55" xfId="1" applyFont="1" applyBorder="1" applyAlignment="1">
      <alignment horizontal="center"/>
    </xf>
    <xf numFmtId="2" fontId="3" fillId="0" borderId="55" xfId="0" applyNumberFormat="1" applyFont="1" applyBorder="1" applyAlignment="1">
      <alignment horizontal="center"/>
    </xf>
    <xf numFmtId="9" fontId="3" fillId="0" borderId="58" xfId="1" applyFont="1" applyBorder="1" applyAlignment="1">
      <alignment horizontal="center"/>
    </xf>
    <xf numFmtId="0" fontId="3" fillId="9" borderId="58" xfId="0" applyFont="1" applyFill="1" applyBorder="1" applyAlignment="1">
      <alignment horizontal="center"/>
    </xf>
    <xf numFmtId="0" fontId="3" fillId="10" borderId="7" xfId="0" applyFont="1" applyFill="1" applyBorder="1" applyAlignment="1">
      <alignment horizontal="center" vertical="center" wrapText="1"/>
    </xf>
    <xf numFmtId="0" fontId="3" fillId="10" borderId="62" xfId="0" applyFont="1" applyFill="1" applyBorder="1" applyAlignment="1">
      <alignment horizontal="center" vertical="center" wrapText="1"/>
    </xf>
    <xf numFmtId="0" fontId="3" fillId="10" borderId="63" xfId="0" applyFont="1" applyFill="1" applyBorder="1" applyAlignment="1">
      <alignment horizontal="center" vertical="center"/>
    </xf>
    <xf numFmtId="0" fontId="3" fillId="10" borderId="39" xfId="0" applyFont="1" applyFill="1" applyBorder="1" applyAlignment="1">
      <alignment horizontal="center" vertical="center"/>
    </xf>
    <xf numFmtId="0" fontId="3" fillId="10" borderId="39" xfId="0" applyFont="1" applyFill="1" applyBorder="1" applyAlignment="1">
      <alignment horizontal="center" vertical="center" wrapText="1"/>
    </xf>
    <xf numFmtId="0" fontId="3" fillId="10" borderId="64" xfId="0" applyFont="1" applyFill="1" applyBorder="1" applyAlignment="1">
      <alignment horizontal="center" vertical="center" wrapText="1"/>
    </xf>
    <xf numFmtId="0" fontId="3" fillId="0" borderId="15" xfId="0" applyFont="1" applyBorder="1" applyAlignment="1">
      <alignment horizontal="center"/>
    </xf>
    <xf numFmtId="165" fontId="3" fillId="0" borderId="18" xfId="0" applyNumberFormat="1" applyFont="1" applyBorder="1" applyAlignment="1">
      <alignment horizontal="center"/>
    </xf>
    <xf numFmtId="9" fontId="3" fillId="0" borderId="18" xfId="1" applyFont="1" applyBorder="1" applyAlignment="1">
      <alignment horizontal="center"/>
    </xf>
    <xf numFmtId="2" fontId="3" fillId="0" borderId="18" xfId="0" applyNumberFormat="1" applyFont="1" applyBorder="1" applyAlignment="1">
      <alignment horizontal="center"/>
    </xf>
    <xf numFmtId="9" fontId="3" fillId="0" borderId="47" xfId="1" applyFont="1" applyBorder="1" applyAlignment="1">
      <alignment horizontal="center"/>
    </xf>
    <xf numFmtId="0" fontId="3" fillId="0" borderId="65" xfId="0" applyFont="1" applyBorder="1" applyAlignment="1">
      <alignment horizontal="center"/>
    </xf>
    <xf numFmtId="0" fontId="3" fillId="0" borderId="18" xfId="0" applyFont="1" applyBorder="1" applyAlignment="1">
      <alignment horizontal="center"/>
    </xf>
    <xf numFmtId="9" fontId="3" fillId="0" borderId="19" xfId="1" applyFont="1" applyBorder="1" applyAlignment="1">
      <alignment horizontal="center"/>
    </xf>
    <xf numFmtId="0" fontId="3" fillId="0" borderId="55" xfId="0" applyFont="1" applyBorder="1" applyAlignment="1">
      <alignment horizontal="center"/>
    </xf>
    <xf numFmtId="2" fontId="0" fillId="0" borderId="0" xfId="0" applyNumberFormat="1" applyAlignment="1">
      <alignment horizontal="center"/>
    </xf>
    <xf numFmtId="0" fontId="6" fillId="0" borderId="66" xfId="0" applyFont="1" applyBorder="1" applyAlignment="1">
      <alignment horizontal="center" vertical="center"/>
    </xf>
    <xf numFmtId="165" fontId="6" fillId="0" borderId="67" xfId="0" applyNumberFormat="1" applyFont="1" applyBorder="1" applyAlignment="1">
      <alignment horizontal="center" vertical="center"/>
    </xf>
    <xf numFmtId="2" fontId="6" fillId="0" borderId="67" xfId="0" applyNumberFormat="1" applyFont="1" applyBorder="1" applyAlignment="1">
      <alignment horizontal="center" vertical="center"/>
    </xf>
    <xf numFmtId="9" fontId="6" fillId="0" borderId="67" xfId="1" applyFont="1" applyBorder="1" applyAlignment="1">
      <alignment horizontal="center" vertical="center"/>
    </xf>
    <xf numFmtId="2" fontId="6" fillId="0" borderId="68" xfId="0" applyNumberFormat="1" applyFont="1" applyBorder="1" applyAlignment="1">
      <alignment horizontal="center" vertical="center"/>
    </xf>
    <xf numFmtId="0" fontId="3" fillId="12" borderId="0" xfId="0" applyFont="1" applyFill="1" applyAlignment="1">
      <alignment wrapText="1"/>
    </xf>
    <xf numFmtId="0" fontId="3" fillId="12" borderId="57" xfId="0" applyFont="1" applyFill="1" applyBorder="1" applyAlignment="1">
      <alignment horizontal="center"/>
    </xf>
    <xf numFmtId="165" fontId="3" fillId="12" borderId="55" xfId="0" applyNumberFormat="1" applyFont="1" applyFill="1" applyBorder="1" applyAlignment="1">
      <alignment horizontal="center"/>
    </xf>
    <xf numFmtId="9" fontId="3" fillId="12" borderId="55" xfId="1" applyFont="1" applyFill="1" applyBorder="1" applyAlignment="1">
      <alignment horizontal="center"/>
    </xf>
    <xf numFmtId="2" fontId="3" fillId="12" borderId="55" xfId="0" applyNumberFormat="1" applyFont="1" applyFill="1" applyBorder="1" applyAlignment="1">
      <alignment horizontal="center"/>
    </xf>
    <xf numFmtId="9" fontId="3" fillId="12" borderId="58" xfId="1" applyFont="1" applyFill="1" applyBorder="1" applyAlignment="1">
      <alignment horizontal="center"/>
    </xf>
    <xf numFmtId="0" fontId="3" fillId="12" borderId="56" xfId="0" applyFont="1" applyFill="1" applyBorder="1" applyAlignment="1">
      <alignment horizontal="center"/>
    </xf>
    <xf numFmtId="0" fontId="9" fillId="12" borderId="69" xfId="0" applyFont="1" applyFill="1" applyBorder="1" applyAlignment="1">
      <alignment horizontal="center"/>
    </xf>
    <xf numFmtId="0" fontId="3" fillId="10" borderId="56" xfId="0" applyFont="1" applyFill="1" applyBorder="1" applyAlignment="1">
      <alignment horizontal="center"/>
    </xf>
    <xf numFmtId="0" fontId="9" fillId="10" borderId="69" xfId="0" applyFont="1" applyFill="1" applyBorder="1" applyAlignment="1">
      <alignment horizontal="center"/>
    </xf>
    <xf numFmtId="0" fontId="9" fillId="10" borderId="70" xfId="0" applyFont="1" applyFill="1" applyBorder="1" applyAlignment="1">
      <alignment horizontal="center"/>
    </xf>
    <xf numFmtId="165" fontId="9" fillId="10" borderId="71" xfId="0" applyNumberFormat="1" applyFont="1" applyFill="1" applyBorder="1" applyAlignment="1">
      <alignment horizontal="center"/>
    </xf>
    <xf numFmtId="9" fontId="9" fillId="10" borderId="71" xfId="1" applyFont="1" applyFill="1" applyBorder="1" applyAlignment="1">
      <alignment horizontal="center"/>
    </xf>
    <xf numFmtId="2" fontId="9" fillId="10" borderId="71" xfId="0" applyNumberFormat="1" applyFont="1" applyFill="1" applyBorder="1" applyAlignment="1">
      <alignment horizontal="center"/>
    </xf>
    <xf numFmtId="9" fontId="9" fillId="10" borderId="72" xfId="1" applyFont="1" applyFill="1" applyBorder="1" applyAlignment="1">
      <alignment horizontal="center"/>
    </xf>
    <xf numFmtId="0" fontId="6" fillId="0" borderId="73" xfId="0" applyFont="1" applyBorder="1" applyAlignment="1">
      <alignment horizontal="center" vertical="center"/>
    </xf>
    <xf numFmtId="0" fontId="3" fillId="9" borderId="60" xfId="0" applyFont="1" applyFill="1" applyBorder="1" applyAlignment="1">
      <alignment horizontal="center"/>
    </xf>
    <xf numFmtId="0" fontId="3" fillId="9" borderId="55" xfId="0" applyFont="1" applyFill="1" applyBorder="1" applyAlignment="1">
      <alignment horizontal="center"/>
    </xf>
    <xf numFmtId="0" fontId="3" fillId="9" borderId="58" xfId="0" applyFont="1" applyFill="1" applyBorder="1" applyAlignment="1">
      <alignment horizontal="center"/>
    </xf>
    <xf numFmtId="0" fontId="11" fillId="5" borderId="0" xfId="0" applyFont="1" applyFill="1" applyAlignment="1">
      <alignment horizontal="center" vertic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3" fillId="4" borderId="41" xfId="0" applyFont="1" applyFill="1" applyBorder="1" applyAlignment="1">
      <alignment horizontal="center"/>
    </xf>
    <xf numFmtId="0" fontId="3" fillId="4" borderId="42" xfId="0" applyFont="1" applyFill="1" applyBorder="1" applyAlignment="1">
      <alignment horizontal="center"/>
    </xf>
    <xf numFmtId="0" fontId="3" fillId="4" borderId="51" xfId="0" applyFont="1" applyFill="1" applyBorder="1" applyAlignment="1">
      <alignment horizontal="center"/>
    </xf>
    <xf numFmtId="0" fontId="3" fillId="6" borderId="50" xfId="0" applyFont="1" applyFill="1" applyBorder="1" applyAlignment="1">
      <alignment horizontal="center"/>
    </xf>
    <xf numFmtId="0" fontId="3" fillId="6" borderId="42" xfId="0" applyFont="1" applyFill="1" applyBorder="1" applyAlignment="1">
      <alignment horizontal="center"/>
    </xf>
    <xf numFmtId="0" fontId="3" fillId="6" borderId="51" xfId="0" applyFont="1" applyFill="1" applyBorder="1" applyAlignment="1">
      <alignment horizontal="center"/>
    </xf>
    <xf numFmtId="0" fontId="5" fillId="5" borderId="59" xfId="0" applyFont="1" applyFill="1" applyBorder="1" applyAlignment="1">
      <alignment horizontal="center"/>
    </xf>
    <xf numFmtId="0" fontId="5" fillId="5" borderId="39" xfId="0" applyFont="1" applyFill="1" applyBorder="1" applyAlignment="1">
      <alignment horizontal="center"/>
    </xf>
    <xf numFmtId="0" fontId="3" fillId="4" borderId="60" xfId="0" applyFont="1" applyFill="1" applyBorder="1" applyAlignment="1">
      <alignment horizontal="center"/>
    </xf>
    <xf numFmtId="0" fontId="3" fillId="4" borderId="55" xfId="0" applyFont="1" applyFill="1" applyBorder="1" applyAlignment="1">
      <alignment horizontal="center"/>
    </xf>
    <xf numFmtId="0" fontId="3" fillId="4" borderId="58" xfId="0" applyFont="1" applyFill="1" applyBorder="1" applyAlignment="1">
      <alignment horizontal="center"/>
    </xf>
    <xf numFmtId="0" fontId="3" fillId="6" borderId="57" xfId="0" applyFont="1" applyFill="1" applyBorder="1" applyAlignment="1">
      <alignment horizontal="center"/>
    </xf>
    <xf numFmtId="0" fontId="3" fillId="6" borderId="55" xfId="0" applyFont="1" applyFill="1" applyBorder="1" applyAlignment="1">
      <alignment horizontal="center"/>
    </xf>
    <xf numFmtId="0" fontId="3" fillId="6" borderId="58" xfId="0" applyFont="1" applyFill="1" applyBorder="1" applyAlignment="1">
      <alignment horizontal="center"/>
    </xf>
    <xf numFmtId="0" fontId="7" fillId="16" borderId="15" xfId="0" applyFont="1" applyFill="1" applyBorder="1" applyAlignment="1">
      <alignment horizontal="center"/>
    </xf>
    <xf numFmtId="0" fontId="7" fillId="16" borderId="18" xfId="0" applyFont="1" applyFill="1" applyBorder="1" applyAlignment="1">
      <alignment horizontal="center"/>
    </xf>
    <xf numFmtId="0" fontId="7" fillId="16" borderId="19" xfId="0" applyFont="1" applyFill="1" applyBorder="1" applyAlignment="1">
      <alignment horizontal="center"/>
    </xf>
    <xf numFmtId="0" fontId="5" fillId="5" borderId="8" xfId="0" applyFont="1" applyFill="1" applyBorder="1" applyAlignment="1">
      <alignment horizontal="center"/>
    </xf>
    <xf numFmtId="0" fontId="3" fillId="0" borderId="12"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8" xfId="0" applyFont="1" applyBorder="1" applyAlignment="1">
      <alignment horizontal="left" vertical="center"/>
    </xf>
    <xf numFmtId="0" fontId="3" fillId="0" borderId="19" xfId="0" applyFont="1" applyBorder="1" applyAlignment="1">
      <alignment horizontal="left" vertical="center"/>
    </xf>
    <xf numFmtId="0" fontId="10" fillId="15" borderId="39" xfId="0" applyFont="1" applyFill="1" applyBorder="1" applyAlignment="1">
      <alignment horizontal="center" wrapText="1"/>
    </xf>
    <xf numFmtId="0" fontId="10" fillId="15" borderId="0" xfId="0" applyFont="1" applyFill="1" applyAlignment="1">
      <alignment horizontal="center" wrapText="1"/>
    </xf>
    <xf numFmtId="0" fontId="5" fillId="8" borderId="57" xfId="0" applyFont="1" applyFill="1" applyBorder="1" applyAlignment="1">
      <alignment horizontal="center"/>
    </xf>
    <xf numFmtId="0" fontId="5" fillId="8" borderId="55" xfId="0" applyFont="1" applyFill="1" applyBorder="1" applyAlignment="1">
      <alignment horizontal="center"/>
    </xf>
    <xf numFmtId="0" fontId="5" fillId="8" borderId="61" xfId="0" applyFont="1" applyFill="1" applyBorder="1" applyAlignment="1">
      <alignment horizontal="center"/>
    </xf>
    <xf numFmtId="0" fontId="3" fillId="11" borderId="41" xfId="0" applyFont="1" applyFill="1" applyBorder="1" applyAlignment="1">
      <alignment horizontal="center" vertical="center"/>
    </xf>
    <xf numFmtId="0" fontId="3" fillId="11" borderId="42" xfId="0" applyFont="1" applyFill="1" applyBorder="1" applyAlignment="1">
      <alignment horizontal="center" vertical="center"/>
    </xf>
    <xf numFmtId="0" fontId="3" fillId="11" borderId="7" xfId="0" applyFont="1" applyFill="1" applyBorder="1" applyAlignment="1">
      <alignment horizontal="center" vertical="center"/>
    </xf>
    <xf numFmtId="0" fontId="3" fillId="11" borderId="8" xfId="0" applyFont="1" applyFill="1" applyBorder="1" applyAlignment="1">
      <alignment horizontal="center" vertical="center"/>
    </xf>
    <xf numFmtId="0" fontId="3" fillId="8" borderId="42" xfId="0" applyFont="1" applyFill="1" applyBorder="1" applyAlignment="1">
      <alignment horizontal="center"/>
    </xf>
    <xf numFmtId="0" fontId="3" fillId="8" borderId="43" xfId="0" applyFont="1" applyFill="1" applyBorder="1" applyAlignment="1">
      <alignment horizontal="center"/>
    </xf>
    <xf numFmtId="0" fontId="3" fillId="11" borderId="41" xfId="0" applyFont="1" applyFill="1" applyBorder="1" applyAlignment="1">
      <alignment horizontal="center"/>
    </xf>
    <xf numFmtId="0" fontId="3" fillId="11" borderId="42" xfId="0" applyFont="1" applyFill="1" applyBorder="1" applyAlignment="1">
      <alignment horizontal="center"/>
    </xf>
    <xf numFmtId="0" fontId="3" fillId="11" borderId="13" xfId="0" applyFont="1" applyFill="1" applyBorder="1" applyAlignment="1">
      <alignment horizontal="center"/>
    </xf>
    <xf numFmtId="0" fontId="3" fillId="11" borderId="14" xfId="0" applyFont="1" applyFill="1" applyBorder="1" applyAlignment="1">
      <alignment horizontal="center"/>
    </xf>
    <xf numFmtId="0" fontId="3" fillId="10" borderId="41" xfId="0" applyFont="1" applyFill="1" applyBorder="1" applyAlignment="1">
      <alignment horizontal="center"/>
    </xf>
    <xf numFmtId="0" fontId="3" fillId="10" borderId="42" xfId="0" applyFont="1" applyFill="1" applyBorder="1" applyAlignment="1">
      <alignment horizontal="center"/>
    </xf>
    <xf numFmtId="0" fontId="3" fillId="10" borderId="43" xfId="0" applyFont="1" applyFill="1" applyBorder="1" applyAlignment="1">
      <alignment horizontal="center"/>
    </xf>
    <xf numFmtId="0" fontId="3" fillId="10" borderId="41" xfId="0" applyFont="1" applyFill="1" applyBorder="1" applyAlignment="1">
      <alignment horizontal="center" vertical="center"/>
    </xf>
    <xf numFmtId="0" fontId="3" fillId="10" borderId="42" xfId="0" applyFont="1" applyFill="1" applyBorder="1" applyAlignment="1">
      <alignment horizontal="center" vertical="center"/>
    </xf>
    <xf numFmtId="0" fontId="3" fillId="6" borderId="13" xfId="0" applyFont="1" applyFill="1" applyBorder="1" applyAlignment="1">
      <alignment horizontal="center"/>
    </xf>
    <xf numFmtId="0" fontId="3" fillId="6" borderId="21" xfId="0" applyFont="1" applyFill="1" applyBorder="1" applyAlignment="1">
      <alignment horizontal="center"/>
    </xf>
    <xf numFmtId="0" fontId="5" fillId="8" borderId="42" xfId="0" applyFont="1" applyFill="1" applyBorder="1" applyAlignment="1">
      <alignment horizontal="center"/>
    </xf>
    <xf numFmtId="0" fontId="5" fillId="8" borderId="43" xfId="0" applyFont="1" applyFill="1" applyBorder="1" applyAlignment="1">
      <alignment horizontal="center"/>
    </xf>
    <xf numFmtId="0" fontId="3" fillId="4" borderId="57" xfId="0" applyFont="1" applyFill="1" applyBorder="1" applyAlignment="1">
      <alignment horizontal="center"/>
    </xf>
    <xf numFmtId="0" fontId="2" fillId="5" borderId="66" xfId="0" applyFont="1" applyFill="1" applyBorder="1" applyAlignment="1">
      <alignment horizontal="center"/>
    </xf>
    <xf numFmtId="0" fontId="2" fillId="5" borderId="67" xfId="0" applyFont="1" applyFill="1" applyBorder="1" applyAlignment="1">
      <alignment horizontal="center"/>
    </xf>
    <xf numFmtId="0" fontId="2" fillId="5" borderId="68" xfId="0" applyFont="1" applyFill="1" applyBorder="1" applyAlignment="1">
      <alignment horizontal="center"/>
    </xf>
    <xf numFmtId="0" fontId="3" fillId="11" borderId="10" xfId="0" applyFont="1" applyFill="1" applyBorder="1" applyAlignment="1">
      <alignment horizontal="center"/>
    </xf>
    <xf numFmtId="0" fontId="3" fillId="4" borderId="22" xfId="0" applyFont="1" applyFill="1" applyBorder="1" applyAlignment="1">
      <alignment horizontal="center"/>
    </xf>
    <xf numFmtId="0" fontId="3" fillId="4" borderId="13" xfId="0" applyFont="1" applyFill="1" applyBorder="1" applyAlignment="1">
      <alignment horizontal="center"/>
    </xf>
    <xf numFmtId="0" fontId="3" fillId="4" borderId="21" xfId="0" applyFont="1" applyFill="1" applyBorder="1" applyAlignment="1">
      <alignment horizontal="center"/>
    </xf>
    <xf numFmtId="0" fontId="3" fillId="6" borderId="22" xfId="0" applyFont="1" applyFill="1" applyBorder="1" applyAlignment="1">
      <alignment horizontal="center"/>
    </xf>
    <xf numFmtId="0" fontId="3" fillId="8" borderId="22" xfId="0" applyFont="1" applyFill="1" applyBorder="1" applyAlignment="1">
      <alignment horizontal="center"/>
    </xf>
    <xf numFmtId="0" fontId="3" fillId="8" borderId="13" xfId="0" applyFont="1" applyFill="1" applyBorder="1" applyAlignment="1">
      <alignment horizontal="center"/>
    </xf>
    <xf numFmtId="0" fontId="3" fillId="8" borderId="14" xfId="0" applyFont="1" applyFill="1" applyBorder="1" applyAlignment="1">
      <alignment horizontal="center"/>
    </xf>
    <xf numFmtId="0" fontId="3" fillId="11" borderId="13" xfId="0" applyFont="1" applyFill="1" applyBorder="1" applyAlignment="1">
      <alignment horizontal="center" vertical="center"/>
    </xf>
    <xf numFmtId="0" fontId="3" fillId="11" borderId="14" xfId="0" applyFont="1" applyFill="1" applyBorder="1" applyAlignment="1">
      <alignment horizontal="center" vertical="center"/>
    </xf>
    <xf numFmtId="0" fontId="3" fillId="4" borderId="0" xfId="0" applyFont="1" applyFill="1" applyAlignment="1">
      <alignment horizontal="center"/>
    </xf>
    <xf numFmtId="0" fontId="3" fillId="4" borderId="25" xfId="0" applyFont="1" applyFill="1" applyBorder="1" applyAlignment="1">
      <alignment horizontal="center"/>
    </xf>
    <xf numFmtId="0" fontId="3" fillId="6" borderId="56" xfId="0" applyFont="1" applyFill="1" applyBorder="1" applyAlignment="1">
      <alignment horizontal="center"/>
    </xf>
    <xf numFmtId="0" fontId="3" fillId="6" borderId="0" xfId="0" applyFont="1" applyFill="1" applyAlignment="1">
      <alignment horizontal="center"/>
    </xf>
    <xf numFmtId="0" fontId="3" fillId="6" borderId="25" xfId="0" applyFont="1" applyFill="1" applyBorder="1" applyAlignment="1">
      <alignment horizontal="center"/>
    </xf>
    <xf numFmtId="0" fontId="5" fillId="8" borderId="56" xfId="0" applyFont="1" applyFill="1" applyBorder="1" applyAlignment="1">
      <alignment horizontal="center"/>
    </xf>
    <xf numFmtId="0" fontId="5" fillId="8" borderId="0" xfId="0" applyFont="1" applyFill="1" applyAlignment="1">
      <alignment horizontal="center"/>
    </xf>
    <xf numFmtId="0" fontId="5" fillId="8" borderId="24" xfId="0" applyFont="1" applyFill="1" applyBorder="1" applyAlignment="1">
      <alignment horizontal="center"/>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51" xfId="0" applyFont="1" applyFill="1" applyBorder="1" applyAlignment="1">
      <alignment horizontal="center"/>
    </xf>
  </cellXfs>
  <cellStyles count="3">
    <cellStyle name="Hyperlink" xfId="2" builtinId="8"/>
    <cellStyle name="Normal" xfId="0" builtinId="0"/>
    <cellStyle name="Percent" xfId="1" builtinId="5"/>
  </cellStyles>
  <dxfs count="68">
    <dxf>
      <font>
        <color rgb="FF9C0006"/>
      </font>
      <fill>
        <patternFill>
          <bgColor rgb="FFFFC7CE"/>
        </patternFill>
      </fill>
    </dxf>
    <dxf>
      <font>
        <color rgb="FF9C5700"/>
      </font>
      <fill>
        <patternFill>
          <bgColor rgb="FFFFEB9C"/>
        </patternFill>
      </fill>
    </dxf>
    <dxf>
      <font>
        <color theme="9" tint="-0.499984740745262"/>
      </font>
      <fill>
        <patternFill>
          <bgColor theme="9" tint="0.59996337778862885"/>
        </patternFill>
      </fill>
    </dxf>
    <dxf>
      <font>
        <color rgb="FF006100"/>
      </font>
      <fill>
        <patternFill>
          <bgColor rgb="FFC6EFCE"/>
        </patternFill>
      </fill>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tint="-0.499984740745262"/>
      </font>
      <fill>
        <patternFill>
          <bgColor theme="9" tint="0.59996337778862885"/>
        </patternFill>
      </fill>
    </dxf>
    <dxf>
      <font>
        <color rgb="FF006100"/>
      </font>
      <fill>
        <patternFill>
          <bgColor rgb="FFC6EFCE"/>
        </patternFill>
      </fill>
    </dxf>
    <dxf>
      <numFmt numFmtId="25" formatCode="hh:mm"/>
    </dxf>
    <dxf>
      <numFmt numFmtId="19" formatCode="dd/mm/yyyy"/>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6"/>
          <bgColor theme="6"/>
        </patternFill>
      </fill>
      <border diagonalUp="0" diagonalDown="0" outline="0">
        <left style="thin">
          <color theme="0"/>
        </left>
        <right style="thin">
          <color theme="0"/>
        </right>
        <top/>
        <bottom/>
      </border>
    </dxf>
    <dxf>
      <numFmt numFmtId="0" formatCode="General"/>
    </dxf>
    <dxf>
      <numFmt numFmtId="164" formatCode="0.000"/>
    </dxf>
    <dxf>
      <numFmt numFmtId="164" formatCode="0.000"/>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vertical/>
        <horizontal/>
      </border>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numFmt numFmtId="0" formatCode="General"/>
    </dxf>
    <dxf>
      <font>
        <b val="0"/>
        <i val="0"/>
        <strike val="0"/>
        <condense val="0"/>
        <extend val="0"/>
        <outline val="0"/>
        <shadow val="0"/>
        <u val="none"/>
        <vertAlign val="baseline"/>
        <sz val="11"/>
        <color theme="1"/>
        <name val="Calibri"/>
        <family val="2"/>
        <scheme val="minor"/>
      </font>
      <numFmt numFmtId="25" formatCode="hh:mm"/>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numFmt numFmtId="19" formatCode="dd/mm/yyyy"/>
    </dxf>
    <dxf>
      <font>
        <b val="0"/>
        <i val="0"/>
        <strike val="0"/>
        <condense val="0"/>
        <extend val="0"/>
        <outline val="0"/>
        <shadow val="0"/>
        <u val="none"/>
        <vertAlign val="baseline"/>
        <sz val="11"/>
        <color theme="1"/>
        <name val="Calibri"/>
        <family val="2"/>
        <scheme val="minor"/>
      </font>
      <numFmt numFmtId="168" formatCode="dd/mm/yyyy;@"/>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6"/>
          <bgColor theme="6"/>
        </patternFill>
      </fill>
      <border diagonalUp="0" diagonalDown="0" outline="0">
        <left style="thin">
          <color theme="0"/>
        </left>
        <right style="thin">
          <color theme="0"/>
        </right>
        <top/>
        <bottom/>
      </border>
    </dxf>
  </dxfs>
  <tableStyles count="0" defaultTableStyle="TableStyleMedium2" defaultPivotStyle="PivotStyleLight16"/>
  <colors>
    <mruColors>
      <color rgb="FFFF6161"/>
      <color rgb="FFFF2121"/>
      <color rgb="FFFF9797"/>
      <color rgb="FFFF2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06/relationships/richStyles" Target="richData/richStyles.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Array" Target="richData/rdarray.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17/06/relationships/rdRichValue" Target="richData/rdrichvalue.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connections" Target="connections.xml"/><Relationship Id="rId19" Type="http://schemas.microsoft.com/office/2017/06/relationships/rdSupportingPropertyBagStructure" Target="richData/rdsupportingpropertybagstructure.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20/07/relationships/rdRichValueWebImage" Target="richData/rdRichValueWebImage.xml"/><Relationship Id="rId22" Type="http://schemas.openxmlformats.org/officeDocument/2006/relationships/powerPivotData" Target="model/item.data"/><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Samples</a:t>
            </a:r>
          </a:p>
          <a:p>
            <a:pPr>
              <a:defRPr sz="3200"/>
            </a:pPr>
            <a:r>
              <a:rPr lang="en-US" sz="3200">
                <a:solidFill>
                  <a:schemeClr val="accent6"/>
                </a:solidFill>
              </a:rPr>
              <a:t>by district</a:t>
            </a:r>
          </a:p>
        </c:rich>
      </c:tx>
      <c:layout>
        <c:manualLayout>
          <c:xMode val="edge"/>
          <c:yMode val="edge"/>
          <c:x val="2.2717981784753514E-2"/>
          <c:y val="0.27987118600181449"/>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6750102839086859"/>
          <c:w val="0.2752378715306501"/>
          <c:h val="0.58946777486147561"/>
        </c:manualLayout>
      </c:layout>
      <c:pieChart>
        <c:varyColors val="1"/>
        <c:ser>
          <c:idx val="0"/>
          <c:order val="0"/>
          <c:tx>
            <c:strRef>
              <c:f>Charts!$B$3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649-4005-804E-3F374CA98F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49-4005-804E-3F374CA98F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9649-4005-804E-3F374CA98F9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1-9649-4005-804E-3F374CA98F93}"/>
              </c:ext>
            </c:extLst>
          </c:dPt>
          <c:dLbls>
            <c:dLbl>
              <c:idx val="0"/>
              <c:layout>
                <c:manualLayout>
                  <c:x val="6.8312997958283828E-2"/>
                  <c:y val="-3.1105760806829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649-4005-804E-3F374CA98F93}"/>
                </c:ext>
              </c:extLst>
            </c:dLbl>
            <c:dLbl>
              <c:idx val="1"/>
              <c:layout>
                <c:manualLayout>
                  <c:x val="2.3778642455685256E-2"/>
                  <c:y val="1.85185185185185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9-4005-804E-3F374CA98F93}"/>
                </c:ext>
              </c:extLst>
            </c:dLbl>
            <c:dLbl>
              <c:idx val="2"/>
              <c:layout>
                <c:manualLayout>
                  <c:x val="6.4850843060959796E-3"/>
                  <c:y val="2.31481481481481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649-4005-804E-3F374CA98F93}"/>
                </c:ext>
              </c:extLst>
            </c:dLbl>
            <c:dLbl>
              <c:idx val="3"/>
              <c:layout>
                <c:manualLayout>
                  <c:x val="-5.4042369217466496E-2"/>
                  <c:y val="-1.38888888888890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9-4005-804E-3F374CA98F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Charts!$A$4:$A$7</c:f>
              <c:strCache>
                <c:ptCount val="4"/>
                <c:pt idx="0">
                  <c:v>Cotswold District</c:v>
                </c:pt>
                <c:pt idx="1">
                  <c:v>Stratford-on-Avon District</c:v>
                </c:pt>
                <c:pt idx="2">
                  <c:v>Tewkesbury</c:v>
                </c:pt>
                <c:pt idx="3">
                  <c:v>Wychavon</c:v>
                </c:pt>
              </c:strCache>
            </c:strRef>
          </c:cat>
          <c:val>
            <c:numRef>
              <c:f>Charts!$B$4:$B$7</c:f>
              <c:numCache>
                <c:formatCode>General</c:formatCode>
                <c:ptCount val="4"/>
                <c:pt idx="0">
                  <c:v>120</c:v>
                </c:pt>
                <c:pt idx="1">
                  <c:v>1441</c:v>
                </c:pt>
                <c:pt idx="2">
                  <c:v>542</c:v>
                </c:pt>
                <c:pt idx="3">
                  <c:v>256</c:v>
                </c:pt>
              </c:numCache>
            </c:numRef>
          </c:val>
          <c:extLst>
            <c:ext xmlns:c16="http://schemas.microsoft.com/office/drawing/2014/chart" uri="{C3380CC4-5D6E-409C-BE32-E72D297353CC}">
              <c16:uniqueId val="{00000000-9649-4005-804E-3F374CA98F93}"/>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Samples</a:t>
            </a:r>
          </a:p>
          <a:p>
            <a:pPr>
              <a:defRPr sz="3200"/>
            </a:pPr>
            <a:r>
              <a:rPr lang="en-US" sz="3200">
                <a:solidFill>
                  <a:schemeClr val="accent5"/>
                </a:solidFill>
              </a:rPr>
              <a:t>by river</a:t>
            </a:r>
          </a:p>
        </c:rich>
      </c:tx>
      <c:layout>
        <c:manualLayout>
          <c:xMode val="edge"/>
          <c:yMode val="edge"/>
          <c:x val="7.1137746706522689E-2"/>
          <c:y val="0.30279488193829318"/>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2324855024189938"/>
          <c:w val="0.3200139068437341"/>
          <c:h val="0.59475538858613552"/>
        </c:manualLayout>
      </c:layout>
      <c:pieChart>
        <c:varyColors val="1"/>
        <c:ser>
          <c:idx val="0"/>
          <c:order val="0"/>
          <c:tx>
            <c:strRef>
              <c:f>Charts!$J$3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62-4EC9-8F44-63ED3480FB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62-4EC9-8F44-63ED3480FB7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62-4EC9-8F44-63ED3480FB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62-4EC9-8F44-63ED3480FB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62-4EC9-8F44-63ED3480FB7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F7-48F2-AFA2-E05913B9C92D}"/>
              </c:ext>
            </c:extLst>
          </c:dPt>
          <c:dLbls>
            <c:dLbl>
              <c:idx val="3"/>
              <c:layout>
                <c:manualLayout>
                  <c:x val="-1.9995107496335141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A62-4EC9-8F44-63ED3480FB7B}"/>
                </c:ext>
              </c:extLst>
            </c:dLbl>
            <c:dLbl>
              <c:idx val="5"/>
              <c:layout>
                <c:manualLayout>
                  <c:x val="1.9900497512437811E-2"/>
                  <c:y val="-4.374453193350831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1F7-48F2-AFA2-E05913B9C9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Charts!$I$4:$I$9</c:f>
              <c:strCache>
                <c:ptCount val="6"/>
                <c:pt idx="0">
                  <c:v>Avon</c:v>
                </c:pt>
                <c:pt idx="1">
                  <c:v>Stour</c:v>
                </c:pt>
                <c:pt idx="2">
                  <c:v>Carrant</c:v>
                </c:pt>
                <c:pt idx="3">
                  <c:v>Swilgate</c:v>
                </c:pt>
                <c:pt idx="4">
                  <c:v>Fosseway Brook</c:v>
                </c:pt>
                <c:pt idx="5">
                  <c:v>Other</c:v>
                </c:pt>
              </c:strCache>
            </c:strRef>
          </c:cat>
          <c:val>
            <c:numRef>
              <c:f>Charts!$J$4:$J$9</c:f>
              <c:numCache>
                <c:formatCode>General</c:formatCode>
                <c:ptCount val="6"/>
                <c:pt idx="0">
                  <c:v>825</c:v>
                </c:pt>
                <c:pt idx="1">
                  <c:v>446</c:v>
                </c:pt>
                <c:pt idx="2">
                  <c:v>188</c:v>
                </c:pt>
                <c:pt idx="3">
                  <c:v>89</c:v>
                </c:pt>
                <c:pt idx="4">
                  <c:v>268</c:v>
                </c:pt>
                <c:pt idx="5">
                  <c:v>548</c:v>
                </c:pt>
              </c:numCache>
            </c:numRef>
          </c:val>
          <c:extLst>
            <c:ext xmlns:c16="http://schemas.microsoft.com/office/drawing/2014/chart" uri="{C3380CC4-5D6E-409C-BE32-E72D297353CC}">
              <c16:uniqueId val="{0000000A-5A62-4EC9-8F44-63ED3480FB7B}"/>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2"/>
                </a:solidFill>
              </a:rPr>
              <a:t>by season</a:t>
            </a:r>
            <a:endParaRPr lang="en-US" sz="1200">
              <a:solidFill>
                <a:schemeClr val="accent2"/>
              </a:solidFill>
            </a:endParaRPr>
          </a:p>
        </c:rich>
      </c:tx>
      <c:layout>
        <c:manualLayout>
          <c:xMode val="edge"/>
          <c:yMode val="edge"/>
          <c:x val="7.3610983451971201E-2"/>
          <c:y val="0.1435185185185185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39338883116557966"/>
          <c:y val="0.12968126352626971"/>
          <c:w val="0.52775100250783435"/>
          <c:h val="0.68832269650504219"/>
        </c:manualLayout>
      </c:layout>
      <c:lineChart>
        <c:grouping val="standard"/>
        <c:varyColors val="0"/>
        <c:ser>
          <c:idx val="0"/>
          <c:order val="0"/>
          <c:tx>
            <c:strRef>
              <c:f>Charts!$U$3</c:f>
              <c:strCache>
                <c:ptCount val="1"/>
                <c:pt idx="0">
                  <c:v>Samples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3"/>
              <c:layout>
                <c:manualLayout>
                  <c:x val="0"/>
                  <c:y val="-4.071422365829802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0DD-4002-8EDB-07B0B137A779}"/>
                </c:ext>
              </c:extLst>
            </c:dLbl>
            <c:dLbl>
              <c:idx val="4"/>
              <c:layout>
                <c:manualLayout>
                  <c:x val="0"/>
                  <c:y val="-5.69999131216172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DD-4002-8EDB-07B0B137A77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Charts!$T$4:$T$11</c:f>
              <c:strCache>
                <c:ptCount val="8"/>
                <c:pt idx="0">
                  <c:v>Summer '23</c:v>
                </c:pt>
                <c:pt idx="1">
                  <c:v>Autumn '23</c:v>
                </c:pt>
                <c:pt idx="2">
                  <c:v>Winter '23/24</c:v>
                </c:pt>
                <c:pt idx="3">
                  <c:v>Spring '24</c:v>
                </c:pt>
                <c:pt idx="4">
                  <c:v>Summer '24</c:v>
                </c:pt>
                <c:pt idx="5">
                  <c:v>Autumn '24</c:v>
                </c:pt>
                <c:pt idx="6">
                  <c:v>Winter '24/25</c:v>
                </c:pt>
                <c:pt idx="7">
                  <c:v>Spring '25</c:v>
                </c:pt>
              </c:strCache>
            </c:strRef>
          </c:cat>
          <c:val>
            <c:numRef>
              <c:f>Charts!$U$4:$U$11</c:f>
              <c:numCache>
                <c:formatCode>General</c:formatCode>
                <c:ptCount val="8"/>
                <c:pt idx="0">
                  <c:v>65</c:v>
                </c:pt>
                <c:pt idx="1">
                  <c:v>166</c:v>
                </c:pt>
                <c:pt idx="2">
                  <c:v>248</c:v>
                </c:pt>
                <c:pt idx="3">
                  <c:v>431</c:v>
                </c:pt>
                <c:pt idx="4">
                  <c:v>419</c:v>
                </c:pt>
                <c:pt idx="5">
                  <c:v>413</c:v>
                </c:pt>
                <c:pt idx="6">
                  <c:v>373</c:v>
                </c:pt>
                <c:pt idx="7">
                  <c:v>249</c:v>
                </c:pt>
              </c:numCache>
            </c:numRef>
          </c:val>
          <c:smooth val="0"/>
          <c:extLst>
            <c:ext xmlns:c16="http://schemas.microsoft.com/office/drawing/2014/chart" uri="{C3380CC4-5D6E-409C-BE32-E72D297353CC}">
              <c16:uniqueId val="{0000000A-2228-4255-8E82-06502EAA2553}"/>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800"/>
              <a:t>Tests Performed</a:t>
            </a:r>
          </a:p>
          <a:p>
            <a:pPr>
              <a:defRPr sz="2800"/>
            </a:pPr>
            <a:r>
              <a:rPr lang="en-US" sz="1800">
                <a:solidFill>
                  <a:schemeClr val="accent2"/>
                </a:solidFill>
              </a:rPr>
              <a:t>since July 2023</a:t>
            </a:r>
            <a:endParaRPr lang="en-US" sz="2800">
              <a:solidFill>
                <a:schemeClr val="accent2"/>
              </a:solidFill>
            </a:endParaRPr>
          </a:p>
        </c:rich>
      </c:tx>
      <c:layout>
        <c:manualLayout>
          <c:xMode val="edge"/>
          <c:yMode val="edge"/>
          <c:x val="0.20303484781273276"/>
          <c:y val="3.5289620981381692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9511918126664258E-2"/>
          <c:y val="0.28060146919245249"/>
          <c:w val="0.85311374444531052"/>
          <c:h val="0.58946777486147561"/>
        </c:manualLayout>
      </c:layout>
      <c:barChart>
        <c:barDir val="col"/>
        <c:grouping val="clustered"/>
        <c:varyColors val="0"/>
        <c:ser>
          <c:idx val="0"/>
          <c:order val="0"/>
          <c:tx>
            <c:strRef>
              <c:f>Charts!$B$19</c:f>
              <c:strCache>
                <c:ptCount val="1"/>
                <c:pt idx="0">
                  <c:v>Count</c:v>
                </c:pt>
              </c:strCache>
            </c:strRef>
          </c:tx>
          <c:spPr>
            <a:solidFill>
              <a:schemeClr val="accent1"/>
            </a:solidFill>
            <a:ln w="19050">
              <a:solidFill>
                <a:schemeClr val="lt1"/>
              </a:solidFill>
            </a:ln>
            <a:effectLst/>
          </c:spPr>
          <c:invertIfNegative val="0"/>
          <c:dPt>
            <c:idx val="0"/>
            <c:invertIfNegative val="0"/>
            <c:bubble3D val="0"/>
            <c:spPr>
              <a:solidFill>
                <a:srgbClr val="FF6161"/>
              </a:solidFill>
              <a:ln w="19050">
                <a:solidFill>
                  <a:schemeClr val="lt1"/>
                </a:solidFill>
              </a:ln>
              <a:effectLst/>
            </c:spPr>
            <c:extLst>
              <c:ext xmlns:c16="http://schemas.microsoft.com/office/drawing/2014/chart" uri="{C3380CC4-5D6E-409C-BE32-E72D297353CC}">
                <c16:uniqueId val="{00000001-B2C0-4218-97E9-27B1364CCB98}"/>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5-B2C0-4218-97E9-27B1364CCB98}"/>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Charts!$A$20:$A$22</c:f>
              <c:strCache>
                <c:ptCount val="3"/>
                <c:pt idx="0">
                  <c:v>Nitrate</c:v>
                </c:pt>
                <c:pt idx="1">
                  <c:v>Phosphate</c:v>
                </c:pt>
                <c:pt idx="2">
                  <c:v>Electrical Conductivity</c:v>
                </c:pt>
              </c:strCache>
            </c:strRef>
          </c:cat>
          <c:val>
            <c:numRef>
              <c:f>Charts!$B$20:$B$22</c:f>
              <c:numCache>
                <c:formatCode>General</c:formatCode>
                <c:ptCount val="3"/>
                <c:pt idx="0">
                  <c:v>2357</c:v>
                </c:pt>
                <c:pt idx="1">
                  <c:v>2357</c:v>
                </c:pt>
                <c:pt idx="2">
                  <c:v>2331</c:v>
                </c:pt>
              </c:numCache>
            </c:numRef>
          </c:val>
          <c:extLst>
            <c:ext xmlns:c16="http://schemas.microsoft.com/office/drawing/2014/chart" uri="{C3380CC4-5D6E-409C-BE32-E72D297353CC}">
              <c16:uniqueId val="{0000000A-B2C0-4218-97E9-27B1364CCB98}"/>
            </c:ext>
          </c:extLst>
        </c:ser>
        <c:dLbls>
          <c:dLblPos val="outEnd"/>
          <c:showLegendKey val="0"/>
          <c:showVal val="1"/>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3200"/>
              <a:t>Unique</a:t>
            </a:r>
            <a:r>
              <a:rPr lang="en-US" sz="3200" baseline="0"/>
              <a:t> S</a:t>
            </a:r>
            <a:r>
              <a:rPr lang="en-US" sz="3200"/>
              <a:t>ites</a:t>
            </a:r>
            <a:r>
              <a:rPr lang="en-US" sz="3200" baseline="0"/>
              <a:t> Sampled</a:t>
            </a:r>
            <a:endParaRPr lang="en-US" sz="3200"/>
          </a:p>
          <a:p>
            <a:pPr algn="ctr">
              <a:defRPr sz="3200"/>
            </a:pPr>
            <a:r>
              <a:rPr lang="en-US" sz="3200">
                <a:solidFill>
                  <a:schemeClr val="accent2"/>
                </a:solidFill>
              </a:rPr>
              <a:t>by season</a:t>
            </a:r>
          </a:p>
        </c:rich>
      </c:tx>
      <c:layout>
        <c:manualLayout>
          <c:xMode val="edge"/>
          <c:yMode val="edge"/>
          <c:x val="0.21208549175203006"/>
          <c:y val="3.9537107423209629E-2"/>
        </c:manualLayout>
      </c:layout>
      <c:overlay val="0"/>
      <c:spPr>
        <a:noFill/>
        <a:ln>
          <a:noFill/>
        </a:ln>
        <a:effectLst/>
      </c:spPr>
      <c:txPr>
        <a:bodyPr rot="0" spcFirstLastPara="1" vertOverflow="ellipsis" vert="horz" wrap="square" anchor="ctr" anchorCtr="1"/>
        <a:lstStyle/>
        <a:p>
          <a:pPr algn="ct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1352549521053458"/>
          <c:y val="0.28573245164219785"/>
          <c:w val="0.81157861677546717"/>
          <c:h val="0.5322711586012463"/>
        </c:manualLayout>
      </c:layout>
      <c:lineChart>
        <c:grouping val="standard"/>
        <c:varyColors val="0"/>
        <c:ser>
          <c:idx val="0"/>
          <c:order val="0"/>
          <c:tx>
            <c:strRef>
              <c:f>Charts!$R$19</c:f>
              <c:strCache>
                <c:ptCount val="1"/>
                <c:pt idx="0">
                  <c:v>Sites Sampled</c:v>
                </c:pt>
              </c:strCache>
            </c:strRef>
          </c:tx>
          <c:spPr>
            <a:ln w="28575" cap="rnd">
              <a:solidFill>
                <a:schemeClr val="accent2"/>
              </a:solidFill>
              <a:round/>
            </a:ln>
            <a:effectLst/>
          </c:spPr>
          <c:marker>
            <c:symbol val="circle"/>
            <c:size val="5"/>
            <c:spPr>
              <a:solidFill>
                <a:schemeClr val="accent2">
                  <a:lumMod val="75000"/>
                </a:schemeClr>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Charts!$Q$20:$Q$27</c:f>
              <c:strCache>
                <c:ptCount val="8"/>
                <c:pt idx="0">
                  <c:v>Summer '23</c:v>
                </c:pt>
                <c:pt idx="1">
                  <c:v>Autumn '23</c:v>
                </c:pt>
                <c:pt idx="2">
                  <c:v>Winter '23/24</c:v>
                </c:pt>
                <c:pt idx="3">
                  <c:v>Spring '24</c:v>
                </c:pt>
                <c:pt idx="4">
                  <c:v>Summer '24</c:v>
                </c:pt>
                <c:pt idx="5">
                  <c:v>Autumn '24</c:v>
                </c:pt>
                <c:pt idx="6">
                  <c:v>Winter '24/25</c:v>
                </c:pt>
                <c:pt idx="7">
                  <c:v>Spring '25</c:v>
                </c:pt>
              </c:strCache>
            </c:strRef>
          </c:cat>
          <c:val>
            <c:numRef>
              <c:f>Charts!$R$20:$R$27</c:f>
              <c:numCache>
                <c:formatCode>General</c:formatCode>
                <c:ptCount val="8"/>
                <c:pt idx="0">
                  <c:v>14</c:v>
                </c:pt>
                <c:pt idx="1">
                  <c:v>22</c:v>
                </c:pt>
                <c:pt idx="2">
                  <c:v>33</c:v>
                </c:pt>
                <c:pt idx="3">
                  <c:v>36</c:v>
                </c:pt>
                <c:pt idx="4">
                  <c:v>48</c:v>
                </c:pt>
                <c:pt idx="5">
                  <c:v>46</c:v>
                </c:pt>
                <c:pt idx="6">
                  <c:v>47</c:v>
                </c:pt>
                <c:pt idx="7">
                  <c:v>47</c:v>
                </c:pt>
              </c:numCache>
            </c:numRef>
          </c:val>
          <c:smooth val="0"/>
          <c:extLst>
            <c:ext xmlns:c16="http://schemas.microsoft.com/office/drawing/2014/chart" uri="{C3380CC4-5D6E-409C-BE32-E72D297353CC}">
              <c16:uniqueId val="{00000000-2E03-4F0F-AFEB-32C4853B49CE}"/>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r>
              <a:rPr lang="en-GB"/>
              <a:t>Pollution Thresholds</a:t>
            </a:r>
          </a:p>
          <a:p>
            <a:pPr>
              <a:defRPr/>
            </a:pPr>
            <a:r>
              <a:rPr lang="en-GB" i="1">
                <a:solidFill>
                  <a:schemeClr val="accent5"/>
                </a:solidFill>
              </a:rPr>
              <a:t>parts per million</a:t>
            </a:r>
          </a:p>
        </c:rich>
      </c:tx>
      <c:layout>
        <c:manualLayout>
          <c:xMode val="edge"/>
          <c:yMode val="edge"/>
          <c:x val="7.1232253923238648E-2"/>
          <c:y val="2.833111601452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22095111060373462"/>
          <c:y val="0.29324489712263496"/>
          <c:w val="0.77904888939626538"/>
          <c:h val="0.69013901487467244"/>
        </c:manualLayout>
      </c:layout>
      <c:barChart>
        <c:barDir val="bar"/>
        <c:grouping val="clustered"/>
        <c:varyColors val="0"/>
        <c:ser>
          <c:idx val="0"/>
          <c:order val="0"/>
          <c:tx>
            <c:strRef>
              <c:f>Charts!$A$54</c:f>
              <c:strCache>
                <c:ptCount val="1"/>
                <c:pt idx="0">
                  <c:v>Nitrate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Charts!$B$54:$E$54</c:f>
              <c:numCache>
                <c:formatCode>0.0</c:formatCode>
                <c:ptCount val="4"/>
                <c:pt idx="0">
                  <c:v>0</c:v>
                </c:pt>
                <c:pt idx="1">
                  <c:v>0.5</c:v>
                </c:pt>
                <c:pt idx="2">
                  <c:v>1</c:v>
                </c:pt>
                <c:pt idx="3">
                  <c:v>2</c:v>
                </c:pt>
              </c:numCache>
            </c:numRef>
          </c:val>
          <c:extLst>
            <c:ext xmlns:c16="http://schemas.microsoft.com/office/drawing/2014/chart" uri="{C3380CC4-5D6E-409C-BE32-E72D297353CC}">
              <c16:uniqueId val="{00000000-D523-41DA-A185-91ADDDF1DCA9}"/>
            </c:ext>
          </c:extLst>
        </c:ser>
        <c:ser>
          <c:idx val="1"/>
          <c:order val="1"/>
          <c:tx>
            <c:strRef>
              <c:f>Charts!$A$55</c:f>
              <c:strCache>
                <c:ptCount val="1"/>
                <c:pt idx="0">
                  <c:v>Phosphate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Charts!$B$55:$E$55</c:f>
              <c:numCache>
                <c:formatCode>0.00</c:formatCode>
                <c:ptCount val="4"/>
                <c:pt idx="0">
                  <c:v>0</c:v>
                </c:pt>
                <c:pt idx="1">
                  <c:v>0.05</c:v>
                </c:pt>
                <c:pt idx="2">
                  <c:v>0.1</c:v>
                </c:pt>
                <c:pt idx="3">
                  <c:v>0.5</c:v>
                </c:pt>
              </c:numCache>
            </c:numRef>
          </c:val>
          <c:extLst>
            <c:ext xmlns:c16="http://schemas.microsoft.com/office/drawing/2014/chart" uri="{C3380CC4-5D6E-409C-BE32-E72D297353CC}">
              <c16:uniqueId val="{00000001-D523-41DA-A185-91ADDDF1DCA9}"/>
            </c:ext>
          </c:extLst>
        </c:ser>
        <c:dLbls>
          <c:dLblPos val="outEnd"/>
          <c:showLegendKey val="0"/>
          <c:showVal val="1"/>
          <c:showCatName val="0"/>
          <c:showSerName val="0"/>
          <c:showPercent val="0"/>
          <c:showBubbleSize val="0"/>
        </c:dLbls>
        <c:gapWidth val="182"/>
        <c:axId val="492674783"/>
        <c:axId val="492669983"/>
      </c:barChart>
      <c:catAx>
        <c:axId val="492674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69983"/>
        <c:crosses val="autoZero"/>
        <c:auto val="1"/>
        <c:lblAlgn val="ctr"/>
        <c:lblOffset val="100"/>
        <c:noMultiLvlLbl val="0"/>
      </c:catAx>
      <c:valAx>
        <c:axId val="492669983"/>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492674783"/>
        <c:crosses val="autoZero"/>
        <c:crossBetween val="between"/>
      </c:valAx>
      <c:spPr>
        <a:noFill/>
        <a:ln w="25400">
          <a:noFill/>
        </a:ln>
        <a:effectLst/>
      </c:spPr>
    </c:plotArea>
    <c:legend>
      <c:legendPos val="t"/>
      <c:layout>
        <c:manualLayout>
          <c:xMode val="edge"/>
          <c:yMode val="edge"/>
          <c:x val="0.31469585950745094"/>
          <c:y val="0.19339528069415696"/>
          <c:w val="0.33450510818416795"/>
          <c:h val="6.7562937712631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Unique</a:t>
            </a:r>
            <a:r>
              <a:rPr lang="en-US" sz="2000" baseline="0"/>
              <a:t> </a:t>
            </a:r>
            <a:r>
              <a:rPr lang="en-US" sz="2000"/>
              <a:t>Sites</a:t>
            </a:r>
            <a:r>
              <a:rPr lang="en-US" sz="2000" baseline="0"/>
              <a:t> Sampled</a:t>
            </a:r>
            <a:endParaRPr lang="en-US" sz="2000"/>
          </a:p>
        </c:rich>
      </c:tx>
      <c:layout>
        <c:manualLayout>
          <c:xMode val="edge"/>
          <c:yMode val="edge"/>
          <c:x val="0.10038412580401698"/>
          <c:y val="6.0075287015760821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6656377255168685E-2"/>
          <c:y val="0.24115063680281071"/>
          <c:w val="0.85311374444531052"/>
          <c:h val="0.58946777486147561"/>
        </c:manualLayout>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Charts!$H$21:$H$23</c:f>
              <c:strCache>
                <c:ptCount val="3"/>
                <c:pt idx="0">
                  <c:v>Sites Sampled</c:v>
                </c:pt>
                <c:pt idx="1">
                  <c:v>Sites Sampled 10+ times</c:v>
                </c:pt>
                <c:pt idx="2">
                  <c:v>Sites Sampled Every Season</c:v>
                </c:pt>
              </c:strCache>
            </c:strRef>
          </c:cat>
          <c:val>
            <c:numRef>
              <c:f>Charts!$I$21:$I$23</c:f>
              <c:numCache>
                <c:formatCode>General</c:formatCode>
                <c:ptCount val="3"/>
                <c:pt idx="0">
                  <c:v>87</c:v>
                </c:pt>
                <c:pt idx="1">
                  <c:v>54</c:v>
                </c:pt>
                <c:pt idx="2">
                  <c:v>7</c:v>
                </c:pt>
              </c:numCache>
            </c:numRef>
          </c:val>
          <c:extLst>
            <c:ext xmlns:c16="http://schemas.microsoft.com/office/drawing/2014/chart" uri="{C3380CC4-5D6E-409C-BE32-E72D297353CC}">
              <c16:uniqueId val="{00000004-51C0-4D05-8759-3EC309F0AD26}"/>
            </c:ext>
          </c:extLst>
        </c:ser>
        <c:dLbls>
          <c:showLegendKey val="0"/>
          <c:showVal val="0"/>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400">
                <a:solidFill>
                  <a:srgbClr val="FF0000"/>
                </a:solidFill>
              </a:rPr>
              <a:t>Nitrate</a:t>
            </a:r>
            <a:r>
              <a:rPr lang="en-US" sz="2400" baseline="0"/>
              <a:t> </a:t>
            </a:r>
            <a:r>
              <a:rPr lang="en-US" sz="2400">
                <a:solidFill>
                  <a:sysClr val="windowText" lastClr="000000"/>
                </a:solidFill>
              </a:rPr>
              <a:t>pollution</a:t>
            </a:r>
            <a:r>
              <a:rPr lang="en-US" sz="2400" baseline="0">
                <a:solidFill>
                  <a:sysClr val="windowText" lastClr="000000"/>
                </a:solidFill>
              </a:rPr>
              <a:t> categories</a:t>
            </a:r>
            <a:endParaRPr lang="en-US" sz="2400">
              <a:solidFill>
                <a:sysClr val="windowText" lastClr="000000"/>
              </a:solidFill>
            </a:endParaRPr>
          </a:p>
        </c:rich>
      </c:tx>
      <c:layout>
        <c:manualLayout>
          <c:xMode val="edge"/>
          <c:yMode val="edge"/>
          <c:x val="0.17952159338361387"/>
          <c:y val="2.5908074718920957E-2"/>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32719051475046812"/>
          <c:y val="0.45933421022868998"/>
          <c:w val="0.34798590331854756"/>
          <c:h val="0.58020649381699652"/>
        </c:manualLayout>
      </c:layout>
      <c:pie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533D-4F4B-BD7D-C55EBFB33E6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533D-4F4B-BD7D-C55EBFB33E6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33D-4F4B-BD7D-C55EBFB33E69}"/>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533D-4F4B-BD7D-C55EBFB33E69}"/>
              </c:ext>
            </c:extLst>
          </c:dPt>
          <c:dLbls>
            <c:dLbl>
              <c:idx val="0"/>
              <c:layout>
                <c:manualLayout>
                  <c:x val="2.2602087578640136E-2"/>
                  <c:y val="-2.75462887650493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3D-4F4B-BD7D-C55EBFB33E69}"/>
                </c:ext>
              </c:extLst>
            </c:dLbl>
            <c:dLbl>
              <c:idx val="1"/>
              <c:layout>
                <c:manualLayout>
                  <c:x val="-2.4249316579792377E-2"/>
                  <c:y val="4.04315543131076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3D-4F4B-BD7D-C55EBFB33E69}"/>
                </c:ext>
              </c:extLst>
            </c:dLbl>
            <c:dLbl>
              <c:idx val="2"/>
              <c:layout>
                <c:manualLayout>
                  <c:x val="1.697452160585461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3D-4F4B-BD7D-C55EBFB33E69}"/>
                </c:ext>
              </c:extLst>
            </c:dLbl>
            <c:dLbl>
              <c:idx val="3"/>
              <c:layout>
                <c:manualLayout>
                  <c:x val="0.1542868329492165"/>
                  <c:y val="-3.14814728743421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3D-4F4B-BD7D-C55EBFB33E6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Charts!$I$39:$I$42</c:f>
              <c:strCache>
                <c:ptCount val="4"/>
                <c:pt idx="0">
                  <c:v>Very High</c:v>
                </c:pt>
                <c:pt idx="1">
                  <c:v>High</c:v>
                </c:pt>
                <c:pt idx="2">
                  <c:v>Some Evidence</c:v>
                </c:pt>
                <c:pt idx="3">
                  <c:v>No Evidence</c:v>
                </c:pt>
              </c:strCache>
            </c:strRef>
          </c:cat>
          <c:val>
            <c:numRef>
              <c:f>Charts!$J$39:$J$42</c:f>
              <c:numCache>
                <c:formatCode>General</c:formatCode>
                <c:ptCount val="4"/>
                <c:pt idx="0">
                  <c:v>1805</c:v>
                </c:pt>
                <c:pt idx="1">
                  <c:v>417</c:v>
                </c:pt>
                <c:pt idx="2">
                  <c:v>36</c:v>
                </c:pt>
                <c:pt idx="3">
                  <c:v>100</c:v>
                </c:pt>
              </c:numCache>
            </c:numRef>
          </c:val>
          <c:extLst>
            <c:ext xmlns:c16="http://schemas.microsoft.com/office/drawing/2014/chart" uri="{C3380CC4-5D6E-409C-BE32-E72D297353CC}">
              <c16:uniqueId val="{00000008-533D-4F4B-BD7D-C55EBFB33E69}"/>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400">
                <a:solidFill>
                  <a:schemeClr val="accent1"/>
                </a:solidFill>
              </a:rPr>
              <a:t>Phosphate</a:t>
            </a:r>
            <a:r>
              <a:rPr lang="en-US" sz="2400" baseline="0"/>
              <a:t> </a:t>
            </a:r>
            <a:r>
              <a:rPr lang="en-US" sz="2400">
                <a:solidFill>
                  <a:sysClr val="windowText" lastClr="000000"/>
                </a:solidFill>
              </a:rPr>
              <a:t>pollution</a:t>
            </a:r>
            <a:r>
              <a:rPr lang="en-US" sz="2400" baseline="0">
                <a:solidFill>
                  <a:sysClr val="windowText" lastClr="000000"/>
                </a:solidFill>
              </a:rPr>
              <a:t> categories</a:t>
            </a:r>
            <a:endParaRPr lang="en-US" sz="2400">
              <a:solidFill>
                <a:sysClr val="windowText" lastClr="000000"/>
              </a:solidFill>
            </a:endParaRPr>
          </a:p>
        </c:rich>
      </c:tx>
      <c:layout>
        <c:manualLayout>
          <c:xMode val="edge"/>
          <c:yMode val="edge"/>
          <c:x val="0.17952159338361387"/>
          <c:y val="2.5908074718920957E-2"/>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32719051475046812"/>
          <c:y val="0.45933421022868998"/>
          <c:w val="0.34798590331854756"/>
          <c:h val="0.58020649381699652"/>
        </c:manualLayout>
      </c:layout>
      <c:pie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D48D-4342-BDAD-70C2FF9B399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48D-4342-BDAD-70C2FF9B39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48D-4342-BDAD-70C2FF9B399B}"/>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D48D-4342-BDAD-70C2FF9B399B}"/>
              </c:ext>
            </c:extLst>
          </c:dPt>
          <c:dLbls>
            <c:dLbl>
              <c:idx val="2"/>
              <c:layout>
                <c:manualLayout>
                  <c:x val="-4.5204175157280271E-2"/>
                  <c:y val="-2.75462887650493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8D-4342-BDAD-70C2FF9B399B}"/>
                </c:ext>
              </c:extLst>
            </c:dLbl>
            <c:dLbl>
              <c:idx val="3"/>
              <c:layout>
                <c:manualLayout>
                  <c:x val="9.6866089622743443E-2"/>
                  <c:y val="-7.87036821858553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8D-4342-BDAD-70C2FF9B399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Charts!$R$49:$R$52</c:f>
              <c:strCache>
                <c:ptCount val="4"/>
                <c:pt idx="0">
                  <c:v>Very High</c:v>
                </c:pt>
                <c:pt idx="1">
                  <c:v>High</c:v>
                </c:pt>
                <c:pt idx="2">
                  <c:v>Some Evidence</c:v>
                </c:pt>
                <c:pt idx="3">
                  <c:v>No Evidence</c:v>
                </c:pt>
              </c:strCache>
            </c:strRef>
          </c:cat>
          <c:val>
            <c:numRef>
              <c:f>Charts!$S$49:$S$52</c:f>
              <c:numCache>
                <c:formatCode>General</c:formatCode>
                <c:ptCount val="4"/>
                <c:pt idx="0">
                  <c:v>1094</c:v>
                </c:pt>
                <c:pt idx="1">
                  <c:v>1103</c:v>
                </c:pt>
                <c:pt idx="2">
                  <c:v>89</c:v>
                </c:pt>
                <c:pt idx="3">
                  <c:v>72</c:v>
                </c:pt>
              </c:numCache>
            </c:numRef>
          </c:val>
          <c:extLst>
            <c:ext xmlns:c16="http://schemas.microsoft.com/office/drawing/2014/chart" uri="{C3380CC4-5D6E-409C-BE32-E72D297353CC}">
              <c16:uniqueId val="{00000008-D48D-4342-BDAD-70C2FF9B399B}"/>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15967</xdr:colOff>
      <xdr:row>1</xdr:row>
      <xdr:rowOff>22412</xdr:rowOff>
    </xdr:from>
    <xdr:to>
      <xdr:col>7</xdr:col>
      <xdr:colOff>266610</xdr:colOff>
      <xdr:row>16</xdr:row>
      <xdr:rowOff>115523</xdr:rowOff>
    </xdr:to>
    <xdr:graphicFrame macro="">
      <xdr:nvGraphicFramePr>
        <xdr:cNvPr id="2" name="Chart 1">
          <a:extLst>
            <a:ext uri="{FF2B5EF4-FFF2-40B4-BE49-F238E27FC236}">
              <a16:creationId xmlns:a16="http://schemas.microsoft.com/office/drawing/2014/main" id="{D6E0F5A7-9CF0-4E22-684A-84A5EEC71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368801</xdr:colOff>
      <xdr:row>1</xdr:row>
      <xdr:rowOff>2156</xdr:rowOff>
    </xdr:from>
    <xdr:to>
      <xdr:col>15</xdr:col>
      <xdr:colOff>599579</xdr:colOff>
      <xdr:row>16</xdr:row>
      <xdr:rowOff>79853</xdr:rowOff>
    </xdr:to>
    <xdr:graphicFrame macro="">
      <xdr:nvGraphicFramePr>
        <xdr:cNvPr id="3" name="Chart 2">
          <a:extLst>
            <a:ext uri="{FF2B5EF4-FFF2-40B4-BE49-F238E27FC236}">
              <a16:creationId xmlns:a16="http://schemas.microsoft.com/office/drawing/2014/main" id="{5FB622BE-DC6A-4990-A909-19DC0841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85329</xdr:colOff>
      <xdr:row>1</xdr:row>
      <xdr:rowOff>12606</xdr:rowOff>
    </xdr:from>
    <xdr:to>
      <xdr:col>26</xdr:col>
      <xdr:colOff>328996</xdr:colOff>
      <xdr:row>16</xdr:row>
      <xdr:rowOff>67941</xdr:rowOff>
    </xdr:to>
    <xdr:graphicFrame macro="">
      <xdr:nvGraphicFramePr>
        <xdr:cNvPr id="4" name="Chart 3">
          <a:extLst>
            <a:ext uri="{FF2B5EF4-FFF2-40B4-BE49-F238E27FC236}">
              <a16:creationId xmlns:a16="http://schemas.microsoft.com/office/drawing/2014/main" id="{3529AAE8-9232-479E-9387-F6D8A6EC5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23164</xdr:colOff>
      <xdr:row>16</xdr:row>
      <xdr:rowOff>181153</xdr:rowOff>
    </xdr:from>
    <xdr:to>
      <xdr:col>6</xdr:col>
      <xdr:colOff>19354</xdr:colOff>
      <xdr:row>36</xdr:row>
      <xdr:rowOff>98991</xdr:rowOff>
    </xdr:to>
    <xdr:graphicFrame macro="">
      <xdr:nvGraphicFramePr>
        <xdr:cNvPr id="5" name="Chart 4">
          <a:extLst>
            <a:ext uri="{FF2B5EF4-FFF2-40B4-BE49-F238E27FC236}">
              <a16:creationId xmlns:a16="http://schemas.microsoft.com/office/drawing/2014/main" id="{C6A13F35-F14E-4735-82B8-7BDF5EFC3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397752</xdr:colOff>
      <xdr:row>16</xdr:row>
      <xdr:rowOff>154750</xdr:rowOff>
    </xdr:from>
    <xdr:to>
      <xdr:col>24</xdr:col>
      <xdr:colOff>494403</xdr:colOff>
      <xdr:row>45</xdr:row>
      <xdr:rowOff>33203</xdr:rowOff>
    </xdr:to>
    <xdr:graphicFrame macro="">
      <xdr:nvGraphicFramePr>
        <xdr:cNvPr id="8" name="Chart 7">
          <a:extLst>
            <a:ext uri="{FF2B5EF4-FFF2-40B4-BE49-F238E27FC236}">
              <a16:creationId xmlns:a16="http://schemas.microsoft.com/office/drawing/2014/main" id="{A529E932-C906-4744-9A87-0F7112C75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65779</xdr:colOff>
      <xdr:row>37</xdr:row>
      <xdr:rowOff>41519</xdr:rowOff>
    </xdr:from>
    <xdr:to>
      <xdr:col>7</xdr:col>
      <xdr:colOff>199981</xdr:colOff>
      <xdr:row>62</xdr:row>
      <xdr:rowOff>149015</xdr:rowOff>
    </xdr:to>
    <xdr:grpSp>
      <xdr:nvGrpSpPr>
        <xdr:cNvPr id="14" name="Group 13">
          <a:extLst>
            <a:ext uri="{FF2B5EF4-FFF2-40B4-BE49-F238E27FC236}">
              <a16:creationId xmlns:a16="http://schemas.microsoft.com/office/drawing/2014/main" id="{F5CD42D2-576F-54B2-8FBA-43CB3D344FE8}"/>
            </a:ext>
          </a:extLst>
        </xdr:cNvPr>
        <xdr:cNvGrpSpPr/>
      </xdr:nvGrpSpPr>
      <xdr:grpSpPr>
        <a:xfrm>
          <a:off x="65779" y="6951813"/>
          <a:ext cx="5229143" cy="4776614"/>
          <a:chOff x="141356" y="7294985"/>
          <a:chExt cx="4996814" cy="4627067"/>
        </a:xfrm>
      </xdr:grpSpPr>
      <xdr:graphicFrame macro="">
        <xdr:nvGraphicFramePr>
          <xdr:cNvPr id="12" name="Chart 11">
            <a:extLst>
              <a:ext uri="{FF2B5EF4-FFF2-40B4-BE49-F238E27FC236}">
                <a16:creationId xmlns:a16="http://schemas.microsoft.com/office/drawing/2014/main" id="{F80F09F4-9AF8-3AD4-896A-3C0A99225AB6}"/>
              </a:ext>
            </a:extLst>
          </xdr:cNvPr>
          <xdr:cNvGraphicFramePr/>
        </xdr:nvGraphicFramePr>
        <xdr:xfrm>
          <a:off x="141356" y="7294985"/>
          <a:ext cx="4996814" cy="3589973"/>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3" name="TextBox 10">
            <a:extLst>
              <a:ext uri="{FF2B5EF4-FFF2-40B4-BE49-F238E27FC236}">
                <a16:creationId xmlns:a16="http://schemas.microsoft.com/office/drawing/2014/main" id="{4C3CB9D6-674E-4669-FA78-99C71C6B231C}"/>
              </a:ext>
            </a:extLst>
          </xdr:cNvPr>
          <xdr:cNvSpPr txBox="1"/>
        </xdr:nvSpPr>
        <xdr:spPr>
          <a:xfrm>
            <a:off x="243224" y="10801912"/>
            <a:ext cx="2528570" cy="1120140"/>
          </a:xfrm>
          <a:prstGeom prst="rect">
            <a:avLst/>
          </a:prstGeom>
          <a:solidFill>
            <a:schemeClr val="lt1">
              <a:alpha val="72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1">
                <a:latin typeface="Bahnschrift" panose="020B0502040204020203" pitchFamily="34" charset="0"/>
              </a:rPr>
              <a:t>Note</a:t>
            </a:r>
          </a:p>
          <a:p>
            <a:r>
              <a:rPr lang="en-GB" sz="1050" b="0">
                <a:latin typeface="Bahnschrift" panose="020B0502040204020203" pitchFamily="34" charset="0"/>
              </a:rPr>
              <a:t>These</a:t>
            </a:r>
            <a:r>
              <a:rPr lang="en-GB" sz="1050" b="0" baseline="0">
                <a:latin typeface="Bahnschrift" panose="020B0502040204020203" pitchFamily="34" charset="0"/>
              </a:rPr>
              <a:t> are the 'lower bounds'. </a:t>
            </a:r>
          </a:p>
          <a:p>
            <a:r>
              <a:rPr lang="en-GB" sz="1050" b="0" baseline="0">
                <a:latin typeface="Bahnschrift" panose="020B0502040204020203" pitchFamily="34" charset="0"/>
              </a:rPr>
              <a:t>For example, a nitrate reading between 1.5ppm indicates 'high levels', and a nitrate reading of 2.1ppm+ indicates 'very high levels' of pollution.</a:t>
            </a:r>
            <a:endParaRPr lang="en-GB" sz="1000" b="0">
              <a:latin typeface="Bahnschrift" panose="020B0502040204020203" pitchFamily="34" charset="0"/>
            </a:endParaRPr>
          </a:p>
        </xdr:txBody>
      </xdr:sp>
    </xdr:grpSp>
    <xdr:clientData/>
  </xdr:twoCellAnchor>
  <xdr:twoCellAnchor>
    <xdr:from>
      <xdr:col>6</xdr:col>
      <xdr:colOff>329894</xdr:colOff>
      <xdr:row>17</xdr:row>
      <xdr:rowOff>52945</xdr:rowOff>
    </xdr:from>
    <xdr:to>
      <xdr:col>14</xdr:col>
      <xdr:colOff>107461</xdr:colOff>
      <xdr:row>34</xdr:row>
      <xdr:rowOff>110096</xdr:rowOff>
    </xdr:to>
    <xdr:graphicFrame macro="">
      <xdr:nvGraphicFramePr>
        <xdr:cNvPr id="7" name="Chart 6">
          <a:extLst>
            <a:ext uri="{FF2B5EF4-FFF2-40B4-BE49-F238E27FC236}">
              <a16:creationId xmlns:a16="http://schemas.microsoft.com/office/drawing/2014/main" id="{08AB1A4C-89C6-4E51-86C8-585F03C11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40</xdr:row>
      <xdr:rowOff>35828</xdr:rowOff>
    </xdr:from>
    <xdr:to>
      <xdr:col>7</xdr:col>
      <xdr:colOff>373316</xdr:colOff>
      <xdr:row>56</xdr:row>
      <xdr:rowOff>104405</xdr:rowOff>
    </xdr:to>
    <xdr:pic>
      <xdr:nvPicPr>
        <xdr:cNvPr id="43" name="Picture 42">
          <a:extLst>
            <a:ext uri="{FF2B5EF4-FFF2-40B4-BE49-F238E27FC236}">
              <a16:creationId xmlns:a16="http://schemas.microsoft.com/office/drawing/2014/main" id="{5B033BF6-F1C9-462D-43C6-8DB6FC574D84}"/>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225" t="15448" r="2045" b="41896"/>
        <a:stretch/>
      </xdr:blipFill>
      <xdr:spPr bwMode="auto">
        <a:xfrm>
          <a:off x="0" y="7207593"/>
          <a:ext cx="5718522" cy="2932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224117</xdr:colOff>
      <xdr:row>35</xdr:row>
      <xdr:rowOff>33616</xdr:rowOff>
    </xdr:from>
    <xdr:to>
      <xdr:col>13</xdr:col>
      <xdr:colOff>526676</xdr:colOff>
      <xdr:row>52</xdr:row>
      <xdr:rowOff>22411</xdr:rowOff>
    </xdr:to>
    <xdr:graphicFrame macro="">
      <xdr:nvGraphicFramePr>
        <xdr:cNvPr id="6" name="Chart 5">
          <a:extLst>
            <a:ext uri="{FF2B5EF4-FFF2-40B4-BE49-F238E27FC236}">
              <a16:creationId xmlns:a16="http://schemas.microsoft.com/office/drawing/2014/main" id="{003CE8AD-B388-4ECB-AA28-314D0172A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177614</xdr:colOff>
      <xdr:row>45</xdr:row>
      <xdr:rowOff>139233</xdr:rowOff>
    </xdr:from>
    <xdr:to>
      <xdr:col>21</xdr:col>
      <xdr:colOff>4764</xdr:colOff>
      <xdr:row>62</xdr:row>
      <xdr:rowOff>132790</xdr:rowOff>
    </xdr:to>
    <xdr:graphicFrame macro="">
      <xdr:nvGraphicFramePr>
        <xdr:cNvPr id="9" name="Chart 8">
          <a:extLst>
            <a:ext uri="{FF2B5EF4-FFF2-40B4-BE49-F238E27FC236}">
              <a16:creationId xmlns:a16="http://schemas.microsoft.com/office/drawing/2014/main" id="{AB267125-1BCD-4B58-9AA1-571ACAEA9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0.46801</cdr:x>
      <cdr:y>0.01328</cdr:y>
    </cdr:from>
    <cdr:to>
      <cdr:x>0.96375</cdr:x>
      <cdr:y>0.17716</cdr:y>
    </cdr:to>
    <cdr:sp macro="" textlink="">
      <cdr:nvSpPr>
        <cdr:cNvPr id="2" name="TextBox 10">
          <a:extLst xmlns:a="http://schemas.openxmlformats.org/drawingml/2006/main">
            <a:ext uri="{FF2B5EF4-FFF2-40B4-BE49-F238E27FC236}">
              <a16:creationId xmlns:a16="http://schemas.microsoft.com/office/drawing/2014/main" id="{32F1F7EF-BA64-0C3D-0533-5EB7067656CB}"/>
            </a:ext>
          </a:extLst>
        </cdr:cNvPr>
        <cdr:cNvSpPr txBox="1"/>
      </cdr:nvSpPr>
      <cdr:spPr>
        <a:xfrm xmlns:a="http://schemas.openxmlformats.org/drawingml/2006/main">
          <a:off x="2336800" y="47625"/>
          <a:ext cx="2475230" cy="587693"/>
        </a:xfrm>
        <a:prstGeom xmlns:a="http://schemas.openxmlformats.org/drawingml/2006/main" prst="rect">
          <a:avLst/>
        </a:prstGeom>
        <a:solidFill xmlns:a="http://schemas.openxmlformats.org/drawingml/2006/main">
          <a:schemeClr val="lt1">
            <a:alpha val="72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latin typeface="Bahnschrift" panose="020B0502040204020203" pitchFamily="34" charset="0"/>
            </a:rPr>
            <a:t>Source:</a:t>
          </a:r>
        </a:p>
        <a:p xmlns:a="http://schemas.openxmlformats.org/drawingml/2006/main">
          <a:r>
            <a:rPr lang="en-GB" sz="900">
              <a:latin typeface="Bahnschrift" panose="020B0502040204020203" pitchFamily="34" charset="0"/>
            </a:rPr>
            <a:t>https://content.freshwaterhabitats.org.uk/2015/10/CWfWTechnicalDocumentFINAL.pdf</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584200</xdr:colOff>
      <xdr:row>0</xdr:row>
      <xdr:rowOff>0</xdr:rowOff>
    </xdr:from>
    <xdr:to>
      <xdr:col>19</xdr:col>
      <xdr:colOff>357185</xdr:colOff>
      <xdr:row>37</xdr:row>
      <xdr:rowOff>128002</xdr:rowOff>
    </xdr:to>
    <xdr:pic>
      <xdr:nvPicPr>
        <xdr:cNvPr id="2" name="Picture 1">
          <a:extLst>
            <a:ext uri="{FF2B5EF4-FFF2-40B4-BE49-F238E27FC236}">
              <a16:creationId xmlns:a16="http://schemas.microsoft.com/office/drawing/2014/main" id="{807E42CB-BB55-CAEB-5A3C-DB7E1E3B1603}"/>
            </a:ext>
          </a:extLst>
        </xdr:cNvPr>
        <xdr:cNvPicPr>
          <a:picLocks noChangeAspect="1"/>
        </xdr:cNvPicPr>
      </xdr:nvPicPr>
      <xdr:blipFill>
        <a:blip xmlns:r="http://schemas.openxmlformats.org/officeDocument/2006/relationships" r:embed="rId1"/>
        <a:stretch>
          <a:fillRect/>
        </a:stretch>
      </xdr:blipFill>
      <xdr:spPr>
        <a:xfrm>
          <a:off x="584200" y="0"/>
          <a:ext cx="11355385" cy="6941552"/>
        </a:xfrm>
        <a:prstGeom prst="rect">
          <a:avLst/>
        </a:prstGeom>
      </xdr:spPr>
    </xdr:pic>
    <xdr:clientData/>
  </xdr:twoCellAnchor>
</xdr:wsDr>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Bredon" TargetMode="External"/><Relationship Id="rId21" Type="http://schemas.openxmlformats.org/officeDocument/2006/relationships/hyperlink" Target="https://www.bing.com/th?id=OSK.e2a7e73af77e975efb482292a1a170f9&amp;qlt=95" TargetMode="External"/><Relationship Id="rId42" Type="http://schemas.openxmlformats.org/officeDocument/2006/relationships/hyperlink" Target="https://www.bing.com/images/search?form=xlimg&amp;q=Preston%20on%20Stour" TargetMode="External"/><Relationship Id="rId47" Type="http://schemas.openxmlformats.org/officeDocument/2006/relationships/hyperlink" Target="https://www.bing.com/th?id=OSK.0ad92fc3b2c4c5e08c8ee10a6546cbd0&amp;qlt=95" TargetMode="External"/><Relationship Id="rId63" Type="http://schemas.openxmlformats.org/officeDocument/2006/relationships/hyperlink" Target="https://www.bing.com/th?id=OSK.885fe34627d4220a95aaee21e3474055&amp;qlt=95" TargetMode="External"/><Relationship Id="rId68" Type="http://schemas.openxmlformats.org/officeDocument/2006/relationships/hyperlink" Target="https://www.bing.com/images/search?form=xlimg&amp;q=Hampton%20Lucy" TargetMode="External"/><Relationship Id="rId2" Type="http://schemas.openxmlformats.org/officeDocument/2006/relationships/hyperlink" Target="https://www.bing.com/images/search?form=xlimg&amp;q=Stratford-on-Avon%20District" TargetMode="External"/><Relationship Id="rId16" Type="http://schemas.openxmlformats.org/officeDocument/2006/relationships/hyperlink" Target="https://www.bing.com/images/search?form=xlimg&amp;q=Wychavon" TargetMode="External"/><Relationship Id="rId29" Type="http://schemas.openxmlformats.org/officeDocument/2006/relationships/hyperlink" Target="https://www.bing.com/th?id=OSK.9e57faf0beafe1443bf132bc32b3b625&amp;qlt=95" TargetMode="External"/><Relationship Id="rId11" Type="http://schemas.openxmlformats.org/officeDocument/2006/relationships/hyperlink" Target="https://www.bing.com/th?id=OSK.b5cf1301babd3ae50bb871a7991cb47c&amp;qlt=95" TargetMode="External"/><Relationship Id="rId24" Type="http://schemas.openxmlformats.org/officeDocument/2006/relationships/hyperlink" Target="https://www.bing.com/images/search?form=xlimg&amp;q=Chipping%20Campden" TargetMode="External"/><Relationship Id="rId32" Type="http://schemas.openxmlformats.org/officeDocument/2006/relationships/hyperlink" Target="https://www.bing.com/images/search?form=xlimg&amp;q=Shipston-on-Stour" TargetMode="External"/><Relationship Id="rId37" Type="http://schemas.openxmlformats.org/officeDocument/2006/relationships/hyperlink" Target="https://www.bing.com/th?id=OSK.db39f1f8d2c9b9ab645aa9e935b1575c&amp;qlt=95" TargetMode="External"/><Relationship Id="rId40" Type="http://schemas.openxmlformats.org/officeDocument/2006/relationships/hyperlink" Target="https://www.bing.com/images/search?form=xlimg&amp;q=Snitterfield" TargetMode="External"/><Relationship Id="rId45" Type="http://schemas.openxmlformats.org/officeDocument/2006/relationships/hyperlink" Target="https://www.bing.com/th?id=OSK.6e49fac899e4270e80fae9077ffd83a0&amp;qlt=95" TargetMode="External"/><Relationship Id="rId53" Type="http://schemas.openxmlformats.org/officeDocument/2006/relationships/hyperlink" Target="https://www.bing.com/th?id=OSK.d4c318f5f5f5d5bce3a9048866c3bbaf&amp;qlt=95" TargetMode="External"/><Relationship Id="rId58" Type="http://schemas.openxmlformats.org/officeDocument/2006/relationships/hyperlink" Target="https://www.bing.com/images/search?form=xlimg&amp;q=Elmstone%20Hardwicke" TargetMode="External"/><Relationship Id="rId66" Type="http://schemas.openxmlformats.org/officeDocument/2006/relationships/hyperlink" Target="https://www.bing.com/images/search?form=xlimg&amp;q=Ab%20Lench" TargetMode="External"/><Relationship Id="rId74" Type="http://schemas.openxmlformats.org/officeDocument/2006/relationships/hyperlink" Target="https://www.bing.com/images/search?form=xlimg&amp;q=Welford-on-Avon" TargetMode="External"/><Relationship Id="rId5" Type="http://schemas.openxmlformats.org/officeDocument/2006/relationships/hyperlink" Target="https://www.bing.com/th?id=OSK.9fdf7f89eecb732391064716d7f41469&amp;qlt=95" TargetMode="External"/><Relationship Id="rId61" Type="http://schemas.openxmlformats.org/officeDocument/2006/relationships/hyperlink" Target="https://www.bing.com/th?id=OSK.92d23b062000cb1474063ffc5da64955&amp;qlt=95" TargetMode="External"/><Relationship Id="rId19" Type="http://schemas.openxmlformats.org/officeDocument/2006/relationships/hyperlink" Target="https://www.bing.com/th?id=OSK.601afb9089596ac0f29bc08e7e72f508&amp;qlt=95" TargetMode="External"/><Relationship Id="rId14" Type="http://schemas.openxmlformats.org/officeDocument/2006/relationships/hyperlink" Target="https://www.bing.com/images/search?form=xlimg&amp;q=Brailes" TargetMode="External"/><Relationship Id="rId22" Type="http://schemas.openxmlformats.org/officeDocument/2006/relationships/hyperlink" Target="https://www.bing.com/images/search?form=xlimg&amp;q=Cotswold%20District" TargetMode="External"/><Relationship Id="rId27" Type="http://schemas.openxmlformats.org/officeDocument/2006/relationships/hyperlink" Target="https://www.bing.com/th?id=OSK.31d4a369706be365ef18bc5f4ec39a94&amp;qlt=95" TargetMode="External"/><Relationship Id="rId30" Type="http://schemas.openxmlformats.org/officeDocument/2006/relationships/hyperlink" Target="https://www.bing.com/images/search?form=xlimg&amp;q=Ilmington" TargetMode="External"/><Relationship Id="rId35" Type="http://schemas.openxmlformats.org/officeDocument/2006/relationships/hyperlink" Target="https://www.bing.com/th?id=OSK.cc8a95e3f300207cfe3298142250905b&amp;qlt=95" TargetMode="External"/><Relationship Id="rId43" Type="http://schemas.openxmlformats.org/officeDocument/2006/relationships/hyperlink" Target="https://www.bing.com/th?id=OSK.15a2e4102d8b33f43623475214de22f8&amp;qlt=95" TargetMode="External"/><Relationship Id="rId48" Type="http://schemas.openxmlformats.org/officeDocument/2006/relationships/hyperlink" Target="https://www.bing.com/images/search?form=xlimg&amp;q=Norton%20Lindsey" TargetMode="External"/><Relationship Id="rId56" Type="http://schemas.openxmlformats.org/officeDocument/2006/relationships/hyperlink" Target="https://www.bing.com/images/search?form=xlimg&amp;q=Newbold%20on%20Stour" TargetMode="External"/><Relationship Id="rId64" Type="http://schemas.openxmlformats.org/officeDocument/2006/relationships/hyperlink" Target="https://www.bing.com/images/search?form=xlimg&amp;q=Bishampton" TargetMode="External"/><Relationship Id="rId69" Type="http://schemas.openxmlformats.org/officeDocument/2006/relationships/hyperlink" Target="https://www.bing.com/th?id=OSK.0b57176809381ecb388267d2d04719e4&amp;qlt=95" TargetMode="External"/><Relationship Id="rId8" Type="http://schemas.openxmlformats.org/officeDocument/2006/relationships/hyperlink" Target="https://www.bing.com/images/search?form=xlimg&amp;q=Stratford-upon-Avon" TargetMode="External"/><Relationship Id="rId51" Type="http://schemas.openxmlformats.org/officeDocument/2006/relationships/hyperlink" Target="https://www.bing.com/th?id=OSK.8d769137d9ad32123097eba734de9fb8&amp;qlt=95" TargetMode="External"/><Relationship Id="rId72" Type="http://schemas.openxmlformats.org/officeDocument/2006/relationships/hyperlink" Target="https://www.bing.com/images/search?form=xlimg&amp;q=Weston-on-Avon" TargetMode="External"/><Relationship Id="rId3" Type="http://schemas.openxmlformats.org/officeDocument/2006/relationships/hyperlink" Target="https://www.bing.com/th?id=OSK.1a33b5115bfc290abc8869de29ebd567&amp;qlt=95" TargetMode="External"/><Relationship Id="rId12" Type="http://schemas.openxmlformats.org/officeDocument/2006/relationships/hyperlink" Target="https://www.bing.com/images/search?form=xlimg&amp;q=Tewkesbury" TargetMode="External"/><Relationship Id="rId17" Type="http://schemas.openxmlformats.org/officeDocument/2006/relationships/hyperlink" Target="https://www.bing.com/th?id=OSK.97ae49f05455ba4f7020f012c42fca95&amp;qlt=95" TargetMode="External"/><Relationship Id="rId25" Type="http://schemas.openxmlformats.org/officeDocument/2006/relationships/hyperlink" Target="https://www.bing.com/th?id=OSK.a5814efaf5f4fb89c113c3426bccc261&amp;qlt=95" TargetMode="External"/><Relationship Id="rId33" Type="http://schemas.openxmlformats.org/officeDocument/2006/relationships/hyperlink" Target="https://www.bing.com/th?id=OSK.a7c0c41ea01a96ce7d0c4238ae1bf7e1&amp;qlt=95" TargetMode="External"/><Relationship Id="rId38" Type="http://schemas.openxmlformats.org/officeDocument/2006/relationships/hyperlink" Target="https://www.bing.com/images/search?form=xlimg&amp;q=Southam" TargetMode="External"/><Relationship Id="rId46" Type="http://schemas.openxmlformats.org/officeDocument/2006/relationships/hyperlink" Target="https://www.bing.com/images/search?form=xlimg&amp;q=Clifford%20Chambers" TargetMode="External"/><Relationship Id="rId59" Type="http://schemas.openxmlformats.org/officeDocument/2006/relationships/hyperlink" Target="https://www.bing.com/th?id=OSK.c47ce147be2518f0c18dad14298bd5f9&amp;qlt=95" TargetMode="External"/><Relationship Id="rId67" Type="http://schemas.openxmlformats.org/officeDocument/2006/relationships/hyperlink" Target="https://www.bing.com/th?id=OSK.3f87f5bf7eec8c8dfe8c6bf0363eed4c&amp;qlt=95" TargetMode="External"/><Relationship Id="rId20" Type="http://schemas.openxmlformats.org/officeDocument/2006/relationships/hyperlink" Target="https://www.bing.com/images/search?form=xlimg&amp;q=Winchcombe" TargetMode="External"/><Relationship Id="rId41" Type="http://schemas.openxmlformats.org/officeDocument/2006/relationships/hyperlink" Target="https://www.bing.com/th?id=OSK.44f490f3c7784a3461cd772535a68913&amp;qlt=95" TargetMode="External"/><Relationship Id="rId54" Type="http://schemas.openxmlformats.org/officeDocument/2006/relationships/hyperlink" Target="https://www.bing.com/images/search?form=xlimg&amp;q=Luddington,%20Warwickshire" TargetMode="External"/><Relationship Id="rId62" Type="http://schemas.openxmlformats.org/officeDocument/2006/relationships/hyperlink" Target="https://www.bing.com/images/search?form=xlimg&amp;q=Stretton-on-Fosse" TargetMode="External"/><Relationship Id="rId70" Type="http://schemas.openxmlformats.org/officeDocument/2006/relationships/hyperlink" Target="https://www.bing.com/images/search?form=xlimg&amp;q=Barford,%20Warwickshire" TargetMode="External"/><Relationship Id="rId1" Type="http://schemas.openxmlformats.org/officeDocument/2006/relationships/hyperlink" Target="https://www.bing.com/th?id=OSK.tTvhDCodW5_MDLS6UlmjThQfK1uSWcD2JXqgy902jg4&amp;qlt=95" TargetMode="External"/><Relationship Id="rId6" Type="http://schemas.openxmlformats.org/officeDocument/2006/relationships/hyperlink" Target="https://www.bing.com/images/search?form=xlimg&amp;q=Alveston,%20Warwickshire" TargetMode="External"/><Relationship Id="rId15" Type="http://schemas.openxmlformats.org/officeDocument/2006/relationships/hyperlink" Target="https://www.bing.com/th?id=OSK.b545b3111d3987d3d33862a65acbe3a4&amp;qlt=95" TargetMode="External"/><Relationship Id="rId23" Type="http://schemas.openxmlformats.org/officeDocument/2006/relationships/hyperlink" Target="https://www.bing.com/th?id=OSK.49032948ad0fa6fa1e66a59a860233ab&amp;qlt=95" TargetMode="External"/><Relationship Id="rId28" Type="http://schemas.openxmlformats.org/officeDocument/2006/relationships/hyperlink" Target="https://www.bing.com/images/search?form=xlimg&amp;q=Wyre%20Piddle" TargetMode="External"/><Relationship Id="rId36" Type="http://schemas.openxmlformats.org/officeDocument/2006/relationships/hyperlink" Target="https://www.bing.com/images/search?form=xlimg&amp;q=Napton%20on%20the%20Hill" TargetMode="External"/><Relationship Id="rId49" Type="http://schemas.openxmlformats.org/officeDocument/2006/relationships/hyperlink" Target="https://www.bing.com/th?id=OSK.6596fcb0cb9191d8c1a29747496e07e0&amp;qlt=95" TargetMode="External"/><Relationship Id="rId57" Type="http://schemas.openxmlformats.org/officeDocument/2006/relationships/hyperlink" Target="https://www.bing.com/th?id=OSK.ae6b2eadf998796a53d362fd3706f766&amp;qlt=95" TargetMode="External"/><Relationship Id="rId10" Type="http://schemas.openxmlformats.org/officeDocument/2006/relationships/hyperlink" Target="https://www.bing.com/images/search?form=xlimg&amp;q=Tiddington,%20Warwickshire" TargetMode="External"/><Relationship Id="rId31" Type="http://schemas.openxmlformats.org/officeDocument/2006/relationships/hyperlink" Target="https://www.bing.com/th?id=OSK.47fdd6b10b6a3744b129b5aa1bb2846b&amp;qlt=95" TargetMode="External"/><Relationship Id="rId44" Type="http://schemas.openxmlformats.org/officeDocument/2006/relationships/hyperlink" Target="https://www.bing.com/images/search?form=xlimg&amp;q=Preston%20Bagot" TargetMode="External"/><Relationship Id="rId52" Type="http://schemas.openxmlformats.org/officeDocument/2006/relationships/hyperlink" Target="https://www.bing.com/images/search?form=xlimg&amp;q=Ascott,%20Warwickshire" TargetMode="External"/><Relationship Id="rId60" Type="http://schemas.openxmlformats.org/officeDocument/2006/relationships/hyperlink" Target="https://www.bing.com/images/search?form=xlimg&amp;q=Church%20Lench" TargetMode="External"/><Relationship Id="rId65" Type="http://schemas.openxmlformats.org/officeDocument/2006/relationships/hyperlink" Target="https://www.bing.com/th?id=OSK.d81098dba3fc79a5c16b987e723b28a4&amp;qlt=95" TargetMode="External"/><Relationship Id="rId73" Type="http://schemas.openxmlformats.org/officeDocument/2006/relationships/hyperlink" Target="https://www.bing.com/th?id=OSK.81d6314f2d64446cf58918176df406c9&amp;qlt=95" TargetMode="External"/><Relationship Id="rId4" Type="http://schemas.openxmlformats.org/officeDocument/2006/relationships/hyperlink" Target="https://www.bing.com/images/search?form=xlimg&amp;q=United%20Kingdom" TargetMode="External"/><Relationship Id="rId9" Type="http://schemas.openxmlformats.org/officeDocument/2006/relationships/hyperlink" Target="https://www.bing.com/th?id=OSK.4e2035b63400d2d804b02988b48d3ef3&amp;qlt=95" TargetMode="External"/><Relationship Id="rId13" Type="http://schemas.openxmlformats.org/officeDocument/2006/relationships/hyperlink" Target="https://www.bing.com/th?id=OSK.1cc04067f816c1d3ac8fd5d994fe6a36&amp;qlt=95" TargetMode="External"/><Relationship Id="rId18" Type="http://schemas.openxmlformats.org/officeDocument/2006/relationships/hyperlink" Target="https://www.bing.com/images/search?form=xlimg&amp;q=Pershore" TargetMode="External"/><Relationship Id="rId39" Type="http://schemas.openxmlformats.org/officeDocument/2006/relationships/hyperlink" Target="https://www.bing.com/th?id=OSK.d9794ee7df6863a759dffb438a93b944&amp;qlt=95" TargetMode="External"/><Relationship Id="rId34" Type="http://schemas.openxmlformats.org/officeDocument/2006/relationships/hyperlink" Target="https://www.bing.com/images/search?form=xlimg&amp;q=Fladbury" TargetMode="External"/><Relationship Id="rId50" Type="http://schemas.openxmlformats.org/officeDocument/2006/relationships/hyperlink" Target="https://www.bing.com/images/search?form=xlimg&amp;q=Whichford" TargetMode="External"/><Relationship Id="rId55" Type="http://schemas.openxmlformats.org/officeDocument/2006/relationships/hyperlink" Target="https://www.bing.com/th?id=OSK.d4c318f5f5f5d5bce3a9048866c3bbaf&amp;qlt=95" TargetMode="External"/><Relationship Id="rId7" Type="http://schemas.openxmlformats.org/officeDocument/2006/relationships/hyperlink" Target="https://www.bing.com/th?id=OSK.9586f0fbc251506d32d7c049e90e6a74&amp;qlt=95" TargetMode="External"/><Relationship Id="rId71" Type="http://schemas.openxmlformats.org/officeDocument/2006/relationships/hyperlink" Target="https://www.bing.com/th?id=OSK.7855e76d04259bb8e4b10d5be07184b1&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Srd>
</file>

<file path=xl/richData/rdarray.xml><?xml version="1.0" encoding="utf-8"?>
<arrayData xmlns="http://schemas.microsoft.com/office/spreadsheetml/2017/richdata2" count="6">
  <a r="2">
    <v t="r">30</v>
    <v t="r">31</v>
  </a>
  <a r="1">
    <v t="s">English language</v>
  </a>
  <a r="4">
    <v t="r">50</v>
    <v t="r">51</v>
    <v t="r">52</v>
    <v t="r">53</v>
  </a>
  <a r="2">
    <v t="s">Greenwich Mean Time</v>
    <v t="s">Western European Time</v>
  </a>
  <a r="2">
    <v t="r">82</v>
    <v t="r">83</v>
  </a>
  <a r="1">
    <v t="s">UTC+00:00</v>
  </a>
</arrayData>
</file>

<file path=xl/richData/rdrichvalue.xml><?xml version="1.0" encoding="utf-8"?>
<rvData xmlns="http://schemas.microsoft.com/office/spreadsheetml/2017/richdata" count="305">
  <rv s="0">
    <v>536870912</v>
    <v>Stratford-on-Avon District</v>
    <v>74e7ce55-5de6-c05b-e9d3-2a0b80786625</v>
    <v>en-GB</v>
    <v>Map</v>
  </rv>
  <rv s="0">
    <v>536870912</v>
    <v>West Midlands</v>
    <v>ebf29d74-994b-4ba6-bb68-c59c3dffec18</v>
    <v>en-GB</v>
    <v>Map</v>
  </rv>
  <rv s="0">
    <v>536870912</v>
    <v>Warwickshire</v>
    <v>f1173647-228f-1554-f0d8-39e325d478af</v>
    <v>en-GB</v>
    <v>Map</v>
  </rv>
  <rv s="1">
    <fb>977.86940000000004</fb>
    <v>8</v>
  </rv>
  <rv s="0">
    <v>536870912</v>
    <v>United Kingdom</v>
    <v>b1a5155a-6bb2-4646-8f7c-3e6b3a53c831</v>
    <v>en-GB</v>
    <v>Map</v>
  </rv>
  <rv s="2">
    <v>0</v>
    <v>6</v>
    <v>0</v>
    <v>7</v>
    <v>0</v>
    <v>Image of Stratford-on-Avon District</v>
  </rv>
  <rv s="1">
    <fb>52.190199999999997</fb>
    <v>9</v>
  </rv>
  <rv s="3">
    <v>https://www.bing.com/search?q=stratford-on-avon+district+england&amp;form=skydnc</v>
    <v>Learn more on Bing</v>
  </rv>
  <rv s="1">
    <fb>-1.7087000000000001</fb>
    <v>9</v>
  </rv>
  <rv s="1">
    <fb>138583</fb>
    <v>8</v>
  </rv>
  <rv s="4">
    <v>#VALUE!</v>
    <v>en-GB</v>
    <v>74e7ce55-5de6-c05b-e9d3-2a0b80786625</v>
    <v>536870912</v>
    <v>1</v>
    <v>1</v>
    <v>2</v>
    <v>Stratford-on-Avon District</v>
    <v>4</v>
    <v>5</v>
    <v>Map</v>
    <v>6</v>
    <v>7</v>
    <v>1</v>
    <v>2</v>
    <v>3</v>
    <v>4</v>
    <v>Stratford-on-Avon is a local government district in Warwickshire, England. The district is named after its largest town of Stratford-upon-Avon, but with a change of preposition; the town uses "upon" and the district uses "on". The council is ...</v>
    <v>5</v>
    <v>6</v>
    <v>7</v>
    <v>8</v>
    <v>Stratford-on-Avon District</v>
    <v>9</v>
    <v>Stratford-on-Avon District</v>
    <v>mdp/vdpid/5471447099767783426</v>
  </rv>
  <rv s="1">
    <fb>0.71714878141404492</fb>
    <v>29</v>
  </rv>
  <rv s="1">
    <fb>242495</fb>
    <v>8</v>
  </rv>
  <rv s="1">
    <fb>148000</fb>
    <v>8</v>
  </rv>
  <rv s="1">
    <fb>11</fb>
    <v>30</v>
  </rv>
  <rv s="1">
    <fb>44</fb>
    <v>31</v>
  </rv>
  <rv s="0">
    <v>536870912</v>
    <v>London</v>
    <v>8e0ba7b6-4225-fa8a-6369-1b5294e602a5</v>
    <v>en-GB</v>
    <v>Map</v>
  </rv>
  <rv s="1">
    <fb>379024.78700000001</fb>
    <v>8</v>
  </rv>
  <rv s="1">
    <fb>119.622711300166</fb>
    <v>32</v>
  </rv>
  <rv s="1">
    <fb>1.7381046008651101E-2</fb>
    <v>29</v>
  </rv>
  <rv s="1">
    <fb>5129.5277927901998</fb>
    <v>8</v>
  </rv>
  <rv s="1">
    <fb>1.68</fb>
    <v>30</v>
  </rv>
  <rv s="1">
    <fb>0.130657628239573</fb>
    <v>29</v>
  </rv>
  <rv s="1">
    <fb>80.351771267255202</fb>
    <v>33</v>
  </rv>
  <rv s="1">
    <fb>1.46</fb>
    <v>34</v>
  </rv>
  <rv s="1">
    <fb>2827113184695.5801</fb>
    <v>35</v>
  </rv>
  <rv s="1">
    <fb>1.0115456</fb>
    <v>29</v>
  </rv>
  <rv s="1">
    <fb>0.59995569999999998</fb>
    <v>29</v>
  </rv>
  <rv s="2">
    <v>1</v>
    <v>6</v>
    <v>12</v>
    <v>7</v>
    <v>0</v>
    <v>Image of United Kingdom</v>
  </rv>
  <rv s="1">
    <fb>3.6</fb>
    <v>33</v>
  </rv>
  <rv s="0">
    <v>805306368</v>
    <v>Charles III (Monarch)</v>
    <v>afc6f6a9-5b55-9178-3e6f-2c8b6d16ee9c</v>
    <v>en-GB</v>
    <v>Generic</v>
  </rv>
  <rv s="0">
    <v>805306368</v>
    <v>Rishi Sunak (Prime minister)</v>
    <v>79551c5d-075b-e493-70a2-f5b22a4876e1</v>
    <v>en-GB</v>
    <v>Generic</v>
  </rv>
  <rv s="5">
    <v>0</v>
  </rv>
  <rv s="3">
    <v>https://www.bing.com/search?q=united+kingdom&amp;form=skydnc</v>
    <v>Learn more on Bing</v>
  </rv>
  <rv s="1">
    <fb>81.256097560975604</fb>
    <v>33</v>
  </rv>
  <rv s="1">
    <fb>1868152970000</fb>
    <v>35</v>
  </rv>
  <rv s="1">
    <fb>7</fb>
    <v>33</v>
  </rv>
  <rv s="1">
    <fb>10.130000000000001</fb>
    <v>34</v>
  </rv>
  <rv s="5">
    <v>1</v>
  </rv>
  <rv s="1">
    <fb>0.14794489889999998</fb>
    <v>29</v>
  </rv>
  <rv s="1">
    <fb>2.8117000000000001</fb>
    <v>30</v>
  </rv>
  <rv s="1">
    <fb>67326569</fb>
    <v>8</v>
  </rv>
  <rv s="1">
    <fb>0.22500000000000001</fb>
    <v>29</v>
  </rv>
  <rv s="1">
    <fb>0.26800000000000002</fb>
    <v>29</v>
  </rv>
  <rv s="1">
    <fb>0.42100000000000004</fb>
    <v>29</v>
  </rv>
  <rv s="1">
    <fb>2.7999999999999997E-2</fb>
    <v>29</v>
  </rv>
  <rv s="1">
    <fb>7.0999999999999994E-2</fb>
    <v>29</v>
  </rv>
  <rv s="1">
    <fb>0.11900000000000001</fb>
    <v>29</v>
  </rv>
  <rv s="1">
    <fb>0.16399999999999998</fb>
    <v>29</v>
  </rv>
  <rv s="1">
    <fb>0.62773998260497998</fb>
    <v>29</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5">
    <v>2</v>
  </rv>
  <rv s="1">
    <fb>0.255052921600669</fb>
    <v>29</v>
  </rv>
  <rv s="5">
    <v>3</v>
  </rv>
  <rv s="1">
    <fb>0.30599999999999999</fb>
    <v>29</v>
  </rv>
  <rv s="1">
    <fb>3.8510000705719E-2</fb>
    <v>36</v>
  </rv>
  <rv s="1">
    <fb>55908316</fb>
    <v>8</v>
  </rv>
  <rv s="6">
    <v>#VALUE!</v>
    <v>en-GB</v>
    <v>b1a5155a-6bb2-4646-8f7c-3e6b3a53c831</v>
    <v>536870912</v>
    <v>1</v>
    <v>26</v>
    <v>27</v>
    <v>United Kingdom</v>
    <v>4</v>
    <v>5</v>
    <v>Map</v>
    <v>6</v>
    <v>28</v>
    <v>GB</v>
    <v>11</v>
    <v>12</v>
    <v>13</v>
    <v>14</v>
    <v>15</v>
    <v>16</v>
    <v>17</v>
    <v>18</v>
    <v>19</v>
    <v>GBP</v>
    <v>The United Kingdom of Great Britain and Northern Ireland, commonly known as the United Kingdom or Britain, is a country in Northwestern Europe, off the coast of the continental mainland. It comprises England, Scotland, Wales, and Northern ...</v>
    <v>20</v>
    <v>21</v>
    <v>22</v>
    <v>23</v>
    <v>24</v>
    <v>25</v>
    <v>26</v>
    <v>27</v>
    <v>28</v>
    <v>29</v>
    <v>16</v>
    <v>32</v>
    <v>33</v>
    <v>34</v>
    <v>35</v>
    <v>36</v>
    <v>37</v>
    <v>United Kingdom</v>
    <v>God Save The King</v>
    <v>38</v>
    <v>United Kingdom of Great Britain and Northern Ireland</v>
    <v>39</v>
    <v>40</v>
    <v>41</v>
    <v>42</v>
    <v>43</v>
    <v>44</v>
    <v>45</v>
    <v>46</v>
    <v>47</v>
    <v>48</v>
    <v>49</v>
    <v>54</v>
    <v>55</v>
    <v>56</v>
    <v>57</v>
    <v>58</v>
    <v>United Kingdom</v>
    <v>59</v>
    <v>mdp/vdpid/242</v>
  </rv>
  <rv s="0">
    <v>536870912</v>
    <v>Alveston, Warwickshire</v>
    <v>9cd58e3e-e90c-faf4-d983-11104102da34</v>
    <v>en-GB</v>
    <v>Map</v>
  </rv>
  <rv s="0">
    <v>536870912</v>
    <v>Stratford-upon-Avon</v>
    <v>2b297c45-3f1d-01b3-1073-d7e54eb4913e</v>
    <v>en-GB</v>
    <v>Map</v>
  </rv>
  <rv s="2">
    <v>2</v>
    <v>6</v>
    <v>37</v>
    <v>7</v>
    <v>0</v>
    <v>Image of Alveston, Warwickshire</v>
  </rv>
  <rv s="1">
    <fb>52.2</fb>
    <v>9</v>
  </rv>
  <rv s="3">
    <v>https://www.bing.com/search?q=alveston%2c+warwickshire+united+kingdom&amp;form=skydnc</v>
    <v>Learn more on Bing</v>
  </rv>
  <rv s="1">
    <fb>-1.66</fb>
    <v>9</v>
  </rv>
  <rv s="7">
    <v>#VALUE!</v>
    <v>en-GB</v>
    <v>9cd58e3e-e90c-faf4-d983-11104102da34</v>
    <v>536870912</v>
    <v>1</v>
    <v>38</v>
    <v>39</v>
    <v>Alveston, Warwickshire</v>
    <v>4</v>
    <v>5</v>
    <v>Map</v>
    <v>6</v>
    <v>0</v>
    <v>62</v>
    <v>4</v>
    <v>Alveston is a village and former civil parish, now in the parish of Stratford-upon-Avon, and around 2 miles north-east of Stratford town centre, in the Stratford-on-Avon district, in the county of Warwickshire, England. It is located to the ...</v>
    <v>63</v>
    <v>64</v>
    <v>65</v>
    <v>66</v>
    <v>Alveston, Warwickshire</v>
    <v>Alveston, Warwickshire</v>
    <v>mdp/vdpid/5471447137331970049</v>
  </rv>
  <rv s="2">
    <v>3</v>
    <v>6</v>
    <v>40</v>
    <v>7</v>
    <v>0</v>
    <v>Image of Stratford-upon-Avon</v>
  </rv>
  <rv s="1">
    <fb>52.192777777777799</fb>
    <v>9</v>
  </rv>
  <rv s="3">
    <v>https://www.bing.com/search?q=stratford-upon-avon&amp;form=skydnc</v>
    <v>Learn more on Bing</v>
  </rv>
  <rv s="1">
    <fb>-1.7063888888888901</fb>
    <v>9</v>
  </rv>
  <rv s="1">
    <fb>30495</fb>
    <v>8</v>
  </rv>
  <rv s="8">
    <v>#VALUE!</v>
    <v>en-GB</v>
    <v>2b297c45-3f1d-01b3-1073-d7e54eb4913e</v>
    <v>536870912</v>
    <v>1</v>
    <v>41</v>
    <v>42</v>
    <v>Stratford-upon-Avon</v>
    <v>4</v>
    <v>5</v>
    <v>Map</v>
    <v>6</v>
    <v>43</v>
    <v>2</v>
    <v>0</v>
    <v>4</v>
    <v>Stratford-upon-Avon, commonly known as just Stratford, is a market town and civil parish in the Stratford-on-Avon district, in the county of Warwickshire, in the West Midlands region of England. It is situated on the River Avon, 91 miles ...</v>
    <v>68</v>
    <v>69</v>
    <v>70</v>
    <v>71</v>
    <v>Stratford-upon-Avon</v>
    <v>72</v>
    <v>Stratford-upon-Avon</v>
    <v>mdp/vdpid/5471543820837453826</v>
  </rv>
  <rv s="0">
    <v>536870912</v>
    <v>Tiddington, Warwickshire</v>
    <v>557c48a9-3b8e-91a0-b45c-dcf99233a2b1</v>
    <v>en-GB</v>
    <v>Map</v>
  </rv>
  <rv s="2">
    <v>4</v>
    <v>6</v>
    <v>44</v>
    <v>7</v>
    <v>0</v>
    <v>Image of Tiddington, Warwickshire</v>
  </rv>
  <rv s="3">
    <v>https://www.bing.com/search?q=tiddington%2c+warwickshire&amp;form=skydnc</v>
    <v>Learn more on Bing</v>
  </rv>
  <rv s="1">
    <fb>-1.6772199999999999</fb>
    <v>9</v>
  </rv>
  <rv s="7">
    <v>#VALUE!</v>
    <v>en-GB</v>
    <v>557c48a9-3b8e-91a0-b45c-dcf99233a2b1</v>
    <v>536870912</v>
    <v>1</v>
    <v>45</v>
    <v>39</v>
    <v>Tiddington, Warwickshire</v>
    <v>4</v>
    <v>5</v>
    <v>Map</v>
    <v>6</v>
    <v>0</v>
    <v>62</v>
    <v>4</v>
    <v>Tiddington is a village in Warwickshire, England, within the civil parish of Stratford-upon-Avon, about 2 miles northeast of Stratford town centre. It is located south of the River Avon, and is connected to the historic town by Tiddington Road.</v>
    <v>75</v>
    <v>64</v>
    <v>76</v>
    <v>77</v>
    <v>Tiddington, Warwickshire</v>
    <v>Tiddington, Warwickshire</v>
    <v>mdp/vdpid/5471447132684681217</v>
  </rv>
  <rv s="0">
    <v>536870912</v>
    <v>Tewkesbury</v>
    <v>374e6878-2737-523b-3b5e-666e2ec0ade8</v>
    <v>en-GB</v>
    <v>Map</v>
  </rv>
  <rv s="2">
    <v>5</v>
    <v>6</v>
    <v>46</v>
    <v>7</v>
    <v>0</v>
    <v>Image of Tewkesbury</v>
  </rv>
  <rv s="1">
    <fb>51.985999999999997</fb>
    <v>9</v>
  </rv>
  <rv s="0">
    <v>805306368</v>
    <v>Cllr Christine Danter (Mayor)</v>
    <v>8dbf4c9e-99a1-c9ce-681b-46ecee3437e2</v>
    <v>en-GB</v>
    <v>Generic</v>
  </rv>
  <rv s="0">
    <v>805306368</v>
    <v>Cllr Paul Jones (Deputy mayor)</v>
    <v>a4d3b711-f2cd-d1b6-9249-8f6cc14086de</v>
    <v>en-GB</v>
    <v>Generic</v>
  </rv>
  <rv s="5">
    <v>4</v>
  </rv>
  <rv s="3">
    <v>https://www.bing.com/search?q=tewkesbury&amp;form=skydnc</v>
    <v>Learn more on Bing</v>
  </rv>
  <rv s="1">
    <fb>-2.1360000000000001</fb>
    <v>9</v>
  </rv>
  <rv s="1">
    <fb>19778</fb>
    <v>8</v>
  </rv>
  <rv s="9">
    <v>#VALUE!</v>
    <v>en-GB</v>
    <v>374e6878-2737-523b-3b5e-666e2ec0ade8</v>
    <v>536870912</v>
    <v>1</v>
    <v>48</v>
    <v>49</v>
    <v>Tewkesbury</v>
    <v>4</v>
    <v>5</v>
    <v>Map</v>
    <v>6</v>
    <v>50</v>
    <v>4</v>
    <v>Tewkesbury is a market town and civil parish in the north of Gloucestershire, England. The town grew following the construction of Tewkesbury Abbey in the twelfth century and played a significant role in the Wars of the Roses. It stands at the ...</v>
    <v>80</v>
    <v>81</v>
    <v>84</v>
    <v>85</v>
    <v>86</v>
    <v>Tewkesbury</v>
    <v>87</v>
    <v>Tewkesbury</v>
    <v>mdp/vdpid/5471416010965778433</v>
  </rv>
  <rv s="0">
    <v>536870912</v>
    <v>Brailes</v>
    <v>e5b29d15-4448-776d-53f6-136388f35221</v>
    <v>en-GB</v>
    <v>Map</v>
  </rv>
  <rv s="2">
    <v>6</v>
    <v>6</v>
    <v>51</v>
    <v>7</v>
    <v>0</v>
    <v>Image of Brailes</v>
  </rv>
  <rv s="1">
    <fb>52.051000000000002</fb>
    <v>9</v>
  </rv>
  <rv s="3">
    <v>https://www.bing.com/search?q=brailes+%22stratford+on+avon%22+district&amp;form=skydnc</v>
    <v>Learn more on Bing</v>
  </rv>
  <rv s="1">
    <fb>-1.544</fb>
    <v>9</v>
  </rv>
  <rv s="1">
    <fb>1149</fb>
    <v>8</v>
  </rv>
  <rv s="8">
    <v>#VALUE!</v>
    <v>en-GB</v>
    <v>e5b29d15-4448-776d-53f6-136388f35221</v>
    <v>536870912</v>
    <v>1</v>
    <v>52</v>
    <v>42</v>
    <v>Brailes</v>
    <v>4</v>
    <v>5</v>
    <v>Map</v>
    <v>6</v>
    <v>50</v>
    <v>2</v>
    <v>0</v>
    <v>4</v>
    <v>Brailes is a civil parish about 3 miles east of Shipston-on-Stour in Warwickshire, England. It includes the two villages of Lower and Upper Brailes which are located in the north Cotswolds, but it is often referred to as one village as the two ...</v>
    <v>90</v>
    <v>91</v>
    <v>92</v>
    <v>93</v>
    <v>Brailes</v>
    <v>94</v>
    <v>Brailes</v>
    <v>mdp/vdpid/5471450643719782401</v>
  </rv>
  <rv s="0">
    <v>536870912</v>
    <v>Wychavon</v>
    <v>03cd29c7-cf9e-48bc-d461-309a2fc1efed</v>
    <v>en-GB</v>
    <v>Map</v>
  </rv>
  <rv s="0">
    <v>536870912</v>
    <v>Worcestershire</v>
    <v>92b6b35e-17f8-7d50-a89b-650c809a2158</v>
    <v>en-GB</v>
    <v>Map</v>
  </rv>
  <rv s="1">
    <fb>663.54179999999997</fb>
    <v>8</v>
  </rv>
  <rv s="2">
    <v>7</v>
    <v>6</v>
    <v>53</v>
    <v>7</v>
    <v>0</v>
    <v>Image of Wychavon</v>
  </rv>
  <rv s="1">
    <fb>52.113999999999997</fb>
    <v>9</v>
  </rv>
  <rv s="3">
    <v>https://www.bing.com/search?q=wychavon&amp;form=skydnc</v>
    <v>Learn more on Bing</v>
  </rv>
  <rv s="1">
    <fb>-2.081</fb>
    <v>9</v>
  </rv>
  <rv s="1">
    <fb>134536</fb>
    <v>8</v>
  </rv>
  <rv s="4">
    <v>#VALUE!</v>
    <v>en-GB</v>
    <v>03cd29c7-cf9e-48bc-d461-309a2fc1efed</v>
    <v>536870912</v>
    <v>1</v>
    <v>54</v>
    <v>2</v>
    <v>Wychavon</v>
    <v>4</v>
    <v>5</v>
    <v>Map</v>
    <v>6</v>
    <v>7</v>
    <v>1</v>
    <v>97</v>
    <v>98</v>
    <v>4</v>
    <v>Wychavon is a local government district in Worcestershire, England, with a population size of 132,500 according to the 2021 census. Its council is based in the town of Pershore, and the other towns in the district are Droitwich Spa and Evesham. ...</v>
    <v>99</v>
    <v>100</v>
    <v>101</v>
    <v>102</v>
    <v>Wychavon</v>
    <v>103</v>
    <v>Wychavon</v>
    <v>mdp/vdpid/5471438368720027649</v>
  </rv>
  <rv s="0">
    <v>536870912</v>
    <v>Pershore</v>
    <v>9b2e51f0-ae4e-e8ea-d6ba-1b416b0214fe</v>
    <v>en-GB</v>
    <v>Map</v>
  </rv>
  <rv s="2">
    <v>8</v>
    <v>6</v>
    <v>55</v>
    <v>7</v>
    <v>0</v>
    <v>Image of Pershore</v>
  </rv>
  <rv s="3">
    <v>https://www.bing.com/search?q=pershore+uk&amp;form=skydnc</v>
    <v>Learn more on Bing</v>
  </rv>
  <rv s="1">
    <fb>-2.08</fb>
    <v>9</v>
  </rv>
  <rv s="1">
    <fb>7065</fb>
    <v>8</v>
  </rv>
  <rv s="8">
    <v>#VALUE!</v>
    <v>en-GB</v>
    <v>9b2e51f0-ae4e-e8ea-d6ba-1b416b0214fe</v>
    <v>536870912</v>
    <v>1</v>
    <v>56</v>
    <v>42</v>
    <v>Pershore</v>
    <v>4</v>
    <v>5</v>
    <v>Map</v>
    <v>6</v>
    <v>50</v>
    <v>97</v>
    <v>96</v>
    <v>4</v>
    <v>Pershore is a market town and civil parish in the Wychavon district in Worcestershire, England, on the banks of the River Avon. At the 2011 census, the population was 7,125. The town is best known for Pershore Abbey. Pershore is situated 6 miles ...</v>
    <v>106</v>
    <v>100</v>
    <v>107</v>
    <v>108</v>
    <v>Pershore</v>
    <v>109</v>
    <v>Pershore</v>
    <v>mdp/vdpid/5471438547615481857</v>
  </rv>
  <rv s="0">
    <v>536870912</v>
    <v>Winchcombe</v>
    <v>c91514c9-f06a-42cb-73d2-d8fa4bd267ea</v>
    <v>en-GB</v>
    <v>Map</v>
  </rv>
  <rv s="2">
    <v>9</v>
    <v>6</v>
    <v>57</v>
    <v>7</v>
    <v>0</v>
    <v>Image of Winchcombe</v>
  </rv>
  <rv s="1">
    <fb>51.954999999999998</fb>
    <v>9</v>
  </rv>
  <rv s="3">
    <v>https://www.bing.com/search?q=winchcombe+tewkesbury+borough+council+united+kingdom&amp;form=skydnc</v>
    <v>Learn more on Bing</v>
  </rv>
  <rv s="1">
    <fb>-1.9650000000000001</fb>
    <v>9</v>
  </rv>
  <rv s="1">
    <fb>5121</fb>
    <v>8</v>
  </rv>
  <rv s="5">
    <v>5</v>
  </rv>
  <rv s="10">
    <v>#VALUE!</v>
    <v>en-GB</v>
    <v>c91514c9-f06a-42cb-73d2-d8fa4bd267ea</v>
    <v>536870912</v>
    <v>1</v>
    <v>58</v>
    <v>59</v>
    <v>Winchcombe</v>
    <v>4</v>
    <v>5</v>
    <v>Map</v>
    <v>6</v>
    <v>43</v>
    <v>50</v>
    <v>Winchcombe is a market town and civil parish in the Borough of Tewkesbury in the county of Gloucestershire, England, it is 6 miles north-east of Cheltenham. The population was recorded as 4,538 in the 2011 census and estimated at 5,347 in 2019. ...</v>
    <v>112</v>
    <v>113</v>
    <v>114</v>
    <v>115</v>
    <v>Winchcombe</v>
    <v>116</v>
    <v>117</v>
    <v>Winchcombe</v>
    <v>mdp/vdpid/5471628318094655490</v>
  </rv>
  <rv s="0">
    <v>536870912</v>
    <v>Cotswold District</v>
    <v>54ec5175-10c5-2461-18f8-4d369af65b5d</v>
    <v>en-GB</v>
    <v>Map</v>
  </rv>
  <rv s="0">
    <v>536870912</v>
    <v>Gloucestershire</v>
    <v>eab8d5d9-01a7-f0db-d230-ec907f822254</v>
    <v>en-GB</v>
    <v>Map</v>
  </rv>
  <rv s="1">
    <fb>1164.5242000000001</fb>
    <v>8</v>
  </rv>
  <rv s="2">
    <v>10</v>
    <v>6</v>
    <v>60</v>
    <v>7</v>
    <v>0</v>
    <v>Image of Cotswold District</v>
  </rv>
  <rv s="1">
    <fb>51.719000000000001</fb>
    <v>9</v>
  </rv>
  <rv s="3">
    <v>https://www.bing.com/search?q=cotswold+district+england&amp;form=skydnc</v>
    <v>Learn more on Bing</v>
  </rv>
  <rv s="1">
    <fb>-1.968</fb>
    <v>9</v>
  </rv>
  <rv s="1">
    <fb>91311</fb>
    <v>8</v>
  </rv>
  <rv s="11">
    <v>#VALUE!</v>
    <v>en-GB</v>
    <v>54ec5175-10c5-2461-18f8-4d369af65b5d</v>
    <v>536870912</v>
    <v>1</v>
    <v>61</v>
    <v>62</v>
    <v>Cotswold District</v>
    <v>4</v>
    <v>5</v>
    <v>Map</v>
    <v>6</v>
    <v>7</v>
    <v>120</v>
    <v>121</v>
    <v>4</v>
    <v>Cotswold is a local government district in Gloucestershire, England. It is named after the wider Cotswolds region and range of hills. The council is based in the district's largest town of Cirencester. The district also includes the towns of ...</v>
    <v>122</v>
    <v>123</v>
    <v>124</v>
    <v>125</v>
    <v>Cotswold District</v>
    <v>126</v>
    <v>Cotswold District</v>
    <v>mdp/vdpid/5471633737168977930</v>
  </rv>
  <rv s="0">
    <v>536870912</v>
    <v>Chipping Campden</v>
    <v>4e018309-4c14-4f84-d9d8-b1fee60a35c1</v>
    <v>en-GB</v>
    <v>Map</v>
  </rv>
  <rv s="2">
    <v>11</v>
    <v>6</v>
    <v>63</v>
    <v>7</v>
    <v>0</v>
    <v>Image of Chipping Campden</v>
  </rv>
  <rv s="1">
    <fb>52.054000000000002</fb>
    <v>9</v>
  </rv>
  <rv s="3">
    <v>https://www.bing.com/search?q=chipping+campden&amp;form=skydnc</v>
    <v>Learn more on Bing</v>
  </rv>
  <rv s="1">
    <fb>-1.7729999999999999</fb>
    <v>9</v>
  </rv>
  <rv s="1">
    <fb>2288</fb>
    <v>8</v>
  </rv>
  <rv s="12">
    <v>#VALUE!</v>
    <v>en-GB</v>
    <v>4e018309-4c14-4f84-d9d8-b1fee60a35c1</v>
    <v>536870912</v>
    <v>1</v>
    <v>65</v>
    <v>66</v>
    <v>Chipping Campden</v>
    <v>4</v>
    <v>5</v>
    <v>Map</v>
    <v>6</v>
    <v>50</v>
    <v>119</v>
    <v>4</v>
    <v>Chipping Campden is a market town in the Cotswold district of Gloucestershire, England. A wool trading centre in the Middle Ages, Chipping Campden enjoyed the patronage of wealthy wool merchants, most notably William Greville. The High Street is ...</v>
    <v>129</v>
    <v>130</v>
    <v>131</v>
    <v>132</v>
    <v>Chipping Campden</v>
    <v>133</v>
    <v>Chipping Campden</v>
    <v>mdp/vdpid/5471442428118433793</v>
  </rv>
  <rv s="0">
    <v>536870912</v>
    <v>Bredon</v>
    <v>155a3d9e-a52f-d616-9a27-2cbc75969d14</v>
    <v>en-GB</v>
    <v>Map</v>
  </rv>
  <rv s="2">
    <v>12</v>
    <v>6</v>
    <v>67</v>
    <v>7</v>
    <v>0</v>
    <v>Image of Bredon</v>
  </rv>
  <rv s="1">
    <fb>52.03</fb>
    <v>9</v>
  </rv>
  <rv s="3">
    <v>https://www.bing.com/search?q=bredon+united+kingdom&amp;form=skydnc</v>
    <v>Learn more on Bing</v>
  </rv>
  <rv s="1">
    <fb>-2.117</fb>
    <v>9</v>
  </rv>
  <rv s="1">
    <fb>2542</fb>
    <v>8</v>
  </rv>
  <rv s="8">
    <v>#VALUE!</v>
    <v>en-GB</v>
    <v>155a3d9e-a52f-d616-9a27-2cbc75969d14</v>
    <v>536870912</v>
    <v>1</v>
    <v>68</v>
    <v>42</v>
    <v>Bredon</v>
    <v>4</v>
    <v>5</v>
    <v>Map</v>
    <v>6</v>
    <v>50</v>
    <v>97</v>
    <v>96</v>
    <v>4</v>
    <v>Bredon is a village and civil parish in Wychavon district at the southern edge of Worcestershire in England. It lies on the banks of the River Avon on the lower slopes of Bredon Hill.</v>
    <v>136</v>
    <v>137</v>
    <v>138</v>
    <v>139</v>
    <v>Bredon</v>
    <v>140</v>
    <v>Bredon</v>
    <v>mdp/vdpid/5471416134630637569</v>
  </rv>
  <rv s="0">
    <v>536870912</v>
    <v>Wyre Piddle</v>
    <v>4c2c67f8-1a6d-6ec1-6474-fad94b9ddd75</v>
    <v>en-GB</v>
    <v>Map</v>
  </rv>
  <rv s="2">
    <v>13</v>
    <v>6</v>
    <v>69</v>
    <v>7</v>
    <v>0</v>
    <v>Image of Wyre Piddle</v>
  </rv>
  <rv s="1">
    <fb>52.124499999999998</fb>
    <v>9</v>
  </rv>
  <rv s="3">
    <v>https://www.bing.com/search?q=wyre+piddle+united+kingdom&amp;form=skydnc</v>
    <v>Learn more on Bing</v>
  </rv>
  <rv s="1">
    <fb>-2.0508999999999999</fb>
    <v>9</v>
  </rv>
  <rv s="1">
    <fb>617</fb>
    <v>8</v>
  </rv>
  <rv s="8">
    <v>#VALUE!</v>
    <v>en-GB</v>
    <v>4c2c67f8-1a6d-6ec1-6474-fad94b9ddd75</v>
    <v>536870912</v>
    <v>1</v>
    <v>70</v>
    <v>42</v>
    <v>Wyre Piddle</v>
    <v>4</v>
    <v>5</v>
    <v>Map</v>
    <v>6</v>
    <v>50</v>
    <v>97</v>
    <v>96</v>
    <v>4</v>
    <v>Wyre Piddle is a village and civil parish in the Wychavon district of Worcestershire, England. It is on the River Avon, near where that river is joined by the Piddle Brook - between Evesham and Pershore.</v>
    <v>143</v>
    <v>144</v>
    <v>145</v>
    <v>146</v>
    <v>Wyre Piddle</v>
    <v>147</v>
    <v>Wyre Piddle</v>
    <v>mdp/vdpid/5471438650845691905</v>
  </rv>
  <rv s="0">
    <v>536870912</v>
    <v>Ilmington</v>
    <v>ea9dbfd0-e63c-f791-93a0-7cb18f375fae</v>
    <v>en-GB</v>
    <v>Map</v>
  </rv>
  <rv s="2">
    <v>14</v>
    <v>6</v>
    <v>71</v>
    <v>7</v>
    <v>0</v>
    <v>Image of Ilmington</v>
  </rv>
  <rv s="1">
    <fb>52.09</fb>
    <v>9</v>
  </rv>
  <rv s="3">
    <v>https://www.bing.com/search?q=ilmington+united+kingdom&amp;form=skydnc</v>
    <v>Learn more on Bing</v>
  </rv>
  <rv s="1">
    <fb>-1.6930000000000001</fb>
    <v>9</v>
  </rv>
  <rv s="1">
    <fb>712</fb>
    <v>8</v>
  </rv>
  <rv s="8">
    <v>#VALUE!</v>
    <v>en-GB</v>
    <v>ea9dbfd0-e63c-f791-93a0-7cb18f375fae</v>
    <v>536870912</v>
    <v>1</v>
    <v>72</v>
    <v>42</v>
    <v>Ilmington</v>
    <v>4</v>
    <v>5</v>
    <v>Map</v>
    <v>6</v>
    <v>50</v>
    <v>2</v>
    <v>0</v>
    <v>4</v>
    <v>Ilmington is a village and civil parish about 3.5 miles north-west of Shipston-on-Stour and 8 miles south of Stratford-upon-Avon in the Cotswolds in Warwickshire, England. The population of the civil parish taken at the 2011 census was 712. ...</v>
    <v>150</v>
    <v>151</v>
    <v>152</v>
    <v>153</v>
    <v>Ilmington</v>
    <v>154</v>
    <v>Ilmington</v>
    <v>mdp/vdpid/5471448276421050369</v>
  </rv>
  <rv s="0">
    <v>536870912</v>
    <v>Shipston-on-Stour</v>
    <v>387675ab-9b56-a990-14b5-ec67abe6ff11</v>
    <v>en-GB</v>
    <v>Map</v>
  </rv>
  <rv s="1">
    <fb>4.92</fb>
    <v>8</v>
  </rv>
  <rv s="2">
    <v>15</v>
    <v>6</v>
    <v>74</v>
    <v>7</v>
    <v>0</v>
    <v>Image of Shipston-on-Stour</v>
  </rv>
  <rv s="1">
    <fb>52.06</fb>
    <v>9</v>
  </rv>
  <rv s="3">
    <v>https://www.bing.com/search?q=shipston-on-stour&amp;form=skydnc</v>
    <v>Learn more on Bing</v>
  </rv>
  <rv s="1">
    <fb>-1.623</fb>
    <v>9</v>
  </rv>
  <rv s="1">
    <fb>5038</fb>
    <v>8</v>
  </rv>
  <rv s="11">
    <v>#VALUE!</v>
    <v>en-GB</v>
    <v>387675ab-9b56-a990-14b5-ec67abe6ff11</v>
    <v>536870912</v>
    <v>1</v>
    <v>75</v>
    <v>62</v>
    <v>Shipston-on-Stour</v>
    <v>4</v>
    <v>5</v>
    <v>Map</v>
    <v>6</v>
    <v>76</v>
    <v>0</v>
    <v>157</v>
    <v>4</v>
    <v>Shipston-on-Stour is a town and civil parish in the Stratford-on-Avon District in southern Warwickshire, England. It is located on the banks of the River Stour, 9 miles south-southeast of Stratford-upon-Avon, 10 miles north-northwest of Chipping ...</v>
    <v>158</v>
    <v>159</v>
    <v>160</v>
    <v>161</v>
    <v>Shipston-on-Stour</v>
    <v>162</v>
    <v>Shipston-on-Stour</v>
    <v>mdp/vdpid/5471448928735985665</v>
  </rv>
  <rv s="0">
    <v>536870912</v>
    <v>Fladbury</v>
    <v>b3d93a3c-8e5e-82f8-ea0c-b90b35ecfb91</v>
    <v>en-GB</v>
    <v>Map</v>
  </rv>
  <rv s="2">
    <v>16</v>
    <v>6</v>
    <v>77</v>
    <v>7</v>
    <v>0</v>
    <v>Image of Fladbury</v>
  </rv>
  <rv s="1">
    <fb>52.115447222222002</fb>
    <v>9</v>
  </rv>
  <rv s="3">
    <v>https://www.bing.com/search?q=fladbury+united+kingdom&amp;form=skydnc</v>
    <v>Learn more on Bing</v>
  </rv>
  <rv s="1">
    <fb>-2.0085888888888999</fb>
    <v>9</v>
  </rv>
  <rv s="1">
    <fb>813</fb>
    <v>8</v>
  </rv>
  <rv s="8">
    <v>#VALUE!</v>
    <v>en-GB</v>
    <v>b3d93a3c-8e5e-82f8-ea0c-b90b35ecfb91</v>
    <v>536870912</v>
    <v>1</v>
    <v>78</v>
    <v>42</v>
    <v>Fladbury</v>
    <v>4</v>
    <v>5</v>
    <v>Map</v>
    <v>6</v>
    <v>50</v>
    <v>97</v>
    <v>96</v>
    <v>4</v>
    <v>Fladbury is a traditional English village located in rural Worcestershire, England. Five miles from Pershore, 5 miles from Evesham and 107 miles from London. It is sited on the banks of the River Avon, with many interesting and original ...</v>
    <v>165</v>
    <v>166</v>
    <v>167</v>
    <v>168</v>
    <v>Fladbury</v>
    <v>169</v>
    <v>Fladbury</v>
    <v>mdp/vdpid/5471439807097864193</v>
  </rv>
  <rv s="0">
    <v>536870912</v>
    <v>Napton on the Hill</v>
    <v>6a8e512b-b992-7b5c-6748-98c432de0971</v>
    <v>en-GB</v>
    <v>Map</v>
  </rv>
  <rv s="2">
    <v>17</v>
    <v>6</v>
    <v>79</v>
    <v>7</v>
    <v>0</v>
    <v>Image of Napton on the Hill</v>
  </rv>
  <rv s="1">
    <fb>52.244999999999997</fb>
    <v>9</v>
  </rv>
  <rv s="3">
    <v>https://www.bing.com/search?q=napton-on-the-hill+united+kingdom&amp;form=skydnc</v>
    <v>Learn more on Bing</v>
  </rv>
  <rv s="1">
    <fb>-1.3260000000000001</fb>
    <v>9</v>
  </rv>
  <rv s="1">
    <fb>1144</fb>
    <v>8</v>
  </rv>
  <rv s="8">
    <v>#VALUE!</v>
    <v>en-GB</v>
    <v>6a8e512b-b992-7b5c-6748-98c432de0971</v>
    <v>536870912</v>
    <v>1</v>
    <v>80</v>
    <v>42</v>
    <v>Napton on the Hill</v>
    <v>4</v>
    <v>5</v>
    <v>Map</v>
    <v>6</v>
    <v>50</v>
    <v>2</v>
    <v>0</v>
    <v>4</v>
    <v>Napton on the Hill, often referred to locally as just Napton, is a village and civil parish 3 miles east of Southam in Warwickshire, England. The population of the civil parish taken at the 2021 census was 1,416.</v>
    <v>172</v>
    <v>173</v>
    <v>174</v>
    <v>175</v>
    <v>Napton on the Hill</v>
    <v>176</v>
    <v>Napton on the Hill</v>
    <v>mdp/vdpid/5471540659791855617</v>
  </rv>
  <rv s="0">
    <v>536870912</v>
    <v>Southam</v>
    <v>6eada6d5-25fd-9a16-cf01-a9162f287ab2</v>
    <v>en-GB</v>
    <v>Map</v>
  </rv>
  <rv s="2">
    <v>18</v>
    <v>6</v>
    <v>81</v>
    <v>7</v>
    <v>0</v>
    <v>Image of Southam</v>
  </rv>
  <rv s="1">
    <fb>52.252000000000002</fb>
    <v>9</v>
  </rv>
  <rv s="3">
    <v>https://www.bing.com/search?q=southam&amp;form=skydnc</v>
    <v>Learn more on Bing</v>
  </rv>
  <rv s="1">
    <fb>-1.39</fb>
    <v>9</v>
  </rv>
  <rv s="1">
    <fb>6567</fb>
    <v>8</v>
  </rv>
  <rv s="8">
    <v>#VALUE!</v>
    <v>en-GB</v>
    <v>6eada6d5-25fd-9a16-cf01-a9162f287ab2</v>
    <v>536870912</v>
    <v>1</v>
    <v>82</v>
    <v>42</v>
    <v>Southam</v>
    <v>4</v>
    <v>5</v>
    <v>Map</v>
    <v>6</v>
    <v>50</v>
    <v>2</v>
    <v>0</v>
    <v>4</v>
    <v>Southam is a market town and civil parish in the Stratford-on-Avon district of Warwickshire, England. Southam is situated on the River Stowe, which flows from Napton-on-the-Hill and joins Warwickshire's River Itchen at Stoneythorpe, just outside ...</v>
    <v>179</v>
    <v>180</v>
    <v>181</v>
    <v>182</v>
    <v>Southam</v>
    <v>183</v>
    <v>Southam</v>
    <v>mdp/vdpid/5471540493680640001</v>
  </rv>
  <rv s="0">
    <v>536870912</v>
    <v>Snitterfield</v>
    <v>aca09362-769f-8641-a7d6-a673e1efcf51</v>
    <v>en-GB</v>
    <v>Map</v>
  </rv>
  <rv s="2">
    <v>19</v>
    <v>6</v>
    <v>83</v>
    <v>7</v>
    <v>0</v>
    <v>Image of Snitterfield</v>
  </rv>
  <rv s="1">
    <fb>52.236472222221998</fb>
    <v>9</v>
  </rv>
  <rv s="3">
    <v>https://www.bing.com/search?q=snitterfield&amp;form=skydnc</v>
    <v>Learn more on Bing</v>
  </rv>
  <rv s="1">
    <fb>-1.6870027777778001</fb>
    <v>9</v>
  </rv>
  <rv s="1">
    <fb>1226</fb>
    <v>8</v>
  </rv>
  <rv s="8">
    <v>#VALUE!</v>
    <v>en-GB</v>
    <v>aca09362-769f-8641-a7d6-a673e1efcf51</v>
    <v>536870912</v>
    <v>1</v>
    <v>84</v>
    <v>42</v>
    <v>Snitterfield</v>
    <v>4</v>
    <v>5</v>
    <v>Map</v>
    <v>6</v>
    <v>50</v>
    <v>2</v>
    <v>0</v>
    <v>4</v>
    <v>Snitterfield is a village and civil parish in the Stratford on Avon district of Warwickshire, England, less than 1 mile to the north of the A46 road, 4.5 miles from Stratford upon Avon, 6.5 miles from Warwick and 17 miles from Coventry. The ...</v>
    <v>186</v>
    <v>187</v>
    <v>188</v>
    <v>189</v>
    <v>Snitterfield</v>
    <v>190</v>
    <v>Snitterfield</v>
    <v>mdp/vdpid/5471444118305505281</v>
  </rv>
  <rv s="0">
    <v>536870912</v>
    <v>Preston on Stour</v>
    <v>081246a2-a14a-85d1-10b2-5a0e08853751</v>
    <v>en-GB</v>
    <v>Map</v>
  </rv>
  <rv s="2">
    <v>20</v>
    <v>6</v>
    <v>85</v>
    <v>7</v>
    <v>0</v>
    <v>Image of Preston on Stour</v>
  </rv>
  <rv s="1">
    <fb>52.147300000000001</fb>
    <v>9</v>
  </rv>
  <rv s="3">
    <v>https://www.bing.com/search?q=preston+on+stour+united+kingdom&amp;form=skydnc</v>
    <v>Learn more on Bing</v>
  </rv>
  <rv s="1">
    <fb>-1.70418</fb>
    <v>9</v>
  </rv>
  <rv s="1">
    <fb>244</fb>
    <v>8</v>
  </rv>
  <rv s="8">
    <v>#VALUE!</v>
    <v>en-GB</v>
    <v>081246a2-a14a-85d1-10b2-5a0e08853751</v>
    <v>536870912</v>
    <v>1</v>
    <v>86</v>
    <v>42</v>
    <v>Preston on Stour</v>
    <v>4</v>
    <v>5</v>
    <v>Map</v>
    <v>6</v>
    <v>50</v>
    <v>2</v>
    <v>0</v>
    <v>4</v>
    <v>Preston on Stour is a village and civil parish in Warwickshire, England.</v>
    <v>193</v>
    <v>194</v>
    <v>195</v>
    <v>196</v>
    <v>Preston on Stour</v>
    <v>197</v>
    <v>Preston on Stour</v>
    <v>mdp/vdpid/5471447378202460162</v>
  </rv>
  <rv s="0">
    <v>536870912</v>
    <v>Preston Bagot</v>
    <v>397241c8-a7a9-cfe1-2b75-5af97c003e4c</v>
    <v>en-GB</v>
    <v>Map</v>
  </rv>
  <rv s="2">
    <v>21</v>
    <v>6</v>
    <v>87</v>
    <v>7</v>
    <v>0</v>
    <v>Image of Preston Bagot</v>
  </rv>
  <rv s="1">
    <fb>52.288899999999998</fb>
    <v>9</v>
  </rv>
  <rv s="3">
    <v>https://www.bing.com/search?q=preston+bagot&amp;form=skydnc</v>
    <v>Learn more on Bing</v>
  </rv>
  <rv s="1">
    <fb>-1.7478</fb>
    <v>9</v>
  </rv>
  <rv s="1">
    <fb>127</fb>
    <v>8</v>
  </rv>
  <rv s="8">
    <v>#VALUE!</v>
    <v>en-GB</v>
    <v>397241c8-a7a9-cfe1-2b75-5af97c003e4c</v>
    <v>536870912</v>
    <v>1</v>
    <v>88</v>
    <v>42</v>
    <v>Preston Bagot</v>
    <v>4</v>
    <v>5</v>
    <v>Map</v>
    <v>6</v>
    <v>50</v>
    <v>2</v>
    <v>0</v>
    <v>4</v>
    <v>Preston Bagot is a village and civil parish in the Stratford district of Warwickshire, England, about 6 miles west of the county town of Warwick. According to the 2001 census the population was 147, reducing to 127 at the 2011 census.</v>
    <v>200</v>
    <v>201</v>
    <v>202</v>
    <v>203</v>
    <v>Preston Bagot</v>
    <v>204</v>
    <v>Preston Bagot</v>
    <v>mdp/vdpid/5471443656713961473</v>
  </rv>
  <rv s="0">
    <v>536870912</v>
    <v>Clifford Chambers</v>
    <v>7d0cec8f-2f4e-c646-a92b-77132aad85ce</v>
    <v>en-GB</v>
    <v>Map</v>
  </rv>
  <rv s="0">
    <v>536870912</v>
    <v>Clifford Chambers and Milcote</v>
    <v>7e699753-7a83-45a4-ba7f-e829429e8399</v>
    <v>en-GB</v>
    <v>Map</v>
  </rv>
  <rv s="2">
    <v>22</v>
    <v>6</v>
    <v>89</v>
    <v>7</v>
    <v>0</v>
    <v>Image of Clifford Chambers</v>
  </rv>
  <rv s="1">
    <fb>52.1676</fb>
    <v>9</v>
  </rv>
  <rv s="3">
    <v>https://www.bing.com/search?q=clifford+chambers+united+kingdom&amp;form=skydnc</v>
    <v>Learn more on Bing</v>
  </rv>
  <rv s="1">
    <fb>-1.7126399999999999</fb>
    <v>9</v>
  </rv>
  <rv s="1">
    <fb>418</fb>
    <v>8</v>
  </rv>
  <rv s="8">
    <v>#VALUE!</v>
    <v>en-GB</v>
    <v>7d0cec8f-2f4e-c646-a92b-77132aad85ce</v>
    <v>536870912</v>
    <v>1</v>
    <v>91</v>
    <v>42</v>
    <v>Clifford Chambers</v>
    <v>4</v>
    <v>5</v>
    <v>Map</v>
    <v>6</v>
    <v>92</v>
    <v>0</v>
    <v>207</v>
    <v>4</v>
    <v>Clifford Chambers is a village and former civil parish two miles south of Stratford-upon-Avon town centre, in Warwickshire, England. It is on the B4632 road and one mile south of the A3400. It consists of 150 houses and the population of the ...</v>
    <v>208</v>
    <v>209</v>
    <v>210</v>
    <v>211</v>
    <v>Clifford Chambers</v>
    <v>212</v>
    <v>Clifford Chambers</v>
    <v>mdp/vdpid/5471447065491931137</v>
  </rv>
  <rv s="0">
    <v>536870912</v>
    <v>Norton Lindsey</v>
    <v>19590651-e5ca-bbf0-1d3a-c5e163935bda</v>
    <v>en-GB</v>
    <v>Map</v>
  </rv>
  <rv s="0">
    <v>536870912</v>
    <v>Warwick District</v>
    <v>3e000995-04cf-3e58-dc3d-856ffbad4443</v>
    <v>en-GB</v>
    <v>Map</v>
  </rv>
  <rv s="2">
    <v>23</v>
    <v>6</v>
    <v>93</v>
    <v>7</v>
    <v>0</v>
    <v>Image of Norton Lindsey</v>
  </rv>
  <rv s="1">
    <fb>52.25</fb>
    <v>9</v>
  </rv>
  <rv s="3">
    <v>https://www.bing.com/search?q=norton+lindsey&amp;form=skydnc</v>
    <v>Learn more on Bing</v>
  </rv>
  <rv s="1">
    <fb>-1.6666700000000001</fb>
    <v>9</v>
  </rv>
  <rv s="7">
    <v>#VALUE!</v>
    <v>en-GB</v>
    <v>19590651-e5ca-bbf0-1d3a-c5e163935bda</v>
    <v>536870912</v>
    <v>1</v>
    <v>94</v>
    <v>39</v>
    <v>Norton Lindsey</v>
    <v>4</v>
    <v>5</v>
    <v>Map</v>
    <v>6</v>
    <v>2</v>
    <v>215</v>
    <v>4</v>
    <v>Norton Lindsey is a village and civil parish in Warwickshire, England, 3.5 miles south-west of the tourist and county town of Warwick and a mile west of the M40 motorway. At the 2011 census, the parish had a population of 326. The village takes ...</v>
    <v>216</v>
    <v>217</v>
    <v>218</v>
    <v>219</v>
    <v>Norton Lindsey</v>
    <v>Norton Lindsey</v>
    <v>mdp/vdpid/5471444279182229505</v>
  </rv>
  <rv s="0">
    <v>536870912</v>
    <v>Whichford</v>
    <v>a65e6217-d086-879f-aaa0-c318dcac3a9b</v>
    <v>en-GB</v>
    <v>Map</v>
  </rv>
  <rv s="2">
    <v>24</v>
    <v>6</v>
    <v>95</v>
    <v>7</v>
    <v>0</v>
    <v>Image of Whichford</v>
  </rv>
  <rv s="1">
    <fb>52.01</fb>
    <v>9</v>
  </rv>
  <rv s="3">
    <v>https://www.bing.com/search?q=whichford+united+kingdom&amp;form=skydnc</v>
    <v>Learn more on Bing</v>
  </rv>
  <rv s="1">
    <fb>336</fb>
    <v>8</v>
  </rv>
  <rv s="8">
    <v>#VALUE!</v>
    <v>en-GB</v>
    <v>a65e6217-d086-879f-aaa0-c318dcac3a9b</v>
    <v>536870912</v>
    <v>1</v>
    <v>96</v>
    <v>42</v>
    <v>Whichford</v>
    <v>4</v>
    <v>5</v>
    <v>Map</v>
    <v>6</v>
    <v>50</v>
    <v>2</v>
    <v>0</v>
    <v>4</v>
    <v>Whichford is a village and civil parish in Warwickshire, England, about 5 miles southeast of Shipston-on-Stour. The parish adjoins the county boundary with Oxfordshire and the village is about 4+1⁄2 miles north of the Oxfordshire town of ...</v>
    <v>222</v>
    <v>223</v>
    <v>224</v>
    <v>93</v>
    <v>Whichford</v>
    <v>225</v>
    <v>Whichford</v>
    <v>mdp/vdpid/5471638311627915265</v>
  </rv>
  <rv s="0">
    <v>536870912</v>
    <v>Ascott, Warwickshire</v>
    <v>ff3b2d8c-84c9-7d26-08a0-68d723628ac4</v>
    <v>en-GB</v>
    <v>Map</v>
  </rv>
  <rv s="2">
    <v>25</v>
    <v>6</v>
    <v>97</v>
    <v>7</v>
    <v>0</v>
    <v>Image of Ascott, Warwickshire</v>
  </rv>
  <rv s="3">
    <v>https://www.bing.com/search?q=ascott%2c+warwickshire+united+kingdom&amp;form=skydnc</v>
    <v>Learn more on Bing</v>
  </rv>
  <rv s="1">
    <fb>-1.5309999999999999</fb>
    <v>9</v>
  </rv>
  <rv s="7">
    <v>#VALUE!</v>
    <v>en-GB</v>
    <v>ff3b2d8c-84c9-7d26-08a0-68d723628ac4</v>
    <v>536870912</v>
    <v>1</v>
    <v>98</v>
    <v>39</v>
    <v>Ascott, Warwickshire</v>
    <v>4</v>
    <v>5</v>
    <v>Map</v>
    <v>6</v>
    <v>0</v>
    <v>221</v>
    <v>4</v>
    <v>Ascott is a village in Warwickshire, England. Population details can be found under Whichford.</v>
    <v>228</v>
    <v>223</v>
    <v>229</v>
    <v>230</v>
    <v>Ascott, Warwickshire</v>
    <v>Ascott, Warwickshire</v>
    <v>mdp/vdpid/5471638416149970945</v>
  </rv>
  <rv s="0">
    <v>536870912</v>
    <v>Luddington, Warwickshire</v>
    <v>0b7a84b8-b60a-3f52-8529-cb132ba281e7</v>
    <v>en-GB</v>
    <v>Map</v>
  </rv>
  <rv s="2">
    <v>26</v>
    <v>6</v>
    <v>99</v>
    <v>7</v>
    <v>0</v>
    <v>Image of Luddington, Warwickshire</v>
  </rv>
  <rv s="1">
    <fb>52.170094444443997</fb>
    <v>9</v>
  </rv>
  <rv s="3">
    <v>https://www.bing.com/search?q=luddington+united+kingdom&amp;form=skydnc</v>
    <v>Learn more on Bing</v>
  </rv>
  <rv s="1">
    <fb>-1.7599861111110999</fb>
    <v>9</v>
  </rv>
  <rv s="1">
    <fb>475</fb>
    <v>8</v>
  </rv>
  <rv s="8">
    <v>#VALUE!</v>
    <v>en-GB</v>
    <v>0b7a84b8-b60a-3f52-8529-cb132ba281e7</v>
    <v>536870912</v>
    <v>1</v>
    <v>100</v>
    <v>42</v>
    <v>Luddington, Warwickshire</v>
    <v>4</v>
    <v>5</v>
    <v>Map</v>
    <v>6</v>
    <v>50</v>
    <v>2</v>
    <v>0</v>
    <v>4</v>
    <v>Luddington is a small village and civil parish in the English county of Warwickshire. The population in 2001 was 457, increasing to 475 at the 2011 Census. It is located about 5 kilometres outside the town of Stratford-upon-Avon on the banks of ...</v>
    <v>233</v>
    <v>234</v>
    <v>235</v>
    <v>236</v>
    <v>Luddington, Warwickshire</v>
    <v>237</v>
    <v>Luddington, Warwickshire</v>
    <v>mdp/vdpid/5471447031199301633</v>
  </rv>
  <rv s="0">
    <v>536870912</v>
    <v>Newbold on Stour</v>
    <v>9e9a4b89-29df-7029-dd30-588fa0c3c5f4</v>
    <v>en-GB</v>
    <v>Map</v>
  </rv>
  <rv s="0">
    <v>536870912</v>
    <v>Tredington</v>
    <v>85320d9f-4276-b087-d198-cb8be930e96a</v>
    <v>en-GB</v>
    <v>Map</v>
  </rv>
  <rv s="2">
    <v>27</v>
    <v>6</v>
    <v>101</v>
    <v>7</v>
    <v>0</v>
    <v>Image of Newbold on Stour</v>
  </rv>
  <rv s="3">
    <v>https://www.bing.com/search?q=newbold+on+stour+united+kingdom&amp;form=skydnc</v>
    <v>Learn more on Bing</v>
  </rv>
  <rv s="1">
    <fb>-1.64</fb>
    <v>9</v>
  </rv>
  <rv s="7">
    <v>#VALUE!</v>
    <v>en-GB</v>
    <v>9e9a4b89-29df-7029-dd30-588fa0c3c5f4</v>
    <v>536870912</v>
    <v>1</v>
    <v>102</v>
    <v>39</v>
    <v>Newbold on Stour</v>
    <v>4</v>
    <v>5</v>
    <v>Map</v>
    <v>6</v>
    <v>0</v>
    <v>240</v>
    <v>4</v>
    <v>Newbold on Stour is a village in Warwickshire about 6 miles south of Stratford upon Avon. Population details are included within Tredington. The Church of England parish church of Saint David was built in 1833. It was restored in 1884-89 and the ...</v>
    <v>241</v>
    <v>100</v>
    <v>242</v>
    <v>243</v>
    <v>Newbold on Stour</v>
    <v>Newbold on Stour</v>
    <v>mdp/vdpid/5471448644479614978</v>
  </rv>
  <rv s="0">
    <v>536870912</v>
    <v>Elmstone Hardwicke</v>
    <v>9b998bf0-5e95-fc00-d38b-fb941c234801</v>
    <v>en-GB</v>
    <v>Map</v>
  </rv>
  <rv s="2">
    <v>28</v>
    <v>6</v>
    <v>103</v>
    <v>7</v>
    <v>0</v>
    <v>Image of Elmstone Hardwicke</v>
  </rv>
  <rv s="1">
    <fb>51.932899999999997</fb>
    <v>9</v>
  </rv>
  <rv s="3">
    <v>https://www.bing.com/search?q=elmstone+hardwicke+tewkesbury+borough+council+united+kingdom&amp;form=skydnc</v>
    <v>Learn more on Bing</v>
  </rv>
  <rv s="1">
    <fb>-2.1170399999999998</fb>
    <v>9</v>
  </rv>
  <rv s="1">
    <fb>296</fb>
    <v>8</v>
  </rv>
  <rv s="13">
    <v>#VALUE!</v>
    <v>en-GB</v>
    <v>9b998bf0-5e95-fc00-d38b-fb941c234801</v>
    <v>536870912</v>
    <v>1</v>
    <v>105</v>
    <v>106</v>
    <v>Elmstone Hardwicke</v>
    <v>4</v>
    <v>5</v>
    <v>Map</v>
    <v>6</v>
    <v>50</v>
    <v>4</v>
    <v>Elmstone Hardwicke is a village and sizeable parish north-west of Cheltenham in Gloucestershire, England. St Mary Magdelene Church may be considered the hub of the village; its location is grid reference so920260. The church has a 9th-century ...</v>
    <v>246</v>
    <v>247</v>
    <v>248</v>
    <v>249</v>
    <v>Elmstone Hardwicke</v>
    <v>250</v>
    <v>Elmstone Hardwicke</v>
    <v>mdp/vdpid/5471604905674276865</v>
  </rv>
  <rv s="0">
    <v>536870912</v>
    <v>Church Lench</v>
    <v>2eaef3cd-6421-11ec-4f63-c67681ef706b</v>
    <v>en-GB</v>
    <v>Map</v>
  </rv>
  <rv s="2">
    <v>29</v>
    <v>6</v>
    <v>107</v>
    <v>7</v>
    <v>0</v>
    <v>Image of Church Lench</v>
  </rv>
  <rv s="1">
    <fb>52.159638888888999</fb>
    <v>9</v>
  </rv>
  <rv s="3">
    <v>https://www.bing.com/search?q=church+lench+wychavon&amp;form=skydnc</v>
    <v>Learn more on Bing</v>
  </rv>
  <rv s="1">
    <fb>-1.9630000000000001</fb>
    <v>9</v>
  </rv>
  <rv s="14">
    <v>#VALUE!</v>
    <v>en-GB</v>
    <v>2eaef3cd-6421-11ec-4f63-c67681ef706b</v>
    <v>536870912</v>
    <v>1</v>
    <v>108</v>
    <v>109</v>
    <v>Church Lench</v>
    <v>4</v>
    <v>5</v>
    <v>Map</v>
    <v>6</v>
    <v>96</v>
    <v>4</v>
    <v>Church Lench is a village and former civil parish, now in the parish of South Lenches, in the Wychavon district, in the county of Worcestershire, England, approximately 5.5 miles due north of Evesham and 13 miles due west of Stratford-upon-Avon. ...</v>
    <v>253</v>
    <v>254</v>
    <v>255</v>
    <v>256</v>
    <v>Church Lench</v>
    <v>Church Lench</v>
    <v>mdp/vdpid/5471439133844963329</v>
  </rv>
  <rv s="0">
    <v>536870912</v>
    <v>Stretton-on-Fosse</v>
    <v>82fecb08-c3f2-cfcc-f077-5c857d9e6ae8</v>
    <v>en-GB</v>
    <v>Map</v>
  </rv>
  <rv s="2">
    <v>30</v>
    <v>6</v>
    <v>110</v>
    <v>7</v>
    <v>0</v>
    <v>Image of Stretton-on-Fosse</v>
  </rv>
  <rv s="1">
    <fb>52.043999999999997</fb>
    <v>9</v>
  </rv>
  <rv s="3">
    <v>https://www.bing.com/search?q=stretton-on-fosse&amp;form=skydnc</v>
    <v>Learn more on Bing</v>
  </rv>
  <rv s="1">
    <fb>-1.6779999999999999</fb>
    <v>9</v>
  </rv>
  <rv s="1">
    <fb>439</fb>
    <v>8</v>
  </rv>
  <rv s="8">
    <v>#VALUE!</v>
    <v>en-GB</v>
    <v>82fecb08-c3f2-cfcc-f077-5c857d9e6ae8</v>
    <v>536870912</v>
    <v>1</v>
    <v>111</v>
    <v>42</v>
    <v>Stretton-on-Fosse</v>
    <v>4</v>
    <v>5</v>
    <v>Map</v>
    <v>6</v>
    <v>50</v>
    <v>2</v>
    <v>0</v>
    <v>4</v>
    <v>Stretton-on-Fosse is a village in the Stratford-on-Avon District in Warwickshire, England. It is situated between the towns of Moreton-in-Marsh and Shipston-on-Stour. The village is situated along the ancient Fosse Way road which runs from ...</v>
    <v>259</v>
    <v>260</v>
    <v>261</v>
    <v>262</v>
    <v>Stretton-on-Fosse</v>
    <v>263</v>
    <v>Stretton-on-Fosse</v>
    <v>mdp/vdpid/5471448578478047233</v>
  </rv>
  <rv s="0">
    <v>536870912</v>
    <v>Bishampton</v>
    <v>a8340a2e-4322-bc19-8329-7695e79bd9b7</v>
    <v>en-GB</v>
    <v>Map</v>
  </rv>
  <rv s="2">
    <v>31</v>
    <v>6</v>
    <v>112</v>
    <v>7</v>
    <v>0</v>
    <v>Image of Bishampton</v>
  </rv>
  <rv s="1">
    <fb>52.160094444443999</fb>
    <v>9</v>
  </rv>
  <rv s="3">
    <v>https://www.bing.com/search?q=bishampton+united+kingdom&amp;form=skydnc</v>
    <v>Learn more on Bing</v>
  </rv>
  <rv s="1">
    <fb>-2.0175083333332999</fb>
    <v>9</v>
  </rv>
  <rv s="1">
    <fb>675</fb>
    <v>8</v>
  </rv>
  <rv s="8">
    <v>#VALUE!</v>
    <v>en-GB</v>
    <v>a8340a2e-4322-bc19-8329-7695e79bd9b7</v>
    <v>536870912</v>
    <v>1</v>
    <v>113</v>
    <v>42</v>
    <v>Bishampton</v>
    <v>4</v>
    <v>5</v>
    <v>Map</v>
    <v>6</v>
    <v>50</v>
    <v>97</v>
    <v>96</v>
    <v>4</v>
    <v>Bishampton is a village and civil parish in the Wychavon district of Worcestershire, England with a population of 625. It contains a church, a village shop and post office, a hairdresser, a village hall with a park and children's play areas. ...</v>
    <v>266</v>
    <v>267</v>
    <v>268</v>
    <v>269</v>
    <v>Bishampton</v>
    <v>270</v>
    <v>Bishampton</v>
    <v>mdp/vdpid/5471438996640890881</v>
  </rv>
  <rv s="0">
    <v>536870912</v>
    <v>Ab Lench</v>
    <v>d995ec4f-7c93-105e-e30c-57591966b815</v>
    <v>en-GB</v>
    <v>Map</v>
  </rv>
  <rv s="2">
    <v>32</v>
    <v>6</v>
    <v>114</v>
    <v>7</v>
    <v>0</v>
    <v>Image of Ab Lench</v>
  </rv>
  <rv s="1">
    <fb>52.164549999999998</fb>
    <v>9</v>
  </rv>
  <rv s="3">
    <v>https://www.bing.com/search?q=ab+lench+united+kingdom&amp;form=skydnc</v>
    <v>Learn more on Bing</v>
  </rv>
  <rv s="1">
    <fb>-1.9830300000000001</fb>
    <v>9</v>
  </rv>
  <rv s="7">
    <v>#VALUE!</v>
    <v>en-GB</v>
    <v>d995ec4f-7c93-105e-e30c-57591966b815</v>
    <v>536870912</v>
    <v>1</v>
    <v>115</v>
    <v>39</v>
    <v>Ab Lench</v>
    <v>4</v>
    <v>5</v>
    <v>Map</v>
    <v>6</v>
    <v>97</v>
    <v>96</v>
    <v>4</v>
    <v>Ab Lench is a village and former civil parish, now in the parish of South Lenches, in the Wychavon district, in the county of Worcestershire, England. The village lies 1 mile from Church Lench and Rous Lench, 2 miles from Harvington and 4 miles ...</v>
    <v>273</v>
    <v>274</v>
    <v>275</v>
    <v>276</v>
    <v>Ab Lench</v>
    <v>Ab Lench</v>
    <v>mdp/vdpid/5471439130405634049</v>
  </rv>
  <rv s="0">
    <v>536870912</v>
    <v>Hampton Lucy</v>
    <v>637f0cc7-ef3d-d92f-13ae-ab9e3c61e921</v>
    <v>en-GB</v>
    <v>Map</v>
  </rv>
  <rv s="2">
    <v>33</v>
    <v>6</v>
    <v>116</v>
    <v>7</v>
    <v>0</v>
    <v>Image of Hampton Lucy</v>
  </rv>
  <rv s="1">
    <fb>52.211500000000001</fb>
    <v>9</v>
  </rv>
  <rv s="3">
    <v>https://www.bing.com/search?q=hampton+lucy+united+kingdom&amp;form=skydnc</v>
    <v>Learn more on Bing</v>
  </rv>
  <rv s="1">
    <fb>-1.62822</fb>
    <v>9</v>
  </rv>
  <rv s="1">
    <fb>566</fb>
    <v>8</v>
  </rv>
  <rv s="8">
    <v>#VALUE!</v>
    <v>en-GB</v>
    <v>637f0cc7-ef3d-d92f-13ae-ab9e3c61e921</v>
    <v>536870912</v>
    <v>1</v>
    <v>117</v>
    <v>42</v>
    <v>Hampton Lucy</v>
    <v>4</v>
    <v>5</v>
    <v>Map</v>
    <v>6</v>
    <v>50</v>
    <v>2</v>
    <v>0</v>
    <v>4</v>
    <v>Hampton Lucy is a village and civil parish on the River Avon, 4 miles northeast of Stratford-upon-Avon in Warwickshire England. The population of the civil parish as taken at the 2011 census was 566.</v>
    <v>279</v>
    <v>280</v>
    <v>281</v>
    <v>282</v>
    <v>Hampton Lucy</v>
    <v>283</v>
    <v>Hampton Lucy</v>
    <v>mdp/vdpid/5471444598687531009</v>
  </rv>
  <rv s="0">
    <v>536870912</v>
    <v>Barford, Warwickshire</v>
    <v>9b8b5184-9458-7b45-bcdd-76e4305efb71</v>
    <v>en-GB</v>
    <v>Map</v>
  </rv>
  <rv s="2">
    <v>34</v>
    <v>6</v>
    <v>118</v>
    <v>7</v>
    <v>0</v>
    <v>Image of Barford, Warwickshire</v>
  </rv>
  <rv s="3">
    <v>https://www.bing.com/search?q=barford+united+kingdom&amp;form=skydnc</v>
    <v>Learn more on Bing</v>
  </rv>
  <rv s="1">
    <fb>-1.605</fb>
    <v>9</v>
  </rv>
  <rv s="1">
    <fb>1336</fb>
    <v>8</v>
  </rv>
  <rv s="8">
    <v>#VALUE!</v>
    <v>en-GB</v>
    <v>9b8b5184-9458-7b45-bcdd-76e4305efb71</v>
    <v>536870912</v>
    <v>1</v>
    <v>120</v>
    <v>42</v>
    <v>Barford, Warwickshire</v>
    <v>4</v>
    <v>5</v>
    <v>Map</v>
    <v>6</v>
    <v>50</v>
    <v>2</v>
    <v>215</v>
    <v>4</v>
    <v>Barford is a village and civil parish in the Warwick district of Warwickshire, England, about three miles south of Warwick. As at the 2001 census the parish had a population of 1,171, that increased to 1,336 at the 2011 census. The Joint parish ...</v>
    <v>286</v>
    <v>173</v>
    <v>287</v>
    <v>288</v>
    <v>Barford, Warwickshire</v>
    <v>289</v>
    <v>Barford, Warwickshire</v>
    <v>mdp/vdpid/5471444652559171585</v>
  </rv>
  <rv s="0">
    <v>536870912</v>
    <v>Weston-on-Avon</v>
    <v>3d112dd6-c515-377e-9443-09a6f0a22f05</v>
    <v>en-GB</v>
    <v>Map</v>
  </rv>
  <rv s="2">
    <v>35</v>
    <v>6</v>
    <v>121</v>
    <v>7</v>
    <v>0</v>
    <v>Image of Weston-on-Avon</v>
  </rv>
  <rv s="1">
    <fb>52.164999999999999</fb>
    <v>9</v>
  </rv>
  <rv s="3">
    <v>https://www.bing.com/search?q=weston-on-avon+united+kingdom&amp;form=skydnc</v>
    <v>Learn more on Bing</v>
  </rv>
  <rv s="1">
    <fb>-1.77</fb>
    <v>9</v>
  </rv>
  <rv s="1">
    <fb>170</fb>
    <v>8</v>
  </rv>
  <rv s="8">
    <v>#VALUE!</v>
    <v>en-GB</v>
    <v>3d112dd6-c515-377e-9443-09a6f0a22f05</v>
    <v>536870912</v>
    <v>1</v>
    <v>122</v>
    <v>42</v>
    <v>Weston-on-Avon</v>
    <v>4</v>
    <v>5</v>
    <v>Map</v>
    <v>6</v>
    <v>50</v>
    <v>2</v>
    <v>0</v>
    <v>4</v>
    <v>Weston-on-Avon is a village in Warwickshire, England. The population of the Civil Parish taken at the 2011 census was 170. It is about 3 miles south-west of the town of Stratford-upon-Avon.</v>
    <v>292</v>
    <v>293</v>
    <v>294</v>
    <v>295</v>
    <v>Weston-on-Avon</v>
    <v>296</v>
    <v>Weston-on-Avon</v>
    <v>mdp/vdpid/5471441148872491009</v>
  </rv>
  <rv s="0">
    <v>536870912</v>
    <v>Welford-on-Avon</v>
    <v>2654f7aa-5723-2a78-f901-bcc7ccce3468</v>
    <v>en-GB</v>
    <v>Map</v>
  </rv>
  <rv s="2">
    <v>36</v>
    <v>6</v>
    <v>123</v>
    <v>7</v>
    <v>0</v>
    <v>Image of Welford-on-Avon</v>
  </rv>
  <rv s="1">
    <fb>52.168056111111099</fb>
    <v>9</v>
  </rv>
  <rv s="3">
    <v>https://www.bing.com/search?q=welford-on-avon+united+kingdom&amp;form=skydnc</v>
    <v>Learn more on Bing</v>
  </rv>
  <rv s="1">
    <fb>-1.78388888888889</fb>
    <v>9</v>
  </rv>
  <rv s="1">
    <fb>1420</fb>
    <v>8</v>
  </rv>
  <rv s="8">
    <v>#VALUE!</v>
    <v>en-GB</v>
    <v>2654f7aa-5723-2a78-f901-bcc7ccce3468</v>
    <v>536870912</v>
    <v>1</v>
    <v>124</v>
    <v>42</v>
    <v>Welford-on-Avon</v>
    <v>4</v>
    <v>5</v>
    <v>Map</v>
    <v>6</v>
    <v>50</v>
    <v>2</v>
    <v>0</v>
    <v>4</v>
    <v>Welford-on-Avon is a village situated some 4 miles west-south-west of Stratford-upon-Avon in the county of Warwickshire, England. The population was measured at 1,420 in the 2011 census. Until 1931, Welford-on-Avon was in Gloucestershire, when ...</v>
    <v>299</v>
    <v>300</v>
    <v>301</v>
    <v>302</v>
    <v>Welford-on-Avon</v>
    <v>303</v>
    <v>Welford-on-Avon</v>
    <v>mdp/vdpid/5471441330368413697</v>
  </rv>
</rvData>
</file>

<file path=xl/richData/rdrichvaluestructure.xml><?xml version="1.0" encoding="utf-8"?>
<rvStructures xmlns="http://schemas.microsoft.com/office/spreadsheetml/2017/richdata" count="15">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UniqueName" t="s"/>
    <k n="VDPID/VSID" t="s"/>
  </s>
  <s t="_array">
    <k n="array" t="a"/>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Admin Division 2 (County/district/other)" t="r"/>
    <k n="Country/region" t="r"/>
    <k n="Description" t="s"/>
    <k n="Image" t="r"/>
    <k n="Latitude" t="r"/>
    <k n="LearnMoreOnLink" t="r"/>
    <k n="Longitude" t="r"/>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Country/region" t="r"/>
    <k n="Description" t="s"/>
    <k n="Image" t="r"/>
    <k n="Latitude" t="r"/>
    <k n="Leader(s)"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Country/region" t="r"/>
    <k n="Description" t="s"/>
    <k n="Image" t="r"/>
    <k n="Latitude" t="r"/>
    <k n="LearnMoreOnLink" t="r"/>
    <k n="Longitude" t="r"/>
    <k n="Name" t="s"/>
    <k n="UniqueName" t="s"/>
    <k n="VDPID/VSID" t="s"/>
  </s>
</rvStructures>
</file>

<file path=xl/richData/rdsupportingpropertybag.xml><?xml version="1.0" encoding="utf-8"?>
<supportingPropertyBags xmlns="http://schemas.microsoft.com/office/spreadsheetml/2017/richdata2">
  <spbArrays count="10">
    <a count="25">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Admin Division 2 (County/district/other)</v>
      <v t="s">Admin Division 1 (State/province/other)</v>
      <v t="s">Country/region</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Latitude</v>
      <v t="s">Longitude</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Country/region</v>
      <v t="s">Leader(s)</v>
      <v t="s">_SubLabel</v>
      <v t="s">Population</v>
      <v t="s">Latitude</v>
      <v t="s">Longitude</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Country/region</v>
      <v t="s">_SubLabel</v>
      <v t="s">Population</v>
      <v t="s">Latitude</v>
      <v t="s">Longitude</v>
      <v t="s">Time zone(s)</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Admin Division 2 (County/district/other)</v>
      <v t="s">Country/region</v>
      <v t="s">_SubLabel</v>
      <v t="s">Population</v>
      <v t="s">Latitude</v>
      <v t="s">Longitude</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Country/region</v>
      <v t="s">_SubLabel</v>
      <v t="s">Population</v>
      <v t="s">Latitude</v>
      <v t="s">Longitude</v>
      <v t="s">_Flags</v>
      <v t="s">VDPID/VSID</v>
      <v t="s">UniqueName</v>
      <v t="s">_DisplayString</v>
      <v t="s">LearnMoreOnLink</v>
      <v t="s">Image</v>
      <v t="s">Description</v>
    </a>
    <a count="21">
      <v t="s">%EntityServiceId</v>
      <v t="s">%IsRefreshable</v>
      <v t="s">%EntityCulture</v>
      <v t="s">%EntityId</v>
      <v t="s">_Icon</v>
      <v t="s">_Provider</v>
      <v t="s">_Attribution</v>
      <v t="s">_Display</v>
      <v t="s">Name</v>
      <v t="s">_Format</v>
      <v t="s">Admin Division 1 (State/province/other)</v>
      <v t="s">Country/region</v>
      <v t="s">Latitude</v>
      <v t="s">Longitude</v>
      <v t="s">_Flags</v>
      <v t="s">VDPID/VSID</v>
      <v t="s">UniqueName</v>
      <v t="s">_DisplayString</v>
      <v t="s">LearnMoreOnLink</v>
      <v t="s">Image</v>
      <v t="s">Description</v>
    </a>
  </spbArrays>
  <spbData count="125">
    <spb s="0">
      <v xml:space="preserve">Wikipedia	</v>
      <v xml:space="preserve">CC BY-SA 3.0	</v>
      <v xml:space="preserve">https://en.wikipedia.org/wiki/Stratford-on-Avon_District	</v>
      <v xml:space="preserve">https://creativecommons.org/licenses/by-sa/3.0	</v>
    </spb>
    <spb s="1">
      <v>0</v>
      <v>0</v>
      <v>0</v>
      <v>0</v>
      <v>0</v>
      <v>0</v>
      <v>0</v>
      <v>0</v>
      <v>0</v>
      <v>0</v>
    </spb>
    <spb s="2">
      <v>0</v>
      <v>Name</v>
      <v>LearnMoreOnLink</v>
    </spb>
    <spb s="3">
      <v>0</v>
      <v>0</v>
      <v>0</v>
    </spb>
    <spb s="4">
      <v>3</v>
      <v>3</v>
      <v>3</v>
    </spb>
    <spb s="5">
      <v>1</v>
      <v>2</v>
    </spb>
    <spb s="6">
      <v>https://www.bing.com</v>
      <v>https://www.bing.com/th?id=Ga%5Cbing_yt.png&amp;w=100&amp;h=40&amp;c=0&amp;pid=0.1</v>
      <v>Powered by Bing</v>
    </spb>
    <spb s="7">
      <v>square km</v>
      <v>2022</v>
    </spb>
    <spb s="8">
      <v>3</v>
    </spb>
    <spb s="8">
      <v>4</v>
    </spb>
    <spb s="0">
      <v xml:space="preserve">data.worldbank.org	</v>
      <v xml:space="preserve">	</v>
      <v xml:space="preserve">http://data.worldbank.org/indicator/FP.CPI.TOTL	</v>
      <v xml:space="preserve">	</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9">
      <v>10</v>
      <v>11</v>
      <v>12</v>
      <v>12</v>
      <v>13</v>
      <v>12</v>
      <v>12</v>
      <v>12</v>
      <v>14</v>
      <v>12</v>
      <v>12</v>
      <v>14</v>
      <v>12</v>
      <v>12</v>
      <v>15</v>
      <v>16</v>
      <v>11</v>
      <v>15</v>
      <v>17</v>
      <v>12</v>
      <v>15</v>
      <v>18</v>
      <v>19</v>
      <v>20</v>
      <v>15</v>
      <v>15</v>
      <v>12</v>
      <v>15</v>
      <v>21</v>
      <v>22</v>
      <v>23</v>
      <v>24</v>
      <v>15</v>
      <v>11</v>
      <v>15</v>
      <v>15</v>
      <v>15</v>
      <v>15</v>
      <v>15</v>
      <v>15</v>
      <v>15</v>
      <v>15</v>
      <v>15</v>
      <v>15</v>
      <v>25</v>
    </spb>
    <spb s="2">
      <v>1</v>
      <v>Name</v>
      <v>LearnMoreOnLink</v>
    </spb>
    <spb s="10">
      <v>2019</v>
      <v>2019</v>
      <v>square km</v>
      <v>per thousand (2018)</v>
      <v>2021</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8">
      <v>5</v>
    </spb>
    <spb s="8">
      <v>6</v>
    </spb>
    <spb s="8">
      <v>7</v>
    </spb>
    <spb s="8">
      <v>8</v>
    </spb>
    <spb s="8">
      <v>9</v>
    </spb>
    <spb s="8">
      <v>10</v>
    </spb>
    <spb s="8">
      <v>11</v>
    </spb>
    <spb s="8">
      <v>12</v>
    </spb>
    <spb s="0">
      <v xml:space="preserve">Wikipedia	</v>
      <v xml:space="preserve">CC BY-SA 3.0	</v>
      <v xml:space="preserve">https://en.wikipedia.org/wiki/Alveston,_Warwickshire	</v>
      <v xml:space="preserve">https://creativecommons.org/licenses/by-sa/3.0	</v>
    </spb>
    <spb s="11">
      <v>37</v>
      <v>37</v>
      <v>37</v>
      <v>37</v>
      <v>37</v>
      <v>37</v>
      <v>37</v>
      <v>37</v>
    </spb>
    <spb s="2">
      <v>2</v>
      <v>Name</v>
      <v>LearnMoreOnLink</v>
    </spb>
    <spb s="0">
      <v xml:space="preserve">Wikipedia	</v>
      <v xml:space="preserve">CC BY-SA 3.0	</v>
      <v xml:space="preserve">https://en.wikipedia.org/wiki/Stratford-upon-Avon	</v>
      <v xml:space="preserve">https://creativecommons.org/licenses/by-sa/3.0	</v>
    </spb>
    <spb s="12">
      <v>40</v>
      <v>40</v>
      <v>40</v>
      <v>40</v>
      <v>40</v>
      <v>40</v>
      <v>40</v>
      <v>40</v>
      <v>40</v>
    </spb>
    <spb s="2">
      <v>3</v>
      <v>Name</v>
      <v>LearnMoreOnLink</v>
    </spb>
    <spb s="13">
      <v>2021</v>
    </spb>
    <spb s="0">
      <v xml:space="preserve">Wikipedia	</v>
      <v xml:space="preserve">CC BY-SA 3.0	</v>
      <v xml:space="preserve">https://en.wikipedia.org/wiki/Tiddington,_Warwickshire	</v>
      <v xml:space="preserve">https://creativecommons.org/licenses/by-sa/3.0	</v>
    </spb>
    <spb s="11">
      <v>44</v>
      <v>44</v>
      <v>44</v>
      <v>44</v>
      <v>44</v>
      <v>44</v>
      <v>44</v>
      <v>44</v>
    </spb>
    <spb s="0">
      <v xml:space="preserve">Wikipedia	</v>
      <v xml:space="preserve">CC BY-SA 3.0	</v>
      <v xml:space="preserve">https://en.wikipedia.org/wiki/Tewkesbury	</v>
      <v xml:space="preserve">https://creativecommons.org/licenses/by-sa/3.0	</v>
    </spb>
    <spb s="0">
      <v xml:space="preserve">Wikipedia	</v>
      <v xml:space="preserve">CC-BY-SA	</v>
      <v xml:space="preserve">http://en.wikipedia.org/wiki/Tewkesbury	</v>
      <v xml:space="preserve">http://creativecommons.org/licenses/by-sa/3.0/	</v>
    </spb>
    <spb s="14">
      <v>46</v>
      <v>46</v>
      <v>46</v>
      <v>47</v>
      <v>46</v>
      <v>46</v>
      <v>46</v>
    </spb>
    <spb s="2">
      <v>4</v>
      <v>Name</v>
      <v>LearnMoreOnLink</v>
    </spb>
    <spb s="13">
      <v>2011</v>
    </spb>
    <spb s="0">
      <v xml:space="preserve">Wikipedia	</v>
      <v xml:space="preserve">CC BY-SA 3.0	</v>
      <v xml:space="preserve">https://en.wikipedia.org/wiki/Brailes	</v>
      <v xml:space="preserve">https://creativecommons.org/licenses/by-sa/3.0	</v>
    </spb>
    <spb s="12">
      <v>51</v>
      <v>51</v>
      <v>51</v>
      <v>51</v>
      <v>51</v>
      <v>51</v>
      <v>51</v>
      <v>51</v>
      <v>51</v>
    </spb>
    <spb s="0">
      <v xml:space="preserve">Wikipedia	</v>
      <v xml:space="preserve">CC BY-SA 3.0	</v>
      <v xml:space="preserve">https://en.wikipedia.org/wiki/Wychavon	</v>
      <v xml:space="preserve">https://creativecommons.org/licenses/by-sa/3.0	</v>
    </spb>
    <spb s="1">
      <v>53</v>
      <v>53</v>
      <v>53</v>
      <v>53</v>
      <v>53</v>
      <v>53</v>
      <v>53</v>
      <v>53</v>
      <v>53</v>
      <v>53</v>
    </spb>
    <spb s="0">
      <v xml:space="preserve">Wikipedia	</v>
      <v xml:space="preserve">CC BY-SA 3.0	</v>
      <v xml:space="preserve">https://en.wikipedia.org/wiki/Pershore	</v>
      <v xml:space="preserve">https://creativecommons.org/licenses/by-sa/3.0	</v>
    </spb>
    <spb s="12">
      <v>55</v>
      <v>55</v>
      <v>55</v>
      <v>55</v>
      <v>55</v>
      <v>55</v>
      <v>55</v>
      <v>55</v>
      <v>55</v>
    </spb>
    <spb s="0">
      <v xml:space="preserve">Wikipedia	</v>
      <v xml:space="preserve">CC BY-SA 3.0	</v>
      <v xml:space="preserve">https://en.wikipedia.org/wiki/Winchcombe	</v>
      <v xml:space="preserve">https://creativecommons.org/licenses/by-sa/3.0	</v>
    </spb>
    <spb s="14">
      <v>57</v>
      <v>57</v>
      <v>57</v>
      <v>57</v>
      <v>57</v>
      <v>57</v>
      <v>57</v>
    </spb>
    <spb s="2">
      <v>5</v>
      <v>Name</v>
      <v>LearnMoreOnLink</v>
    </spb>
    <spb s="0">
      <v xml:space="preserve">Wikipedia	</v>
      <v xml:space="preserve">CC BY-SA 3.0	</v>
      <v xml:space="preserve">https://en.wikipedia.org/wiki/Cotswold_District	</v>
      <v xml:space="preserve">https://creativecommons.org/licenses/by-sa/3.0	</v>
    </spb>
    <spb s="15">
      <v>60</v>
      <v>60</v>
      <v>60</v>
      <v>60</v>
      <v>60</v>
      <v>60</v>
      <v>60</v>
      <v>60</v>
      <v>60</v>
    </spb>
    <spb s="2">
      <v>6</v>
      <v>Name</v>
      <v>LearnMoreOnLink</v>
    </spb>
    <spb s="0">
      <v xml:space="preserve">Wikipedia	</v>
      <v xml:space="preserve">CC BY-SA 3.0	</v>
      <v xml:space="preserve">https://en.wikipedia.org/wiki/Chipping_Campden	</v>
      <v xml:space="preserve">https://creativecommons.org/licenses/by-sa/3.0	</v>
    </spb>
    <spb s="0">
      <v xml:space="preserve">Wikipedia	</v>
      <v xml:space="preserve">CC-BY-SA	</v>
      <v xml:space="preserve">http://en.wikipedia.org/wiki/Chipping_Campden	</v>
      <v xml:space="preserve">http://creativecommons.org/licenses/by-sa/3.0/	</v>
    </spb>
    <spb s="16">
      <v>63</v>
      <v>63</v>
      <v>63</v>
      <v>64</v>
      <v>63</v>
      <v>63</v>
      <v>63</v>
      <v>63</v>
    </spb>
    <spb s="2">
      <v>7</v>
      <v>Name</v>
      <v>LearnMoreOnLink</v>
    </spb>
    <spb s="0">
      <v xml:space="preserve">Wikipedia	</v>
      <v xml:space="preserve">CC BY-SA 3.0	</v>
      <v xml:space="preserve">https://en.wikipedia.org/wiki/Bredon	</v>
      <v xml:space="preserve">https://creativecommons.org/licenses/by-sa/3.0	</v>
    </spb>
    <spb s="12">
      <v>67</v>
      <v>67</v>
      <v>67</v>
      <v>67</v>
      <v>67</v>
      <v>67</v>
      <v>67</v>
      <v>67</v>
      <v>67</v>
    </spb>
    <spb s="0">
      <v xml:space="preserve">Wikipedia	</v>
      <v xml:space="preserve">CC BY-SA 3.0	</v>
      <v xml:space="preserve">https://en.wikipedia.org/wiki/Wyre_Piddle	</v>
      <v xml:space="preserve">https://creativecommons.org/licenses/by-sa/3.0	</v>
    </spb>
    <spb s="12">
      <v>69</v>
      <v>69</v>
      <v>69</v>
      <v>69</v>
      <v>69</v>
      <v>69</v>
      <v>69</v>
      <v>69</v>
      <v>69</v>
    </spb>
    <spb s="0">
      <v xml:space="preserve">Wikipedia	</v>
      <v xml:space="preserve">CC BY-SA 3.0	</v>
      <v xml:space="preserve">https://en.wikipedia.org/wiki/Ilmington	</v>
      <v xml:space="preserve">https://creativecommons.org/licenses/by-sa/3.0	</v>
    </spb>
    <spb s="12">
      <v>71</v>
      <v>71</v>
      <v>71</v>
      <v>71</v>
      <v>71</v>
      <v>71</v>
      <v>71</v>
      <v>71</v>
      <v>71</v>
    </spb>
    <spb s="0">
      <v xml:space="preserve">Wikipedia	</v>
      <v xml:space="preserve">CC-BY-SA	</v>
      <v xml:space="preserve">http://en.wikipedia.org/wiki/Shipston-on-Stour	</v>
      <v xml:space="preserve">http://creativecommons.org/licenses/by-sa/3.0/	</v>
    </spb>
    <spb s="0">
      <v xml:space="preserve">Wikipedia	</v>
      <v xml:space="preserve">CC BY-SA 3.0	</v>
      <v xml:space="preserve">https://en.wikipedia.org/wiki/Shipston-on-Stour	</v>
      <v xml:space="preserve">https://creativecommons.org/licenses/by-sa/3.0	</v>
    </spb>
    <spb s="15">
      <v>73</v>
      <v>74</v>
      <v>74</v>
      <v>74</v>
      <v>73</v>
      <v>74</v>
      <v>74</v>
      <v>74</v>
      <v>74</v>
    </spb>
    <spb s="7">
      <v>square km</v>
      <v>2011</v>
    </spb>
    <spb s="0">
      <v xml:space="preserve">Wikipedia	</v>
      <v xml:space="preserve">CC BY-SA 3.0	</v>
      <v xml:space="preserve">https://en.wikipedia.org/wiki/Fladbury	</v>
      <v xml:space="preserve">https://creativecommons.org/licenses/by-sa/3.0	</v>
    </spb>
    <spb s="12">
      <v>77</v>
      <v>77</v>
      <v>77</v>
      <v>77</v>
      <v>77</v>
      <v>77</v>
      <v>77</v>
      <v>77</v>
      <v>77</v>
    </spb>
    <spb s="0">
      <v xml:space="preserve">Wikipedia	</v>
      <v xml:space="preserve">CC BY-SA 3.0	</v>
      <v xml:space="preserve">https://en.wikipedia.org/wiki/Napton_on_the_Hill	</v>
      <v xml:space="preserve">https://creativecommons.org/licenses/by-sa/3.0	</v>
    </spb>
    <spb s="12">
      <v>79</v>
      <v>79</v>
      <v>79</v>
      <v>79</v>
      <v>79</v>
      <v>79</v>
      <v>79</v>
      <v>79</v>
      <v>79</v>
    </spb>
    <spb s="0">
      <v xml:space="preserve">Wikipedia	</v>
      <v xml:space="preserve">CC BY-SA 3.0	</v>
      <v xml:space="preserve">https://en.wikipedia.org/wiki/Southam	</v>
      <v xml:space="preserve">https://creativecommons.org/licenses/by-sa/3.0	</v>
    </spb>
    <spb s="12">
      <v>81</v>
      <v>81</v>
      <v>81</v>
      <v>81</v>
      <v>81</v>
      <v>81</v>
      <v>81</v>
      <v>81</v>
      <v>81</v>
    </spb>
    <spb s="0">
      <v xml:space="preserve">Wikipedia	</v>
      <v xml:space="preserve">CC BY-SA 3.0	</v>
      <v xml:space="preserve">https://en.wikipedia.org/wiki/Snitterfield	</v>
      <v xml:space="preserve">https://creativecommons.org/licenses/by-sa/3.0	</v>
    </spb>
    <spb s="12">
      <v>83</v>
      <v>83</v>
      <v>83</v>
      <v>83</v>
      <v>83</v>
      <v>83</v>
      <v>83</v>
      <v>83</v>
      <v>83</v>
    </spb>
    <spb s="0">
      <v xml:space="preserve">Wikipedia	</v>
      <v xml:space="preserve">CC BY-SA 3.0	</v>
      <v xml:space="preserve">https://en.wikipedia.org/wiki/Preston_on_Stour	</v>
      <v xml:space="preserve">https://creativecommons.org/licenses/by-sa/3.0	</v>
    </spb>
    <spb s="12">
      <v>85</v>
      <v>85</v>
      <v>85</v>
      <v>85</v>
      <v>85</v>
      <v>85</v>
      <v>85</v>
      <v>85</v>
      <v>85</v>
    </spb>
    <spb s="0">
      <v xml:space="preserve">Wikipedia	</v>
      <v xml:space="preserve">CC BY-SA 3.0	</v>
      <v xml:space="preserve">https://en.wikipedia.org/wiki/Preston_Bagot	</v>
      <v xml:space="preserve">https://creativecommons.org/licenses/by-sa/3.0	</v>
    </spb>
    <spb s="12">
      <v>87</v>
      <v>87</v>
      <v>87</v>
      <v>87</v>
      <v>87</v>
      <v>87</v>
      <v>87</v>
      <v>87</v>
      <v>87</v>
    </spb>
    <spb s="0">
      <v xml:space="preserve">Wikipedia	</v>
      <v xml:space="preserve">CC BY-SA 3.0	</v>
      <v xml:space="preserve">https://en.wikipedia.org/wiki/Clifford_Chambers	</v>
      <v xml:space="preserve">https://creativecommons.org/licenses/by-sa/3.0	</v>
    </spb>
    <spb s="0">
      <v xml:space="preserve">Wikipedia	</v>
      <v xml:space="preserve">CC-BY-SA	</v>
      <v xml:space="preserve">http://en.wikipedia.org/wiki/Clifford_Chambers	</v>
      <v xml:space="preserve">http://creativecommons.org/licenses/by-sa/3.0/	</v>
    </spb>
    <spb s="12">
      <v>89</v>
      <v>89</v>
      <v>89</v>
      <v>90</v>
      <v>89</v>
      <v>89</v>
      <v>89</v>
      <v>89</v>
      <v>89</v>
    </spb>
    <spb s="13">
      <v>2001</v>
    </spb>
    <spb s="0">
      <v xml:space="preserve">Wikipedia	</v>
      <v xml:space="preserve">CC BY-SA 3.0	</v>
      <v xml:space="preserve">https://en.wikipedia.org/wiki/Norton_Lindsey	</v>
      <v xml:space="preserve">https://creativecommons.org/licenses/by-sa/3.0	</v>
    </spb>
    <spb s="11">
      <v>93</v>
      <v>93</v>
      <v>93</v>
      <v>93</v>
      <v>93</v>
      <v>93</v>
      <v>93</v>
      <v>93</v>
    </spb>
    <spb s="0">
      <v xml:space="preserve">Wikipedia	</v>
      <v xml:space="preserve">CC BY-SA 3.0	</v>
      <v xml:space="preserve">https://en.wikipedia.org/wiki/Whichford	</v>
      <v xml:space="preserve">https://creativecommons.org/licenses/by-sa/3.0	</v>
    </spb>
    <spb s="12">
      <v>95</v>
      <v>95</v>
      <v>95</v>
      <v>95</v>
      <v>95</v>
      <v>95</v>
      <v>95</v>
      <v>95</v>
      <v>95</v>
    </spb>
    <spb s="0">
      <v xml:space="preserve">Wikipedia	</v>
      <v xml:space="preserve">CC BY-SA 3.0	</v>
      <v xml:space="preserve">https://en.wikipedia.org/wiki/Ascott,_Warwickshire	</v>
      <v xml:space="preserve">https://creativecommons.org/licenses/by-sa/3.0	</v>
    </spb>
    <spb s="11">
      <v>97</v>
      <v>97</v>
      <v>97</v>
      <v>97</v>
      <v>97</v>
      <v>97</v>
      <v>97</v>
      <v>97</v>
    </spb>
    <spb s="0">
      <v xml:space="preserve">Wikipedia	</v>
      <v xml:space="preserve">CC BY-SA 3.0	</v>
      <v xml:space="preserve">https://en.wikipedia.org/wiki/Luddington,_Warwickshire	</v>
      <v xml:space="preserve">https://creativecommons.org/licenses/by-sa/3.0	</v>
    </spb>
    <spb s="12">
      <v>99</v>
      <v>99</v>
      <v>99</v>
      <v>99</v>
      <v>99</v>
      <v>99</v>
      <v>99</v>
      <v>99</v>
      <v>99</v>
    </spb>
    <spb s="0">
      <v xml:space="preserve">Wikipedia	</v>
      <v xml:space="preserve">CC BY-SA 3.0	</v>
      <v xml:space="preserve">https://en.wikipedia.org/wiki/Newbold_on_Stour	</v>
      <v xml:space="preserve">https://creativecommons.org/licenses/by-sa/3.0	</v>
    </spb>
    <spb s="11">
      <v>101</v>
      <v>101</v>
      <v>101</v>
      <v>101</v>
      <v>101</v>
      <v>101</v>
      <v>101</v>
      <v>101</v>
    </spb>
    <spb s="0">
      <v xml:space="preserve">Wikipedia	</v>
      <v xml:space="preserve">CC BY-SA 3.0	</v>
      <v xml:space="preserve">https://en.wikipedia.org/wiki/Elmstone_Hardwicke	</v>
      <v xml:space="preserve">https://creativecommons.org/licenses/by-sa/3.0	</v>
    </spb>
    <spb s="0">
      <v xml:space="preserve">Wikipedia	</v>
      <v xml:space="preserve">CC-BY-SA	</v>
      <v xml:space="preserve">http://en.wikipedia.org/wiki/Elmstone_Hardwicke	</v>
      <v xml:space="preserve">http://creativecommons.org/licenses/by-sa/3.0/	</v>
    </spb>
    <spb s="14">
      <v>103</v>
      <v>103</v>
      <v>103</v>
      <v>104</v>
      <v>103</v>
      <v>103</v>
      <v>103</v>
    </spb>
    <spb s="2">
      <v>8</v>
      <v>Name</v>
      <v>LearnMoreOnLink</v>
    </spb>
    <spb s="0">
      <v xml:space="preserve">Wikipedia	</v>
      <v xml:space="preserve">CC BY-SA 3.0	</v>
      <v xml:space="preserve">https://en.wikipedia.org/wiki/Church_Lench	</v>
      <v xml:space="preserve">https://creativecommons.org/licenses/by-sa/3.0	</v>
    </spb>
    <spb s="17">
      <v>107</v>
      <v>107</v>
      <v>107</v>
      <v>107</v>
      <v>107</v>
      <v>107</v>
      <v>107</v>
    </spb>
    <spb s="2">
      <v>9</v>
      <v>Name</v>
      <v>LearnMoreOnLink</v>
    </spb>
    <spb s="0">
      <v xml:space="preserve">Wikipedia	</v>
      <v xml:space="preserve">CC BY-SA 3.0	</v>
      <v xml:space="preserve">https://en.wikipedia.org/wiki/Stretton-on-Fosse	</v>
      <v xml:space="preserve">https://creativecommons.org/licenses/by-sa/3.0	</v>
    </spb>
    <spb s="12">
      <v>110</v>
      <v>110</v>
      <v>110</v>
      <v>110</v>
      <v>110</v>
      <v>110</v>
      <v>110</v>
      <v>110</v>
      <v>110</v>
    </spb>
    <spb s="0">
      <v xml:space="preserve">Wikipedia	</v>
      <v xml:space="preserve">CC BY-SA 3.0	</v>
      <v xml:space="preserve">https://en.wikipedia.org/wiki/Bishampton	</v>
      <v xml:space="preserve">https://creativecommons.org/licenses/by-sa/3.0	</v>
    </spb>
    <spb s="12">
      <v>112</v>
      <v>112</v>
      <v>112</v>
      <v>112</v>
      <v>112</v>
      <v>112</v>
      <v>112</v>
      <v>112</v>
      <v>112</v>
    </spb>
    <spb s="0">
      <v xml:space="preserve">Wikipedia	</v>
      <v xml:space="preserve">CC BY-SA 3.0	</v>
      <v xml:space="preserve">https://en.wikipedia.org/wiki/Ab_Lench	</v>
      <v xml:space="preserve">https://creativecommons.org/licenses/by-sa/3.0	</v>
    </spb>
    <spb s="11">
      <v>114</v>
      <v>114</v>
      <v>114</v>
      <v>114</v>
      <v>114</v>
      <v>114</v>
      <v>114</v>
      <v>114</v>
    </spb>
    <spb s="0">
      <v xml:space="preserve">Wikipedia	</v>
      <v xml:space="preserve">CC BY-SA 3.0	</v>
      <v xml:space="preserve">https://en.wikipedia.org/wiki/Hampton_Lucy	</v>
      <v xml:space="preserve">https://creativecommons.org/licenses/by-sa/3.0	</v>
    </spb>
    <spb s="12">
      <v>116</v>
      <v>116</v>
      <v>116</v>
      <v>116</v>
      <v>116</v>
      <v>116</v>
      <v>116</v>
      <v>116</v>
      <v>116</v>
    </spb>
    <spb s="0">
      <v xml:space="preserve">Wikipedia	</v>
      <v xml:space="preserve">CC BY-SA 3.0	</v>
      <v xml:space="preserve">https://en.wikipedia.org/wiki/Barford,_Warwickshire	</v>
      <v xml:space="preserve">https://creativecommons.org/licenses/by-sa/3.0	</v>
    </spb>
    <spb s="0">
      <v xml:space="preserve">Wikipedia	</v>
      <v xml:space="preserve">CC-BY-SA	</v>
      <v xml:space="preserve">http://en.wikipedia.org/wiki/Barford,_Warwickshire	</v>
      <v xml:space="preserve">http://creativecommons.org/licenses/by-sa/3.0/	</v>
    </spb>
    <spb s="12">
      <v>118</v>
      <v>118</v>
      <v>118</v>
      <v>119</v>
      <v>118</v>
      <v>118</v>
      <v>118</v>
      <v>118</v>
      <v>118</v>
    </spb>
    <spb s="0">
      <v xml:space="preserve">Wikipedia	</v>
      <v xml:space="preserve">CC BY-SA 3.0	</v>
      <v xml:space="preserve">https://en.wikipedia.org/wiki/Weston-on-Avon	</v>
      <v xml:space="preserve">https://creativecommons.org/licenses/by-sa/3.0	</v>
    </spb>
    <spb s="12">
      <v>121</v>
      <v>121</v>
      <v>121</v>
      <v>121</v>
      <v>121</v>
      <v>121</v>
      <v>121</v>
      <v>121</v>
      <v>121</v>
    </spb>
    <spb s="0">
      <v xml:space="preserve">Wikipedia	</v>
      <v xml:space="preserve">CC BY-SA 3.0	</v>
      <v xml:space="preserve">https://en.wikipedia.org/wiki/Welford-on-Avon	</v>
      <v xml:space="preserve">https://creativecommons.org/licenses/by-sa/3.0	</v>
    </spb>
    <spb s="12">
      <v>123</v>
      <v>123</v>
      <v>123</v>
      <v>123</v>
      <v>123</v>
      <v>123</v>
      <v>123</v>
      <v>123</v>
      <v>123</v>
    </spb>
  </spbData>
</supportingPropertyBags>
</file>

<file path=xl/richData/rdsupportingpropertybagstructure.xml><?xml version="1.0" encoding="utf-8"?>
<spbStructures xmlns="http://schemas.microsoft.com/office/spreadsheetml/2017/richdata2" count="18">
  <s>
    <k n="SourceText" t="s"/>
    <k n="LicenseText" t="s"/>
    <k n="SourceAddress" t="s"/>
    <k n="LicenseAddress" t="s"/>
  </s>
  <s>
    <k n="Area" t="spb"/>
    <k n="Name" t="spb"/>
    <k n="Latitude" t="spb"/>
    <k n="Longitude" t="spb"/>
    <k n="Population" t="spb"/>
    <k n="UniqueName" t="spb"/>
    <k n="Description" t="spb"/>
    <k n="Country/region" t="spb"/>
    <k n="Admin Division 1 (State/province/other)" t="spb"/>
    <k n="Admin Division 2 (County/district/other)" t="spb"/>
  </s>
  <s>
    <k n="^Order" t="spba"/>
    <k n="TitleProperty" t="s"/>
    <k n="SubTitleProperty" t="s"/>
  </s>
  <s>
    <k n="ShowInCardView" t="b"/>
    <k n="ShowInDotNotation" t="b"/>
    <k n="ShowInAutoComplete" t="b"/>
  </s>
  <s>
    <k n="UniqueName" t="spb"/>
    <k n="VDPID/VSID" t="spb"/>
    <k n="LearnMoreOnLink" t="spb"/>
  </s>
  <s>
    <k n="Name" t="i"/>
    <k n="Image" t="i"/>
  </s>
  <s>
    <k n="link" t="s"/>
    <k n="logo" t="s"/>
    <k n="name" t="s"/>
  </s>
  <s>
    <k n="Area" t="s"/>
    <k n="Population"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Name" t="spb"/>
    <k n="Latitude" t="spb"/>
    <k n="Longitude" t="spb"/>
    <k n="UniqueName" t="spb"/>
    <k n="Description" t="spb"/>
    <k n="Country/region" t="spb"/>
    <k n="Admin Division 1 (State/province/other)" t="spb"/>
    <k n="Admin Division 2 (County/district/other)" t="spb"/>
  </s>
  <s>
    <k n="Name" t="spb"/>
    <k n="Latitude" t="spb"/>
    <k n="Longitude" t="spb"/>
    <k n="Population" t="spb"/>
    <k n="UniqueName" t="spb"/>
    <k n="Description" t="spb"/>
    <k n="Country/region" t="spb"/>
    <k n="Admin Division 1 (State/province/other)" t="spb"/>
    <k n="Admin Division 2 (County/district/other)" t="spb"/>
  </s>
  <s>
    <k n="Population" t="s"/>
  </s>
  <s>
    <k n="Name" t="spb"/>
    <k n="Latitude" t="spb"/>
    <k n="Longitude" t="spb"/>
    <k n="Population" t="spb"/>
    <k n="UniqueName" t="spb"/>
    <k n="Description" t="spb"/>
    <k n="Country/region" t="spb"/>
  </s>
  <s>
    <k n="Area" t="spb"/>
    <k n="Name" t="spb"/>
    <k n="Latitude" t="spb"/>
    <k n="Longitude" t="spb"/>
    <k n="Population" t="spb"/>
    <k n="UniqueName" t="spb"/>
    <k n="Description" t="spb"/>
    <k n="Country/region" t="spb"/>
    <k n="Admin Division 1 (State/province/other)" t="spb"/>
  </s>
  <s>
    <k n="Name" t="spb"/>
    <k n="Latitude" t="spb"/>
    <k n="Longitude" t="spb"/>
    <k n="Population" t="spb"/>
    <k n="UniqueName" t="spb"/>
    <k n="Description" t="spb"/>
    <k n="Country/region" t="spb"/>
    <k n="Admin Division 2 (County/district/other)" t="spb"/>
  </s>
  <s>
    <k n="Name" t="spb"/>
    <k n="Latitude" t="spb"/>
    <k n="Longitude" t="spb"/>
    <k n="UniqueName" t="spb"/>
    <k n="Description" t="spb"/>
    <k n="Country/region" t="spb"/>
    <k n="Admin Division 1 (State/province/other)"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0">
      <rpv i="2">#,##0</rpv>
    </rSty>
    <rSty dxfid="1">
      <rpv i="2">0.0000</rpv>
    </rSty>
    <rSty dxfid="3">
      <rpv i="2">0.0%</rpv>
    </rSty>
    <rSty dxfid="2">
      <rpv i="2">0.00</rpv>
    </rSty>
    <rSty dxfid="5">
      <rpv i="2">0</rpv>
    </rSty>
    <rSty dxfid="4">
      <rpv i="2">#,##0.00</rpv>
    </rSty>
    <rSty dxfid="1">
      <rpv i="2">0.0</rpv>
    </rSty>
    <rSty dxfid="1">
      <rpv i="2">_([$$-en-US]* #,##0.00_);_([$$-en-US]* (#,##0.00);_([$$-en-US]* "-"??_);_(@_)</rpv>
    </rSty>
    <rSty dxfid="1">
      <rpv i="2">_([$$-en-US]* #,##0_);_([$$-en-US]* (#,##0);_([$$-en-US]* "-"_);_(@_)</rpv>
    </rSty>
    <rSty dxfid="3"/>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6F06E7-2B4F-4D2F-A73B-54C5243BD772}" name="AllData" displayName="AllData" ref="A1:V2365" totalsRowShown="0" headerRowDxfId="67" dataDxfId="65" headerRowBorderDxfId="66">
  <autoFilter ref="A1:V2365" xr:uid="{A16F06E7-2B4F-4D2F-A73B-54C5243BD772}"/>
  <sortState xmlns:xlrd2="http://schemas.microsoft.com/office/spreadsheetml/2017/richdata2" ref="A251:V1959">
    <sortCondition descending="1" ref="B1:B2365"/>
  </sortState>
  <tableColumns count="22">
    <tableColumn id="1" xr3:uid="{3079A9F2-CB29-41E4-B445-52CB762BA849}" name="EC UUID"/>
    <tableColumn id="2" xr3:uid="{B6262B0E-767C-490A-8FFD-F37C4657B151}" name="Date" dataDxfId="64"/>
    <tableColumn id="3" xr3:uid="{94C5CEA8-DE23-4250-A854-FA436052F85D}" name="Season" dataDxfId="63">
      <calculatedColumnFormula array="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calculatedColumnFormula>
    </tableColumn>
    <tableColumn id="4" xr3:uid="{EA81B1A8-2F76-4D31-9F8B-8B5C030590C7}" name="Year">
      <calculatedColumnFormula>YEAR(AllData[[#This Row],[Date]])</calculatedColumnFormula>
    </tableColumn>
    <tableColumn id="5" xr3:uid="{32C31D58-A52C-4F3E-A45F-EA9024E30D8B}" name="Time" dataDxfId="62"/>
    <tableColumn id="6" xr3:uid="{8BFFF446-D8F2-47A4-9434-CD1D12E32DAA}" name="Time of Day">
      <calculatedColumnFormula>IF(AND(AllData[[#This Row],[Time]]&lt;0.5, AllData[[#This Row],[Time]]&gt;0.17)=TRUE, "Morning", IF(AND(AllData[[#This Row],[Time]]&lt;0.75, AllData[[#This Row],[Time]]&gt;=0.5)=TRUE, "Afternoon", IF(AND(AllData[[#This Row],[Time]]&lt;1, AllData[[#This Row],[Time]]&gt;=0.75)=TRUE, "Evening", "Night")))</calculatedColumnFormula>
    </tableColumn>
    <tableColumn id="9" xr3:uid="{70B9839E-91F7-44A1-89D2-4DE0063F57DD}" name="Site Name">
      <calculatedColumnFormula>_xlfn.XLOOKUP(AllData[[#This Row],[Location Name]], Locations[Location Name],Locations[Group As])</calculatedColumnFormula>
    </tableColumn>
    <tableColumn id="10" xr3:uid="{7D5E4417-CC28-460D-9B66-612B71940D6D}" name="District">
      <calculatedColumnFormula>_xlfn.XLOOKUP(AllData[[#This Row],[Site Name]],LocationsKey[Site Name],LocationsKey[District])</calculatedColumnFormula>
    </tableColumn>
    <tableColumn id="8" xr3:uid="{A81E8690-2716-462E-93D3-768D42F31427}" name="Town" dataDxfId="61">
      <calculatedColumnFormula>_xlfn.XLOOKUP(AllData[[#This Row],[Site Name]],LocationsKey[Site Name],LocationsKey[Town])</calculatedColumnFormula>
    </tableColumn>
    <tableColumn id="11" xr3:uid="{708A9DCA-2D97-4A46-877B-9327DFA7722E}" name="River">
      <calculatedColumnFormula>_xlfn.XLOOKUP(AllData[[#This Row],[Site Name]],LocationsKey[Site Name], LocationsKey[Waterway])</calculatedColumnFormula>
    </tableColumn>
    <tableColumn id="12" xr3:uid="{C3C35285-0971-4A3D-B9A4-3A8BCA3143BB}" name="Location Name" dataDxfId="60"/>
    <tableColumn id="13" xr3:uid="{21BBA3B7-44BF-43A6-A58C-6BFE1B09CA68}" name="Latitude" dataDxfId="59"/>
    <tableColumn id="14" xr3:uid="{FB2F5F35-008C-4AEB-94D6-26C03B4993A6}" name="Longitude" dataDxfId="58"/>
    <tableColumn id="15" xr3:uid="{4A9F02AA-E022-424E-A853-D261EC56D6D6}" name="Above or Below CSO" dataDxfId="57"/>
    <tableColumn id="16" xr3:uid="{CBB1502E-DE04-46E0-80A8-DD28658A0860}" name="Electrical Conductivity (µS)" dataDxfId="56"/>
    <tableColumn id="17" xr3:uid="{F8522524-2951-4D41-907E-A1855E967FD2}" name="Water Temp (deg C)" dataDxfId="55"/>
    <tableColumn id="18" xr3:uid="{A7ECA9D6-66EC-4ED0-BD2F-6994D6E7CFB0}" name="Nitrate (PPM)" dataDxfId="54"/>
    <tableColumn id="19" xr3:uid="{0A7013B9-F417-4A3B-B37C-CA3AEB51DF29}" name="Nitrate Pollution Category" dataDxfId="53">
      <calculatedColumnFormula>IF(AllData[[#This Row],[Nitrate (PPM)]]&gt;2, "Very high", IF(AllData[[#This Row],[Nitrate (PPM)]]&gt;1, "High", IF(AllData[[#This Row],[Nitrate (PPM)]]&gt;0.5, "Some evidence", IF(AllData[[#This Row],[Nitrate (PPM)]]&gt;=0, "No evidence"))))</calculatedColumnFormula>
    </tableColumn>
    <tableColumn id="20" xr3:uid="{0FC94934-60CF-49D8-AC9C-73247763111A}" name="Phosphate (PPM)" dataDxfId="52"/>
    <tableColumn id="21" xr3:uid="{E8BB6180-1A14-423E-80BD-690AE4B4E3E0}" name="Phosphate Pollution Category" dataDxfId="51">
      <calculatedColumnFormula>IF(AllData[[#This Row],[Phosphate (PPM)]]&gt;0.5, "Very high", IF(AllData[[#This Row],[Phosphate (PPM)]]&gt;0.1, "High", IF(AllData[[#This Row],[Phosphate (PPM)]]&gt;0.05, "Some evidence", IF(AllData[[#This Row],[Phosphate (PPM)]]&lt;=0.05, "No Evidence", ""))))</calculatedColumnFormula>
    </tableColumn>
    <tableColumn id="22" xr3:uid="{DA2BA475-1BAB-4FA4-947C-7ABDEDCFABF2}" name="River Height" dataDxfId="50"/>
    <tableColumn id="23" xr3:uid="{15192D91-7C42-4DA3-AA10-9FCD6528405E}" name="Comments" dataDxfId="49"/>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2BD183-1A9E-41A9-AEE9-2A322BDD0AEC}" name="Locations" displayName="Locations" ref="A2:D247" totalsRowShown="0">
  <autoFilter ref="A2:D247" xr:uid="{D72BD183-1A9E-41A9-AEE9-2A322BDD0AEC}"/>
  <sortState xmlns:xlrd2="http://schemas.microsoft.com/office/spreadsheetml/2017/richdata2" ref="A3:D247">
    <sortCondition ref="A2:A247"/>
  </sortState>
  <tableColumns count="4">
    <tableColumn id="1" xr3:uid="{B49E25ED-B418-49BF-9EDB-B17FE41CAFBA}" name="Location Name"/>
    <tableColumn id="9" xr3:uid="{F1D70A46-29B8-461A-9CB5-0A5BF6DF6C32}" name="Latitude Range" dataDxfId="48">
      <calculatedColumnFormula>#REF!-#REF!</calculatedColumnFormula>
    </tableColumn>
    <tableColumn id="10" xr3:uid="{396FD7D6-E037-4907-8BBC-D0DE97A3EB02}" name="Longitude Range" dataDxfId="47">
      <calculatedColumnFormula>_xlfn.XLOOKUP(Locations[[#This Row],[Location Name]],'All Data'!L:L,'All Data'!N:N)</calculatedColumnFormula>
    </tableColumn>
    <tableColumn id="11" xr3:uid="{10C547D5-6A00-4134-9B75-BC3B577C3C7B}" name="Group A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81EB23-5DF1-41F4-877B-0942AA45D6BA}" name="LocationsKey" displayName="LocationsKey" ref="F2:J96" totalsRowShown="0">
  <autoFilter ref="F2:J96" xr:uid="{2681EB23-5DF1-41F4-877B-0942AA45D6BA}"/>
  <sortState xmlns:xlrd2="http://schemas.microsoft.com/office/spreadsheetml/2017/richdata2" ref="F3:J96">
    <sortCondition ref="H2:H96"/>
  </sortState>
  <tableColumns count="5">
    <tableColumn id="1" xr3:uid="{1058E91E-3BF3-4F24-828C-8B23DEF10BEA}" name="Site Name"/>
    <tableColumn id="2" xr3:uid="{3C55A793-D017-455F-AE20-372527A88805}" name="Waterway"/>
    <tableColumn id="3" xr3:uid="{4FF20F64-5057-4756-AB9B-63D0C7A8FFD5}" name="District"/>
    <tableColumn id="4" xr3:uid="{AA274410-B3D7-47EF-858A-E0B9878218D9}" name="Designation" dataDxfId="46">
      <calculatedColumnFormula>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calculatedColumnFormula>
    </tableColumn>
    <tableColumn id="5" xr3:uid="{ED8DBDAA-41F6-4B2C-A4F6-FCE70327F243}" name="Tow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4D66B5D-7039-48BF-9EEE-B2C2201CDA2F}" name="AllDataCorrected" displayName="AllDataCorrected" ref="A1:V1238" totalsRowShown="0" headerRowDxfId="45" headerRowBorderDxfId="44">
  <autoFilter ref="A1:V1238" xr:uid="{64D66B5D-7039-48BF-9EEE-B2C2201CDA2F}"/>
  <sortState xmlns:xlrd2="http://schemas.microsoft.com/office/spreadsheetml/2017/richdata2" ref="A2:V237">
    <sortCondition ref="K1:K1238"/>
  </sortState>
  <tableColumns count="22">
    <tableColumn id="1" xr3:uid="{DE4614F7-7FF5-4A8E-8BB2-166F95BC86B8}" name="EC UUID"/>
    <tableColumn id="2" xr3:uid="{55AEAF81-1CB0-4E03-92EB-8611E579E454}" name="Date" dataDxfId="43"/>
    <tableColumn id="3" xr3:uid="{C6883346-301A-4024-8B5B-F4BC9087EEF0}" name="Season">
      <calculatedColumnFormula array="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calculatedColumnFormula>
    </tableColumn>
    <tableColumn id="4" xr3:uid="{B31C807B-8F38-4AF4-9BF6-AE0804AC0E3F}" name="Year">
      <calculatedColumnFormula>YEAR(AllDataCorrected[[#This Row],[Date]])</calculatedColumnFormula>
    </tableColumn>
    <tableColumn id="5" xr3:uid="{C64BBFF5-BFEC-477A-9709-7D61C26140F6}" name="Time" dataDxfId="42"/>
    <tableColumn id="6" xr3:uid="{726257DF-D3B6-41C0-B555-335440BEA155}" name="Time of Day">
      <calculatedColumnFormula>IF(AND(AllDataCorrected[[#This Row],[Time]]&lt;0.5, AllDataCorrected[[#This Row],[Time]]&gt;0.17)=TRUE, "Morning", IF(AND(AllDataCorrected[[#This Row],[Time]]&lt;0.75, AllDataCorrected[[#This Row],[Time]]&gt;=0.5)=TRUE, "Afternoon", IF(AND(AllDataCorrected[[#This Row],[Time]]&lt;1, AllDataCorrected[[#This Row],[Time]]&gt;=0.75)=TRUE, "Evening", "Night")))</calculatedColumnFormula>
    </tableColumn>
    <tableColumn id="9" xr3:uid="{8DCA58B4-CC0E-40F4-BB46-78C5A954BDCC}" name="Site Name">
      <calculatedColumnFormula>_xlfn.XLOOKUP(AllDataCorrected[[#This Row],[Location Name]], Locations[Location Name],Locations[Group As])</calculatedColumnFormula>
    </tableColumn>
    <tableColumn id="10" xr3:uid="{18B2092A-D27E-4AA3-9DE3-5913EA271C60}" name="District">
      <calculatedColumnFormula>_xlfn.XLOOKUP(AllDataCorrected[[#This Row],[Site Name]],LocationsKey[Site Name],LocationsKey[District])</calculatedColumnFormula>
    </tableColumn>
    <tableColumn id="8" xr3:uid="{14D9B62C-13FA-4288-BD09-C3718C57235F}" name="Town">
      <calculatedColumnFormula>_xlfn.XLOOKUP(AllDataCorrected[[#This Row],[Site Name]],LocationsKey[Site Name],LocationsKey[Town])</calculatedColumnFormula>
    </tableColumn>
    <tableColumn id="11" xr3:uid="{2D2A7672-97F1-42B8-A136-C5CCCFDE3735}" name="River">
      <calculatedColumnFormula>_xlfn.XLOOKUP(AllDataCorrected[[#This Row],[Site Name]],LocationsKey[Site Name], LocationsKey[Waterway])</calculatedColumnFormula>
    </tableColumn>
    <tableColumn id="12" xr3:uid="{60502487-6EBE-4695-92DA-7C9DC916E43C}" name="Location Name"/>
    <tableColumn id="13" xr3:uid="{CBC01F8B-6E33-4E1A-990E-82E5C7BFD678}" name="Latitude">
      <calculatedColumnFormula>_xlfn.XLOOKUP(AllDataCorrected[[#This Row],[Site Name]],Tables!$B$12:$B$100, Tables!C$12:C$100)</calculatedColumnFormula>
    </tableColumn>
    <tableColumn id="14" xr3:uid="{6E57DD6D-DCA2-4585-89B6-0546D382FB11}" name="Longitude">
      <calculatedColumnFormula>_xlfn.XLOOKUP(AllDataCorrected[[#This Row],[Site Name]],Tables!$B$12:$B$100, Tables!D$12:D$100)</calculatedColumnFormula>
    </tableColumn>
    <tableColumn id="15" xr3:uid="{5EFEF742-64AB-49C1-A46D-EA97C2831F9D}" name="Above or Below CSO"/>
    <tableColumn id="16" xr3:uid="{39B11C4F-D152-4C44-87CB-0F71ACE48C2E}" name="Electrical Conductivity (Micros)"/>
    <tableColumn id="17" xr3:uid="{9EAA399F-FE3F-4D0A-B1E0-FEC754028C4C}" name="Water Temp (deg C)"/>
    <tableColumn id="18" xr3:uid="{A0228609-4F58-4A2A-8009-D5E30F0F93E0}" name="Nitrate (PPM)"/>
    <tableColumn id="19" xr3:uid="{826F17F5-2EF6-44B7-B2F5-E460021CF0EB}" name="Nitrate Pollution Category">
      <calculatedColumnFormula>IF(AllDataCorrected[[#This Row],[Nitrate (PPM)]]&gt;2, "Very high", IF(AllDataCorrected[[#This Row],[Nitrate (PPM)]]&gt;1, "High", IF(AllDataCorrected[[#This Row],[Nitrate (PPM)]]&gt;0.5, "Some evidence", IF(AllDataCorrected[[#This Row],[Nitrate (PPM)]]&gt;=0, "No evidence"))))</calculatedColumnFormula>
    </tableColumn>
    <tableColumn id="20" xr3:uid="{31BC6628-7380-4896-9DCC-5AC0050FB305}" name="Phosphate (PPM)"/>
    <tableColumn id="21" xr3:uid="{D88A91F0-C730-4AAE-BE4A-BC6700083D03}" name="Phosphate Pollution Category">
      <calculatedColumnFormula>IF(AllDataCorrected[[#This Row],[Phosphate (PPM)]]&gt;0.5, "Very high", IF(AllDataCorrected[[#This Row],[Phosphate (PPM)]]&gt;0.1, "High", IF(AllDataCorrected[[#This Row],[Phosphate (PPM)]]&gt;0.05, "Some evidence", IF(AllDataCorrected[[#This Row],[Phosphate (PPM)]]&lt;=0.05, "No Evidence", ""))))</calculatedColumnFormula>
    </tableColumn>
    <tableColumn id="22" xr3:uid="{95234332-9F5F-4673-86A2-84D3853A72AD}" name="River Height"/>
    <tableColumn id="23" xr3:uid="{B38AAE58-487D-4107-91AE-092FAD965AAC}" name="Comments"/>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ntent.freshwaterhabitats.org.uk/2015/10/CWfWTechnicalDocumentFINAL.pdf" TargetMode="External"/><Relationship Id="rId1" Type="http://schemas.openxmlformats.org/officeDocument/2006/relationships/hyperlink" Target="https://www.wyeuskfoundation.org/wp-content/uploads/2023/10/aguidetocitizenscienceriverwatersamplingandwaterqualitytestinginthefield.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mapcustomizer.com/map/Safe%20Avon%20Test%20Sites%2003-09-2024"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D6485-518F-4AF7-875E-C7975016DF98}">
  <dimension ref="A1:V2365"/>
  <sheetViews>
    <sheetView zoomScale="85" zoomScaleNormal="85" workbookViewId="0">
      <pane xSplit="4" ySplit="1" topLeftCell="E2" activePane="bottomRight" state="frozen"/>
      <selection pane="topRight" activeCell="E1" sqref="E1"/>
      <selection pane="bottomLeft" activeCell="A2" sqref="A2"/>
      <selection pane="bottomRight" activeCell="G2" sqref="G2:G2365"/>
    </sheetView>
  </sheetViews>
  <sheetFormatPr defaultRowHeight="14.5" x14ac:dyDescent="0.35"/>
  <cols>
    <col min="1" max="1" width="16.08984375" customWidth="1"/>
    <col min="2" max="2" width="12.36328125" style="143" bestFit="1" customWidth="1"/>
    <col min="3" max="3" width="9" customWidth="1"/>
    <col min="4" max="4" width="6.7265625" customWidth="1"/>
    <col min="5" max="5" width="7.26953125" customWidth="1"/>
    <col min="6" max="6" width="13.08984375" customWidth="1"/>
    <col min="7" max="7" width="17.26953125" customWidth="1"/>
    <col min="8" max="8" width="35.26953125" bestFit="1" customWidth="1"/>
    <col min="9" max="9" width="16.26953125" bestFit="1" customWidth="1"/>
    <col min="10" max="10" width="19.81640625" bestFit="1" customWidth="1"/>
    <col min="11" max="11" width="13.6328125" customWidth="1"/>
    <col min="12" max="12" width="35.08984375" customWidth="1"/>
    <col min="13" max="13" width="11.6328125" customWidth="1"/>
    <col min="14" max="14" width="20.36328125" customWidth="1"/>
    <col min="15" max="15" width="8.81640625" customWidth="1"/>
    <col min="16" max="16" width="20.08984375" customWidth="1"/>
    <col min="17" max="17" width="15.7265625" customWidth="1"/>
    <col min="18" max="18" width="25.36328125" customWidth="1"/>
    <col min="19" max="19" width="18.7265625" customWidth="1"/>
    <col min="20" max="20" width="28.36328125" customWidth="1"/>
    <col min="21" max="21" width="13.36328125" customWidth="1"/>
    <col min="22" max="22" width="14.36328125" bestFit="1" customWidth="1"/>
    <col min="23" max="23" width="223.6328125" bestFit="1" customWidth="1"/>
  </cols>
  <sheetData>
    <row r="1" spans="1:22" ht="15" thickBot="1" x14ac:dyDescent="0.4">
      <c r="A1" s="8" t="s">
        <v>0</v>
      </c>
      <c r="B1" s="142" t="s">
        <v>1</v>
      </c>
      <c r="C1" s="9" t="s">
        <v>2</v>
      </c>
      <c r="D1" s="9" t="s">
        <v>3</v>
      </c>
      <c r="E1" s="10" t="s">
        <v>4</v>
      </c>
      <c r="F1" s="10" t="s">
        <v>5</v>
      </c>
      <c r="G1" s="5" t="s">
        <v>7</v>
      </c>
      <c r="H1" s="5" t="s">
        <v>8</v>
      </c>
      <c r="I1" s="5" t="s">
        <v>9</v>
      </c>
      <c r="J1" s="5" t="s">
        <v>10</v>
      </c>
      <c r="K1" s="5" t="s">
        <v>11</v>
      </c>
      <c r="L1" s="5" t="s">
        <v>12</v>
      </c>
      <c r="M1" s="5" t="s">
        <v>13</v>
      </c>
      <c r="N1" s="5" t="s">
        <v>14</v>
      </c>
      <c r="O1" s="5" t="s">
        <v>3671</v>
      </c>
      <c r="P1" s="5" t="s">
        <v>16</v>
      </c>
      <c r="Q1" s="5" t="s">
        <v>17</v>
      </c>
      <c r="R1" s="5" t="s">
        <v>18</v>
      </c>
      <c r="S1" s="5" t="s">
        <v>19</v>
      </c>
      <c r="T1" s="5" t="s">
        <v>20</v>
      </c>
      <c r="U1" s="5" t="s">
        <v>21</v>
      </c>
      <c r="V1" s="6" t="s">
        <v>22</v>
      </c>
    </row>
    <row r="2" spans="1:22" ht="15" thickTop="1" x14ac:dyDescent="0.35">
      <c r="A2" s="139" t="s">
        <v>3538</v>
      </c>
      <c r="B2" s="146">
        <v>45771</v>
      </c>
      <c r="C2" s="2" t="str" cm="1">
        <f t="array" ref="C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
        <f>YEAR(AllData[[#This Row],[Date]])</f>
        <v>2025</v>
      </c>
      <c r="E2" s="147">
        <v>0.46805555555555556</v>
      </c>
      <c r="F2" t="str">
        <f>IF(AND(AllData[[#This Row],[Time]]&lt;0.5, AllData[[#This Row],[Time]]&gt;0.17)=TRUE, "Morning", IF(AND(AllData[[#This Row],[Time]]&lt;0.75, AllData[[#This Row],[Time]]&gt;=0.5)=TRUE, "Afternoon", IF(AND(AllData[[#This Row],[Time]]&lt;1, AllData[[#This Row],[Time]]&gt;=0.75)=TRUE, "Evening", "Night")))</f>
        <v>Morning</v>
      </c>
      <c r="G2" t="str">
        <f>_xlfn.XLOOKUP(AllData[[#This Row],[Location Name]], Locations[Location Name],Locations[Group As])</f>
        <v>Alveston Weir</v>
      </c>
      <c r="H2" t="e" vm="1">
        <f>_xlfn.XLOOKUP(AllData[[#This Row],[Site Name]],LocationsKey[Site Name],LocationsKey[District])</f>
        <v>#VALUE!</v>
      </c>
      <c r="I2" t="e" vm="2">
        <f>_xlfn.XLOOKUP(AllData[[#This Row],[Site Name]],LocationsKey[Site Name],LocationsKey[Town])</f>
        <v>#VALUE!</v>
      </c>
      <c r="J2" t="str">
        <f>_xlfn.XLOOKUP(AllData[[#This Row],[Site Name]],LocationsKey[Site Name], LocationsKey[Waterway])</f>
        <v>Avon</v>
      </c>
      <c r="K2" s="139" t="s">
        <v>288</v>
      </c>
      <c r="L2" s="139">
        <v>52.212890000000002</v>
      </c>
      <c r="M2" s="156">
        <v>-1.660452</v>
      </c>
      <c r="N2" s="139" t="s">
        <v>31</v>
      </c>
      <c r="O2" s="139">
        <v>796</v>
      </c>
      <c r="P2" s="139">
        <v>13.3</v>
      </c>
      <c r="Q2" s="139">
        <v>10</v>
      </c>
      <c r="R2" s="107" t="str">
        <f>IF(AllData[[#This Row],[Nitrate (PPM)]]&gt;2, "Very high", IF(AllData[[#This Row],[Nitrate (PPM)]]&gt;1, "High", IF(AllData[[#This Row],[Nitrate (PPM)]]&gt;0.5, "Some evidence", IF(AllData[[#This Row],[Nitrate (PPM)]]&gt;=0, "No evidence"))))</f>
        <v>Very high</v>
      </c>
      <c r="S2" s="139">
        <v>0.39</v>
      </c>
      <c r="T2" s="7" t="str">
        <f>IF(AllData[[#This Row],[Phosphate (PPM)]]&gt;0.5, "Very high", IF(AllData[[#This Row],[Phosphate (PPM)]]&gt;0.1, "High", IF(AllData[[#This Row],[Phosphate (PPM)]]&gt;0.05, "Some evidence", IF(AllData[[#This Row],[Phosphate (PPM)]]&lt;=0.05, "No Evidence", ""))))</f>
        <v>High</v>
      </c>
      <c r="U2" s="139">
        <v>0</v>
      </c>
      <c r="V2" s="139" t="s">
        <v>3539</v>
      </c>
    </row>
    <row r="3" spans="1:22" x14ac:dyDescent="0.35">
      <c r="A3" s="139" t="s">
        <v>3537</v>
      </c>
      <c r="B3" s="146">
        <v>45771</v>
      </c>
      <c r="C3" s="2" t="str" cm="1">
        <f t="array" ref="C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
        <f>YEAR(AllData[[#This Row],[Date]])</f>
        <v>2025</v>
      </c>
      <c r="E3" s="147">
        <v>0.46180555555555558</v>
      </c>
      <c r="F3" t="str">
        <f>IF(AND(AllData[[#This Row],[Time]]&lt;0.5, AllData[[#This Row],[Time]]&gt;0.17)=TRUE, "Morning", IF(AND(AllData[[#This Row],[Time]]&lt;0.75, AllData[[#This Row],[Time]]&gt;=0.5)=TRUE, "Afternoon", IF(AND(AllData[[#This Row],[Time]]&lt;1, AllData[[#This Row],[Time]]&gt;=0.75)=TRUE, "Evening", "Night")))</f>
        <v>Morning</v>
      </c>
      <c r="G3" t="str">
        <f>_xlfn.XLOOKUP(AllData[[#This Row],[Location Name]], Locations[Location Name],Locations[Group As])</f>
        <v>Swiffen Bank</v>
      </c>
      <c r="H3" t="e" vm="1">
        <f>_xlfn.XLOOKUP(AllData[[#This Row],[Site Name]],LocationsKey[Site Name],LocationsKey[District])</f>
        <v>#VALUE!</v>
      </c>
      <c r="I3" t="e" vm="2">
        <f>_xlfn.XLOOKUP(AllData[[#This Row],[Site Name]],LocationsKey[Site Name],LocationsKey[Town])</f>
        <v>#VALUE!</v>
      </c>
      <c r="J3" t="str">
        <f>_xlfn.XLOOKUP(AllData[[#This Row],[Site Name]],LocationsKey[Site Name], LocationsKey[Waterway])</f>
        <v>Avon</v>
      </c>
      <c r="K3" s="139" t="s">
        <v>286</v>
      </c>
      <c r="L3" s="139">
        <v>52.205903999999997</v>
      </c>
      <c r="M3" s="156">
        <v>-1.653578</v>
      </c>
      <c r="N3" s="139" t="s">
        <v>31</v>
      </c>
      <c r="O3" s="139">
        <v>712</v>
      </c>
      <c r="P3" s="139">
        <v>14.3</v>
      </c>
      <c r="Q3" s="139">
        <v>5</v>
      </c>
      <c r="R3" s="107" t="str">
        <f>IF(AllData[[#This Row],[Nitrate (PPM)]]&gt;2, "Very high", IF(AllData[[#This Row],[Nitrate (PPM)]]&gt;1, "High", IF(AllData[[#This Row],[Nitrate (PPM)]]&gt;0.5, "Some evidence", IF(AllData[[#This Row],[Nitrate (PPM)]]&gt;=0, "No evidence"))))</f>
        <v>Very high</v>
      </c>
      <c r="S3" s="139">
        <v>0.15</v>
      </c>
      <c r="T3" s="7" t="str">
        <f>IF(AllData[[#This Row],[Phosphate (PPM)]]&gt;0.5, "Very high", IF(AllData[[#This Row],[Phosphate (PPM)]]&gt;0.1, "High", IF(AllData[[#This Row],[Phosphate (PPM)]]&gt;0.05, "Some evidence", IF(AllData[[#This Row],[Phosphate (PPM)]]&lt;=0.05, "No Evidence", ""))))</f>
        <v>High</v>
      </c>
      <c r="U3" s="139">
        <v>0</v>
      </c>
      <c r="V3" s="139"/>
    </row>
    <row r="4" spans="1:22" x14ac:dyDescent="0.35">
      <c r="A4" s="139" t="s">
        <v>3536</v>
      </c>
      <c r="B4" s="146">
        <v>45770</v>
      </c>
      <c r="C4" s="2" t="str" cm="1">
        <f t="array" ref="C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
        <f>YEAR(AllData[[#This Row],[Date]])</f>
        <v>2025</v>
      </c>
      <c r="E4" s="147">
        <v>0.41736111111111113</v>
      </c>
      <c r="F4" t="str">
        <f>IF(AND(AllData[[#This Row],[Time]]&lt;0.5, AllData[[#This Row],[Time]]&gt;0.17)=TRUE, "Morning", IF(AND(AllData[[#This Row],[Time]]&lt;0.75, AllData[[#This Row],[Time]]&gt;=0.5)=TRUE, "Afternoon", IF(AND(AllData[[#This Row],[Time]]&lt;1, AllData[[#This Row],[Time]]&gt;=0.75)=TRUE, "Evening", "Night")))</f>
        <v>Morning</v>
      </c>
      <c r="G4" t="str">
        <f>_xlfn.XLOOKUP(AllData[[#This Row],[Location Name]], Locations[Location Name],Locations[Group As])</f>
        <v>Carters Lane</v>
      </c>
      <c r="H4" t="e" vm="1">
        <f>_xlfn.XLOOKUP(AllData[[#This Row],[Site Name]],LocationsKey[Site Name],LocationsKey[District])</f>
        <v>#VALUE!</v>
      </c>
      <c r="I4" t="e" vm="3">
        <f>_xlfn.XLOOKUP(AllData[[#This Row],[Site Name]],LocationsKey[Site Name],LocationsKey[Town])</f>
        <v>#VALUE!</v>
      </c>
      <c r="J4" t="str">
        <f>_xlfn.XLOOKUP(AllData[[#This Row],[Site Name]],LocationsKey[Site Name], LocationsKey[Waterway])</f>
        <v>Avon</v>
      </c>
      <c r="K4" s="139" t="s">
        <v>2520</v>
      </c>
      <c r="L4" s="139">
        <v>52.202171999999997</v>
      </c>
      <c r="M4" s="156">
        <v>-1.67839</v>
      </c>
      <c r="N4" s="139" t="s">
        <v>68</v>
      </c>
      <c r="O4" s="139">
        <v>100</v>
      </c>
      <c r="P4" s="139">
        <v>13</v>
      </c>
      <c r="Q4" s="139">
        <v>10</v>
      </c>
      <c r="R4" s="107" t="str">
        <f>IF(AllData[[#This Row],[Nitrate (PPM)]]&gt;2, "Very high", IF(AllData[[#This Row],[Nitrate (PPM)]]&gt;1, "High", IF(AllData[[#This Row],[Nitrate (PPM)]]&gt;0.5, "Some evidence", IF(AllData[[#This Row],[Nitrate (PPM)]]&gt;=0, "No evidence"))))</f>
        <v>Very high</v>
      </c>
      <c r="S4" s="139">
        <v>0.08</v>
      </c>
      <c r="T4" s="7" t="str">
        <f>IF(AllData[[#This Row],[Phosphate (PPM)]]&gt;0.5, "Very high", IF(AllData[[#This Row],[Phosphate (PPM)]]&gt;0.1, "High", IF(AllData[[#This Row],[Phosphate (PPM)]]&gt;0.05, "Some evidence", IF(AllData[[#This Row],[Phosphate (PPM)]]&lt;=0.05, "No Evidence", ""))))</f>
        <v>Some evidence</v>
      </c>
      <c r="U4" s="139">
        <v>0.7</v>
      </c>
      <c r="V4" s="139"/>
    </row>
    <row r="5" spans="1:22" x14ac:dyDescent="0.35">
      <c r="A5" s="139" t="s">
        <v>3534</v>
      </c>
      <c r="B5" s="146">
        <v>45770</v>
      </c>
      <c r="C5" s="2" t="str" cm="1">
        <f t="array" ref="C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
        <f>YEAR(AllData[[#This Row],[Date]])</f>
        <v>2025</v>
      </c>
      <c r="E5" s="147">
        <v>0.41597222222222224</v>
      </c>
      <c r="F5" t="str">
        <f>IF(AND(AllData[[#This Row],[Time]]&lt;0.5, AllData[[#This Row],[Time]]&gt;0.17)=TRUE, "Morning", IF(AND(AllData[[#This Row],[Time]]&lt;0.75, AllData[[#This Row],[Time]]&gt;=0.5)=TRUE, "Afternoon", IF(AND(AllData[[#This Row],[Time]]&lt;1, AllData[[#This Row],[Time]]&gt;=0.75)=TRUE, "Evening", "Night")))</f>
        <v>Morning</v>
      </c>
      <c r="G5" t="str">
        <f>_xlfn.XLOOKUP(AllData[[#This Row],[Location Name]], Locations[Location Name],Locations[Group As])</f>
        <v>School Lane</v>
      </c>
      <c r="H5" t="e" vm="1">
        <f>_xlfn.XLOOKUP(AllData[[#This Row],[Site Name]],LocationsKey[Site Name],LocationsKey[District])</f>
        <v>#VALUE!</v>
      </c>
      <c r="I5" t="e" vm="3">
        <f>_xlfn.XLOOKUP(AllData[[#This Row],[Site Name]],LocationsKey[Site Name],LocationsKey[Town])</f>
        <v>#VALUE!</v>
      </c>
      <c r="J5" t="str">
        <f>_xlfn.XLOOKUP(AllData[[#This Row],[Site Name]],LocationsKey[Site Name], LocationsKey[Waterway])</f>
        <v>Avon</v>
      </c>
      <c r="K5" s="139" t="s">
        <v>2212</v>
      </c>
      <c r="L5" s="139">
        <v>52.202188</v>
      </c>
      <c r="M5" s="156">
        <v>-1.6784600000000001</v>
      </c>
      <c r="N5" s="139" t="s">
        <v>31</v>
      </c>
      <c r="O5" s="139">
        <v>100</v>
      </c>
      <c r="P5" s="139">
        <v>13</v>
      </c>
      <c r="Q5" s="139">
        <v>10</v>
      </c>
      <c r="R5" s="107" t="str">
        <f>IF(AllData[[#This Row],[Nitrate (PPM)]]&gt;2, "Very high", IF(AllData[[#This Row],[Nitrate (PPM)]]&gt;1, "High", IF(AllData[[#This Row],[Nitrate (PPM)]]&gt;0.5, "Some evidence", IF(AllData[[#This Row],[Nitrate (PPM)]]&gt;=0, "No evidence"))))</f>
        <v>Very high</v>
      </c>
      <c r="S5" s="139">
        <v>0.08</v>
      </c>
      <c r="T5" s="7" t="str">
        <f>IF(AllData[[#This Row],[Phosphate (PPM)]]&gt;0.5, "Very high", IF(AllData[[#This Row],[Phosphate (PPM)]]&gt;0.1, "High", IF(AllData[[#This Row],[Phosphate (PPM)]]&gt;0.05, "Some evidence", IF(AllData[[#This Row],[Phosphate (PPM)]]&lt;=0.05, "No Evidence", ""))))</f>
        <v>Some evidence</v>
      </c>
      <c r="U5" s="139">
        <v>0.7</v>
      </c>
      <c r="V5" s="139" t="s">
        <v>3535</v>
      </c>
    </row>
    <row r="6" spans="1:22" x14ac:dyDescent="0.35">
      <c r="A6" s="139" t="s">
        <v>3529</v>
      </c>
      <c r="B6" s="146">
        <v>45769</v>
      </c>
      <c r="C6" s="2" t="str" cm="1">
        <f t="array" ref="C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
        <f>YEAR(AllData[[#This Row],[Date]])</f>
        <v>2025</v>
      </c>
      <c r="E6" s="147">
        <v>0.39027777777777778</v>
      </c>
      <c r="F6" t="str">
        <f>IF(AND(AllData[[#This Row],[Time]]&lt;0.5, AllData[[#This Row],[Time]]&gt;0.17)=TRUE, "Morning", IF(AND(AllData[[#This Row],[Time]]&lt;0.75, AllData[[#This Row],[Time]]&gt;=0.5)=TRUE, "Afternoon", IF(AND(AllData[[#This Row],[Time]]&lt;1, AllData[[#This Row],[Time]]&gt;=0.75)=TRUE, "Evening", "Night")))</f>
        <v>Morning</v>
      </c>
      <c r="G6" t="str">
        <f>_xlfn.XLOOKUP(AllData[[#This Row],[Location Name]], Locations[Location Name],Locations[Group As])</f>
        <v>Twyning Fleet</v>
      </c>
      <c r="H6" t="e" vm="4">
        <f>_xlfn.XLOOKUP(AllData[[#This Row],[Site Name]],LocationsKey[Site Name],LocationsKey[District])</f>
        <v>#VALUE!</v>
      </c>
      <c r="I6" t="str">
        <f>_xlfn.XLOOKUP(AllData[[#This Row],[Site Name]],LocationsKey[Site Name],LocationsKey[Town])</f>
        <v>Twyning Green</v>
      </c>
      <c r="J6" t="str">
        <f>_xlfn.XLOOKUP(AllData[[#This Row],[Site Name]],LocationsKey[Site Name], LocationsKey[Waterway])</f>
        <v>Avon</v>
      </c>
      <c r="K6" s="139" t="s">
        <v>2181</v>
      </c>
      <c r="L6" s="139">
        <v>52.027482999999997</v>
      </c>
      <c r="M6" s="156">
        <v>-2.1409590000000001</v>
      </c>
      <c r="N6" s="139"/>
      <c r="O6" s="139">
        <v>980</v>
      </c>
      <c r="P6" s="139">
        <v>13.1</v>
      </c>
      <c r="Q6" s="139">
        <v>10</v>
      </c>
      <c r="R6" s="107" t="str">
        <f>IF(AllData[[#This Row],[Nitrate (PPM)]]&gt;2, "Very high", IF(AllData[[#This Row],[Nitrate (PPM)]]&gt;1, "High", IF(AllData[[#This Row],[Nitrate (PPM)]]&gt;0.5, "Some evidence", IF(AllData[[#This Row],[Nitrate (PPM)]]&gt;=0, "No evidence"))))</f>
        <v>Very high</v>
      </c>
      <c r="S6" s="139">
        <v>0.12</v>
      </c>
      <c r="T6" s="7" t="str">
        <f>IF(AllData[[#This Row],[Phosphate (PPM)]]&gt;0.5, "Very high", IF(AllData[[#This Row],[Phosphate (PPM)]]&gt;0.1, "High", IF(AllData[[#This Row],[Phosphate (PPM)]]&gt;0.05, "Some evidence", IF(AllData[[#This Row],[Phosphate (PPM)]]&lt;=0.05, "No Evidence", ""))))</f>
        <v>High</v>
      </c>
      <c r="U6" s="139">
        <v>0</v>
      </c>
      <c r="V6" s="139"/>
    </row>
    <row r="7" spans="1:22" x14ac:dyDescent="0.35">
      <c r="A7" s="139" t="s">
        <v>3530</v>
      </c>
      <c r="B7" s="146">
        <v>45769</v>
      </c>
      <c r="C7" s="2" t="str" cm="1">
        <f t="array" ref="C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
        <f>YEAR(AllData[[#This Row],[Date]])</f>
        <v>2025</v>
      </c>
      <c r="E7" s="147">
        <v>0.6479166666666667</v>
      </c>
      <c r="F7" t="str">
        <f>IF(AND(AllData[[#This Row],[Time]]&lt;0.5, AllData[[#This Row],[Time]]&gt;0.17)=TRUE, "Morning", IF(AND(AllData[[#This Row],[Time]]&lt;0.75, AllData[[#This Row],[Time]]&gt;=0.5)=TRUE, "Afternoon", IF(AND(AllData[[#This Row],[Time]]&lt;1, AllData[[#This Row],[Time]]&gt;=0.75)=TRUE, "Evening", "Night")))</f>
        <v>Afternoon</v>
      </c>
      <c r="G7" t="str">
        <f>_xlfn.XLOOKUP(AllData[[#This Row],[Location Name]], Locations[Location Name],Locations[Group As])</f>
        <v>New Barn Farm Brailes</v>
      </c>
      <c r="H7" t="e" vm="1">
        <f>_xlfn.XLOOKUP(AllData[[#This Row],[Site Name]],LocationsKey[Site Name],LocationsKey[District])</f>
        <v>#VALUE!</v>
      </c>
      <c r="I7" t="e" vm="5">
        <f>_xlfn.XLOOKUP(AllData[[#This Row],[Site Name]],LocationsKey[Site Name],LocationsKey[Town])</f>
        <v>#VALUE!</v>
      </c>
      <c r="J7" t="str">
        <f>_xlfn.XLOOKUP(AllData[[#This Row],[Site Name]],LocationsKey[Site Name], LocationsKey[Waterway])</f>
        <v>Sutton Brook</v>
      </c>
      <c r="K7" s="139" t="s">
        <v>3531</v>
      </c>
      <c r="L7" s="139">
        <v>52.049598000000003</v>
      </c>
      <c r="M7" s="156">
        <v>-1.5513760000000001</v>
      </c>
      <c r="N7" s="139" t="s">
        <v>31</v>
      </c>
      <c r="O7" s="139">
        <v>610</v>
      </c>
      <c r="P7" s="139">
        <v>13.4</v>
      </c>
      <c r="Q7" s="139">
        <v>8</v>
      </c>
      <c r="R7" s="107" t="str">
        <f>IF(AllData[[#This Row],[Nitrate (PPM)]]&gt;2, "Very high", IF(AllData[[#This Row],[Nitrate (PPM)]]&gt;1, "High", IF(AllData[[#This Row],[Nitrate (PPM)]]&gt;0.5, "Some evidence", IF(AllData[[#This Row],[Nitrate (PPM)]]&gt;=0, "No evidence"))))</f>
        <v>Very high</v>
      </c>
      <c r="S7" s="139">
        <v>0.27</v>
      </c>
      <c r="T7" s="7" t="str">
        <f>IF(AllData[[#This Row],[Phosphate (PPM)]]&gt;0.5, "Very high", IF(AllData[[#This Row],[Phosphate (PPM)]]&gt;0.1, "High", IF(AllData[[#This Row],[Phosphate (PPM)]]&gt;0.05, "Some evidence", IF(AllData[[#This Row],[Phosphate (PPM)]]&lt;=0.05, "No Evidence", ""))))</f>
        <v>High</v>
      </c>
      <c r="U7" s="139">
        <v>0.2</v>
      </c>
      <c r="V7" s="139" t="s">
        <v>3532</v>
      </c>
    </row>
    <row r="8" spans="1:22" x14ac:dyDescent="0.35">
      <c r="A8" s="139" t="s">
        <v>3533</v>
      </c>
      <c r="B8" s="146">
        <v>45769</v>
      </c>
      <c r="C8" s="2" t="str" cm="1">
        <f t="array" ref="C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
        <f>YEAR(AllData[[#This Row],[Date]])</f>
        <v>2025</v>
      </c>
      <c r="E8" s="147">
        <v>0.68055555555555558</v>
      </c>
      <c r="F8" t="str">
        <f>IF(AND(AllData[[#This Row],[Time]]&lt;0.5, AllData[[#This Row],[Time]]&gt;0.17)=TRUE, "Morning", IF(AND(AllData[[#This Row],[Time]]&lt;0.75, AllData[[#This Row],[Time]]&gt;=0.5)=TRUE, "Afternoon", IF(AND(AllData[[#This Row],[Time]]&lt;1, AllData[[#This Row],[Time]]&gt;=0.75)=TRUE, "Evening", "Night")))</f>
        <v>Afternoon</v>
      </c>
      <c r="G8" t="str">
        <f>_xlfn.XLOOKUP(AllData[[#This Row],[Location Name]], Locations[Location Name],Locations[Group As])</f>
        <v>High Street Brailes</v>
      </c>
      <c r="H8" t="e" vm="1">
        <f>_xlfn.XLOOKUP(AllData[[#This Row],[Site Name]],LocationsKey[Site Name],LocationsKey[District])</f>
        <v>#VALUE!</v>
      </c>
      <c r="I8" t="e" vm="5">
        <f>_xlfn.XLOOKUP(AllData[[#This Row],[Site Name]],LocationsKey[Site Name],LocationsKey[Town])</f>
        <v>#VALUE!</v>
      </c>
      <c r="J8" t="str">
        <f>_xlfn.XLOOKUP(AllData[[#This Row],[Site Name]],LocationsKey[Site Name], LocationsKey[Waterway])</f>
        <v>Sutton Brook</v>
      </c>
      <c r="K8" s="139" t="s">
        <v>3011</v>
      </c>
      <c r="L8" s="139">
        <v>52.050902000000001</v>
      </c>
      <c r="M8" s="156">
        <v>-1.545838</v>
      </c>
      <c r="N8" s="139" t="s">
        <v>68</v>
      </c>
      <c r="O8" s="139">
        <v>563</v>
      </c>
      <c r="P8" s="139">
        <v>14.4</v>
      </c>
      <c r="Q8" s="139">
        <v>4</v>
      </c>
      <c r="R8" s="107" t="str">
        <f>IF(AllData[[#This Row],[Nitrate (PPM)]]&gt;2, "Very high", IF(AllData[[#This Row],[Nitrate (PPM)]]&gt;1, "High", IF(AllData[[#This Row],[Nitrate (PPM)]]&gt;0.5, "Some evidence", IF(AllData[[#This Row],[Nitrate (PPM)]]&gt;=0, "No evidence"))))</f>
        <v>Very high</v>
      </c>
      <c r="S8" s="139">
        <v>0.16</v>
      </c>
      <c r="T8" s="7" t="str">
        <f>IF(AllData[[#This Row],[Phosphate (PPM)]]&gt;0.5, "Very high", IF(AllData[[#This Row],[Phosphate (PPM)]]&gt;0.1, "High", IF(AllData[[#This Row],[Phosphate (PPM)]]&gt;0.05, "Some evidence", IF(AllData[[#This Row],[Phosphate (PPM)]]&lt;=0.05, "No Evidence", ""))))</f>
        <v>High</v>
      </c>
      <c r="U8" s="139">
        <v>0.3</v>
      </c>
      <c r="V8" s="139"/>
    </row>
    <row r="9" spans="1:22" x14ac:dyDescent="0.35">
      <c r="A9" s="139" t="s">
        <v>3528</v>
      </c>
      <c r="B9" s="146">
        <v>45768</v>
      </c>
      <c r="C9" s="2" t="str" cm="1">
        <f t="array" ref="C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
        <f>YEAR(AllData[[#This Row],[Date]])</f>
        <v>2025</v>
      </c>
      <c r="E9" s="147">
        <v>0.48402777777777778</v>
      </c>
      <c r="F9" t="str">
        <f>IF(AND(AllData[[#This Row],[Time]]&lt;0.5, AllData[[#This Row],[Time]]&gt;0.17)=TRUE, "Morning", IF(AND(AllData[[#This Row],[Time]]&lt;0.75, AllData[[#This Row],[Time]]&gt;=0.5)=TRUE, "Afternoon", IF(AND(AllData[[#This Row],[Time]]&lt;1, AllData[[#This Row],[Time]]&gt;=0.75)=TRUE, "Evening", "Night")))</f>
        <v>Morning</v>
      </c>
      <c r="G9" t="str">
        <f>_xlfn.XLOOKUP(AllData[[#This Row],[Location Name]], Locations[Location Name],Locations[Group As])</f>
        <v>Quay Lane Great Comberton</v>
      </c>
      <c r="H9" t="e" vm="6">
        <f>_xlfn.XLOOKUP(AllData[[#This Row],[Site Name]],LocationsKey[Site Name],LocationsKey[District])</f>
        <v>#VALUE!</v>
      </c>
      <c r="I9" t="e" vm="7">
        <f>_xlfn.XLOOKUP(AllData[[#This Row],[Site Name]],LocationsKey[Site Name],LocationsKey[Town])</f>
        <v>#VALUE!</v>
      </c>
      <c r="J9" t="str">
        <f>_xlfn.XLOOKUP(AllData[[#This Row],[Site Name]],LocationsKey[Site Name], LocationsKey[Waterway])</f>
        <v>Avon</v>
      </c>
      <c r="K9" s="139" t="s">
        <v>3233</v>
      </c>
      <c r="L9" s="139">
        <v>52.081814000000001</v>
      </c>
      <c r="M9" s="156">
        <v>-2.070649</v>
      </c>
      <c r="N9" s="139"/>
      <c r="O9" s="139">
        <v>959</v>
      </c>
      <c r="P9" s="139">
        <v>12.7</v>
      </c>
      <c r="Q9" s="139">
        <v>15.1</v>
      </c>
      <c r="R9" s="107" t="str">
        <f>IF(AllData[[#This Row],[Nitrate (PPM)]]&gt;2, "Very high", IF(AllData[[#This Row],[Nitrate (PPM)]]&gt;1, "High", IF(AllData[[#This Row],[Nitrate (PPM)]]&gt;0.5, "Some evidence", IF(AllData[[#This Row],[Nitrate (PPM)]]&gt;=0, "No evidence"))))</f>
        <v>Very high</v>
      </c>
      <c r="S9" s="139">
        <v>0.1</v>
      </c>
      <c r="T9" s="7" t="str">
        <f>IF(AllData[[#This Row],[Phosphate (PPM)]]&gt;0.5, "Very high", IF(AllData[[#This Row],[Phosphate (PPM)]]&gt;0.1, "High", IF(AllData[[#This Row],[Phosphate (PPM)]]&gt;0.05, "Some evidence", IF(AllData[[#This Row],[Phosphate (PPM)]]&lt;=0.05, "No Evidence", ""))))</f>
        <v>Some evidence</v>
      </c>
      <c r="U9" s="139">
        <v>2.06</v>
      </c>
      <c r="V9" s="139"/>
    </row>
    <row r="10" spans="1:22" x14ac:dyDescent="0.35">
      <c r="A10" s="139" t="s">
        <v>3527</v>
      </c>
      <c r="B10" s="146">
        <v>45768</v>
      </c>
      <c r="C10" s="2" t="str" cm="1">
        <f t="array" ref="C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
        <f>YEAR(AllData[[#This Row],[Date]])</f>
        <v>2025</v>
      </c>
      <c r="E10" s="147">
        <v>0.39444444444444443</v>
      </c>
      <c r="F10" t="str">
        <f>IF(AND(AllData[[#This Row],[Time]]&lt;0.5, AllData[[#This Row],[Time]]&gt;0.17)=TRUE, "Morning", IF(AND(AllData[[#This Row],[Time]]&lt;0.75, AllData[[#This Row],[Time]]&gt;=0.5)=TRUE, "Afternoon", IF(AND(AllData[[#This Row],[Time]]&lt;1, AllData[[#This Row],[Time]]&gt;=0.75)=TRUE, "Evening", "Night")))</f>
        <v>Morning</v>
      </c>
      <c r="G10" t="str">
        <f>_xlfn.XLOOKUP(AllData[[#This Row],[Location Name]], Locations[Location Name],Locations[Group As])</f>
        <v>Isbourne Winchcombe C</v>
      </c>
      <c r="H10" t="e" vm="4">
        <f>_xlfn.XLOOKUP(AllData[[#This Row],[Site Name]],LocationsKey[Site Name],LocationsKey[District])</f>
        <v>#VALUE!</v>
      </c>
      <c r="I10" t="e" vm="8">
        <f>_xlfn.XLOOKUP(AllData[[#This Row],[Site Name]],LocationsKey[Site Name],LocationsKey[Town])</f>
        <v>#VALUE!</v>
      </c>
      <c r="J10" t="str">
        <f>_xlfn.XLOOKUP(AllData[[#This Row],[Site Name]],LocationsKey[Site Name], LocationsKey[Waterway])</f>
        <v>Isbourne</v>
      </c>
      <c r="K10" s="139" t="s">
        <v>3479</v>
      </c>
      <c r="L10" s="139">
        <v>51.962665999999999</v>
      </c>
      <c r="M10" s="156">
        <v>-1.957921</v>
      </c>
      <c r="N10" s="139" t="s">
        <v>68</v>
      </c>
      <c r="O10" s="139">
        <v>497</v>
      </c>
      <c r="P10" s="139">
        <v>12.2</v>
      </c>
      <c r="Q10" s="139">
        <v>5</v>
      </c>
      <c r="R10" s="107" t="str">
        <f>IF(AllData[[#This Row],[Nitrate (PPM)]]&gt;2, "Very high", IF(AllData[[#This Row],[Nitrate (PPM)]]&gt;1, "High", IF(AllData[[#This Row],[Nitrate (PPM)]]&gt;0.5, "Some evidence", IF(AllData[[#This Row],[Nitrate (PPM)]]&gt;=0, "No evidence"))))</f>
        <v>Very high</v>
      </c>
      <c r="S10" s="139">
        <v>0.02</v>
      </c>
      <c r="T10" s="7" t="str">
        <f>IF(AllData[[#This Row],[Phosphate (PPM)]]&gt;0.5, "Very high", IF(AllData[[#This Row],[Phosphate (PPM)]]&gt;0.1, "High", IF(AllData[[#This Row],[Phosphate (PPM)]]&gt;0.05, "Some evidence", IF(AllData[[#This Row],[Phosphate (PPM)]]&lt;=0.05, "No Evidence", ""))))</f>
        <v>No Evidence</v>
      </c>
      <c r="U10" s="139">
        <v>0.5</v>
      </c>
      <c r="V10" s="139"/>
    </row>
    <row r="11" spans="1:22" x14ac:dyDescent="0.35">
      <c r="A11" s="139" t="s">
        <v>3526</v>
      </c>
      <c r="B11" s="146">
        <v>45768</v>
      </c>
      <c r="C11" s="2" t="str" cm="1">
        <f t="array" ref="C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
        <f>YEAR(AllData[[#This Row],[Date]])</f>
        <v>2025</v>
      </c>
      <c r="E11" s="147">
        <v>0.37569444444444444</v>
      </c>
      <c r="F11" t="str">
        <f>IF(AND(AllData[[#This Row],[Time]]&lt;0.5, AllData[[#This Row],[Time]]&gt;0.17)=TRUE, "Morning", IF(AND(AllData[[#This Row],[Time]]&lt;0.75, AllData[[#This Row],[Time]]&gt;=0.5)=TRUE, "Afternoon", IF(AND(AllData[[#This Row],[Time]]&lt;1, AllData[[#This Row],[Time]]&gt;=0.75)=TRUE, "Evening", "Night")))</f>
        <v>Morning</v>
      </c>
      <c r="G11" t="str">
        <f>_xlfn.XLOOKUP(AllData[[#This Row],[Location Name]], Locations[Location Name],Locations[Group As])</f>
        <v>Isbourne Winchcombe A</v>
      </c>
      <c r="H11" t="e" vm="4">
        <f>_xlfn.XLOOKUP(AllData[[#This Row],[Site Name]],LocationsKey[Site Name],LocationsKey[District])</f>
        <v>#VALUE!</v>
      </c>
      <c r="I11" t="str">
        <f>_xlfn.XLOOKUP(AllData[[#This Row],[Site Name]],LocationsKey[Site Name],LocationsKey[Town])</f>
        <v>Winchcombe</v>
      </c>
      <c r="J11" t="str">
        <f>_xlfn.XLOOKUP(AllData[[#This Row],[Site Name]],LocationsKey[Site Name], LocationsKey[Waterway])</f>
        <v>Isbourne</v>
      </c>
      <c r="K11" s="139" t="s">
        <v>3434</v>
      </c>
      <c r="L11" s="139">
        <v>51.939767000000003</v>
      </c>
      <c r="M11" s="156">
        <v>-2.0030770000000002</v>
      </c>
      <c r="N11" s="139" t="s">
        <v>68</v>
      </c>
      <c r="O11" s="139">
        <v>345</v>
      </c>
      <c r="P11" s="139">
        <v>11.3</v>
      </c>
      <c r="Q11" s="139">
        <v>4</v>
      </c>
      <c r="R11" s="107" t="str">
        <f>IF(AllData[[#This Row],[Nitrate (PPM)]]&gt;2, "Very high", IF(AllData[[#This Row],[Nitrate (PPM)]]&gt;1, "High", IF(AllData[[#This Row],[Nitrate (PPM)]]&gt;0.5, "Some evidence", IF(AllData[[#This Row],[Nitrate (PPM)]]&gt;=0, "No evidence"))))</f>
        <v>Very high</v>
      </c>
      <c r="S11" s="139">
        <v>0.09</v>
      </c>
      <c r="T11" s="7" t="str">
        <f>IF(AllData[[#This Row],[Phosphate (PPM)]]&gt;0.5, "Very high", IF(AllData[[#This Row],[Phosphate (PPM)]]&gt;0.1, "High", IF(AllData[[#This Row],[Phosphate (PPM)]]&gt;0.05, "Some evidence", IF(AllData[[#This Row],[Phosphate (PPM)]]&lt;=0.05, "No Evidence", ""))))</f>
        <v>Some evidence</v>
      </c>
      <c r="U11" s="139">
        <v>0.2</v>
      </c>
      <c r="V11" s="139"/>
    </row>
    <row r="12" spans="1:22" x14ac:dyDescent="0.35">
      <c r="A12" s="139" t="s">
        <v>3525</v>
      </c>
      <c r="B12" s="146">
        <v>45768</v>
      </c>
      <c r="C12" s="2" t="str" cm="1">
        <f t="array" ref="C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
        <f>YEAR(AllData[[#This Row],[Date]])</f>
        <v>2025</v>
      </c>
      <c r="E12" s="147">
        <v>0.36458333333333331</v>
      </c>
      <c r="F12" t="str">
        <f>IF(AND(AllData[[#This Row],[Time]]&lt;0.5, AllData[[#This Row],[Time]]&gt;0.17)=TRUE, "Morning", IF(AND(AllData[[#This Row],[Time]]&lt;0.75, AllData[[#This Row],[Time]]&gt;=0.5)=TRUE, "Afternoon", IF(AND(AllData[[#This Row],[Time]]&lt;1, AllData[[#This Row],[Time]]&gt;=0.75)=TRUE, "Evening", "Night")))</f>
        <v>Morning</v>
      </c>
      <c r="G12" t="str">
        <f>_xlfn.XLOOKUP(AllData[[#This Row],[Location Name]], Locations[Location Name],Locations[Group As])</f>
        <v>Chipping Campden Lady J Gateway</v>
      </c>
      <c r="H12" t="e" vm="9">
        <f>_xlfn.XLOOKUP(AllData[[#This Row],[Site Name]],LocationsKey[Site Name],LocationsKey[District])</f>
        <v>#VALUE!</v>
      </c>
      <c r="I12" t="e" vm="10">
        <f>_xlfn.XLOOKUP(AllData[[#This Row],[Site Name]],LocationsKey[Site Name],LocationsKey[Town])</f>
        <v>#VALUE!</v>
      </c>
      <c r="J12" t="str">
        <f>_xlfn.XLOOKUP(AllData[[#This Row],[Site Name]],LocationsKey[Site Name], LocationsKey[Waterway])</f>
        <v>Cam Brook</v>
      </c>
      <c r="K12" s="139" t="s">
        <v>1573</v>
      </c>
      <c r="L12" s="139"/>
      <c r="M12" s="156"/>
      <c r="N12" s="139" t="s">
        <v>68</v>
      </c>
      <c r="O12" s="139">
        <v>533</v>
      </c>
      <c r="P12" s="139">
        <v>11.3</v>
      </c>
      <c r="Q12" s="139">
        <v>2</v>
      </c>
      <c r="R12" s="107" t="str">
        <f>IF(AllData[[#This Row],[Nitrate (PPM)]]&gt;2, "Very high", IF(AllData[[#This Row],[Nitrate (PPM)]]&gt;1, "High", IF(AllData[[#This Row],[Nitrate (PPM)]]&gt;0.5, "Some evidence", IF(AllData[[#This Row],[Nitrate (PPM)]]&gt;=0, "No evidence"))))</f>
        <v>High</v>
      </c>
      <c r="S12" s="139">
        <v>0.06</v>
      </c>
      <c r="T12" s="7" t="str">
        <f>IF(AllData[[#This Row],[Phosphate (PPM)]]&gt;0.5, "Very high", IF(AllData[[#This Row],[Phosphate (PPM)]]&gt;0.1, "High", IF(AllData[[#This Row],[Phosphate (PPM)]]&gt;0.05, "Some evidence", IF(AllData[[#This Row],[Phosphate (PPM)]]&lt;=0.05, "No Evidence", ""))))</f>
        <v>Some evidence</v>
      </c>
      <c r="U12" s="139">
        <v>0.06</v>
      </c>
      <c r="V12" s="139"/>
    </row>
    <row r="13" spans="1:22" x14ac:dyDescent="0.35">
      <c r="A13" s="139" t="s">
        <v>3521</v>
      </c>
      <c r="B13" s="146">
        <v>45767</v>
      </c>
      <c r="C13" s="2" t="str" cm="1">
        <f t="array" ref="C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
        <f>YEAR(AllData[[#This Row],[Date]])</f>
        <v>2025</v>
      </c>
      <c r="E13" s="147">
        <v>0.44791666666666669</v>
      </c>
      <c r="F13" t="str">
        <f>IF(AND(AllData[[#This Row],[Time]]&lt;0.5, AllData[[#This Row],[Time]]&gt;0.17)=TRUE, "Morning", IF(AND(AllData[[#This Row],[Time]]&lt;0.75, AllData[[#This Row],[Time]]&gt;=0.5)=TRUE, "Afternoon", IF(AND(AllData[[#This Row],[Time]]&lt;1, AllData[[#This Row],[Time]]&gt;=0.75)=TRUE, "Evening", "Night")))</f>
        <v>Morning</v>
      </c>
      <c r="G13" t="str">
        <f>_xlfn.XLOOKUP(AllData[[#This Row],[Location Name]], Locations[Location Name],Locations[Group As])</f>
        <v>Carrant Back Lane Beckford</v>
      </c>
      <c r="H13" t="e" vm="4">
        <f>_xlfn.XLOOKUP(AllData[[#This Row],[Site Name]],LocationsKey[Site Name],LocationsKey[District])</f>
        <v>#VALUE!</v>
      </c>
      <c r="I13" t="str">
        <f>_xlfn.XLOOKUP(AllData[[#This Row],[Site Name]],LocationsKey[Site Name],LocationsKey[Town])</f>
        <v>Beckford</v>
      </c>
      <c r="J13" t="str">
        <f>_xlfn.XLOOKUP(AllData[[#This Row],[Site Name]],LocationsKey[Site Name], LocationsKey[Waterway])</f>
        <v>Carrant</v>
      </c>
      <c r="K13" s="139" t="s">
        <v>1736</v>
      </c>
      <c r="L13" s="139">
        <v>52.018427000000003</v>
      </c>
      <c r="M13" s="156">
        <v>-2.0388419999999998</v>
      </c>
      <c r="N13" s="139" t="s">
        <v>68</v>
      </c>
      <c r="O13" s="139">
        <v>780</v>
      </c>
      <c r="P13" s="139">
        <v>10.9</v>
      </c>
      <c r="Q13" s="139">
        <v>11</v>
      </c>
      <c r="R13" s="107" t="str">
        <f>IF(AllData[[#This Row],[Nitrate (PPM)]]&gt;2, "Very high", IF(AllData[[#This Row],[Nitrate (PPM)]]&gt;1, "High", IF(AllData[[#This Row],[Nitrate (PPM)]]&gt;0.5, "Some evidence", IF(AllData[[#This Row],[Nitrate (PPM)]]&gt;=0, "No evidence"))))</f>
        <v>Very high</v>
      </c>
      <c r="S13" s="139">
        <v>0</v>
      </c>
      <c r="T13" s="7" t="str">
        <f>IF(AllData[[#This Row],[Phosphate (PPM)]]&gt;0.5, "Very high", IF(AllData[[#This Row],[Phosphate (PPM)]]&gt;0.1, "High", IF(AllData[[#This Row],[Phosphate (PPM)]]&gt;0.05, "Some evidence", IF(AllData[[#This Row],[Phosphate (PPM)]]&lt;=0.05, "No Evidence", ""))))</f>
        <v>No Evidence</v>
      </c>
      <c r="U13" s="139">
        <v>0.01</v>
      </c>
      <c r="V13" s="139"/>
    </row>
    <row r="14" spans="1:22" x14ac:dyDescent="0.35">
      <c r="A14" s="139" t="s">
        <v>3522</v>
      </c>
      <c r="B14" s="146">
        <v>45767</v>
      </c>
      <c r="C14" s="2" t="str" cm="1">
        <f t="array" ref="C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
        <f>YEAR(AllData[[#This Row],[Date]])</f>
        <v>2025</v>
      </c>
      <c r="E14" s="147">
        <v>0.72499999999999998</v>
      </c>
      <c r="F14" t="str">
        <f>IF(AND(AllData[[#This Row],[Time]]&lt;0.5, AllData[[#This Row],[Time]]&gt;0.17)=TRUE, "Morning", IF(AND(AllData[[#This Row],[Time]]&lt;0.75, AllData[[#This Row],[Time]]&gt;=0.5)=TRUE, "Afternoon", IF(AND(AllData[[#This Row],[Time]]&lt;1, AllData[[#This Row],[Time]]&gt;=0.75)=TRUE, "Evening", "Night")))</f>
        <v>Afternoon</v>
      </c>
      <c r="G14" t="str">
        <f>_xlfn.XLOOKUP(AllData[[#This Row],[Location Name]], Locations[Location Name],Locations[Group As])</f>
        <v>SSC Bredons Norton</v>
      </c>
      <c r="H14" t="e" vm="6">
        <f>_xlfn.XLOOKUP(AllData[[#This Row],[Site Name]],LocationsKey[Site Name],LocationsKey[District])</f>
        <v>#VALUE!</v>
      </c>
      <c r="I14" t="str">
        <f>_xlfn.XLOOKUP(AllData[[#This Row],[Site Name]],LocationsKey[Site Name],LocationsKey[Town])</f>
        <v>Bredon's Norton</v>
      </c>
      <c r="J14" t="str">
        <f>_xlfn.XLOOKUP(AllData[[#This Row],[Site Name]],LocationsKey[Site Name], LocationsKey[Waterway])</f>
        <v>Avon</v>
      </c>
      <c r="K14" s="139" t="s">
        <v>2121</v>
      </c>
      <c r="L14" s="139"/>
      <c r="M14" s="156"/>
      <c r="N14" s="139" t="s">
        <v>25</v>
      </c>
      <c r="O14" s="139">
        <v>845</v>
      </c>
      <c r="P14" s="139">
        <v>14.4</v>
      </c>
      <c r="Q14" s="139">
        <v>10</v>
      </c>
      <c r="R14" s="107" t="str">
        <f>IF(AllData[[#This Row],[Nitrate (PPM)]]&gt;2, "Very high", IF(AllData[[#This Row],[Nitrate (PPM)]]&gt;1, "High", IF(AllData[[#This Row],[Nitrate (PPM)]]&gt;0.5, "Some evidence", IF(AllData[[#This Row],[Nitrate (PPM)]]&gt;=0, "No evidence"))))</f>
        <v>Very high</v>
      </c>
      <c r="S14" s="139">
        <v>0.18</v>
      </c>
      <c r="T14" s="7" t="str">
        <f>IF(AllData[[#This Row],[Phosphate (PPM)]]&gt;0.5, "Very high", IF(AllData[[#This Row],[Phosphate (PPM)]]&gt;0.1, "High", IF(AllData[[#This Row],[Phosphate (PPM)]]&gt;0.05, "Some evidence", IF(AllData[[#This Row],[Phosphate (PPM)]]&lt;=0.05, "No Evidence", ""))))</f>
        <v>High</v>
      </c>
      <c r="U14" s="139">
        <v>1</v>
      </c>
      <c r="V14" s="139"/>
    </row>
    <row r="15" spans="1:22" x14ac:dyDescent="0.35">
      <c r="A15" s="139" t="s">
        <v>3520</v>
      </c>
      <c r="B15" s="146">
        <v>45767</v>
      </c>
      <c r="C15" s="2" t="str" cm="1">
        <f t="array" ref="C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
        <f>YEAR(AllData[[#This Row],[Date]])</f>
        <v>2025</v>
      </c>
      <c r="E15" s="147">
        <v>0.43611111111111112</v>
      </c>
      <c r="F15" t="str">
        <f>IF(AND(AllData[[#This Row],[Time]]&lt;0.5, AllData[[#This Row],[Time]]&gt;0.17)=TRUE, "Morning", IF(AND(AllData[[#This Row],[Time]]&lt;0.75, AllData[[#This Row],[Time]]&gt;=0.5)=TRUE, "Afternoon", IF(AND(AllData[[#This Row],[Time]]&lt;1, AllData[[#This Row],[Time]]&gt;=0.75)=TRUE, "Evening", "Night")))</f>
        <v>Morning</v>
      </c>
      <c r="G15" t="str">
        <f>_xlfn.XLOOKUP(AllData[[#This Row],[Location Name]], Locations[Location Name],Locations[Group As])</f>
        <v>Black Bear</v>
      </c>
      <c r="H15" t="e" vm="4">
        <f>_xlfn.XLOOKUP(AllData[[#This Row],[Site Name]],LocationsKey[Site Name],LocationsKey[District])</f>
        <v>#VALUE!</v>
      </c>
      <c r="I15" t="e" vm="4">
        <f>_xlfn.XLOOKUP(AllData[[#This Row],[Site Name]],LocationsKey[Site Name],LocationsKey[Town])</f>
        <v>#VALUE!</v>
      </c>
      <c r="J15" t="str">
        <f>_xlfn.XLOOKUP(AllData[[#This Row],[Site Name]],LocationsKey[Site Name], LocationsKey[Waterway])</f>
        <v>Avon</v>
      </c>
      <c r="K15" s="139" t="s">
        <v>1175</v>
      </c>
      <c r="L15" s="139">
        <v>51.997445999999997</v>
      </c>
      <c r="M15" s="156">
        <v>-2.1560049999999999</v>
      </c>
      <c r="N15" s="139" t="s">
        <v>34</v>
      </c>
      <c r="O15" s="139">
        <v>985</v>
      </c>
      <c r="P15" s="139">
        <v>13.6</v>
      </c>
      <c r="Q15" s="139">
        <v>8</v>
      </c>
      <c r="R15" s="107" t="str">
        <f>IF(AllData[[#This Row],[Nitrate (PPM)]]&gt;2, "Very high", IF(AllData[[#This Row],[Nitrate (PPM)]]&gt;1, "High", IF(AllData[[#This Row],[Nitrate (PPM)]]&gt;0.5, "Some evidence", IF(AllData[[#This Row],[Nitrate (PPM)]]&gt;=0, "No evidence"))))</f>
        <v>Very high</v>
      </c>
      <c r="S15" s="139">
        <v>0.75</v>
      </c>
      <c r="T15" s="7" t="str">
        <f>IF(AllData[[#This Row],[Phosphate (PPM)]]&gt;0.5, "Very high", IF(AllData[[#This Row],[Phosphate (PPM)]]&gt;0.1, "High", IF(AllData[[#This Row],[Phosphate (PPM)]]&gt;0.05, "Some evidence", IF(AllData[[#This Row],[Phosphate (PPM)]]&lt;=0.05, "No Evidence", ""))))</f>
        <v>Very high</v>
      </c>
      <c r="U15" s="139">
        <v>0</v>
      </c>
      <c r="V15" s="139"/>
    </row>
    <row r="16" spans="1:22" x14ac:dyDescent="0.35">
      <c r="A16" s="139" t="s">
        <v>3519</v>
      </c>
      <c r="B16" s="146">
        <v>45767</v>
      </c>
      <c r="C16" s="2" t="str" cm="1">
        <f t="array" ref="C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
        <f>YEAR(AllData[[#This Row],[Date]])</f>
        <v>2025</v>
      </c>
      <c r="E16" s="147">
        <v>0.42291666666666666</v>
      </c>
      <c r="F16" t="str">
        <f>IF(AND(AllData[[#This Row],[Time]]&lt;0.5, AllData[[#This Row],[Time]]&gt;0.17)=TRUE, "Morning", IF(AND(AllData[[#This Row],[Time]]&lt;0.75, AllData[[#This Row],[Time]]&gt;=0.5)=TRUE, "Afternoon", IF(AND(AllData[[#This Row],[Time]]&lt;1, AllData[[#This Row],[Time]]&gt;=0.75)=TRUE, "Evening", "Night")))</f>
        <v>Morning</v>
      </c>
      <c r="G16" t="str">
        <f>_xlfn.XLOOKUP(AllData[[#This Row],[Location Name]], Locations[Location Name],Locations[Group As])</f>
        <v>Dock Lane Bredon</v>
      </c>
      <c r="H16" t="e" vm="6">
        <f>_xlfn.XLOOKUP(AllData[[#This Row],[Site Name]],LocationsKey[Site Name],LocationsKey[District])</f>
        <v>#VALUE!</v>
      </c>
      <c r="I16" t="e" vm="11">
        <f>_xlfn.XLOOKUP(AllData[[#This Row],[Site Name]],LocationsKey[Site Name],LocationsKey[Town])</f>
        <v>#VALUE!</v>
      </c>
      <c r="J16" t="str">
        <f>_xlfn.XLOOKUP(AllData[[#This Row],[Site Name]],LocationsKey[Site Name], LocationsKey[Waterway])</f>
        <v>Avon</v>
      </c>
      <c r="K16" s="139" t="s">
        <v>2470</v>
      </c>
      <c r="L16" s="139">
        <v>52.033470000000001</v>
      </c>
      <c r="M16" s="156">
        <v>-2.1163940000000001</v>
      </c>
      <c r="N16" s="139" t="s">
        <v>34</v>
      </c>
      <c r="O16" s="139">
        <v>102</v>
      </c>
      <c r="P16" s="139">
        <v>13.8</v>
      </c>
      <c r="Q16" s="139">
        <v>4</v>
      </c>
      <c r="R16" s="107" t="str">
        <f>IF(AllData[[#This Row],[Nitrate (PPM)]]&gt;2, "Very high", IF(AllData[[#This Row],[Nitrate (PPM)]]&gt;1, "High", IF(AllData[[#This Row],[Nitrate (PPM)]]&gt;0.5, "Some evidence", IF(AllData[[#This Row],[Nitrate (PPM)]]&gt;=0, "No evidence"))))</f>
        <v>Very high</v>
      </c>
      <c r="S16" s="139">
        <v>0.17</v>
      </c>
      <c r="T16" s="7" t="str">
        <f>IF(AllData[[#This Row],[Phosphate (PPM)]]&gt;0.5, "Very high", IF(AllData[[#This Row],[Phosphate (PPM)]]&gt;0.1, "High", IF(AllData[[#This Row],[Phosphate (PPM)]]&gt;0.05, "Some evidence", IF(AllData[[#This Row],[Phosphate (PPM)]]&lt;=0.05, "No Evidence", ""))))</f>
        <v>High</v>
      </c>
      <c r="U16" s="139">
        <v>0</v>
      </c>
      <c r="V16" s="139"/>
    </row>
    <row r="17" spans="1:22" x14ac:dyDescent="0.35">
      <c r="A17" s="139" t="s">
        <v>3523</v>
      </c>
      <c r="B17" s="146">
        <v>45767</v>
      </c>
      <c r="C17" s="2" t="str" cm="1">
        <f t="array" ref="C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
        <f>YEAR(AllData[[#This Row],[Date]])</f>
        <v>2025</v>
      </c>
      <c r="E17" s="147">
        <v>0.74305555555555558</v>
      </c>
      <c r="F17" t="str">
        <f>IF(AND(AllData[[#This Row],[Time]]&lt;0.5, AllData[[#This Row],[Time]]&gt;0.17)=TRUE, "Morning", IF(AND(AllData[[#This Row],[Time]]&lt;0.75, AllData[[#This Row],[Time]]&gt;=0.5)=TRUE, "Afternoon", IF(AND(AllData[[#This Row],[Time]]&lt;1, AllData[[#This Row],[Time]]&gt;=0.75)=TRUE, "Evening", "Night")))</f>
        <v>Afternoon</v>
      </c>
      <c r="G17" t="str">
        <f>_xlfn.XLOOKUP(AllData[[#This Row],[Location Name]], Locations[Location Name],Locations[Group As])</f>
        <v>Mill Bridge Peopleton</v>
      </c>
      <c r="H17" t="e" vm="6">
        <f>_xlfn.XLOOKUP(AllData[[#This Row],[Site Name]],LocationsKey[Site Name],LocationsKey[District])</f>
        <v>#VALUE!</v>
      </c>
      <c r="I17" t="str">
        <f>_xlfn.XLOOKUP(AllData[[#This Row],[Site Name]],LocationsKey[Site Name],LocationsKey[Town])</f>
        <v>Peopleton</v>
      </c>
      <c r="J17" t="str">
        <f>_xlfn.XLOOKUP(AllData[[#This Row],[Site Name]],LocationsKey[Site Name], LocationsKey[Waterway])</f>
        <v>Bow Brook</v>
      </c>
      <c r="K17" s="139" t="s">
        <v>1015</v>
      </c>
      <c r="L17" s="139">
        <v>52.151758999999998</v>
      </c>
      <c r="M17" s="156">
        <v>-2.0964339999999999</v>
      </c>
      <c r="N17" s="139" t="s">
        <v>31</v>
      </c>
      <c r="O17" s="139">
        <v>1220</v>
      </c>
      <c r="P17" s="139">
        <v>13.3</v>
      </c>
      <c r="Q17" s="139">
        <v>2</v>
      </c>
      <c r="R17" s="107" t="str">
        <f>IF(AllData[[#This Row],[Nitrate (PPM)]]&gt;2, "Very high", IF(AllData[[#This Row],[Nitrate (PPM)]]&gt;1, "High", IF(AllData[[#This Row],[Nitrate (PPM)]]&gt;0.5, "Some evidence", IF(AllData[[#This Row],[Nitrate (PPM)]]&gt;=0, "No evidence"))))</f>
        <v>High</v>
      </c>
      <c r="S17" s="139">
        <v>0.47</v>
      </c>
      <c r="T17" s="7" t="str">
        <f>IF(AllData[[#This Row],[Phosphate (PPM)]]&gt;0.5, "Very high", IF(AllData[[#This Row],[Phosphate (PPM)]]&gt;0.1, "High", IF(AllData[[#This Row],[Phosphate (PPM)]]&gt;0.05, "Some evidence", IF(AllData[[#This Row],[Phosphate (PPM)]]&lt;=0.05, "No Evidence", ""))))</f>
        <v>High</v>
      </c>
      <c r="U17" s="139">
        <v>0.2</v>
      </c>
      <c r="V17" s="139" t="s">
        <v>3524</v>
      </c>
    </row>
    <row r="18" spans="1:22" x14ac:dyDescent="0.35">
      <c r="A18" s="139" t="s">
        <v>3518</v>
      </c>
      <c r="B18" s="146">
        <v>45766</v>
      </c>
      <c r="C18" s="2" t="str" cm="1">
        <f t="array" ref="C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
        <f>YEAR(AllData[[#This Row],[Date]])</f>
        <v>2025</v>
      </c>
      <c r="E18" s="147">
        <v>0.66736111111111107</v>
      </c>
      <c r="F18" t="str">
        <f>IF(AND(AllData[[#This Row],[Time]]&lt;0.5, AllData[[#This Row],[Time]]&gt;0.17)=TRUE, "Morning", IF(AND(AllData[[#This Row],[Time]]&lt;0.75, AllData[[#This Row],[Time]]&gt;=0.5)=TRUE, "Afternoon", IF(AND(AllData[[#This Row],[Time]]&lt;1, AllData[[#This Row],[Time]]&gt;=0.75)=TRUE, "Evening", "Night")))</f>
        <v>Afternoon</v>
      </c>
      <c r="G18" t="str">
        <f>_xlfn.XLOOKUP(AllData[[#This Row],[Location Name]], Locations[Location Name],Locations[Group As])</f>
        <v>Lower Lode</v>
      </c>
      <c r="H18" t="e" vm="4">
        <f>_xlfn.XLOOKUP(AllData[[#This Row],[Site Name]],LocationsKey[Site Name],LocationsKey[District])</f>
        <v>#VALUE!</v>
      </c>
      <c r="I18" t="e" vm="4">
        <f>_xlfn.XLOOKUP(AllData[[#This Row],[Site Name]],LocationsKey[Site Name],LocationsKey[Town])</f>
        <v>#VALUE!</v>
      </c>
      <c r="J18" t="str">
        <f>_xlfn.XLOOKUP(AllData[[#This Row],[Site Name]],LocationsKey[Site Name], LocationsKey[Waterway])</f>
        <v>Avon</v>
      </c>
      <c r="K18" s="139" t="s">
        <v>595</v>
      </c>
      <c r="L18" s="139">
        <v>51.984305999999997</v>
      </c>
      <c r="M18" s="156">
        <v>-2.175319</v>
      </c>
      <c r="N18" s="139" t="s">
        <v>31</v>
      </c>
      <c r="O18" s="139">
        <v>1040</v>
      </c>
      <c r="P18" s="139">
        <v>14.8</v>
      </c>
      <c r="Q18" s="139">
        <v>20</v>
      </c>
      <c r="R18" s="107" t="str">
        <f>IF(AllData[[#This Row],[Nitrate (PPM)]]&gt;2, "Very high", IF(AllData[[#This Row],[Nitrate (PPM)]]&gt;1, "High", IF(AllData[[#This Row],[Nitrate (PPM)]]&gt;0.5, "Some evidence", IF(AllData[[#This Row],[Nitrate (PPM)]]&gt;=0, "No evidence"))))</f>
        <v>Very high</v>
      </c>
      <c r="S18" s="139">
        <v>0.22</v>
      </c>
      <c r="T18" s="7" t="str">
        <f>IF(AllData[[#This Row],[Phosphate (PPM)]]&gt;0.5, "Very high", IF(AllData[[#This Row],[Phosphate (PPM)]]&gt;0.1, "High", IF(AllData[[#This Row],[Phosphate (PPM)]]&gt;0.05, "Some evidence", IF(AllData[[#This Row],[Phosphate (PPM)]]&lt;=0.05, "No Evidence", ""))))</f>
        <v>High</v>
      </c>
      <c r="U18" s="139">
        <v>-2</v>
      </c>
      <c r="V18" s="139"/>
    </row>
    <row r="19" spans="1:22" x14ac:dyDescent="0.35">
      <c r="A19" s="139" t="s">
        <v>3517</v>
      </c>
      <c r="B19" s="146">
        <v>45766</v>
      </c>
      <c r="C19" s="2" t="str" cm="1">
        <f t="array" ref="C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
        <f>YEAR(AllData[[#This Row],[Date]])</f>
        <v>2025</v>
      </c>
      <c r="E19" s="147">
        <v>0.66319444444444442</v>
      </c>
      <c r="F19" t="str">
        <f>IF(AND(AllData[[#This Row],[Time]]&lt;0.5, AllData[[#This Row],[Time]]&gt;0.17)=TRUE, "Morning", IF(AND(AllData[[#This Row],[Time]]&lt;0.75, AllData[[#This Row],[Time]]&gt;=0.5)=TRUE, "Afternoon", IF(AND(AllData[[#This Row],[Time]]&lt;1, AllData[[#This Row],[Time]]&gt;=0.75)=TRUE, "Evening", "Night")))</f>
        <v>Afternoon</v>
      </c>
      <c r="G19" t="str">
        <f>_xlfn.XLOOKUP(AllData[[#This Row],[Location Name]], Locations[Location Name],Locations[Group As])</f>
        <v>Avonbank Drive</v>
      </c>
      <c r="H19" t="e" vm="1">
        <f>_xlfn.XLOOKUP(AllData[[#This Row],[Site Name]],LocationsKey[Site Name],LocationsKey[District])</f>
        <v>#VALUE!</v>
      </c>
      <c r="I19" t="e" vm="12">
        <f>_xlfn.XLOOKUP(AllData[[#This Row],[Site Name]],LocationsKey[Site Name],LocationsKey[Town])</f>
        <v>#VALUE!</v>
      </c>
      <c r="J19" t="str">
        <f>_xlfn.XLOOKUP(AllData[[#This Row],[Site Name]],LocationsKey[Site Name], LocationsKey[Waterway])</f>
        <v>Avon</v>
      </c>
      <c r="K19" s="139" t="s">
        <v>2530</v>
      </c>
      <c r="L19" s="139">
        <v>52.177</v>
      </c>
      <c r="M19" s="156">
        <v>-1.736</v>
      </c>
      <c r="N19" s="139" t="s">
        <v>68</v>
      </c>
      <c r="O19" s="139">
        <v>1030</v>
      </c>
      <c r="P19" s="139">
        <v>13.8</v>
      </c>
      <c r="Q19" s="139">
        <v>15</v>
      </c>
      <c r="R19" s="107" t="str">
        <f>IF(AllData[[#This Row],[Nitrate (PPM)]]&gt;2, "Very high", IF(AllData[[#This Row],[Nitrate (PPM)]]&gt;1, "High", IF(AllData[[#This Row],[Nitrate (PPM)]]&gt;0.5, "Some evidence", IF(AllData[[#This Row],[Nitrate (PPM)]]&gt;=0, "No evidence"))))</f>
        <v>Very high</v>
      </c>
      <c r="S19" s="139">
        <v>7.0000000000000007E-2</v>
      </c>
      <c r="T19" s="7" t="str">
        <f>IF(AllData[[#This Row],[Phosphate (PPM)]]&gt;0.5, "Very high", IF(AllData[[#This Row],[Phosphate (PPM)]]&gt;0.1, "High", IF(AllData[[#This Row],[Phosphate (PPM)]]&gt;0.05, "Some evidence", IF(AllData[[#This Row],[Phosphate (PPM)]]&lt;=0.05, "No Evidence", ""))))</f>
        <v>Some evidence</v>
      </c>
      <c r="U19" s="139">
        <v>0.6</v>
      </c>
      <c r="V19" s="139" t="s">
        <v>3516</v>
      </c>
    </row>
    <row r="20" spans="1:22" x14ac:dyDescent="0.35">
      <c r="A20" s="139" t="s">
        <v>3507</v>
      </c>
      <c r="B20" s="146">
        <v>45766</v>
      </c>
      <c r="C20" s="2" t="str" cm="1">
        <f t="array" ref="C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
        <f>YEAR(AllData[[#This Row],[Date]])</f>
        <v>2025</v>
      </c>
      <c r="E20" s="147">
        <v>0.45694444444444443</v>
      </c>
      <c r="F20" t="str">
        <f>IF(AND(AllData[[#This Row],[Time]]&lt;0.5, AllData[[#This Row],[Time]]&gt;0.17)=TRUE, "Morning", IF(AND(AllData[[#This Row],[Time]]&lt;0.75, AllData[[#This Row],[Time]]&gt;=0.5)=TRUE, "Afternoon", IF(AND(AllData[[#This Row],[Time]]&lt;1, AllData[[#This Row],[Time]]&gt;=0.75)=TRUE, "Evening", "Night")))</f>
        <v>Morning</v>
      </c>
      <c r="G20" t="str">
        <f>_xlfn.XLOOKUP(AllData[[#This Row],[Location Name]], Locations[Location Name],Locations[Group As])</f>
        <v>Piddle Brook Wyre Piddle Bridge</v>
      </c>
      <c r="H20" t="e" vm="6">
        <f>_xlfn.XLOOKUP(AllData[[#This Row],[Site Name]],LocationsKey[Site Name],LocationsKey[District])</f>
        <v>#VALUE!</v>
      </c>
      <c r="I20" t="e" vm="13">
        <f>_xlfn.XLOOKUP(AllData[[#This Row],[Site Name]],LocationsKey[Site Name],LocationsKey[Town])</f>
        <v>#VALUE!</v>
      </c>
      <c r="J20" t="str">
        <f>_xlfn.XLOOKUP(AllData[[#This Row],[Site Name]],LocationsKey[Site Name], LocationsKey[Waterway])</f>
        <v>Piddle Brook</v>
      </c>
      <c r="K20" s="139" t="s">
        <v>787</v>
      </c>
      <c r="L20" s="139">
        <v>52.126398000000002</v>
      </c>
      <c r="M20" s="156">
        <v>-2.0565129999999998</v>
      </c>
      <c r="N20" s="139" t="s">
        <v>25</v>
      </c>
      <c r="O20" s="139">
        <v>1570</v>
      </c>
      <c r="P20" s="139">
        <v>10.9</v>
      </c>
      <c r="Q20" s="139">
        <v>10</v>
      </c>
      <c r="R20" s="107" t="str">
        <f>IF(AllData[[#This Row],[Nitrate (PPM)]]&gt;2, "Very high", IF(AllData[[#This Row],[Nitrate (PPM)]]&gt;1, "High", IF(AllData[[#This Row],[Nitrate (PPM)]]&gt;0.5, "Some evidence", IF(AllData[[#This Row],[Nitrate (PPM)]]&gt;=0, "No evidence"))))</f>
        <v>Very high</v>
      </c>
      <c r="S20" s="139">
        <v>0.74</v>
      </c>
      <c r="T20" s="7" t="str">
        <f>IF(AllData[[#This Row],[Phosphate (PPM)]]&gt;0.5, "Very high", IF(AllData[[#This Row],[Phosphate (PPM)]]&gt;0.1, "High", IF(AllData[[#This Row],[Phosphate (PPM)]]&gt;0.05, "Some evidence", IF(AllData[[#This Row],[Phosphate (PPM)]]&lt;=0.05, "No Evidence", ""))))</f>
        <v>Very high</v>
      </c>
      <c r="U20" s="139">
        <v>0.18</v>
      </c>
      <c r="V20" s="139" t="s">
        <v>3508</v>
      </c>
    </row>
    <row r="21" spans="1:22" x14ac:dyDescent="0.35">
      <c r="A21" s="139" t="s">
        <v>3515</v>
      </c>
      <c r="B21" s="146">
        <v>45766</v>
      </c>
      <c r="C21" s="2" t="str" cm="1">
        <f t="array" ref="C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
        <f>YEAR(AllData[[#This Row],[Date]])</f>
        <v>2025</v>
      </c>
      <c r="E21" s="147">
        <v>0.65277777777777779</v>
      </c>
      <c r="F21" t="str">
        <f>IF(AND(AllData[[#This Row],[Time]]&lt;0.5, AllData[[#This Row],[Time]]&gt;0.17)=TRUE, "Morning", IF(AND(AllData[[#This Row],[Time]]&lt;0.75, AllData[[#This Row],[Time]]&gt;=0.5)=TRUE, "Afternoon", IF(AND(AllData[[#This Row],[Time]]&lt;1, AllData[[#This Row],[Time]]&gt;=0.75)=TRUE, "Evening", "Night")))</f>
        <v>Afternoon</v>
      </c>
      <c r="G21" t="str">
        <f>_xlfn.XLOOKUP(AllData[[#This Row],[Location Name]], Locations[Location Name],Locations[Group As])</f>
        <v>Pitch 16</v>
      </c>
      <c r="H21" t="e" vm="1">
        <f>_xlfn.XLOOKUP(AllData[[#This Row],[Site Name]],LocationsKey[Site Name],LocationsKey[District])</f>
        <v>#VALUE!</v>
      </c>
      <c r="I21" t="e" vm="12">
        <f>_xlfn.XLOOKUP(AllData[[#This Row],[Site Name]],LocationsKey[Site Name],LocationsKey[Town])</f>
        <v>#VALUE!</v>
      </c>
      <c r="J21" t="str">
        <f>_xlfn.XLOOKUP(AllData[[#This Row],[Site Name]],LocationsKey[Site Name], LocationsKey[Waterway])</f>
        <v>Avon</v>
      </c>
      <c r="K21" s="139" t="s">
        <v>2532</v>
      </c>
      <c r="L21" s="139">
        <v>52.173000000000002</v>
      </c>
      <c r="M21" s="156">
        <v>-1.7450000000000001</v>
      </c>
      <c r="N21" s="139" t="s">
        <v>31</v>
      </c>
      <c r="O21" s="139">
        <v>1050</v>
      </c>
      <c r="P21" s="139">
        <v>14.5</v>
      </c>
      <c r="Q21" s="139">
        <v>10</v>
      </c>
      <c r="R21" s="107" t="str">
        <f>IF(AllData[[#This Row],[Nitrate (PPM)]]&gt;2, "Very high", IF(AllData[[#This Row],[Nitrate (PPM)]]&gt;1, "High", IF(AllData[[#This Row],[Nitrate (PPM)]]&gt;0.5, "Some evidence", IF(AllData[[#This Row],[Nitrate (PPM)]]&gt;=0, "No evidence"))))</f>
        <v>Very high</v>
      </c>
      <c r="S21" s="139">
        <v>0.15</v>
      </c>
      <c r="T21" s="7" t="str">
        <f>IF(AllData[[#This Row],[Phosphate (PPM)]]&gt;0.5, "Very high", IF(AllData[[#This Row],[Phosphate (PPM)]]&gt;0.1, "High", IF(AllData[[#This Row],[Phosphate (PPM)]]&gt;0.05, "Some evidence", IF(AllData[[#This Row],[Phosphate (PPM)]]&lt;=0.05, "No Evidence", ""))))</f>
        <v>High</v>
      </c>
      <c r="U21" s="139">
        <v>0.6</v>
      </c>
      <c r="V21" s="139" t="s">
        <v>3516</v>
      </c>
    </row>
    <row r="22" spans="1:22" x14ac:dyDescent="0.35">
      <c r="A22" s="139" t="s">
        <v>3505</v>
      </c>
      <c r="B22" s="146">
        <v>45766</v>
      </c>
      <c r="C22" s="2" t="str" cm="1">
        <f t="array" ref="C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
        <f>YEAR(AllData[[#This Row],[Date]])</f>
        <v>2025</v>
      </c>
      <c r="E22" s="147">
        <v>0.43611111111111112</v>
      </c>
      <c r="F22" t="str">
        <f>IF(AND(AllData[[#This Row],[Time]]&lt;0.5, AllData[[#This Row],[Time]]&gt;0.17)=TRUE, "Morning", IF(AND(AllData[[#This Row],[Time]]&lt;0.75, AllData[[#This Row],[Time]]&gt;=0.5)=TRUE, "Afternoon", IF(AND(AllData[[#This Row],[Time]]&lt;1, AllData[[#This Row],[Time]]&gt;=0.75)=TRUE, "Evening", "Night")))</f>
        <v>Morning</v>
      </c>
      <c r="G22" t="str">
        <f>_xlfn.XLOOKUP(AllData[[#This Row],[Location Name]], Locations[Location Name],Locations[Group As])</f>
        <v>Avon Smiths Meadow Wyre Piddle</v>
      </c>
      <c r="H22" t="e" vm="6">
        <f>_xlfn.XLOOKUP(AllData[[#This Row],[Site Name]],LocationsKey[Site Name],LocationsKey[District])</f>
        <v>#VALUE!</v>
      </c>
      <c r="I22" t="e" vm="13">
        <f>_xlfn.XLOOKUP(AllData[[#This Row],[Site Name]],LocationsKey[Site Name],LocationsKey[Town])</f>
        <v>#VALUE!</v>
      </c>
      <c r="J22" t="str">
        <f>_xlfn.XLOOKUP(AllData[[#This Row],[Site Name]],LocationsKey[Site Name], LocationsKey[Waterway])</f>
        <v>Avon</v>
      </c>
      <c r="K22" s="139" t="s">
        <v>2425</v>
      </c>
      <c r="L22" s="139">
        <v>52.122987000000002</v>
      </c>
      <c r="M22" s="156">
        <v>-2.057474</v>
      </c>
      <c r="N22" s="139" t="s">
        <v>25</v>
      </c>
      <c r="O22" s="139">
        <v>827</v>
      </c>
      <c r="P22" s="139">
        <v>12.8</v>
      </c>
      <c r="Q22" s="139">
        <v>10</v>
      </c>
      <c r="R22" s="107" t="str">
        <f>IF(AllData[[#This Row],[Nitrate (PPM)]]&gt;2, "Very high", IF(AllData[[#This Row],[Nitrate (PPM)]]&gt;1, "High", IF(AllData[[#This Row],[Nitrate (PPM)]]&gt;0.5, "Some evidence", IF(AllData[[#This Row],[Nitrate (PPM)]]&gt;=0, "No evidence"))))</f>
        <v>Very high</v>
      </c>
      <c r="S22" s="139">
        <v>0.23</v>
      </c>
      <c r="T22" s="7" t="str">
        <f>IF(AllData[[#This Row],[Phosphate (PPM)]]&gt;0.5, "Very high", IF(AllData[[#This Row],[Phosphate (PPM)]]&gt;0.1, "High", IF(AllData[[#This Row],[Phosphate (PPM)]]&gt;0.05, "Some evidence", IF(AllData[[#This Row],[Phosphate (PPM)]]&lt;=0.05, "No Evidence", ""))))</f>
        <v>High</v>
      </c>
      <c r="U22" s="139">
        <v>0.53</v>
      </c>
      <c r="V22" s="139" t="s">
        <v>3506</v>
      </c>
    </row>
    <row r="23" spans="1:22" x14ac:dyDescent="0.35">
      <c r="A23" s="139" t="s">
        <v>3510</v>
      </c>
      <c r="B23" s="146">
        <v>45766</v>
      </c>
      <c r="C23" s="2" t="str" cm="1">
        <f t="array" ref="C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
        <f>YEAR(AllData[[#This Row],[Date]])</f>
        <v>2025</v>
      </c>
      <c r="E23" s="147">
        <v>0.50972222222222219</v>
      </c>
      <c r="F23" t="str">
        <f>IF(AND(AllData[[#This Row],[Time]]&lt;0.5, AllData[[#This Row],[Time]]&gt;0.17)=TRUE, "Morning", IF(AND(AllData[[#This Row],[Time]]&lt;0.75, AllData[[#This Row],[Time]]&gt;=0.5)=TRUE, "Afternoon", IF(AND(AllData[[#This Row],[Time]]&lt;1, AllData[[#This Row],[Time]]&gt;=0.75)=TRUE, "Evening", "Night")))</f>
        <v>Afternoon</v>
      </c>
      <c r="G23" t="str">
        <f>_xlfn.XLOOKUP(AllData[[#This Row],[Location Name]], Locations[Location Name],Locations[Group As])</f>
        <v>Site 3  :  Severn Trent Water processing plant outflow</v>
      </c>
      <c r="H23" t="e" vm="1">
        <f>_xlfn.XLOOKUP(AllData[[#This Row],[Site Name]],LocationsKey[Site Name],LocationsKey[District])</f>
        <v>#VALUE!</v>
      </c>
      <c r="I23" t="e" vm="14">
        <f>_xlfn.XLOOKUP(AllData[[#This Row],[Site Name]],LocationsKey[Site Name],LocationsKey[Town])</f>
        <v>#VALUE!</v>
      </c>
      <c r="J23" t="str">
        <f>_xlfn.XLOOKUP(AllData[[#This Row],[Site Name]],LocationsKey[Site Name], LocationsKey[Waterway])</f>
        <v>Fosseway Brook</v>
      </c>
      <c r="K23" s="139" t="s">
        <v>3443</v>
      </c>
      <c r="L23" s="139">
        <v>52.094512999999999</v>
      </c>
      <c r="M23" s="156">
        <v>-1.6756120000000001</v>
      </c>
      <c r="N23" s="139" t="s">
        <v>31</v>
      </c>
      <c r="O23" s="139">
        <v>991</v>
      </c>
      <c r="P23" s="139">
        <v>13.5</v>
      </c>
      <c r="Q23" s="139">
        <v>5</v>
      </c>
      <c r="R23" s="107" t="str">
        <f>IF(AllData[[#This Row],[Nitrate (PPM)]]&gt;2, "Very high", IF(AllData[[#This Row],[Nitrate (PPM)]]&gt;1, "High", IF(AllData[[#This Row],[Nitrate (PPM)]]&gt;0.5, "Some evidence", IF(AllData[[#This Row],[Nitrate (PPM)]]&gt;=0, "No evidence"))))</f>
        <v>Very high</v>
      </c>
      <c r="S23" s="139">
        <v>7.3</v>
      </c>
      <c r="T23" s="7" t="str">
        <f>IF(AllData[[#This Row],[Phosphate (PPM)]]&gt;0.5, "Very high", IF(AllData[[#This Row],[Phosphate (PPM)]]&gt;0.1, "High", IF(AllData[[#This Row],[Phosphate (PPM)]]&gt;0.05, "Some evidence", IF(AllData[[#This Row],[Phosphate (PPM)]]&lt;=0.05, "No Evidence", ""))))</f>
        <v>Very high</v>
      </c>
      <c r="U23" s="139">
        <v>0.1</v>
      </c>
      <c r="V23" s="139"/>
    </row>
    <row r="24" spans="1:22" x14ac:dyDescent="0.35">
      <c r="A24" s="139" t="s">
        <v>3511</v>
      </c>
      <c r="B24" s="146">
        <v>45766</v>
      </c>
      <c r="C24" s="2" t="str" cm="1">
        <f t="array" ref="C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
        <f>YEAR(AllData[[#This Row],[Date]])</f>
        <v>2025</v>
      </c>
      <c r="E24" s="147">
        <v>0.51736111111111116</v>
      </c>
      <c r="F24" t="str">
        <f>IF(AND(AllData[[#This Row],[Time]]&lt;0.5, AllData[[#This Row],[Time]]&gt;0.17)=TRUE, "Morning", IF(AND(AllData[[#This Row],[Time]]&lt;0.75, AllData[[#This Row],[Time]]&gt;=0.5)=TRUE, "Afternoon", IF(AND(AllData[[#This Row],[Time]]&lt;1, AllData[[#This Row],[Time]]&gt;=0.75)=TRUE, "Evening", "Night")))</f>
        <v>Afternoon</v>
      </c>
      <c r="G24" t="str">
        <f>_xlfn.XLOOKUP(AllData[[#This Row],[Location Name]], Locations[Location Name],Locations[Group As])</f>
        <v>Site 4 : Heath Gate Ilmington</v>
      </c>
      <c r="H24" t="e" vm="1">
        <f>_xlfn.XLOOKUP(AllData[[#This Row],[Site Name]],LocationsKey[Site Name],LocationsKey[District])</f>
        <v>#VALUE!</v>
      </c>
      <c r="I24" t="e" vm="14">
        <f>_xlfn.XLOOKUP(AllData[[#This Row],[Site Name]],LocationsKey[Site Name],LocationsKey[Town])</f>
        <v>#VALUE!</v>
      </c>
      <c r="J24" t="str">
        <f>_xlfn.XLOOKUP(AllData[[#This Row],[Site Name]],LocationsKey[Site Name], LocationsKey[Waterway])</f>
        <v>Fosseway Brook</v>
      </c>
      <c r="K24" s="139" t="s">
        <v>3512</v>
      </c>
      <c r="L24" s="139">
        <v>52.094783999999997</v>
      </c>
      <c r="M24" s="156">
        <v>-1.6739839999999999</v>
      </c>
      <c r="N24" s="139" t="s">
        <v>31</v>
      </c>
      <c r="O24" s="139">
        <v>899</v>
      </c>
      <c r="P24" s="139">
        <v>12.5</v>
      </c>
      <c r="Q24" s="139">
        <v>5</v>
      </c>
      <c r="R24" s="107" t="str">
        <f>IF(AllData[[#This Row],[Nitrate (PPM)]]&gt;2, "Very high", IF(AllData[[#This Row],[Nitrate (PPM)]]&gt;1, "High", IF(AllData[[#This Row],[Nitrate (PPM)]]&gt;0.5, "Some evidence", IF(AllData[[#This Row],[Nitrate (PPM)]]&gt;=0, "No evidence"))))</f>
        <v>Very high</v>
      </c>
      <c r="S24" s="139">
        <v>5.3</v>
      </c>
      <c r="T24" s="7" t="str">
        <f>IF(AllData[[#This Row],[Phosphate (PPM)]]&gt;0.5, "Very high", IF(AllData[[#This Row],[Phosphate (PPM)]]&gt;0.1, "High", IF(AllData[[#This Row],[Phosphate (PPM)]]&gt;0.05, "Some evidence", IF(AllData[[#This Row],[Phosphate (PPM)]]&lt;=0.05, "No Evidence", ""))))</f>
        <v>Very high</v>
      </c>
      <c r="U24" s="139">
        <v>0.1</v>
      </c>
      <c r="V24" s="139"/>
    </row>
    <row r="25" spans="1:22" x14ac:dyDescent="0.35">
      <c r="A25" s="139" t="s">
        <v>3513</v>
      </c>
      <c r="B25" s="146">
        <v>45766</v>
      </c>
      <c r="C25" s="2" t="str" cm="1">
        <f t="array" ref="C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5">
        <f>YEAR(AllData[[#This Row],[Date]])</f>
        <v>2025</v>
      </c>
      <c r="E25" s="147">
        <v>0.58333333333333337</v>
      </c>
      <c r="F25" t="str">
        <f>IF(AND(AllData[[#This Row],[Time]]&lt;0.5, AllData[[#This Row],[Time]]&gt;0.17)=TRUE, "Morning", IF(AND(AllData[[#This Row],[Time]]&lt;0.75, AllData[[#This Row],[Time]]&gt;=0.5)=TRUE, "Afternoon", IF(AND(AllData[[#This Row],[Time]]&lt;1, AllData[[#This Row],[Time]]&gt;=0.75)=TRUE, "Evening", "Night")))</f>
        <v>Afternoon</v>
      </c>
      <c r="G25" t="str">
        <f>_xlfn.XLOOKUP(AllData[[#This Row],[Location Name]], Locations[Location Name],Locations[Group As])</f>
        <v>Carrant Bredon Rd</v>
      </c>
      <c r="H25" t="e" vm="4">
        <f>_xlfn.XLOOKUP(AllData[[#This Row],[Site Name]],LocationsKey[Site Name],LocationsKey[District])</f>
        <v>#VALUE!</v>
      </c>
      <c r="I25" t="e" vm="4">
        <f>_xlfn.XLOOKUP(AllData[[#This Row],[Site Name]],LocationsKey[Site Name],LocationsKey[Town])</f>
        <v>#VALUE!</v>
      </c>
      <c r="J25" t="str">
        <f>_xlfn.XLOOKUP(AllData[[#This Row],[Site Name]],LocationsKey[Site Name], LocationsKey[Waterway])</f>
        <v>Carrant</v>
      </c>
      <c r="K25" s="139" t="s">
        <v>603</v>
      </c>
      <c r="L25" s="139">
        <v>51.996143000000004</v>
      </c>
      <c r="M25" s="156">
        <v>-2.1561910000000002</v>
      </c>
      <c r="N25" s="139" t="s">
        <v>25</v>
      </c>
      <c r="O25" s="139">
        <v>754</v>
      </c>
      <c r="P25" s="139">
        <v>12.5</v>
      </c>
      <c r="Q25" s="139">
        <v>4</v>
      </c>
      <c r="R25" s="107" t="str">
        <f>IF(AllData[[#This Row],[Nitrate (PPM)]]&gt;2, "Very high", IF(AllData[[#This Row],[Nitrate (PPM)]]&gt;1, "High", IF(AllData[[#This Row],[Nitrate (PPM)]]&gt;0.5, "Some evidence", IF(AllData[[#This Row],[Nitrate (PPM)]]&gt;=0, "No evidence"))))</f>
        <v>Very high</v>
      </c>
      <c r="S25" s="139">
        <v>0.52</v>
      </c>
      <c r="T25" s="7" t="str">
        <f>IF(AllData[[#This Row],[Phosphate (PPM)]]&gt;0.5, "Very high", IF(AllData[[#This Row],[Phosphate (PPM)]]&gt;0.1, "High", IF(AllData[[#This Row],[Phosphate (PPM)]]&gt;0.05, "Some evidence", IF(AllData[[#This Row],[Phosphate (PPM)]]&lt;=0.05, "No Evidence", ""))))</f>
        <v>Very high</v>
      </c>
      <c r="U25" s="139">
        <v>0</v>
      </c>
      <c r="V25" s="139"/>
    </row>
    <row r="26" spans="1:22" x14ac:dyDescent="0.35">
      <c r="A26" s="139" t="s">
        <v>3514</v>
      </c>
      <c r="B26" s="146">
        <v>45766</v>
      </c>
      <c r="C26" s="2" t="str" cm="1">
        <f t="array" ref="C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6">
        <f>YEAR(AllData[[#This Row],[Date]])</f>
        <v>2025</v>
      </c>
      <c r="E26" s="147">
        <v>0.59513888888888888</v>
      </c>
      <c r="F26" t="str">
        <f>IF(AND(AllData[[#This Row],[Time]]&lt;0.5, AllData[[#This Row],[Time]]&gt;0.17)=TRUE, "Morning", IF(AND(AllData[[#This Row],[Time]]&lt;0.75, AllData[[#This Row],[Time]]&gt;=0.5)=TRUE, "Afternoon", IF(AND(AllData[[#This Row],[Time]]&lt;1, AllData[[#This Row],[Time]]&gt;=0.75)=TRUE, "Evening", "Night")))</f>
        <v>Afternoon</v>
      </c>
      <c r="G26" t="str">
        <f>_xlfn.XLOOKUP(AllData[[#This Row],[Location Name]], Locations[Location Name],Locations[Group As])</f>
        <v>Isbourne Winchcombe B</v>
      </c>
      <c r="H26" t="e" vm="4">
        <f>_xlfn.XLOOKUP(AllData[[#This Row],[Site Name]],LocationsKey[Site Name],LocationsKey[District])</f>
        <v>#VALUE!</v>
      </c>
      <c r="I26" t="e" vm="8">
        <f>_xlfn.XLOOKUP(AllData[[#This Row],[Site Name]],LocationsKey[Site Name],LocationsKey[Town])</f>
        <v>#VALUE!</v>
      </c>
      <c r="J26" t="str">
        <f>_xlfn.XLOOKUP(AllData[[#This Row],[Site Name]],LocationsKey[Site Name], LocationsKey[Waterway])</f>
        <v>Isbourne</v>
      </c>
      <c r="K26" s="139" t="s">
        <v>3438</v>
      </c>
      <c r="L26" s="139"/>
      <c r="M26" s="156"/>
      <c r="N26" s="139" t="s">
        <v>68</v>
      </c>
      <c r="O26" s="139">
        <v>482</v>
      </c>
      <c r="P26" s="139">
        <v>12.7</v>
      </c>
      <c r="Q26" s="139">
        <v>4</v>
      </c>
      <c r="R26" s="107" t="str">
        <f>IF(AllData[[#This Row],[Nitrate (PPM)]]&gt;2, "Very high", IF(AllData[[#This Row],[Nitrate (PPM)]]&gt;1, "High", IF(AllData[[#This Row],[Nitrate (PPM)]]&gt;0.5, "Some evidence", IF(AllData[[#This Row],[Nitrate (PPM)]]&gt;=0, "No evidence"))))</f>
        <v>Very high</v>
      </c>
      <c r="S26" s="139">
        <v>0</v>
      </c>
      <c r="T26" s="7" t="str">
        <f>IF(AllData[[#This Row],[Phosphate (PPM)]]&gt;0.5, "Very high", IF(AllData[[#This Row],[Phosphate (PPM)]]&gt;0.1, "High", IF(AllData[[#This Row],[Phosphate (PPM)]]&gt;0.05, "Some evidence", IF(AllData[[#This Row],[Phosphate (PPM)]]&lt;=0.05, "No Evidence", ""))))</f>
        <v>No Evidence</v>
      </c>
      <c r="U26" s="139">
        <v>1</v>
      </c>
      <c r="V26" s="139"/>
    </row>
    <row r="27" spans="1:22" x14ac:dyDescent="0.35">
      <c r="A27" s="139" t="s">
        <v>3509</v>
      </c>
      <c r="B27" s="146">
        <v>45766</v>
      </c>
      <c r="C27" s="2" t="str" cm="1">
        <f t="array" ref="C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7">
        <f>YEAR(AllData[[#This Row],[Date]])</f>
        <v>2025</v>
      </c>
      <c r="E27" s="147">
        <v>0.49930555555555556</v>
      </c>
      <c r="F27" t="str">
        <f>IF(AND(AllData[[#This Row],[Time]]&lt;0.5, AllData[[#This Row],[Time]]&gt;0.17)=TRUE, "Morning", IF(AND(AllData[[#This Row],[Time]]&lt;0.75, AllData[[#This Row],[Time]]&gt;=0.5)=TRUE, "Afternoon", IF(AND(AllData[[#This Row],[Time]]&lt;1, AllData[[#This Row],[Time]]&gt;=0.75)=TRUE, "Evening", "Night")))</f>
        <v>Morning</v>
      </c>
      <c r="G27" t="str">
        <f>_xlfn.XLOOKUP(AllData[[#This Row],[Location Name]], Locations[Location Name],Locations[Group As])</f>
        <v>Site 1  :  Middle Street</v>
      </c>
      <c r="H27" t="e" vm="1">
        <f>_xlfn.XLOOKUP(AllData[[#This Row],[Site Name]],LocationsKey[Site Name],LocationsKey[District])</f>
        <v>#VALUE!</v>
      </c>
      <c r="I27" t="e" vm="14">
        <f>_xlfn.XLOOKUP(AllData[[#This Row],[Site Name]],LocationsKey[Site Name],LocationsKey[Town])</f>
        <v>#VALUE!</v>
      </c>
      <c r="J27" t="str">
        <f>_xlfn.XLOOKUP(AllData[[#This Row],[Site Name]],LocationsKey[Site Name], LocationsKey[Waterway])</f>
        <v>Fosseway Brook</v>
      </c>
      <c r="K27" s="139" t="s">
        <v>3441</v>
      </c>
      <c r="L27" s="139">
        <v>52.090058999999997</v>
      </c>
      <c r="M27" s="156">
        <v>-1.6925969999999999</v>
      </c>
      <c r="N27" s="139" t="s">
        <v>68</v>
      </c>
      <c r="O27" s="139">
        <v>655</v>
      </c>
      <c r="P27" s="139">
        <v>13.2</v>
      </c>
      <c r="Q27" s="139">
        <v>2</v>
      </c>
      <c r="R27" s="107" t="str">
        <f>IF(AllData[[#This Row],[Nitrate (PPM)]]&gt;2, "Very high", IF(AllData[[#This Row],[Nitrate (PPM)]]&gt;1, "High", IF(AllData[[#This Row],[Nitrate (PPM)]]&gt;0.5, "Some evidence", IF(AllData[[#This Row],[Nitrate (PPM)]]&gt;=0, "No evidence"))))</f>
        <v>High</v>
      </c>
      <c r="S27" s="139">
        <v>0.25</v>
      </c>
      <c r="T27" s="7" t="str">
        <f>IF(AllData[[#This Row],[Phosphate (PPM)]]&gt;0.5, "Very high", IF(AllData[[#This Row],[Phosphate (PPM)]]&gt;0.1, "High", IF(AllData[[#This Row],[Phosphate (PPM)]]&gt;0.05, "Some evidence", IF(AllData[[#This Row],[Phosphate (PPM)]]&lt;=0.05, "No Evidence", ""))))</f>
        <v>High</v>
      </c>
      <c r="U27" s="139">
        <v>0.1</v>
      </c>
      <c r="V27" s="139"/>
    </row>
    <row r="28" spans="1:22" x14ac:dyDescent="0.35">
      <c r="A28" s="139" t="s">
        <v>3503</v>
      </c>
      <c r="B28" s="146">
        <v>45765</v>
      </c>
      <c r="C28" s="2" t="str" cm="1">
        <f t="array" ref="C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8">
        <f>YEAR(AllData[[#This Row],[Date]])</f>
        <v>2025</v>
      </c>
      <c r="E28" s="147">
        <v>0.63055555555555554</v>
      </c>
      <c r="F28" t="str">
        <f>IF(AND(AllData[[#This Row],[Time]]&lt;0.5, AllData[[#This Row],[Time]]&gt;0.17)=TRUE, "Morning", IF(AND(AllData[[#This Row],[Time]]&lt;0.75, AllData[[#This Row],[Time]]&gt;=0.5)=TRUE, "Afternoon", IF(AND(AllData[[#This Row],[Time]]&lt;1, AllData[[#This Row],[Time]]&gt;=0.75)=TRUE, "Evening", "Night")))</f>
        <v>Afternoon</v>
      </c>
      <c r="G28" t="str">
        <f>_xlfn.XLOOKUP(AllData[[#This Row],[Location Name]], Locations[Location Name],Locations[Group As])</f>
        <v>Stour Shipston Mill Bridge</v>
      </c>
      <c r="H28" t="e" vm="1">
        <f>_xlfn.XLOOKUP(AllData[[#This Row],[Site Name]],LocationsKey[Site Name],LocationsKey[District])</f>
        <v>#VALUE!</v>
      </c>
      <c r="I28" t="e" vm="15">
        <f>_xlfn.XLOOKUP(AllData[[#This Row],[Site Name]],LocationsKey[Site Name],LocationsKey[Town])</f>
        <v>#VALUE!</v>
      </c>
      <c r="J28" t="str">
        <f>_xlfn.XLOOKUP(AllData[[#This Row],[Site Name]],LocationsKey[Site Name], LocationsKey[Waterway])</f>
        <v>Stour</v>
      </c>
      <c r="K28" s="139" t="s">
        <v>3504</v>
      </c>
      <c r="L28" s="139">
        <v>52.062341000000004</v>
      </c>
      <c r="M28" s="156">
        <v>-1.6229720000000001</v>
      </c>
      <c r="N28" s="139" t="s">
        <v>25</v>
      </c>
      <c r="O28" s="139">
        <v>6.61</v>
      </c>
      <c r="P28" s="139">
        <v>12.3</v>
      </c>
      <c r="Q28" s="139">
        <v>0.25</v>
      </c>
      <c r="R28" s="107" t="str">
        <f>IF(AllData[[#This Row],[Nitrate (PPM)]]&gt;2, "Very high", IF(AllData[[#This Row],[Nitrate (PPM)]]&gt;1, "High", IF(AllData[[#This Row],[Nitrate (PPM)]]&gt;0.5, "Some evidence", IF(AllData[[#This Row],[Nitrate (PPM)]]&gt;=0, "No evidence"))))</f>
        <v>No evidence</v>
      </c>
      <c r="S28" s="139">
        <v>0.14000000000000001</v>
      </c>
      <c r="T28" s="7" t="str">
        <f>IF(AllData[[#This Row],[Phosphate (PPM)]]&gt;0.5, "Very high", IF(AllData[[#This Row],[Phosphate (PPM)]]&gt;0.1, "High", IF(AllData[[#This Row],[Phosphate (PPM)]]&gt;0.05, "Some evidence", IF(AllData[[#This Row],[Phosphate (PPM)]]&lt;=0.05, "No Evidence", ""))))</f>
        <v>High</v>
      </c>
      <c r="U28" s="139">
        <v>0.39</v>
      </c>
      <c r="V28" s="139" t="s">
        <v>2419</v>
      </c>
    </row>
    <row r="29" spans="1:22" x14ac:dyDescent="0.35">
      <c r="A29" s="139" t="s">
        <v>3500</v>
      </c>
      <c r="B29" s="146">
        <v>45764</v>
      </c>
      <c r="C29" s="2" t="str" cm="1">
        <f t="array" ref="C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9">
        <f>YEAR(AllData[[#This Row],[Date]])</f>
        <v>2025</v>
      </c>
      <c r="E29" s="147">
        <v>0.42638888888888887</v>
      </c>
      <c r="F29" t="str">
        <f>IF(AND(AllData[[#This Row],[Time]]&lt;0.5, AllData[[#This Row],[Time]]&gt;0.17)=TRUE, "Morning", IF(AND(AllData[[#This Row],[Time]]&lt;0.75, AllData[[#This Row],[Time]]&gt;=0.5)=TRUE, "Afternoon", IF(AND(AllData[[#This Row],[Time]]&lt;1, AllData[[#This Row],[Time]]&gt;=0.75)=TRUE, "Evening", "Night")))</f>
        <v>Morning</v>
      </c>
      <c r="G29" t="str">
        <f>_xlfn.XLOOKUP(AllData[[#This Row],[Location Name]], Locations[Location Name],Locations[Group As])</f>
        <v>Carters Lane</v>
      </c>
      <c r="H29" t="e" vm="1">
        <f>_xlfn.XLOOKUP(AllData[[#This Row],[Site Name]],LocationsKey[Site Name],LocationsKey[District])</f>
        <v>#VALUE!</v>
      </c>
      <c r="I29" t="e" vm="3">
        <f>_xlfn.XLOOKUP(AllData[[#This Row],[Site Name]],LocationsKey[Site Name],LocationsKey[Town])</f>
        <v>#VALUE!</v>
      </c>
      <c r="J29" t="str">
        <f>_xlfn.XLOOKUP(AllData[[#This Row],[Site Name]],LocationsKey[Site Name], LocationsKey[Waterway])</f>
        <v>Avon</v>
      </c>
      <c r="K29" s="139" t="s">
        <v>2520</v>
      </c>
      <c r="L29" s="139">
        <v>52.202446999999999</v>
      </c>
      <c r="M29" s="156">
        <v>-1.6786449999999999</v>
      </c>
      <c r="N29" s="139" t="s">
        <v>68</v>
      </c>
      <c r="O29" s="139">
        <v>994</v>
      </c>
      <c r="P29" s="139">
        <v>11.3</v>
      </c>
      <c r="Q29" s="139">
        <v>10</v>
      </c>
      <c r="R29" s="107" t="str">
        <f>IF(AllData[[#This Row],[Nitrate (PPM)]]&gt;2, "Very high", IF(AllData[[#This Row],[Nitrate (PPM)]]&gt;1, "High", IF(AllData[[#This Row],[Nitrate (PPM)]]&gt;0.5, "Some evidence", IF(AllData[[#This Row],[Nitrate (PPM)]]&gt;=0, "No evidence"))))</f>
        <v>Very high</v>
      </c>
      <c r="S29" s="139">
        <v>0.16</v>
      </c>
      <c r="T29" s="7" t="str">
        <f>IF(AllData[[#This Row],[Phosphate (PPM)]]&gt;0.5, "Very high", IF(AllData[[#This Row],[Phosphate (PPM)]]&gt;0.1, "High", IF(AllData[[#This Row],[Phosphate (PPM)]]&gt;0.05, "Some evidence", IF(AllData[[#This Row],[Phosphate (PPM)]]&lt;=0.05, "No Evidence", ""))))</f>
        <v>High</v>
      </c>
      <c r="U29" s="139">
        <v>0.64</v>
      </c>
      <c r="V29" s="139"/>
    </row>
    <row r="30" spans="1:22" x14ac:dyDescent="0.35">
      <c r="A30" s="139" t="s">
        <v>3499</v>
      </c>
      <c r="B30" s="146">
        <v>45764</v>
      </c>
      <c r="C30" s="2" t="str" cm="1">
        <f t="array" ref="C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0">
        <f>YEAR(AllData[[#This Row],[Date]])</f>
        <v>2025</v>
      </c>
      <c r="E30" s="147">
        <v>0.42430555555555555</v>
      </c>
      <c r="F30" t="str">
        <f>IF(AND(AllData[[#This Row],[Time]]&lt;0.5, AllData[[#This Row],[Time]]&gt;0.17)=TRUE, "Morning", IF(AND(AllData[[#This Row],[Time]]&lt;0.75, AllData[[#This Row],[Time]]&gt;=0.5)=TRUE, "Afternoon", IF(AND(AllData[[#This Row],[Time]]&lt;1, AllData[[#This Row],[Time]]&gt;=0.75)=TRUE, "Evening", "Night")))</f>
        <v>Morning</v>
      </c>
      <c r="G30" t="str">
        <f>_xlfn.XLOOKUP(AllData[[#This Row],[Location Name]], Locations[Location Name],Locations[Group As])</f>
        <v>School Lane</v>
      </c>
      <c r="H30" t="e" vm="1">
        <f>_xlfn.XLOOKUP(AllData[[#This Row],[Site Name]],LocationsKey[Site Name],LocationsKey[District])</f>
        <v>#VALUE!</v>
      </c>
      <c r="I30" t="e" vm="3">
        <f>_xlfn.XLOOKUP(AllData[[#This Row],[Site Name]],LocationsKey[Site Name],LocationsKey[Town])</f>
        <v>#VALUE!</v>
      </c>
      <c r="J30" t="str">
        <f>_xlfn.XLOOKUP(AllData[[#This Row],[Site Name]],LocationsKey[Site Name], LocationsKey[Waterway])</f>
        <v>Avon</v>
      </c>
      <c r="K30" s="139" t="s">
        <v>2212</v>
      </c>
      <c r="L30" s="139">
        <v>52.202466000000001</v>
      </c>
      <c r="M30" s="156">
        <v>-1.6789000000000001</v>
      </c>
      <c r="N30" s="139" t="s">
        <v>31</v>
      </c>
      <c r="O30" s="139">
        <v>991</v>
      </c>
      <c r="P30" s="139">
        <v>11.3</v>
      </c>
      <c r="Q30" s="139">
        <v>10</v>
      </c>
      <c r="R30" s="107" t="str">
        <f>IF(AllData[[#This Row],[Nitrate (PPM)]]&gt;2, "Very high", IF(AllData[[#This Row],[Nitrate (PPM)]]&gt;1, "High", IF(AllData[[#This Row],[Nitrate (PPM)]]&gt;0.5, "Some evidence", IF(AllData[[#This Row],[Nitrate (PPM)]]&gt;=0, "No evidence"))))</f>
        <v>Very high</v>
      </c>
      <c r="S30" s="139">
        <v>0.19</v>
      </c>
      <c r="T30" s="7" t="str">
        <f>IF(AllData[[#This Row],[Phosphate (PPM)]]&gt;0.5, "Very high", IF(AllData[[#This Row],[Phosphate (PPM)]]&gt;0.1, "High", IF(AllData[[#This Row],[Phosphate (PPM)]]&gt;0.05, "Some evidence", IF(AllData[[#This Row],[Phosphate (PPM)]]&lt;=0.05, "No Evidence", ""))))</f>
        <v>High</v>
      </c>
      <c r="U30" s="139">
        <v>0.64</v>
      </c>
      <c r="V30" s="139"/>
    </row>
    <row r="31" spans="1:22" x14ac:dyDescent="0.35">
      <c r="A31" s="139" t="s">
        <v>3501</v>
      </c>
      <c r="B31" s="146">
        <v>45764</v>
      </c>
      <c r="C31" s="2" t="str" cm="1">
        <f t="array" ref="C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1">
        <f>YEAR(AllData[[#This Row],[Date]])</f>
        <v>2025</v>
      </c>
      <c r="E31" s="147">
        <v>0.45069444444444445</v>
      </c>
      <c r="F31" t="str">
        <f>IF(AND(AllData[[#This Row],[Time]]&lt;0.5, AllData[[#This Row],[Time]]&gt;0.17)=TRUE, "Morning", IF(AND(AllData[[#This Row],[Time]]&lt;0.75, AllData[[#This Row],[Time]]&gt;=0.5)=TRUE, "Afternoon", IF(AND(AllData[[#This Row],[Time]]&lt;1, AllData[[#This Row],[Time]]&gt;=0.75)=TRUE, "Evening", "Night")))</f>
        <v>Morning</v>
      </c>
      <c r="G31" t="str">
        <f>_xlfn.XLOOKUP(AllData[[#This Row],[Location Name]], Locations[Location Name],Locations[Group As])</f>
        <v>Swilgate</v>
      </c>
      <c r="H31" t="e" vm="4">
        <f>_xlfn.XLOOKUP(AllData[[#This Row],[Site Name]],LocationsKey[Site Name],LocationsKey[District])</f>
        <v>#VALUE!</v>
      </c>
      <c r="I31" t="e" vm="4">
        <f>_xlfn.XLOOKUP(AllData[[#This Row],[Site Name]],LocationsKey[Site Name],LocationsKey[Town])</f>
        <v>#VALUE!</v>
      </c>
      <c r="J31" t="str">
        <f>_xlfn.XLOOKUP(AllData[[#This Row],[Site Name]],LocationsKey[Site Name], LocationsKey[Waterway])</f>
        <v>Swilgate</v>
      </c>
      <c r="K31" s="139" t="s">
        <v>85</v>
      </c>
      <c r="L31" s="139"/>
      <c r="M31" s="156"/>
      <c r="N31" s="139" t="s">
        <v>3502</v>
      </c>
      <c r="O31" s="139">
        <v>113</v>
      </c>
      <c r="P31" s="139">
        <v>10.5</v>
      </c>
      <c r="Q31" s="139">
        <v>5</v>
      </c>
      <c r="R31" s="107" t="str">
        <f>IF(AllData[[#This Row],[Nitrate (PPM)]]&gt;2, "Very high", IF(AllData[[#This Row],[Nitrate (PPM)]]&gt;1, "High", IF(AllData[[#This Row],[Nitrate (PPM)]]&gt;0.5, "Some evidence", IF(AllData[[#This Row],[Nitrate (PPM)]]&gt;=0, "No evidence"))))</f>
        <v>Very high</v>
      </c>
      <c r="S31" s="139">
        <v>0.42</v>
      </c>
      <c r="T31" s="7" t="str">
        <f>IF(AllData[[#This Row],[Phosphate (PPM)]]&gt;0.5, "Very high", IF(AllData[[#This Row],[Phosphate (PPM)]]&gt;0.1, "High", IF(AllData[[#This Row],[Phosphate (PPM)]]&gt;0.05, "Some evidence", IF(AllData[[#This Row],[Phosphate (PPM)]]&lt;=0.05, "No Evidence", ""))))</f>
        <v>High</v>
      </c>
      <c r="U31" s="139">
        <v>0</v>
      </c>
      <c r="V31" s="139"/>
    </row>
    <row r="32" spans="1:22" x14ac:dyDescent="0.35">
      <c r="A32" s="139" t="s">
        <v>3497</v>
      </c>
      <c r="B32" s="146">
        <v>45763</v>
      </c>
      <c r="C32" s="2" t="str" cm="1">
        <f t="array" ref="C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2">
        <f>YEAR(AllData[[#This Row],[Date]])</f>
        <v>2025</v>
      </c>
      <c r="E32" s="147">
        <v>0.83958333333333335</v>
      </c>
      <c r="F32" t="str">
        <f>IF(AND(AllData[[#This Row],[Time]]&lt;0.5, AllData[[#This Row],[Time]]&gt;0.17)=TRUE, "Morning", IF(AND(AllData[[#This Row],[Time]]&lt;0.75, AllData[[#This Row],[Time]]&gt;=0.5)=TRUE, "Afternoon", IF(AND(AllData[[#This Row],[Time]]&lt;1, AllData[[#This Row],[Time]]&gt;=0.75)=TRUE, "Evening", "Night")))</f>
        <v>Evening</v>
      </c>
      <c r="G32" t="str">
        <f>_xlfn.XLOOKUP(AllData[[#This Row],[Location Name]], Locations[Location Name],Locations[Group As])</f>
        <v>Fladbury Paddle Club</v>
      </c>
      <c r="H32" t="e" vm="6">
        <f>_xlfn.XLOOKUP(AllData[[#This Row],[Site Name]],LocationsKey[Site Name],LocationsKey[District])</f>
        <v>#VALUE!</v>
      </c>
      <c r="I32" t="e" vm="16">
        <f>_xlfn.XLOOKUP(AllData[[#This Row],[Site Name]],LocationsKey[Site Name],LocationsKey[Town])</f>
        <v>#VALUE!</v>
      </c>
      <c r="J32" t="str">
        <f>_xlfn.XLOOKUP(AllData[[#This Row],[Site Name]],LocationsKey[Site Name], LocationsKey[Waterway])</f>
        <v>Avon</v>
      </c>
      <c r="K32" s="139" t="s">
        <v>3498</v>
      </c>
      <c r="L32" s="139">
        <v>52.118124000000002</v>
      </c>
      <c r="M32" s="156">
        <v>-2.0065330000000001</v>
      </c>
      <c r="N32" s="139" t="s">
        <v>31</v>
      </c>
      <c r="O32" s="139">
        <v>104</v>
      </c>
      <c r="P32" s="139">
        <v>12</v>
      </c>
      <c r="Q32" s="139">
        <v>0</v>
      </c>
      <c r="R32" s="107" t="str">
        <f>IF(AllData[[#This Row],[Nitrate (PPM)]]&gt;2, "Very high", IF(AllData[[#This Row],[Nitrate (PPM)]]&gt;1, "High", IF(AllData[[#This Row],[Nitrate (PPM)]]&gt;0.5, "Some evidence", IF(AllData[[#This Row],[Nitrate (PPM)]]&gt;=0, "No evidence"))))</f>
        <v>No evidence</v>
      </c>
      <c r="S32" s="139">
        <v>0.09</v>
      </c>
      <c r="T32" s="7" t="str">
        <f>IF(AllData[[#This Row],[Phosphate (PPM)]]&gt;0.5, "Very high", IF(AllData[[#This Row],[Phosphate (PPM)]]&gt;0.1, "High", IF(AllData[[#This Row],[Phosphate (PPM)]]&gt;0.05, "Some evidence", IF(AllData[[#This Row],[Phosphate (PPM)]]&lt;=0.05, "No Evidence", ""))))</f>
        <v>Some evidence</v>
      </c>
      <c r="U32" s="139">
        <v>5</v>
      </c>
      <c r="V32" s="139"/>
    </row>
    <row r="33" spans="1:22" x14ac:dyDescent="0.35">
      <c r="A33" s="139" t="s">
        <v>3496</v>
      </c>
      <c r="B33" s="146">
        <v>45762</v>
      </c>
      <c r="C33" s="2" t="str" cm="1">
        <f t="array" ref="C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3">
        <f>YEAR(AllData[[#This Row],[Date]])</f>
        <v>2025</v>
      </c>
      <c r="E33" s="147">
        <v>0.43680555555555556</v>
      </c>
      <c r="F33" t="str">
        <f>IF(AND(AllData[[#This Row],[Time]]&lt;0.5, AllData[[#This Row],[Time]]&gt;0.17)=TRUE, "Morning", IF(AND(AllData[[#This Row],[Time]]&lt;0.75, AllData[[#This Row],[Time]]&gt;=0.5)=TRUE, "Afternoon", IF(AND(AllData[[#This Row],[Time]]&lt;1, AllData[[#This Row],[Time]]&gt;=0.75)=TRUE, "Evening", "Night")))</f>
        <v>Morning</v>
      </c>
      <c r="G33" t="str">
        <f>_xlfn.XLOOKUP(AllData[[#This Row],[Location Name]], Locations[Location Name],Locations[Group As])</f>
        <v>Twyning Fleet</v>
      </c>
      <c r="H33" t="e" vm="4">
        <f>_xlfn.XLOOKUP(AllData[[#This Row],[Site Name]],LocationsKey[Site Name],LocationsKey[District])</f>
        <v>#VALUE!</v>
      </c>
      <c r="I33" t="str">
        <f>_xlfn.XLOOKUP(AllData[[#This Row],[Site Name]],LocationsKey[Site Name],LocationsKey[Town])</f>
        <v>Twyning Green</v>
      </c>
      <c r="J33" t="str">
        <f>_xlfn.XLOOKUP(AllData[[#This Row],[Site Name]],LocationsKey[Site Name], LocationsKey[Waterway])</f>
        <v>Avon</v>
      </c>
      <c r="K33" s="139" t="s">
        <v>2181</v>
      </c>
      <c r="L33" s="139">
        <v>52.027402000000002</v>
      </c>
      <c r="M33" s="156">
        <v>-2.140873</v>
      </c>
      <c r="N33" s="139"/>
      <c r="O33" s="139">
        <v>965</v>
      </c>
      <c r="P33" s="139">
        <v>14.6</v>
      </c>
      <c r="Q33" s="139">
        <v>10</v>
      </c>
      <c r="R33" s="107" t="str">
        <f>IF(AllData[[#This Row],[Nitrate (PPM)]]&gt;2, "Very high", IF(AllData[[#This Row],[Nitrate (PPM)]]&gt;1, "High", IF(AllData[[#This Row],[Nitrate (PPM)]]&gt;0.5, "Some evidence", IF(AllData[[#This Row],[Nitrate (PPM)]]&gt;=0, "No evidence"))))</f>
        <v>Very high</v>
      </c>
      <c r="S33" s="139">
        <v>0.13</v>
      </c>
      <c r="T33" s="7" t="str">
        <f>IF(AllData[[#This Row],[Phosphate (PPM)]]&gt;0.5, "Very high", IF(AllData[[#This Row],[Phosphate (PPM)]]&gt;0.1, "High", IF(AllData[[#This Row],[Phosphate (PPM)]]&gt;0.05, "Some evidence", IF(AllData[[#This Row],[Phosphate (PPM)]]&lt;=0.05, "No Evidence", ""))))</f>
        <v>High</v>
      </c>
      <c r="U33" s="139">
        <v>0</v>
      </c>
      <c r="V33" s="139"/>
    </row>
    <row r="34" spans="1:22" x14ac:dyDescent="0.35">
      <c r="A34" s="139" t="s">
        <v>3485</v>
      </c>
      <c r="B34" s="146">
        <v>45761</v>
      </c>
      <c r="C34" s="2" t="str" cm="1">
        <f t="array" ref="C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4">
        <f>YEAR(AllData[[#This Row],[Date]])</f>
        <v>2025</v>
      </c>
      <c r="E34" s="147">
        <v>0.25</v>
      </c>
      <c r="F34" t="str">
        <f>IF(AND(AllData[[#This Row],[Time]]&lt;0.5, AllData[[#This Row],[Time]]&gt;0.17)=TRUE, "Morning", IF(AND(AllData[[#This Row],[Time]]&lt;0.75, AllData[[#This Row],[Time]]&gt;=0.5)=TRUE, "Afternoon", IF(AND(AllData[[#This Row],[Time]]&lt;1, AllData[[#This Row],[Time]]&gt;=0.75)=TRUE, "Evening", "Night")))</f>
        <v>Morning</v>
      </c>
      <c r="G34" t="str">
        <f>_xlfn.XLOOKUP(AllData[[#This Row],[Location Name]], Locations[Location Name],Locations[Group As])</f>
        <v>Alveston Weir</v>
      </c>
      <c r="H34" t="e" vm="1">
        <f>_xlfn.XLOOKUP(AllData[[#This Row],[Site Name]],LocationsKey[Site Name],LocationsKey[District])</f>
        <v>#VALUE!</v>
      </c>
      <c r="I34" t="e" vm="2">
        <f>_xlfn.XLOOKUP(AllData[[#This Row],[Site Name]],LocationsKey[Site Name],LocationsKey[Town])</f>
        <v>#VALUE!</v>
      </c>
      <c r="J34" t="str">
        <f>_xlfn.XLOOKUP(AllData[[#This Row],[Site Name]],LocationsKey[Site Name], LocationsKey[Waterway])</f>
        <v>Avon</v>
      </c>
      <c r="K34" s="139" t="s">
        <v>288</v>
      </c>
      <c r="L34" s="139">
        <v>52.212288999999998</v>
      </c>
      <c r="M34" s="156">
        <v>-1.660442</v>
      </c>
      <c r="N34" s="139" t="s">
        <v>2855</v>
      </c>
      <c r="O34" s="139">
        <v>760</v>
      </c>
      <c r="P34" s="139">
        <v>14.6</v>
      </c>
      <c r="Q34" s="139">
        <v>10</v>
      </c>
      <c r="R34" s="107" t="str">
        <f>IF(AllData[[#This Row],[Nitrate (PPM)]]&gt;2, "Very high", IF(AllData[[#This Row],[Nitrate (PPM)]]&gt;1, "High", IF(AllData[[#This Row],[Nitrate (PPM)]]&gt;0.5, "Some evidence", IF(AllData[[#This Row],[Nitrate (PPM)]]&gt;=0, "No evidence"))))</f>
        <v>Very high</v>
      </c>
      <c r="S34" s="139">
        <v>0.17</v>
      </c>
      <c r="T34" s="7" t="str">
        <f>IF(AllData[[#This Row],[Phosphate (PPM)]]&gt;0.5, "Very high", IF(AllData[[#This Row],[Phosphate (PPM)]]&gt;0.1, "High", IF(AllData[[#This Row],[Phosphate (PPM)]]&gt;0.05, "Some evidence", IF(AllData[[#This Row],[Phosphate (PPM)]]&lt;=0.05, "No Evidence", ""))))</f>
        <v>High</v>
      </c>
      <c r="U34" s="139">
        <v>-2</v>
      </c>
      <c r="V34" s="139" t="s">
        <v>3486</v>
      </c>
    </row>
    <row r="35" spans="1:22" x14ac:dyDescent="0.35">
      <c r="A35" s="139" t="s">
        <v>3491</v>
      </c>
      <c r="B35" s="146">
        <v>45761</v>
      </c>
      <c r="C35" s="2" t="str" cm="1">
        <f t="array" ref="C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5">
        <f>YEAR(AllData[[#This Row],[Date]])</f>
        <v>2025</v>
      </c>
      <c r="E35" s="147">
        <v>0.4861111111111111</v>
      </c>
      <c r="F35" t="str">
        <f>IF(AND(AllData[[#This Row],[Time]]&lt;0.5, AllData[[#This Row],[Time]]&gt;0.17)=TRUE, "Morning", IF(AND(AllData[[#This Row],[Time]]&lt;0.75, AllData[[#This Row],[Time]]&gt;=0.5)=TRUE, "Afternoon", IF(AND(AllData[[#This Row],[Time]]&lt;1, AllData[[#This Row],[Time]]&gt;=0.75)=TRUE, "Evening", "Night")))</f>
        <v>Morning</v>
      </c>
      <c r="G35" t="str">
        <f>_xlfn.XLOOKUP(AllData[[#This Row],[Location Name]], Locations[Location Name],Locations[Group As])</f>
        <v>Site 3  :  Severn Trent Water processing plant outflow</v>
      </c>
      <c r="H35" t="e" vm="1">
        <f>_xlfn.XLOOKUP(AllData[[#This Row],[Site Name]],LocationsKey[Site Name],LocationsKey[District])</f>
        <v>#VALUE!</v>
      </c>
      <c r="I35" t="e" vm="14">
        <f>_xlfn.XLOOKUP(AllData[[#This Row],[Site Name]],LocationsKey[Site Name],LocationsKey[Town])</f>
        <v>#VALUE!</v>
      </c>
      <c r="J35" t="str">
        <f>_xlfn.XLOOKUP(AllData[[#This Row],[Site Name]],LocationsKey[Site Name], LocationsKey[Waterway])</f>
        <v>Fosseway Brook</v>
      </c>
      <c r="K35" s="139" t="s">
        <v>2041</v>
      </c>
      <c r="L35" s="139"/>
      <c r="M35" s="156"/>
      <c r="N35" s="139" t="s">
        <v>31</v>
      </c>
      <c r="O35" s="139">
        <v>957</v>
      </c>
      <c r="P35" s="139">
        <v>10.9</v>
      </c>
      <c r="Q35" s="139">
        <v>5</v>
      </c>
      <c r="R35" s="107" t="str">
        <f>IF(AllData[[#This Row],[Nitrate (PPM)]]&gt;2, "Very high", IF(AllData[[#This Row],[Nitrate (PPM)]]&gt;1, "High", IF(AllData[[#This Row],[Nitrate (PPM)]]&gt;0.5, "Some evidence", IF(AllData[[#This Row],[Nitrate (PPM)]]&gt;=0, "No evidence"))))</f>
        <v>Very high</v>
      </c>
      <c r="S35" s="139">
        <v>6.8</v>
      </c>
      <c r="T35" s="7" t="str">
        <f>IF(AllData[[#This Row],[Phosphate (PPM)]]&gt;0.5, "Very high", IF(AllData[[#This Row],[Phosphate (PPM)]]&gt;0.1, "High", IF(AllData[[#This Row],[Phosphate (PPM)]]&gt;0.05, "Some evidence", IF(AllData[[#This Row],[Phosphate (PPM)]]&lt;=0.05, "No Evidence", ""))))</f>
        <v>Very high</v>
      </c>
      <c r="U35" s="139">
        <v>0.1</v>
      </c>
      <c r="V35" s="139" t="s">
        <v>3490</v>
      </c>
    </row>
    <row r="36" spans="1:22" x14ac:dyDescent="0.35">
      <c r="A36" s="139" t="s">
        <v>3492</v>
      </c>
      <c r="B36" s="146">
        <v>45761</v>
      </c>
      <c r="C36" s="2" t="str" cm="1">
        <f t="array" ref="C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6">
        <f>YEAR(AllData[[#This Row],[Date]])</f>
        <v>2025</v>
      </c>
      <c r="E36" s="147">
        <v>0.49305555555555558</v>
      </c>
      <c r="F36" t="str">
        <f>IF(AND(AllData[[#This Row],[Time]]&lt;0.5, AllData[[#This Row],[Time]]&gt;0.17)=TRUE, "Morning", IF(AND(AllData[[#This Row],[Time]]&lt;0.75, AllData[[#This Row],[Time]]&gt;=0.5)=TRUE, "Afternoon", IF(AND(AllData[[#This Row],[Time]]&lt;1, AllData[[#This Row],[Time]]&gt;=0.75)=TRUE, "Evening", "Night")))</f>
        <v>Morning</v>
      </c>
      <c r="G36" t="str">
        <f>_xlfn.XLOOKUP(AllData[[#This Row],[Location Name]], Locations[Location Name],Locations[Group As])</f>
        <v>Site 4 : Heath Gate Ilmington</v>
      </c>
      <c r="H36" t="e" vm="1">
        <f>_xlfn.XLOOKUP(AllData[[#This Row],[Site Name]],LocationsKey[Site Name],LocationsKey[District])</f>
        <v>#VALUE!</v>
      </c>
      <c r="I36" t="e" vm="14">
        <f>_xlfn.XLOOKUP(AllData[[#This Row],[Site Name]],LocationsKey[Site Name],LocationsKey[Town])</f>
        <v>#VALUE!</v>
      </c>
      <c r="J36" t="str">
        <f>_xlfn.XLOOKUP(AllData[[#This Row],[Site Name]],LocationsKey[Site Name], LocationsKey[Waterway])</f>
        <v>Fosseway Brook</v>
      </c>
      <c r="K36" s="139" t="s">
        <v>3183</v>
      </c>
      <c r="L36" s="139">
        <v>52.094783</v>
      </c>
      <c r="M36" s="156">
        <v>-1.673988</v>
      </c>
      <c r="N36" s="139" t="s">
        <v>31</v>
      </c>
      <c r="O36" s="139">
        <v>932</v>
      </c>
      <c r="P36" s="139">
        <v>10.8</v>
      </c>
      <c r="Q36" s="139">
        <v>5</v>
      </c>
      <c r="R36" s="107" t="str">
        <f>IF(AllData[[#This Row],[Nitrate (PPM)]]&gt;2, "Very high", IF(AllData[[#This Row],[Nitrate (PPM)]]&gt;1, "High", IF(AllData[[#This Row],[Nitrate (PPM)]]&gt;0.5, "Some evidence", IF(AllData[[#This Row],[Nitrate (PPM)]]&gt;=0, "No evidence"))))</f>
        <v>Very high</v>
      </c>
      <c r="S36" s="139">
        <v>5.9</v>
      </c>
      <c r="T36" s="7" t="str">
        <f>IF(AllData[[#This Row],[Phosphate (PPM)]]&gt;0.5, "Very high", IF(AllData[[#This Row],[Phosphate (PPM)]]&gt;0.1, "High", IF(AllData[[#This Row],[Phosphate (PPM)]]&gt;0.05, "Some evidence", IF(AllData[[#This Row],[Phosphate (PPM)]]&lt;=0.05, "No Evidence", ""))))</f>
        <v>Very high</v>
      </c>
      <c r="U36" s="139">
        <v>0.15</v>
      </c>
      <c r="V36" s="139" t="s">
        <v>3490</v>
      </c>
    </row>
    <row r="37" spans="1:22" x14ac:dyDescent="0.35">
      <c r="A37" s="139" t="s">
        <v>3493</v>
      </c>
      <c r="B37" s="146">
        <v>45761</v>
      </c>
      <c r="C37" s="2" t="str" cm="1">
        <f t="array" ref="C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7">
        <f>YEAR(AllData[[#This Row],[Date]])</f>
        <v>2025</v>
      </c>
      <c r="E37" s="147">
        <v>0.68263888888888891</v>
      </c>
      <c r="F37" t="str">
        <f>IF(AND(AllData[[#This Row],[Time]]&lt;0.5, AllData[[#This Row],[Time]]&gt;0.17)=TRUE, "Morning", IF(AND(AllData[[#This Row],[Time]]&lt;0.75, AllData[[#This Row],[Time]]&gt;=0.5)=TRUE, "Afternoon", IF(AND(AllData[[#This Row],[Time]]&lt;1, AllData[[#This Row],[Time]]&gt;=0.75)=TRUE, "Evening", "Night")))</f>
        <v>Afternoon</v>
      </c>
      <c r="G37" t="str">
        <f>_xlfn.XLOOKUP(AllData[[#This Row],[Location Name]], Locations[Location Name],Locations[Group As])</f>
        <v>Swiffen Bank</v>
      </c>
      <c r="H37" t="e" vm="1">
        <f>_xlfn.XLOOKUP(AllData[[#This Row],[Site Name]],LocationsKey[Site Name],LocationsKey[District])</f>
        <v>#VALUE!</v>
      </c>
      <c r="I37" t="e" vm="2">
        <f>_xlfn.XLOOKUP(AllData[[#This Row],[Site Name]],LocationsKey[Site Name],LocationsKey[Town])</f>
        <v>#VALUE!</v>
      </c>
      <c r="J37" t="str">
        <f>_xlfn.XLOOKUP(AllData[[#This Row],[Site Name]],LocationsKey[Site Name], LocationsKey[Waterway])</f>
        <v>Avon</v>
      </c>
      <c r="K37" s="139" t="s">
        <v>286</v>
      </c>
      <c r="L37" s="139">
        <v>52.206415</v>
      </c>
      <c r="M37" s="156">
        <v>-1.6542669999999999</v>
      </c>
      <c r="N37" s="139" t="s">
        <v>31</v>
      </c>
      <c r="O37" s="139">
        <v>779</v>
      </c>
      <c r="P37" s="139">
        <v>14.2</v>
      </c>
      <c r="Q37" s="139">
        <v>5</v>
      </c>
      <c r="R37" s="107" t="str">
        <f>IF(AllData[[#This Row],[Nitrate (PPM)]]&gt;2, "Very high", IF(AllData[[#This Row],[Nitrate (PPM)]]&gt;1, "High", IF(AllData[[#This Row],[Nitrate (PPM)]]&gt;0.5, "Some evidence", IF(AllData[[#This Row],[Nitrate (PPM)]]&gt;=0, "No evidence"))))</f>
        <v>Very high</v>
      </c>
      <c r="S37" s="139">
        <v>0.17</v>
      </c>
      <c r="T37" s="7" t="str">
        <f>IF(AllData[[#This Row],[Phosphate (PPM)]]&gt;0.5, "Very high", IF(AllData[[#This Row],[Phosphate (PPM)]]&gt;0.1, "High", IF(AllData[[#This Row],[Phosphate (PPM)]]&gt;0.05, "Some evidence", IF(AllData[[#This Row],[Phosphate (PPM)]]&lt;=0.05, "No Evidence", ""))))</f>
        <v>High</v>
      </c>
      <c r="U37" s="139">
        <v>0</v>
      </c>
      <c r="V37" s="139" t="s">
        <v>3494</v>
      </c>
    </row>
    <row r="38" spans="1:22" x14ac:dyDescent="0.35">
      <c r="A38" s="139" t="s">
        <v>3487</v>
      </c>
      <c r="B38" s="146">
        <v>45761</v>
      </c>
      <c r="C38" s="2" t="str" cm="1">
        <f t="array" ref="C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8">
        <f>YEAR(AllData[[#This Row],[Date]])</f>
        <v>2025</v>
      </c>
      <c r="E38" s="147">
        <v>0.36458333333333331</v>
      </c>
      <c r="F38" t="str">
        <f>IF(AND(AllData[[#This Row],[Time]]&lt;0.5, AllData[[#This Row],[Time]]&gt;0.17)=TRUE, "Morning", IF(AND(AllData[[#This Row],[Time]]&lt;0.75, AllData[[#This Row],[Time]]&gt;=0.5)=TRUE, "Afternoon", IF(AND(AllData[[#This Row],[Time]]&lt;1, AllData[[#This Row],[Time]]&gt;=0.75)=TRUE, "Evening", "Night")))</f>
        <v>Morning</v>
      </c>
      <c r="G38" t="str">
        <f>_xlfn.XLOOKUP(AllData[[#This Row],[Location Name]], Locations[Location Name],Locations[Group As])</f>
        <v>Chipping Campden Lady J Gateway</v>
      </c>
      <c r="H38" t="e" vm="9">
        <f>_xlfn.XLOOKUP(AllData[[#This Row],[Site Name]],LocationsKey[Site Name],LocationsKey[District])</f>
        <v>#VALUE!</v>
      </c>
      <c r="I38" t="e" vm="10">
        <f>_xlfn.XLOOKUP(AllData[[#This Row],[Site Name]],LocationsKey[Site Name],LocationsKey[Town])</f>
        <v>#VALUE!</v>
      </c>
      <c r="J38" t="str">
        <f>_xlfn.XLOOKUP(AllData[[#This Row],[Site Name]],LocationsKey[Site Name], LocationsKey[Waterway])</f>
        <v>Cam Brook</v>
      </c>
      <c r="K38" s="139" t="s">
        <v>1573</v>
      </c>
      <c r="L38" s="139"/>
      <c r="M38" s="156"/>
      <c r="N38" s="139" t="s">
        <v>68</v>
      </c>
      <c r="O38" s="139">
        <v>526</v>
      </c>
      <c r="P38" s="139">
        <v>9.5</v>
      </c>
      <c r="Q38" s="139">
        <v>5</v>
      </c>
      <c r="R38" s="107" t="str">
        <f>IF(AllData[[#This Row],[Nitrate (PPM)]]&gt;2, "Very high", IF(AllData[[#This Row],[Nitrate (PPM)]]&gt;1, "High", IF(AllData[[#This Row],[Nitrate (PPM)]]&gt;0.5, "Some evidence", IF(AllData[[#This Row],[Nitrate (PPM)]]&gt;=0, "No evidence"))))</f>
        <v>Very high</v>
      </c>
      <c r="S38" s="139">
        <v>0.04</v>
      </c>
      <c r="T38" s="7" t="str">
        <f>IF(AllData[[#This Row],[Phosphate (PPM)]]&gt;0.5, "Very high", IF(AllData[[#This Row],[Phosphate (PPM)]]&gt;0.1, "High", IF(AllData[[#This Row],[Phosphate (PPM)]]&gt;0.05, "Some evidence", IF(AllData[[#This Row],[Phosphate (PPM)]]&lt;=0.05, "No Evidence", ""))))</f>
        <v>No Evidence</v>
      </c>
      <c r="U38" s="139">
        <v>0.09</v>
      </c>
      <c r="V38" s="139"/>
    </row>
    <row r="39" spans="1:22" x14ac:dyDescent="0.35">
      <c r="A39" s="139" t="s">
        <v>3488</v>
      </c>
      <c r="B39" s="146">
        <v>45761</v>
      </c>
      <c r="C39" s="2" t="str" cm="1">
        <f t="array" ref="C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9">
        <f>YEAR(AllData[[#This Row],[Date]])</f>
        <v>2025</v>
      </c>
      <c r="E39" s="147">
        <v>0.4375</v>
      </c>
      <c r="F39" t="str">
        <f>IF(AND(AllData[[#This Row],[Time]]&lt;0.5, AllData[[#This Row],[Time]]&gt;0.17)=TRUE, "Morning", IF(AND(AllData[[#This Row],[Time]]&lt;0.75, AllData[[#This Row],[Time]]&gt;=0.5)=TRUE, "Afternoon", IF(AND(AllData[[#This Row],[Time]]&lt;1, AllData[[#This Row],[Time]]&gt;=0.75)=TRUE, "Evening", "Night")))</f>
        <v>Morning</v>
      </c>
      <c r="G39" t="str">
        <f>_xlfn.XLOOKUP(AllData[[#This Row],[Location Name]], Locations[Location Name],Locations[Group As])</f>
        <v>Chipping Campden Craves</v>
      </c>
      <c r="H39" t="e" vm="9">
        <f>_xlfn.XLOOKUP(AllData[[#This Row],[Site Name]],LocationsKey[Site Name],LocationsKey[District])</f>
        <v>#VALUE!</v>
      </c>
      <c r="I39" t="e" vm="10">
        <f>_xlfn.XLOOKUP(AllData[[#This Row],[Site Name]],LocationsKey[Site Name],LocationsKey[Town])</f>
        <v>#VALUE!</v>
      </c>
      <c r="J39" t="str">
        <f>_xlfn.XLOOKUP(AllData[[#This Row],[Site Name]],LocationsKey[Site Name], LocationsKey[Waterway])</f>
        <v>Cam Brook</v>
      </c>
      <c r="K39" s="139" t="s">
        <v>2458</v>
      </c>
      <c r="L39" s="139">
        <v>52.048743999999999</v>
      </c>
      <c r="M39" s="156">
        <v>-1.786384</v>
      </c>
      <c r="N39" s="139" t="s">
        <v>68</v>
      </c>
      <c r="O39" s="139">
        <v>431</v>
      </c>
      <c r="P39" s="139">
        <v>12.5</v>
      </c>
      <c r="Q39" s="139">
        <v>5</v>
      </c>
      <c r="R39" s="107" t="str">
        <f>IF(AllData[[#This Row],[Nitrate (PPM)]]&gt;2, "Very high", IF(AllData[[#This Row],[Nitrate (PPM)]]&gt;1, "High", IF(AllData[[#This Row],[Nitrate (PPM)]]&gt;0.5, "Some evidence", IF(AllData[[#This Row],[Nitrate (PPM)]]&gt;=0, "No evidence"))))</f>
        <v>Very high</v>
      </c>
      <c r="S39" s="139">
        <v>0</v>
      </c>
      <c r="T39" s="7" t="str">
        <f>IF(AllData[[#This Row],[Phosphate (PPM)]]&gt;0.5, "Very high", IF(AllData[[#This Row],[Phosphate (PPM)]]&gt;0.1, "High", IF(AllData[[#This Row],[Phosphate (PPM)]]&gt;0.05, "Some evidence", IF(AllData[[#This Row],[Phosphate (PPM)]]&lt;=0.05, "No Evidence", ""))))</f>
        <v>No Evidence</v>
      </c>
      <c r="U39" s="139">
        <v>11</v>
      </c>
      <c r="V39" s="139"/>
    </row>
    <row r="40" spans="1:22" x14ac:dyDescent="0.35">
      <c r="A40" s="139" t="s">
        <v>3495</v>
      </c>
      <c r="B40" s="146">
        <v>45761</v>
      </c>
      <c r="C40" s="2" t="str" cm="1">
        <f t="array" ref="C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0">
        <f>YEAR(AllData[[#This Row],[Date]])</f>
        <v>2025</v>
      </c>
      <c r="E40" s="147">
        <v>0.77430555555555558</v>
      </c>
      <c r="F40" t="str">
        <f>IF(AND(AllData[[#This Row],[Time]]&lt;0.5, AllData[[#This Row],[Time]]&gt;0.17)=TRUE, "Morning", IF(AND(AllData[[#This Row],[Time]]&lt;0.75, AllData[[#This Row],[Time]]&gt;=0.5)=TRUE, "Afternoon", IF(AND(AllData[[#This Row],[Time]]&lt;1, AllData[[#This Row],[Time]]&gt;=0.75)=TRUE, "Evening", "Night")))</f>
        <v>Evening</v>
      </c>
      <c r="G40" t="str">
        <f>_xlfn.XLOOKUP(AllData[[#This Row],[Location Name]], Locations[Location Name],Locations[Group As])</f>
        <v>Chipping Campden Sewage Works</v>
      </c>
      <c r="H40" t="e" vm="9">
        <f>_xlfn.XLOOKUP(AllData[[#This Row],[Site Name]],LocationsKey[Site Name],LocationsKey[District])</f>
        <v>#VALUE!</v>
      </c>
      <c r="I40" t="e" vm="10">
        <f>_xlfn.XLOOKUP(AllData[[#This Row],[Site Name]],LocationsKey[Site Name],LocationsKey[Town])</f>
        <v>#VALUE!</v>
      </c>
      <c r="J40" t="str">
        <f>_xlfn.XLOOKUP(AllData[[#This Row],[Site Name]],LocationsKey[Site Name], LocationsKey[Waterway])</f>
        <v>Cam Brook</v>
      </c>
      <c r="K40" s="139" t="s">
        <v>1570</v>
      </c>
      <c r="L40" s="139"/>
      <c r="M40" s="156"/>
      <c r="N40" s="139" t="s">
        <v>31</v>
      </c>
      <c r="O40" s="139">
        <v>665</v>
      </c>
      <c r="P40" s="139">
        <v>11.3</v>
      </c>
      <c r="Q40" s="139">
        <v>2</v>
      </c>
      <c r="R40" s="107" t="str">
        <f>IF(AllData[[#This Row],[Nitrate (PPM)]]&gt;2, "Very high", IF(AllData[[#This Row],[Nitrate (PPM)]]&gt;1, "High", IF(AllData[[#This Row],[Nitrate (PPM)]]&gt;0.5, "Some evidence", IF(AllData[[#This Row],[Nitrate (PPM)]]&gt;=0, "No evidence"))))</f>
        <v>High</v>
      </c>
      <c r="S40" s="139">
        <v>0.19</v>
      </c>
      <c r="T40" s="7" t="str">
        <f>IF(AllData[[#This Row],[Phosphate (PPM)]]&gt;0.5, "Very high", IF(AllData[[#This Row],[Phosphate (PPM)]]&gt;0.1, "High", IF(AllData[[#This Row],[Phosphate (PPM)]]&gt;0.05, "Some evidence", IF(AllData[[#This Row],[Phosphate (PPM)]]&lt;=0.05, "No Evidence", ""))))</f>
        <v>High</v>
      </c>
      <c r="U40" s="139">
        <v>0.38</v>
      </c>
      <c r="V40" s="139"/>
    </row>
    <row r="41" spans="1:22" x14ac:dyDescent="0.35">
      <c r="A41" s="139" t="s">
        <v>3489</v>
      </c>
      <c r="B41" s="146">
        <v>45761</v>
      </c>
      <c r="C41" s="2" t="str" cm="1">
        <f t="array" ref="C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1">
        <f>YEAR(AllData[[#This Row],[Date]])</f>
        <v>2025</v>
      </c>
      <c r="E41" s="147">
        <v>0.47430555555555554</v>
      </c>
      <c r="F41" t="str">
        <f>IF(AND(AllData[[#This Row],[Time]]&lt;0.5, AllData[[#This Row],[Time]]&gt;0.17)=TRUE, "Morning", IF(AND(AllData[[#This Row],[Time]]&lt;0.75, AllData[[#This Row],[Time]]&gt;=0.5)=TRUE, "Afternoon", IF(AND(AllData[[#This Row],[Time]]&lt;1, AllData[[#This Row],[Time]]&gt;=0.75)=TRUE, "Evening", "Night")))</f>
        <v>Morning</v>
      </c>
      <c r="G41" t="str">
        <f>_xlfn.XLOOKUP(AllData[[#This Row],[Location Name]], Locations[Location Name],Locations[Group As])</f>
        <v>Site 1  :  Middle Street</v>
      </c>
      <c r="H41" t="e" vm="1">
        <f>_xlfn.XLOOKUP(AllData[[#This Row],[Site Name]],LocationsKey[Site Name],LocationsKey[District])</f>
        <v>#VALUE!</v>
      </c>
      <c r="I41" t="e" vm="14">
        <f>_xlfn.XLOOKUP(AllData[[#This Row],[Site Name]],LocationsKey[Site Name],LocationsKey[Town])</f>
        <v>#VALUE!</v>
      </c>
      <c r="J41" t="str">
        <f>_xlfn.XLOOKUP(AllData[[#This Row],[Site Name]],LocationsKey[Site Name], LocationsKey[Waterway])</f>
        <v>Fosseway Brook</v>
      </c>
      <c r="K41" s="139" t="s">
        <v>670</v>
      </c>
      <c r="L41" s="139">
        <v>52.090198000000001</v>
      </c>
      <c r="M41" s="156">
        <v>-1.6924170000000001</v>
      </c>
      <c r="N41" s="139" t="s">
        <v>68</v>
      </c>
      <c r="O41" s="139">
        <v>617</v>
      </c>
      <c r="P41" s="139">
        <v>11.4</v>
      </c>
      <c r="Q41" s="139">
        <v>2</v>
      </c>
      <c r="R41" s="107" t="str">
        <f>IF(AllData[[#This Row],[Nitrate (PPM)]]&gt;2, "Very high", IF(AllData[[#This Row],[Nitrate (PPM)]]&gt;1, "High", IF(AllData[[#This Row],[Nitrate (PPM)]]&gt;0.5, "Some evidence", IF(AllData[[#This Row],[Nitrate (PPM)]]&gt;=0, "No evidence"))))</f>
        <v>High</v>
      </c>
      <c r="S41" s="139">
        <v>0.28000000000000003</v>
      </c>
      <c r="T41" s="7" t="str">
        <f>IF(AllData[[#This Row],[Phosphate (PPM)]]&gt;0.5, "Very high", IF(AllData[[#This Row],[Phosphate (PPM)]]&gt;0.1, "High", IF(AllData[[#This Row],[Phosphate (PPM)]]&gt;0.05, "Some evidence", IF(AllData[[#This Row],[Phosphate (PPM)]]&lt;=0.05, "No Evidence", ""))))</f>
        <v>High</v>
      </c>
      <c r="U41" s="139">
        <v>0.03</v>
      </c>
      <c r="V41" s="139" t="s">
        <v>3490</v>
      </c>
    </row>
    <row r="42" spans="1:22" x14ac:dyDescent="0.35">
      <c r="A42" s="139" t="s">
        <v>3482</v>
      </c>
      <c r="B42" s="146">
        <v>45760</v>
      </c>
      <c r="C42" s="2" t="str" cm="1">
        <f t="array" ref="C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2">
        <f>YEAR(AllData[[#This Row],[Date]])</f>
        <v>2025</v>
      </c>
      <c r="E42" s="147">
        <v>0.60486111111111107</v>
      </c>
      <c r="F42" t="str">
        <f>IF(AND(AllData[[#This Row],[Time]]&lt;0.5, AllData[[#This Row],[Time]]&gt;0.17)=TRUE, "Morning", IF(AND(AllData[[#This Row],[Time]]&lt;0.75, AllData[[#This Row],[Time]]&gt;=0.5)=TRUE, "Afternoon", IF(AND(AllData[[#This Row],[Time]]&lt;1, AllData[[#This Row],[Time]]&gt;=0.75)=TRUE, "Evening", "Night")))</f>
        <v>Afternoon</v>
      </c>
      <c r="G42" t="str">
        <f>_xlfn.XLOOKUP(AllData[[#This Row],[Location Name]], Locations[Location Name],Locations[Group As])</f>
        <v>Dock Lane Bredon</v>
      </c>
      <c r="H42" t="e" vm="6">
        <f>_xlfn.XLOOKUP(AllData[[#This Row],[Site Name]],LocationsKey[Site Name],LocationsKey[District])</f>
        <v>#VALUE!</v>
      </c>
      <c r="I42" t="e" vm="11">
        <f>_xlfn.XLOOKUP(AllData[[#This Row],[Site Name]],LocationsKey[Site Name],LocationsKey[Town])</f>
        <v>#VALUE!</v>
      </c>
      <c r="J42" t="str">
        <f>_xlfn.XLOOKUP(AllData[[#This Row],[Site Name]],LocationsKey[Site Name], LocationsKey[Waterway])</f>
        <v>Avon</v>
      </c>
      <c r="K42" s="139" t="s">
        <v>2470</v>
      </c>
      <c r="L42" s="139">
        <v>52.033442999999998</v>
      </c>
      <c r="M42" s="156">
        <v>-2.1168290000000001</v>
      </c>
      <c r="N42" s="139" t="s">
        <v>34</v>
      </c>
      <c r="O42" s="139">
        <v>916</v>
      </c>
      <c r="P42" s="139">
        <v>14.7</v>
      </c>
      <c r="Q42" s="139">
        <v>10</v>
      </c>
      <c r="R42" s="107" t="str">
        <f>IF(AllData[[#This Row],[Nitrate (PPM)]]&gt;2, "Very high", IF(AllData[[#This Row],[Nitrate (PPM)]]&gt;1, "High", IF(AllData[[#This Row],[Nitrate (PPM)]]&gt;0.5, "Some evidence", IF(AllData[[#This Row],[Nitrate (PPM)]]&gt;=0, "No evidence"))))</f>
        <v>Very high</v>
      </c>
      <c r="S42" s="139">
        <v>0.2</v>
      </c>
      <c r="T42" s="7" t="str">
        <f>IF(AllData[[#This Row],[Phosphate (PPM)]]&gt;0.5, "Very high", IF(AllData[[#This Row],[Phosphate (PPM)]]&gt;0.1, "High", IF(AllData[[#This Row],[Phosphate (PPM)]]&gt;0.05, "Some evidence", IF(AllData[[#This Row],[Phosphate (PPM)]]&lt;=0.05, "No Evidence", ""))))</f>
        <v>High</v>
      </c>
      <c r="U42" s="139">
        <v>0</v>
      </c>
      <c r="V42" s="139"/>
    </row>
    <row r="43" spans="1:22" x14ac:dyDescent="0.35">
      <c r="A43" s="139" t="s">
        <v>3483</v>
      </c>
      <c r="B43" s="146">
        <v>45760</v>
      </c>
      <c r="C43" s="2" t="str" cm="1">
        <f t="array" ref="C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3">
        <f>YEAR(AllData[[#This Row],[Date]])</f>
        <v>2025</v>
      </c>
      <c r="E43" s="147">
        <v>0.625</v>
      </c>
      <c r="F43" t="str">
        <f>IF(AND(AllData[[#This Row],[Time]]&lt;0.5, AllData[[#This Row],[Time]]&gt;0.17)=TRUE, "Morning", IF(AND(AllData[[#This Row],[Time]]&lt;0.75, AllData[[#This Row],[Time]]&gt;=0.5)=TRUE, "Afternoon", IF(AND(AllData[[#This Row],[Time]]&lt;1, AllData[[#This Row],[Time]]&gt;=0.75)=TRUE, "Evening", "Night")))</f>
        <v>Afternoon</v>
      </c>
      <c r="G43" t="str">
        <f>_xlfn.XLOOKUP(AllData[[#This Row],[Location Name]], Locations[Location Name],Locations[Group As])</f>
        <v>Black Bear</v>
      </c>
      <c r="H43" t="e" vm="4">
        <f>_xlfn.XLOOKUP(AllData[[#This Row],[Site Name]],LocationsKey[Site Name],LocationsKey[District])</f>
        <v>#VALUE!</v>
      </c>
      <c r="I43" t="e" vm="4">
        <f>_xlfn.XLOOKUP(AllData[[#This Row],[Site Name]],LocationsKey[Site Name],LocationsKey[Town])</f>
        <v>#VALUE!</v>
      </c>
      <c r="J43" t="str">
        <f>_xlfn.XLOOKUP(AllData[[#This Row],[Site Name]],LocationsKey[Site Name], LocationsKey[Waterway])</f>
        <v>Avon</v>
      </c>
      <c r="K43" s="139" t="s">
        <v>1175</v>
      </c>
      <c r="L43" s="139">
        <v>51.997413999999999</v>
      </c>
      <c r="M43" s="156">
        <v>-2.1561210000000002</v>
      </c>
      <c r="N43" s="139" t="s">
        <v>34</v>
      </c>
      <c r="O43" s="139">
        <v>910</v>
      </c>
      <c r="P43" s="139">
        <v>14.7</v>
      </c>
      <c r="Q43" s="139">
        <v>10</v>
      </c>
      <c r="R43" s="107" t="str">
        <f>IF(AllData[[#This Row],[Nitrate (PPM)]]&gt;2, "Very high", IF(AllData[[#This Row],[Nitrate (PPM)]]&gt;1, "High", IF(AllData[[#This Row],[Nitrate (PPM)]]&gt;0.5, "Some evidence", IF(AllData[[#This Row],[Nitrate (PPM)]]&gt;=0, "No evidence"))))</f>
        <v>Very high</v>
      </c>
      <c r="S43" s="139">
        <v>0.21</v>
      </c>
      <c r="T43" s="7" t="str">
        <f>IF(AllData[[#This Row],[Phosphate (PPM)]]&gt;0.5, "Very high", IF(AllData[[#This Row],[Phosphate (PPM)]]&gt;0.1, "High", IF(AllData[[#This Row],[Phosphate (PPM)]]&gt;0.05, "Some evidence", IF(AllData[[#This Row],[Phosphate (PPM)]]&lt;=0.05, "No Evidence", ""))))</f>
        <v>High</v>
      </c>
      <c r="U43" s="139">
        <v>0</v>
      </c>
      <c r="V43" s="139"/>
    </row>
    <row r="44" spans="1:22" x14ac:dyDescent="0.35">
      <c r="A44" s="139" t="s">
        <v>3477</v>
      </c>
      <c r="B44" s="146">
        <v>45760</v>
      </c>
      <c r="C44" s="2" t="str" cm="1">
        <f t="array" ref="C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4">
        <f>YEAR(AllData[[#This Row],[Date]])</f>
        <v>2025</v>
      </c>
      <c r="E44" s="147">
        <v>0.5</v>
      </c>
      <c r="F44" t="str">
        <f>IF(AND(AllData[[#This Row],[Time]]&lt;0.5, AllData[[#This Row],[Time]]&gt;0.17)=TRUE, "Morning", IF(AND(AllData[[#This Row],[Time]]&lt;0.75, AllData[[#This Row],[Time]]&gt;=0.5)=TRUE, "Afternoon", IF(AND(AllData[[#This Row],[Time]]&lt;1, AllData[[#This Row],[Time]]&gt;=0.75)=TRUE, "Evening", "Night")))</f>
        <v>Afternoon</v>
      </c>
      <c r="G44" t="str">
        <f>_xlfn.XLOOKUP(AllData[[#This Row],[Location Name]], Locations[Location Name],Locations[Group As])</f>
        <v>Carrant M5 Bridge</v>
      </c>
      <c r="H44" t="e" vm="4">
        <f>_xlfn.XLOOKUP(AllData[[#This Row],[Site Name]],LocationsKey[Site Name],LocationsKey[District])</f>
        <v>#VALUE!</v>
      </c>
      <c r="I44" t="e" vm="4">
        <f>_xlfn.XLOOKUP(AllData[[#This Row],[Site Name]],LocationsKey[Site Name],LocationsKey[Town])</f>
        <v>#VALUE!</v>
      </c>
      <c r="J44" t="str">
        <f>_xlfn.XLOOKUP(AllData[[#This Row],[Site Name]],LocationsKey[Site Name], LocationsKey[Waterway])</f>
        <v>Carrant</v>
      </c>
      <c r="K44" s="139" t="s">
        <v>1066</v>
      </c>
      <c r="L44" s="139"/>
      <c r="M44" s="156"/>
      <c r="N44" s="139" t="s">
        <v>34</v>
      </c>
      <c r="O44" s="139">
        <v>775</v>
      </c>
      <c r="P44" s="139">
        <v>13.4</v>
      </c>
      <c r="Q44" s="139">
        <v>7</v>
      </c>
      <c r="R44" s="107" t="str">
        <f>IF(AllData[[#This Row],[Nitrate (PPM)]]&gt;2, "Very high", IF(AllData[[#This Row],[Nitrate (PPM)]]&gt;1, "High", IF(AllData[[#This Row],[Nitrate (PPM)]]&gt;0.5, "Some evidence", IF(AllData[[#This Row],[Nitrate (PPM)]]&gt;=0, "No evidence"))))</f>
        <v>Very high</v>
      </c>
      <c r="S44" s="139">
        <v>0.47</v>
      </c>
      <c r="T44" s="7" t="str">
        <f>IF(AllData[[#This Row],[Phosphate (PPM)]]&gt;0.5, "Very high", IF(AllData[[#This Row],[Phosphate (PPM)]]&gt;0.1, "High", IF(AllData[[#This Row],[Phosphate (PPM)]]&gt;0.05, "Some evidence", IF(AllData[[#This Row],[Phosphate (PPM)]]&lt;=0.05, "No Evidence", ""))))</f>
        <v>High</v>
      </c>
      <c r="U44" s="139">
        <v>0</v>
      </c>
      <c r="V44" s="139"/>
    </row>
    <row r="45" spans="1:22" x14ac:dyDescent="0.35">
      <c r="A45" s="139" t="s">
        <v>3481</v>
      </c>
      <c r="B45" s="146">
        <v>45760</v>
      </c>
      <c r="C45" s="2" t="str" cm="1">
        <f t="array" ref="C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5">
        <f>YEAR(AllData[[#This Row],[Date]])</f>
        <v>2025</v>
      </c>
      <c r="E45" s="147">
        <v>0.60416666666666663</v>
      </c>
      <c r="F45" t="str">
        <f>IF(AND(AllData[[#This Row],[Time]]&lt;0.5, AllData[[#This Row],[Time]]&gt;0.17)=TRUE, "Morning", IF(AND(AllData[[#This Row],[Time]]&lt;0.75, AllData[[#This Row],[Time]]&gt;=0.5)=TRUE, "Afternoon", IF(AND(AllData[[#This Row],[Time]]&lt;1, AllData[[#This Row],[Time]]&gt;=0.75)=TRUE, "Evening", "Night")))</f>
        <v>Afternoon</v>
      </c>
      <c r="G45" t="str">
        <f>_xlfn.XLOOKUP(AllData[[#This Row],[Location Name]], Locations[Location Name],Locations[Group As])</f>
        <v>The Ford, Langley</v>
      </c>
      <c r="H45" t="e" vm="1">
        <f>_xlfn.XLOOKUP(AllData[[#This Row],[Site Name]],LocationsKey[Site Name],LocationsKey[District])</f>
        <v>#VALUE!</v>
      </c>
      <c r="I45" t="str">
        <f>_xlfn.XLOOKUP(AllData[[#This Row],[Site Name]],LocationsKey[Site Name],LocationsKey[Town])</f>
        <v>Langley</v>
      </c>
      <c r="J45" t="str">
        <f>_xlfn.XLOOKUP(AllData[[#This Row],[Site Name]],LocationsKey[Site Name], LocationsKey[Waterway])</f>
        <v>Langley Ford</v>
      </c>
      <c r="K45" s="139" t="s">
        <v>561</v>
      </c>
      <c r="L45" s="139">
        <v>52.269089999999998</v>
      </c>
      <c r="M45" s="156">
        <v>-1.723252</v>
      </c>
      <c r="N45" s="139" t="s">
        <v>31</v>
      </c>
      <c r="O45" s="139">
        <v>823</v>
      </c>
      <c r="P45" s="139">
        <v>11.5</v>
      </c>
      <c r="Q45" s="139">
        <v>5</v>
      </c>
      <c r="R45" s="107" t="str">
        <f>IF(AllData[[#This Row],[Nitrate (PPM)]]&gt;2, "Very high", IF(AllData[[#This Row],[Nitrate (PPM)]]&gt;1, "High", IF(AllData[[#This Row],[Nitrate (PPM)]]&gt;0.5, "Some evidence", IF(AllData[[#This Row],[Nitrate (PPM)]]&gt;=0, "No evidence"))))</f>
        <v>Very high</v>
      </c>
      <c r="S45" s="139">
        <v>0.5</v>
      </c>
      <c r="T45" s="7" t="str">
        <f>IF(AllData[[#This Row],[Phosphate (PPM)]]&gt;0.5, "Very high", IF(AllData[[#This Row],[Phosphate (PPM)]]&gt;0.1, "High", IF(AllData[[#This Row],[Phosphate (PPM)]]&gt;0.05, "Some evidence", IF(AllData[[#This Row],[Phosphate (PPM)]]&lt;=0.05, "No Evidence", ""))))</f>
        <v>High</v>
      </c>
      <c r="U45" s="139">
        <v>0.2</v>
      </c>
      <c r="V45" s="139"/>
    </row>
    <row r="46" spans="1:22" x14ac:dyDescent="0.35">
      <c r="A46" s="139" t="s">
        <v>3473</v>
      </c>
      <c r="B46" s="146">
        <v>45760</v>
      </c>
      <c r="C46" s="2" t="str" cm="1">
        <f t="array" ref="C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6">
        <f>YEAR(AllData[[#This Row],[Date]])</f>
        <v>2025</v>
      </c>
      <c r="E46" s="147">
        <v>0.40625</v>
      </c>
      <c r="F46" t="str">
        <f>IF(AND(AllData[[#This Row],[Time]]&lt;0.5, AllData[[#This Row],[Time]]&gt;0.17)=TRUE, "Morning", IF(AND(AllData[[#This Row],[Time]]&lt;0.75, AllData[[#This Row],[Time]]&gt;=0.5)=TRUE, "Afternoon", IF(AND(AllData[[#This Row],[Time]]&lt;1, AllData[[#This Row],[Time]]&gt;=0.75)=TRUE, "Evening", "Night")))</f>
        <v>Morning</v>
      </c>
      <c r="G46" t="str">
        <f>_xlfn.XLOOKUP(AllData[[#This Row],[Location Name]], Locations[Location Name],Locations[Group As])</f>
        <v>R.Stowe - Lower Fields Farm, Old Brickyard Lane</v>
      </c>
      <c r="H46" t="e" vm="1">
        <f>_xlfn.XLOOKUP(AllData[[#This Row],[Site Name]],LocationsKey[Site Name],LocationsKey[District])</f>
        <v>#VALUE!</v>
      </c>
      <c r="I46" t="e" vm="17">
        <f>_xlfn.XLOOKUP(AllData[[#This Row],[Site Name]],LocationsKey[Site Name],LocationsKey[Town])</f>
        <v>#VALUE!</v>
      </c>
      <c r="J46" t="str">
        <f>_xlfn.XLOOKUP(AllData[[#This Row],[Site Name]],LocationsKey[Site Name], LocationsKey[Waterway])</f>
        <v>Stowe</v>
      </c>
      <c r="K46" s="139" t="s">
        <v>2892</v>
      </c>
      <c r="L46" s="139">
        <v>52.242700999999997</v>
      </c>
      <c r="M46" s="156">
        <v>-1.3461000000000001</v>
      </c>
      <c r="N46" s="139" t="s">
        <v>31</v>
      </c>
      <c r="O46" s="139">
        <v>813</v>
      </c>
      <c r="P46" s="139">
        <v>12.9</v>
      </c>
      <c r="Q46" s="139">
        <v>5</v>
      </c>
      <c r="R46" s="107" t="str">
        <f>IF(AllData[[#This Row],[Nitrate (PPM)]]&gt;2, "Very high", IF(AllData[[#This Row],[Nitrate (PPM)]]&gt;1, "High", IF(AllData[[#This Row],[Nitrate (PPM)]]&gt;0.5, "Some evidence", IF(AllData[[#This Row],[Nitrate (PPM)]]&gt;=0, "No evidence"))))</f>
        <v>Very high</v>
      </c>
      <c r="S46" s="139">
        <v>0.53</v>
      </c>
      <c r="T46" s="7" t="str">
        <f>IF(AllData[[#This Row],[Phosphate (PPM)]]&gt;0.5, "Very high", IF(AllData[[#This Row],[Phosphate (PPM)]]&gt;0.1, "High", IF(AllData[[#This Row],[Phosphate (PPM)]]&gt;0.05, "Some evidence", IF(AllData[[#This Row],[Phosphate (PPM)]]&lt;=0.05, "No Evidence", ""))))</f>
        <v>Very high</v>
      </c>
      <c r="U46" s="139">
        <v>0.15</v>
      </c>
      <c r="V46" s="139" t="s">
        <v>3474</v>
      </c>
    </row>
    <row r="47" spans="1:22" x14ac:dyDescent="0.35">
      <c r="A47" s="139" t="s">
        <v>3475</v>
      </c>
      <c r="B47" s="146">
        <v>45760</v>
      </c>
      <c r="C47" s="2" t="str" cm="1">
        <f t="array" ref="C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7">
        <f>YEAR(AllData[[#This Row],[Date]])</f>
        <v>2025</v>
      </c>
      <c r="E47" s="147">
        <v>0.42222222222222222</v>
      </c>
      <c r="F47" t="str">
        <f>IF(AND(AllData[[#This Row],[Time]]&lt;0.5, AllData[[#This Row],[Time]]&gt;0.17)=TRUE, "Morning", IF(AND(AllData[[#This Row],[Time]]&lt;0.75, AllData[[#This Row],[Time]]&gt;=0.5)=TRUE, "Afternoon", IF(AND(AllData[[#This Row],[Time]]&lt;1, AllData[[#This Row],[Time]]&gt;=0.75)=TRUE, "Evening", "Night")))</f>
        <v>Morning</v>
      </c>
      <c r="G47" t="str">
        <f>_xlfn.XLOOKUP(AllData[[#This Row],[Location Name]], Locations[Location Name],Locations[Group As])</f>
        <v>R.Stowe - Welsh Rd East, Southam</v>
      </c>
      <c r="H47" t="e" vm="1">
        <f>_xlfn.XLOOKUP(AllData[[#This Row],[Site Name]],LocationsKey[Site Name],LocationsKey[District])</f>
        <v>#VALUE!</v>
      </c>
      <c r="I47" t="e" vm="18">
        <f>_xlfn.XLOOKUP(AllData[[#This Row],[Site Name]],LocationsKey[Site Name],LocationsKey[Town])</f>
        <v>#VALUE!</v>
      </c>
      <c r="J47" t="str">
        <f>_xlfn.XLOOKUP(AllData[[#This Row],[Site Name]],LocationsKey[Site Name], LocationsKey[Waterway])</f>
        <v>Stowe</v>
      </c>
      <c r="K47" s="139" t="s">
        <v>3384</v>
      </c>
      <c r="L47" s="139">
        <v>52.251291000000002</v>
      </c>
      <c r="M47" s="156">
        <v>-1.383294</v>
      </c>
      <c r="N47" s="139" t="s">
        <v>31</v>
      </c>
      <c r="O47" s="139">
        <v>780</v>
      </c>
      <c r="P47" s="139">
        <v>11.6</v>
      </c>
      <c r="Q47" s="139">
        <v>5</v>
      </c>
      <c r="R47" s="107" t="str">
        <f>IF(AllData[[#This Row],[Nitrate (PPM)]]&gt;2, "Very high", IF(AllData[[#This Row],[Nitrate (PPM)]]&gt;1, "High", IF(AllData[[#This Row],[Nitrate (PPM)]]&gt;0.5, "Some evidence", IF(AllData[[#This Row],[Nitrate (PPM)]]&gt;=0, "No evidence"))))</f>
        <v>Very high</v>
      </c>
      <c r="S47" s="139">
        <v>0.18</v>
      </c>
      <c r="T47" s="7" t="str">
        <f>IF(AllData[[#This Row],[Phosphate (PPM)]]&gt;0.5, "Very high", IF(AllData[[#This Row],[Phosphate (PPM)]]&gt;0.1, "High", IF(AllData[[#This Row],[Phosphate (PPM)]]&gt;0.05, "Some evidence", IF(AllData[[#This Row],[Phosphate (PPM)]]&lt;=0.05, "No Evidence", ""))))</f>
        <v>High</v>
      </c>
      <c r="U47" s="139">
        <v>0.14000000000000001</v>
      </c>
      <c r="V47" s="139" t="s">
        <v>3476</v>
      </c>
    </row>
    <row r="48" spans="1:22" x14ac:dyDescent="0.35">
      <c r="A48" s="139" t="s">
        <v>3478</v>
      </c>
      <c r="B48" s="146">
        <v>45760</v>
      </c>
      <c r="C48" s="2" t="str" cm="1">
        <f t="array" ref="C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8">
        <f>YEAR(AllData[[#This Row],[Date]])</f>
        <v>2025</v>
      </c>
      <c r="E48" s="147">
        <v>0.5444444444444444</v>
      </c>
      <c r="F48" t="str">
        <f>IF(AND(AllData[[#This Row],[Time]]&lt;0.5, AllData[[#This Row],[Time]]&gt;0.17)=TRUE, "Morning", IF(AND(AllData[[#This Row],[Time]]&lt;0.75, AllData[[#This Row],[Time]]&gt;=0.5)=TRUE, "Afternoon", IF(AND(AllData[[#This Row],[Time]]&lt;1, AllData[[#This Row],[Time]]&gt;=0.75)=TRUE, "Evening", "Night")))</f>
        <v>Afternoon</v>
      </c>
      <c r="G48" t="str">
        <f>_xlfn.XLOOKUP(AllData[[#This Row],[Location Name]], Locations[Location Name],Locations[Group As])</f>
        <v>Isbourne Winchcombe C</v>
      </c>
      <c r="H48" t="e" vm="4">
        <f>_xlfn.XLOOKUP(AllData[[#This Row],[Site Name]],LocationsKey[Site Name],LocationsKey[District])</f>
        <v>#VALUE!</v>
      </c>
      <c r="I48" t="e" vm="8">
        <f>_xlfn.XLOOKUP(AllData[[#This Row],[Site Name]],LocationsKey[Site Name],LocationsKey[Town])</f>
        <v>#VALUE!</v>
      </c>
      <c r="J48" t="str">
        <f>_xlfn.XLOOKUP(AllData[[#This Row],[Site Name]],LocationsKey[Site Name], LocationsKey[Waterway])</f>
        <v>Isbourne</v>
      </c>
      <c r="K48" s="139" t="s">
        <v>3479</v>
      </c>
      <c r="L48" s="139">
        <v>51.962681000000003</v>
      </c>
      <c r="M48" s="156">
        <v>-1.9579519999999999</v>
      </c>
      <c r="N48" s="139" t="s">
        <v>68</v>
      </c>
      <c r="O48" s="139">
        <v>507</v>
      </c>
      <c r="P48" s="139">
        <v>12.6</v>
      </c>
      <c r="Q48" s="139">
        <v>5</v>
      </c>
      <c r="R48" s="107" t="str">
        <f>IF(AllData[[#This Row],[Nitrate (PPM)]]&gt;2, "Very high", IF(AllData[[#This Row],[Nitrate (PPM)]]&gt;1, "High", IF(AllData[[#This Row],[Nitrate (PPM)]]&gt;0.5, "Some evidence", IF(AllData[[#This Row],[Nitrate (PPM)]]&gt;=0, "No evidence"))))</f>
        <v>Very high</v>
      </c>
      <c r="S48" s="139">
        <v>0.03</v>
      </c>
      <c r="T48" s="7" t="str">
        <f>IF(AllData[[#This Row],[Phosphate (PPM)]]&gt;0.5, "Very high", IF(AllData[[#This Row],[Phosphate (PPM)]]&gt;0.1, "High", IF(AllData[[#This Row],[Phosphate (PPM)]]&gt;0.05, "Some evidence", IF(AllData[[#This Row],[Phosphate (PPM)]]&lt;=0.05, "No Evidence", ""))))</f>
        <v>No Evidence</v>
      </c>
      <c r="U48" s="139">
        <v>0.5</v>
      </c>
      <c r="V48" s="139"/>
    </row>
    <row r="49" spans="1:22" x14ac:dyDescent="0.35">
      <c r="A49" s="139" t="s">
        <v>3480</v>
      </c>
      <c r="B49" s="146">
        <v>45760</v>
      </c>
      <c r="C49" s="2" t="str" cm="1">
        <f t="array" ref="C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49">
        <f>YEAR(AllData[[#This Row],[Date]])</f>
        <v>2025</v>
      </c>
      <c r="E49" s="147">
        <v>0.55555555555555558</v>
      </c>
      <c r="F49" t="str">
        <f>IF(AND(AllData[[#This Row],[Time]]&lt;0.5, AllData[[#This Row],[Time]]&gt;0.17)=TRUE, "Morning", IF(AND(AllData[[#This Row],[Time]]&lt;0.75, AllData[[#This Row],[Time]]&gt;=0.5)=TRUE, "Afternoon", IF(AND(AllData[[#This Row],[Time]]&lt;1, AllData[[#This Row],[Time]]&gt;=0.75)=TRUE, "Evening", "Night")))</f>
        <v>Afternoon</v>
      </c>
      <c r="G49" t="str">
        <f>_xlfn.XLOOKUP(AllData[[#This Row],[Location Name]], Locations[Location Name],Locations[Group As])</f>
        <v>Isbourne Winchcombe A</v>
      </c>
      <c r="H49" t="e" vm="4">
        <f>_xlfn.XLOOKUP(AllData[[#This Row],[Site Name]],LocationsKey[Site Name],LocationsKey[District])</f>
        <v>#VALUE!</v>
      </c>
      <c r="I49" t="str">
        <f>_xlfn.XLOOKUP(AllData[[#This Row],[Site Name]],LocationsKey[Site Name],LocationsKey[Town])</f>
        <v>Winchcombe</v>
      </c>
      <c r="J49" t="str">
        <f>_xlfn.XLOOKUP(AllData[[#This Row],[Site Name]],LocationsKey[Site Name], LocationsKey[Waterway])</f>
        <v>Isbourne</v>
      </c>
      <c r="K49" s="139" t="s">
        <v>3434</v>
      </c>
      <c r="L49" s="139">
        <v>51.939267000000001</v>
      </c>
      <c r="M49" s="156">
        <v>-2.0029629999999998</v>
      </c>
      <c r="N49" s="139" t="s">
        <v>68</v>
      </c>
      <c r="O49" s="139">
        <v>346</v>
      </c>
      <c r="P49" s="139">
        <v>12.8</v>
      </c>
      <c r="Q49" s="139">
        <v>3</v>
      </c>
      <c r="R49" s="107" t="str">
        <f>IF(AllData[[#This Row],[Nitrate (PPM)]]&gt;2, "Very high", IF(AllData[[#This Row],[Nitrate (PPM)]]&gt;1, "High", IF(AllData[[#This Row],[Nitrate (PPM)]]&gt;0.5, "Some evidence", IF(AllData[[#This Row],[Nitrate (PPM)]]&gt;=0, "No evidence"))))</f>
        <v>Very high</v>
      </c>
      <c r="S49" s="139">
        <v>0.06</v>
      </c>
      <c r="T49" s="7" t="str">
        <f>IF(AllData[[#This Row],[Phosphate (PPM)]]&gt;0.5, "Very high", IF(AllData[[#This Row],[Phosphate (PPM)]]&gt;0.1, "High", IF(AllData[[#This Row],[Phosphate (PPM)]]&gt;0.05, "Some evidence", IF(AllData[[#This Row],[Phosphate (PPM)]]&lt;=0.05, "No Evidence", ""))))</f>
        <v>Some evidence</v>
      </c>
      <c r="U49" s="139">
        <v>0.2</v>
      </c>
      <c r="V49" s="139"/>
    </row>
    <row r="50" spans="1:22" x14ac:dyDescent="0.35">
      <c r="A50" s="139" t="s">
        <v>3484</v>
      </c>
      <c r="B50" s="146">
        <v>45760</v>
      </c>
      <c r="C50" s="2" t="str" cm="1">
        <f t="array" ref="C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0">
        <f>YEAR(AllData[[#This Row],[Date]])</f>
        <v>2025</v>
      </c>
      <c r="E50" s="147">
        <v>0.76388888888888884</v>
      </c>
      <c r="F50" t="str">
        <f>IF(AND(AllData[[#This Row],[Time]]&lt;0.5, AllData[[#This Row],[Time]]&gt;0.17)=TRUE, "Morning", IF(AND(AllData[[#This Row],[Time]]&lt;0.75, AllData[[#This Row],[Time]]&gt;=0.5)=TRUE, "Afternoon", IF(AND(AllData[[#This Row],[Time]]&lt;1, AllData[[#This Row],[Time]]&gt;=0.75)=TRUE, "Evening", "Night")))</f>
        <v>Evening</v>
      </c>
      <c r="G50" t="str">
        <f>_xlfn.XLOOKUP(AllData[[#This Row],[Location Name]], Locations[Location Name],Locations[Group As])</f>
        <v>Fell Mill Footbridge</v>
      </c>
      <c r="H50" t="e" vm="1">
        <f>_xlfn.XLOOKUP(AllData[[#This Row],[Site Name]],LocationsKey[Site Name],LocationsKey[District])</f>
        <v>#VALUE!</v>
      </c>
      <c r="I50" t="e" vm="15">
        <f>_xlfn.XLOOKUP(AllData[[#This Row],[Site Name]],LocationsKey[Site Name],LocationsKey[Town])</f>
        <v>#VALUE!</v>
      </c>
      <c r="J50" t="str">
        <f>_xlfn.XLOOKUP(AllData[[#This Row],[Site Name]],LocationsKey[Site Name], LocationsKey[Waterway])</f>
        <v>Stour</v>
      </c>
      <c r="K50" s="139" t="s">
        <v>1968</v>
      </c>
      <c r="L50" s="139">
        <v>52.070086000000003</v>
      </c>
      <c r="M50" s="156">
        <v>-1.61145</v>
      </c>
      <c r="N50" s="139" t="s">
        <v>31</v>
      </c>
      <c r="O50" s="139">
        <v>643</v>
      </c>
      <c r="P50" s="139">
        <v>12.2</v>
      </c>
      <c r="Q50" s="139">
        <v>0.5</v>
      </c>
      <c r="R50" s="107" t="str">
        <f>IF(AllData[[#This Row],[Nitrate (PPM)]]&gt;2, "Very high", IF(AllData[[#This Row],[Nitrate (PPM)]]&gt;1, "High", IF(AllData[[#This Row],[Nitrate (PPM)]]&gt;0.5, "Some evidence", IF(AllData[[#This Row],[Nitrate (PPM)]]&gt;=0, "No evidence"))))</f>
        <v>No evidence</v>
      </c>
      <c r="S50" s="139">
        <v>0.08</v>
      </c>
      <c r="T50" s="7" t="str">
        <f>IF(AllData[[#This Row],[Phosphate (PPM)]]&gt;0.5, "Very high", IF(AllData[[#This Row],[Phosphate (PPM)]]&gt;0.1, "High", IF(AllData[[#This Row],[Phosphate (PPM)]]&gt;0.05, "Some evidence", IF(AllData[[#This Row],[Phosphate (PPM)]]&lt;=0.05, "No Evidence", ""))))</f>
        <v>Some evidence</v>
      </c>
      <c r="U50" s="139">
        <v>1.1499999999999999</v>
      </c>
      <c r="V50" s="139"/>
    </row>
    <row r="51" spans="1:22" x14ac:dyDescent="0.35">
      <c r="A51" s="139" t="s">
        <v>3468</v>
      </c>
      <c r="B51" s="146">
        <v>45759</v>
      </c>
      <c r="C51" s="2" t="str" cm="1">
        <f t="array" ref="C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1">
        <f>YEAR(AllData[[#This Row],[Date]])</f>
        <v>2025</v>
      </c>
      <c r="E51" s="147">
        <v>0.39930555555555558</v>
      </c>
      <c r="F51" t="str">
        <f>IF(AND(AllData[[#This Row],[Time]]&lt;0.5, AllData[[#This Row],[Time]]&gt;0.17)=TRUE, "Morning", IF(AND(AllData[[#This Row],[Time]]&lt;0.75, AllData[[#This Row],[Time]]&gt;=0.5)=TRUE, "Afternoon", IF(AND(AllData[[#This Row],[Time]]&lt;1, AllData[[#This Row],[Time]]&gt;=0.75)=TRUE, "Evening", "Night")))</f>
        <v>Morning</v>
      </c>
      <c r="G51" t="str">
        <f>_xlfn.XLOOKUP(AllData[[#This Row],[Location Name]], Locations[Location Name],Locations[Group As])</f>
        <v>Lower Lode</v>
      </c>
      <c r="H51" t="e" vm="4">
        <f>_xlfn.XLOOKUP(AllData[[#This Row],[Site Name]],LocationsKey[Site Name],LocationsKey[District])</f>
        <v>#VALUE!</v>
      </c>
      <c r="I51" t="e" vm="4">
        <f>_xlfn.XLOOKUP(AllData[[#This Row],[Site Name]],LocationsKey[Site Name],LocationsKey[Town])</f>
        <v>#VALUE!</v>
      </c>
      <c r="J51" t="str">
        <f>_xlfn.XLOOKUP(AllData[[#This Row],[Site Name]],LocationsKey[Site Name], LocationsKey[Waterway])</f>
        <v>Avon</v>
      </c>
      <c r="K51" s="139" t="s">
        <v>595</v>
      </c>
      <c r="L51" s="139">
        <v>51.984361999999997</v>
      </c>
      <c r="M51" s="156">
        <v>-2.1773880000000001</v>
      </c>
      <c r="N51" s="139" t="s">
        <v>31</v>
      </c>
      <c r="O51" s="139">
        <v>10500</v>
      </c>
      <c r="P51" s="139">
        <v>14.2</v>
      </c>
      <c r="Q51" s="139">
        <v>10</v>
      </c>
      <c r="R51" s="107" t="str">
        <f>IF(AllData[[#This Row],[Nitrate (PPM)]]&gt;2, "Very high", IF(AllData[[#This Row],[Nitrate (PPM)]]&gt;1, "High", IF(AllData[[#This Row],[Nitrate (PPM)]]&gt;0.5, "Some evidence", IF(AllData[[#This Row],[Nitrate (PPM)]]&gt;=0, "No evidence"))))</f>
        <v>Very high</v>
      </c>
      <c r="S51" s="139">
        <v>0.09</v>
      </c>
      <c r="T51" s="7" t="str">
        <f>IF(AllData[[#This Row],[Phosphate (PPM)]]&gt;0.5, "Very high", IF(AllData[[#This Row],[Phosphate (PPM)]]&gt;0.1, "High", IF(AllData[[#This Row],[Phosphate (PPM)]]&gt;0.05, "Some evidence", IF(AllData[[#This Row],[Phosphate (PPM)]]&lt;=0.05, "No Evidence", ""))))</f>
        <v>Some evidence</v>
      </c>
      <c r="U51" s="139">
        <v>-2</v>
      </c>
      <c r="V51" s="139"/>
    </row>
    <row r="52" spans="1:22" x14ac:dyDescent="0.35">
      <c r="A52" s="139" t="s">
        <v>3469</v>
      </c>
      <c r="B52" s="146">
        <v>45759</v>
      </c>
      <c r="C52" s="2" t="str" cm="1">
        <f t="array" ref="C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2">
        <f>YEAR(AllData[[#This Row],[Date]])</f>
        <v>2025</v>
      </c>
      <c r="E52" s="147">
        <v>0.43888888888888888</v>
      </c>
      <c r="F52" t="str">
        <f>IF(AND(AllData[[#This Row],[Time]]&lt;0.5, AllData[[#This Row],[Time]]&gt;0.17)=TRUE, "Morning", IF(AND(AllData[[#This Row],[Time]]&lt;0.75, AllData[[#This Row],[Time]]&gt;=0.5)=TRUE, "Afternoon", IF(AND(AllData[[#This Row],[Time]]&lt;1, AllData[[#This Row],[Time]]&gt;=0.75)=TRUE, "Evening", "Night")))</f>
        <v>Morning</v>
      </c>
      <c r="G52" t="str">
        <f>_xlfn.XLOOKUP(AllData[[#This Row],[Location Name]], Locations[Location Name],Locations[Group As])</f>
        <v>Quay Lane Great Comberton</v>
      </c>
      <c r="H52" t="e" vm="6">
        <f>_xlfn.XLOOKUP(AllData[[#This Row],[Site Name]],LocationsKey[Site Name],LocationsKey[District])</f>
        <v>#VALUE!</v>
      </c>
      <c r="I52" t="e" vm="7">
        <f>_xlfn.XLOOKUP(AllData[[#This Row],[Site Name]],LocationsKey[Site Name],LocationsKey[Town])</f>
        <v>#VALUE!</v>
      </c>
      <c r="J52" t="str">
        <f>_xlfn.XLOOKUP(AllData[[#This Row],[Site Name]],LocationsKey[Site Name], LocationsKey[Waterway])</f>
        <v>Avon</v>
      </c>
      <c r="K52" s="139" t="s">
        <v>3233</v>
      </c>
      <c r="L52" s="139">
        <v>52.081598</v>
      </c>
      <c r="M52" s="156">
        <v>-2.0707550000000001</v>
      </c>
      <c r="N52" s="139" t="s">
        <v>25</v>
      </c>
      <c r="O52" s="139">
        <v>963</v>
      </c>
      <c r="P52" s="139">
        <v>13.7</v>
      </c>
      <c r="Q52" s="139">
        <v>10</v>
      </c>
      <c r="R52" s="107" t="str">
        <f>IF(AllData[[#This Row],[Nitrate (PPM)]]&gt;2, "Very high", IF(AllData[[#This Row],[Nitrate (PPM)]]&gt;1, "High", IF(AllData[[#This Row],[Nitrate (PPM)]]&gt;0.5, "Some evidence", IF(AllData[[#This Row],[Nitrate (PPM)]]&gt;=0, "No evidence"))))</f>
        <v>Very high</v>
      </c>
      <c r="S52" s="139">
        <v>0.05</v>
      </c>
      <c r="T52" s="7" t="str">
        <f>IF(AllData[[#This Row],[Phosphate (PPM)]]&gt;0.5, "Very high", IF(AllData[[#This Row],[Phosphate (PPM)]]&gt;0.1, "High", IF(AllData[[#This Row],[Phosphate (PPM)]]&gt;0.05, "Some evidence", IF(AllData[[#This Row],[Phosphate (PPM)]]&lt;=0.05, "No Evidence", ""))))</f>
        <v>No Evidence</v>
      </c>
      <c r="U52" s="139">
        <v>1.2</v>
      </c>
      <c r="V52" s="139" t="s">
        <v>3470</v>
      </c>
    </row>
    <row r="53" spans="1:22" x14ac:dyDescent="0.35">
      <c r="A53" s="139" t="s">
        <v>3471</v>
      </c>
      <c r="B53" s="146">
        <v>45759</v>
      </c>
      <c r="C53" s="2" t="str" cm="1">
        <f t="array" ref="C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3">
        <f>YEAR(AllData[[#This Row],[Date]])</f>
        <v>2025</v>
      </c>
      <c r="E53" s="147">
        <v>0.5</v>
      </c>
      <c r="F53" t="str">
        <f>IF(AND(AllData[[#This Row],[Time]]&lt;0.5, AllData[[#This Row],[Time]]&gt;0.17)=TRUE, "Morning", IF(AND(AllData[[#This Row],[Time]]&lt;0.75, AllData[[#This Row],[Time]]&gt;=0.5)=TRUE, "Afternoon", IF(AND(AllData[[#This Row],[Time]]&lt;1, AllData[[#This Row],[Time]]&gt;=0.75)=TRUE, "Evening", "Night")))</f>
        <v>Afternoon</v>
      </c>
      <c r="G53" t="str">
        <f>_xlfn.XLOOKUP(AllData[[#This Row],[Location Name]], Locations[Location Name],Locations[Group As])</f>
        <v>Carrant Bredon Rd</v>
      </c>
      <c r="H53" t="e" vm="4">
        <f>_xlfn.XLOOKUP(AllData[[#This Row],[Site Name]],LocationsKey[Site Name],LocationsKey[District])</f>
        <v>#VALUE!</v>
      </c>
      <c r="I53" t="e" vm="4">
        <f>_xlfn.XLOOKUP(AllData[[#This Row],[Site Name]],LocationsKey[Site Name],LocationsKey[Town])</f>
        <v>#VALUE!</v>
      </c>
      <c r="J53" t="str">
        <f>_xlfn.XLOOKUP(AllData[[#This Row],[Site Name]],LocationsKey[Site Name], LocationsKey[Waterway])</f>
        <v>Carrant</v>
      </c>
      <c r="K53" s="139" t="s">
        <v>603</v>
      </c>
      <c r="L53" s="139">
        <v>51.996144999999999</v>
      </c>
      <c r="M53" s="156">
        <v>-2.1562049999999999</v>
      </c>
      <c r="N53" s="139" t="s">
        <v>25</v>
      </c>
      <c r="O53" s="139">
        <v>733</v>
      </c>
      <c r="P53" s="139">
        <v>13.3</v>
      </c>
      <c r="Q53" s="139">
        <v>5</v>
      </c>
      <c r="R53" s="107" t="str">
        <f>IF(AllData[[#This Row],[Nitrate (PPM)]]&gt;2, "Very high", IF(AllData[[#This Row],[Nitrate (PPM)]]&gt;1, "High", IF(AllData[[#This Row],[Nitrate (PPM)]]&gt;0.5, "Some evidence", IF(AllData[[#This Row],[Nitrate (PPM)]]&gt;=0, "No evidence"))))</f>
        <v>Very high</v>
      </c>
      <c r="S53" s="139">
        <v>0.36</v>
      </c>
      <c r="T53" s="7" t="str">
        <f>IF(AllData[[#This Row],[Phosphate (PPM)]]&gt;0.5, "Very high", IF(AllData[[#This Row],[Phosphate (PPM)]]&gt;0.1, "High", IF(AllData[[#This Row],[Phosphate (PPM)]]&gt;0.05, "Some evidence", IF(AllData[[#This Row],[Phosphate (PPM)]]&lt;=0.05, "No Evidence", ""))))</f>
        <v>High</v>
      </c>
      <c r="U53" s="139">
        <v>0.05</v>
      </c>
      <c r="V53" s="139"/>
    </row>
    <row r="54" spans="1:22" x14ac:dyDescent="0.35">
      <c r="A54" s="139" t="s">
        <v>3472</v>
      </c>
      <c r="B54" s="146">
        <v>45759</v>
      </c>
      <c r="C54" s="2" t="str" cm="1">
        <f t="array" ref="C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4">
        <f>YEAR(AllData[[#This Row],[Date]])</f>
        <v>2025</v>
      </c>
      <c r="E54" s="147">
        <v>0.66666666666666663</v>
      </c>
      <c r="F54" t="str">
        <f>IF(AND(AllData[[#This Row],[Time]]&lt;0.5, AllData[[#This Row],[Time]]&gt;0.17)=TRUE, "Morning", IF(AND(AllData[[#This Row],[Time]]&lt;0.75, AllData[[#This Row],[Time]]&gt;=0.5)=TRUE, "Afternoon", IF(AND(AllData[[#This Row],[Time]]&lt;1, AllData[[#This Row],[Time]]&gt;=0.75)=TRUE, "Evening", "Night")))</f>
        <v>Afternoon</v>
      </c>
      <c r="G54" t="str">
        <f>_xlfn.XLOOKUP(AllData[[#This Row],[Location Name]], Locations[Location Name],Locations[Group As])</f>
        <v>Isbourne Winchcombe B</v>
      </c>
      <c r="H54" t="e" vm="4">
        <f>_xlfn.XLOOKUP(AllData[[#This Row],[Site Name]],LocationsKey[Site Name],LocationsKey[District])</f>
        <v>#VALUE!</v>
      </c>
      <c r="I54" t="e" vm="8">
        <f>_xlfn.XLOOKUP(AllData[[#This Row],[Site Name]],LocationsKey[Site Name],LocationsKey[Town])</f>
        <v>#VALUE!</v>
      </c>
      <c r="J54" t="str">
        <f>_xlfn.XLOOKUP(AllData[[#This Row],[Site Name]],LocationsKey[Site Name], LocationsKey[Waterway])</f>
        <v>Isbourne</v>
      </c>
      <c r="K54" s="139" t="s">
        <v>3438</v>
      </c>
      <c r="L54" s="139">
        <v>51.958674000000002</v>
      </c>
      <c r="M54" s="156">
        <v>-1.9701820000000001</v>
      </c>
      <c r="N54" s="139" t="s">
        <v>68</v>
      </c>
      <c r="O54" s="139">
        <v>504</v>
      </c>
      <c r="P54" s="139">
        <v>14.4</v>
      </c>
      <c r="Q54" s="139">
        <v>4</v>
      </c>
      <c r="R54" s="107" t="str">
        <f>IF(AllData[[#This Row],[Nitrate (PPM)]]&gt;2, "Very high", IF(AllData[[#This Row],[Nitrate (PPM)]]&gt;1, "High", IF(AllData[[#This Row],[Nitrate (PPM)]]&gt;0.5, "Some evidence", IF(AllData[[#This Row],[Nitrate (PPM)]]&gt;=0, "No evidence"))))</f>
        <v>Very high</v>
      </c>
      <c r="S54" s="139">
        <v>0</v>
      </c>
      <c r="T54" s="7" t="str">
        <f>IF(AllData[[#This Row],[Phosphate (PPM)]]&gt;0.5, "Very high", IF(AllData[[#This Row],[Phosphate (PPM)]]&gt;0.1, "High", IF(AllData[[#This Row],[Phosphate (PPM)]]&gt;0.05, "Some evidence", IF(AllData[[#This Row],[Phosphate (PPM)]]&lt;=0.05, "No Evidence", ""))))</f>
        <v>No Evidence</v>
      </c>
      <c r="U54" s="139">
        <v>1</v>
      </c>
      <c r="V54" s="139"/>
    </row>
    <row r="55" spans="1:22" x14ac:dyDescent="0.35">
      <c r="A55" s="139" t="s">
        <v>3465</v>
      </c>
      <c r="B55" s="146">
        <v>45758</v>
      </c>
      <c r="C55" s="2" t="str" cm="1">
        <f t="array" ref="C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5">
        <f>YEAR(AllData[[#This Row],[Date]])</f>
        <v>2025</v>
      </c>
      <c r="E55" s="147">
        <v>0.63194444444444442</v>
      </c>
      <c r="F55" t="str">
        <f>IF(AND(AllData[[#This Row],[Time]]&lt;0.5, AllData[[#This Row],[Time]]&gt;0.17)=TRUE, "Morning", IF(AND(AllData[[#This Row],[Time]]&lt;0.75, AllData[[#This Row],[Time]]&gt;=0.5)=TRUE, "Afternoon", IF(AND(AllData[[#This Row],[Time]]&lt;1, AllData[[#This Row],[Time]]&gt;=0.75)=TRUE, "Evening", "Night")))</f>
        <v>Afternoon</v>
      </c>
      <c r="G55" t="str">
        <f>_xlfn.XLOOKUP(AllData[[#This Row],[Location Name]], Locations[Location Name],Locations[Group As])</f>
        <v>Stour Shipston Mill Bridge</v>
      </c>
      <c r="H55" t="e" vm="1">
        <f>_xlfn.XLOOKUP(AllData[[#This Row],[Site Name]],LocationsKey[Site Name],LocationsKey[District])</f>
        <v>#VALUE!</v>
      </c>
      <c r="I55" t="e" vm="15">
        <f>_xlfn.XLOOKUP(AllData[[#This Row],[Site Name]],LocationsKey[Site Name],LocationsKey[Town])</f>
        <v>#VALUE!</v>
      </c>
      <c r="J55" t="str">
        <f>_xlfn.XLOOKUP(AllData[[#This Row],[Site Name]],LocationsKey[Site Name], LocationsKey[Waterway])</f>
        <v>Stour</v>
      </c>
      <c r="K55" s="139" t="s">
        <v>3356</v>
      </c>
      <c r="L55" s="139">
        <v>52.06232</v>
      </c>
      <c r="M55" s="156">
        <v>-1.6229769999999999</v>
      </c>
      <c r="N55" s="139" t="s">
        <v>3466</v>
      </c>
      <c r="O55" s="139">
        <v>6.3</v>
      </c>
      <c r="P55" s="139">
        <v>14.5</v>
      </c>
      <c r="Q55" s="139">
        <v>0.25</v>
      </c>
      <c r="R55" s="107" t="str">
        <f>IF(AllData[[#This Row],[Nitrate (PPM)]]&gt;2, "Very high", IF(AllData[[#This Row],[Nitrate (PPM)]]&gt;1, "High", IF(AllData[[#This Row],[Nitrate (PPM)]]&gt;0.5, "Some evidence", IF(AllData[[#This Row],[Nitrate (PPM)]]&gt;=0, "No evidence"))))</f>
        <v>No evidence</v>
      </c>
      <c r="S55" s="139">
        <v>0.24</v>
      </c>
      <c r="T55" s="7" t="str">
        <f>IF(AllData[[#This Row],[Phosphate (PPM)]]&gt;0.5, "Very high", IF(AllData[[#This Row],[Phosphate (PPM)]]&gt;0.1, "High", IF(AllData[[#This Row],[Phosphate (PPM)]]&gt;0.05, "Some evidence", IF(AllData[[#This Row],[Phosphate (PPM)]]&lt;=0.05, "No Evidence", ""))))</f>
        <v>High</v>
      </c>
      <c r="U55" s="139">
        <v>0.41</v>
      </c>
      <c r="V55" s="139" t="s">
        <v>2419</v>
      </c>
    </row>
    <row r="56" spans="1:22" x14ac:dyDescent="0.35">
      <c r="A56" s="139" t="s">
        <v>3467</v>
      </c>
      <c r="B56" s="146">
        <v>45758</v>
      </c>
      <c r="C56" s="2" t="str" cm="1">
        <f t="array" ref="C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6">
        <f>YEAR(AllData[[#This Row],[Date]])</f>
        <v>2025</v>
      </c>
      <c r="E56" s="147">
        <v>0.63194444444444442</v>
      </c>
      <c r="F56" t="str">
        <f>IF(AND(AllData[[#This Row],[Time]]&lt;0.5, AllData[[#This Row],[Time]]&gt;0.17)=TRUE, "Morning", IF(AND(AllData[[#This Row],[Time]]&lt;0.75, AllData[[#This Row],[Time]]&gt;=0.5)=TRUE, "Afternoon", IF(AND(AllData[[#This Row],[Time]]&lt;1, AllData[[#This Row],[Time]]&gt;=0.75)=TRUE, "Evening", "Night")))</f>
        <v>Afternoon</v>
      </c>
      <c r="G56" t="str">
        <f>_xlfn.XLOOKUP(AllData[[#This Row],[Location Name]], Locations[Location Name],Locations[Group As])</f>
        <v>Stour Shipston Mill Bridge</v>
      </c>
      <c r="H56" t="e" vm="1">
        <f>_xlfn.XLOOKUP(AllData[[#This Row],[Site Name]],LocationsKey[Site Name],LocationsKey[District])</f>
        <v>#VALUE!</v>
      </c>
      <c r="I56" t="e" vm="15">
        <f>_xlfn.XLOOKUP(AllData[[#This Row],[Site Name]],LocationsKey[Site Name],LocationsKey[Town])</f>
        <v>#VALUE!</v>
      </c>
      <c r="J56" t="str">
        <f>_xlfn.XLOOKUP(AllData[[#This Row],[Site Name]],LocationsKey[Site Name], LocationsKey[Waterway])</f>
        <v>Stour</v>
      </c>
      <c r="K56" s="139" t="s">
        <v>3356</v>
      </c>
      <c r="L56" s="139">
        <v>52.062328000000001</v>
      </c>
      <c r="M56" s="156">
        <v>-1.623129</v>
      </c>
      <c r="N56" s="139" t="s">
        <v>25</v>
      </c>
      <c r="O56" s="139">
        <v>6.3</v>
      </c>
      <c r="P56" s="139">
        <v>14.5</v>
      </c>
      <c r="Q56" s="139">
        <v>0.25</v>
      </c>
      <c r="R56" s="107" t="str">
        <f>IF(AllData[[#This Row],[Nitrate (PPM)]]&gt;2, "Very high", IF(AllData[[#This Row],[Nitrate (PPM)]]&gt;1, "High", IF(AllData[[#This Row],[Nitrate (PPM)]]&gt;0.5, "Some evidence", IF(AllData[[#This Row],[Nitrate (PPM)]]&gt;=0, "No evidence"))))</f>
        <v>No evidence</v>
      </c>
      <c r="S56" s="139">
        <v>0.24</v>
      </c>
      <c r="T56" s="7" t="str">
        <f>IF(AllData[[#This Row],[Phosphate (PPM)]]&gt;0.5, "Very high", IF(AllData[[#This Row],[Phosphate (PPM)]]&gt;0.1, "High", IF(AllData[[#This Row],[Phosphate (PPM)]]&gt;0.05, "Some evidence", IF(AllData[[#This Row],[Phosphate (PPM)]]&lt;=0.05, "No Evidence", ""))))</f>
        <v>High</v>
      </c>
      <c r="U56" s="139">
        <v>0.41</v>
      </c>
      <c r="V56" s="139" t="s">
        <v>2419</v>
      </c>
    </row>
    <row r="57" spans="1:22" x14ac:dyDescent="0.35">
      <c r="A57" s="139" t="s">
        <v>3462</v>
      </c>
      <c r="B57" s="146">
        <v>45757</v>
      </c>
      <c r="C57" s="2" t="str" cm="1">
        <f t="array" ref="C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7">
        <f>YEAR(AllData[[#This Row],[Date]])</f>
        <v>2025</v>
      </c>
      <c r="E57" s="147">
        <v>0.38541666666666669</v>
      </c>
      <c r="F57" t="str">
        <f>IF(AND(AllData[[#This Row],[Time]]&lt;0.5, AllData[[#This Row],[Time]]&gt;0.17)=TRUE, "Morning", IF(AND(AllData[[#This Row],[Time]]&lt;0.75, AllData[[#This Row],[Time]]&gt;=0.5)=TRUE, "Afternoon", IF(AND(AllData[[#This Row],[Time]]&lt;1, AllData[[#This Row],[Time]]&gt;=0.75)=TRUE, "Evening", "Night")))</f>
        <v>Morning</v>
      </c>
      <c r="G57" t="str">
        <f>_xlfn.XLOOKUP(AllData[[#This Row],[Location Name]], Locations[Location Name],Locations[Group As])</f>
        <v>Swilgate</v>
      </c>
      <c r="H57" t="e" vm="4">
        <f>_xlfn.XLOOKUP(AllData[[#This Row],[Site Name]],LocationsKey[Site Name],LocationsKey[District])</f>
        <v>#VALUE!</v>
      </c>
      <c r="I57" t="e" vm="4">
        <f>_xlfn.XLOOKUP(AllData[[#This Row],[Site Name]],LocationsKey[Site Name],LocationsKey[Town])</f>
        <v>#VALUE!</v>
      </c>
      <c r="J57" t="str">
        <f>_xlfn.XLOOKUP(AllData[[#This Row],[Site Name]],LocationsKey[Site Name], LocationsKey[Waterway])</f>
        <v>Swilgate</v>
      </c>
      <c r="K57" s="139" t="s">
        <v>85</v>
      </c>
      <c r="L57" s="139"/>
      <c r="M57" s="156"/>
      <c r="N57" s="139" t="s">
        <v>34</v>
      </c>
      <c r="O57" s="139">
        <v>114</v>
      </c>
      <c r="P57" s="139">
        <v>9.4</v>
      </c>
      <c r="Q57" s="139">
        <v>5</v>
      </c>
      <c r="R57" s="107" t="str">
        <f>IF(AllData[[#This Row],[Nitrate (PPM)]]&gt;2, "Very high", IF(AllData[[#This Row],[Nitrate (PPM)]]&gt;1, "High", IF(AllData[[#This Row],[Nitrate (PPM)]]&gt;0.5, "Some evidence", IF(AllData[[#This Row],[Nitrate (PPM)]]&gt;=0, "No evidence"))))</f>
        <v>Very high</v>
      </c>
      <c r="S57" s="139">
        <v>0.4</v>
      </c>
      <c r="T57" s="7" t="str">
        <f>IF(AllData[[#This Row],[Phosphate (PPM)]]&gt;0.5, "Very high", IF(AllData[[#This Row],[Phosphate (PPM)]]&gt;0.1, "High", IF(AllData[[#This Row],[Phosphate (PPM)]]&gt;0.05, "Some evidence", IF(AllData[[#This Row],[Phosphate (PPM)]]&lt;=0.05, "No Evidence", ""))))</f>
        <v>High</v>
      </c>
      <c r="U57" s="139">
        <v>0</v>
      </c>
      <c r="V57" s="139"/>
    </row>
    <row r="58" spans="1:22" x14ac:dyDescent="0.35">
      <c r="A58" s="140" t="s">
        <v>3463</v>
      </c>
      <c r="B58" s="146">
        <v>45757</v>
      </c>
      <c r="C58" s="2" t="str" cm="1">
        <f t="array" ref="C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8">
        <f>YEAR(AllData[[#This Row],[Date]])</f>
        <v>2025</v>
      </c>
      <c r="E58" s="147">
        <v>0.78125</v>
      </c>
      <c r="F58" t="str">
        <f>IF(AND(AllData[[#This Row],[Time]]&lt;0.5, AllData[[#This Row],[Time]]&gt;0.17)=TRUE, "Morning", IF(AND(AllData[[#This Row],[Time]]&lt;0.75, AllData[[#This Row],[Time]]&gt;=0.5)=TRUE, "Afternoon", IF(AND(AllData[[#This Row],[Time]]&lt;1, AllData[[#This Row],[Time]]&gt;=0.75)=TRUE, "Evening", "Night")))</f>
        <v>Evening</v>
      </c>
      <c r="G58" t="str">
        <f>_xlfn.XLOOKUP(AllData[[#This Row],[Location Name]], Locations[Location Name],Locations[Group As])</f>
        <v>Fladbury Paddle Club</v>
      </c>
      <c r="H58" t="e" vm="6">
        <f>_xlfn.XLOOKUP(AllData[[#This Row],[Site Name]],LocationsKey[Site Name],LocationsKey[District])</f>
        <v>#VALUE!</v>
      </c>
      <c r="I58" t="e" vm="16">
        <f>_xlfn.XLOOKUP(AllData[[#This Row],[Site Name]],LocationsKey[Site Name],LocationsKey[Town])</f>
        <v>#VALUE!</v>
      </c>
      <c r="J58" t="str">
        <f>_xlfn.XLOOKUP(AllData[[#This Row],[Site Name]],LocationsKey[Site Name], LocationsKey[Waterway])</f>
        <v>Avon</v>
      </c>
      <c r="K58" s="139" t="s">
        <v>478</v>
      </c>
      <c r="L58" s="139">
        <v>52.118206999999998</v>
      </c>
      <c r="M58" s="156">
        <v>-2.006351</v>
      </c>
      <c r="N58" s="139" t="s">
        <v>31</v>
      </c>
      <c r="O58" s="139">
        <v>966</v>
      </c>
      <c r="P58" s="139">
        <v>13.6</v>
      </c>
      <c r="Q58" s="139">
        <v>0</v>
      </c>
      <c r="R58" s="107" t="str">
        <f>IF(AllData[[#This Row],[Nitrate (PPM)]]&gt;2, "Very high", IF(AllData[[#This Row],[Nitrate (PPM)]]&gt;1, "High", IF(AllData[[#This Row],[Nitrate (PPM)]]&gt;0.5, "Some evidence", IF(AllData[[#This Row],[Nitrate (PPM)]]&gt;=0, "No evidence"))))</f>
        <v>No evidence</v>
      </c>
      <c r="S58" s="139">
        <v>0.15</v>
      </c>
      <c r="T58" s="7" t="str">
        <f>IF(AllData[[#This Row],[Phosphate (PPM)]]&gt;0.5, "Very high", IF(AllData[[#This Row],[Phosphate (PPM)]]&gt;0.1, "High", IF(AllData[[#This Row],[Phosphate (PPM)]]&gt;0.05, "Some evidence", IF(AllData[[#This Row],[Phosphate (PPM)]]&lt;=0.05, "No Evidence", ""))))</f>
        <v>High</v>
      </c>
      <c r="U58" s="139">
        <v>0</v>
      </c>
      <c r="V58" s="139" t="s">
        <v>3464</v>
      </c>
    </row>
    <row r="59" spans="1:22" x14ac:dyDescent="0.35">
      <c r="A59" s="139" t="s">
        <v>3460</v>
      </c>
      <c r="B59" s="146">
        <v>45756</v>
      </c>
      <c r="C59" s="2" t="str" cm="1">
        <f t="array" ref="C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59">
        <f>YEAR(AllData[[#This Row],[Date]])</f>
        <v>2025</v>
      </c>
      <c r="E59" s="147">
        <v>0.64583333333333337</v>
      </c>
      <c r="F59" t="str">
        <f>IF(AND(AllData[[#This Row],[Time]]&lt;0.5, AllData[[#This Row],[Time]]&gt;0.17)=TRUE, "Morning", IF(AND(AllData[[#This Row],[Time]]&lt;0.75, AllData[[#This Row],[Time]]&gt;=0.5)=TRUE, "Afternoon", IF(AND(AllData[[#This Row],[Time]]&lt;1, AllData[[#This Row],[Time]]&gt;=0.75)=TRUE, "Evening", "Night")))</f>
        <v>Afternoon</v>
      </c>
      <c r="G59" t="str">
        <f>_xlfn.XLOOKUP(AllData[[#This Row],[Location Name]], Locations[Location Name],Locations[Group As])</f>
        <v>SSC Bredons Norton</v>
      </c>
      <c r="H59" t="e" vm="6">
        <f>_xlfn.XLOOKUP(AllData[[#This Row],[Site Name]],LocationsKey[Site Name],LocationsKey[District])</f>
        <v>#VALUE!</v>
      </c>
      <c r="I59" t="str">
        <f>_xlfn.XLOOKUP(AllData[[#This Row],[Site Name]],LocationsKey[Site Name],LocationsKey[Town])</f>
        <v>Bredon's Norton</v>
      </c>
      <c r="J59" t="str">
        <f>_xlfn.XLOOKUP(AllData[[#This Row],[Site Name]],LocationsKey[Site Name], LocationsKey[Waterway])</f>
        <v>Avon</v>
      </c>
      <c r="K59" s="139" t="s">
        <v>2121</v>
      </c>
      <c r="L59" s="139">
        <v>52.050812999999998</v>
      </c>
      <c r="M59" s="156">
        <v>-2.1169389999999999</v>
      </c>
      <c r="N59" s="139" t="s">
        <v>25</v>
      </c>
      <c r="O59" s="139">
        <v>788</v>
      </c>
      <c r="P59" s="139">
        <v>13.4</v>
      </c>
      <c r="Q59" s="139">
        <v>10</v>
      </c>
      <c r="R59" s="107" t="str">
        <f>IF(AllData[[#This Row],[Nitrate (PPM)]]&gt;2, "Very high", IF(AllData[[#This Row],[Nitrate (PPM)]]&gt;1, "High", IF(AllData[[#This Row],[Nitrate (PPM)]]&gt;0.5, "Some evidence", IF(AllData[[#This Row],[Nitrate (PPM)]]&gt;=0, "No evidence"))))</f>
        <v>Very high</v>
      </c>
      <c r="S59" s="139">
        <v>0.14000000000000001</v>
      </c>
      <c r="T59" s="7" t="str">
        <f>IF(AllData[[#This Row],[Phosphate (PPM)]]&gt;0.5, "Very high", IF(AllData[[#This Row],[Phosphate (PPM)]]&gt;0.1, "High", IF(AllData[[#This Row],[Phosphate (PPM)]]&gt;0.05, "Some evidence", IF(AllData[[#This Row],[Phosphate (PPM)]]&lt;=0.05, "No Evidence", ""))))</f>
        <v>High</v>
      </c>
      <c r="U59" s="139">
        <v>0.8</v>
      </c>
      <c r="V59" s="139" t="s">
        <v>3461</v>
      </c>
    </row>
    <row r="60" spans="1:22" x14ac:dyDescent="0.35">
      <c r="A60" s="139" t="s">
        <v>3455</v>
      </c>
      <c r="B60" s="146">
        <v>45755</v>
      </c>
      <c r="C60" s="2" t="str" cm="1">
        <f t="array" ref="C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0">
        <f>YEAR(AllData[[#This Row],[Date]])</f>
        <v>2025</v>
      </c>
      <c r="E60" s="147">
        <v>0.41041666666666665</v>
      </c>
      <c r="F60" t="str">
        <f>IF(AND(AllData[[#This Row],[Time]]&lt;0.5, AllData[[#This Row],[Time]]&gt;0.17)=TRUE, "Morning", IF(AND(AllData[[#This Row],[Time]]&lt;0.75, AllData[[#This Row],[Time]]&gt;=0.5)=TRUE, "Afternoon", IF(AND(AllData[[#This Row],[Time]]&lt;1, AllData[[#This Row],[Time]]&gt;=0.75)=TRUE, "Evening", "Night")))</f>
        <v>Morning</v>
      </c>
      <c r="G60" t="str">
        <f>_xlfn.XLOOKUP(AllData[[#This Row],[Location Name]], Locations[Location Name],Locations[Group As])</f>
        <v>Twyning Fleet</v>
      </c>
      <c r="H60" t="e" vm="4">
        <f>_xlfn.XLOOKUP(AllData[[#This Row],[Site Name]],LocationsKey[Site Name],LocationsKey[District])</f>
        <v>#VALUE!</v>
      </c>
      <c r="I60" t="str">
        <f>_xlfn.XLOOKUP(AllData[[#This Row],[Site Name]],LocationsKey[Site Name],LocationsKey[Town])</f>
        <v>Twyning Green</v>
      </c>
      <c r="J60" t="str">
        <f>_xlfn.XLOOKUP(AllData[[#This Row],[Site Name]],LocationsKey[Site Name], LocationsKey[Waterway])</f>
        <v>Avon</v>
      </c>
      <c r="K60" s="139" t="s">
        <v>2181</v>
      </c>
      <c r="L60" s="139">
        <v>52.027411999999998</v>
      </c>
      <c r="M60" s="156">
        <v>-2.1408930000000002</v>
      </c>
      <c r="N60" s="139"/>
      <c r="O60" s="139">
        <v>960</v>
      </c>
      <c r="P60" s="139">
        <v>12.8</v>
      </c>
      <c r="Q60" s="139">
        <v>10</v>
      </c>
      <c r="R60" s="107" t="str">
        <f>IF(AllData[[#This Row],[Nitrate (PPM)]]&gt;2, "Very high", IF(AllData[[#This Row],[Nitrate (PPM)]]&gt;1, "High", IF(AllData[[#This Row],[Nitrate (PPM)]]&gt;0.5, "Some evidence", IF(AllData[[#This Row],[Nitrate (PPM)]]&gt;=0, "No evidence"))))</f>
        <v>Very high</v>
      </c>
      <c r="S60" s="139">
        <v>0.28000000000000003</v>
      </c>
      <c r="T60" s="7" t="str">
        <f>IF(AllData[[#This Row],[Phosphate (PPM)]]&gt;0.5, "Very high", IF(AllData[[#This Row],[Phosphate (PPM)]]&gt;0.1, "High", IF(AllData[[#This Row],[Phosphate (PPM)]]&gt;0.05, "Some evidence", IF(AllData[[#This Row],[Phosphate (PPM)]]&lt;=0.05, "No Evidence", ""))))</f>
        <v>High</v>
      </c>
      <c r="U60" s="139">
        <v>0</v>
      </c>
      <c r="V60" s="139"/>
    </row>
    <row r="61" spans="1:22" x14ac:dyDescent="0.35">
      <c r="A61" s="139" t="s">
        <v>3459</v>
      </c>
      <c r="B61" s="146">
        <v>45755</v>
      </c>
      <c r="C61" s="2" t="str" cm="1">
        <f t="array" ref="C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1">
        <f>YEAR(AllData[[#This Row],[Date]])</f>
        <v>2025</v>
      </c>
      <c r="E61" s="147">
        <v>0.67152777777777772</v>
      </c>
      <c r="F61" t="str">
        <f>IF(AND(AllData[[#This Row],[Time]]&lt;0.5, AllData[[#This Row],[Time]]&gt;0.17)=TRUE, "Morning", IF(AND(AllData[[#This Row],[Time]]&lt;0.75, AllData[[#This Row],[Time]]&gt;=0.5)=TRUE, "Afternoon", IF(AND(AllData[[#This Row],[Time]]&lt;1, AllData[[#This Row],[Time]]&gt;=0.75)=TRUE, "Evening", "Night")))</f>
        <v>Afternoon</v>
      </c>
      <c r="G61" t="str">
        <f>_xlfn.XLOOKUP(AllData[[#This Row],[Location Name]], Locations[Location Name],Locations[Group As])</f>
        <v>New Barn Farm Brailes</v>
      </c>
      <c r="H61" t="e" vm="1">
        <f>_xlfn.XLOOKUP(AllData[[#This Row],[Site Name]],LocationsKey[Site Name],LocationsKey[District])</f>
        <v>#VALUE!</v>
      </c>
      <c r="I61" t="e" vm="5">
        <f>_xlfn.XLOOKUP(AllData[[#This Row],[Site Name]],LocationsKey[Site Name],LocationsKey[Town])</f>
        <v>#VALUE!</v>
      </c>
      <c r="J61" t="str">
        <f>_xlfn.XLOOKUP(AllData[[#This Row],[Site Name]],LocationsKey[Site Name], LocationsKey[Waterway])</f>
        <v>Sutton Brook</v>
      </c>
      <c r="K61" s="139" t="s">
        <v>3060</v>
      </c>
      <c r="L61" s="139"/>
      <c r="M61" s="156"/>
      <c r="N61" s="139" t="s">
        <v>31</v>
      </c>
      <c r="O61" s="139">
        <v>596</v>
      </c>
      <c r="P61" s="139">
        <v>13.1</v>
      </c>
      <c r="Q61" s="139">
        <v>6.5</v>
      </c>
      <c r="R61" s="107" t="str">
        <f>IF(AllData[[#This Row],[Nitrate (PPM)]]&gt;2, "Very high", IF(AllData[[#This Row],[Nitrate (PPM)]]&gt;1, "High", IF(AllData[[#This Row],[Nitrate (PPM)]]&gt;0.5, "Some evidence", IF(AllData[[#This Row],[Nitrate (PPM)]]&gt;=0, "No evidence"))))</f>
        <v>Very high</v>
      </c>
      <c r="S61" s="139">
        <v>0.19</v>
      </c>
      <c r="T61" s="7" t="str">
        <f>IF(AllData[[#This Row],[Phosphate (PPM)]]&gt;0.5, "Very high", IF(AllData[[#This Row],[Phosphate (PPM)]]&gt;0.1, "High", IF(AllData[[#This Row],[Phosphate (PPM)]]&gt;0.05, "Some evidence", IF(AllData[[#This Row],[Phosphate (PPM)]]&lt;=0.05, "No Evidence", ""))))</f>
        <v>High</v>
      </c>
      <c r="U61" s="139">
        <v>0.6</v>
      </c>
      <c r="V61" s="139"/>
    </row>
    <row r="62" spans="1:22" x14ac:dyDescent="0.35">
      <c r="A62" s="139" t="s">
        <v>3458</v>
      </c>
      <c r="B62" s="146">
        <v>45755</v>
      </c>
      <c r="C62" s="2" t="str" cm="1">
        <f t="array" ref="C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2">
        <f>YEAR(AllData[[#This Row],[Date]])</f>
        <v>2025</v>
      </c>
      <c r="E62" s="147">
        <v>0.65208333333333335</v>
      </c>
      <c r="F62" t="str">
        <f>IF(AND(AllData[[#This Row],[Time]]&lt;0.5, AllData[[#This Row],[Time]]&gt;0.17)=TRUE, "Morning", IF(AND(AllData[[#This Row],[Time]]&lt;0.75, AllData[[#This Row],[Time]]&gt;=0.5)=TRUE, "Afternoon", IF(AND(AllData[[#This Row],[Time]]&lt;1, AllData[[#This Row],[Time]]&gt;=0.75)=TRUE, "Evening", "Night")))</f>
        <v>Afternoon</v>
      </c>
      <c r="G62" t="str">
        <f>_xlfn.XLOOKUP(AllData[[#This Row],[Location Name]], Locations[Location Name],Locations[Group As])</f>
        <v>High Street Brailes</v>
      </c>
      <c r="H62" t="e" vm="1">
        <f>_xlfn.XLOOKUP(AllData[[#This Row],[Site Name]],LocationsKey[Site Name],LocationsKey[District])</f>
        <v>#VALUE!</v>
      </c>
      <c r="I62" t="e" vm="5">
        <f>_xlfn.XLOOKUP(AllData[[#This Row],[Site Name]],LocationsKey[Site Name],LocationsKey[Town])</f>
        <v>#VALUE!</v>
      </c>
      <c r="J62" t="str">
        <f>_xlfn.XLOOKUP(AllData[[#This Row],[Site Name]],LocationsKey[Site Name], LocationsKey[Waterway])</f>
        <v>Sutton Brook</v>
      </c>
      <c r="K62" s="139" t="s">
        <v>3058</v>
      </c>
      <c r="L62" s="139">
        <v>52.050863</v>
      </c>
      <c r="M62" s="156">
        <v>-1.5460069999999999</v>
      </c>
      <c r="N62" s="139" t="s">
        <v>68</v>
      </c>
      <c r="O62" s="139">
        <v>564</v>
      </c>
      <c r="P62" s="139">
        <v>13.5</v>
      </c>
      <c r="Q62" s="139">
        <v>5</v>
      </c>
      <c r="R62" s="107" t="str">
        <f>IF(AllData[[#This Row],[Nitrate (PPM)]]&gt;2, "Very high", IF(AllData[[#This Row],[Nitrate (PPM)]]&gt;1, "High", IF(AllData[[#This Row],[Nitrate (PPM)]]&gt;0.5, "Some evidence", IF(AllData[[#This Row],[Nitrate (PPM)]]&gt;=0, "No evidence"))))</f>
        <v>Very high</v>
      </c>
      <c r="S62" s="139">
        <v>0.31</v>
      </c>
      <c r="T62" s="7" t="str">
        <f>IF(AllData[[#This Row],[Phosphate (PPM)]]&gt;0.5, "Very high", IF(AllData[[#This Row],[Phosphate (PPM)]]&gt;0.1, "High", IF(AllData[[#This Row],[Phosphate (PPM)]]&gt;0.05, "Some evidence", IF(AllData[[#This Row],[Phosphate (PPM)]]&lt;=0.05, "No Evidence", ""))))</f>
        <v>High</v>
      </c>
      <c r="U62" s="139">
        <v>0.6</v>
      </c>
      <c r="V62" s="139"/>
    </row>
    <row r="63" spans="1:22" x14ac:dyDescent="0.35">
      <c r="A63" s="139" t="s">
        <v>3456</v>
      </c>
      <c r="B63" s="146">
        <v>45755</v>
      </c>
      <c r="C63" s="2" t="str" cm="1">
        <f t="array" ref="C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3">
        <f>YEAR(AllData[[#This Row],[Date]])</f>
        <v>2025</v>
      </c>
      <c r="E63" s="147">
        <v>0.5541666666666667</v>
      </c>
      <c r="F63" t="str">
        <f>IF(AND(AllData[[#This Row],[Time]]&lt;0.5, AllData[[#This Row],[Time]]&gt;0.17)=TRUE, "Morning", IF(AND(AllData[[#This Row],[Time]]&lt;0.75, AllData[[#This Row],[Time]]&gt;=0.5)=TRUE, "Afternoon", IF(AND(AllData[[#This Row],[Time]]&lt;1, AllData[[#This Row],[Time]]&gt;=0.75)=TRUE, "Evening", "Night")))</f>
        <v>Afternoon</v>
      </c>
      <c r="G63" t="str">
        <f>_xlfn.XLOOKUP(AllData[[#This Row],[Location Name]], Locations[Location Name],Locations[Group As])</f>
        <v>Walcot Lane, Bow Brook Ford</v>
      </c>
      <c r="H63" t="e" vm="6">
        <f>_xlfn.XLOOKUP(AllData[[#This Row],[Site Name]],LocationsKey[Site Name],LocationsKey[District])</f>
        <v>#VALUE!</v>
      </c>
      <c r="I63" t="e" vm="7">
        <f>_xlfn.XLOOKUP(AllData[[#This Row],[Site Name]],LocationsKey[Site Name],LocationsKey[Town])</f>
        <v>#VALUE!</v>
      </c>
      <c r="J63" t="str">
        <f>_xlfn.XLOOKUP(AllData[[#This Row],[Site Name]],LocationsKey[Site Name], LocationsKey[Waterway])</f>
        <v>Bow Brook</v>
      </c>
      <c r="K63" s="139" t="s">
        <v>775</v>
      </c>
      <c r="L63" s="139">
        <v>52.130437000000001</v>
      </c>
      <c r="M63" s="156">
        <v>-2.0786750000000001</v>
      </c>
      <c r="N63" s="139" t="s">
        <v>798</v>
      </c>
      <c r="O63" s="139">
        <v>1230</v>
      </c>
      <c r="P63" s="139">
        <v>13.2</v>
      </c>
      <c r="Q63" s="139">
        <v>2</v>
      </c>
      <c r="R63" s="107" t="str">
        <f>IF(AllData[[#This Row],[Nitrate (PPM)]]&gt;2, "Very high", IF(AllData[[#This Row],[Nitrate (PPM)]]&gt;1, "High", IF(AllData[[#This Row],[Nitrate (PPM)]]&gt;0.5, "Some evidence", IF(AllData[[#This Row],[Nitrate (PPM)]]&gt;=0, "No evidence"))))</f>
        <v>High</v>
      </c>
      <c r="S63" s="139">
        <v>0.3</v>
      </c>
      <c r="T63" s="7" t="str">
        <f>IF(AllData[[#This Row],[Phosphate (PPM)]]&gt;0.5, "Very high", IF(AllData[[#This Row],[Phosphate (PPM)]]&gt;0.1, "High", IF(AllData[[#This Row],[Phosphate (PPM)]]&gt;0.05, "Some evidence", IF(AllData[[#This Row],[Phosphate (PPM)]]&lt;=0.05, "No Evidence", ""))))</f>
        <v>High</v>
      </c>
      <c r="U63" s="139">
        <v>0.2</v>
      </c>
      <c r="V63" s="139" t="s">
        <v>3457</v>
      </c>
    </row>
    <row r="64" spans="1:22" x14ac:dyDescent="0.35">
      <c r="A64" s="139" t="s">
        <v>3451</v>
      </c>
      <c r="B64" s="146">
        <v>45754</v>
      </c>
      <c r="C64" s="2" t="str" cm="1">
        <f t="array" ref="C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4">
        <f>YEAR(AllData[[#This Row],[Date]])</f>
        <v>2025</v>
      </c>
      <c r="E64" s="147">
        <v>0.47916666666666669</v>
      </c>
      <c r="F64" t="str">
        <f>IF(AND(AllData[[#This Row],[Time]]&lt;0.5, AllData[[#This Row],[Time]]&gt;0.17)=TRUE, "Morning", IF(AND(AllData[[#This Row],[Time]]&lt;0.75, AllData[[#This Row],[Time]]&gt;=0.5)=TRUE, "Afternoon", IF(AND(AllData[[#This Row],[Time]]&lt;1, AllData[[#This Row],[Time]]&gt;=0.75)=TRUE, "Evening", "Night")))</f>
        <v>Morning</v>
      </c>
      <c r="G64" t="str">
        <f>_xlfn.XLOOKUP(AllData[[#This Row],[Location Name]], Locations[Location Name],Locations[Group As])</f>
        <v>Swiffen Bank</v>
      </c>
      <c r="H64" t="e" vm="1">
        <f>_xlfn.XLOOKUP(AllData[[#This Row],[Site Name]],LocationsKey[Site Name],LocationsKey[District])</f>
        <v>#VALUE!</v>
      </c>
      <c r="I64" t="e" vm="2">
        <f>_xlfn.XLOOKUP(AllData[[#This Row],[Site Name]],LocationsKey[Site Name],LocationsKey[Town])</f>
        <v>#VALUE!</v>
      </c>
      <c r="J64" t="str">
        <f>_xlfn.XLOOKUP(AllData[[#This Row],[Site Name]],LocationsKey[Site Name], LocationsKey[Waterway])</f>
        <v>Avon</v>
      </c>
      <c r="K64" s="139" t="s">
        <v>1448</v>
      </c>
      <c r="L64" s="139">
        <v>52.206477999999997</v>
      </c>
      <c r="M64" s="156">
        <v>-1.653894</v>
      </c>
      <c r="N64" s="139" t="s">
        <v>31</v>
      </c>
      <c r="O64" s="139">
        <v>914</v>
      </c>
      <c r="P64" s="139">
        <v>11.4</v>
      </c>
      <c r="Q64" s="139">
        <v>10</v>
      </c>
      <c r="R64" s="107" t="str">
        <f>IF(AllData[[#This Row],[Nitrate (PPM)]]&gt;2, "Very high", IF(AllData[[#This Row],[Nitrate (PPM)]]&gt;1, "High", IF(AllData[[#This Row],[Nitrate (PPM)]]&gt;0.5, "Some evidence", IF(AllData[[#This Row],[Nitrate (PPM)]]&gt;=0, "No evidence"))))</f>
        <v>Very high</v>
      </c>
      <c r="S64" s="139">
        <v>0.25</v>
      </c>
      <c r="T64" s="7" t="str">
        <f>IF(AllData[[#This Row],[Phosphate (PPM)]]&gt;0.5, "Very high", IF(AllData[[#This Row],[Phosphate (PPM)]]&gt;0.1, "High", IF(AllData[[#This Row],[Phosphate (PPM)]]&gt;0.05, "Some evidence", IF(AllData[[#This Row],[Phosphate (PPM)]]&lt;=0.05, "No Evidence", ""))))</f>
        <v>High</v>
      </c>
      <c r="U64" s="139">
        <v>-1</v>
      </c>
      <c r="V64" s="139" t="s">
        <v>3452</v>
      </c>
    </row>
    <row r="65" spans="1:22" x14ac:dyDescent="0.35">
      <c r="A65" s="139" t="s">
        <v>3449</v>
      </c>
      <c r="B65" s="146">
        <v>45754</v>
      </c>
      <c r="C65" s="2" t="str" cm="1">
        <f t="array" ref="C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5">
        <f>YEAR(AllData[[#This Row],[Date]])</f>
        <v>2025</v>
      </c>
      <c r="E65" s="147">
        <v>0.4597222222222222</v>
      </c>
      <c r="F65" t="str">
        <f>IF(AND(AllData[[#This Row],[Time]]&lt;0.5, AllData[[#This Row],[Time]]&gt;0.17)=TRUE, "Morning", IF(AND(AllData[[#This Row],[Time]]&lt;0.75, AllData[[#This Row],[Time]]&gt;=0.5)=TRUE, "Afternoon", IF(AND(AllData[[#This Row],[Time]]&lt;1, AllData[[#This Row],[Time]]&gt;=0.75)=TRUE, "Evening", "Night")))</f>
        <v>Morning</v>
      </c>
      <c r="G65" t="str">
        <f>_xlfn.XLOOKUP(AllData[[#This Row],[Location Name]], Locations[Location Name],Locations[Group As])</f>
        <v>Alveston Weir</v>
      </c>
      <c r="H65" t="e" vm="1">
        <f>_xlfn.XLOOKUP(AllData[[#This Row],[Site Name]],LocationsKey[Site Name],LocationsKey[District])</f>
        <v>#VALUE!</v>
      </c>
      <c r="I65" t="e" vm="2">
        <f>_xlfn.XLOOKUP(AllData[[#This Row],[Site Name]],LocationsKey[Site Name],LocationsKey[Town])</f>
        <v>#VALUE!</v>
      </c>
      <c r="J65" t="str">
        <f>_xlfn.XLOOKUP(AllData[[#This Row],[Site Name]],LocationsKey[Site Name], LocationsKey[Waterway])</f>
        <v>Avon</v>
      </c>
      <c r="K65" s="139" t="s">
        <v>642</v>
      </c>
      <c r="L65" s="139">
        <v>52.212288999999998</v>
      </c>
      <c r="M65" s="156">
        <v>-1.660452</v>
      </c>
      <c r="N65" s="139" t="s">
        <v>31</v>
      </c>
      <c r="O65" s="139">
        <v>751</v>
      </c>
      <c r="P65" s="139">
        <v>13.2</v>
      </c>
      <c r="Q65" s="139">
        <v>10</v>
      </c>
      <c r="R65" s="107" t="str">
        <f>IF(AllData[[#This Row],[Nitrate (PPM)]]&gt;2, "Very high", IF(AllData[[#This Row],[Nitrate (PPM)]]&gt;1, "High", IF(AllData[[#This Row],[Nitrate (PPM)]]&gt;0.5, "Some evidence", IF(AllData[[#This Row],[Nitrate (PPM)]]&gt;=0, "No evidence"))))</f>
        <v>Very high</v>
      </c>
      <c r="S65" s="139">
        <v>0.22</v>
      </c>
      <c r="T65" s="7" t="str">
        <f>IF(AllData[[#This Row],[Phosphate (PPM)]]&gt;0.5, "Very high", IF(AllData[[#This Row],[Phosphate (PPM)]]&gt;0.1, "High", IF(AllData[[#This Row],[Phosphate (PPM)]]&gt;0.05, "Some evidence", IF(AllData[[#This Row],[Phosphate (PPM)]]&lt;=0.05, "No Evidence", ""))))</f>
        <v>High</v>
      </c>
      <c r="U65" s="139">
        <v>-1</v>
      </c>
      <c r="V65" s="139" t="s">
        <v>3450</v>
      </c>
    </row>
    <row r="66" spans="1:22" x14ac:dyDescent="0.35">
      <c r="A66" s="139" t="s">
        <v>3448</v>
      </c>
      <c r="B66" s="146">
        <v>45754</v>
      </c>
      <c r="C66" s="2" t="str" cm="1">
        <f t="array" ref="C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6">
        <f>YEAR(AllData[[#This Row],[Date]])</f>
        <v>2025</v>
      </c>
      <c r="E66" s="147">
        <v>0.43055555555555558</v>
      </c>
      <c r="F66" t="str">
        <f>IF(AND(AllData[[#This Row],[Time]]&lt;0.5, AllData[[#This Row],[Time]]&gt;0.17)=TRUE, "Morning", IF(AND(AllData[[#This Row],[Time]]&lt;0.75, AllData[[#This Row],[Time]]&gt;=0.5)=TRUE, "Afternoon", IF(AND(AllData[[#This Row],[Time]]&lt;1, AllData[[#This Row],[Time]]&gt;=0.75)=TRUE, "Evening", "Night")))</f>
        <v>Morning</v>
      </c>
      <c r="G66" t="str">
        <f>_xlfn.XLOOKUP(AllData[[#This Row],[Location Name]], Locations[Location Name],Locations[Group As])</f>
        <v>Chipping Campden Craves</v>
      </c>
      <c r="H66" t="e" vm="9">
        <f>_xlfn.XLOOKUP(AllData[[#This Row],[Site Name]],LocationsKey[Site Name],LocationsKey[District])</f>
        <v>#VALUE!</v>
      </c>
      <c r="I66" t="e" vm="10">
        <f>_xlfn.XLOOKUP(AllData[[#This Row],[Site Name]],LocationsKey[Site Name],LocationsKey[Town])</f>
        <v>#VALUE!</v>
      </c>
      <c r="J66" t="str">
        <f>_xlfn.XLOOKUP(AllData[[#This Row],[Site Name]],LocationsKey[Site Name], LocationsKey[Waterway])</f>
        <v>Cam Brook</v>
      </c>
      <c r="K66" s="139" t="s">
        <v>2458</v>
      </c>
      <c r="L66" s="139">
        <v>52.048754000000002</v>
      </c>
      <c r="M66" s="156">
        <v>-1.7863899999999999</v>
      </c>
      <c r="N66" s="139" t="s">
        <v>68</v>
      </c>
      <c r="O66" s="139">
        <v>486</v>
      </c>
      <c r="P66" s="139">
        <v>11.6</v>
      </c>
      <c r="Q66" s="139">
        <v>5</v>
      </c>
      <c r="R66" s="107" t="str">
        <f>IF(AllData[[#This Row],[Nitrate (PPM)]]&gt;2, "Very high", IF(AllData[[#This Row],[Nitrate (PPM)]]&gt;1, "High", IF(AllData[[#This Row],[Nitrate (PPM)]]&gt;0.5, "Some evidence", IF(AllData[[#This Row],[Nitrate (PPM)]]&gt;=0, "No evidence"))))</f>
        <v>Very high</v>
      </c>
      <c r="S66" s="139">
        <v>0.1</v>
      </c>
      <c r="T66" s="7" t="str">
        <f>IF(AllData[[#This Row],[Phosphate (PPM)]]&gt;0.5, "Very high", IF(AllData[[#This Row],[Phosphate (PPM)]]&gt;0.1, "High", IF(AllData[[#This Row],[Phosphate (PPM)]]&gt;0.05, "Some evidence", IF(AllData[[#This Row],[Phosphate (PPM)]]&lt;=0.05, "No Evidence", ""))))</f>
        <v>Some evidence</v>
      </c>
      <c r="U66" s="139">
        <v>15</v>
      </c>
      <c r="V66" s="139"/>
    </row>
    <row r="67" spans="1:22" x14ac:dyDescent="0.35">
      <c r="A67" s="139" t="s">
        <v>3447</v>
      </c>
      <c r="B67" s="146">
        <v>45754</v>
      </c>
      <c r="C67" s="2" t="str" cm="1">
        <f t="array" ref="C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7">
        <f>YEAR(AllData[[#This Row],[Date]])</f>
        <v>2025</v>
      </c>
      <c r="E67" s="147">
        <v>0.40625</v>
      </c>
      <c r="F67" t="str">
        <f>IF(AND(AllData[[#This Row],[Time]]&lt;0.5, AllData[[#This Row],[Time]]&gt;0.17)=TRUE, "Morning", IF(AND(AllData[[#This Row],[Time]]&lt;0.75, AllData[[#This Row],[Time]]&gt;=0.5)=TRUE, "Afternoon", IF(AND(AllData[[#This Row],[Time]]&lt;1, AllData[[#This Row],[Time]]&gt;=0.75)=TRUE, "Evening", "Night")))</f>
        <v>Morning</v>
      </c>
      <c r="G67" t="str">
        <f>_xlfn.XLOOKUP(AllData[[#This Row],[Location Name]], Locations[Location Name],Locations[Group As])</f>
        <v>Chipping Campden Sewage Works</v>
      </c>
      <c r="H67" t="e" vm="9">
        <f>_xlfn.XLOOKUP(AllData[[#This Row],[Site Name]],LocationsKey[Site Name],LocationsKey[District])</f>
        <v>#VALUE!</v>
      </c>
      <c r="I67" t="e" vm="10">
        <f>_xlfn.XLOOKUP(AllData[[#This Row],[Site Name]],LocationsKey[Site Name],LocationsKey[Town])</f>
        <v>#VALUE!</v>
      </c>
      <c r="J67" t="str">
        <f>_xlfn.XLOOKUP(AllData[[#This Row],[Site Name]],LocationsKey[Site Name], LocationsKey[Waterway])</f>
        <v>Cam Brook</v>
      </c>
      <c r="K67" s="139" t="s">
        <v>1570</v>
      </c>
      <c r="L67" s="139"/>
      <c r="M67" s="156"/>
      <c r="N67" s="139" t="s">
        <v>31</v>
      </c>
      <c r="O67" s="139">
        <v>665</v>
      </c>
      <c r="P67" s="139">
        <v>11.3</v>
      </c>
      <c r="Q67" s="139">
        <v>2</v>
      </c>
      <c r="R67" s="107" t="str">
        <f>IF(AllData[[#This Row],[Nitrate (PPM)]]&gt;2, "Very high", IF(AllData[[#This Row],[Nitrate (PPM)]]&gt;1, "High", IF(AllData[[#This Row],[Nitrate (PPM)]]&gt;0.5, "Some evidence", IF(AllData[[#This Row],[Nitrate (PPM)]]&gt;=0, "No evidence"))))</f>
        <v>High</v>
      </c>
      <c r="S67" s="139">
        <v>0.19</v>
      </c>
      <c r="T67" s="7" t="str">
        <f>IF(AllData[[#This Row],[Phosphate (PPM)]]&gt;0.5, "Very high", IF(AllData[[#This Row],[Phosphate (PPM)]]&gt;0.1, "High", IF(AllData[[#This Row],[Phosphate (PPM)]]&gt;0.05, "Some evidence", IF(AllData[[#This Row],[Phosphate (PPM)]]&lt;=0.05, "No Evidence", ""))))</f>
        <v>High</v>
      </c>
      <c r="U67" s="139">
        <v>0.38</v>
      </c>
      <c r="V67" s="139"/>
    </row>
    <row r="68" spans="1:22" x14ac:dyDescent="0.35">
      <c r="A68" s="139" t="s">
        <v>3446</v>
      </c>
      <c r="B68" s="146">
        <v>45754</v>
      </c>
      <c r="C68" s="2" t="str" cm="1">
        <f t="array" ref="C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8">
        <f>YEAR(AllData[[#This Row],[Date]])</f>
        <v>2025</v>
      </c>
      <c r="E68" s="147">
        <v>0.2638888888888889</v>
      </c>
      <c r="F68" t="str">
        <f>IF(AND(AllData[[#This Row],[Time]]&lt;0.5, AllData[[#This Row],[Time]]&gt;0.17)=TRUE, "Morning", IF(AND(AllData[[#This Row],[Time]]&lt;0.75, AllData[[#This Row],[Time]]&gt;=0.5)=TRUE, "Afternoon", IF(AND(AllData[[#This Row],[Time]]&lt;1, AllData[[#This Row],[Time]]&gt;=0.75)=TRUE, "Evening", "Night")))</f>
        <v>Morning</v>
      </c>
      <c r="G68" t="str">
        <f>_xlfn.XLOOKUP(AllData[[#This Row],[Location Name]], Locations[Location Name],Locations[Group As])</f>
        <v>Chipping Campden Lady J Gateway</v>
      </c>
      <c r="H68" t="e" vm="9">
        <f>_xlfn.XLOOKUP(AllData[[#This Row],[Site Name]],LocationsKey[Site Name],LocationsKey[District])</f>
        <v>#VALUE!</v>
      </c>
      <c r="I68" t="e" vm="10">
        <f>_xlfn.XLOOKUP(AllData[[#This Row],[Site Name]],LocationsKey[Site Name],LocationsKey[Town])</f>
        <v>#VALUE!</v>
      </c>
      <c r="J68" t="str">
        <f>_xlfn.XLOOKUP(AllData[[#This Row],[Site Name]],LocationsKey[Site Name], LocationsKey[Waterway])</f>
        <v>Cam Brook</v>
      </c>
      <c r="K68" s="139" t="s">
        <v>1573</v>
      </c>
      <c r="L68" s="139"/>
      <c r="M68" s="156"/>
      <c r="N68" s="139" t="s">
        <v>68</v>
      </c>
      <c r="O68" s="139">
        <v>529</v>
      </c>
      <c r="P68" s="139">
        <v>8</v>
      </c>
      <c r="Q68" s="139">
        <v>2</v>
      </c>
      <c r="R68" s="107" t="str">
        <f>IF(AllData[[#This Row],[Nitrate (PPM)]]&gt;2, "Very high", IF(AllData[[#This Row],[Nitrate (PPM)]]&gt;1, "High", IF(AllData[[#This Row],[Nitrate (PPM)]]&gt;0.5, "Some evidence", IF(AllData[[#This Row],[Nitrate (PPM)]]&gt;=0, "No evidence"))))</f>
        <v>High</v>
      </c>
      <c r="S68" s="139">
        <v>0.06</v>
      </c>
      <c r="T68" s="7" t="str">
        <f>IF(AllData[[#This Row],[Phosphate (PPM)]]&gt;0.5, "Very high", IF(AllData[[#This Row],[Phosphate (PPM)]]&gt;0.1, "High", IF(AllData[[#This Row],[Phosphate (PPM)]]&gt;0.05, "Some evidence", IF(AllData[[#This Row],[Phosphate (PPM)]]&lt;=0.05, "No Evidence", ""))))</f>
        <v>Some evidence</v>
      </c>
      <c r="U68" s="139">
        <v>0.09</v>
      </c>
      <c r="V68" s="139"/>
    </row>
    <row r="69" spans="1:22" x14ac:dyDescent="0.35">
      <c r="A69" s="139" t="s">
        <v>3453</v>
      </c>
      <c r="B69" s="146">
        <v>45754</v>
      </c>
      <c r="C69" s="2" t="str" cm="1">
        <f t="array" ref="C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69">
        <f>YEAR(AllData[[#This Row],[Date]])</f>
        <v>2025</v>
      </c>
      <c r="E69" s="147">
        <v>0.60486111111111107</v>
      </c>
      <c r="F69" t="str">
        <f>IF(AND(AllData[[#This Row],[Time]]&lt;0.5, AllData[[#This Row],[Time]]&gt;0.17)=TRUE, "Morning", IF(AND(AllData[[#This Row],[Time]]&lt;0.75, AllData[[#This Row],[Time]]&gt;=0.5)=TRUE, "Afternoon", IF(AND(AllData[[#This Row],[Time]]&lt;1, AllData[[#This Row],[Time]]&gt;=0.75)=TRUE, "Evening", "Night")))</f>
        <v>Afternoon</v>
      </c>
      <c r="G69" t="str">
        <f>_xlfn.XLOOKUP(AllData[[#This Row],[Location Name]], Locations[Location Name],Locations[Group As])</f>
        <v>Abbey Mill</v>
      </c>
      <c r="H69" t="e" vm="4">
        <f>_xlfn.XLOOKUP(AllData[[#This Row],[Site Name]],LocationsKey[Site Name],LocationsKey[District])</f>
        <v>#VALUE!</v>
      </c>
      <c r="I69" t="e" vm="4">
        <f>_xlfn.XLOOKUP(AllData[[#This Row],[Site Name]],LocationsKey[Site Name],LocationsKey[Town])</f>
        <v>#VALUE!</v>
      </c>
      <c r="J69" t="str">
        <f>_xlfn.XLOOKUP(AllData[[#This Row],[Site Name]],LocationsKey[Site Name], LocationsKey[Waterway])</f>
        <v>Avon</v>
      </c>
      <c r="K69" s="139" t="s">
        <v>27</v>
      </c>
      <c r="L69" s="139">
        <v>51.991298</v>
      </c>
      <c r="M69" s="156">
        <v>-2.162712</v>
      </c>
      <c r="N69" s="139" t="s">
        <v>2855</v>
      </c>
      <c r="O69" s="139">
        <v>966</v>
      </c>
      <c r="P69" s="139">
        <v>15</v>
      </c>
      <c r="Q69" s="139">
        <v>0</v>
      </c>
      <c r="R69" s="107" t="str">
        <f>IF(AllData[[#This Row],[Nitrate (PPM)]]&gt;2, "Very high", IF(AllData[[#This Row],[Nitrate (PPM)]]&gt;1, "High", IF(AllData[[#This Row],[Nitrate (PPM)]]&gt;0.5, "Some evidence", IF(AllData[[#This Row],[Nitrate (PPM)]]&gt;=0, "No evidence"))))</f>
        <v>No evidence</v>
      </c>
      <c r="S69" s="139">
        <v>0.47</v>
      </c>
      <c r="T69" s="7" t="str">
        <f>IF(AllData[[#This Row],[Phosphate (PPM)]]&gt;0.5, "Very high", IF(AllData[[#This Row],[Phosphate (PPM)]]&gt;0.1, "High", IF(AllData[[#This Row],[Phosphate (PPM)]]&gt;0.05, "Some evidence", IF(AllData[[#This Row],[Phosphate (PPM)]]&lt;=0.05, "No Evidence", ""))))</f>
        <v>High</v>
      </c>
      <c r="U69" s="139">
        <v>0.5</v>
      </c>
      <c r="V69" s="139" t="s">
        <v>3454</v>
      </c>
    </row>
    <row r="70" spans="1:22" x14ac:dyDescent="0.35">
      <c r="A70" s="139" t="s">
        <v>3417</v>
      </c>
      <c r="B70" s="146">
        <v>45753</v>
      </c>
      <c r="C70" s="2" t="str" cm="1">
        <f t="array" ref="C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0">
        <f>YEAR(AllData[[#This Row],[Date]])</f>
        <v>2025</v>
      </c>
      <c r="E70" s="147">
        <v>0.29652777777777778</v>
      </c>
      <c r="F70" t="str">
        <f>IF(AND(AllData[[#This Row],[Time]]&lt;0.5, AllData[[#This Row],[Time]]&gt;0.17)=TRUE, "Morning", IF(AND(AllData[[#This Row],[Time]]&lt;0.75, AllData[[#This Row],[Time]]&gt;=0.5)=TRUE, "Afternoon", IF(AND(AllData[[#This Row],[Time]]&lt;1, AllData[[#This Row],[Time]]&gt;=0.75)=TRUE, "Evening", "Night")))</f>
        <v>Morning</v>
      </c>
      <c r="G70" t="str">
        <f>_xlfn.XLOOKUP(AllData[[#This Row],[Location Name]], Locations[Location Name],Locations[Group As])</f>
        <v>Lower Lode</v>
      </c>
      <c r="H70" t="e" vm="4">
        <f>_xlfn.XLOOKUP(AllData[[#This Row],[Site Name]],LocationsKey[Site Name],LocationsKey[District])</f>
        <v>#VALUE!</v>
      </c>
      <c r="I70" t="e" vm="4">
        <f>_xlfn.XLOOKUP(AllData[[#This Row],[Site Name]],LocationsKey[Site Name],LocationsKey[Town])</f>
        <v>#VALUE!</v>
      </c>
      <c r="J70" t="str">
        <f>_xlfn.XLOOKUP(AllData[[#This Row],[Site Name]],LocationsKey[Site Name], LocationsKey[Waterway])</f>
        <v>Avon</v>
      </c>
      <c r="K70" s="139" t="s">
        <v>595</v>
      </c>
      <c r="L70" s="139">
        <v>51.985030999999999</v>
      </c>
      <c r="M70" s="156">
        <v>-2.174445</v>
      </c>
      <c r="N70" s="139" t="s">
        <v>31</v>
      </c>
      <c r="O70" s="139">
        <v>1040</v>
      </c>
      <c r="P70" s="139">
        <v>11</v>
      </c>
      <c r="Q70" s="139">
        <v>10</v>
      </c>
      <c r="R70" s="107" t="str">
        <f>IF(AllData[[#This Row],[Nitrate (PPM)]]&gt;2, "Very high", IF(AllData[[#This Row],[Nitrate (PPM)]]&gt;1, "High", IF(AllData[[#This Row],[Nitrate (PPM)]]&gt;0.5, "Some evidence", IF(AllData[[#This Row],[Nitrate (PPM)]]&gt;=0, "No evidence"))))</f>
        <v>Very high</v>
      </c>
      <c r="S70" s="139">
        <v>0.74</v>
      </c>
      <c r="T70" s="7" t="str">
        <f>IF(AllData[[#This Row],[Phosphate (PPM)]]&gt;0.5, "Very high", IF(AllData[[#This Row],[Phosphate (PPM)]]&gt;0.1, "High", IF(AllData[[#This Row],[Phosphate (PPM)]]&gt;0.05, "Some evidence", IF(AllData[[#This Row],[Phosphate (PPM)]]&lt;=0.05, "No Evidence", ""))))</f>
        <v>Very high</v>
      </c>
      <c r="U70" s="139">
        <v>-2</v>
      </c>
      <c r="V70" s="139"/>
    </row>
    <row r="71" spans="1:22" x14ac:dyDescent="0.35">
      <c r="A71" s="139" t="s">
        <v>3442</v>
      </c>
      <c r="B71" s="146">
        <v>45753</v>
      </c>
      <c r="C71" s="2" t="str" cm="1">
        <f t="array" ref="C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1">
        <f>YEAR(AllData[[#This Row],[Date]])</f>
        <v>2025</v>
      </c>
      <c r="E71" s="147">
        <v>0.74513888888888891</v>
      </c>
      <c r="F71" t="str">
        <f>IF(AND(AllData[[#This Row],[Time]]&lt;0.5, AllData[[#This Row],[Time]]&gt;0.17)=TRUE, "Morning", IF(AND(AllData[[#This Row],[Time]]&lt;0.75, AllData[[#This Row],[Time]]&gt;=0.5)=TRUE, "Afternoon", IF(AND(AllData[[#This Row],[Time]]&lt;1, AllData[[#This Row],[Time]]&gt;=0.75)=TRUE, "Evening", "Night")))</f>
        <v>Afternoon</v>
      </c>
      <c r="G71" t="str">
        <f>_xlfn.XLOOKUP(AllData[[#This Row],[Location Name]], Locations[Location Name],Locations[Group As])</f>
        <v>Site 3  :  Severn Trent Water processing plant outflow</v>
      </c>
      <c r="H71" t="e" vm="1">
        <f>_xlfn.XLOOKUP(AllData[[#This Row],[Site Name]],LocationsKey[Site Name],LocationsKey[District])</f>
        <v>#VALUE!</v>
      </c>
      <c r="I71" t="e" vm="14">
        <f>_xlfn.XLOOKUP(AllData[[#This Row],[Site Name]],LocationsKey[Site Name],LocationsKey[Town])</f>
        <v>#VALUE!</v>
      </c>
      <c r="J71" t="str">
        <f>_xlfn.XLOOKUP(AllData[[#This Row],[Site Name]],LocationsKey[Site Name], LocationsKey[Waterway])</f>
        <v>Fosseway Brook</v>
      </c>
      <c r="K71" s="139" t="s">
        <v>3443</v>
      </c>
      <c r="L71" s="139">
        <v>52.094450999999999</v>
      </c>
      <c r="M71" s="156">
        <v>-1.6757420000000001</v>
      </c>
      <c r="N71" s="139" t="s">
        <v>31</v>
      </c>
      <c r="O71" s="139">
        <v>923</v>
      </c>
      <c r="P71" s="139">
        <v>14.5</v>
      </c>
      <c r="Q71" s="139">
        <v>10</v>
      </c>
      <c r="R71" s="107" t="str">
        <f>IF(AllData[[#This Row],[Nitrate (PPM)]]&gt;2, "Very high", IF(AllData[[#This Row],[Nitrate (PPM)]]&gt;1, "High", IF(AllData[[#This Row],[Nitrate (PPM)]]&gt;0.5, "Some evidence", IF(AllData[[#This Row],[Nitrate (PPM)]]&gt;=0, "No evidence"))))</f>
        <v>Very high</v>
      </c>
      <c r="S71" s="139">
        <v>7.6</v>
      </c>
      <c r="T71" s="7" t="str">
        <f>IF(AllData[[#This Row],[Phosphate (PPM)]]&gt;0.5, "Very high", IF(AllData[[#This Row],[Phosphate (PPM)]]&gt;0.1, "High", IF(AllData[[#This Row],[Phosphate (PPM)]]&gt;0.05, "Some evidence", IF(AllData[[#This Row],[Phosphate (PPM)]]&lt;=0.05, "No Evidence", ""))))</f>
        <v>Very high</v>
      </c>
      <c r="U71" s="139">
        <v>0.2</v>
      </c>
      <c r="V71" s="139" t="s">
        <v>533</v>
      </c>
    </row>
    <row r="72" spans="1:22" x14ac:dyDescent="0.35">
      <c r="A72" s="139" t="s">
        <v>3444</v>
      </c>
      <c r="B72" s="146">
        <v>45753</v>
      </c>
      <c r="C72" s="2" t="str" cm="1">
        <f t="array" ref="C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2">
        <f>YEAR(AllData[[#This Row],[Date]])</f>
        <v>2025</v>
      </c>
      <c r="E72" s="147">
        <v>0.75347222222222221</v>
      </c>
      <c r="F72" t="str">
        <f>IF(AND(AllData[[#This Row],[Time]]&lt;0.5, AllData[[#This Row],[Time]]&gt;0.17)=TRUE, "Morning", IF(AND(AllData[[#This Row],[Time]]&lt;0.75, AllData[[#This Row],[Time]]&gt;=0.5)=TRUE, "Afternoon", IF(AND(AllData[[#This Row],[Time]]&lt;1, AllData[[#This Row],[Time]]&gt;=0.75)=TRUE, "Evening", "Night")))</f>
        <v>Evening</v>
      </c>
      <c r="G72" t="str">
        <f>_xlfn.XLOOKUP(AllData[[#This Row],[Location Name]], Locations[Location Name],Locations[Group As])</f>
        <v>Site 4 : Heath Gate Ilmington</v>
      </c>
      <c r="H72" t="e" vm="1">
        <f>_xlfn.XLOOKUP(AllData[[#This Row],[Site Name]],LocationsKey[Site Name],LocationsKey[District])</f>
        <v>#VALUE!</v>
      </c>
      <c r="I72" t="e" vm="14">
        <f>_xlfn.XLOOKUP(AllData[[#This Row],[Site Name]],LocationsKey[Site Name],LocationsKey[Town])</f>
        <v>#VALUE!</v>
      </c>
      <c r="J72" t="str">
        <f>_xlfn.XLOOKUP(AllData[[#This Row],[Site Name]],LocationsKey[Site Name], LocationsKey[Waterway])</f>
        <v>Fosseway Brook</v>
      </c>
      <c r="K72" s="139" t="s">
        <v>3445</v>
      </c>
      <c r="L72" s="139">
        <v>52.094800999999997</v>
      </c>
      <c r="M72" s="156">
        <v>-1.673997</v>
      </c>
      <c r="N72" s="139" t="s">
        <v>31</v>
      </c>
      <c r="O72" s="139">
        <v>888</v>
      </c>
      <c r="P72" s="139">
        <v>13.5</v>
      </c>
      <c r="Q72" s="139">
        <v>10</v>
      </c>
      <c r="R72" s="107" t="str">
        <f>IF(AllData[[#This Row],[Nitrate (PPM)]]&gt;2, "Very high", IF(AllData[[#This Row],[Nitrate (PPM)]]&gt;1, "High", IF(AllData[[#This Row],[Nitrate (PPM)]]&gt;0.5, "Some evidence", IF(AllData[[#This Row],[Nitrate (PPM)]]&gt;=0, "No evidence"))))</f>
        <v>Very high</v>
      </c>
      <c r="S72" s="139">
        <v>7.1</v>
      </c>
      <c r="T72" s="7" t="str">
        <f>IF(AllData[[#This Row],[Phosphate (PPM)]]&gt;0.5, "Very high", IF(AllData[[#This Row],[Phosphate (PPM)]]&gt;0.1, "High", IF(AllData[[#This Row],[Phosphate (PPM)]]&gt;0.05, "Some evidence", IF(AllData[[#This Row],[Phosphate (PPM)]]&lt;=0.05, "No Evidence", ""))))</f>
        <v>Very high</v>
      </c>
      <c r="U72" s="139">
        <v>0.2</v>
      </c>
      <c r="V72" s="139" t="s">
        <v>533</v>
      </c>
    </row>
    <row r="73" spans="1:22" x14ac:dyDescent="0.35">
      <c r="A73" s="139" t="s">
        <v>3436</v>
      </c>
      <c r="B73" s="146">
        <v>45753</v>
      </c>
      <c r="C73" s="2" t="str" cm="1">
        <f t="array" ref="C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3">
        <f>YEAR(AllData[[#This Row],[Date]])</f>
        <v>2025</v>
      </c>
      <c r="E73" s="147">
        <v>0.67361111111111116</v>
      </c>
      <c r="F73" t="str">
        <f>IF(AND(AllData[[#This Row],[Time]]&lt;0.5, AllData[[#This Row],[Time]]&gt;0.17)=TRUE, "Morning", IF(AND(AllData[[#This Row],[Time]]&lt;0.75, AllData[[#This Row],[Time]]&gt;=0.5)=TRUE, "Afternoon", IF(AND(AllData[[#This Row],[Time]]&lt;1, AllData[[#This Row],[Time]]&gt;=0.75)=TRUE, "Evening", "Night")))</f>
        <v>Afternoon</v>
      </c>
      <c r="G73" t="str">
        <f>_xlfn.XLOOKUP(AllData[[#This Row],[Location Name]], Locations[Location Name],Locations[Group As])</f>
        <v>The Ford, Langley</v>
      </c>
      <c r="H73" t="e" vm="1">
        <f>_xlfn.XLOOKUP(AllData[[#This Row],[Site Name]],LocationsKey[Site Name],LocationsKey[District])</f>
        <v>#VALUE!</v>
      </c>
      <c r="I73" t="str">
        <f>_xlfn.XLOOKUP(AllData[[#This Row],[Site Name]],LocationsKey[Site Name],LocationsKey[Town])</f>
        <v>Langley</v>
      </c>
      <c r="J73" t="str">
        <f>_xlfn.XLOOKUP(AllData[[#This Row],[Site Name]],LocationsKey[Site Name], LocationsKey[Waterway])</f>
        <v>Langley Ford</v>
      </c>
      <c r="K73" s="139" t="s">
        <v>561</v>
      </c>
      <c r="L73" s="139">
        <v>52.268996999999999</v>
      </c>
      <c r="M73" s="156">
        <v>-1.7232879999999999</v>
      </c>
      <c r="N73" s="139" t="s">
        <v>31</v>
      </c>
      <c r="O73" s="139">
        <v>836</v>
      </c>
      <c r="P73" s="139">
        <v>11.7</v>
      </c>
      <c r="Q73" s="139">
        <v>10</v>
      </c>
      <c r="R73" s="107" t="str">
        <f>IF(AllData[[#This Row],[Nitrate (PPM)]]&gt;2, "Very high", IF(AllData[[#This Row],[Nitrate (PPM)]]&gt;1, "High", IF(AllData[[#This Row],[Nitrate (PPM)]]&gt;0.5, "Some evidence", IF(AllData[[#This Row],[Nitrate (PPM)]]&gt;=0, "No evidence"))))</f>
        <v>Very high</v>
      </c>
      <c r="S73" s="139">
        <v>0.49</v>
      </c>
      <c r="T73" s="7" t="str">
        <f>IF(AllData[[#This Row],[Phosphate (PPM)]]&gt;0.5, "Very high", IF(AllData[[#This Row],[Phosphate (PPM)]]&gt;0.1, "High", IF(AllData[[#This Row],[Phosphate (PPM)]]&gt;0.05, "Some evidence", IF(AllData[[#This Row],[Phosphate (PPM)]]&lt;=0.05, "No Evidence", ""))))</f>
        <v>High</v>
      </c>
      <c r="U73" s="139">
        <v>0.2</v>
      </c>
      <c r="V73" s="139"/>
    </row>
    <row r="74" spans="1:22" x14ac:dyDescent="0.35">
      <c r="A74" s="139" t="s">
        <v>3421</v>
      </c>
      <c r="B74" s="146">
        <v>45753</v>
      </c>
      <c r="C74" s="2" t="str" cm="1">
        <f t="array" ref="C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4">
        <f>YEAR(AllData[[#This Row],[Date]])</f>
        <v>2025</v>
      </c>
      <c r="E74" s="147">
        <v>0.40486111111111112</v>
      </c>
      <c r="F74" t="str">
        <f>IF(AND(AllData[[#This Row],[Time]]&lt;0.5, AllData[[#This Row],[Time]]&gt;0.17)=TRUE, "Morning", IF(AND(AllData[[#This Row],[Time]]&lt;0.75, AllData[[#This Row],[Time]]&gt;=0.5)=TRUE, "Afternoon", IF(AND(AllData[[#This Row],[Time]]&lt;1, AllData[[#This Row],[Time]]&gt;=0.75)=TRUE, "Evening", "Night")))</f>
        <v>Morning</v>
      </c>
      <c r="G74" t="str">
        <f>_xlfn.XLOOKUP(AllData[[#This Row],[Location Name]], Locations[Location Name],Locations[Group As])</f>
        <v>R.Stowe - Lower Fields Farm, Old Brickyard Lane</v>
      </c>
      <c r="H74" t="e" vm="1">
        <f>_xlfn.XLOOKUP(AllData[[#This Row],[Site Name]],LocationsKey[Site Name],LocationsKey[District])</f>
        <v>#VALUE!</v>
      </c>
      <c r="I74" t="e" vm="17">
        <f>_xlfn.XLOOKUP(AllData[[#This Row],[Site Name]],LocationsKey[Site Name],LocationsKey[Town])</f>
        <v>#VALUE!</v>
      </c>
      <c r="J74" t="str">
        <f>_xlfn.XLOOKUP(AllData[[#This Row],[Site Name]],LocationsKey[Site Name], LocationsKey[Waterway])</f>
        <v>Stowe</v>
      </c>
      <c r="K74" s="139" t="s">
        <v>3422</v>
      </c>
      <c r="L74" s="139">
        <v>52.243963999999998</v>
      </c>
      <c r="M74" s="156">
        <v>-1.347782</v>
      </c>
      <c r="N74" s="139" t="s">
        <v>31</v>
      </c>
      <c r="O74" s="139">
        <v>845</v>
      </c>
      <c r="P74" s="139">
        <v>10.1</v>
      </c>
      <c r="Q74" s="139">
        <v>5</v>
      </c>
      <c r="R74" s="107" t="str">
        <f>IF(AllData[[#This Row],[Nitrate (PPM)]]&gt;2, "Very high", IF(AllData[[#This Row],[Nitrate (PPM)]]&gt;1, "High", IF(AllData[[#This Row],[Nitrate (PPM)]]&gt;0.5, "Some evidence", IF(AllData[[#This Row],[Nitrate (PPM)]]&gt;=0, "No evidence"))))</f>
        <v>Very high</v>
      </c>
      <c r="S74" s="139">
        <v>0.75</v>
      </c>
      <c r="T74" s="7" t="str">
        <f>IF(AllData[[#This Row],[Phosphate (PPM)]]&gt;0.5, "Very high", IF(AllData[[#This Row],[Phosphate (PPM)]]&gt;0.1, "High", IF(AllData[[#This Row],[Phosphate (PPM)]]&gt;0.05, "Some evidence", IF(AllData[[#This Row],[Phosphate (PPM)]]&lt;=0.05, "No Evidence", ""))))</f>
        <v>Very high</v>
      </c>
      <c r="U74" s="139">
        <v>0.15</v>
      </c>
      <c r="V74" s="139" t="s">
        <v>3423</v>
      </c>
    </row>
    <row r="75" spans="1:22" x14ac:dyDescent="0.35">
      <c r="A75" s="139" t="s">
        <v>3420</v>
      </c>
      <c r="B75" s="146">
        <v>45753</v>
      </c>
      <c r="C75" s="2" t="str" cm="1">
        <f t="array" ref="C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5">
        <f>YEAR(AllData[[#This Row],[Date]])</f>
        <v>2025</v>
      </c>
      <c r="E75" s="147">
        <v>0.38541666666666669</v>
      </c>
      <c r="F75" t="str">
        <f>IF(AND(AllData[[#This Row],[Time]]&lt;0.5, AllData[[#This Row],[Time]]&gt;0.17)=TRUE, "Morning", IF(AND(AllData[[#This Row],[Time]]&lt;0.75, AllData[[#This Row],[Time]]&gt;=0.5)=TRUE, "Afternoon", IF(AND(AllData[[#This Row],[Time]]&lt;1, AllData[[#This Row],[Time]]&gt;=0.75)=TRUE, "Evening", "Night")))</f>
        <v>Morning</v>
      </c>
      <c r="G75" t="str">
        <f>_xlfn.XLOOKUP(AllData[[#This Row],[Location Name]], Locations[Location Name],Locations[Group As])</f>
        <v>Bell Brook 1</v>
      </c>
      <c r="H75" t="e" vm="1">
        <f>_xlfn.XLOOKUP(AllData[[#This Row],[Site Name]],LocationsKey[Site Name],LocationsKey[District])</f>
        <v>#VALUE!</v>
      </c>
      <c r="I75" t="e" vm="19">
        <f>_xlfn.XLOOKUP(AllData[[#This Row],[Site Name]],LocationsKey[Site Name],LocationsKey[Town])</f>
        <v>#VALUE!</v>
      </c>
      <c r="J75" t="str">
        <f>_xlfn.XLOOKUP(AllData[[#This Row],[Site Name]],LocationsKey[Site Name], LocationsKey[Waterway])</f>
        <v>Bell Brook</v>
      </c>
      <c r="K75" s="139" t="s">
        <v>3000</v>
      </c>
      <c r="L75" s="139"/>
      <c r="M75" s="156"/>
      <c r="N75" s="139"/>
      <c r="O75" s="139">
        <v>827</v>
      </c>
      <c r="P75" s="139">
        <v>8.6</v>
      </c>
      <c r="Q75" s="139">
        <v>5</v>
      </c>
      <c r="R75" s="107" t="str">
        <f>IF(AllData[[#This Row],[Nitrate (PPM)]]&gt;2, "Very high", IF(AllData[[#This Row],[Nitrate (PPM)]]&gt;1, "High", IF(AllData[[#This Row],[Nitrate (PPM)]]&gt;0.5, "Some evidence", IF(AllData[[#This Row],[Nitrate (PPM)]]&gt;=0, "No evidence"))))</f>
        <v>Very high</v>
      </c>
      <c r="S75" s="139">
        <v>0.47</v>
      </c>
      <c r="T75" s="7" t="str">
        <f>IF(AllData[[#This Row],[Phosphate (PPM)]]&gt;0.5, "Very high", IF(AllData[[#This Row],[Phosphate (PPM)]]&gt;0.1, "High", IF(AllData[[#This Row],[Phosphate (PPM)]]&gt;0.05, "Some evidence", IF(AllData[[#This Row],[Phosphate (PPM)]]&lt;=0.05, "No Evidence", ""))))</f>
        <v>High</v>
      </c>
      <c r="U75" s="139">
        <v>0.1</v>
      </c>
      <c r="V75" s="139" t="s">
        <v>3419</v>
      </c>
    </row>
    <row r="76" spans="1:22" x14ac:dyDescent="0.35">
      <c r="A76" s="139" t="s">
        <v>3440</v>
      </c>
      <c r="B76" s="146">
        <v>45753</v>
      </c>
      <c r="C76" s="2" t="str" cm="1">
        <f t="array" ref="C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6">
        <f>YEAR(AllData[[#This Row],[Date]])</f>
        <v>2025</v>
      </c>
      <c r="E76" s="147">
        <v>0.73055555555555551</v>
      </c>
      <c r="F76" t="str">
        <f>IF(AND(AllData[[#This Row],[Time]]&lt;0.5, AllData[[#This Row],[Time]]&gt;0.17)=TRUE, "Morning", IF(AND(AllData[[#This Row],[Time]]&lt;0.75, AllData[[#This Row],[Time]]&gt;=0.5)=TRUE, "Afternoon", IF(AND(AllData[[#This Row],[Time]]&lt;1, AllData[[#This Row],[Time]]&gt;=0.75)=TRUE, "Evening", "Night")))</f>
        <v>Afternoon</v>
      </c>
      <c r="G76" t="str">
        <f>_xlfn.XLOOKUP(AllData[[#This Row],[Location Name]], Locations[Location Name],Locations[Group As])</f>
        <v>Site 1  :  Middle Street</v>
      </c>
      <c r="H76" t="e" vm="1">
        <f>_xlfn.XLOOKUP(AllData[[#This Row],[Site Name]],LocationsKey[Site Name],LocationsKey[District])</f>
        <v>#VALUE!</v>
      </c>
      <c r="I76" t="e" vm="14">
        <f>_xlfn.XLOOKUP(AllData[[#This Row],[Site Name]],LocationsKey[Site Name],LocationsKey[Town])</f>
        <v>#VALUE!</v>
      </c>
      <c r="J76" t="str">
        <f>_xlfn.XLOOKUP(AllData[[#This Row],[Site Name]],LocationsKey[Site Name], LocationsKey[Waterway])</f>
        <v>Fosseway Brook</v>
      </c>
      <c r="K76" s="139" t="s">
        <v>3441</v>
      </c>
      <c r="L76" s="139">
        <v>52.090696000000001</v>
      </c>
      <c r="M76" s="156">
        <v>-1.6917949999999999</v>
      </c>
      <c r="N76" s="139" t="s">
        <v>68</v>
      </c>
      <c r="O76" s="139">
        <v>593</v>
      </c>
      <c r="P76" s="139">
        <v>15.7</v>
      </c>
      <c r="Q76" s="139">
        <v>5</v>
      </c>
      <c r="R76" s="107" t="str">
        <f>IF(AllData[[#This Row],[Nitrate (PPM)]]&gt;2, "Very high", IF(AllData[[#This Row],[Nitrate (PPM)]]&gt;1, "High", IF(AllData[[#This Row],[Nitrate (PPM)]]&gt;0.5, "Some evidence", IF(AllData[[#This Row],[Nitrate (PPM)]]&gt;=0, "No evidence"))))</f>
        <v>Very high</v>
      </c>
      <c r="S76" s="139">
        <v>0.31</v>
      </c>
      <c r="T76" s="7" t="str">
        <f>IF(AllData[[#This Row],[Phosphate (PPM)]]&gt;0.5, "Very high", IF(AllData[[#This Row],[Phosphate (PPM)]]&gt;0.1, "High", IF(AllData[[#This Row],[Phosphate (PPM)]]&gt;0.05, "Some evidence", IF(AllData[[#This Row],[Phosphate (PPM)]]&lt;=0.05, "No Evidence", ""))))</f>
        <v>High</v>
      </c>
      <c r="U76" s="139">
        <v>0.1</v>
      </c>
      <c r="V76" s="139" t="s">
        <v>533</v>
      </c>
    </row>
    <row r="77" spans="1:22" x14ac:dyDescent="0.35">
      <c r="A77" s="139" t="s">
        <v>3430</v>
      </c>
      <c r="B77" s="146">
        <v>45753</v>
      </c>
      <c r="C77" s="2" t="str" cm="1">
        <f t="array" ref="C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7">
        <f>YEAR(AllData[[#This Row],[Date]])</f>
        <v>2025</v>
      </c>
      <c r="E77" s="147">
        <v>0.61597222222222225</v>
      </c>
      <c r="F77" t="str">
        <f>IF(AND(AllData[[#This Row],[Time]]&lt;0.5, AllData[[#This Row],[Time]]&gt;0.17)=TRUE, "Morning", IF(AND(AllData[[#This Row],[Time]]&lt;0.75, AllData[[#This Row],[Time]]&gt;=0.5)=TRUE, "Afternoon", IF(AND(AllData[[#This Row],[Time]]&lt;1, AllData[[#This Row],[Time]]&gt;=0.75)=TRUE, "Evening", "Night")))</f>
        <v>Afternoon</v>
      </c>
      <c r="G77" t="str">
        <f>_xlfn.XLOOKUP(AllData[[#This Row],[Location Name]], Locations[Location Name],Locations[Group As])</f>
        <v>Isbourne Winchcombe D</v>
      </c>
      <c r="H77" t="e" vm="4">
        <f>_xlfn.XLOOKUP(AllData[[#This Row],[Site Name]],LocationsKey[Site Name],LocationsKey[District])</f>
        <v>#VALUE!</v>
      </c>
      <c r="I77" t="e" vm="8">
        <f>_xlfn.XLOOKUP(AllData[[#This Row],[Site Name]],LocationsKey[Site Name],LocationsKey[Town])</f>
        <v>#VALUE!</v>
      </c>
      <c r="J77" t="str">
        <f>_xlfn.XLOOKUP(AllData[[#This Row],[Site Name]],LocationsKey[Site Name], LocationsKey[Waterway])</f>
        <v>Isbourne</v>
      </c>
      <c r="K77" s="139" t="s">
        <v>3431</v>
      </c>
      <c r="L77" s="139">
        <v>51.963180999999999</v>
      </c>
      <c r="M77" s="156">
        <v>-1.9562710000000001</v>
      </c>
      <c r="N77" s="139" t="s">
        <v>31</v>
      </c>
      <c r="O77" s="139">
        <v>547</v>
      </c>
      <c r="P77" s="139">
        <v>12.8</v>
      </c>
      <c r="Q77" s="139">
        <v>5</v>
      </c>
      <c r="R77" s="107" t="str">
        <f>IF(AllData[[#This Row],[Nitrate (PPM)]]&gt;2, "Very high", IF(AllData[[#This Row],[Nitrate (PPM)]]&gt;1, "High", IF(AllData[[#This Row],[Nitrate (PPM)]]&gt;0.5, "Some evidence", IF(AllData[[#This Row],[Nitrate (PPM)]]&gt;=0, "No evidence"))))</f>
        <v>Very high</v>
      </c>
      <c r="S77" s="139">
        <v>0.04</v>
      </c>
      <c r="T77" s="7" t="str">
        <f>IF(AllData[[#This Row],[Phosphate (PPM)]]&gt;0.5, "Very high", IF(AllData[[#This Row],[Phosphate (PPM)]]&gt;0.1, "High", IF(AllData[[#This Row],[Phosphate (PPM)]]&gt;0.05, "Some evidence", IF(AllData[[#This Row],[Phosphate (PPM)]]&lt;=0.05, "No Evidence", ""))))</f>
        <v>No Evidence</v>
      </c>
      <c r="U77" s="139">
        <v>0.5</v>
      </c>
      <c r="V77" s="139" t="s">
        <v>3432</v>
      </c>
    </row>
    <row r="78" spans="1:22" x14ac:dyDescent="0.35">
      <c r="A78" s="139" t="s">
        <v>3428</v>
      </c>
      <c r="B78" s="146">
        <v>45753</v>
      </c>
      <c r="C78" s="2" t="str" cm="1">
        <f t="array" ref="C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8">
        <f>YEAR(AllData[[#This Row],[Date]])</f>
        <v>2025</v>
      </c>
      <c r="E78" s="147">
        <v>0.59583333333333333</v>
      </c>
      <c r="F78" t="str">
        <f>IF(AND(AllData[[#This Row],[Time]]&lt;0.5, AllData[[#This Row],[Time]]&gt;0.17)=TRUE, "Morning", IF(AND(AllData[[#This Row],[Time]]&lt;0.75, AllData[[#This Row],[Time]]&gt;=0.5)=TRUE, "Afternoon", IF(AND(AllData[[#This Row],[Time]]&lt;1, AllData[[#This Row],[Time]]&gt;=0.75)=TRUE, "Evening", "Night")))</f>
        <v>Afternoon</v>
      </c>
      <c r="G78" t="str">
        <f>_xlfn.XLOOKUP(AllData[[#This Row],[Location Name]], Locations[Location Name],Locations[Group As])</f>
        <v>Isbourne Winchcombe C</v>
      </c>
      <c r="H78" t="e" vm="4">
        <f>_xlfn.XLOOKUP(AllData[[#This Row],[Site Name]],LocationsKey[Site Name],LocationsKey[District])</f>
        <v>#VALUE!</v>
      </c>
      <c r="I78" t="e" vm="8">
        <f>_xlfn.XLOOKUP(AllData[[#This Row],[Site Name]],LocationsKey[Site Name],LocationsKey[Town])</f>
        <v>#VALUE!</v>
      </c>
      <c r="J78" t="str">
        <f>_xlfn.XLOOKUP(AllData[[#This Row],[Site Name]],LocationsKey[Site Name], LocationsKey[Waterway])</f>
        <v>Isbourne</v>
      </c>
      <c r="K78" s="139" t="s">
        <v>3429</v>
      </c>
      <c r="L78" s="139"/>
      <c r="M78" s="156"/>
      <c r="N78" s="139" t="s">
        <v>68</v>
      </c>
      <c r="O78" s="139">
        <v>522</v>
      </c>
      <c r="P78" s="139">
        <v>13.5</v>
      </c>
      <c r="Q78" s="139">
        <v>5</v>
      </c>
      <c r="R78" s="107" t="str">
        <f>IF(AllData[[#This Row],[Nitrate (PPM)]]&gt;2, "Very high", IF(AllData[[#This Row],[Nitrate (PPM)]]&gt;1, "High", IF(AllData[[#This Row],[Nitrate (PPM)]]&gt;0.5, "Some evidence", IF(AllData[[#This Row],[Nitrate (PPM)]]&gt;=0, "No evidence"))))</f>
        <v>Very high</v>
      </c>
      <c r="S78" s="139">
        <v>0.02</v>
      </c>
      <c r="T78" s="7" t="str">
        <f>IF(AllData[[#This Row],[Phosphate (PPM)]]&gt;0.5, "Very high", IF(AllData[[#This Row],[Phosphate (PPM)]]&gt;0.1, "High", IF(AllData[[#This Row],[Phosphate (PPM)]]&gt;0.05, "Some evidence", IF(AllData[[#This Row],[Phosphate (PPM)]]&lt;=0.05, "No Evidence", ""))))</f>
        <v>No Evidence</v>
      </c>
      <c r="U78" s="139">
        <v>0.3</v>
      </c>
      <c r="V78" s="139"/>
    </row>
    <row r="79" spans="1:22" x14ac:dyDescent="0.35">
      <c r="A79" s="139" t="s">
        <v>3418</v>
      </c>
      <c r="B79" s="146">
        <v>45753</v>
      </c>
      <c r="C79" s="2" t="str" cm="1">
        <f t="array" ref="C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79">
        <f>YEAR(AllData[[#This Row],[Date]])</f>
        <v>2025</v>
      </c>
      <c r="E79" s="147">
        <v>0.375</v>
      </c>
      <c r="F79" t="str">
        <f>IF(AND(AllData[[#This Row],[Time]]&lt;0.5, AllData[[#This Row],[Time]]&gt;0.17)=TRUE, "Morning", IF(AND(AllData[[#This Row],[Time]]&lt;0.75, AllData[[#This Row],[Time]]&gt;=0.5)=TRUE, "Afternoon", IF(AND(AllData[[#This Row],[Time]]&lt;1, AllData[[#This Row],[Time]]&gt;=0.75)=TRUE, "Evening", "Night")))</f>
        <v>Morning</v>
      </c>
      <c r="G79" t="str">
        <f>_xlfn.XLOOKUP(AllData[[#This Row],[Location Name]], Locations[Location Name],Locations[Group As])</f>
        <v>Sherbourne Brook 2</v>
      </c>
      <c r="H79" t="e" vm="1">
        <f>_xlfn.XLOOKUP(AllData[[#This Row],[Site Name]],LocationsKey[Site Name],LocationsKey[District])</f>
        <v>#VALUE!</v>
      </c>
      <c r="I79" t="str">
        <f>_xlfn.XLOOKUP(AllData[[#This Row],[Site Name]],LocationsKey[Site Name],LocationsKey[Town])</f>
        <v>Unknown</v>
      </c>
      <c r="J79" t="str">
        <f>_xlfn.XLOOKUP(AllData[[#This Row],[Site Name]],LocationsKey[Site Name], LocationsKey[Waterway])</f>
        <v>Sherbourne Brook</v>
      </c>
      <c r="K79" s="139" t="s">
        <v>2995</v>
      </c>
      <c r="L79" s="139"/>
      <c r="M79" s="156"/>
      <c r="N79" s="139"/>
      <c r="O79" s="139">
        <v>1080</v>
      </c>
      <c r="P79" s="139">
        <v>8.5</v>
      </c>
      <c r="Q79" s="139">
        <v>4</v>
      </c>
      <c r="R79" s="107" t="str">
        <f>IF(AllData[[#This Row],[Nitrate (PPM)]]&gt;2, "Very high", IF(AllData[[#This Row],[Nitrate (PPM)]]&gt;1, "High", IF(AllData[[#This Row],[Nitrate (PPM)]]&gt;0.5, "Some evidence", IF(AllData[[#This Row],[Nitrate (PPM)]]&gt;=0, "No evidence"))))</f>
        <v>Very high</v>
      </c>
      <c r="S79" s="139">
        <v>0</v>
      </c>
      <c r="T79" s="7" t="str">
        <f>IF(AllData[[#This Row],[Phosphate (PPM)]]&gt;0.5, "Very high", IF(AllData[[#This Row],[Phosphate (PPM)]]&gt;0.1, "High", IF(AllData[[#This Row],[Phosphate (PPM)]]&gt;0.05, "Some evidence", IF(AllData[[#This Row],[Phosphate (PPM)]]&lt;=0.05, "No Evidence", ""))))</f>
        <v>No Evidence</v>
      </c>
      <c r="U79" s="139">
        <v>0.1</v>
      </c>
      <c r="V79" s="139" t="s">
        <v>3419</v>
      </c>
    </row>
    <row r="80" spans="1:22" x14ac:dyDescent="0.35">
      <c r="A80" s="139" t="s">
        <v>3437</v>
      </c>
      <c r="B80" s="146">
        <v>45753</v>
      </c>
      <c r="C80" s="2" t="str" cm="1">
        <f t="array" ref="C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0">
        <f>YEAR(AllData[[#This Row],[Date]])</f>
        <v>2025</v>
      </c>
      <c r="E80" s="147">
        <v>0.72361111111111109</v>
      </c>
      <c r="F80" t="str">
        <f>IF(AND(AllData[[#This Row],[Time]]&lt;0.5, AllData[[#This Row],[Time]]&gt;0.17)=TRUE, "Morning", IF(AND(AllData[[#This Row],[Time]]&lt;0.75, AllData[[#This Row],[Time]]&gt;=0.5)=TRUE, "Afternoon", IF(AND(AllData[[#This Row],[Time]]&lt;1, AllData[[#This Row],[Time]]&gt;=0.75)=TRUE, "Evening", "Night")))</f>
        <v>Afternoon</v>
      </c>
      <c r="G80" t="str">
        <f>_xlfn.XLOOKUP(AllData[[#This Row],[Location Name]], Locations[Location Name],Locations[Group As])</f>
        <v>Isbourne Winchcombe B</v>
      </c>
      <c r="H80" t="e" vm="4">
        <f>_xlfn.XLOOKUP(AllData[[#This Row],[Site Name]],LocationsKey[Site Name],LocationsKey[District])</f>
        <v>#VALUE!</v>
      </c>
      <c r="I80" t="e" vm="8">
        <f>_xlfn.XLOOKUP(AllData[[#This Row],[Site Name]],LocationsKey[Site Name],LocationsKey[Town])</f>
        <v>#VALUE!</v>
      </c>
      <c r="J80" t="str">
        <f>_xlfn.XLOOKUP(AllData[[#This Row],[Site Name]],LocationsKey[Site Name], LocationsKey[Waterway])</f>
        <v>Isbourne</v>
      </c>
      <c r="K80" s="139" t="s">
        <v>3438</v>
      </c>
      <c r="L80" s="139">
        <v>51.958849999999998</v>
      </c>
      <c r="M80" s="156">
        <v>-1.970056</v>
      </c>
      <c r="N80" s="139" t="s">
        <v>68</v>
      </c>
      <c r="O80" s="139">
        <v>542</v>
      </c>
      <c r="P80" s="139">
        <v>14.3</v>
      </c>
      <c r="Q80" s="139">
        <v>4</v>
      </c>
      <c r="R80" s="107" t="str">
        <f>IF(AllData[[#This Row],[Nitrate (PPM)]]&gt;2, "Very high", IF(AllData[[#This Row],[Nitrate (PPM)]]&gt;1, "High", IF(AllData[[#This Row],[Nitrate (PPM)]]&gt;0.5, "Some evidence", IF(AllData[[#This Row],[Nitrate (PPM)]]&gt;=0, "No evidence"))))</f>
        <v>Very high</v>
      </c>
      <c r="S80" s="139">
        <v>0</v>
      </c>
      <c r="T80" s="7" t="str">
        <f>IF(AllData[[#This Row],[Phosphate (PPM)]]&gt;0.5, "Very high", IF(AllData[[#This Row],[Phosphate (PPM)]]&gt;0.1, "High", IF(AllData[[#This Row],[Phosphate (PPM)]]&gt;0.05, "Some evidence", IF(AllData[[#This Row],[Phosphate (PPM)]]&lt;=0.05, "No Evidence", ""))))</f>
        <v>No Evidence</v>
      </c>
      <c r="U80" s="139">
        <v>1</v>
      </c>
      <c r="V80" s="139" t="s">
        <v>3439</v>
      </c>
    </row>
    <row r="81" spans="1:22" x14ac:dyDescent="0.35">
      <c r="A81" s="139" t="s">
        <v>3425</v>
      </c>
      <c r="B81" s="146">
        <v>45753</v>
      </c>
      <c r="C81" s="2" t="str" cm="1">
        <f t="array" ref="C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1">
        <f>YEAR(AllData[[#This Row],[Date]])</f>
        <v>2025</v>
      </c>
      <c r="E81" s="147">
        <v>0.42986111111111114</v>
      </c>
      <c r="F81" t="str">
        <f>IF(AND(AllData[[#This Row],[Time]]&lt;0.5, AllData[[#This Row],[Time]]&gt;0.17)=TRUE, "Morning", IF(AND(AllData[[#This Row],[Time]]&lt;0.75, AllData[[#This Row],[Time]]&gt;=0.5)=TRUE, "Afternoon", IF(AND(AllData[[#This Row],[Time]]&lt;1, AllData[[#This Row],[Time]]&gt;=0.75)=TRUE, "Evening", "Night")))</f>
        <v>Morning</v>
      </c>
      <c r="G81" t="str">
        <f>_xlfn.XLOOKUP(AllData[[#This Row],[Location Name]], Locations[Location Name],Locations[Group As])</f>
        <v>R.Stowe - Welsh Rd East, Southam</v>
      </c>
      <c r="H81" t="e" vm="1">
        <f>_xlfn.XLOOKUP(AllData[[#This Row],[Site Name]],LocationsKey[Site Name],LocationsKey[District])</f>
        <v>#VALUE!</v>
      </c>
      <c r="I81" t="e" vm="18">
        <f>_xlfn.XLOOKUP(AllData[[#This Row],[Site Name]],LocationsKey[Site Name],LocationsKey[Town])</f>
        <v>#VALUE!</v>
      </c>
      <c r="J81" t="str">
        <f>_xlfn.XLOOKUP(AllData[[#This Row],[Site Name]],LocationsKey[Site Name], LocationsKey[Waterway])</f>
        <v>Stowe</v>
      </c>
      <c r="K81" s="139" t="s">
        <v>3426</v>
      </c>
      <c r="L81" s="139">
        <v>52.251401000000001</v>
      </c>
      <c r="M81" s="156">
        <v>-1.383332</v>
      </c>
      <c r="N81" s="139" t="s">
        <v>31</v>
      </c>
      <c r="O81" s="139">
        <v>838</v>
      </c>
      <c r="P81" s="139">
        <v>8.9</v>
      </c>
      <c r="Q81" s="139">
        <v>2</v>
      </c>
      <c r="R81" s="107" t="str">
        <f>IF(AllData[[#This Row],[Nitrate (PPM)]]&gt;2, "Very high", IF(AllData[[#This Row],[Nitrate (PPM)]]&gt;1, "High", IF(AllData[[#This Row],[Nitrate (PPM)]]&gt;0.5, "Some evidence", IF(AllData[[#This Row],[Nitrate (PPM)]]&gt;=0, "No evidence"))))</f>
        <v>High</v>
      </c>
      <c r="S81" s="139">
        <v>0.2</v>
      </c>
      <c r="T81" s="7" t="str">
        <f>IF(AllData[[#This Row],[Phosphate (PPM)]]&gt;0.5, "Very high", IF(AllData[[#This Row],[Phosphate (PPM)]]&gt;0.1, "High", IF(AllData[[#This Row],[Phosphate (PPM)]]&gt;0.05, "Some evidence", IF(AllData[[#This Row],[Phosphate (PPM)]]&lt;=0.05, "No Evidence", ""))))</f>
        <v>High</v>
      </c>
      <c r="U81" s="139">
        <v>0.15</v>
      </c>
      <c r="V81" s="139" t="s">
        <v>3427</v>
      </c>
    </row>
    <row r="82" spans="1:22" x14ac:dyDescent="0.35">
      <c r="A82" s="139" t="s">
        <v>3433</v>
      </c>
      <c r="B82" s="146">
        <v>45753</v>
      </c>
      <c r="C82" s="2" t="str" cm="1">
        <f t="array" ref="C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2">
        <f>YEAR(AllData[[#This Row],[Date]])</f>
        <v>2025</v>
      </c>
      <c r="E82" s="147">
        <v>0.63888888888888884</v>
      </c>
      <c r="F82" t="str">
        <f>IF(AND(AllData[[#This Row],[Time]]&lt;0.5, AllData[[#This Row],[Time]]&gt;0.17)=TRUE, "Morning", IF(AND(AllData[[#This Row],[Time]]&lt;0.75, AllData[[#This Row],[Time]]&gt;=0.5)=TRUE, "Afternoon", IF(AND(AllData[[#This Row],[Time]]&lt;1, AllData[[#This Row],[Time]]&gt;=0.75)=TRUE, "Evening", "Night")))</f>
        <v>Afternoon</v>
      </c>
      <c r="G82" t="str">
        <f>_xlfn.XLOOKUP(AllData[[#This Row],[Location Name]], Locations[Location Name],Locations[Group As])</f>
        <v>Isbourne Winchcombe A</v>
      </c>
      <c r="H82" t="e" vm="4">
        <f>_xlfn.XLOOKUP(AllData[[#This Row],[Site Name]],LocationsKey[Site Name],LocationsKey[District])</f>
        <v>#VALUE!</v>
      </c>
      <c r="I82" t="str">
        <f>_xlfn.XLOOKUP(AllData[[#This Row],[Site Name]],LocationsKey[Site Name],LocationsKey[Town])</f>
        <v>Winchcombe</v>
      </c>
      <c r="J82" t="str">
        <f>_xlfn.XLOOKUP(AllData[[#This Row],[Site Name]],LocationsKey[Site Name], LocationsKey[Waterway])</f>
        <v>Isbourne</v>
      </c>
      <c r="K82" s="139" t="s">
        <v>3434</v>
      </c>
      <c r="L82" s="139">
        <v>51.939303000000002</v>
      </c>
      <c r="M82" s="156">
        <v>-2.0030169999999998</v>
      </c>
      <c r="N82" s="139" t="s">
        <v>68</v>
      </c>
      <c r="O82" s="139">
        <v>340</v>
      </c>
      <c r="P82" s="139">
        <v>12.8</v>
      </c>
      <c r="Q82" s="139">
        <v>2</v>
      </c>
      <c r="R82" s="107" t="str">
        <f>IF(AllData[[#This Row],[Nitrate (PPM)]]&gt;2, "Very high", IF(AllData[[#This Row],[Nitrate (PPM)]]&gt;1, "High", IF(AllData[[#This Row],[Nitrate (PPM)]]&gt;0.5, "Some evidence", IF(AllData[[#This Row],[Nitrate (PPM)]]&gt;=0, "No evidence"))))</f>
        <v>High</v>
      </c>
      <c r="S82" s="139">
        <v>0.09</v>
      </c>
      <c r="T82" s="7" t="str">
        <f>IF(AllData[[#This Row],[Phosphate (PPM)]]&gt;0.5, "Very high", IF(AllData[[#This Row],[Phosphate (PPM)]]&gt;0.1, "High", IF(AllData[[#This Row],[Phosphate (PPM)]]&gt;0.05, "Some evidence", IF(AllData[[#This Row],[Phosphate (PPM)]]&lt;=0.05, "No Evidence", ""))))</f>
        <v>Some evidence</v>
      </c>
      <c r="U82" s="139">
        <v>0.2</v>
      </c>
      <c r="V82" s="139" t="s">
        <v>3435</v>
      </c>
    </row>
    <row r="83" spans="1:22" x14ac:dyDescent="0.35">
      <c r="A83" s="139" t="s">
        <v>3424</v>
      </c>
      <c r="B83" s="146">
        <v>45753</v>
      </c>
      <c r="C83" s="2" t="str" cm="1">
        <f t="array" ref="C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3">
        <f>YEAR(AllData[[#This Row],[Date]])</f>
        <v>2025</v>
      </c>
      <c r="E83" s="147">
        <v>0.42708333333333331</v>
      </c>
      <c r="F83" t="str">
        <f>IF(AND(AllData[[#This Row],[Time]]&lt;0.5, AllData[[#This Row],[Time]]&gt;0.17)=TRUE, "Morning", IF(AND(AllData[[#This Row],[Time]]&lt;0.75, AllData[[#This Row],[Time]]&gt;=0.5)=TRUE, "Afternoon", IF(AND(AllData[[#This Row],[Time]]&lt;1, AllData[[#This Row],[Time]]&gt;=0.75)=TRUE, "Evening", "Night")))</f>
        <v>Morning</v>
      </c>
      <c r="G83" t="str">
        <f>_xlfn.XLOOKUP(AllData[[#This Row],[Location Name]], Locations[Location Name],Locations[Group As])</f>
        <v>Fell Mill Footbridge</v>
      </c>
      <c r="H83" t="e" vm="1">
        <f>_xlfn.XLOOKUP(AllData[[#This Row],[Site Name]],LocationsKey[Site Name],LocationsKey[District])</f>
        <v>#VALUE!</v>
      </c>
      <c r="I83" t="e" vm="15">
        <f>_xlfn.XLOOKUP(AllData[[#This Row],[Site Name]],LocationsKey[Site Name],LocationsKey[Town])</f>
        <v>#VALUE!</v>
      </c>
      <c r="J83" t="str">
        <f>_xlfn.XLOOKUP(AllData[[#This Row],[Site Name]],LocationsKey[Site Name], LocationsKey[Waterway])</f>
        <v>Stour</v>
      </c>
      <c r="K83" s="139" t="s">
        <v>1968</v>
      </c>
      <c r="L83" s="139">
        <v>52.070086000000003</v>
      </c>
      <c r="M83" s="156">
        <v>-1.61145</v>
      </c>
      <c r="N83" s="139" t="s">
        <v>31</v>
      </c>
      <c r="O83" s="139">
        <v>610</v>
      </c>
      <c r="P83" s="139">
        <v>11.6</v>
      </c>
      <c r="Q83" s="139">
        <v>0.5</v>
      </c>
      <c r="R83" s="107" t="str">
        <f>IF(AllData[[#This Row],[Nitrate (PPM)]]&gt;2, "Very high", IF(AllData[[#This Row],[Nitrate (PPM)]]&gt;1, "High", IF(AllData[[#This Row],[Nitrate (PPM)]]&gt;0.5, "Some evidence", IF(AllData[[#This Row],[Nitrate (PPM)]]&gt;=0, "No evidence"))))</f>
        <v>No evidence</v>
      </c>
      <c r="S83" s="139">
        <v>0.28999999999999998</v>
      </c>
      <c r="T83" s="7" t="str">
        <f>IF(AllData[[#This Row],[Phosphate (PPM)]]&gt;0.5, "Very high", IF(AllData[[#This Row],[Phosphate (PPM)]]&gt;0.1, "High", IF(AllData[[#This Row],[Phosphate (PPM)]]&gt;0.05, "Some evidence", IF(AllData[[#This Row],[Phosphate (PPM)]]&lt;=0.05, "No Evidence", ""))))</f>
        <v>High</v>
      </c>
      <c r="U83" s="139">
        <v>1.25</v>
      </c>
      <c r="V83" s="139"/>
    </row>
    <row r="84" spans="1:22" x14ac:dyDescent="0.35">
      <c r="A84" s="139" t="s">
        <v>3408</v>
      </c>
      <c r="B84" s="146">
        <v>45752</v>
      </c>
      <c r="C84" s="2" t="str" cm="1">
        <f t="array" ref="C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4">
        <f>YEAR(AllData[[#This Row],[Date]])</f>
        <v>2025</v>
      </c>
      <c r="E84" s="147">
        <v>0.43125000000000002</v>
      </c>
      <c r="F84" t="str">
        <f>IF(AND(AllData[[#This Row],[Time]]&lt;0.5, AllData[[#This Row],[Time]]&gt;0.17)=TRUE, "Morning", IF(AND(AllData[[#This Row],[Time]]&lt;0.75, AllData[[#This Row],[Time]]&gt;=0.5)=TRUE, "Afternoon", IF(AND(AllData[[#This Row],[Time]]&lt;1, AllData[[#This Row],[Time]]&gt;=0.75)=TRUE, "Evening", "Night")))</f>
        <v>Morning</v>
      </c>
      <c r="G84" t="str">
        <f>_xlfn.XLOOKUP(AllData[[#This Row],[Location Name]], Locations[Location Name],Locations[Group As])</f>
        <v>Avon Smiths Meadow Wyre Piddle</v>
      </c>
      <c r="H84" t="e" vm="6">
        <f>_xlfn.XLOOKUP(AllData[[#This Row],[Site Name]],LocationsKey[Site Name],LocationsKey[District])</f>
        <v>#VALUE!</v>
      </c>
      <c r="I84" t="e" vm="13">
        <f>_xlfn.XLOOKUP(AllData[[#This Row],[Site Name]],LocationsKey[Site Name],LocationsKey[Town])</f>
        <v>#VALUE!</v>
      </c>
      <c r="J84" t="str">
        <f>_xlfn.XLOOKUP(AllData[[#This Row],[Site Name]],LocationsKey[Site Name], LocationsKey[Waterway])</f>
        <v>Avon</v>
      </c>
      <c r="K84" s="139" t="s">
        <v>784</v>
      </c>
      <c r="L84" s="139">
        <v>52.122858000000001</v>
      </c>
      <c r="M84" s="156">
        <v>-2.0575000000000001</v>
      </c>
      <c r="N84" s="139" t="s">
        <v>34</v>
      </c>
      <c r="O84" s="139">
        <v>870</v>
      </c>
      <c r="P84" s="139">
        <v>12.3</v>
      </c>
      <c r="Q84" s="139">
        <v>10</v>
      </c>
      <c r="R84" s="107" t="str">
        <f>IF(AllData[[#This Row],[Nitrate (PPM)]]&gt;2, "Very high", IF(AllData[[#This Row],[Nitrate (PPM)]]&gt;1, "High", IF(AllData[[#This Row],[Nitrate (PPM)]]&gt;0.5, "Some evidence", IF(AllData[[#This Row],[Nitrate (PPM)]]&gt;=0, "No evidence"))))</f>
        <v>Very high</v>
      </c>
      <c r="S84" s="139">
        <v>0.36</v>
      </c>
      <c r="T84" s="7" t="str">
        <f>IF(AllData[[#This Row],[Phosphate (PPM)]]&gt;0.5, "Very high", IF(AllData[[#This Row],[Phosphate (PPM)]]&gt;0.1, "High", IF(AllData[[#This Row],[Phosphate (PPM)]]&gt;0.05, "Some evidence", IF(AllData[[#This Row],[Phosphate (PPM)]]&lt;=0.05, "No Evidence", ""))))</f>
        <v>High</v>
      </c>
      <c r="U84" s="139">
        <v>0.55000000000000004</v>
      </c>
      <c r="V84" s="139" t="s">
        <v>3409</v>
      </c>
    </row>
    <row r="85" spans="1:22" x14ac:dyDescent="0.35">
      <c r="A85" s="139" t="s">
        <v>3415</v>
      </c>
      <c r="B85" s="146">
        <v>45752</v>
      </c>
      <c r="C85" s="2" t="str" cm="1">
        <f t="array" ref="C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5">
        <f>YEAR(AllData[[#This Row],[Date]])</f>
        <v>2025</v>
      </c>
      <c r="E85" s="147">
        <v>0.52361111111111114</v>
      </c>
      <c r="F85" t="str">
        <f>IF(AND(AllData[[#This Row],[Time]]&lt;0.5, AllData[[#This Row],[Time]]&gt;0.17)=TRUE, "Morning", IF(AND(AllData[[#This Row],[Time]]&lt;0.75, AllData[[#This Row],[Time]]&gt;=0.5)=TRUE, "Afternoon", IF(AND(AllData[[#This Row],[Time]]&lt;1, AllData[[#This Row],[Time]]&gt;=0.75)=TRUE, "Evening", "Night")))</f>
        <v>Afternoon</v>
      </c>
      <c r="G85" t="str">
        <f>_xlfn.XLOOKUP(AllData[[#This Row],[Location Name]], Locations[Location Name],Locations[Group As])</f>
        <v>Dock Lane Bredon</v>
      </c>
      <c r="H85" t="e" vm="6">
        <f>_xlfn.XLOOKUP(AllData[[#This Row],[Site Name]],LocationsKey[Site Name],LocationsKey[District])</f>
        <v>#VALUE!</v>
      </c>
      <c r="I85" t="e" vm="11">
        <f>_xlfn.XLOOKUP(AllData[[#This Row],[Site Name]],LocationsKey[Site Name],LocationsKey[Town])</f>
        <v>#VALUE!</v>
      </c>
      <c r="J85" t="str">
        <f>_xlfn.XLOOKUP(AllData[[#This Row],[Site Name]],LocationsKey[Site Name], LocationsKey[Waterway])</f>
        <v>Avon</v>
      </c>
      <c r="K85" s="139" t="s">
        <v>2470</v>
      </c>
      <c r="L85" s="139">
        <v>52.034193999999999</v>
      </c>
      <c r="M85" s="156">
        <v>-2.1168339999999999</v>
      </c>
      <c r="N85" s="139" t="s">
        <v>34</v>
      </c>
      <c r="O85" s="139">
        <v>933</v>
      </c>
      <c r="P85" s="139">
        <v>15.4</v>
      </c>
      <c r="Q85" s="139">
        <v>8</v>
      </c>
      <c r="R85" s="107" t="str">
        <f>IF(AllData[[#This Row],[Nitrate (PPM)]]&gt;2, "Very high", IF(AllData[[#This Row],[Nitrate (PPM)]]&gt;1, "High", IF(AllData[[#This Row],[Nitrate (PPM)]]&gt;0.5, "Some evidence", IF(AllData[[#This Row],[Nitrate (PPM)]]&gt;=0, "No evidence"))))</f>
        <v>Very high</v>
      </c>
      <c r="S85" s="139">
        <v>0.12</v>
      </c>
      <c r="T85" s="7" t="str">
        <f>IF(AllData[[#This Row],[Phosphate (PPM)]]&gt;0.5, "Very high", IF(AllData[[#This Row],[Phosphate (PPM)]]&gt;0.1, "High", IF(AllData[[#This Row],[Phosphate (PPM)]]&gt;0.05, "Some evidence", IF(AllData[[#This Row],[Phosphate (PPM)]]&lt;=0.05, "No Evidence", ""))))</f>
        <v>High</v>
      </c>
      <c r="U85" s="139">
        <v>0</v>
      </c>
      <c r="V85" s="139"/>
    </row>
    <row r="86" spans="1:22" x14ac:dyDescent="0.35">
      <c r="A86" s="139" t="s">
        <v>3414</v>
      </c>
      <c r="B86" s="146">
        <v>45752</v>
      </c>
      <c r="C86" s="2" t="str" cm="1">
        <f t="array" ref="C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6">
        <f>YEAR(AllData[[#This Row],[Date]])</f>
        <v>2025</v>
      </c>
      <c r="E86" s="147">
        <v>0.52222222222222225</v>
      </c>
      <c r="F86" t="str">
        <f>IF(AND(AllData[[#This Row],[Time]]&lt;0.5, AllData[[#This Row],[Time]]&gt;0.17)=TRUE, "Morning", IF(AND(AllData[[#This Row],[Time]]&lt;0.75, AllData[[#This Row],[Time]]&gt;=0.5)=TRUE, "Afternoon", IF(AND(AllData[[#This Row],[Time]]&lt;1, AllData[[#This Row],[Time]]&gt;=0.75)=TRUE, "Evening", "Night")))</f>
        <v>Afternoon</v>
      </c>
      <c r="G86" t="str">
        <f>_xlfn.XLOOKUP(AllData[[#This Row],[Location Name]], Locations[Location Name],Locations[Group As])</f>
        <v>Carrant M5 Bridge</v>
      </c>
      <c r="H86" t="e" vm="4">
        <f>_xlfn.XLOOKUP(AllData[[#This Row],[Site Name]],LocationsKey[Site Name],LocationsKey[District])</f>
        <v>#VALUE!</v>
      </c>
      <c r="I86" t="e" vm="4">
        <f>_xlfn.XLOOKUP(AllData[[#This Row],[Site Name]],LocationsKey[Site Name],LocationsKey[Town])</f>
        <v>#VALUE!</v>
      </c>
      <c r="J86" t="str">
        <f>_xlfn.XLOOKUP(AllData[[#This Row],[Site Name]],LocationsKey[Site Name], LocationsKey[Waterway])</f>
        <v>Carrant</v>
      </c>
      <c r="K86" s="139" t="s">
        <v>1066</v>
      </c>
      <c r="L86" s="139"/>
      <c r="M86" s="156"/>
      <c r="N86" s="139" t="s">
        <v>34</v>
      </c>
      <c r="O86" s="139">
        <v>782</v>
      </c>
      <c r="P86" s="139">
        <v>12.6</v>
      </c>
      <c r="Q86" s="139">
        <v>8</v>
      </c>
      <c r="R86" s="107" t="str">
        <f>IF(AllData[[#This Row],[Nitrate (PPM)]]&gt;2, "Very high", IF(AllData[[#This Row],[Nitrate (PPM)]]&gt;1, "High", IF(AllData[[#This Row],[Nitrate (PPM)]]&gt;0.5, "Some evidence", IF(AllData[[#This Row],[Nitrate (PPM)]]&gt;=0, "No evidence"))))</f>
        <v>Very high</v>
      </c>
      <c r="S86" s="139">
        <v>0.44</v>
      </c>
      <c r="T86" s="7" t="str">
        <f>IF(AllData[[#This Row],[Phosphate (PPM)]]&gt;0.5, "Very high", IF(AllData[[#This Row],[Phosphate (PPM)]]&gt;0.1, "High", IF(AllData[[#This Row],[Phosphate (PPM)]]&gt;0.05, "Some evidence", IF(AllData[[#This Row],[Phosphate (PPM)]]&lt;=0.05, "No Evidence", ""))))</f>
        <v>High</v>
      </c>
      <c r="U86" s="139">
        <v>0</v>
      </c>
      <c r="V86" s="139"/>
    </row>
    <row r="87" spans="1:22" x14ac:dyDescent="0.35">
      <c r="A87" s="139" t="s">
        <v>3410</v>
      </c>
      <c r="B87" s="146">
        <v>45752</v>
      </c>
      <c r="C87" s="2" t="str" cm="1">
        <f t="array" ref="C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7">
        <f>YEAR(AllData[[#This Row],[Date]])</f>
        <v>2025</v>
      </c>
      <c r="E87" s="147">
        <v>0.45416666666666666</v>
      </c>
      <c r="F87" t="str">
        <f>IF(AND(AllData[[#This Row],[Time]]&lt;0.5, AllData[[#This Row],[Time]]&gt;0.17)=TRUE, "Morning", IF(AND(AllData[[#This Row],[Time]]&lt;0.75, AllData[[#This Row],[Time]]&gt;=0.5)=TRUE, "Afternoon", IF(AND(AllData[[#This Row],[Time]]&lt;1, AllData[[#This Row],[Time]]&gt;=0.75)=TRUE, "Evening", "Night")))</f>
        <v>Morning</v>
      </c>
      <c r="G87" t="str">
        <f>_xlfn.XLOOKUP(AllData[[#This Row],[Location Name]], Locations[Location Name],Locations[Group As])</f>
        <v>Piddle Brook Wyre Piddle Bridge</v>
      </c>
      <c r="H87" t="e" vm="6">
        <f>_xlfn.XLOOKUP(AllData[[#This Row],[Site Name]],LocationsKey[Site Name],LocationsKey[District])</f>
        <v>#VALUE!</v>
      </c>
      <c r="I87" t="e" vm="13">
        <f>_xlfn.XLOOKUP(AllData[[#This Row],[Site Name]],LocationsKey[Site Name],LocationsKey[Town])</f>
        <v>#VALUE!</v>
      </c>
      <c r="J87" t="str">
        <f>_xlfn.XLOOKUP(AllData[[#This Row],[Site Name]],LocationsKey[Site Name], LocationsKey[Waterway])</f>
        <v>Piddle Brook</v>
      </c>
      <c r="K87" s="139" t="s">
        <v>787</v>
      </c>
      <c r="L87" s="139">
        <v>52.126393</v>
      </c>
      <c r="M87" s="156">
        <v>-2.0565389999999999</v>
      </c>
      <c r="N87" s="139" t="s">
        <v>34</v>
      </c>
      <c r="O87" s="139">
        <v>1500</v>
      </c>
      <c r="P87" s="139">
        <v>11.1</v>
      </c>
      <c r="Q87" s="139">
        <v>5</v>
      </c>
      <c r="R87" s="107" t="str">
        <f>IF(AllData[[#This Row],[Nitrate (PPM)]]&gt;2, "Very high", IF(AllData[[#This Row],[Nitrate (PPM)]]&gt;1, "High", IF(AllData[[#This Row],[Nitrate (PPM)]]&gt;0.5, "Some evidence", IF(AllData[[#This Row],[Nitrate (PPM)]]&gt;=0, "No evidence"))))</f>
        <v>Very high</v>
      </c>
      <c r="S87" s="139">
        <v>0.63</v>
      </c>
      <c r="T87" s="7" t="str">
        <f>IF(AllData[[#This Row],[Phosphate (PPM)]]&gt;0.5, "Very high", IF(AllData[[#This Row],[Phosphate (PPM)]]&gt;0.1, "High", IF(AllData[[#This Row],[Phosphate (PPM)]]&gt;0.05, "Some evidence", IF(AllData[[#This Row],[Phosphate (PPM)]]&lt;=0.05, "No Evidence", ""))))</f>
        <v>Very high</v>
      </c>
      <c r="U87" s="139">
        <v>0.2</v>
      </c>
      <c r="V87" s="139" t="s">
        <v>3411</v>
      </c>
    </row>
    <row r="88" spans="1:22" x14ac:dyDescent="0.35">
      <c r="A88" s="139" t="s">
        <v>3416</v>
      </c>
      <c r="B88" s="146">
        <v>45752</v>
      </c>
      <c r="C88" s="2" t="str" cm="1">
        <f t="array" ref="C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8">
        <f>YEAR(AllData[[#This Row],[Date]])</f>
        <v>2025</v>
      </c>
      <c r="E88" s="147">
        <v>0.53541666666666665</v>
      </c>
      <c r="F88" t="str">
        <f>IF(AND(AllData[[#This Row],[Time]]&lt;0.5, AllData[[#This Row],[Time]]&gt;0.17)=TRUE, "Morning", IF(AND(AllData[[#This Row],[Time]]&lt;0.75, AllData[[#This Row],[Time]]&gt;=0.5)=TRUE, "Afternoon", IF(AND(AllData[[#This Row],[Time]]&lt;1, AllData[[#This Row],[Time]]&gt;=0.75)=TRUE, "Evening", "Night")))</f>
        <v>Afternoon</v>
      </c>
      <c r="G88" t="str">
        <f>_xlfn.XLOOKUP(AllData[[#This Row],[Location Name]], Locations[Location Name],Locations[Group As])</f>
        <v>Black Bear</v>
      </c>
      <c r="H88" t="e" vm="4">
        <f>_xlfn.XLOOKUP(AllData[[#This Row],[Site Name]],LocationsKey[Site Name],LocationsKey[District])</f>
        <v>#VALUE!</v>
      </c>
      <c r="I88" t="e" vm="4">
        <f>_xlfn.XLOOKUP(AllData[[#This Row],[Site Name]],LocationsKey[Site Name],LocationsKey[Town])</f>
        <v>#VALUE!</v>
      </c>
      <c r="J88" t="str">
        <f>_xlfn.XLOOKUP(AllData[[#This Row],[Site Name]],LocationsKey[Site Name], LocationsKey[Waterway])</f>
        <v>Avon</v>
      </c>
      <c r="K88" s="139" t="s">
        <v>1175</v>
      </c>
      <c r="L88" s="139">
        <v>51.99736</v>
      </c>
      <c r="M88" s="156">
        <v>-2.1561159999999999</v>
      </c>
      <c r="N88" s="139" t="s">
        <v>34</v>
      </c>
      <c r="O88" s="139">
        <v>923</v>
      </c>
      <c r="P88" s="139">
        <v>14.6</v>
      </c>
      <c r="Q88" s="139">
        <v>4</v>
      </c>
      <c r="R88" s="107" t="str">
        <f>IF(AllData[[#This Row],[Nitrate (PPM)]]&gt;2, "Very high", IF(AllData[[#This Row],[Nitrate (PPM)]]&gt;1, "High", IF(AllData[[#This Row],[Nitrate (PPM)]]&gt;0.5, "Some evidence", IF(AllData[[#This Row],[Nitrate (PPM)]]&gt;=0, "No evidence"))))</f>
        <v>Very high</v>
      </c>
      <c r="S88" s="139">
        <v>1.55</v>
      </c>
      <c r="T88" s="7" t="str">
        <f>IF(AllData[[#This Row],[Phosphate (PPM)]]&gt;0.5, "Very high", IF(AllData[[#This Row],[Phosphate (PPM)]]&gt;0.1, "High", IF(AllData[[#This Row],[Phosphate (PPM)]]&gt;0.05, "Some evidence", IF(AllData[[#This Row],[Phosphate (PPM)]]&lt;=0.05, "No Evidence", ""))))</f>
        <v>Very high</v>
      </c>
      <c r="U88" s="139">
        <v>0</v>
      </c>
      <c r="V88" s="139"/>
    </row>
    <row r="89" spans="1:22" x14ac:dyDescent="0.35">
      <c r="A89" s="139" t="s">
        <v>3413</v>
      </c>
      <c r="B89" s="146">
        <v>45752</v>
      </c>
      <c r="C89" s="2" t="str" cm="1">
        <f t="array" ref="C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89">
        <f>YEAR(AllData[[#This Row],[Date]])</f>
        <v>2025</v>
      </c>
      <c r="E89" s="147">
        <v>0.52083333333333337</v>
      </c>
      <c r="F89" t="str">
        <f>IF(AND(AllData[[#This Row],[Time]]&lt;0.5, AllData[[#This Row],[Time]]&gt;0.17)=TRUE, "Morning", IF(AND(AllData[[#This Row],[Time]]&lt;0.75, AllData[[#This Row],[Time]]&gt;=0.5)=TRUE, "Afternoon", IF(AND(AllData[[#This Row],[Time]]&lt;1, AllData[[#This Row],[Time]]&gt;=0.75)=TRUE, "Evening", "Night")))</f>
        <v>Afternoon</v>
      </c>
      <c r="G89" t="str">
        <f>_xlfn.XLOOKUP(AllData[[#This Row],[Location Name]], Locations[Location Name],Locations[Group As])</f>
        <v>Carrant Bredon Rd</v>
      </c>
      <c r="H89" t="e" vm="4">
        <f>_xlfn.XLOOKUP(AllData[[#This Row],[Site Name]],LocationsKey[Site Name],LocationsKey[District])</f>
        <v>#VALUE!</v>
      </c>
      <c r="I89" t="e" vm="4">
        <f>_xlfn.XLOOKUP(AllData[[#This Row],[Site Name]],LocationsKey[Site Name],LocationsKey[Town])</f>
        <v>#VALUE!</v>
      </c>
      <c r="J89" t="str">
        <f>_xlfn.XLOOKUP(AllData[[#This Row],[Site Name]],LocationsKey[Site Name], LocationsKey[Waterway])</f>
        <v>Carrant</v>
      </c>
      <c r="K89" s="139" t="s">
        <v>603</v>
      </c>
      <c r="L89" s="139">
        <v>51.996104000000003</v>
      </c>
      <c r="M89" s="156">
        <v>-2.1559970000000002</v>
      </c>
      <c r="N89" s="139" t="s">
        <v>25</v>
      </c>
      <c r="O89" s="139">
        <v>753</v>
      </c>
      <c r="P89" s="139">
        <v>13.1</v>
      </c>
      <c r="Q89" s="139">
        <v>4</v>
      </c>
      <c r="R89" s="107" t="str">
        <f>IF(AllData[[#This Row],[Nitrate (PPM)]]&gt;2, "Very high", IF(AllData[[#This Row],[Nitrate (PPM)]]&gt;1, "High", IF(AllData[[#This Row],[Nitrate (PPM)]]&gt;0.5, "Some evidence", IF(AllData[[#This Row],[Nitrate (PPM)]]&gt;=0, "No evidence"))))</f>
        <v>Very high</v>
      </c>
      <c r="S89" s="139">
        <v>0.28000000000000003</v>
      </c>
      <c r="T89" s="7" t="str">
        <f>IF(AllData[[#This Row],[Phosphate (PPM)]]&gt;0.5, "Very high", IF(AllData[[#This Row],[Phosphate (PPM)]]&gt;0.1, "High", IF(AllData[[#This Row],[Phosphate (PPM)]]&gt;0.05, "Some evidence", IF(AllData[[#This Row],[Phosphate (PPM)]]&lt;=0.05, "No Evidence", ""))))</f>
        <v>High</v>
      </c>
      <c r="U89" s="139">
        <v>0.05</v>
      </c>
      <c r="V89" s="139"/>
    </row>
    <row r="90" spans="1:22" x14ac:dyDescent="0.35">
      <c r="A90" s="139" t="s">
        <v>3412</v>
      </c>
      <c r="B90" s="146">
        <v>45752</v>
      </c>
      <c r="C90" s="2" t="str" cm="1">
        <f t="array" ref="C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0">
        <f>YEAR(AllData[[#This Row],[Date]])</f>
        <v>2025</v>
      </c>
      <c r="E90" s="147">
        <v>0.51388888888888884</v>
      </c>
      <c r="F90" t="str">
        <f>IF(AND(AllData[[#This Row],[Time]]&lt;0.5, AllData[[#This Row],[Time]]&gt;0.17)=TRUE, "Morning", IF(AND(AllData[[#This Row],[Time]]&lt;0.75, AllData[[#This Row],[Time]]&gt;=0.5)=TRUE, "Afternoon", IF(AND(AllData[[#This Row],[Time]]&lt;1, AllData[[#This Row],[Time]]&gt;=0.75)=TRUE, "Evening", "Night")))</f>
        <v>Afternoon</v>
      </c>
      <c r="G90" t="str">
        <f>_xlfn.XLOOKUP(AllData[[#This Row],[Location Name]], Locations[Location Name],Locations[Group As])</f>
        <v>Preston-on-Stour River Bridge</v>
      </c>
      <c r="H90" t="e" vm="1">
        <f>_xlfn.XLOOKUP(AllData[[#This Row],[Site Name]],LocationsKey[Site Name],LocationsKey[District])</f>
        <v>#VALUE!</v>
      </c>
      <c r="I90" t="e" vm="20">
        <f>_xlfn.XLOOKUP(AllData[[#This Row],[Site Name]],LocationsKey[Site Name],LocationsKey[Town])</f>
        <v>#VALUE!</v>
      </c>
      <c r="J90" t="str">
        <f>_xlfn.XLOOKUP(AllData[[#This Row],[Site Name]],LocationsKey[Site Name], LocationsKey[Waterway])</f>
        <v>Stour</v>
      </c>
      <c r="K90" s="139" t="s">
        <v>164</v>
      </c>
      <c r="L90" s="139">
        <v>52.146388999999999</v>
      </c>
      <c r="M90" s="156">
        <v>-1.7000949999999999</v>
      </c>
      <c r="N90" s="139" t="s">
        <v>31</v>
      </c>
      <c r="O90" s="139">
        <v>665</v>
      </c>
      <c r="P90" s="139">
        <v>12.1</v>
      </c>
      <c r="Q90" s="139">
        <v>4</v>
      </c>
      <c r="R90" s="107" t="str">
        <f>IF(AllData[[#This Row],[Nitrate (PPM)]]&gt;2, "Very high", IF(AllData[[#This Row],[Nitrate (PPM)]]&gt;1, "High", IF(AllData[[#This Row],[Nitrate (PPM)]]&gt;0.5, "Some evidence", IF(AllData[[#This Row],[Nitrate (PPM)]]&gt;=0, "No evidence"))))</f>
        <v>Very high</v>
      </c>
      <c r="S90" s="139">
        <v>0.1</v>
      </c>
      <c r="T90" s="7" t="str">
        <f>IF(AllData[[#This Row],[Phosphate (PPM)]]&gt;0.5, "Very high", IF(AllData[[#This Row],[Phosphate (PPM)]]&gt;0.1, "High", IF(AllData[[#This Row],[Phosphate (PPM)]]&gt;0.05, "Some evidence", IF(AllData[[#This Row],[Phosphate (PPM)]]&lt;=0.05, "No Evidence", ""))))</f>
        <v>Some evidence</v>
      </c>
      <c r="U90" s="139">
        <v>1.5</v>
      </c>
      <c r="V90" s="139"/>
    </row>
    <row r="91" spans="1:22" x14ac:dyDescent="0.35">
      <c r="A91" s="139" t="s">
        <v>3407</v>
      </c>
      <c r="B91" s="146">
        <v>45751</v>
      </c>
      <c r="C91" s="2" t="str" cm="1">
        <f t="array" ref="C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1">
        <f>YEAR(AllData[[#This Row],[Date]])</f>
        <v>2025</v>
      </c>
      <c r="E91" s="147">
        <v>0.63055555555555554</v>
      </c>
      <c r="F91" t="str">
        <f>IF(AND(AllData[[#This Row],[Time]]&lt;0.5, AllData[[#This Row],[Time]]&gt;0.17)=TRUE, "Morning", IF(AND(AllData[[#This Row],[Time]]&lt;0.75, AllData[[#This Row],[Time]]&gt;=0.5)=TRUE, "Afternoon", IF(AND(AllData[[#This Row],[Time]]&lt;1, AllData[[#This Row],[Time]]&gt;=0.75)=TRUE, "Evening", "Night")))</f>
        <v>Afternoon</v>
      </c>
      <c r="G91" t="str">
        <f>_xlfn.XLOOKUP(AllData[[#This Row],[Location Name]], Locations[Location Name],Locations[Group As])</f>
        <v>Stour Shipston Mill Bridge</v>
      </c>
      <c r="H91" t="e" vm="1">
        <f>_xlfn.XLOOKUP(AllData[[#This Row],[Site Name]],LocationsKey[Site Name],LocationsKey[District])</f>
        <v>#VALUE!</v>
      </c>
      <c r="I91" t="e" vm="15">
        <f>_xlfn.XLOOKUP(AllData[[#This Row],[Site Name]],LocationsKey[Site Name],LocationsKey[Town])</f>
        <v>#VALUE!</v>
      </c>
      <c r="J91" t="str">
        <f>_xlfn.XLOOKUP(AllData[[#This Row],[Site Name]],LocationsKey[Site Name], LocationsKey[Waterway])</f>
        <v>Stour</v>
      </c>
      <c r="K91" s="139" t="s">
        <v>2038</v>
      </c>
      <c r="L91" s="139">
        <v>52.062296000000003</v>
      </c>
      <c r="M91" s="156">
        <v>-1.622733</v>
      </c>
      <c r="N91" s="139" t="s">
        <v>25</v>
      </c>
      <c r="O91" s="139">
        <v>5.9</v>
      </c>
      <c r="P91" s="139">
        <v>14.8</v>
      </c>
      <c r="Q91" s="139">
        <v>4.5</v>
      </c>
      <c r="R91" s="107" t="str">
        <f>IF(AllData[[#This Row],[Nitrate (PPM)]]&gt;2, "Very high", IF(AllData[[#This Row],[Nitrate (PPM)]]&gt;1, "High", IF(AllData[[#This Row],[Nitrate (PPM)]]&gt;0.5, "Some evidence", IF(AllData[[#This Row],[Nitrate (PPM)]]&gt;=0, "No evidence"))))</f>
        <v>Very high</v>
      </c>
      <c r="S91" s="139">
        <v>0.03</v>
      </c>
      <c r="T91" s="7" t="str">
        <f>IF(AllData[[#This Row],[Phosphate (PPM)]]&gt;0.5, "Very high", IF(AllData[[#This Row],[Phosphate (PPM)]]&gt;0.1, "High", IF(AllData[[#This Row],[Phosphate (PPM)]]&gt;0.05, "Some evidence", IF(AllData[[#This Row],[Phosphate (PPM)]]&lt;=0.05, "No Evidence", ""))))</f>
        <v>No Evidence</v>
      </c>
      <c r="U91" s="139">
        <v>0.42</v>
      </c>
      <c r="V91" s="139" t="s">
        <v>2925</v>
      </c>
    </row>
    <row r="92" spans="1:22" x14ac:dyDescent="0.35">
      <c r="A92" s="139" t="s">
        <v>3405</v>
      </c>
      <c r="B92" s="146">
        <v>45751</v>
      </c>
      <c r="C92" s="2" t="str" cm="1">
        <f t="array" ref="C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2">
        <f>YEAR(AllData[[#This Row],[Date]])</f>
        <v>2025</v>
      </c>
      <c r="E92" s="147">
        <v>0.58263888888888893</v>
      </c>
      <c r="F92" t="str">
        <f>IF(AND(AllData[[#This Row],[Time]]&lt;0.5, AllData[[#This Row],[Time]]&gt;0.17)=TRUE, "Morning", IF(AND(AllData[[#This Row],[Time]]&lt;0.75, AllData[[#This Row],[Time]]&gt;=0.5)=TRUE, "Afternoon", IF(AND(AllData[[#This Row],[Time]]&lt;1, AllData[[#This Row],[Time]]&gt;=0.75)=TRUE, "Evening", "Night")))</f>
        <v>Afternoon</v>
      </c>
      <c r="G92" t="str">
        <f>_xlfn.XLOOKUP(AllData[[#This Row],[Location Name]], Locations[Location Name],Locations[Group As])</f>
        <v>Mill Bridge Peopleton</v>
      </c>
      <c r="H92" t="e" vm="6">
        <f>_xlfn.XLOOKUP(AllData[[#This Row],[Site Name]],LocationsKey[Site Name],LocationsKey[District])</f>
        <v>#VALUE!</v>
      </c>
      <c r="I92" t="str">
        <f>_xlfn.XLOOKUP(AllData[[#This Row],[Site Name]],LocationsKey[Site Name],LocationsKey[Town])</f>
        <v>Peopleton</v>
      </c>
      <c r="J92" t="str">
        <f>_xlfn.XLOOKUP(AllData[[#This Row],[Site Name]],LocationsKey[Site Name], LocationsKey[Waterway])</f>
        <v>Bow Brook</v>
      </c>
      <c r="K92" s="139" t="s">
        <v>1015</v>
      </c>
      <c r="L92" s="139">
        <v>52.151702999999998</v>
      </c>
      <c r="M92" s="156">
        <v>-2.0963370000000001</v>
      </c>
      <c r="N92" s="139" t="s">
        <v>31</v>
      </c>
      <c r="O92" s="139">
        <v>1170</v>
      </c>
      <c r="P92" s="139">
        <v>13.6</v>
      </c>
      <c r="Q92" s="139">
        <v>2</v>
      </c>
      <c r="R92" s="107" t="str">
        <f>IF(AllData[[#This Row],[Nitrate (PPM)]]&gt;2, "Very high", IF(AllData[[#This Row],[Nitrate (PPM)]]&gt;1, "High", IF(AllData[[#This Row],[Nitrate (PPM)]]&gt;0.5, "Some evidence", IF(AllData[[#This Row],[Nitrate (PPM)]]&gt;=0, "No evidence"))))</f>
        <v>High</v>
      </c>
      <c r="S92" s="139">
        <v>0.45</v>
      </c>
      <c r="T92" s="7" t="str">
        <f>IF(AllData[[#This Row],[Phosphate (PPM)]]&gt;0.5, "Very high", IF(AllData[[#This Row],[Phosphate (PPM)]]&gt;0.1, "High", IF(AllData[[#This Row],[Phosphate (PPM)]]&gt;0.05, "Some evidence", IF(AllData[[#This Row],[Phosphate (PPM)]]&lt;=0.05, "No Evidence", ""))))</f>
        <v>High</v>
      </c>
      <c r="U92" s="139">
        <v>0.3</v>
      </c>
      <c r="V92" s="139" t="s">
        <v>3406</v>
      </c>
    </row>
    <row r="93" spans="1:22" x14ac:dyDescent="0.35">
      <c r="A93" s="139" t="s">
        <v>3403</v>
      </c>
      <c r="B93" s="146">
        <v>45750</v>
      </c>
      <c r="C93" s="2" t="str" cm="1">
        <f t="array" ref="C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3">
        <f>YEAR(AllData[[#This Row],[Date]])</f>
        <v>2025</v>
      </c>
      <c r="E93" s="147">
        <v>0.4201388888888889</v>
      </c>
      <c r="F93" t="str">
        <f>IF(AND(AllData[[#This Row],[Time]]&lt;0.5, AllData[[#This Row],[Time]]&gt;0.17)=TRUE, "Morning", IF(AND(AllData[[#This Row],[Time]]&lt;0.75, AllData[[#This Row],[Time]]&gt;=0.5)=TRUE, "Afternoon", IF(AND(AllData[[#This Row],[Time]]&lt;1, AllData[[#This Row],[Time]]&gt;=0.75)=TRUE, "Evening", "Night")))</f>
        <v>Morning</v>
      </c>
      <c r="G93" t="str">
        <f>_xlfn.XLOOKUP(AllData[[#This Row],[Location Name]], Locations[Location Name],Locations[Group As])</f>
        <v>Carters Lane</v>
      </c>
      <c r="H93" t="e" vm="1">
        <f>_xlfn.XLOOKUP(AllData[[#This Row],[Site Name]],LocationsKey[Site Name],LocationsKey[District])</f>
        <v>#VALUE!</v>
      </c>
      <c r="I93" t="e" vm="3">
        <f>_xlfn.XLOOKUP(AllData[[#This Row],[Site Name]],LocationsKey[Site Name],LocationsKey[Town])</f>
        <v>#VALUE!</v>
      </c>
      <c r="J93" t="str">
        <f>_xlfn.XLOOKUP(AllData[[#This Row],[Site Name]],LocationsKey[Site Name], LocationsKey[Waterway])</f>
        <v>Avon</v>
      </c>
      <c r="K93" s="139" t="s">
        <v>2520</v>
      </c>
      <c r="L93" s="139">
        <v>52.202454000000003</v>
      </c>
      <c r="M93" s="156">
        <v>-1.6786799999999999</v>
      </c>
      <c r="N93" s="139" t="s">
        <v>68</v>
      </c>
      <c r="O93" s="139">
        <v>945</v>
      </c>
      <c r="P93" s="139">
        <v>12</v>
      </c>
      <c r="Q93" s="139">
        <v>10</v>
      </c>
      <c r="R93" s="107" t="str">
        <f>IF(AllData[[#This Row],[Nitrate (PPM)]]&gt;2, "Very high", IF(AllData[[#This Row],[Nitrate (PPM)]]&gt;1, "High", IF(AllData[[#This Row],[Nitrate (PPM)]]&gt;0.5, "Some evidence", IF(AllData[[#This Row],[Nitrate (PPM)]]&gt;=0, "No evidence"))))</f>
        <v>Very high</v>
      </c>
      <c r="S93" s="139">
        <v>0.24</v>
      </c>
      <c r="T93" s="7" t="str">
        <f>IF(AllData[[#This Row],[Phosphate (PPM)]]&gt;0.5, "Very high", IF(AllData[[#This Row],[Phosphate (PPM)]]&gt;0.1, "High", IF(AllData[[#This Row],[Phosphate (PPM)]]&gt;0.05, "Some evidence", IF(AllData[[#This Row],[Phosphate (PPM)]]&lt;=0.05, "No Evidence", ""))))</f>
        <v>High</v>
      </c>
      <c r="U93" s="139">
        <v>0.64</v>
      </c>
      <c r="V93" s="139"/>
    </row>
    <row r="94" spans="1:22" x14ac:dyDescent="0.35">
      <c r="A94" s="139" t="s">
        <v>3401</v>
      </c>
      <c r="B94" s="146">
        <v>45750</v>
      </c>
      <c r="C94" s="2" t="str" cm="1">
        <f t="array" ref="C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4">
        <f>YEAR(AllData[[#This Row],[Date]])</f>
        <v>2025</v>
      </c>
      <c r="E94" s="147">
        <v>0.41875000000000001</v>
      </c>
      <c r="F94" t="str">
        <f>IF(AND(AllData[[#This Row],[Time]]&lt;0.5, AllData[[#This Row],[Time]]&gt;0.17)=TRUE, "Morning", IF(AND(AllData[[#This Row],[Time]]&lt;0.75, AllData[[#This Row],[Time]]&gt;=0.5)=TRUE, "Afternoon", IF(AND(AllData[[#This Row],[Time]]&lt;1, AllData[[#This Row],[Time]]&gt;=0.75)=TRUE, "Evening", "Night")))</f>
        <v>Morning</v>
      </c>
      <c r="G94" t="str">
        <f>_xlfn.XLOOKUP(AllData[[#This Row],[Location Name]], Locations[Location Name],Locations[Group As])</f>
        <v>School Lane</v>
      </c>
      <c r="H94" t="e" vm="1">
        <f>_xlfn.XLOOKUP(AllData[[#This Row],[Site Name]],LocationsKey[Site Name],LocationsKey[District])</f>
        <v>#VALUE!</v>
      </c>
      <c r="I94" t="e" vm="3">
        <f>_xlfn.XLOOKUP(AllData[[#This Row],[Site Name]],LocationsKey[Site Name],LocationsKey[Town])</f>
        <v>#VALUE!</v>
      </c>
      <c r="J94" t="str">
        <f>_xlfn.XLOOKUP(AllData[[#This Row],[Site Name]],LocationsKey[Site Name], LocationsKey[Waterway])</f>
        <v>Avon</v>
      </c>
      <c r="K94" s="139" t="s">
        <v>2212</v>
      </c>
      <c r="L94" s="139">
        <v>52.202500999999998</v>
      </c>
      <c r="M94" s="156">
        <v>-1.678712</v>
      </c>
      <c r="N94" s="139" t="s">
        <v>31</v>
      </c>
      <c r="O94" s="139">
        <v>942</v>
      </c>
      <c r="P94" s="139">
        <v>11.6</v>
      </c>
      <c r="Q94" s="139">
        <v>10</v>
      </c>
      <c r="R94" s="107" t="str">
        <f>IF(AllData[[#This Row],[Nitrate (PPM)]]&gt;2, "Very high", IF(AllData[[#This Row],[Nitrate (PPM)]]&gt;1, "High", IF(AllData[[#This Row],[Nitrate (PPM)]]&gt;0.5, "Some evidence", IF(AllData[[#This Row],[Nitrate (PPM)]]&gt;=0, "No evidence"))))</f>
        <v>Very high</v>
      </c>
      <c r="S94" s="139">
        <v>0.24</v>
      </c>
      <c r="T94" s="7" t="str">
        <f>IF(AllData[[#This Row],[Phosphate (PPM)]]&gt;0.5, "Very high", IF(AllData[[#This Row],[Phosphate (PPM)]]&gt;0.1, "High", IF(AllData[[#This Row],[Phosphate (PPM)]]&gt;0.05, "Some evidence", IF(AllData[[#This Row],[Phosphate (PPM)]]&lt;=0.05, "No Evidence", ""))))</f>
        <v>High</v>
      </c>
      <c r="U94" s="139">
        <v>0.64</v>
      </c>
      <c r="V94" s="139"/>
    </row>
    <row r="95" spans="1:22" x14ac:dyDescent="0.35">
      <c r="A95" s="139" t="s">
        <v>3404</v>
      </c>
      <c r="B95" s="146">
        <v>45750</v>
      </c>
      <c r="C95" s="2" t="str" cm="1">
        <f t="array" ref="C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5">
        <f>YEAR(AllData[[#This Row],[Date]])</f>
        <v>2025</v>
      </c>
      <c r="E95" s="147">
        <v>0.67777777777777781</v>
      </c>
      <c r="F95" t="str">
        <f>IF(AND(AllData[[#This Row],[Time]]&lt;0.5, AllData[[#This Row],[Time]]&gt;0.17)=TRUE, "Morning", IF(AND(AllData[[#This Row],[Time]]&lt;0.75, AllData[[#This Row],[Time]]&gt;=0.5)=TRUE, "Afternoon", IF(AND(AllData[[#This Row],[Time]]&lt;1, AllData[[#This Row],[Time]]&gt;=0.75)=TRUE, "Evening", "Night")))</f>
        <v>Afternoon</v>
      </c>
      <c r="G95" t="str">
        <f>_xlfn.XLOOKUP(AllData[[#This Row],[Location Name]], Locations[Location Name],Locations[Group As])</f>
        <v>Twyning Fleet</v>
      </c>
      <c r="H95" t="e" vm="4">
        <f>_xlfn.XLOOKUP(AllData[[#This Row],[Site Name]],LocationsKey[Site Name],LocationsKey[District])</f>
        <v>#VALUE!</v>
      </c>
      <c r="I95" t="str">
        <f>_xlfn.XLOOKUP(AllData[[#This Row],[Site Name]],LocationsKey[Site Name],LocationsKey[Town])</f>
        <v>Twyning Green</v>
      </c>
      <c r="J95" t="str">
        <f>_xlfn.XLOOKUP(AllData[[#This Row],[Site Name]],LocationsKey[Site Name], LocationsKey[Waterway])</f>
        <v>Avon</v>
      </c>
      <c r="K95" s="139" t="s">
        <v>2181</v>
      </c>
      <c r="L95" s="139">
        <v>52.027211999999999</v>
      </c>
      <c r="M95" s="156">
        <v>-2.140879</v>
      </c>
      <c r="N95" s="139"/>
      <c r="O95" s="139">
        <v>931</v>
      </c>
      <c r="P95" s="139">
        <v>14</v>
      </c>
      <c r="Q95" s="139">
        <v>10</v>
      </c>
      <c r="R95" s="107" t="str">
        <f>IF(AllData[[#This Row],[Nitrate (PPM)]]&gt;2, "Very high", IF(AllData[[#This Row],[Nitrate (PPM)]]&gt;1, "High", IF(AllData[[#This Row],[Nitrate (PPM)]]&gt;0.5, "Some evidence", IF(AllData[[#This Row],[Nitrate (PPM)]]&gt;=0, "No evidence"))))</f>
        <v>Very high</v>
      </c>
      <c r="S95" s="139">
        <v>0.47</v>
      </c>
      <c r="T95" s="7" t="str">
        <f>IF(AllData[[#This Row],[Phosphate (PPM)]]&gt;0.5, "Very high", IF(AllData[[#This Row],[Phosphate (PPM)]]&gt;0.1, "High", IF(AllData[[#This Row],[Phosphate (PPM)]]&gt;0.05, "Some evidence", IF(AllData[[#This Row],[Phosphate (PPM)]]&lt;=0.05, "No Evidence", ""))))</f>
        <v>High</v>
      </c>
      <c r="U95" s="139">
        <v>0</v>
      </c>
      <c r="V95" s="139"/>
    </row>
    <row r="96" spans="1:22" x14ac:dyDescent="0.35">
      <c r="A96" s="139" t="s">
        <v>3402</v>
      </c>
      <c r="B96" s="146">
        <v>45750</v>
      </c>
      <c r="C96" s="2" t="str" cm="1">
        <f t="array" ref="C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6">
        <f>YEAR(AllData[[#This Row],[Date]])</f>
        <v>2025</v>
      </c>
      <c r="E96" s="147">
        <v>0.4201388888888889</v>
      </c>
      <c r="F96" t="str">
        <f>IF(AND(AllData[[#This Row],[Time]]&lt;0.5, AllData[[#This Row],[Time]]&gt;0.17)=TRUE, "Morning", IF(AND(AllData[[#This Row],[Time]]&lt;0.75, AllData[[#This Row],[Time]]&gt;=0.5)=TRUE, "Afternoon", IF(AND(AllData[[#This Row],[Time]]&lt;1, AllData[[#This Row],[Time]]&gt;=0.75)=TRUE, "Evening", "Night")))</f>
        <v>Morning</v>
      </c>
      <c r="G96" t="str">
        <f>_xlfn.XLOOKUP(AllData[[#This Row],[Location Name]], Locations[Location Name],Locations[Group As])</f>
        <v>Swilgate</v>
      </c>
      <c r="H96" t="e" vm="4">
        <f>_xlfn.XLOOKUP(AllData[[#This Row],[Site Name]],LocationsKey[Site Name],LocationsKey[District])</f>
        <v>#VALUE!</v>
      </c>
      <c r="I96" t="e" vm="4">
        <f>_xlfn.XLOOKUP(AllData[[#This Row],[Site Name]],LocationsKey[Site Name],LocationsKey[Town])</f>
        <v>#VALUE!</v>
      </c>
      <c r="J96" t="str">
        <f>_xlfn.XLOOKUP(AllData[[#This Row],[Site Name]],LocationsKey[Site Name], LocationsKey[Waterway])</f>
        <v>Swilgate</v>
      </c>
      <c r="K96" s="139" t="s">
        <v>85</v>
      </c>
      <c r="L96" s="139"/>
      <c r="M96" s="156"/>
      <c r="N96" s="139" t="s">
        <v>34</v>
      </c>
      <c r="O96" s="139">
        <v>107</v>
      </c>
      <c r="P96" s="139">
        <v>10.5</v>
      </c>
      <c r="Q96" s="139">
        <v>5</v>
      </c>
      <c r="R96" s="107" t="str">
        <f>IF(AllData[[#This Row],[Nitrate (PPM)]]&gt;2, "Very high", IF(AllData[[#This Row],[Nitrate (PPM)]]&gt;1, "High", IF(AllData[[#This Row],[Nitrate (PPM)]]&gt;0.5, "Some evidence", IF(AllData[[#This Row],[Nitrate (PPM)]]&gt;=0, "No evidence"))))</f>
        <v>Very high</v>
      </c>
      <c r="S96" s="139">
        <v>0.52</v>
      </c>
      <c r="T96" s="7" t="str">
        <f>IF(AllData[[#This Row],[Phosphate (PPM)]]&gt;0.5, "Very high", IF(AllData[[#This Row],[Phosphate (PPM)]]&gt;0.1, "High", IF(AllData[[#This Row],[Phosphate (PPM)]]&gt;0.05, "Some evidence", IF(AllData[[#This Row],[Phosphate (PPM)]]&lt;=0.05, "No Evidence", ""))))</f>
        <v>Very high</v>
      </c>
      <c r="U96" s="139">
        <v>0</v>
      </c>
      <c r="V96" s="139"/>
    </row>
    <row r="97" spans="1:22" x14ac:dyDescent="0.35">
      <c r="A97" s="139" t="s">
        <v>3399</v>
      </c>
      <c r="B97" s="146">
        <v>45749</v>
      </c>
      <c r="C97" s="2" t="str" cm="1">
        <f t="array" ref="C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7">
        <f>YEAR(AllData[[#This Row],[Date]])</f>
        <v>2025</v>
      </c>
      <c r="E97" s="147">
        <v>0.58402777777777781</v>
      </c>
      <c r="F97" t="str">
        <f>IF(AND(AllData[[#This Row],[Time]]&lt;0.5, AllData[[#This Row],[Time]]&gt;0.17)=TRUE, "Morning", IF(AND(AllData[[#This Row],[Time]]&lt;0.75, AllData[[#This Row],[Time]]&gt;=0.5)=TRUE, "Afternoon", IF(AND(AllData[[#This Row],[Time]]&lt;1, AllData[[#This Row],[Time]]&gt;=0.75)=TRUE, "Evening", "Night")))</f>
        <v>Afternoon</v>
      </c>
      <c r="G97" t="str">
        <f>_xlfn.XLOOKUP(AllData[[#This Row],[Location Name]], Locations[Location Name],Locations[Group As])</f>
        <v>SSC Bredons Norton</v>
      </c>
      <c r="H97" t="e" vm="6">
        <f>_xlfn.XLOOKUP(AllData[[#This Row],[Site Name]],LocationsKey[Site Name],LocationsKey[District])</f>
        <v>#VALUE!</v>
      </c>
      <c r="I97" t="str">
        <f>_xlfn.XLOOKUP(AllData[[#This Row],[Site Name]],LocationsKey[Site Name],LocationsKey[Town])</f>
        <v>Bredon's Norton</v>
      </c>
      <c r="J97" t="str">
        <f>_xlfn.XLOOKUP(AllData[[#This Row],[Site Name]],LocationsKey[Site Name], LocationsKey[Waterway])</f>
        <v>Avon</v>
      </c>
      <c r="K97" s="139" t="s">
        <v>2121</v>
      </c>
      <c r="L97" s="139">
        <v>52.050790999999997</v>
      </c>
      <c r="M97" s="156">
        <v>-2.1170469999999999</v>
      </c>
      <c r="N97" s="139" t="s">
        <v>25</v>
      </c>
      <c r="O97" s="139">
        <v>925</v>
      </c>
      <c r="P97" s="139">
        <v>12.9</v>
      </c>
      <c r="Q97" s="139">
        <v>10</v>
      </c>
      <c r="R97" s="107" t="str">
        <f>IF(AllData[[#This Row],[Nitrate (PPM)]]&gt;2, "Very high", IF(AllData[[#This Row],[Nitrate (PPM)]]&gt;1, "High", IF(AllData[[#This Row],[Nitrate (PPM)]]&gt;0.5, "Some evidence", IF(AllData[[#This Row],[Nitrate (PPM)]]&gt;=0, "No evidence"))))</f>
        <v>Very high</v>
      </c>
      <c r="S97" s="139">
        <v>0.45</v>
      </c>
      <c r="T97" s="7" t="str">
        <f>IF(AllData[[#This Row],[Phosphate (PPM)]]&gt;0.5, "Very high", IF(AllData[[#This Row],[Phosphate (PPM)]]&gt;0.1, "High", IF(AllData[[#This Row],[Phosphate (PPM)]]&gt;0.05, "Some evidence", IF(AllData[[#This Row],[Phosphate (PPM)]]&lt;=0.05, "No Evidence", ""))))</f>
        <v>High</v>
      </c>
      <c r="U97" s="139">
        <v>1</v>
      </c>
      <c r="V97" s="139"/>
    </row>
    <row r="98" spans="1:22" x14ac:dyDescent="0.35">
      <c r="A98" s="139" t="s">
        <v>3400</v>
      </c>
      <c r="B98" s="146">
        <v>45749</v>
      </c>
      <c r="C98" s="2" t="str" cm="1">
        <f t="array" ref="C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8">
        <f>YEAR(AllData[[#This Row],[Date]])</f>
        <v>2025</v>
      </c>
      <c r="E98" s="147">
        <v>0.67569444444444449</v>
      </c>
      <c r="F98" t="str">
        <f>IF(AND(AllData[[#This Row],[Time]]&lt;0.5, AllData[[#This Row],[Time]]&gt;0.17)=TRUE, "Morning", IF(AND(AllData[[#This Row],[Time]]&lt;0.75, AllData[[#This Row],[Time]]&gt;=0.5)=TRUE, "Afternoon", IF(AND(AllData[[#This Row],[Time]]&lt;1, AllData[[#This Row],[Time]]&gt;=0.75)=TRUE, "Evening", "Night")))</f>
        <v>Afternoon</v>
      </c>
      <c r="G98" t="str">
        <f>_xlfn.XLOOKUP(AllData[[#This Row],[Location Name]], Locations[Location Name],Locations[Group As])</f>
        <v>Carrant Mitton Path</v>
      </c>
      <c r="H98" t="e" vm="4">
        <f>_xlfn.XLOOKUP(AllData[[#This Row],[Site Name]],LocationsKey[Site Name],LocationsKey[District])</f>
        <v>#VALUE!</v>
      </c>
      <c r="I98" t="e" vm="4">
        <f>_xlfn.XLOOKUP(AllData[[#This Row],[Site Name]],LocationsKey[Site Name],LocationsKey[Town])</f>
        <v>#VALUE!</v>
      </c>
      <c r="J98" t="str">
        <f>_xlfn.XLOOKUP(AllData[[#This Row],[Site Name]],LocationsKey[Site Name], LocationsKey[Waterway])</f>
        <v>Carrant</v>
      </c>
      <c r="K98" s="139" t="s">
        <v>1064</v>
      </c>
      <c r="L98" s="139">
        <v>51.999764999999996</v>
      </c>
      <c r="M98" s="156">
        <v>-2.1409259999999999</v>
      </c>
      <c r="N98" s="139" t="s">
        <v>31</v>
      </c>
      <c r="O98" s="139">
        <v>7050</v>
      </c>
      <c r="P98" s="139">
        <v>12.7</v>
      </c>
      <c r="Q98" s="139">
        <v>6</v>
      </c>
      <c r="R98" s="107" t="str">
        <f>IF(AllData[[#This Row],[Nitrate (PPM)]]&gt;2, "Very high", IF(AllData[[#This Row],[Nitrate (PPM)]]&gt;1, "High", IF(AllData[[#This Row],[Nitrate (PPM)]]&gt;0.5, "Some evidence", IF(AllData[[#This Row],[Nitrate (PPM)]]&gt;=0, "No evidence"))))</f>
        <v>Very high</v>
      </c>
      <c r="S98" s="139">
        <v>0.43</v>
      </c>
      <c r="T98" s="7" t="str">
        <f>IF(AllData[[#This Row],[Phosphate (PPM)]]&gt;0.5, "Very high", IF(AllData[[#This Row],[Phosphate (PPM)]]&gt;0.1, "High", IF(AllData[[#This Row],[Phosphate (PPM)]]&gt;0.05, "Some evidence", IF(AllData[[#This Row],[Phosphate (PPM)]]&lt;=0.05, "No Evidence", ""))))</f>
        <v>High</v>
      </c>
      <c r="U98" s="139">
        <v>0</v>
      </c>
      <c r="V98" s="139" t="s">
        <v>3306</v>
      </c>
    </row>
    <row r="99" spans="1:22" x14ac:dyDescent="0.35">
      <c r="A99" s="139" t="s">
        <v>3397</v>
      </c>
      <c r="B99" s="146">
        <v>45748</v>
      </c>
      <c r="C99" s="2" t="str" cm="1">
        <f t="array" ref="C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99">
        <f>YEAR(AllData[[#This Row],[Date]])</f>
        <v>2025</v>
      </c>
      <c r="E99" s="147">
        <v>0.63541666666666663</v>
      </c>
      <c r="F99" t="str">
        <f>IF(AND(AllData[[#This Row],[Time]]&lt;0.5, AllData[[#This Row],[Time]]&gt;0.17)=TRUE, "Morning", IF(AND(AllData[[#This Row],[Time]]&lt;0.75, AllData[[#This Row],[Time]]&gt;=0.5)=TRUE, "Afternoon", IF(AND(AllData[[#This Row],[Time]]&lt;1, AllData[[#This Row],[Time]]&gt;=0.75)=TRUE, "Evening", "Night")))</f>
        <v>Afternoon</v>
      </c>
      <c r="G99" t="str">
        <f>_xlfn.XLOOKUP(AllData[[#This Row],[Location Name]], Locations[Location Name],Locations[Group As])</f>
        <v>New Barn Farm Brailes</v>
      </c>
      <c r="H99" t="e" vm="1">
        <f>_xlfn.XLOOKUP(AllData[[#This Row],[Site Name]],LocationsKey[Site Name],LocationsKey[District])</f>
        <v>#VALUE!</v>
      </c>
      <c r="I99" t="e" vm="5">
        <f>_xlfn.XLOOKUP(AllData[[#This Row],[Site Name]],LocationsKey[Site Name],LocationsKey[Town])</f>
        <v>#VALUE!</v>
      </c>
      <c r="J99" t="str">
        <f>_xlfn.XLOOKUP(AllData[[#This Row],[Site Name]],LocationsKey[Site Name], LocationsKey[Waterway])</f>
        <v>Sutton Brook</v>
      </c>
      <c r="K99" s="139" t="s">
        <v>3398</v>
      </c>
      <c r="L99" s="139"/>
      <c r="M99" s="156"/>
      <c r="N99" s="139" t="s">
        <v>31</v>
      </c>
      <c r="O99" s="139">
        <v>600</v>
      </c>
      <c r="P99" s="139">
        <v>13.2</v>
      </c>
      <c r="Q99" s="139">
        <v>5</v>
      </c>
      <c r="R99" s="107" t="str">
        <f>IF(AllData[[#This Row],[Nitrate (PPM)]]&gt;2, "Very high", IF(AllData[[#This Row],[Nitrate (PPM)]]&gt;1, "High", IF(AllData[[#This Row],[Nitrate (PPM)]]&gt;0.5, "Some evidence", IF(AllData[[#This Row],[Nitrate (PPM)]]&gt;=0, "No evidence"))))</f>
        <v>Very high</v>
      </c>
      <c r="S99" s="139">
        <v>0.14000000000000001</v>
      </c>
      <c r="T99" s="7" t="str">
        <f>IF(AllData[[#This Row],[Phosphate (PPM)]]&gt;0.5, "Very high", IF(AllData[[#This Row],[Phosphate (PPM)]]&gt;0.1, "High", IF(AllData[[#This Row],[Phosphate (PPM)]]&gt;0.05, "Some evidence", IF(AllData[[#This Row],[Phosphate (PPM)]]&lt;=0.05, "No Evidence", ""))))</f>
        <v>High</v>
      </c>
      <c r="U99" s="139">
        <v>0.2</v>
      </c>
      <c r="V99" s="139"/>
    </row>
    <row r="100" spans="1:22" x14ac:dyDescent="0.35">
      <c r="A100" s="139" t="s">
        <v>3395</v>
      </c>
      <c r="B100" s="146">
        <v>45748</v>
      </c>
      <c r="C100" s="2" t="str" cm="1">
        <f t="array" ref="C1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0">
        <f>YEAR(AllData[[#This Row],[Date]])</f>
        <v>2025</v>
      </c>
      <c r="E100" s="147">
        <v>0.625</v>
      </c>
      <c r="F100" t="str">
        <f>IF(AND(AllData[[#This Row],[Time]]&lt;0.5, AllData[[#This Row],[Time]]&gt;0.17)=TRUE, "Morning", IF(AND(AllData[[#This Row],[Time]]&lt;0.75, AllData[[#This Row],[Time]]&gt;=0.5)=TRUE, "Afternoon", IF(AND(AllData[[#This Row],[Time]]&lt;1, AllData[[#This Row],[Time]]&gt;=0.75)=TRUE, "Evening", "Night")))</f>
        <v>Afternoon</v>
      </c>
      <c r="G100" t="str">
        <f>_xlfn.XLOOKUP(AllData[[#This Row],[Location Name]], Locations[Location Name],Locations[Group As])</f>
        <v>High Street Brailes</v>
      </c>
      <c r="H100" t="e" vm="1">
        <f>_xlfn.XLOOKUP(AllData[[#This Row],[Site Name]],LocationsKey[Site Name],LocationsKey[District])</f>
        <v>#VALUE!</v>
      </c>
      <c r="I100" t="e" vm="5">
        <f>_xlfn.XLOOKUP(AllData[[#This Row],[Site Name]],LocationsKey[Site Name],LocationsKey[Town])</f>
        <v>#VALUE!</v>
      </c>
      <c r="J100" t="str">
        <f>_xlfn.XLOOKUP(AllData[[#This Row],[Site Name]],LocationsKey[Site Name], LocationsKey[Waterway])</f>
        <v>Sutton Brook</v>
      </c>
      <c r="K100" s="139" t="s">
        <v>3396</v>
      </c>
      <c r="L100" s="139"/>
      <c r="M100" s="156"/>
      <c r="N100" s="139" t="s">
        <v>68</v>
      </c>
      <c r="O100" s="139">
        <v>553</v>
      </c>
      <c r="P100" s="139">
        <v>14.7</v>
      </c>
      <c r="Q100" s="139">
        <v>5</v>
      </c>
      <c r="R100" s="107" t="str">
        <f>IF(AllData[[#This Row],[Nitrate (PPM)]]&gt;2, "Very high", IF(AllData[[#This Row],[Nitrate (PPM)]]&gt;1, "High", IF(AllData[[#This Row],[Nitrate (PPM)]]&gt;0.5, "Some evidence", IF(AllData[[#This Row],[Nitrate (PPM)]]&gt;=0, "No evidence"))))</f>
        <v>Very high</v>
      </c>
      <c r="S100" s="139">
        <v>0.06</v>
      </c>
      <c r="T100" s="7" t="str">
        <f>IF(AllData[[#This Row],[Phosphate (PPM)]]&gt;0.5, "Very high", IF(AllData[[#This Row],[Phosphate (PPM)]]&gt;0.1, "High", IF(AllData[[#This Row],[Phosphate (PPM)]]&gt;0.05, "Some evidence", IF(AllData[[#This Row],[Phosphate (PPM)]]&lt;=0.05, "No Evidence", ""))))</f>
        <v>Some evidence</v>
      </c>
      <c r="U100" s="139">
        <v>0.2</v>
      </c>
      <c r="V100" s="139"/>
    </row>
    <row r="101" spans="1:22" x14ac:dyDescent="0.35">
      <c r="A101" s="139" t="s">
        <v>3392</v>
      </c>
      <c r="B101" s="146">
        <v>45747</v>
      </c>
      <c r="C101" s="2" t="str" cm="1">
        <f t="array" ref="C1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1">
        <f>YEAR(AllData[[#This Row],[Date]])</f>
        <v>2025</v>
      </c>
      <c r="E101" s="147">
        <v>0.46388888888888891</v>
      </c>
      <c r="F101" t="str">
        <f>IF(AND(AllData[[#This Row],[Time]]&lt;0.5, AllData[[#This Row],[Time]]&gt;0.17)=TRUE, "Morning", IF(AND(AllData[[#This Row],[Time]]&lt;0.75, AllData[[#This Row],[Time]]&gt;=0.5)=TRUE, "Afternoon", IF(AND(AllData[[#This Row],[Time]]&lt;1, AllData[[#This Row],[Time]]&gt;=0.75)=TRUE, "Evening", "Night")))</f>
        <v>Morning</v>
      </c>
      <c r="G101" t="str">
        <f>_xlfn.XLOOKUP(AllData[[#This Row],[Location Name]], Locations[Location Name],Locations[Group As])</f>
        <v>Swiffen Bank</v>
      </c>
      <c r="H101" t="e" vm="1">
        <f>_xlfn.XLOOKUP(AllData[[#This Row],[Site Name]],LocationsKey[Site Name],LocationsKey[District])</f>
        <v>#VALUE!</v>
      </c>
      <c r="I101" t="e" vm="2">
        <f>_xlfn.XLOOKUP(AllData[[#This Row],[Site Name]],LocationsKey[Site Name],LocationsKey[Town])</f>
        <v>#VALUE!</v>
      </c>
      <c r="J101" t="str">
        <f>_xlfn.XLOOKUP(AllData[[#This Row],[Site Name]],LocationsKey[Site Name], LocationsKey[Waterway])</f>
        <v>Avon</v>
      </c>
      <c r="K101" s="139" t="s">
        <v>1448</v>
      </c>
      <c r="L101" s="139">
        <v>52.206477999999997</v>
      </c>
      <c r="M101" s="156">
        <v>-1.653894</v>
      </c>
      <c r="N101" s="139" t="s">
        <v>31</v>
      </c>
      <c r="O101" s="139">
        <v>906</v>
      </c>
      <c r="P101" s="139">
        <v>11.1</v>
      </c>
      <c r="Q101" s="139">
        <v>10</v>
      </c>
      <c r="R101" s="107" t="str">
        <f>IF(AllData[[#This Row],[Nitrate (PPM)]]&gt;2, "Very high", IF(AllData[[#This Row],[Nitrate (PPM)]]&gt;1, "High", IF(AllData[[#This Row],[Nitrate (PPM)]]&gt;0.5, "Some evidence", IF(AllData[[#This Row],[Nitrate (PPM)]]&gt;=0, "No evidence"))))</f>
        <v>Very high</v>
      </c>
      <c r="S101" s="139">
        <v>0.34</v>
      </c>
      <c r="T101" s="7" t="str">
        <f>IF(AllData[[#This Row],[Phosphate (PPM)]]&gt;0.5, "Very high", IF(AllData[[#This Row],[Phosphate (PPM)]]&gt;0.1, "High", IF(AllData[[#This Row],[Phosphate (PPM)]]&gt;0.05, "Some evidence", IF(AllData[[#This Row],[Phosphate (PPM)]]&lt;=0.05, "No Evidence", ""))))</f>
        <v>High</v>
      </c>
      <c r="U101" s="139">
        <v>0.5</v>
      </c>
      <c r="V101" s="139" t="s">
        <v>3393</v>
      </c>
    </row>
    <row r="102" spans="1:22" x14ac:dyDescent="0.35">
      <c r="A102" s="139" t="s">
        <v>3390</v>
      </c>
      <c r="B102" s="146">
        <v>45747</v>
      </c>
      <c r="C102" s="2" t="str" cm="1">
        <f t="array" ref="C1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2">
        <f>YEAR(AllData[[#This Row],[Date]])</f>
        <v>2025</v>
      </c>
      <c r="E102" s="147">
        <v>0.45833333333333331</v>
      </c>
      <c r="F102" t="str">
        <f>IF(AND(AllData[[#This Row],[Time]]&lt;0.5, AllData[[#This Row],[Time]]&gt;0.17)=TRUE, "Morning", IF(AND(AllData[[#This Row],[Time]]&lt;0.75, AllData[[#This Row],[Time]]&gt;=0.5)=TRUE, "Afternoon", IF(AND(AllData[[#This Row],[Time]]&lt;1, AllData[[#This Row],[Time]]&gt;=0.75)=TRUE, "Evening", "Night")))</f>
        <v>Morning</v>
      </c>
      <c r="G102" t="str">
        <f>_xlfn.XLOOKUP(AllData[[#This Row],[Location Name]], Locations[Location Name],Locations[Group As])</f>
        <v>Alveston Weir</v>
      </c>
      <c r="H102" t="e" vm="1">
        <f>_xlfn.XLOOKUP(AllData[[#This Row],[Site Name]],LocationsKey[Site Name],LocationsKey[District])</f>
        <v>#VALUE!</v>
      </c>
      <c r="I102" t="e" vm="2">
        <f>_xlfn.XLOOKUP(AllData[[#This Row],[Site Name]],LocationsKey[Site Name],LocationsKey[Town])</f>
        <v>#VALUE!</v>
      </c>
      <c r="J102" t="str">
        <f>_xlfn.XLOOKUP(AllData[[#This Row],[Site Name]],LocationsKey[Site Name], LocationsKey[Waterway])</f>
        <v>Avon</v>
      </c>
      <c r="K102" s="139" t="s">
        <v>288</v>
      </c>
      <c r="L102" s="139">
        <v>52.212288999999998</v>
      </c>
      <c r="M102" s="156">
        <v>-1.660452</v>
      </c>
      <c r="N102" s="139" t="s">
        <v>31</v>
      </c>
      <c r="O102" s="139">
        <v>734</v>
      </c>
      <c r="P102" s="139">
        <v>12.6</v>
      </c>
      <c r="Q102" s="139">
        <v>10</v>
      </c>
      <c r="R102" s="107" t="str">
        <f>IF(AllData[[#This Row],[Nitrate (PPM)]]&gt;2, "Very high", IF(AllData[[#This Row],[Nitrate (PPM)]]&gt;1, "High", IF(AllData[[#This Row],[Nitrate (PPM)]]&gt;0.5, "Some evidence", IF(AllData[[#This Row],[Nitrate (PPM)]]&gt;=0, "No evidence"))))</f>
        <v>Very high</v>
      </c>
      <c r="S102" s="139">
        <v>0.3</v>
      </c>
      <c r="T102" s="7" t="str">
        <f>IF(AllData[[#This Row],[Phosphate (PPM)]]&gt;0.5, "Very high", IF(AllData[[#This Row],[Phosphate (PPM)]]&gt;0.1, "High", IF(AllData[[#This Row],[Phosphate (PPM)]]&gt;0.05, "Some evidence", IF(AllData[[#This Row],[Phosphate (PPM)]]&lt;=0.05, "No Evidence", ""))))</f>
        <v>High</v>
      </c>
      <c r="U102" s="139">
        <v>-0.5</v>
      </c>
      <c r="V102" s="139" t="s">
        <v>3391</v>
      </c>
    </row>
    <row r="103" spans="1:22" x14ac:dyDescent="0.35">
      <c r="A103" s="139" t="s">
        <v>3388</v>
      </c>
      <c r="B103" s="146">
        <v>45747</v>
      </c>
      <c r="C103" s="2" t="str" cm="1">
        <f t="array" ref="C1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3">
        <f>YEAR(AllData[[#This Row],[Date]])</f>
        <v>2025</v>
      </c>
      <c r="E103" s="147">
        <v>0.37847222222222221</v>
      </c>
      <c r="F103" t="str">
        <f>IF(AND(AllData[[#This Row],[Time]]&lt;0.5, AllData[[#This Row],[Time]]&gt;0.17)=TRUE, "Morning", IF(AND(AllData[[#This Row],[Time]]&lt;0.75, AllData[[#This Row],[Time]]&gt;=0.5)=TRUE, "Afternoon", IF(AND(AllData[[#This Row],[Time]]&lt;1, AllData[[#This Row],[Time]]&gt;=0.75)=TRUE, "Evening", "Night")))</f>
        <v>Morning</v>
      </c>
      <c r="G103" t="str">
        <f>_xlfn.XLOOKUP(AllData[[#This Row],[Location Name]], Locations[Location Name],Locations[Group As])</f>
        <v>Chipping Campden Lady J Gateway</v>
      </c>
      <c r="H103" t="e" vm="9">
        <f>_xlfn.XLOOKUP(AllData[[#This Row],[Site Name]],LocationsKey[Site Name],LocationsKey[District])</f>
        <v>#VALUE!</v>
      </c>
      <c r="I103" t="e" vm="10">
        <f>_xlfn.XLOOKUP(AllData[[#This Row],[Site Name]],LocationsKey[Site Name],LocationsKey[Town])</f>
        <v>#VALUE!</v>
      </c>
      <c r="J103" t="str">
        <f>_xlfn.XLOOKUP(AllData[[#This Row],[Site Name]],LocationsKey[Site Name], LocationsKey[Waterway])</f>
        <v>Cam Brook</v>
      </c>
      <c r="K103" s="139" t="s">
        <v>1573</v>
      </c>
      <c r="L103" s="139"/>
      <c r="M103" s="156"/>
      <c r="N103" s="139" t="s">
        <v>68</v>
      </c>
      <c r="O103" s="139">
        <v>527</v>
      </c>
      <c r="P103" s="139">
        <v>9.1</v>
      </c>
      <c r="Q103" s="139">
        <v>5</v>
      </c>
      <c r="R103" s="107" t="str">
        <f>IF(AllData[[#This Row],[Nitrate (PPM)]]&gt;2, "Very high", IF(AllData[[#This Row],[Nitrate (PPM)]]&gt;1, "High", IF(AllData[[#This Row],[Nitrate (PPM)]]&gt;0.5, "Some evidence", IF(AllData[[#This Row],[Nitrate (PPM)]]&gt;=0, "No evidence"))))</f>
        <v>Very high</v>
      </c>
      <c r="S103" s="139">
        <v>0.04</v>
      </c>
      <c r="T103" s="7" t="str">
        <f>IF(AllData[[#This Row],[Phosphate (PPM)]]&gt;0.5, "Very high", IF(AllData[[#This Row],[Phosphate (PPM)]]&gt;0.1, "High", IF(AllData[[#This Row],[Phosphate (PPM)]]&gt;0.05, "Some evidence", IF(AllData[[#This Row],[Phosphate (PPM)]]&lt;=0.05, "No Evidence", ""))))</f>
        <v>No Evidence</v>
      </c>
      <c r="U103" s="139">
        <v>0.09</v>
      </c>
      <c r="V103" s="139"/>
    </row>
    <row r="104" spans="1:22" x14ac:dyDescent="0.35">
      <c r="A104" s="139" t="s">
        <v>3387</v>
      </c>
      <c r="B104" s="146">
        <v>45747</v>
      </c>
      <c r="C104" s="2" t="str" cm="1">
        <f t="array" ref="C1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4">
        <f>YEAR(AllData[[#This Row],[Date]])</f>
        <v>2025</v>
      </c>
      <c r="E104" s="147">
        <v>0.35416666666666669</v>
      </c>
      <c r="F104" t="str">
        <f>IF(AND(AllData[[#This Row],[Time]]&lt;0.5, AllData[[#This Row],[Time]]&gt;0.17)=TRUE, "Morning", IF(AND(AllData[[#This Row],[Time]]&lt;0.75, AllData[[#This Row],[Time]]&gt;=0.5)=TRUE, "Afternoon", IF(AND(AllData[[#This Row],[Time]]&lt;1, AllData[[#This Row],[Time]]&gt;=0.75)=TRUE, "Evening", "Night")))</f>
        <v>Morning</v>
      </c>
      <c r="G104" t="str">
        <f>_xlfn.XLOOKUP(AllData[[#This Row],[Location Name]], Locations[Location Name],Locations[Group As])</f>
        <v>Chipping Campden Sewage Works</v>
      </c>
      <c r="H104" t="e" vm="9">
        <f>_xlfn.XLOOKUP(AllData[[#This Row],[Site Name]],LocationsKey[Site Name],LocationsKey[District])</f>
        <v>#VALUE!</v>
      </c>
      <c r="I104" t="e" vm="10">
        <f>_xlfn.XLOOKUP(AllData[[#This Row],[Site Name]],LocationsKey[Site Name],LocationsKey[Town])</f>
        <v>#VALUE!</v>
      </c>
      <c r="J104" t="str">
        <f>_xlfn.XLOOKUP(AllData[[#This Row],[Site Name]],LocationsKey[Site Name], LocationsKey[Waterway])</f>
        <v>Cam Brook</v>
      </c>
      <c r="K104" s="139" t="s">
        <v>1570</v>
      </c>
      <c r="L104" s="139"/>
      <c r="M104" s="156"/>
      <c r="N104" s="139" t="s">
        <v>31</v>
      </c>
      <c r="O104" s="139">
        <v>673</v>
      </c>
      <c r="P104" s="139">
        <v>9.5</v>
      </c>
      <c r="Q104" s="139">
        <v>2</v>
      </c>
      <c r="R104" s="107" t="str">
        <f>IF(AllData[[#This Row],[Nitrate (PPM)]]&gt;2, "Very high", IF(AllData[[#This Row],[Nitrate (PPM)]]&gt;1, "High", IF(AllData[[#This Row],[Nitrate (PPM)]]&gt;0.5, "Some evidence", IF(AllData[[#This Row],[Nitrate (PPM)]]&gt;=0, "No evidence"))))</f>
        <v>High</v>
      </c>
      <c r="S104" s="139">
        <v>0.06</v>
      </c>
      <c r="T104" s="7" t="str">
        <f>IF(AllData[[#This Row],[Phosphate (PPM)]]&gt;0.5, "Very high", IF(AllData[[#This Row],[Phosphate (PPM)]]&gt;0.1, "High", IF(AllData[[#This Row],[Phosphate (PPM)]]&gt;0.05, "Some evidence", IF(AllData[[#This Row],[Phosphate (PPM)]]&lt;=0.05, "No Evidence", ""))))</f>
        <v>Some evidence</v>
      </c>
      <c r="U104" s="139">
        <v>0.37</v>
      </c>
      <c r="V104" s="139"/>
    </row>
    <row r="105" spans="1:22" x14ac:dyDescent="0.35">
      <c r="A105" s="139" t="s">
        <v>3389</v>
      </c>
      <c r="B105" s="146">
        <v>45747</v>
      </c>
      <c r="C105" s="2" t="str" cm="1">
        <f t="array" ref="C1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5">
        <f>YEAR(AllData[[#This Row],[Date]])</f>
        <v>2025</v>
      </c>
      <c r="E105" s="147">
        <v>0.40625</v>
      </c>
      <c r="F105" t="str">
        <f>IF(AND(AllData[[#This Row],[Time]]&lt;0.5, AllData[[#This Row],[Time]]&gt;0.17)=TRUE, "Morning", IF(AND(AllData[[#This Row],[Time]]&lt;0.75, AllData[[#This Row],[Time]]&gt;=0.5)=TRUE, "Afternoon", IF(AND(AllData[[#This Row],[Time]]&lt;1, AllData[[#This Row],[Time]]&gt;=0.75)=TRUE, "Evening", "Night")))</f>
        <v>Morning</v>
      </c>
      <c r="G105" t="str">
        <f>_xlfn.XLOOKUP(AllData[[#This Row],[Location Name]], Locations[Location Name],Locations[Group As])</f>
        <v>Chipping Campden Craves</v>
      </c>
      <c r="H105" t="e" vm="9">
        <f>_xlfn.XLOOKUP(AllData[[#This Row],[Site Name]],LocationsKey[Site Name],LocationsKey[District])</f>
        <v>#VALUE!</v>
      </c>
      <c r="I105" t="e" vm="10">
        <f>_xlfn.XLOOKUP(AllData[[#This Row],[Site Name]],LocationsKey[Site Name],LocationsKey[Town])</f>
        <v>#VALUE!</v>
      </c>
      <c r="J105" t="str">
        <f>_xlfn.XLOOKUP(AllData[[#This Row],[Site Name]],LocationsKey[Site Name], LocationsKey[Waterway])</f>
        <v>Cam Brook</v>
      </c>
      <c r="K105" s="139" t="s">
        <v>2458</v>
      </c>
      <c r="L105" s="139">
        <v>52.048749000000001</v>
      </c>
      <c r="M105" s="156">
        <v>-1.786367</v>
      </c>
      <c r="N105" s="139" t="s">
        <v>68</v>
      </c>
      <c r="O105" s="139">
        <v>488</v>
      </c>
      <c r="P105" s="139">
        <v>11.8</v>
      </c>
      <c r="Q105" s="139">
        <v>2</v>
      </c>
      <c r="R105" s="107" t="str">
        <f>IF(AllData[[#This Row],[Nitrate (PPM)]]&gt;2, "Very high", IF(AllData[[#This Row],[Nitrate (PPM)]]&gt;1, "High", IF(AllData[[#This Row],[Nitrate (PPM)]]&gt;0.5, "Some evidence", IF(AllData[[#This Row],[Nitrate (PPM)]]&gt;=0, "No evidence"))))</f>
        <v>High</v>
      </c>
      <c r="S105" s="139">
        <v>7.0000000000000007E-2</v>
      </c>
      <c r="T105" s="7" t="str">
        <f>IF(AllData[[#This Row],[Phosphate (PPM)]]&gt;0.5, "Very high", IF(AllData[[#This Row],[Phosphate (PPM)]]&gt;0.1, "High", IF(AllData[[#This Row],[Phosphate (PPM)]]&gt;0.05, "Some evidence", IF(AllData[[#This Row],[Phosphate (PPM)]]&lt;=0.05, "No Evidence", ""))))</f>
        <v>Some evidence</v>
      </c>
      <c r="U105" s="139">
        <v>16</v>
      </c>
      <c r="V105" s="139"/>
    </row>
    <row r="106" spans="1:22" x14ac:dyDescent="0.35">
      <c r="A106" s="139" t="s">
        <v>3394</v>
      </c>
      <c r="B106" s="146">
        <v>45747</v>
      </c>
      <c r="C106" s="2" t="str" cm="1">
        <f t="array" ref="C1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6">
        <f>YEAR(AllData[[#This Row],[Date]])</f>
        <v>2025</v>
      </c>
      <c r="E106" s="147">
        <v>0.80208333333333337</v>
      </c>
      <c r="F106" t="str">
        <f>IF(AND(AllData[[#This Row],[Time]]&lt;0.5, AllData[[#This Row],[Time]]&gt;0.17)=TRUE, "Morning", IF(AND(AllData[[#This Row],[Time]]&lt;0.75, AllData[[#This Row],[Time]]&gt;=0.5)=TRUE, "Afternoon", IF(AND(AllData[[#This Row],[Time]]&lt;1, AllData[[#This Row],[Time]]&gt;=0.75)=TRUE, "Evening", "Night")))</f>
        <v>Evening</v>
      </c>
      <c r="G106" t="str">
        <f>_xlfn.XLOOKUP(AllData[[#This Row],[Location Name]], Locations[Location Name],Locations[Group As])</f>
        <v>Fell Mill Footbridge</v>
      </c>
      <c r="H106" t="e" vm="1">
        <f>_xlfn.XLOOKUP(AllData[[#This Row],[Site Name]],LocationsKey[Site Name],LocationsKey[District])</f>
        <v>#VALUE!</v>
      </c>
      <c r="I106" t="e" vm="15">
        <f>_xlfn.XLOOKUP(AllData[[#This Row],[Site Name]],LocationsKey[Site Name],LocationsKey[Town])</f>
        <v>#VALUE!</v>
      </c>
      <c r="J106" t="str">
        <f>_xlfn.XLOOKUP(AllData[[#This Row],[Site Name]],LocationsKey[Site Name], LocationsKey[Waterway])</f>
        <v>Stour</v>
      </c>
      <c r="K106" s="139" t="s">
        <v>1968</v>
      </c>
      <c r="L106" s="139">
        <v>52.070086000000003</v>
      </c>
      <c r="M106" s="156">
        <v>-1.61145</v>
      </c>
      <c r="N106" s="139" t="s">
        <v>31</v>
      </c>
      <c r="O106" s="139">
        <v>694</v>
      </c>
      <c r="P106" s="139">
        <v>12.7</v>
      </c>
      <c r="Q106" s="139">
        <v>0.5</v>
      </c>
      <c r="R106" s="107" t="str">
        <f>IF(AllData[[#This Row],[Nitrate (PPM)]]&gt;2, "Very high", IF(AllData[[#This Row],[Nitrate (PPM)]]&gt;1, "High", IF(AllData[[#This Row],[Nitrate (PPM)]]&gt;0.5, "Some evidence", IF(AllData[[#This Row],[Nitrate (PPM)]]&gt;=0, "No evidence"))))</f>
        <v>No evidence</v>
      </c>
      <c r="S106" s="139">
        <v>0.25</v>
      </c>
      <c r="T106" s="7" t="str">
        <f>IF(AllData[[#This Row],[Phosphate (PPM)]]&gt;0.5, "Very high", IF(AllData[[#This Row],[Phosphate (PPM)]]&gt;0.1, "High", IF(AllData[[#This Row],[Phosphate (PPM)]]&gt;0.05, "Some evidence", IF(AllData[[#This Row],[Phosphate (PPM)]]&lt;=0.05, "No Evidence", ""))))</f>
        <v>High</v>
      </c>
      <c r="U106" s="139">
        <v>1.55</v>
      </c>
      <c r="V106" s="139"/>
    </row>
    <row r="107" spans="1:22" x14ac:dyDescent="0.35">
      <c r="A107" s="139" t="s">
        <v>3381</v>
      </c>
      <c r="B107" s="146">
        <v>45746</v>
      </c>
      <c r="C107" s="2" t="str" cm="1">
        <f t="array" ref="C1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7">
        <f>YEAR(AllData[[#This Row],[Date]])</f>
        <v>2025</v>
      </c>
      <c r="E107" s="147">
        <v>0.42916666666666664</v>
      </c>
      <c r="F107" t="str">
        <f>IF(AND(AllData[[#This Row],[Time]]&lt;0.5, AllData[[#This Row],[Time]]&gt;0.17)=TRUE, "Morning", IF(AND(AllData[[#This Row],[Time]]&lt;0.75, AllData[[#This Row],[Time]]&gt;=0.5)=TRUE, "Afternoon", IF(AND(AllData[[#This Row],[Time]]&lt;1, AllData[[#This Row],[Time]]&gt;=0.75)=TRUE, "Evening", "Night")))</f>
        <v>Morning</v>
      </c>
      <c r="G107" t="str">
        <f>_xlfn.XLOOKUP(AllData[[#This Row],[Location Name]], Locations[Location Name],Locations[Group As])</f>
        <v>Dock Lane Bredon</v>
      </c>
      <c r="H107" t="e" vm="6">
        <f>_xlfn.XLOOKUP(AllData[[#This Row],[Site Name]],LocationsKey[Site Name],LocationsKey[District])</f>
        <v>#VALUE!</v>
      </c>
      <c r="I107" t="e" vm="11">
        <f>_xlfn.XLOOKUP(AllData[[#This Row],[Site Name]],LocationsKey[Site Name],LocationsKey[Town])</f>
        <v>#VALUE!</v>
      </c>
      <c r="J107" t="str">
        <f>_xlfn.XLOOKUP(AllData[[#This Row],[Site Name]],LocationsKey[Site Name], LocationsKey[Waterway])</f>
        <v>Avon</v>
      </c>
      <c r="K107" s="139" t="s">
        <v>2374</v>
      </c>
      <c r="L107" s="139">
        <v>52.033467000000002</v>
      </c>
      <c r="M107" s="156">
        <v>-2.1168650000000002</v>
      </c>
      <c r="N107" s="139" t="s">
        <v>34</v>
      </c>
      <c r="O107" s="139">
        <v>884</v>
      </c>
      <c r="P107" s="139">
        <v>12.5</v>
      </c>
      <c r="Q107" s="139">
        <v>9</v>
      </c>
      <c r="R107" s="107" t="str">
        <f>IF(AllData[[#This Row],[Nitrate (PPM)]]&gt;2, "Very high", IF(AllData[[#This Row],[Nitrate (PPM)]]&gt;1, "High", IF(AllData[[#This Row],[Nitrate (PPM)]]&gt;0.5, "Some evidence", IF(AllData[[#This Row],[Nitrate (PPM)]]&gt;=0, "No evidence"))))</f>
        <v>Very high</v>
      </c>
      <c r="S107" s="139">
        <v>0.27</v>
      </c>
      <c r="T107" s="7" t="str">
        <f>IF(AllData[[#This Row],[Phosphate (PPM)]]&gt;0.5, "Very high", IF(AllData[[#This Row],[Phosphate (PPM)]]&gt;0.1, "High", IF(AllData[[#This Row],[Phosphate (PPM)]]&gt;0.05, "Some evidence", IF(AllData[[#This Row],[Phosphate (PPM)]]&lt;=0.05, "No Evidence", ""))))</f>
        <v>High</v>
      </c>
      <c r="U107" s="139">
        <v>0</v>
      </c>
      <c r="V107" s="139"/>
    </row>
    <row r="108" spans="1:22" x14ac:dyDescent="0.35">
      <c r="A108" s="139" t="s">
        <v>3382</v>
      </c>
      <c r="B108" s="146">
        <v>45746</v>
      </c>
      <c r="C108" s="2" t="str" cm="1">
        <f t="array" ref="C1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8">
        <f>YEAR(AllData[[#This Row],[Date]])</f>
        <v>2025</v>
      </c>
      <c r="E108" s="147">
        <v>0.44305555555555554</v>
      </c>
      <c r="F108" t="str">
        <f>IF(AND(AllData[[#This Row],[Time]]&lt;0.5, AllData[[#This Row],[Time]]&gt;0.17)=TRUE, "Morning", IF(AND(AllData[[#This Row],[Time]]&lt;0.75, AllData[[#This Row],[Time]]&gt;=0.5)=TRUE, "Afternoon", IF(AND(AllData[[#This Row],[Time]]&lt;1, AllData[[#This Row],[Time]]&gt;=0.75)=TRUE, "Evening", "Night")))</f>
        <v>Morning</v>
      </c>
      <c r="G108" t="str">
        <f>_xlfn.XLOOKUP(AllData[[#This Row],[Location Name]], Locations[Location Name],Locations[Group As])</f>
        <v>Black Bear</v>
      </c>
      <c r="H108" t="e" vm="4">
        <f>_xlfn.XLOOKUP(AllData[[#This Row],[Site Name]],LocationsKey[Site Name],LocationsKey[District])</f>
        <v>#VALUE!</v>
      </c>
      <c r="I108" t="e" vm="4">
        <f>_xlfn.XLOOKUP(AllData[[#This Row],[Site Name]],LocationsKey[Site Name],LocationsKey[Town])</f>
        <v>#VALUE!</v>
      </c>
      <c r="J108" t="str">
        <f>_xlfn.XLOOKUP(AllData[[#This Row],[Site Name]],LocationsKey[Site Name], LocationsKey[Waterway])</f>
        <v>Avon</v>
      </c>
      <c r="K108" s="139" t="s">
        <v>572</v>
      </c>
      <c r="L108" s="139">
        <v>51.997438000000002</v>
      </c>
      <c r="M108" s="156">
        <v>-2.1561530000000002</v>
      </c>
      <c r="N108" s="139" t="s">
        <v>34</v>
      </c>
      <c r="O108" s="139">
        <v>817</v>
      </c>
      <c r="P108" s="139">
        <v>12.8</v>
      </c>
      <c r="Q108" s="139">
        <v>9</v>
      </c>
      <c r="R108" s="107" t="str">
        <f>IF(AllData[[#This Row],[Nitrate (PPM)]]&gt;2, "Very high", IF(AllData[[#This Row],[Nitrate (PPM)]]&gt;1, "High", IF(AllData[[#This Row],[Nitrate (PPM)]]&gt;0.5, "Some evidence", IF(AllData[[#This Row],[Nitrate (PPM)]]&gt;=0, "No evidence"))))</f>
        <v>Very high</v>
      </c>
      <c r="S108" s="139">
        <v>0.26</v>
      </c>
      <c r="T108" s="7" t="str">
        <f>IF(AllData[[#This Row],[Phosphate (PPM)]]&gt;0.5, "Very high", IF(AllData[[#This Row],[Phosphate (PPM)]]&gt;0.1, "High", IF(AllData[[#This Row],[Phosphate (PPM)]]&gt;0.05, "Some evidence", IF(AllData[[#This Row],[Phosphate (PPM)]]&lt;=0.05, "No Evidence", ""))))</f>
        <v>High</v>
      </c>
      <c r="U108" s="139">
        <v>0</v>
      </c>
      <c r="V108" s="139"/>
    </row>
    <row r="109" spans="1:22" x14ac:dyDescent="0.35">
      <c r="A109" s="139" t="s">
        <v>3376</v>
      </c>
      <c r="B109" s="146">
        <v>45746</v>
      </c>
      <c r="C109" s="2" t="str" cm="1">
        <f t="array" ref="C1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09">
        <f>YEAR(AllData[[#This Row],[Date]])</f>
        <v>2025</v>
      </c>
      <c r="E109" s="147">
        <v>0.36458333333333331</v>
      </c>
      <c r="F109" t="str">
        <f>IF(AND(AllData[[#This Row],[Time]]&lt;0.5, AllData[[#This Row],[Time]]&gt;0.17)=TRUE, "Morning", IF(AND(AllData[[#This Row],[Time]]&lt;0.75, AllData[[#This Row],[Time]]&gt;=0.5)=TRUE, "Afternoon", IF(AND(AllData[[#This Row],[Time]]&lt;1, AllData[[#This Row],[Time]]&gt;=0.75)=TRUE, "Evening", "Night")))</f>
        <v>Morning</v>
      </c>
      <c r="G109" t="str">
        <f>_xlfn.XLOOKUP(AllData[[#This Row],[Location Name]], Locations[Location Name],Locations[Group As])</f>
        <v>Bell Brook 1</v>
      </c>
      <c r="H109" t="e" vm="1">
        <f>_xlfn.XLOOKUP(AllData[[#This Row],[Site Name]],LocationsKey[Site Name],LocationsKey[District])</f>
        <v>#VALUE!</v>
      </c>
      <c r="I109" t="e" vm="19">
        <f>_xlfn.XLOOKUP(AllData[[#This Row],[Site Name]],LocationsKey[Site Name],LocationsKey[Town])</f>
        <v>#VALUE!</v>
      </c>
      <c r="J109" t="str">
        <f>_xlfn.XLOOKUP(AllData[[#This Row],[Site Name]],LocationsKey[Site Name], LocationsKey[Waterway])</f>
        <v>Bell Brook</v>
      </c>
      <c r="K109" s="139" t="s">
        <v>3000</v>
      </c>
      <c r="L109" s="139"/>
      <c r="M109" s="156"/>
      <c r="N109" s="139"/>
      <c r="O109" s="139">
        <v>767</v>
      </c>
      <c r="P109" s="139">
        <v>9.1999999999999993</v>
      </c>
      <c r="Q109" s="139">
        <v>7</v>
      </c>
      <c r="R109" s="107" t="str">
        <f>IF(AllData[[#This Row],[Nitrate (PPM)]]&gt;2, "Very high", IF(AllData[[#This Row],[Nitrate (PPM)]]&gt;1, "High", IF(AllData[[#This Row],[Nitrate (PPM)]]&gt;0.5, "Some evidence", IF(AllData[[#This Row],[Nitrate (PPM)]]&gt;=0, "No evidence"))))</f>
        <v>Very high</v>
      </c>
      <c r="S109" s="139">
        <v>0</v>
      </c>
      <c r="T109" s="7" t="str">
        <f>IF(AllData[[#This Row],[Phosphate (PPM)]]&gt;0.5, "Very high", IF(AllData[[#This Row],[Phosphate (PPM)]]&gt;0.1, "High", IF(AllData[[#This Row],[Phosphate (PPM)]]&gt;0.05, "Some evidence", IF(AllData[[#This Row],[Phosphate (PPM)]]&lt;=0.05, "No Evidence", ""))))</f>
        <v>No Evidence</v>
      </c>
      <c r="U109" s="139">
        <v>0.1</v>
      </c>
      <c r="V109" s="139" t="s">
        <v>3377</v>
      </c>
    </row>
    <row r="110" spans="1:22" x14ac:dyDescent="0.35">
      <c r="A110" s="139" t="s">
        <v>3374</v>
      </c>
      <c r="B110" s="146">
        <v>45746</v>
      </c>
      <c r="C110" s="2" t="str" cm="1">
        <f t="array" ref="C1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0">
        <f>YEAR(AllData[[#This Row],[Date]])</f>
        <v>2025</v>
      </c>
      <c r="E110" s="147">
        <v>0.35416666666666669</v>
      </c>
      <c r="F110" t="str">
        <f>IF(AND(AllData[[#This Row],[Time]]&lt;0.5, AllData[[#This Row],[Time]]&gt;0.17)=TRUE, "Morning", IF(AND(AllData[[#This Row],[Time]]&lt;0.75, AllData[[#This Row],[Time]]&gt;=0.5)=TRUE, "Afternoon", IF(AND(AllData[[#This Row],[Time]]&lt;1, AllData[[#This Row],[Time]]&gt;=0.75)=TRUE, "Evening", "Night")))</f>
        <v>Morning</v>
      </c>
      <c r="G110" t="str">
        <f>_xlfn.XLOOKUP(AllData[[#This Row],[Location Name]], Locations[Location Name],Locations[Group As])</f>
        <v>Sherbourne Brook 2</v>
      </c>
      <c r="H110" t="e" vm="1">
        <f>_xlfn.XLOOKUP(AllData[[#This Row],[Site Name]],LocationsKey[Site Name],LocationsKey[District])</f>
        <v>#VALUE!</v>
      </c>
      <c r="I110" t="str">
        <f>_xlfn.XLOOKUP(AllData[[#This Row],[Site Name]],LocationsKey[Site Name],LocationsKey[Town])</f>
        <v>Unknown</v>
      </c>
      <c r="J110" t="str">
        <f>_xlfn.XLOOKUP(AllData[[#This Row],[Site Name]],LocationsKey[Site Name], LocationsKey[Waterway])</f>
        <v>Sherbourne Brook</v>
      </c>
      <c r="K110" s="139" t="s">
        <v>2995</v>
      </c>
      <c r="L110" s="139"/>
      <c r="M110" s="156"/>
      <c r="N110" s="139"/>
      <c r="O110" s="139">
        <v>1110</v>
      </c>
      <c r="P110" s="139">
        <v>9.5</v>
      </c>
      <c r="Q110" s="139">
        <v>5</v>
      </c>
      <c r="R110" s="107" t="str">
        <f>IF(AllData[[#This Row],[Nitrate (PPM)]]&gt;2, "Very high", IF(AllData[[#This Row],[Nitrate (PPM)]]&gt;1, "High", IF(AllData[[#This Row],[Nitrate (PPM)]]&gt;0.5, "Some evidence", IF(AllData[[#This Row],[Nitrate (PPM)]]&gt;=0, "No evidence"))))</f>
        <v>Very high</v>
      </c>
      <c r="S110" s="139">
        <v>0.06</v>
      </c>
      <c r="T110" s="7" t="str">
        <f>IF(AllData[[#This Row],[Phosphate (PPM)]]&gt;0.5, "Very high", IF(AllData[[#This Row],[Phosphate (PPM)]]&gt;0.1, "High", IF(AllData[[#This Row],[Phosphate (PPM)]]&gt;0.05, "Some evidence", IF(AllData[[#This Row],[Phosphate (PPM)]]&lt;=0.05, "No Evidence", ""))))</f>
        <v>Some evidence</v>
      </c>
      <c r="U110" s="139">
        <v>0.1</v>
      </c>
      <c r="V110" s="139" t="s">
        <v>3375</v>
      </c>
    </row>
    <row r="111" spans="1:22" x14ac:dyDescent="0.35">
      <c r="A111" s="139" t="s">
        <v>3386</v>
      </c>
      <c r="B111" s="146">
        <v>45746</v>
      </c>
      <c r="C111" s="2" t="str" cm="1">
        <f t="array" ref="C1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1">
        <f>YEAR(AllData[[#This Row],[Date]])</f>
        <v>2025</v>
      </c>
      <c r="E111" s="147">
        <v>0.5</v>
      </c>
      <c r="F111" t="str">
        <f>IF(AND(AllData[[#This Row],[Time]]&lt;0.5, AllData[[#This Row],[Time]]&gt;0.17)=TRUE, "Morning", IF(AND(AllData[[#This Row],[Time]]&lt;0.75, AllData[[#This Row],[Time]]&gt;=0.5)=TRUE, "Afternoon", IF(AND(AllData[[#This Row],[Time]]&lt;1, AllData[[#This Row],[Time]]&gt;=0.75)=TRUE, "Evening", "Night")))</f>
        <v>Afternoon</v>
      </c>
      <c r="G111" t="str">
        <f>_xlfn.XLOOKUP(AllData[[#This Row],[Location Name]], Locations[Location Name],Locations[Group As])</f>
        <v>Carrant M5 Bridge</v>
      </c>
      <c r="H111" t="e" vm="4">
        <f>_xlfn.XLOOKUP(AllData[[#This Row],[Site Name]],LocationsKey[Site Name],LocationsKey[District])</f>
        <v>#VALUE!</v>
      </c>
      <c r="I111" t="e" vm="4">
        <f>_xlfn.XLOOKUP(AllData[[#This Row],[Site Name]],LocationsKey[Site Name],LocationsKey[Town])</f>
        <v>#VALUE!</v>
      </c>
      <c r="J111" t="str">
        <f>_xlfn.XLOOKUP(AllData[[#This Row],[Site Name]],LocationsKey[Site Name], LocationsKey[Waterway])</f>
        <v>Carrant</v>
      </c>
      <c r="K111" s="139" t="s">
        <v>1066</v>
      </c>
      <c r="L111" s="139"/>
      <c r="M111" s="156"/>
      <c r="N111" s="139" t="s">
        <v>34</v>
      </c>
      <c r="O111" s="139">
        <v>764</v>
      </c>
      <c r="P111" s="139">
        <v>12.1</v>
      </c>
      <c r="Q111" s="139">
        <v>5</v>
      </c>
      <c r="R111" s="107" t="str">
        <f>IF(AllData[[#This Row],[Nitrate (PPM)]]&gt;2, "Very high", IF(AllData[[#This Row],[Nitrate (PPM)]]&gt;1, "High", IF(AllData[[#This Row],[Nitrate (PPM)]]&gt;0.5, "Some evidence", IF(AllData[[#This Row],[Nitrate (PPM)]]&gt;=0, "No evidence"))))</f>
        <v>Very high</v>
      </c>
      <c r="S111" s="139">
        <v>0.39</v>
      </c>
      <c r="T111" s="7" t="str">
        <f>IF(AllData[[#This Row],[Phosphate (PPM)]]&gt;0.5, "Very high", IF(AllData[[#This Row],[Phosphate (PPM)]]&gt;0.1, "High", IF(AllData[[#This Row],[Phosphate (PPM)]]&gt;0.05, "Some evidence", IF(AllData[[#This Row],[Phosphate (PPM)]]&lt;=0.05, "No Evidence", ""))))</f>
        <v>High</v>
      </c>
      <c r="U111" s="139">
        <v>0</v>
      </c>
      <c r="V111" s="139"/>
    </row>
    <row r="112" spans="1:22" x14ac:dyDescent="0.35">
      <c r="A112" s="139" t="s">
        <v>3378</v>
      </c>
      <c r="B112" s="146">
        <v>45746</v>
      </c>
      <c r="C112" s="2" t="str" cm="1">
        <f t="array" ref="C1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2">
        <f>YEAR(AllData[[#This Row],[Date]])</f>
        <v>2025</v>
      </c>
      <c r="E112" s="147">
        <v>0.40486111111111112</v>
      </c>
      <c r="F112" t="str">
        <f>IF(AND(AllData[[#This Row],[Time]]&lt;0.5, AllData[[#This Row],[Time]]&gt;0.17)=TRUE, "Morning", IF(AND(AllData[[#This Row],[Time]]&lt;0.75, AllData[[#This Row],[Time]]&gt;=0.5)=TRUE, "Afternoon", IF(AND(AllData[[#This Row],[Time]]&lt;1, AllData[[#This Row],[Time]]&gt;=0.75)=TRUE, "Evening", "Night")))</f>
        <v>Morning</v>
      </c>
      <c r="G112" t="str">
        <f>_xlfn.XLOOKUP(AllData[[#This Row],[Location Name]], Locations[Location Name],Locations[Group As])</f>
        <v>R.Stowe - Lower Fields Farm, Old Brickyard Lane</v>
      </c>
      <c r="H112" t="e" vm="1">
        <f>_xlfn.XLOOKUP(AllData[[#This Row],[Site Name]],LocationsKey[Site Name],LocationsKey[District])</f>
        <v>#VALUE!</v>
      </c>
      <c r="I112" t="e" vm="17">
        <f>_xlfn.XLOOKUP(AllData[[#This Row],[Site Name]],LocationsKey[Site Name],LocationsKey[Town])</f>
        <v>#VALUE!</v>
      </c>
      <c r="J112" t="str">
        <f>_xlfn.XLOOKUP(AllData[[#This Row],[Site Name]],LocationsKey[Site Name], LocationsKey[Waterway])</f>
        <v>Stowe</v>
      </c>
      <c r="K112" s="139" t="s">
        <v>3379</v>
      </c>
      <c r="L112" s="139">
        <v>52.244028999999998</v>
      </c>
      <c r="M112" s="156">
        <v>-1.3478140000000001</v>
      </c>
      <c r="N112" s="139" t="s">
        <v>31</v>
      </c>
      <c r="O112" s="139">
        <v>864</v>
      </c>
      <c r="P112" s="139">
        <v>10.7</v>
      </c>
      <c r="Q112" s="139">
        <v>2</v>
      </c>
      <c r="R112" s="107" t="str">
        <f>IF(AllData[[#This Row],[Nitrate (PPM)]]&gt;2, "Very high", IF(AllData[[#This Row],[Nitrate (PPM)]]&gt;1, "High", IF(AllData[[#This Row],[Nitrate (PPM)]]&gt;0.5, "Some evidence", IF(AllData[[#This Row],[Nitrate (PPM)]]&gt;=0, "No evidence"))))</f>
        <v>High</v>
      </c>
      <c r="S112" s="139">
        <v>0.31</v>
      </c>
      <c r="T112" s="7" t="str">
        <f>IF(AllData[[#This Row],[Phosphate (PPM)]]&gt;0.5, "Very high", IF(AllData[[#This Row],[Phosphate (PPM)]]&gt;0.1, "High", IF(AllData[[#This Row],[Phosphate (PPM)]]&gt;0.05, "Some evidence", IF(AllData[[#This Row],[Phosphate (PPM)]]&lt;=0.05, "No Evidence", ""))))</f>
        <v>High</v>
      </c>
      <c r="U112" s="139">
        <v>0.19</v>
      </c>
      <c r="V112" s="139" t="s">
        <v>3380</v>
      </c>
    </row>
    <row r="113" spans="1:22" x14ac:dyDescent="0.35">
      <c r="A113" s="139" t="s">
        <v>3383</v>
      </c>
      <c r="B113" s="146">
        <v>45746</v>
      </c>
      <c r="C113" s="2" t="str" cm="1">
        <f t="array" ref="C1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3">
        <f>YEAR(AllData[[#This Row],[Date]])</f>
        <v>2025</v>
      </c>
      <c r="E113" s="147">
        <v>0.47291666666666665</v>
      </c>
      <c r="F113" t="str">
        <f>IF(AND(AllData[[#This Row],[Time]]&lt;0.5, AllData[[#This Row],[Time]]&gt;0.17)=TRUE, "Morning", IF(AND(AllData[[#This Row],[Time]]&lt;0.75, AllData[[#This Row],[Time]]&gt;=0.5)=TRUE, "Afternoon", IF(AND(AllData[[#This Row],[Time]]&lt;1, AllData[[#This Row],[Time]]&gt;=0.75)=TRUE, "Evening", "Night")))</f>
        <v>Morning</v>
      </c>
      <c r="G113" t="str">
        <f>_xlfn.XLOOKUP(AllData[[#This Row],[Location Name]], Locations[Location Name],Locations[Group As])</f>
        <v>R.Stowe - Welsh Rd East, Southam</v>
      </c>
      <c r="H113" t="e" vm="1">
        <f>_xlfn.XLOOKUP(AllData[[#This Row],[Site Name]],LocationsKey[Site Name],LocationsKey[District])</f>
        <v>#VALUE!</v>
      </c>
      <c r="I113" t="e" vm="18">
        <f>_xlfn.XLOOKUP(AllData[[#This Row],[Site Name]],LocationsKey[Site Name],LocationsKey[Town])</f>
        <v>#VALUE!</v>
      </c>
      <c r="J113" t="str">
        <f>_xlfn.XLOOKUP(AllData[[#This Row],[Site Name]],LocationsKey[Site Name], LocationsKey[Waterway])</f>
        <v>Stowe</v>
      </c>
      <c r="K113" s="139" t="s">
        <v>3384</v>
      </c>
      <c r="L113" s="139">
        <v>52.251359000000001</v>
      </c>
      <c r="M113" s="156">
        <v>-1.383319</v>
      </c>
      <c r="N113" s="139" t="s">
        <v>31</v>
      </c>
      <c r="O113" s="139">
        <v>796</v>
      </c>
      <c r="P113" s="139">
        <v>13.2</v>
      </c>
      <c r="Q113" s="139">
        <v>2</v>
      </c>
      <c r="R113" s="107" t="str">
        <f>IF(AllData[[#This Row],[Nitrate (PPM)]]&gt;2, "Very high", IF(AllData[[#This Row],[Nitrate (PPM)]]&gt;1, "High", IF(AllData[[#This Row],[Nitrate (PPM)]]&gt;0.5, "Some evidence", IF(AllData[[#This Row],[Nitrate (PPM)]]&gt;=0, "No evidence"))))</f>
        <v>High</v>
      </c>
      <c r="S113" s="139">
        <v>0.41</v>
      </c>
      <c r="T113" s="7" t="str">
        <f>IF(AllData[[#This Row],[Phosphate (PPM)]]&gt;0.5, "Very high", IF(AllData[[#This Row],[Phosphate (PPM)]]&gt;0.1, "High", IF(AllData[[#This Row],[Phosphate (PPM)]]&gt;0.05, "Some evidence", IF(AllData[[#This Row],[Phosphate (PPM)]]&lt;=0.05, "No Evidence", ""))))</f>
        <v>High</v>
      </c>
      <c r="U113" s="139">
        <v>0.28999999999999998</v>
      </c>
      <c r="V113" s="139" t="s">
        <v>3385</v>
      </c>
    </row>
    <row r="114" spans="1:22" x14ac:dyDescent="0.35">
      <c r="A114" s="139" t="s">
        <v>3365</v>
      </c>
      <c r="B114" s="146">
        <v>45745</v>
      </c>
      <c r="C114" s="2" t="str" cm="1">
        <f t="array" ref="C1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4">
        <f>YEAR(AllData[[#This Row],[Date]])</f>
        <v>2025</v>
      </c>
      <c r="E114" s="147">
        <v>0.52083333333333337</v>
      </c>
      <c r="F114" t="str">
        <f>IF(AND(AllData[[#This Row],[Time]]&lt;0.5, AllData[[#This Row],[Time]]&gt;0.17)=TRUE, "Morning", IF(AND(AllData[[#This Row],[Time]]&lt;0.75, AllData[[#This Row],[Time]]&gt;=0.5)=TRUE, "Afternoon", IF(AND(AllData[[#This Row],[Time]]&lt;1, AllData[[#This Row],[Time]]&gt;=0.75)=TRUE, "Evening", "Night")))</f>
        <v>Afternoon</v>
      </c>
      <c r="G114" t="str">
        <f>_xlfn.XLOOKUP(AllData[[#This Row],[Location Name]], Locations[Location Name],Locations[Group As])</f>
        <v>Avonbank Drive</v>
      </c>
      <c r="H114" t="e" vm="1">
        <f>_xlfn.XLOOKUP(AllData[[#This Row],[Site Name]],LocationsKey[Site Name],LocationsKey[District])</f>
        <v>#VALUE!</v>
      </c>
      <c r="I114" t="e" vm="12">
        <f>_xlfn.XLOOKUP(AllData[[#This Row],[Site Name]],LocationsKey[Site Name],LocationsKey[Town])</f>
        <v>#VALUE!</v>
      </c>
      <c r="J114" t="str">
        <f>_xlfn.XLOOKUP(AllData[[#This Row],[Site Name]],LocationsKey[Site Name], LocationsKey[Waterway])</f>
        <v>Avon</v>
      </c>
      <c r="K114" s="139" t="s">
        <v>2530</v>
      </c>
      <c r="L114" s="139">
        <v>52.177</v>
      </c>
      <c r="M114" s="156">
        <v>-1.7370000000000001</v>
      </c>
      <c r="N114" s="139" t="s">
        <v>68</v>
      </c>
      <c r="O114" s="139">
        <v>955</v>
      </c>
      <c r="P114" s="139">
        <v>13.6</v>
      </c>
      <c r="Q114" s="139">
        <v>12</v>
      </c>
      <c r="R114" s="107" t="str">
        <f>IF(AllData[[#This Row],[Nitrate (PPM)]]&gt;2, "Very high", IF(AllData[[#This Row],[Nitrate (PPM)]]&gt;1, "High", IF(AllData[[#This Row],[Nitrate (PPM)]]&gt;0.5, "Some evidence", IF(AllData[[#This Row],[Nitrate (PPM)]]&gt;=0, "No evidence"))))</f>
        <v>Very high</v>
      </c>
      <c r="S114" s="139">
        <v>0.79</v>
      </c>
      <c r="T114" s="7" t="str">
        <f>IF(AllData[[#This Row],[Phosphate (PPM)]]&gt;0.5, "Very high", IF(AllData[[#This Row],[Phosphate (PPM)]]&gt;0.1, "High", IF(AllData[[#This Row],[Phosphate (PPM)]]&gt;0.05, "Some evidence", IF(AllData[[#This Row],[Phosphate (PPM)]]&lt;=0.05, "No Evidence", ""))))</f>
        <v>Very high</v>
      </c>
      <c r="U114" s="139">
        <v>0.56000000000000005</v>
      </c>
      <c r="V114" s="139"/>
    </row>
    <row r="115" spans="1:22" x14ac:dyDescent="0.35">
      <c r="A115" s="139" t="s">
        <v>3372</v>
      </c>
      <c r="B115" s="146">
        <v>45745</v>
      </c>
      <c r="C115" s="2" t="str" cm="1">
        <f t="array" ref="C1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5">
        <f>YEAR(AllData[[#This Row],[Date]])</f>
        <v>2025</v>
      </c>
      <c r="E115" s="147">
        <v>0.69444444444444442</v>
      </c>
      <c r="F115" t="str">
        <f>IF(AND(AllData[[#This Row],[Time]]&lt;0.5, AllData[[#This Row],[Time]]&gt;0.17)=TRUE, "Morning", IF(AND(AllData[[#This Row],[Time]]&lt;0.75, AllData[[#This Row],[Time]]&gt;=0.5)=TRUE, "Afternoon", IF(AND(AllData[[#This Row],[Time]]&lt;1, AllData[[#This Row],[Time]]&gt;=0.75)=TRUE, "Evening", "Night")))</f>
        <v>Afternoon</v>
      </c>
      <c r="G115" t="str">
        <f>_xlfn.XLOOKUP(AllData[[#This Row],[Location Name]], Locations[Location Name],Locations[Group As])</f>
        <v>Quay Lane Great Comberton</v>
      </c>
      <c r="H115" t="e" vm="6">
        <f>_xlfn.XLOOKUP(AllData[[#This Row],[Site Name]],LocationsKey[Site Name],LocationsKey[District])</f>
        <v>#VALUE!</v>
      </c>
      <c r="I115" t="e" vm="7">
        <f>_xlfn.XLOOKUP(AllData[[#This Row],[Site Name]],LocationsKey[Site Name],LocationsKey[Town])</f>
        <v>#VALUE!</v>
      </c>
      <c r="J115" t="str">
        <f>_xlfn.XLOOKUP(AllData[[#This Row],[Site Name]],LocationsKey[Site Name], LocationsKey[Waterway])</f>
        <v>Avon</v>
      </c>
      <c r="K115" s="139" t="s">
        <v>3233</v>
      </c>
      <c r="L115" s="139">
        <v>52.081783999999999</v>
      </c>
      <c r="M115" s="156">
        <v>-2.0706799999999999</v>
      </c>
      <c r="N115" s="139" t="s">
        <v>3234</v>
      </c>
      <c r="O115" s="139">
        <v>836</v>
      </c>
      <c r="P115" s="139">
        <v>12.7</v>
      </c>
      <c r="Q115" s="139">
        <v>12</v>
      </c>
      <c r="R115" s="107" t="str">
        <f>IF(AllData[[#This Row],[Nitrate (PPM)]]&gt;2, "Very high", IF(AllData[[#This Row],[Nitrate (PPM)]]&gt;1, "High", IF(AllData[[#This Row],[Nitrate (PPM)]]&gt;0.5, "Some evidence", IF(AllData[[#This Row],[Nitrate (PPM)]]&gt;=0, "No evidence"))))</f>
        <v>Very high</v>
      </c>
      <c r="S115" s="139">
        <v>1.0900000000000001</v>
      </c>
      <c r="T115" s="7" t="str">
        <f>IF(AllData[[#This Row],[Phosphate (PPM)]]&gt;0.5, "Very high", IF(AllData[[#This Row],[Phosphate (PPM)]]&gt;0.1, "High", IF(AllData[[#This Row],[Phosphate (PPM)]]&gt;0.05, "Some evidence", IF(AllData[[#This Row],[Phosphate (PPM)]]&lt;=0.05, "No Evidence", ""))))</f>
        <v>Very high</v>
      </c>
      <c r="U115" s="139">
        <v>2.1</v>
      </c>
      <c r="V115" s="139" t="s">
        <v>3373</v>
      </c>
    </row>
    <row r="116" spans="1:22" x14ac:dyDescent="0.35">
      <c r="A116" s="139" t="s">
        <v>3366</v>
      </c>
      <c r="B116" s="146">
        <v>45745</v>
      </c>
      <c r="C116" s="2" t="str" cm="1">
        <f t="array" ref="C1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6">
        <f>YEAR(AllData[[#This Row],[Date]])</f>
        <v>2025</v>
      </c>
      <c r="E116" s="147">
        <v>0.52638888888888891</v>
      </c>
      <c r="F116" t="str">
        <f>IF(AND(AllData[[#This Row],[Time]]&lt;0.5, AllData[[#This Row],[Time]]&gt;0.17)=TRUE, "Morning", IF(AND(AllData[[#This Row],[Time]]&lt;0.75, AllData[[#This Row],[Time]]&gt;=0.5)=TRUE, "Afternoon", IF(AND(AllData[[#This Row],[Time]]&lt;1, AllData[[#This Row],[Time]]&gt;=0.75)=TRUE, "Evening", "Night")))</f>
        <v>Afternoon</v>
      </c>
      <c r="G116" t="str">
        <f>_xlfn.XLOOKUP(AllData[[#This Row],[Location Name]], Locations[Location Name],Locations[Group As])</f>
        <v>Lower Lode</v>
      </c>
      <c r="H116" t="e" vm="4">
        <f>_xlfn.XLOOKUP(AllData[[#This Row],[Site Name]],LocationsKey[Site Name],LocationsKey[District])</f>
        <v>#VALUE!</v>
      </c>
      <c r="I116" t="e" vm="4">
        <f>_xlfn.XLOOKUP(AllData[[#This Row],[Site Name]],LocationsKey[Site Name],LocationsKey[Town])</f>
        <v>#VALUE!</v>
      </c>
      <c r="J116" t="str">
        <f>_xlfn.XLOOKUP(AllData[[#This Row],[Site Name]],LocationsKey[Site Name], LocationsKey[Waterway])</f>
        <v>Avon</v>
      </c>
      <c r="K116" s="139" t="s">
        <v>595</v>
      </c>
      <c r="L116" s="139">
        <v>51.985092999999999</v>
      </c>
      <c r="M116" s="156">
        <v>-2.1742780000000002</v>
      </c>
      <c r="N116" s="139" t="s">
        <v>31</v>
      </c>
      <c r="O116" s="139">
        <v>8690</v>
      </c>
      <c r="P116" s="139">
        <v>13.2</v>
      </c>
      <c r="Q116" s="139">
        <v>10</v>
      </c>
      <c r="R116" s="107" t="str">
        <f>IF(AllData[[#This Row],[Nitrate (PPM)]]&gt;2, "Very high", IF(AllData[[#This Row],[Nitrate (PPM)]]&gt;1, "High", IF(AllData[[#This Row],[Nitrate (PPM)]]&gt;0.5, "Some evidence", IF(AllData[[#This Row],[Nitrate (PPM)]]&gt;=0, "No evidence"))))</f>
        <v>Very high</v>
      </c>
      <c r="S116" s="139">
        <v>0.42</v>
      </c>
      <c r="T116" s="7" t="str">
        <f>IF(AllData[[#This Row],[Phosphate (PPM)]]&gt;0.5, "Very high", IF(AllData[[#This Row],[Phosphate (PPM)]]&gt;0.1, "High", IF(AllData[[#This Row],[Phosphate (PPM)]]&gt;0.05, "Some evidence", IF(AllData[[#This Row],[Phosphate (PPM)]]&lt;=0.05, "No Evidence", ""))))</f>
        <v>High</v>
      </c>
      <c r="U116" s="139">
        <v>-1</v>
      </c>
      <c r="V116" s="139"/>
    </row>
    <row r="117" spans="1:22" x14ac:dyDescent="0.35">
      <c r="A117" s="139" t="s">
        <v>3364</v>
      </c>
      <c r="B117" s="146">
        <v>45745</v>
      </c>
      <c r="C117" s="2" t="str" cm="1">
        <f t="array" ref="C1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7">
        <f>YEAR(AllData[[#This Row],[Date]])</f>
        <v>2025</v>
      </c>
      <c r="E117" s="147">
        <v>0.50347222222222221</v>
      </c>
      <c r="F117" t="str">
        <f>IF(AND(AllData[[#This Row],[Time]]&lt;0.5, AllData[[#This Row],[Time]]&gt;0.17)=TRUE, "Morning", IF(AND(AllData[[#This Row],[Time]]&lt;0.75, AllData[[#This Row],[Time]]&gt;=0.5)=TRUE, "Afternoon", IF(AND(AllData[[#This Row],[Time]]&lt;1, AllData[[#This Row],[Time]]&gt;=0.75)=TRUE, "Evening", "Night")))</f>
        <v>Afternoon</v>
      </c>
      <c r="G117" t="str">
        <f>_xlfn.XLOOKUP(AllData[[#This Row],[Location Name]], Locations[Location Name],Locations[Group As])</f>
        <v>Pitch 16</v>
      </c>
      <c r="H117" t="e" vm="1">
        <f>_xlfn.XLOOKUP(AllData[[#This Row],[Site Name]],LocationsKey[Site Name],LocationsKey[District])</f>
        <v>#VALUE!</v>
      </c>
      <c r="I117" t="e" vm="12">
        <f>_xlfn.XLOOKUP(AllData[[#This Row],[Site Name]],LocationsKey[Site Name],LocationsKey[Town])</f>
        <v>#VALUE!</v>
      </c>
      <c r="J117" t="str">
        <f>_xlfn.XLOOKUP(AllData[[#This Row],[Site Name]],LocationsKey[Site Name], LocationsKey[Waterway])</f>
        <v>Avon</v>
      </c>
      <c r="K117" s="139" t="s">
        <v>2532</v>
      </c>
      <c r="L117" s="139">
        <v>52.173000000000002</v>
      </c>
      <c r="M117" s="156">
        <v>-1.7450000000000001</v>
      </c>
      <c r="N117" s="139" t="s">
        <v>31</v>
      </c>
      <c r="O117" s="139">
        <v>939</v>
      </c>
      <c r="P117" s="139">
        <v>13.3</v>
      </c>
      <c r="Q117" s="139">
        <v>10</v>
      </c>
      <c r="R117" s="107" t="str">
        <f>IF(AllData[[#This Row],[Nitrate (PPM)]]&gt;2, "Very high", IF(AllData[[#This Row],[Nitrate (PPM)]]&gt;1, "High", IF(AllData[[#This Row],[Nitrate (PPM)]]&gt;0.5, "Some evidence", IF(AllData[[#This Row],[Nitrate (PPM)]]&gt;=0, "No evidence"))))</f>
        <v>Very high</v>
      </c>
      <c r="S117" s="139">
        <v>0.27</v>
      </c>
      <c r="T117" s="7" t="str">
        <f>IF(AllData[[#This Row],[Phosphate (PPM)]]&gt;0.5, "Very high", IF(AllData[[#This Row],[Phosphate (PPM)]]&gt;0.1, "High", IF(AllData[[#This Row],[Phosphate (PPM)]]&gt;0.05, "Some evidence", IF(AllData[[#This Row],[Phosphate (PPM)]]&lt;=0.05, "No Evidence", ""))))</f>
        <v>High</v>
      </c>
      <c r="U117" s="139">
        <v>0.56000000000000005</v>
      </c>
      <c r="V117" s="139"/>
    </row>
    <row r="118" spans="1:22" x14ac:dyDescent="0.35">
      <c r="A118" s="139" t="s">
        <v>3370</v>
      </c>
      <c r="B118" s="146">
        <v>45745</v>
      </c>
      <c r="C118" s="2" t="str" cm="1">
        <f t="array" ref="C1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8">
        <f>YEAR(AllData[[#This Row],[Date]])</f>
        <v>2025</v>
      </c>
      <c r="E118" s="147">
        <v>0.55486111111111114</v>
      </c>
      <c r="F118" t="str">
        <f>IF(AND(AllData[[#This Row],[Time]]&lt;0.5, AllData[[#This Row],[Time]]&gt;0.17)=TRUE, "Morning", IF(AND(AllData[[#This Row],[Time]]&lt;0.75, AllData[[#This Row],[Time]]&gt;=0.5)=TRUE, "Afternoon", IF(AND(AllData[[#This Row],[Time]]&lt;1, AllData[[#This Row],[Time]]&gt;=0.75)=TRUE, "Evening", "Night")))</f>
        <v>Afternoon</v>
      </c>
      <c r="G118" t="str">
        <f>_xlfn.XLOOKUP(AllData[[#This Row],[Location Name]], Locations[Location Name],Locations[Group As])</f>
        <v>Site 4 : Heath Gate Ilmington</v>
      </c>
      <c r="H118" t="e" vm="1">
        <f>_xlfn.XLOOKUP(AllData[[#This Row],[Site Name]],LocationsKey[Site Name],LocationsKey[District])</f>
        <v>#VALUE!</v>
      </c>
      <c r="I118" t="e" vm="14">
        <f>_xlfn.XLOOKUP(AllData[[#This Row],[Site Name]],LocationsKey[Site Name],LocationsKey[Town])</f>
        <v>#VALUE!</v>
      </c>
      <c r="J118" t="str">
        <f>_xlfn.XLOOKUP(AllData[[#This Row],[Site Name]],LocationsKey[Site Name], LocationsKey[Waterway])</f>
        <v>Fosseway Brook</v>
      </c>
      <c r="K118" s="139" t="s">
        <v>3371</v>
      </c>
      <c r="L118" s="139">
        <v>52.094751000000002</v>
      </c>
      <c r="M118" s="156">
        <v>-1.6740189999999999</v>
      </c>
      <c r="N118" s="139" t="s">
        <v>31</v>
      </c>
      <c r="O118" s="139">
        <v>882</v>
      </c>
      <c r="P118" s="139">
        <v>12</v>
      </c>
      <c r="Q118" s="139">
        <v>10</v>
      </c>
      <c r="R118" s="107" t="str">
        <f>IF(AllData[[#This Row],[Nitrate (PPM)]]&gt;2, "Very high", IF(AllData[[#This Row],[Nitrate (PPM)]]&gt;1, "High", IF(AllData[[#This Row],[Nitrate (PPM)]]&gt;0.5, "Some evidence", IF(AllData[[#This Row],[Nitrate (PPM)]]&gt;=0, "No evidence"))))</f>
        <v>Very high</v>
      </c>
      <c r="S118" s="139">
        <v>5.8</v>
      </c>
      <c r="T118" s="7" t="str">
        <f>IF(AllData[[#This Row],[Phosphate (PPM)]]&gt;0.5, "Very high", IF(AllData[[#This Row],[Phosphate (PPM)]]&gt;0.1, "High", IF(AllData[[#This Row],[Phosphate (PPM)]]&gt;0.05, "Some evidence", IF(AllData[[#This Row],[Phosphate (PPM)]]&lt;=0.05, "No Evidence", ""))))</f>
        <v>Very high</v>
      </c>
      <c r="U118" s="139">
        <v>0.2</v>
      </c>
      <c r="V118" s="139" t="s">
        <v>3368</v>
      </c>
    </row>
    <row r="119" spans="1:22" x14ac:dyDescent="0.35">
      <c r="A119" s="139" t="s">
        <v>3359</v>
      </c>
      <c r="B119" s="146">
        <v>45745</v>
      </c>
      <c r="C119" s="2" t="str" cm="1">
        <f t="array" ref="C1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19">
        <f>YEAR(AllData[[#This Row],[Date]])</f>
        <v>2025</v>
      </c>
      <c r="E119" s="147">
        <v>0.42638888888888887</v>
      </c>
      <c r="F119" t="str">
        <f>IF(AND(AllData[[#This Row],[Time]]&lt;0.5, AllData[[#This Row],[Time]]&gt;0.17)=TRUE, "Morning", IF(AND(AllData[[#This Row],[Time]]&lt;0.75, AllData[[#This Row],[Time]]&gt;=0.5)=TRUE, "Afternoon", IF(AND(AllData[[#This Row],[Time]]&lt;1, AllData[[#This Row],[Time]]&gt;=0.75)=TRUE, "Evening", "Night")))</f>
        <v>Morning</v>
      </c>
      <c r="G119" t="str">
        <f>_xlfn.XLOOKUP(AllData[[#This Row],[Location Name]], Locations[Location Name],Locations[Group As])</f>
        <v>Avon Smiths Meadow Wyre Piddle</v>
      </c>
      <c r="H119" t="e" vm="6">
        <f>_xlfn.XLOOKUP(AllData[[#This Row],[Site Name]],LocationsKey[Site Name],LocationsKey[District])</f>
        <v>#VALUE!</v>
      </c>
      <c r="I119" t="e" vm="13">
        <f>_xlfn.XLOOKUP(AllData[[#This Row],[Site Name]],LocationsKey[Site Name],LocationsKey[Town])</f>
        <v>#VALUE!</v>
      </c>
      <c r="J119" t="str">
        <f>_xlfn.XLOOKUP(AllData[[#This Row],[Site Name]],LocationsKey[Site Name], LocationsKey[Waterway])</f>
        <v>Avon</v>
      </c>
      <c r="K119" s="139" t="s">
        <v>784</v>
      </c>
      <c r="L119" s="139">
        <v>52.122858999999998</v>
      </c>
      <c r="M119" s="156">
        <v>-2.0575389999999998</v>
      </c>
      <c r="N119" s="139" t="s">
        <v>34</v>
      </c>
      <c r="O119" s="139">
        <v>872</v>
      </c>
      <c r="P119" s="139">
        <v>12.1</v>
      </c>
      <c r="Q119" s="139">
        <v>10</v>
      </c>
      <c r="R119" s="107" t="str">
        <f>IF(AllData[[#This Row],[Nitrate (PPM)]]&gt;2, "Very high", IF(AllData[[#This Row],[Nitrate (PPM)]]&gt;1, "High", IF(AllData[[#This Row],[Nitrate (PPM)]]&gt;0.5, "Some evidence", IF(AllData[[#This Row],[Nitrate (PPM)]]&gt;=0, "No evidence"))))</f>
        <v>Very high</v>
      </c>
      <c r="S119" s="139">
        <v>0.65</v>
      </c>
      <c r="T119" s="7" t="str">
        <f>IF(AllData[[#This Row],[Phosphate (PPM)]]&gt;0.5, "Very high", IF(AllData[[#This Row],[Phosphate (PPM)]]&gt;0.1, "High", IF(AllData[[#This Row],[Phosphate (PPM)]]&gt;0.05, "Some evidence", IF(AllData[[#This Row],[Phosphate (PPM)]]&lt;=0.05, "No Evidence", ""))))</f>
        <v>Very high</v>
      </c>
      <c r="U119" s="139">
        <v>0.59</v>
      </c>
      <c r="V119" s="139" t="s">
        <v>3360</v>
      </c>
    </row>
    <row r="120" spans="1:22" x14ac:dyDescent="0.35">
      <c r="A120" s="139" t="s">
        <v>3361</v>
      </c>
      <c r="B120" s="146">
        <v>45745</v>
      </c>
      <c r="C120" s="2" t="str" cm="1">
        <f t="array" ref="C1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0">
        <f>YEAR(AllData[[#This Row],[Date]])</f>
        <v>2025</v>
      </c>
      <c r="E120" s="147">
        <v>0.45277777777777778</v>
      </c>
      <c r="F120" t="str">
        <f>IF(AND(AllData[[#This Row],[Time]]&lt;0.5, AllData[[#This Row],[Time]]&gt;0.17)=TRUE, "Morning", IF(AND(AllData[[#This Row],[Time]]&lt;0.75, AllData[[#This Row],[Time]]&gt;=0.5)=TRUE, "Afternoon", IF(AND(AllData[[#This Row],[Time]]&lt;1, AllData[[#This Row],[Time]]&gt;=0.75)=TRUE, "Evening", "Night")))</f>
        <v>Morning</v>
      </c>
      <c r="G120" t="str">
        <f>_xlfn.XLOOKUP(AllData[[#This Row],[Location Name]], Locations[Location Name],Locations[Group As])</f>
        <v>Piddle Brook Wyre Piddle Bridge</v>
      </c>
      <c r="H120" t="e" vm="6">
        <f>_xlfn.XLOOKUP(AllData[[#This Row],[Site Name]],LocationsKey[Site Name],LocationsKey[District])</f>
        <v>#VALUE!</v>
      </c>
      <c r="I120" t="e" vm="13">
        <f>_xlfn.XLOOKUP(AllData[[#This Row],[Site Name]],LocationsKey[Site Name],LocationsKey[Town])</f>
        <v>#VALUE!</v>
      </c>
      <c r="J120" t="str">
        <f>_xlfn.XLOOKUP(AllData[[#This Row],[Site Name]],LocationsKey[Site Name], LocationsKey[Waterway])</f>
        <v>Piddle Brook</v>
      </c>
      <c r="K120" s="139" t="s">
        <v>787</v>
      </c>
      <c r="L120" s="139">
        <v>52.126497999999998</v>
      </c>
      <c r="M120" s="156">
        <v>-2.0564680000000002</v>
      </c>
      <c r="N120" s="139" t="s">
        <v>34</v>
      </c>
      <c r="O120" s="139">
        <v>1330</v>
      </c>
      <c r="P120" s="139">
        <v>9.3000000000000007</v>
      </c>
      <c r="Q120" s="139">
        <v>5</v>
      </c>
      <c r="R120" s="107" t="str">
        <f>IF(AllData[[#This Row],[Nitrate (PPM)]]&gt;2, "Very high", IF(AllData[[#This Row],[Nitrate (PPM)]]&gt;1, "High", IF(AllData[[#This Row],[Nitrate (PPM)]]&gt;0.5, "Some evidence", IF(AllData[[#This Row],[Nitrate (PPM)]]&gt;=0, "No evidence"))))</f>
        <v>Very high</v>
      </c>
      <c r="S120" s="139">
        <v>0.56999999999999995</v>
      </c>
      <c r="T120" s="7" t="str">
        <f>IF(AllData[[#This Row],[Phosphate (PPM)]]&gt;0.5, "Very high", IF(AllData[[#This Row],[Phosphate (PPM)]]&gt;0.1, "High", IF(AllData[[#This Row],[Phosphate (PPM)]]&gt;0.05, "Some evidence", IF(AllData[[#This Row],[Phosphate (PPM)]]&lt;=0.05, "No Evidence", ""))))</f>
        <v>Very high</v>
      </c>
      <c r="U120" s="139">
        <v>0.23</v>
      </c>
      <c r="V120" s="139" t="s">
        <v>3362</v>
      </c>
    </row>
    <row r="121" spans="1:22" x14ac:dyDescent="0.35">
      <c r="A121" s="139" t="s">
        <v>3369</v>
      </c>
      <c r="B121" s="146">
        <v>45745</v>
      </c>
      <c r="C121" s="2" t="str" cm="1">
        <f t="array" ref="C1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1">
        <f>YEAR(AllData[[#This Row],[Date]])</f>
        <v>2025</v>
      </c>
      <c r="E121" s="147">
        <v>0.54583333333333328</v>
      </c>
      <c r="F121" t="str">
        <f>IF(AND(AllData[[#This Row],[Time]]&lt;0.5, AllData[[#This Row],[Time]]&gt;0.17)=TRUE, "Morning", IF(AND(AllData[[#This Row],[Time]]&lt;0.75, AllData[[#This Row],[Time]]&gt;=0.5)=TRUE, "Afternoon", IF(AND(AllData[[#This Row],[Time]]&lt;1, AllData[[#This Row],[Time]]&gt;=0.75)=TRUE, "Evening", "Night")))</f>
        <v>Afternoon</v>
      </c>
      <c r="G121" t="str">
        <f>_xlfn.XLOOKUP(AllData[[#This Row],[Location Name]], Locations[Location Name],Locations[Group As])</f>
        <v>Site 3  :  Severn Trent Water processing plant outflow</v>
      </c>
      <c r="H121" t="e" vm="1">
        <f>_xlfn.XLOOKUP(AllData[[#This Row],[Site Name]],LocationsKey[Site Name],LocationsKey[District])</f>
        <v>#VALUE!</v>
      </c>
      <c r="I121" t="e" vm="14">
        <f>_xlfn.XLOOKUP(AllData[[#This Row],[Site Name]],LocationsKey[Site Name],LocationsKey[Town])</f>
        <v>#VALUE!</v>
      </c>
      <c r="J121" t="str">
        <f>_xlfn.XLOOKUP(AllData[[#This Row],[Site Name]],LocationsKey[Site Name], LocationsKey[Waterway])</f>
        <v>Fosseway Brook</v>
      </c>
      <c r="K121" s="139" t="s">
        <v>1917</v>
      </c>
      <c r="L121" s="139">
        <v>52.094411000000001</v>
      </c>
      <c r="M121" s="156">
        <v>-1.6758439999999999</v>
      </c>
      <c r="N121" s="139" t="s">
        <v>31</v>
      </c>
      <c r="O121" s="139">
        <v>963</v>
      </c>
      <c r="P121" s="139">
        <v>12.3</v>
      </c>
      <c r="Q121" s="139">
        <v>5</v>
      </c>
      <c r="R121" s="107" t="str">
        <f>IF(AllData[[#This Row],[Nitrate (PPM)]]&gt;2, "Very high", IF(AllData[[#This Row],[Nitrate (PPM)]]&gt;1, "High", IF(AllData[[#This Row],[Nitrate (PPM)]]&gt;0.5, "Some evidence", IF(AllData[[#This Row],[Nitrate (PPM)]]&gt;=0, "No evidence"))))</f>
        <v>Very high</v>
      </c>
      <c r="S121" s="139">
        <v>8.3000000000000007</v>
      </c>
      <c r="T121" s="7" t="str">
        <f>IF(AllData[[#This Row],[Phosphate (PPM)]]&gt;0.5, "Very high", IF(AllData[[#This Row],[Phosphate (PPM)]]&gt;0.1, "High", IF(AllData[[#This Row],[Phosphate (PPM)]]&gt;0.05, "Some evidence", IF(AllData[[#This Row],[Phosphate (PPM)]]&lt;=0.05, "No Evidence", ""))))</f>
        <v>Very high</v>
      </c>
      <c r="U121" s="139">
        <v>0.2</v>
      </c>
      <c r="V121" s="139"/>
    </row>
    <row r="122" spans="1:22" x14ac:dyDescent="0.35">
      <c r="A122" s="139" t="s">
        <v>3363</v>
      </c>
      <c r="B122" s="146">
        <v>45745</v>
      </c>
      <c r="C122" s="2" t="str" cm="1">
        <f t="array" ref="C1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2">
        <f>YEAR(AllData[[#This Row],[Date]])</f>
        <v>2025</v>
      </c>
      <c r="E122" s="147">
        <v>0.5</v>
      </c>
      <c r="F122" t="str">
        <f>IF(AND(AllData[[#This Row],[Time]]&lt;0.5, AllData[[#This Row],[Time]]&gt;0.17)=TRUE, "Morning", IF(AND(AllData[[#This Row],[Time]]&lt;0.75, AllData[[#This Row],[Time]]&gt;=0.5)=TRUE, "Afternoon", IF(AND(AllData[[#This Row],[Time]]&lt;1, AllData[[#This Row],[Time]]&gt;=0.75)=TRUE, "Evening", "Night")))</f>
        <v>Afternoon</v>
      </c>
      <c r="G122" t="str">
        <f>_xlfn.XLOOKUP(AllData[[#This Row],[Location Name]], Locations[Location Name],Locations[Group As])</f>
        <v>Carrant Bredon Rd</v>
      </c>
      <c r="H122" t="e" vm="4">
        <f>_xlfn.XLOOKUP(AllData[[#This Row],[Site Name]],LocationsKey[Site Name],LocationsKey[District])</f>
        <v>#VALUE!</v>
      </c>
      <c r="I122" t="e" vm="4">
        <f>_xlfn.XLOOKUP(AllData[[#This Row],[Site Name]],LocationsKey[Site Name],LocationsKey[Town])</f>
        <v>#VALUE!</v>
      </c>
      <c r="J122" t="str">
        <f>_xlfn.XLOOKUP(AllData[[#This Row],[Site Name]],LocationsKey[Site Name], LocationsKey[Waterway])</f>
        <v>Carrant</v>
      </c>
      <c r="K122" s="139" t="s">
        <v>603</v>
      </c>
      <c r="L122" s="139">
        <v>51.996250000000003</v>
      </c>
      <c r="M122" s="156">
        <v>-2.15605</v>
      </c>
      <c r="N122" s="139" t="s">
        <v>25</v>
      </c>
      <c r="O122" s="139">
        <v>755</v>
      </c>
      <c r="P122" s="139">
        <v>10.7</v>
      </c>
      <c r="Q122" s="139">
        <v>5</v>
      </c>
      <c r="R122" s="107" t="str">
        <f>IF(AllData[[#This Row],[Nitrate (PPM)]]&gt;2, "Very high", IF(AllData[[#This Row],[Nitrate (PPM)]]&gt;1, "High", IF(AllData[[#This Row],[Nitrate (PPM)]]&gt;0.5, "Some evidence", IF(AllData[[#This Row],[Nitrate (PPM)]]&gt;=0, "No evidence"))))</f>
        <v>Very high</v>
      </c>
      <c r="S122" s="139">
        <v>0.34</v>
      </c>
      <c r="T122" s="7" t="str">
        <f>IF(AllData[[#This Row],[Phosphate (PPM)]]&gt;0.5, "Very high", IF(AllData[[#This Row],[Phosphate (PPM)]]&gt;0.1, "High", IF(AllData[[#This Row],[Phosphate (PPM)]]&gt;0.05, "Some evidence", IF(AllData[[#This Row],[Phosphate (PPM)]]&lt;=0.05, "No Evidence", ""))))</f>
        <v>High</v>
      </c>
      <c r="U122" s="139">
        <v>0.1</v>
      </c>
      <c r="V122" s="139"/>
    </row>
    <row r="123" spans="1:22" x14ac:dyDescent="0.35">
      <c r="A123" s="139" t="s">
        <v>3367</v>
      </c>
      <c r="B123" s="146">
        <v>45745</v>
      </c>
      <c r="C123" s="2" t="str" cm="1">
        <f t="array" ref="C1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3">
        <f>YEAR(AllData[[#This Row],[Date]])</f>
        <v>2025</v>
      </c>
      <c r="E123" s="147">
        <v>0.53611111111111109</v>
      </c>
      <c r="F123" t="str">
        <f>IF(AND(AllData[[#This Row],[Time]]&lt;0.5, AllData[[#This Row],[Time]]&gt;0.17)=TRUE, "Morning", IF(AND(AllData[[#This Row],[Time]]&lt;0.75, AllData[[#This Row],[Time]]&gt;=0.5)=TRUE, "Afternoon", IF(AND(AllData[[#This Row],[Time]]&lt;1, AllData[[#This Row],[Time]]&gt;=0.75)=TRUE, "Evening", "Night")))</f>
        <v>Afternoon</v>
      </c>
      <c r="G123" t="str">
        <f>_xlfn.XLOOKUP(AllData[[#This Row],[Location Name]], Locations[Location Name],Locations[Group As])</f>
        <v>Site 1  :  Middle Street</v>
      </c>
      <c r="H123" t="e" vm="1">
        <f>_xlfn.XLOOKUP(AllData[[#This Row],[Site Name]],LocationsKey[Site Name],LocationsKey[District])</f>
        <v>#VALUE!</v>
      </c>
      <c r="I123" t="e" vm="14">
        <f>_xlfn.XLOOKUP(AllData[[#This Row],[Site Name]],LocationsKey[Site Name],LocationsKey[Town])</f>
        <v>#VALUE!</v>
      </c>
      <c r="J123" t="str">
        <f>_xlfn.XLOOKUP(AllData[[#This Row],[Site Name]],LocationsKey[Site Name], LocationsKey[Waterway])</f>
        <v>Fosseway Brook</v>
      </c>
      <c r="K123" s="139" t="s">
        <v>670</v>
      </c>
      <c r="L123" s="139">
        <v>52.090049</v>
      </c>
      <c r="M123" s="156">
        <v>-1.692647</v>
      </c>
      <c r="N123" s="139" t="s">
        <v>68</v>
      </c>
      <c r="O123" s="139">
        <v>624</v>
      </c>
      <c r="P123" s="139">
        <v>12.8</v>
      </c>
      <c r="Q123" s="139">
        <v>2</v>
      </c>
      <c r="R123" s="107" t="str">
        <f>IF(AllData[[#This Row],[Nitrate (PPM)]]&gt;2, "Very high", IF(AllData[[#This Row],[Nitrate (PPM)]]&gt;1, "High", IF(AllData[[#This Row],[Nitrate (PPM)]]&gt;0.5, "Some evidence", IF(AllData[[#This Row],[Nitrate (PPM)]]&gt;=0, "No evidence"))))</f>
        <v>High</v>
      </c>
      <c r="S123" s="139">
        <v>0.09</v>
      </c>
      <c r="T123" s="7" t="str">
        <f>IF(AllData[[#This Row],[Phosphate (PPM)]]&gt;0.5, "Very high", IF(AllData[[#This Row],[Phosphate (PPM)]]&gt;0.1, "High", IF(AllData[[#This Row],[Phosphate (PPM)]]&gt;0.05, "Some evidence", IF(AllData[[#This Row],[Phosphate (PPM)]]&lt;=0.05, "No Evidence", ""))))</f>
        <v>Some evidence</v>
      </c>
      <c r="U123" s="139">
        <v>0.05</v>
      </c>
      <c r="V123" s="139" t="s">
        <v>3368</v>
      </c>
    </row>
    <row r="124" spans="1:22" x14ac:dyDescent="0.35">
      <c r="A124" s="139" t="s">
        <v>3357</v>
      </c>
      <c r="B124" s="146">
        <v>45744</v>
      </c>
      <c r="C124" s="2" t="str" cm="1">
        <f t="array" ref="C1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4">
        <f>YEAR(AllData[[#This Row],[Date]])</f>
        <v>2025</v>
      </c>
      <c r="E124" s="147">
        <v>0.63194444444444442</v>
      </c>
      <c r="F124" t="str">
        <f>IF(AND(AllData[[#This Row],[Time]]&lt;0.5, AllData[[#This Row],[Time]]&gt;0.17)=TRUE, "Morning", IF(AND(AllData[[#This Row],[Time]]&lt;0.75, AllData[[#This Row],[Time]]&gt;=0.5)=TRUE, "Afternoon", IF(AND(AllData[[#This Row],[Time]]&lt;1, AllData[[#This Row],[Time]]&gt;=0.75)=TRUE, "Evening", "Night")))</f>
        <v>Afternoon</v>
      </c>
      <c r="G124" t="str">
        <f>_xlfn.XLOOKUP(AllData[[#This Row],[Location Name]], Locations[Location Name],Locations[Group As])</f>
        <v>Stour Shipston Mill Bridge</v>
      </c>
      <c r="H124" t="e" vm="1">
        <f>_xlfn.XLOOKUP(AllData[[#This Row],[Site Name]],LocationsKey[Site Name],LocationsKey[District])</f>
        <v>#VALUE!</v>
      </c>
      <c r="I124" t="e" vm="15">
        <f>_xlfn.XLOOKUP(AllData[[#This Row],[Site Name]],LocationsKey[Site Name],LocationsKey[Town])</f>
        <v>#VALUE!</v>
      </c>
      <c r="J124" t="str">
        <f>_xlfn.XLOOKUP(AllData[[#This Row],[Site Name]],LocationsKey[Site Name], LocationsKey[Waterway])</f>
        <v>Stour</v>
      </c>
      <c r="K124" s="139" t="s">
        <v>3358</v>
      </c>
      <c r="L124" s="139">
        <v>52.062300999999998</v>
      </c>
      <c r="M124" s="156">
        <v>-1.628036</v>
      </c>
      <c r="N124" s="139" t="s">
        <v>31</v>
      </c>
      <c r="O124" s="139">
        <v>5.73</v>
      </c>
      <c r="P124" s="139">
        <v>12.9</v>
      </c>
      <c r="Q124" s="139">
        <v>3.5</v>
      </c>
      <c r="R124" s="107" t="str">
        <f>IF(AllData[[#This Row],[Nitrate (PPM)]]&gt;2, "Very high", IF(AllData[[#This Row],[Nitrate (PPM)]]&gt;1, "High", IF(AllData[[#This Row],[Nitrate (PPM)]]&gt;0.5, "Some evidence", IF(AllData[[#This Row],[Nitrate (PPM)]]&gt;=0, "No evidence"))))</f>
        <v>Very high</v>
      </c>
      <c r="S124" s="139">
        <v>0.25</v>
      </c>
      <c r="T124" s="7" t="str">
        <f>IF(AllData[[#This Row],[Phosphate (PPM)]]&gt;0.5, "Very high", IF(AllData[[#This Row],[Phosphate (PPM)]]&gt;0.1, "High", IF(AllData[[#This Row],[Phosphate (PPM)]]&gt;0.05, "Some evidence", IF(AllData[[#This Row],[Phosphate (PPM)]]&lt;=0.05, "No Evidence", ""))))</f>
        <v>High</v>
      </c>
      <c r="U124" s="139">
        <v>0.44</v>
      </c>
      <c r="V124" s="139" t="s">
        <v>2925</v>
      </c>
    </row>
    <row r="125" spans="1:22" x14ac:dyDescent="0.35">
      <c r="A125" s="139" t="s">
        <v>3355</v>
      </c>
      <c r="B125" s="146">
        <v>45744</v>
      </c>
      <c r="C125" s="2" t="str" cm="1">
        <f t="array" ref="C1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5">
        <f>YEAR(AllData[[#This Row],[Date]])</f>
        <v>2025</v>
      </c>
      <c r="E125" s="147">
        <v>0.63194444444444442</v>
      </c>
      <c r="F125" t="str">
        <f>IF(AND(AllData[[#This Row],[Time]]&lt;0.5, AllData[[#This Row],[Time]]&gt;0.17)=TRUE, "Morning", IF(AND(AllData[[#This Row],[Time]]&lt;0.75, AllData[[#This Row],[Time]]&gt;=0.5)=TRUE, "Afternoon", IF(AND(AllData[[#This Row],[Time]]&lt;1, AllData[[#This Row],[Time]]&gt;=0.75)=TRUE, "Evening", "Night")))</f>
        <v>Afternoon</v>
      </c>
      <c r="G125" t="str">
        <f>_xlfn.XLOOKUP(AllData[[#This Row],[Location Name]], Locations[Location Name],Locations[Group As])</f>
        <v>Stour Shipston Mill Bridge</v>
      </c>
      <c r="H125" t="e" vm="1">
        <f>_xlfn.XLOOKUP(AllData[[#This Row],[Site Name]],LocationsKey[Site Name],LocationsKey[District])</f>
        <v>#VALUE!</v>
      </c>
      <c r="I125" t="e" vm="15">
        <f>_xlfn.XLOOKUP(AllData[[#This Row],[Site Name]],LocationsKey[Site Name],LocationsKey[Town])</f>
        <v>#VALUE!</v>
      </c>
      <c r="J125" t="str">
        <f>_xlfn.XLOOKUP(AllData[[#This Row],[Site Name]],LocationsKey[Site Name], LocationsKey[Waterway])</f>
        <v>Stour</v>
      </c>
      <c r="K125" s="139" t="s">
        <v>3356</v>
      </c>
      <c r="L125" s="139">
        <v>52.062441999999997</v>
      </c>
      <c r="M125" s="156">
        <v>-1.6229750000000001</v>
      </c>
      <c r="N125" s="139" t="s">
        <v>25</v>
      </c>
      <c r="O125" s="139">
        <v>5.73</v>
      </c>
      <c r="P125" s="139">
        <v>12.9</v>
      </c>
      <c r="Q125" s="139">
        <v>3.5</v>
      </c>
      <c r="R125" s="107" t="str">
        <f>IF(AllData[[#This Row],[Nitrate (PPM)]]&gt;2, "Very high", IF(AllData[[#This Row],[Nitrate (PPM)]]&gt;1, "High", IF(AllData[[#This Row],[Nitrate (PPM)]]&gt;0.5, "Some evidence", IF(AllData[[#This Row],[Nitrate (PPM)]]&gt;=0, "No evidence"))))</f>
        <v>Very high</v>
      </c>
      <c r="S125" s="139">
        <v>0.25</v>
      </c>
      <c r="T125" s="7" t="str">
        <f>IF(AllData[[#This Row],[Phosphate (PPM)]]&gt;0.5, "Very high", IF(AllData[[#This Row],[Phosphate (PPM)]]&gt;0.1, "High", IF(AllData[[#This Row],[Phosphate (PPM)]]&gt;0.05, "Some evidence", IF(AllData[[#This Row],[Phosphate (PPM)]]&lt;=0.05, "No Evidence", ""))))</f>
        <v>High</v>
      </c>
      <c r="U125" s="139">
        <v>0.44</v>
      </c>
      <c r="V125" s="139" t="s">
        <v>2925</v>
      </c>
    </row>
    <row r="126" spans="1:22" x14ac:dyDescent="0.35">
      <c r="A126" s="139" t="s">
        <v>3353</v>
      </c>
      <c r="B126" s="146">
        <v>45743</v>
      </c>
      <c r="C126" s="2" t="str" cm="1">
        <f t="array" ref="C1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6">
        <f>YEAR(AllData[[#This Row],[Date]])</f>
        <v>2025</v>
      </c>
      <c r="E126" s="147">
        <v>0.46180555555555558</v>
      </c>
      <c r="F126" t="str">
        <f>IF(AND(AllData[[#This Row],[Time]]&lt;0.5, AllData[[#This Row],[Time]]&gt;0.17)=TRUE, "Morning", IF(AND(AllData[[#This Row],[Time]]&lt;0.75, AllData[[#This Row],[Time]]&gt;=0.5)=TRUE, "Afternoon", IF(AND(AllData[[#This Row],[Time]]&lt;1, AllData[[#This Row],[Time]]&gt;=0.75)=TRUE, "Evening", "Night")))</f>
        <v>Morning</v>
      </c>
      <c r="G126" t="str">
        <f>_xlfn.XLOOKUP(AllData[[#This Row],[Location Name]], Locations[Location Name],Locations[Group As])</f>
        <v>Swilgate</v>
      </c>
      <c r="H126" t="e" vm="4">
        <f>_xlfn.XLOOKUP(AllData[[#This Row],[Site Name]],LocationsKey[Site Name],LocationsKey[District])</f>
        <v>#VALUE!</v>
      </c>
      <c r="I126" t="e" vm="4">
        <f>_xlfn.XLOOKUP(AllData[[#This Row],[Site Name]],LocationsKey[Site Name],LocationsKey[Town])</f>
        <v>#VALUE!</v>
      </c>
      <c r="J126" t="str">
        <f>_xlfn.XLOOKUP(AllData[[#This Row],[Site Name]],LocationsKey[Site Name], LocationsKey[Waterway])</f>
        <v>Swilgate</v>
      </c>
      <c r="K126" s="139" t="s">
        <v>85</v>
      </c>
      <c r="L126" s="139"/>
      <c r="M126" s="156"/>
      <c r="N126" s="139" t="s">
        <v>34</v>
      </c>
      <c r="O126" s="139">
        <v>101</v>
      </c>
      <c r="P126" s="139">
        <v>11.2</v>
      </c>
      <c r="Q126" s="139">
        <v>5</v>
      </c>
      <c r="R126" s="107" t="str">
        <f>IF(AllData[[#This Row],[Nitrate (PPM)]]&gt;2, "Very high", IF(AllData[[#This Row],[Nitrate (PPM)]]&gt;1, "High", IF(AllData[[#This Row],[Nitrate (PPM)]]&gt;0.5, "Some evidence", IF(AllData[[#This Row],[Nitrate (PPM)]]&gt;=0, "No evidence"))))</f>
        <v>Very high</v>
      </c>
      <c r="S126" s="139">
        <v>0.45</v>
      </c>
      <c r="T126" s="7" t="str">
        <f>IF(AllData[[#This Row],[Phosphate (PPM)]]&gt;0.5, "Very high", IF(AllData[[#This Row],[Phosphate (PPM)]]&gt;0.1, "High", IF(AllData[[#This Row],[Phosphate (PPM)]]&gt;0.05, "Some evidence", IF(AllData[[#This Row],[Phosphate (PPM)]]&lt;=0.05, "No Evidence", ""))))</f>
        <v>High</v>
      </c>
      <c r="U126" s="139">
        <v>0</v>
      </c>
      <c r="V126" s="139" t="s">
        <v>3354</v>
      </c>
    </row>
    <row r="127" spans="1:22" x14ac:dyDescent="0.35">
      <c r="A127" s="139" t="s">
        <v>3350</v>
      </c>
      <c r="B127" s="146">
        <v>45742</v>
      </c>
      <c r="C127" s="2" t="str" cm="1">
        <f t="array" ref="C1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7">
        <f>YEAR(AllData[[#This Row],[Date]])</f>
        <v>2025</v>
      </c>
      <c r="E127" s="147">
        <v>0.60416666666666663</v>
      </c>
      <c r="F127" t="str">
        <f>IF(AND(AllData[[#This Row],[Time]]&lt;0.5, AllData[[#This Row],[Time]]&gt;0.17)=TRUE, "Morning", IF(AND(AllData[[#This Row],[Time]]&lt;0.75, AllData[[#This Row],[Time]]&gt;=0.5)=TRUE, "Afternoon", IF(AND(AllData[[#This Row],[Time]]&lt;1, AllData[[#This Row],[Time]]&gt;=0.75)=TRUE, "Evening", "Night")))</f>
        <v>Afternoon</v>
      </c>
      <c r="G127" t="str">
        <f>_xlfn.XLOOKUP(AllData[[#This Row],[Location Name]], Locations[Location Name],Locations[Group As])</f>
        <v>Alveston Weir</v>
      </c>
      <c r="H127" t="e" vm="1">
        <f>_xlfn.XLOOKUP(AllData[[#This Row],[Site Name]],LocationsKey[Site Name],LocationsKey[District])</f>
        <v>#VALUE!</v>
      </c>
      <c r="I127" t="e" vm="2">
        <f>_xlfn.XLOOKUP(AllData[[#This Row],[Site Name]],LocationsKey[Site Name],LocationsKey[Town])</f>
        <v>#VALUE!</v>
      </c>
      <c r="J127" t="str">
        <f>_xlfn.XLOOKUP(AllData[[#This Row],[Site Name]],LocationsKey[Site Name], LocationsKey[Waterway])</f>
        <v>Avon</v>
      </c>
      <c r="K127" s="139" t="s">
        <v>288</v>
      </c>
      <c r="L127" s="139">
        <v>52.202889999999996</v>
      </c>
      <c r="M127" s="156">
        <v>-1.659559</v>
      </c>
      <c r="N127" s="139" t="s">
        <v>31</v>
      </c>
      <c r="O127" s="139">
        <v>691</v>
      </c>
      <c r="P127" s="139">
        <v>12.1</v>
      </c>
      <c r="Q127" s="139">
        <v>10</v>
      </c>
      <c r="R127" s="107" t="str">
        <f>IF(AllData[[#This Row],[Nitrate (PPM)]]&gt;2, "Very high", IF(AllData[[#This Row],[Nitrate (PPM)]]&gt;1, "High", IF(AllData[[#This Row],[Nitrate (PPM)]]&gt;0.5, "Some evidence", IF(AllData[[#This Row],[Nitrate (PPM)]]&gt;=0, "No evidence"))))</f>
        <v>Very high</v>
      </c>
      <c r="S127" s="139">
        <v>0.78</v>
      </c>
      <c r="T127" s="7" t="str">
        <f>IF(AllData[[#This Row],[Phosphate (PPM)]]&gt;0.5, "Very high", IF(AllData[[#This Row],[Phosphate (PPM)]]&gt;0.1, "High", IF(AllData[[#This Row],[Phosphate (PPM)]]&gt;0.05, "Some evidence", IF(AllData[[#This Row],[Phosphate (PPM)]]&lt;=0.05, "No Evidence", ""))))</f>
        <v>Very high</v>
      </c>
      <c r="U127" s="139">
        <v>0</v>
      </c>
      <c r="V127" s="139" t="s">
        <v>3351</v>
      </c>
    </row>
    <row r="128" spans="1:22" x14ac:dyDescent="0.35">
      <c r="A128" s="139" t="s">
        <v>3352</v>
      </c>
      <c r="B128" s="146">
        <v>45742</v>
      </c>
      <c r="C128" s="2" t="str" cm="1">
        <f t="array" ref="C1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8">
        <f>YEAR(AllData[[#This Row],[Date]])</f>
        <v>2025</v>
      </c>
      <c r="E128" s="147">
        <v>0.72986111111111107</v>
      </c>
      <c r="F128" t="str">
        <f>IF(AND(AllData[[#This Row],[Time]]&lt;0.5, AllData[[#This Row],[Time]]&gt;0.17)=TRUE, "Morning", IF(AND(AllData[[#This Row],[Time]]&lt;0.75, AllData[[#This Row],[Time]]&gt;=0.5)=TRUE, "Afternoon", IF(AND(AllData[[#This Row],[Time]]&lt;1, AllData[[#This Row],[Time]]&gt;=0.75)=TRUE, "Evening", "Night")))</f>
        <v>Afternoon</v>
      </c>
      <c r="G128" t="str">
        <f>_xlfn.XLOOKUP(AllData[[#This Row],[Location Name]], Locations[Location Name],Locations[Group As])</f>
        <v>SSC Bredons Norton</v>
      </c>
      <c r="H128" t="e" vm="6">
        <f>_xlfn.XLOOKUP(AllData[[#This Row],[Site Name]],LocationsKey[Site Name],LocationsKey[District])</f>
        <v>#VALUE!</v>
      </c>
      <c r="I128" t="str">
        <f>_xlfn.XLOOKUP(AllData[[#This Row],[Site Name]],LocationsKey[Site Name],LocationsKey[Town])</f>
        <v>Bredon's Norton</v>
      </c>
      <c r="J128" t="str">
        <f>_xlfn.XLOOKUP(AllData[[#This Row],[Site Name]],LocationsKey[Site Name], LocationsKey[Waterway])</f>
        <v>Avon</v>
      </c>
      <c r="K128" s="139" t="s">
        <v>2121</v>
      </c>
      <c r="L128" s="139">
        <v>52.050840999999998</v>
      </c>
      <c r="M128" s="156">
        <v>-2.1170689999999999</v>
      </c>
      <c r="N128" s="139" t="s">
        <v>25</v>
      </c>
      <c r="O128" s="139">
        <v>730</v>
      </c>
      <c r="P128" s="139">
        <v>14.4</v>
      </c>
      <c r="Q128" s="139">
        <v>5</v>
      </c>
      <c r="R128" s="107" t="str">
        <f>IF(AllData[[#This Row],[Nitrate (PPM)]]&gt;2, "Very high", IF(AllData[[#This Row],[Nitrate (PPM)]]&gt;1, "High", IF(AllData[[#This Row],[Nitrate (PPM)]]&gt;0.5, "Some evidence", IF(AllData[[#This Row],[Nitrate (PPM)]]&gt;=0, "No evidence"))))</f>
        <v>Very high</v>
      </c>
      <c r="S128" s="139">
        <v>0.56000000000000005</v>
      </c>
      <c r="T128" s="7" t="str">
        <f>IF(AllData[[#This Row],[Phosphate (PPM)]]&gt;0.5, "Very high", IF(AllData[[#This Row],[Phosphate (PPM)]]&gt;0.1, "High", IF(AllData[[#This Row],[Phosphate (PPM)]]&gt;0.05, "Some evidence", IF(AllData[[#This Row],[Phosphate (PPM)]]&lt;=0.05, "No Evidence", ""))))</f>
        <v>Very high</v>
      </c>
      <c r="U128" s="139">
        <v>0.8</v>
      </c>
      <c r="V128" s="139"/>
    </row>
    <row r="129" spans="1:22" x14ac:dyDescent="0.35">
      <c r="A129" s="139" t="s">
        <v>3345</v>
      </c>
      <c r="B129" s="146">
        <v>45741</v>
      </c>
      <c r="C129" s="2" t="str" cm="1">
        <f t="array" ref="C1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29">
        <f>YEAR(AllData[[#This Row],[Date]])</f>
        <v>2025</v>
      </c>
      <c r="E129" s="147">
        <v>0.40069444444444446</v>
      </c>
      <c r="F129" t="str">
        <f>IF(AND(AllData[[#This Row],[Time]]&lt;0.5, AllData[[#This Row],[Time]]&gt;0.17)=TRUE, "Morning", IF(AND(AllData[[#This Row],[Time]]&lt;0.75, AllData[[#This Row],[Time]]&gt;=0.5)=TRUE, "Afternoon", IF(AND(AllData[[#This Row],[Time]]&lt;1, AllData[[#This Row],[Time]]&gt;=0.75)=TRUE, "Evening", "Night")))</f>
        <v>Morning</v>
      </c>
      <c r="G129" t="str">
        <f>_xlfn.XLOOKUP(AllData[[#This Row],[Location Name]], Locations[Location Name],Locations[Group As])</f>
        <v>Twyning Fleet</v>
      </c>
      <c r="H129" t="e" vm="4">
        <f>_xlfn.XLOOKUP(AllData[[#This Row],[Site Name]],LocationsKey[Site Name],LocationsKey[District])</f>
        <v>#VALUE!</v>
      </c>
      <c r="I129" t="str">
        <f>_xlfn.XLOOKUP(AllData[[#This Row],[Site Name]],LocationsKey[Site Name],LocationsKey[Town])</f>
        <v>Twyning Green</v>
      </c>
      <c r="J129" t="str">
        <f>_xlfn.XLOOKUP(AllData[[#This Row],[Site Name]],LocationsKey[Site Name], LocationsKey[Waterway])</f>
        <v>Avon</v>
      </c>
      <c r="K129" s="139" t="s">
        <v>2181</v>
      </c>
      <c r="L129" s="139">
        <v>52.027411000000001</v>
      </c>
      <c r="M129" s="156">
        <v>-2.1409319999999998</v>
      </c>
      <c r="N129" s="139"/>
      <c r="O129" s="139">
        <v>809</v>
      </c>
      <c r="P129" s="139">
        <v>12.4</v>
      </c>
      <c r="Q129" s="139">
        <v>10</v>
      </c>
      <c r="R129" s="107" t="str">
        <f>IF(AllData[[#This Row],[Nitrate (PPM)]]&gt;2, "Very high", IF(AllData[[#This Row],[Nitrate (PPM)]]&gt;1, "High", IF(AllData[[#This Row],[Nitrate (PPM)]]&gt;0.5, "Some evidence", IF(AllData[[#This Row],[Nitrate (PPM)]]&gt;=0, "No evidence"))))</f>
        <v>Very high</v>
      </c>
      <c r="S129" s="139">
        <v>0.43</v>
      </c>
      <c r="T129" s="7" t="str">
        <f>IF(AllData[[#This Row],[Phosphate (PPM)]]&gt;0.5, "Very high", IF(AllData[[#This Row],[Phosphate (PPM)]]&gt;0.1, "High", IF(AllData[[#This Row],[Phosphate (PPM)]]&gt;0.05, "Some evidence", IF(AllData[[#This Row],[Phosphate (PPM)]]&lt;=0.05, "No Evidence", ""))))</f>
        <v>High</v>
      </c>
      <c r="U129" s="139">
        <v>0</v>
      </c>
      <c r="V129" s="139"/>
    </row>
    <row r="130" spans="1:22" x14ac:dyDescent="0.35">
      <c r="A130" s="139" t="s">
        <v>3348</v>
      </c>
      <c r="B130" s="146">
        <v>45741</v>
      </c>
      <c r="C130" s="2" t="str" cm="1">
        <f t="array" ref="C1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0">
        <f>YEAR(AllData[[#This Row],[Date]])</f>
        <v>2025</v>
      </c>
      <c r="E130" s="147">
        <v>0.61041666666666672</v>
      </c>
      <c r="F130" t="str">
        <f>IF(AND(AllData[[#This Row],[Time]]&lt;0.5, AllData[[#This Row],[Time]]&gt;0.17)=TRUE, "Morning", IF(AND(AllData[[#This Row],[Time]]&lt;0.75, AllData[[#This Row],[Time]]&gt;=0.5)=TRUE, "Afternoon", IF(AND(AllData[[#This Row],[Time]]&lt;1, AllData[[#This Row],[Time]]&gt;=0.75)=TRUE, "Evening", "Night")))</f>
        <v>Afternoon</v>
      </c>
      <c r="G130" t="str">
        <f>_xlfn.XLOOKUP(AllData[[#This Row],[Location Name]], Locations[Location Name],Locations[Group As])</f>
        <v>Swiffen Bank</v>
      </c>
      <c r="H130" t="e" vm="1">
        <f>_xlfn.XLOOKUP(AllData[[#This Row],[Site Name]],LocationsKey[Site Name],LocationsKey[District])</f>
        <v>#VALUE!</v>
      </c>
      <c r="I130" t="e" vm="2">
        <f>_xlfn.XLOOKUP(AllData[[#This Row],[Site Name]],LocationsKey[Site Name],LocationsKey[Town])</f>
        <v>#VALUE!</v>
      </c>
      <c r="J130" t="str">
        <f>_xlfn.XLOOKUP(AllData[[#This Row],[Site Name]],LocationsKey[Site Name], LocationsKey[Waterway])</f>
        <v>Avon</v>
      </c>
      <c r="K130" s="139" t="s">
        <v>286</v>
      </c>
      <c r="L130" s="139">
        <v>52.206361999999999</v>
      </c>
      <c r="M130" s="156">
        <v>-1.6546529999999999</v>
      </c>
      <c r="N130" s="139" t="s">
        <v>31</v>
      </c>
      <c r="O130" s="139">
        <v>613</v>
      </c>
      <c r="P130" s="139">
        <v>12.1</v>
      </c>
      <c r="Q130" s="139">
        <v>5</v>
      </c>
      <c r="R130" s="107" t="str">
        <f>IF(AllData[[#This Row],[Nitrate (PPM)]]&gt;2, "Very high", IF(AllData[[#This Row],[Nitrate (PPM)]]&gt;1, "High", IF(AllData[[#This Row],[Nitrate (PPM)]]&gt;0.5, "Some evidence", IF(AllData[[#This Row],[Nitrate (PPM)]]&gt;=0, "No evidence"))))</f>
        <v>Very high</v>
      </c>
      <c r="S130" s="139">
        <v>0.73</v>
      </c>
      <c r="T130" s="7" t="str">
        <f>IF(AllData[[#This Row],[Phosphate (PPM)]]&gt;0.5, "Very high", IF(AllData[[#This Row],[Phosphate (PPM)]]&gt;0.1, "High", IF(AllData[[#This Row],[Phosphate (PPM)]]&gt;0.05, "Some evidence", IF(AllData[[#This Row],[Phosphate (PPM)]]&lt;=0.05, "No Evidence", ""))))</f>
        <v>Very high</v>
      </c>
      <c r="U130" s="139">
        <v>0</v>
      </c>
      <c r="V130" s="139" t="s">
        <v>3349</v>
      </c>
    </row>
    <row r="131" spans="1:22" x14ac:dyDescent="0.35">
      <c r="A131" s="139" t="s">
        <v>3346</v>
      </c>
      <c r="B131" s="146">
        <v>45741</v>
      </c>
      <c r="C131" s="2" t="str" cm="1">
        <f t="array" ref="C1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1">
        <f>YEAR(AllData[[#This Row],[Date]])</f>
        <v>2025</v>
      </c>
      <c r="E131" s="147">
        <v>0.50138888888888888</v>
      </c>
      <c r="F131" t="str">
        <f>IF(AND(AllData[[#This Row],[Time]]&lt;0.5, AllData[[#This Row],[Time]]&gt;0.17)=TRUE, "Morning", IF(AND(AllData[[#This Row],[Time]]&lt;0.75, AllData[[#This Row],[Time]]&gt;=0.5)=TRUE, "Afternoon", IF(AND(AllData[[#This Row],[Time]]&lt;1, AllData[[#This Row],[Time]]&gt;=0.75)=TRUE, "Evening", "Night")))</f>
        <v>Afternoon</v>
      </c>
      <c r="G131" t="str">
        <f>_xlfn.XLOOKUP(AllData[[#This Row],[Location Name]], Locations[Location Name],Locations[Group As])</f>
        <v>Walcot Lane, Bow Brook Ford</v>
      </c>
      <c r="H131" t="e" vm="6">
        <f>_xlfn.XLOOKUP(AllData[[#This Row],[Site Name]],LocationsKey[Site Name],LocationsKey[District])</f>
        <v>#VALUE!</v>
      </c>
      <c r="I131" t="e" vm="7">
        <f>_xlfn.XLOOKUP(AllData[[#This Row],[Site Name]],LocationsKey[Site Name],LocationsKey[Town])</f>
        <v>#VALUE!</v>
      </c>
      <c r="J131" t="str">
        <f>_xlfn.XLOOKUP(AllData[[#This Row],[Site Name]],LocationsKey[Site Name], LocationsKey[Waterway])</f>
        <v>Bow Brook</v>
      </c>
      <c r="K131" s="139" t="s">
        <v>775</v>
      </c>
      <c r="L131" s="139">
        <v>52.130482999999998</v>
      </c>
      <c r="M131" s="156">
        <v>-2.0786020000000001</v>
      </c>
      <c r="N131" s="139" t="s">
        <v>798</v>
      </c>
      <c r="O131" s="139">
        <v>1010</v>
      </c>
      <c r="P131" s="139">
        <v>12.6</v>
      </c>
      <c r="Q131" s="139">
        <v>2</v>
      </c>
      <c r="R131" s="107" t="str">
        <f>IF(AllData[[#This Row],[Nitrate (PPM)]]&gt;2, "Very high", IF(AllData[[#This Row],[Nitrate (PPM)]]&gt;1, "High", IF(AllData[[#This Row],[Nitrate (PPM)]]&gt;0.5, "Some evidence", IF(AllData[[#This Row],[Nitrate (PPM)]]&gt;=0, "No evidence"))))</f>
        <v>High</v>
      </c>
      <c r="S131" s="139">
        <v>0.56999999999999995</v>
      </c>
      <c r="T131" s="7" t="str">
        <f>IF(AllData[[#This Row],[Phosphate (PPM)]]&gt;0.5, "Very high", IF(AllData[[#This Row],[Phosphate (PPM)]]&gt;0.1, "High", IF(AllData[[#This Row],[Phosphate (PPM)]]&gt;0.05, "Some evidence", IF(AllData[[#This Row],[Phosphate (PPM)]]&lt;=0.05, "No Evidence", ""))))</f>
        <v>Very high</v>
      </c>
      <c r="U131" s="139">
        <v>0.2</v>
      </c>
      <c r="V131" s="139" t="s">
        <v>3347</v>
      </c>
    </row>
    <row r="132" spans="1:22" x14ac:dyDescent="0.35">
      <c r="A132" s="139" t="s">
        <v>3341</v>
      </c>
      <c r="B132" s="146">
        <v>45740</v>
      </c>
      <c r="C132" s="2" t="str" cm="1">
        <f t="array" ref="C1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2">
        <f>YEAR(AllData[[#This Row],[Date]])</f>
        <v>2025</v>
      </c>
      <c r="E132" s="147">
        <v>0.47916666666666669</v>
      </c>
      <c r="F132" t="str">
        <f>IF(AND(AllData[[#This Row],[Time]]&lt;0.5, AllData[[#This Row],[Time]]&gt;0.17)=TRUE, "Morning", IF(AND(AllData[[#This Row],[Time]]&lt;0.75, AllData[[#This Row],[Time]]&gt;=0.5)=TRUE, "Afternoon", IF(AND(AllData[[#This Row],[Time]]&lt;1, AllData[[#This Row],[Time]]&gt;=0.75)=TRUE, "Evening", "Night")))</f>
        <v>Morning</v>
      </c>
      <c r="G132" t="str">
        <f>_xlfn.XLOOKUP(AllData[[#This Row],[Location Name]], Locations[Location Name],Locations[Group As])</f>
        <v>Site 4 : Heath Gate Ilmington</v>
      </c>
      <c r="H132" t="e" vm="1">
        <f>_xlfn.XLOOKUP(AllData[[#This Row],[Site Name]],LocationsKey[Site Name],LocationsKey[District])</f>
        <v>#VALUE!</v>
      </c>
      <c r="I132" t="e" vm="14">
        <f>_xlfn.XLOOKUP(AllData[[#This Row],[Site Name]],LocationsKey[Site Name],LocationsKey[Town])</f>
        <v>#VALUE!</v>
      </c>
      <c r="J132" t="str">
        <f>_xlfn.XLOOKUP(AllData[[#This Row],[Site Name]],LocationsKey[Site Name], LocationsKey[Waterway])</f>
        <v>Fosseway Brook</v>
      </c>
      <c r="K132" s="139" t="s">
        <v>3183</v>
      </c>
      <c r="L132" s="139">
        <v>52.094656000000001</v>
      </c>
      <c r="M132" s="156">
        <v>-1.6738999999999999</v>
      </c>
      <c r="N132" s="139" t="s">
        <v>31</v>
      </c>
      <c r="O132" s="139">
        <v>851</v>
      </c>
      <c r="P132" s="139">
        <v>10.3</v>
      </c>
      <c r="Q132" s="139">
        <v>5</v>
      </c>
      <c r="R132" s="107" t="str">
        <f>IF(AllData[[#This Row],[Nitrate (PPM)]]&gt;2, "Very high", IF(AllData[[#This Row],[Nitrate (PPM)]]&gt;1, "High", IF(AllData[[#This Row],[Nitrate (PPM)]]&gt;0.5, "Some evidence", IF(AllData[[#This Row],[Nitrate (PPM)]]&gt;=0, "No evidence"))))</f>
        <v>Very high</v>
      </c>
      <c r="S132" s="139">
        <v>4.9000000000000004</v>
      </c>
      <c r="T132" s="7" t="str">
        <f>IF(AllData[[#This Row],[Phosphate (PPM)]]&gt;0.5, "Very high", IF(AllData[[#This Row],[Phosphate (PPM)]]&gt;0.1, "High", IF(AllData[[#This Row],[Phosphate (PPM)]]&gt;0.05, "Some evidence", IF(AllData[[#This Row],[Phosphate (PPM)]]&lt;=0.05, "No Evidence", ""))))</f>
        <v>Very high</v>
      </c>
      <c r="U132" s="139">
        <v>0.3</v>
      </c>
      <c r="V132" s="139" t="s">
        <v>533</v>
      </c>
    </row>
    <row r="133" spans="1:22" x14ac:dyDescent="0.35">
      <c r="A133" s="139" t="s">
        <v>3337</v>
      </c>
      <c r="B133" s="146">
        <v>45740</v>
      </c>
      <c r="C133" s="2" t="str" cm="1">
        <f t="array" ref="C1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3">
        <f>YEAR(AllData[[#This Row],[Date]])</f>
        <v>2025</v>
      </c>
      <c r="E133" s="147">
        <v>0.35069444444444442</v>
      </c>
      <c r="F133" t="str">
        <f>IF(AND(AllData[[#This Row],[Time]]&lt;0.5, AllData[[#This Row],[Time]]&gt;0.17)=TRUE, "Morning", IF(AND(AllData[[#This Row],[Time]]&lt;0.75, AllData[[#This Row],[Time]]&gt;=0.5)=TRUE, "Afternoon", IF(AND(AllData[[#This Row],[Time]]&lt;1, AllData[[#This Row],[Time]]&gt;=0.75)=TRUE, "Evening", "Night")))</f>
        <v>Morning</v>
      </c>
      <c r="G133" t="str">
        <f>_xlfn.XLOOKUP(AllData[[#This Row],[Location Name]], Locations[Location Name],Locations[Group As])</f>
        <v>Chipping Campden Lady J Gateway</v>
      </c>
      <c r="H133" t="e" vm="9">
        <f>_xlfn.XLOOKUP(AllData[[#This Row],[Site Name]],LocationsKey[Site Name],LocationsKey[District])</f>
        <v>#VALUE!</v>
      </c>
      <c r="I133" t="e" vm="10">
        <f>_xlfn.XLOOKUP(AllData[[#This Row],[Site Name]],LocationsKey[Site Name],LocationsKey[Town])</f>
        <v>#VALUE!</v>
      </c>
      <c r="J133" t="str">
        <f>_xlfn.XLOOKUP(AllData[[#This Row],[Site Name]],LocationsKey[Site Name], LocationsKey[Waterway])</f>
        <v>Cam Brook</v>
      </c>
      <c r="K133" s="139" t="s">
        <v>1573</v>
      </c>
      <c r="L133" s="139"/>
      <c r="M133" s="156"/>
      <c r="N133" s="139" t="s">
        <v>68</v>
      </c>
      <c r="O133" s="139">
        <v>533</v>
      </c>
      <c r="P133" s="139">
        <v>8.4</v>
      </c>
      <c r="Q133" s="139">
        <v>5</v>
      </c>
      <c r="R133" s="107" t="str">
        <f>IF(AllData[[#This Row],[Nitrate (PPM)]]&gt;2, "Very high", IF(AllData[[#This Row],[Nitrate (PPM)]]&gt;1, "High", IF(AllData[[#This Row],[Nitrate (PPM)]]&gt;0.5, "Some evidence", IF(AllData[[#This Row],[Nitrate (PPM)]]&gt;=0, "No evidence"))))</f>
        <v>Very high</v>
      </c>
      <c r="S133" s="139">
        <v>7.0000000000000007E-2</v>
      </c>
      <c r="T133" s="7" t="str">
        <f>IF(AllData[[#This Row],[Phosphate (PPM)]]&gt;0.5, "Very high", IF(AllData[[#This Row],[Phosphate (PPM)]]&gt;0.1, "High", IF(AllData[[#This Row],[Phosphate (PPM)]]&gt;0.05, "Some evidence", IF(AllData[[#This Row],[Phosphate (PPM)]]&lt;=0.05, "No Evidence", ""))))</f>
        <v>Some evidence</v>
      </c>
      <c r="U133" s="139">
        <v>0.11</v>
      </c>
      <c r="V133" s="139"/>
    </row>
    <row r="134" spans="1:22" x14ac:dyDescent="0.35">
      <c r="A134" s="139" t="s">
        <v>3344</v>
      </c>
      <c r="B134" s="146">
        <v>45740</v>
      </c>
      <c r="C134" s="2" t="str" cm="1">
        <f t="array" ref="C1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4">
        <f>YEAR(AllData[[#This Row],[Date]])</f>
        <v>2025</v>
      </c>
      <c r="E134" s="147">
        <v>0.70833333333333337</v>
      </c>
      <c r="F134" t="str">
        <f>IF(AND(AllData[[#This Row],[Time]]&lt;0.5, AllData[[#This Row],[Time]]&gt;0.17)=TRUE, "Morning", IF(AND(AllData[[#This Row],[Time]]&lt;0.75, AllData[[#This Row],[Time]]&gt;=0.5)=TRUE, "Afternoon", IF(AND(AllData[[#This Row],[Time]]&lt;1, AllData[[#This Row],[Time]]&gt;=0.75)=TRUE, "Evening", "Night")))</f>
        <v>Afternoon</v>
      </c>
      <c r="G134" t="str">
        <f>_xlfn.XLOOKUP(AllData[[#This Row],[Location Name]], Locations[Location Name],Locations[Group As])</f>
        <v>Chipping Campden Craves</v>
      </c>
      <c r="H134" t="e" vm="9">
        <f>_xlfn.XLOOKUP(AllData[[#This Row],[Site Name]],LocationsKey[Site Name],LocationsKey[District])</f>
        <v>#VALUE!</v>
      </c>
      <c r="I134" t="e" vm="10">
        <f>_xlfn.XLOOKUP(AllData[[#This Row],[Site Name]],LocationsKey[Site Name],LocationsKey[Town])</f>
        <v>#VALUE!</v>
      </c>
      <c r="J134" t="str">
        <f>_xlfn.XLOOKUP(AllData[[#This Row],[Site Name]],LocationsKey[Site Name], LocationsKey[Waterway])</f>
        <v>Cam Brook</v>
      </c>
      <c r="K134" s="139" t="s">
        <v>2458</v>
      </c>
      <c r="L134" s="139">
        <v>52.048751000000003</v>
      </c>
      <c r="M134" s="156">
        <v>-1.7863929999999999</v>
      </c>
      <c r="N134" s="139" t="s">
        <v>68</v>
      </c>
      <c r="O134" s="139">
        <v>467</v>
      </c>
      <c r="P134" s="139">
        <v>14.6</v>
      </c>
      <c r="Q134" s="139">
        <v>5</v>
      </c>
      <c r="R134" s="107" t="str">
        <f>IF(AllData[[#This Row],[Nitrate (PPM)]]&gt;2, "Very high", IF(AllData[[#This Row],[Nitrate (PPM)]]&gt;1, "High", IF(AllData[[#This Row],[Nitrate (PPM)]]&gt;0.5, "Some evidence", IF(AllData[[#This Row],[Nitrate (PPM)]]&gt;=0, "No evidence"))))</f>
        <v>Very high</v>
      </c>
      <c r="S134" s="139">
        <v>0.14000000000000001</v>
      </c>
      <c r="T134" s="7" t="str">
        <f>IF(AllData[[#This Row],[Phosphate (PPM)]]&gt;0.5, "Very high", IF(AllData[[#This Row],[Phosphate (PPM)]]&gt;0.1, "High", IF(AllData[[#This Row],[Phosphate (PPM)]]&gt;0.05, "Some evidence", IF(AllData[[#This Row],[Phosphate (PPM)]]&lt;=0.05, "No Evidence", ""))))</f>
        <v>High</v>
      </c>
      <c r="U134" s="139">
        <v>22</v>
      </c>
      <c r="V134" s="139"/>
    </row>
    <row r="135" spans="1:22" x14ac:dyDescent="0.35">
      <c r="A135" s="139" t="s">
        <v>3342</v>
      </c>
      <c r="B135" s="146">
        <v>45740</v>
      </c>
      <c r="C135" s="2" t="str" cm="1">
        <f t="array" ref="C1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5">
        <f>YEAR(AllData[[#This Row],[Date]])</f>
        <v>2025</v>
      </c>
      <c r="E135" s="147">
        <v>0.61875000000000002</v>
      </c>
      <c r="F135" t="str">
        <f>IF(AND(AllData[[#This Row],[Time]]&lt;0.5, AllData[[#This Row],[Time]]&gt;0.17)=TRUE, "Morning", IF(AND(AllData[[#This Row],[Time]]&lt;0.75, AllData[[#This Row],[Time]]&gt;=0.5)=TRUE, "Afternoon", IF(AND(AllData[[#This Row],[Time]]&lt;1, AllData[[#This Row],[Time]]&gt;=0.75)=TRUE, "Evening", "Night")))</f>
        <v>Afternoon</v>
      </c>
      <c r="G135" t="str">
        <f>_xlfn.XLOOKUP(AllData[[#This Row],[Location Name]], Locations[Location Name],Locations[Group As])</f>
        <v>Abbey Mill</v>
      </c>
      <c r="H135" t="e" vm="4">
        <f>_xlfn.XLOOKUP(AllData[[#This Row],[Site Name]],LocationsKey[Site Name],LocationsKey[District])</f>
        <v>#VALUE!</v>
      </c>
      <c r="I135" t="e" vm="4">
        <f>_xlfn.XLOOKUP(AllData[[#This Row],[Site Name]],LocationsKey[Site Name],LocationsKey[Town])</f>
        <v>#VALUE!</v>
      </c>
      <c r="J135" t="str">
        <f>_xlfn.XLOOKUP(AllData[[#This Row],[Site Name]],LocationsKey[Site Name], LocationsKey[Waterway])</f>
        <v>Avon</v>
      </c>
      <c r="K135" s="139" t="s">
        <v>27</v>
      </c>
      <c r="L135" s="139">
        <v>51.991235000000003</v>
      </c>
      <c r="M135" s="156">
        <v>-2.1626089999999998</v>
      </c>
      <c r="N135" s="139" t="s">
        <v>2855</v>
      </c>
      <c r="O135" s="139">
        <v>963</v>
      </c>
      <c r="P135" s="139">
        <v>12.6</v>
      </c>
      <c r="Q135" s="139">
        <v>2</v>
      </c>
      <c r="R135" s="107" t="str">
        <f>IF(AllData[[#This Row],[Nitrate (PPM)]]&gt;2, "Very high", IF(AllData[[#This Row],[Nitrate (PPM)]]&gt;1, "High", IF(AllData[[#This Row],[Nitrate (PPM)]]&gt;0.5, "Some evidence", IF(AllData[[#This Row],[Nitrate (PPM)]]&gt;=0, "No evidence"))))</f>
        <v>High</v>
      </c>
      <c r="S135" s="139">
        <v>0.44</v>
      </c>
      <c r="T135" s="7" t="str">
        <f>IF(AllData[[#This Row],[Phosphate (PPM)]]&gt;0.5, "Very high", IF(AllData[[#This Row],[Phosphate (PPM)]]&gt;0.1, "High", IF(AllData[[#This Row],[Phosphate (PPM)]]&gt;0.05, "Some evidence", IF(AllData[[#This Row],[Phosphate (PPM)]]&lt;=0.05, "No Evidence", ""))))</f>
        <v>High</v>
      </c>
      <c r="U135" s="139">
        <v>0.5</v>
      </c>
      <c r="V135" s="139" t="s">
        <v>3343</v>
      </c>
    </row>
    <row r="136" spans="1:22" x14ac:dyDescent="0.35">
      <c r="A136" s="139" t="s">
        <v>3338</v>
      </c>
      <c r="B136" s="146">
        <v>45740</v>
      </c>
      <c r="C136" s="2" t="str" cm="1">
        <f t="array" ref="C1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6">
        <f>YEAR(AllData[[#This Row],[Date]])</f>
        <v>2025</v>
      </c>
      <c r="E136" s="147">
        <v>0.35416666666666669</v>
      </c>
      <c r="F136" t="str">
        <f>IF(AND(AllData[[#This Row],[Time]]&lt;0.5, AllData[[#This Row],[Time]]&gt;0.17)=TRUE, "Morning", IF(AND(AllData[[#This Row],[Time]]&lt;0.75, AllData[[#This Row],[Time]]&gt;=0.5)=TRUE, "Afternoon", IF(AND(AllData[[#This Row],[Time]]&lt;1, AllData[[#This Row],[Time]]&gt;=0.75)=TRUE, "Evening", "Night")))</f>
        <v>Morning</v>
      </c>
      <c r="G136" t="str">
        <f>_xlfn.XLOOKUP(AllData[[#This Row],[Location Name]], Locations[Location Name],Locations[Group As])</f>
        <v>Chipping Campden Sewage Works</v>
      </c>
      <c r="H136" t="e" vm="9">
        <f>_xlfn.XLOOKUP(AllData[[#This Row],[Site Name]],LocationsKey[Site Name],LocationsKey[District])</f>
        <v>#VALUE!</v>
      </c>
      <c r="I136" t="e" vm="10">
        <f>_xlfn.XLOOKUP(AllData[[#This Row],[Site Name]],LocationsKey[Site Name],LocationsKey[Town])</f>
        <v>#VALUE!</v>
      </c>
      <c r="J136" t="str">
        <f>_xlfn.XLOOKUP(AllData[[#This Row],[Site Name]],LocationsKey[Site Name], LocationsKey[Waterway])</f>
        <v>Cam Brook</v>
      </c>
      <c r="K136" s="139" t="s">
        <v>1570</v>
      </c>
      <c r="L136" s="139"/>
      <c r="M136" s="156"/>
      <c r="N136" s="139" t="s">
        <v>31</v>
      </c>
      <c r="O136" s="139">
        <v>645</v>
      </c>
      <c r="P136" s="139">
        <v>10.199999999999999</v>
      </c>
      <c r="Q136" s="139">
        <v>2</v>
      </c>
      <c r="R136" s="107" t="str">
        <f>IF(AllData[[#This Row],[Nitrate (PPM)]]&gt;2, "Very high", IF(AllData[[#This Row],[Nitrate (PPM)]]&gt;1, "High", IF(AllData[[#This Row],[Nitrate (PPM)]]&gt;0.5, "Some evidence", IF(AllData[[#This Row],[Nitrate (PPM)]]&gt;=0, "No evidence"))))</f>
        <v>High</v>
      </c>
      <c r="S136" s="139">
        <v>0.04</v>
      </c>
      <c r="T136" s="7" t="str">
        <f>IF(AllData[[#This Row],[Phosphate (PPM)]]&gt;0.5, "Very high", IF(AllData[[#This Row],[Phosphate (PPM)]]&gt;0.1, "High", IF(AllData[[#This Row],[Phosphate (PPM)]]&gt;0.05, "Some evidence", IF(AllData[[#This Row],[Phosphate (PPM)]]&lt;=0.05, "No Evidence", ""))))</f>
        <v>No Evidence</v>
      </c>
      <c r="U136" s="139">
        <v>0.37</v>
      </c>
      <c r="V136" s="139"/>
    </row>
    <row r="137" spans="1:22" x14ac:dyDescent="0.35">
      <c r="A137" s="139" t="s">
        <v>3340</v>
      </c>
      <c r="B137" s="146">
        <v>45740</v>
      </c>
      <c r="C137" s="2" t="str" cm="1">
        <f t="array" ref="C1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7">
        <f>YEAR(AllData[[#This Row],[Date]])</f>
        <v>2025</v>
      </c>
      <c r="E137" s="147">
        <v>0.46944444444444444</v>
      </c>
      <c r="F137" t="str">
        <f>IF(AND(AllData[[#This Row],[Time]]&lt;0.5, AllData[[#This Row],[Time]]&gt;0.17)=TRUE, "Morning", IF(AND(AllData[[#This Row],[Time]]&lt;0.75, AllData[[#This Row],[Time]]&gt;=0.5)=TRUE, "Afternoon", IF(AND(AllData[[#This Row],[Time]]&lt;1, AllData[[#This Row],[Time]]&gt;=0.75)=TRUE, "Evening", "Night")))</f>
        <v>Morning</v>
      </c>
      <c r="G137" t="str">
        <f>_xlfn.XLOOKUP(AllData[[#This Row],[Location Name]], Locations[Location Name],Locations[Group As])</f>
        <v>Site 3  :  Severn Trent Water processing plant outflow</v>
      </c>
      <c r="H137" t="e" vm="1">
        <f>_xlfn.XLOOKUP(AllData[[#This Row],[Site Name]],LocationsKey[Site Name],LocationsKey[District])</f>
        <v>#VALUE!</v>
      </c>
      <c r="I137" t="e" vm="14">
        <f>_xlfn.XLOOKUP(AllData[[#This Row],[Site Name]],LocationsKey[Site Name],LocationsKey[Town])</f>
        <v>#VALUE!</v>
      </c>
      <c r="J137" t="str">
        <f>_xlfn.XLOOKUP(AllData[[#This Row],[Site Name]],LocationsKey[Site Name], LocationsKey[Waterway])</f>
        <v>Fosseway Brook</v>
      </c>
      <c r="K137" s="139" t="s">
        <v>1917</v>
      </c>
      <c r="L137" s="139">
        <v>52.094470000000001</v>
      </c>
      <c r="M137" s="156">
        <v>-1.675702</v>
      </c>
      <c r="N137" s="139" t="s">
        <v>31</v>
      </c>
      <c r="O137" s="139">
        <v>916</v>
      </c>
      <c r="P137" s="139">
        <v>10.7</v>
      </c>
      <c r="Q137" s="139">
        <v>1</v>
      </c>
      <c r="R137" s="107" t="str">
        <f>IF(AllData[[#This Row],[Nitrate (PPM)]]&gt;2, "Very high", IF(AllData[[#This Row],[Nitrate (PPM)]]&gt;1, "High", IF(AllData[[#This Row],[Nitrate (PPM)]]&gt;0.5, "Some evidence", IF(AllData[[#This Row],[Nitrate (PPM)]]&gt;=0, "No evidence"))))</f>
        <v>Some evidence</v>
      </c>
      <c r="S137" s="139">
        <v>5</v>
      </c>
      <c r="T137" s="7" t="str">
        <f>IF(AllData[[#This Row],[Phosphate (PPM)]]&gt;0.5, "Very high", IF(AllData[[#This Row],[Phosphate (PPM)]]&gt;0.1, "High", IF(AllData[[#This Row],[Phosphate (PPM)]]&gt;0.05, "Some evidence", IF(AllData[[#This Row],[Phosphate (PPM)]]&lt;=0.05, "No Evidence", ""))))</f>
        <v>Very high</v>
      </c>
      <c r="U137" s="139">
        <v>0.25</v>
      </c>
      <c r="V137" s="139" t="s">
        <v>533</v>
      </c>
    </row>
    <row r="138" spans="1:22" x14ac:dyDescent="0.35">
      <c r="A138" s="139" t="s">
        <v>3339</v>
      </c>
      <c r="B138" s="146">
        <v>45740</v>
      </c>
      <c r="C138" s="2" t="str" cm="1">
        <f t="array" ref="C1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8">
        <f>YEAR(AllData[[#This Row],[Date]])</f>
        <v>2025</v>
      </c>
      <c r="E138" s="147">
        <v>0.45763888888888887</v>
      </c>
      <c r="F138" t="str">
        <f>IF(AND(AllData[[#This Row],[Time]]&lt;0.5, AllData[[#This Row],[Time]]&gt;0.17)=TRUE, "Morning", IF(AND(AllData[[#This Row],[Time]]&lt;0.75, AllData[[#This Row],[Time]]&gt;=0.5)=TRUE, "Afternoon", IF(AND(AllData[[#This Row],[Time]]&lt;1, AllData[[#This Row],[Time]]&gt;=0.75)=TRUE, "Evening", "Night")))</f>
        <v>Morning</v>
      </c>
      <c r="G138" t="str">
        <f>_xlfn.XLOOKUP(AllData[[#This Row],[Location Name]], Locations[Location Name],Locations[Group As])</f>
        <v>Site 1  :  Middle Street</v>
      </c>
      <c r="H138" t="e" vm="1">
        <f>_xlfn.XLOOKUP(AllData[[#This Row],[Site Name]],LocationsKey[Site Name],LocationsKey[District])</f>
        <v>#VALUE!</v>
      </c>
      <c r="I138" t="e" vm="14">
        <f>_xlfn.XLOOKUP(AllData[[#This Row],[Site Name]],LocationsKey[Site Name],LocationsKey[Town])</f>
        <v>#VALUE!</v>
      </c>
      <c r="J138" t="str">
        <f>_xlfn.XLOOKUP(AllData[[#This Row],[Site Name]],LocationsKey[Site Name], LocationsKey[Waterway])</f>
        <v>Fosseway Brook</v>
      </c>
      <c r="K138" s="139" t="s">
        <v>670</v>
      </c>
      <c r="L138" s="139">
        <v>52.090257000000001</v>
      </c>
      <c r="M138" s="156">
        <v>-1.6925319999999999</v>
      </c>
      <c r="N138" s="139" t="s">
        <v>68</v>
      </c>
      <c r="O138" s="139">
        <v>598</v>
      </c>
      <c r="P138" s="139">
        <v>10</v>
      </c>
      <c r="Q138" s="139">
        <v>1</v>
      </c>
      <c r="R138" s="107" t="str">
        <f>IF(AllData[[#This Row],[Nitrate (PPM)]]&gt;2, "Very high", IF(AllData[[#This Row],[Nitrate (PPM)]]&gt;1, "High", IF(AllData[[#This Row],[Nitrate (PPM)]]&gt;0.5, "Some evidence", IF(AllData[[#This Row],[Nitrate (PPM)]]&gt;=0, "No evidence"))))</f>
        <v>Some evidence</v>
      </c>
      <c r="S138" s="139">
        <v>0.17</v>
      </c>
      <c r="T138" s="7" t="str">
        <f>IF(AllData[[#This Row],[Phosphate (PPM)]]&gt;0.5, "Very high", IF(AllData[[#This Row],[Phosphate (PPM)]]&gt;0.1, "High", IF(AllData[[#This Row],[Phosphate (PPM)]]&gt;0.05, "Some evidence", IF(AllData[[#This Row],[Phosphate (PPM)]]&lt;=0.05, "No Evidence", ""))))</f>
        <v>High</v>
      </c>
      <c r="U138" s="139">
        <v>0.03</v>
      </c>
      <c r="V138" s="139" t="s">
        <v>533</v>
      </c>
    </row>
    <row r="139" spans="1:22" x14ac:dyDescent="0.35">
      <c r="A139" s="139" t="s">
        <v>3331</v>
      </c>
      <c r="B139" s="146">
        <v>45739</v>
      </c>
      <c r="C139" s="2" t="str" cm="1">
        <f t="array" ref="C1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39">
        <f>YEAR(AllData[[#This Row],[Date]])</f>
        <v>2025</v>
      </c>
      <c r="E139" s="147">
        <v>0.3125</v>
      </c>
      <c r="F139" t="str">
        <f>IF(AND(AllData[[#This Row],[Time]]&lt;0.5, AllData[[#This Row],[Time]]&gt;0.17)=TRUE, "Morning", IF(AND(AllData[[#This Row],[Time]]&lt;0.75, AllData[[#This Row],[Time]]&gt;=0.5)=TRUE, "Afternoon", IF(AND(AllData[[#This Row],[Time]]&lt;1, AllData[[#This Row],[Time]]&gt;=0.75)=TRUE, "Evening", "Night")))</f>
        <v>Morning</v>
      </c>
      <c r="G139" t="str">
        <f>_xlfn.XLOOKUP(AllData[[#This Row],[Location Name]], Locations[Location Name],Locations[Group As])</f>
        <v>Sherbourne Brook 2</v>
      </c>
      <c r="H139" t="e" vm="1">
        <f>_xlfn.XLOOKUP(AllData[[#This Row],[Site Name]],LocationsKey[Site Name],LocationsKey[District])</f>
        <v>#VALUE!</v>
      </c>
      <c r="I139" t="str">
        <f>_xlfn.XLOOKUP(AllData[[#This Row],[Site Name]],LocationsKey[Site Name],LocationsKey[Town])</f>
        <v>Unknown</v>
      </c>
      <c r="J139" t="str">
        <f>_xlfn.XLOOKUP(AllData[[#This Row],[Site Name]],LocationsKey[Site Name], LocationsKey[Waterway])</f>
        <v>Sherbourne Brook</v>
      </c>
      <c r="K139" s="139" t="s">
        <v>2995</v>
      </c>
      <c r="L139" s="139"/>
      <c r="M139" s="156"/>
      <c r="N139" s="139"/>
      <c r="O139" s="139">
        <v>762</v>
      </c>
      <c r="P139" s="139">
        <v>10.199999999999999</v>
      </c>
      <c r="Q139" s="139">
        <v>50</v>
      </c>
      <c r="R139" s="107" t="str">
        <f>IF(AllData[[#This Row],[Nitrate (PPM)]]&gt;2, "Very high", IF(AllData[[#This Row],[Nitrate (PPM)]]&gt;1, "High", IF(AllData[[#This Row],[Nitrate (PPM)]]&gt;0.5, "Some evidence", IF(AllData[[#This Row],[Nitrate (PPM)]]&gt;=0, "No evidence"))))</f>
        <v>Very high</v>
      </c>
      <c r="S139" s="139">
        <v>0.56000000000000005</v>
      </c>
      <c r="T139" s="7" t="str">
        <f>IF(AllData[[#This Row],[Phosphate (PPM)]]&gt;0.5, "Very high", IF(AllData[[#This Row],[Phosphate (PPM)]]&gt;0.1, "High", IF(AllData[[#This Row],[Phosphate (PPM)]]&gt;0.05, "Some evidence", IF(AllData[[#This Row],[Phosphate (PPM)]]&lt;=0.05, "No Evidence", ""))))</f>
        <v>Very high</v>
      </c>
      <c r="U139" s="139">
        <v>0.3</v>
      </c>
      <c r="V139" s="139" t="s">
        <v>3332</v>
      </c>
    </row>
    <row r="140" spans="1:22" x14ac:dyDescent="0.35">
      <c r="A140" s="140" t="s">
        <v>3334</v>
      </c>
      <c r="B140" s="146">
        <v>45739</v>
      </c>
      <c r="C140" s="2" t="str" cm="1">
        <f t="array" ref="C1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0">
        <f>YEAR(AllData[[#This Row],[Date]])</f>
        <v>2025</v>
      </c>
      <c r="E140" s="147">
        <v>0.34375</v>
      </c>
      <c r="F140" t="str">
        <f>IF(AND(AllData[[#This Row],[Time]]&lt;0.5, AllData[[#This Row],[Time]]&gt;0.17)=TRUE, "Morning", IF(AND(AllData[[#This Row],[Time]]&lt;0.75, AllData[[#This Row],[Time]]&gt;=0.5)=TRUE, "Afternoon", IF(AND(AllData[[#This Row],[Time]]&lt;1, AllData[[#This Row],[Time]]&gt;=0.75)=TRUE, "Evening", "Night")))</f>
        <v>Morning</v>
      </c>
      <c r="G140" t="str">
        <f>_xlfn.XLOOKUP(AllData[[#This Row],[Location Name]], Locations[Location Name],Locations[Group As])</f>
        <v>Lower Lode</v>
      </c>
      <c r="H140" t="e" vm="4">
        <f>_xlfn.XLOOKUP(AllData[[#This Row],[Site Name]],LocationsKey[Site Name],LocationsKey[District])</f>
        <v>#VALUE!</v>
      </c>
      <c r="I140" t="e" vm="4">
        <f>_xlfn.XLOOKUP(AllData[[#This Row],[Site Name]],LocationsKey[Site Name],LocationsKey[Town])</f>
        <v>#VALUE!</v>
      </c>
      <c r="J140" t="str">
        <f>_xlfn.XLOOKUP(AllData[[#This Row],[Site Name]],LocationsKey[Site Name], LocationsKey[Waterway])</f>
        <v>Avon</v>
      </c>
      <c r="K140" s="139" t="s">
        <v>595</v>
      </c>
      <c r="L140" s="139">
        <v>51.984644000000003</v>
      </c>
      <c r="M140" s="156">
        <v>-2.1754289999999998</v>
      </c>
      <c r="N140" s="139" t="s">
        <v>31</v>
      </c>
      <c r="O140" s="139">
        <v>9880</v>
      </c>
      <c r="P140" s="139">
        <v>10.7</v>
      </c>
      <c r="Q140" s="139">
        <v>10</v>
      </c>
      <c r="R140" s="107" t="str">
        <f>IF(AllData[[#This Row],[Nitrate (PPM)]]&gt;2, "Very high", IF(AllData[[#This Row],[Nitrate (PPM)]]&gt;1, "High", IF(AllData[[#This Row],[Nitrate (PPM)]]&gt;0.5, "Some evidence", IF(AllData[[#This Row],[Nitrate (PPM)]]&gt;=0, "No evidence"))))</f>
        <v>Very high</v>
      </c>
      <c r="S140" s="139">
        <v>0.41</v>
      </c>
      <c r="T140" s="7" t="str">
        <f>IF(AllData[[#This Row],[Phosphate (PPM)]]&gt;0.5, "Very high", IF(AllData[[#This Row],[Phosphate (PPM)]]&gt;0.1, "High", IF(AllData[[#This Row],[Phosphate (PPM)]]&gt;0.05, "Some evidence", IF(AllData[[#This Row],[Phosphate (PPM)]]&lt;=0.05, "No Evidence", ""))))</f>
        <v>High</v>
      </c>
      <c r="U140" s="139">
        <v>-1</v>
      </c>
      <c r="V140" s="139"/>
    </row>
    <row r="141" spans="1:22" x14ac:dyDescent="0.35">
      <c r="A141" s="139" t="s">
        <v>3335</v>
      </c>
      <c r="B141" s="146">
        <v>45739</v>
      </c>
      <c r="C141" s="2" t="str" cm="1">
        <f t="array" ref="C1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1">
        <f>YEAR(AllData[[#This Row],[Date]])</f>
        <v>2025</v>
      </c>
      <c r="E141" s="147">
        <v>0.38194444444444442</v>
      </c>
      <c r="F141" t="str">
        <f>IF(AND(AllData[[#This Row],[Time]]&lt;0.5, AllData[[#This Row],[Time]]&gt;0.17)=TRUE, "Morning", IF(AND(AllData[[#This Row],[Time]]&lt;0.75, AllData[[#This Row],[Time]]&gt;=0.5)=TRUE, "Afternoon", IF(AND(AllData[[#This Row],[Time]]&lt;1, AllData[[#This Row],[Time]]&gt;=0.75)=TRUE, "Evening", "Night")))</f>
        <v>Morning</v>
      </c>
      <c r="G141" t="str">
        <f>_xlfn.XLOOKUP(AllData[[#This Row],[Location Name]], Locations[Location Name],Locations[Group As])</f>
        <v>Dock Lane Bredon</v>
      </c>
      <c r="H141" t="e" vm="6">
        <f>_xlfn.XLOOKUP(AllData[[#This Row],[Site Name]],LocationsKey[Site Name],LocationsKey[District])</f>
        <v>#VALUE!</v>
      </c>
      <c r="I141" t="e" vm="11">
        <f>_xlfn.XLOOKUP(AllData[[#This Row],[Site Name]],LocationsKey[Site Name],LocationsKey[Town])</f>
        <v>#VALUE!</v>
      </c>
      <c r="J141" t="str">
        <f>_xlfn.XLOOKUP(AllData[[#This Row],[Site Name]],LocationsKey[Site Name], LocationsKey[Waterway])</f>
        <v>Avon</v>
      </c>
      <c r="K141" s="139" t="s">
        <v>2470</v>
      </c>
      <c r="L141" s="139">
        <v>52.033428999999998</v>
      </c>
      <c r="M141" s="156">
        <v>-2.1162930000000002</v>
      </c>
      <c r="N141" s="139" t="s">
        <v>34</v>
      </c>
      <c r="O141" s="139">
        <v>937</v>
      </c>
      <c r="P141" s="139">
        <v>11.5</v>
      </c>
      <c r="Q141" s="139">
        <v>10</v>
      </c>
      <c r="R141" s="107" t="str">
        <f>IF(AllData[[#This Row],[Nitrate (PPM)]]&gt;2, "Very high", IF(AllData[[#This Row],[Nitrate (PPM)]]&gt;1, "High", IF(AllData[[#This Row],[Nitrate (PPM)]]&gt;0.5, "Some evidence", IF(AllData[[#This Row],[Nitrate (PPM)]]&gt;=0, "No evidence"))))</f>
        <v>Very high</v>
      </c>
      <c r="S141" s="139">
        <v>0.2</v>
      </c>
      <c r="T141" s="7" t="str">
        <f>IF(AllData[[#This Row],[Phosphate (PPM)]]&gt;0.5, "Very high", IF(AllData[[#This Row],[Phosphate (PPM)]]&gt;0.1, "High", IF(AllData[[#This Row],[Phosphate (PPM)]]&gt;0.05, "Some evidence", IF(AllData[[#This Row],[Phosphate (PPM)]]&lt;=0.05, "No Evidence", ""))))</f>
        <v>High</v>
      </c>
      <c r="U141" s="139">
        <v>0</v>
      </c>
      <c r="V141" s="139"/>
    </row>
    <row r="142" spans="1:22" x14ac:dyDescent="0.35">
      <c r="A142" s="139" t="s">
        <v>3333</v>
      </c>
      <c r="B142" s="146">
        <v>45739</v>
      </c>
      <c r="C142" s="2" t="str" cm="1">
        <f t="array" ref="C1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2">
        <f>YEAR(AllData[[#This Row],[Date]])</f>
        <v>2025</v>
      </c>
      <c r="E142" s="147">
        <v>0.32291666666666669</v>
      </c>
      <c r="F142" t="str">
        <f>IF(AND(AllData[[#This Row],[Time]]&lt;0.5, AllData[[#This Row],[Time]]&gt;0.17)=TRUE, "Morning", IF(AND(AllData[[#This Row],[Time]]&lt;0.75, AllData[[#This Row],[Time]]&gt;=0.5)=TRUE, "Afternoon", IF(AND(AllData[[#This Row],[Time]]&lt;1, AllData[[#This Row],[Time]]&gt;=0.75)=TRUE, "Evening", "Night")))</f>
        <v>Morning</v>
      </c>
      <c r="G142" t="str">
        <f>_xlfn.XLOOKUP(AllData[[#This Row],[Location Name]], Locations[Location Name],Locations[Group As])</f>
        <v>Bell Brook 1</v>
      </c>
      <c r="H142" t="e" vm="1">
        <f>_xlfn.XLOOKUP(AllData[[#This Row],[Site Name]],LocationsKey[Site Name],LocationsKey[District])</f>
        <v>#VALUE!</v>
      </c>
      <c r="I142" t="e" vm="19">
        <f>_xlfn.XLOOKUP(AllData[[#This Row],[Site Name]],LocationsKey[Site Name],LocationsKey[Town])</f>
        <v>#VALUE!</v>
      </c>
      <c r="J142" t="str">
        <f>_xlfn.XLOOKUP(AllData[[#This Row],[Site Name]],LocationsKey[Site Name], LocationsKey[Waterway])</f>
        <v>Bell Brook</v>
      </c>
      <c r="K142" s="139" t="s">
        <v>3000</v>
      </c>
      <c r="L142" s="139"/>
      <c r="M142" s="156"/>
      <c r="N142" s="139"/>
      <c r="O142" s="139">
        <v>426</v>
      </c>
      <c r="P142" s="139">
        <v>9.3000000000000007</v>
      </c>
      <c r="Q142" s="139">
        <v>10</v>
      </c>
      <c r="R142" s="107" t="str">
        <f>IF(AllData[[#This Row],[Nitrate (PPM)]]&gt;2, "Very high", IF(AllData[[#This Row],[Nitrate (PPM)]]&gt;1, "High", IF(AllData[[#This Row],[Nitrate (PPM)]]&gt;0.5, "Some evidence", IF(AllData[[#This Row],[Nitrate (PPM)]]&gt;=0, "No evidence"))))</f>
        <v>Very high</v>
      </c>
      <c r="S142" s="139">
        <v>0.68</v>
      </c>
      <c r="T142" s="7" t="str">
        <f>IF(AllData[[#This Row],[Phosphate (PPM)]]&gt;0.5, "Very high", IF(AllData[[#This Row],[Phosphate (PPM)]]&gt;0.1, "High", IF(AllData[[#This Row],[Phosphate (PPM)]]&gt;0.05, "Some evidence", IF(AllData[[#This Row],[Phosphate (PPM)]]&lt;=0.05, "No Evidence", ""))))</f>
        <v>Very high</v>
      </c>
      <c r="U142" s="139">
        <v>0.3</v>
      </c>
      <c r="V142" s="139" t="s">
        <v>3332</v>
      </c>
    </row>
    <row r="143" spans="1:22" x14ac:dyDescent="0.35">
      <c r="A143" s="139" t="s">
        <v>3336</v>
      </c>
      <c r="B143" s="146">
        <v>45739</v>
      </c>
      <c r="C143" s="2" t="str" cm="1">
        <f t="array" ref="C1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3">
        <f>YEAR(AllData[[#This Row],[Date]])</f>
        <v>2025</v>
      </c>
      <c r="E143" s="147">
        <v>0.39444444444444443</v>
      </c>
      <c r="F143" t="str">
        <f>IF(AND(AllData[[#This Row],[Time]]&lt;0.5, AllData[[#This Row],[Time]]&gt;0.17)=TRUE, "Morning", IF(AND(AllData[[#This Row],[Time]]&lt;0.75, AllData[[#This Row],[Time]]&gt;=0.5)=TRUE, "Afternoon", IF(AND(AllData[[#This Row],[Time]]&lt;1, AllData[[#This Row],[Time]]&gt;=0.75)=TRUE, "Evening", "Night")))</f>
        <v>Morning</v>
      </c>
      <c r="G143" t="str">
        <f>_xlfn.XLOOKUP(AllData[[#This Row],[Location Name]], Locations[Location Name],Locations[Group As])</f>
        <v>Black Bear</v>
      </c>
      <c r="H143" t="e" vm="4">
        <f>_xlfn.XLOOKUP(AllData[[#This Row],[Site Name]],LocationsKey[Site Name],LocationsKey[District])</f>
        <v>#VALUE!</v>
      </c>
      <c r="I143" t="e" vm="4">
        <f>_xlfn.XLOOKUP(AllData[[#This Row],[Site Name]],LocationsKey[Site Name],LocationsKey[Town])</f>
        <v>#VALUE!</v>
      </c>
      <c r="J143" t="str">
        <f>_xlfn.XLOOKUP(AllData[[#This Row],[Site Name]],LocationsKey[Site Name], LocationsKey[Waterway])</f>
        <v>Avon</v>
      </c>
      <c r="K143" s="139" t="s">
        <v>1175</v>
      </c>
      <c r="L143" s="139">
        <v>51.99783</v>
      </c>
      <c r="M143" s="156">
        <v>-2.156803</v>
      </c>
      <c r="N143" s="139" t="s">
        <v>34</v>
      </c>
      <c r="O143" s="139">
        <v>961</v>
      </c>
      <c r="P143" s="139">
        <v>10.7</v>
      </c>
      <c r="Q143" s="139">
        <v>8</v>
      </c>
      <c r="R143" s="107" t="str">
        <f>IF(AllData[[#This Row],[Nitrate (PPM)]]&gt;2, "Very high", IF(AllData[[#This Row],[Nitrate (PPM)]]&gt;1, "High", IF(AllData[[#This Row],[Nitrate (PPM)]]&gt;0.5, "Some evidence", IF(AllData[[#This Row],[Nitrate (PPM)]]&gt;=0, "No evidence"))))</f>
        <v>Very high</v>
      </c>
      <c r="S143" s="139">
        <v>1.57</v>
      </c>
      <c r="T143" s="7" t="str">
        <f>IF(AllData[[#This Row],[Phosphate (PPM)]]&gt;0.5, "Very high", IF(AllData[[#This Row],[Phosphate (PPM)]]&gt;0.1, "High", IF(AllData[[#This Row],[Phosphate (PPM)]]&gt;0.05, "Some evidence", IF(AllData[[#This Row],[Phosphate (PPM)]]&lt;=0.05, "No Evidence", ""))))</f>
        <v>Very high</v>
      </c>
      <c r="U143" s="139">
        <v>0</v>
      </c>
      <c r="V143" s="139"/>
    </row>
    <row r="144" spans="1:22" x14ac:dyDescent="0.35">
      <c r="A144" s="139" t="s">
        <v>3315</v>
      </c>
      <c r="B144" s="146">
        <v>45738</v>
      </c>
      <c r="C144" s="2" t="str" cm="1">
        <f t="array" ref="C1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4">
        <f>YEAR(AllData[[#This Row],[Date]])</f>
        <v>2025</v>
      </c>
      <c r="E144" s="147">
        <v>0.41597222222222224</v>
      </c>
      <c r="F144" t="str">
        <f>IF(AND(AllData[[#This Row],[Time]]&lt;0.5, AllData[[#This Row],[Time]]&gt;0.17)=TRUE, "Morning", IF(AND(AllData[[#This Row],[Time]]&lt;0.75, AllData[[#This Row],[Time]]&gt;=0.5)=TRUE, "Afternoon", IF(AND(AllData[[#This Row],[Time]]&lt;1, AllData[[#This Row],[Time]]&gt;=0.75)=TRUE, "Evening", "Night")))</f>
        <v>Morning</v>
      </c>
      <c r="G144" t="str">
        <f>_xlfn.XLOOKUP(AllData[[#This Row],[Location Name]], Locations[Location Name],Locations[Group As])</f>
        <v>Quay Lane Great Comberton</v>
      </c>
      <c r="H144" t="e" vm="6">
        <f>_xlfn.XLOOKUP(AllData[[#This Row],[Site Name]],LocationsKey[Site Name],LocationsKey[District])</f>
        <v>#VALUE!</v>
      </c>
      <c r="I144" t="e" vm="7">
        <f>_xlfn.XLOOKUP(AllData[[#This Row],[Site Name]],LocationsKey[Site Name],LocationsKey[Town])</f>
        <v>#VALUE!</v>
      </c>
      <c r="J144" t="str">
        <f>_xlfn.XLOOKUP(AllData[[#This Row],[Site Name]],LocationsKey[Site Name], LocationsKey[Waterway])</f>
        <v>Avon</v>
      </c>
      <c r="K144" s="139" t="s">
        <v>3316</v>
      </c>
      <c r="L144" s="139">
        <v>52.081929000000002</v>
      </c>
      <c r="M144" s="156">
        <v>-2.0708920000000002</v>
      </c>
      <c r="N144" s="139"/>
      <c r="O144" s="139">
        <v>918</v>
      </c>
      <c r="P144" s="139">
        <v>10.5</v>
      </c>
      <c r="Q144" s="139">
        <v>30</v>
      </c>
      <c r="R144" s="107" t="str">
        <f>IF(AllData[[#This Row],[Nitrate (PPM)]]&gt;2, "Very high", IF(AllData[[#This Row],[Nitrate (PPM)]]&gt;1, "High", IF(AllData[[#This Row],[Nitrate (PPM)]]&gt;0.5, "Some evidence", IF(AllData[[#This Row],[Nitrate (PPM)]]&gt;=0, "No evidence"))))</f>
        <v>Very high</v>
      </c>
      <c r="S144" s="139">
        <v>0.5</v>
      </c>
      <c r="T144" s="7" t="str">
        <f>IF(AllData[[#This Row],[Phosphate (PPM)]]&gt;0.5, "Very high", IF(AllData[[#This Row],[Phosphate (PPM)]]&gt;0.1, "High", IF(AllData[[#This Row],[Phosphate (PPM)]]&gt;0.05, "Some evidence", IF(AllData[[#This Row],[Phosphate (PPM)]]&lt;=0.05, "No Evidence", ""))))</f>
        <v>High</v>
      </c>
      <c r="U144" s="139">
        <v>2.11</v>
      </c>
      <c r="V144" s="139" t="s">
        <v>3317</v>
      </c>
    </row>
    <row r="145" spans="1:22" x14ac:dyDescent="0.35">
      <c r="A145" s="139" t="s">
        <v>3321</v>
      </c>
      <c r="B145" s="146">
        <v>45738</v>
      </c>
      <c r="C145" s="2" t="str" cm="1">
        <f t="array" ref="C1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
        <f>YEAR(AllData[[#This Row],[Date]])</f>
        <v>2025</v>
      </c>
      <c r="E145" s="147">
        <v>0.43333333333333335</v>
      </c>
      <c r="F145" t="str">
        <f>IF(AND(AllData[[#This Row],[Time]]&lt;0.5, AllData[[#This Row],[Time]]&gt;0.17)=TRUE, "Morning", IF(AND(AllData[[#This Row],[Time]]&lt;0.75, AllData[[#This Row],[Time]]&gt;=0.5)=TRUE, "Afternoon", IF(AND(AllData[[#This Row],[Time]]&lt;1, AllData[[#This Row],[Time]]&gt;=0.75)=TRUE, "Evening", "Night")))</f>
        <v>Morning</v>
      </c>
      <c r="G145" t="str">
        <f>_xlfn.XLOOKUP(AllData[[#This Row],[Location Name]], Locations[Location Name],Locations[Group As])</f>
        <v>Avon Smiths Meadow Wyre Piddle</v>
      </c>
      <c r="H145" t="e" vm="6">
        <f>_xlfn.XLOOKUP(AllData[[#This Row],[Site Name]],LocationsKey[Site Name],LocationsKey[District])</f>
        <v>#VALUE!</v>
      </c>
      <c r="I145" t="e" vm="13">
        <f>_xlfn.XLOOKUP(AllData[[#This Row],[Site Name]],LocationsKey[Site Name],LocationsKey[Town])</f>
        <v>#VALUE!</v>
      </c>
      <c r="J145" t="str">
        <f>_xlfn.XLOOKUP(AllData[[#This Row],[Site Name]],LocationsKey[Site Name], LocationsKey[Waterway])</f>
        <v>Avon</v>
      </c>
      <c r="K145" s="139" t="s">
        <v>3322</v>
      </c>
      <c r="L145" s="139">
        <v>52.126365</v>
      </c>
      <c r="M145" s="156">
        <v>-2.056511</v>
      </c>
      <c r="N145" s="139" t="s">
        <v>798</v>
      </c>
      <c r="O145" s="139">
        <v>840</v>
      </c>
      <c r="P145" s="139">
        <v>10.8</v>
      </c>
      <c r="Q145" s="139">
        <v>20</v>
      </c>
      <c r="R145" s="107" t="str">
        <f>IF(AllData[[#This Row],[Nitrate (PPM)]]&gt;2, "Very high", IF(AllData[[#This Row],[Nitrate (PPM)]]&gt;1, "High", IF(AllData[[#This Row],[Nitrate (PPM)]]&gt;0.5, "Some evidence", IF(AllData[[#This Row],[Nitrate (PPM)]]&gt;=0, "No evidence"))))</f>
        <v>Very high</v>
      </c>
      <c r="S145" s="139">
        <v>0.32</v>
      </c>
      <c r="T145" s="7" t="str">
        <f>IF(AllData[[#This Row],[Phosphate (PPM)]]&gt;0.5, "Very high", IF(AllData[[#This Row],[Phosphate (PPM)]]&gt;0.1, "High", IF(AllData[[#This Row],[Phosphate (PPM)]]&gt;0.05, "Some evidence", IF(AllData[[#This Row],[Phosphate (PPM)]]&lt;=0.05, "No Evidence", ""))))</f>
        <v>High</v>
      </c>
      <c r="U145" s="139">
        <v>0.56999999999999995</v>
      </c>
      <c r="V145" s="139" t="s">
        <v>3323</v>
      </c>
    </row>
    <row r="146" spans="1:22" x14ac:dyDescent="0.35">
      <c r="A146" s="139" t="s">
        <v>3324</v>
      </c>
      <c r="B146" s="146">
        <v>45738</v>
      </c>
      <c r="C146" s="2" t="str" cm="1">
        <f t="array" ref="C1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
        <f>YEAR(AllData[[#This Row],[Date]])</f>
        <v>2025</v>
      </c>
      <c r="E146" s="147">
        <v>0.44583333333333336</v>
      </c>
      <c r="F146" t="str">
        <f>IF(AND(AllData[[#This Row],[Time]]&lt;0.5, AllData[[#This Row],[Time]]&gt;0.17)=TRUE, "Morning", IF(AND(AllData[[#This Row],[Time]]&lt;0.75, AllData[[#This Row],[Time]]&gt;=0.5)=TRUE, "Afternoon", IF(AND(AllData[[#This Row],[Time]]&lt;1, AllData[[#This Row],[Time]]&gt;=0.75)=TRUE, "Evening", "Night")))</f>
        <v>Morning</v>
      </c>
      <c r="G146" t="str">
        <f>_xlfn.XLOOKUP(AllData[[#This Row],[Location Name]], Locations[Location Name],Locations[Group As])</f>
        <v>Avonbank Drive</v>
      </c>
      <c r="H146" t="e" vm="1">
        <f>_xlfn.XLOOKUP(AllData[[#This Row],[Site Name]],LocationsKey[Site Name],LocationsKey[District])</f>
        <v>#VALUE!</v>
      </c>
      <c r="I146" t="e" vm="12">
        <f>_xlfn.XLOOKUP(AllData[[#This Row],[Site Name]],LocationsKey[Site Name],LocationsKey[Town])</f>
        <v>#VALUE!</v>
      </c>
      <c r="J146" t="str">
        <f>_xlfn.XLOOKUP(AllData[[#This Row],[Site Name]],LocationsKey[Site Name], LocationsKey[Waterway])</f>
        <v>Avon</v>
      </c>
      <c r="K146" s="139" t="s">
        <v>2530</v>
      </c>
      <c r="L146" s="139">
        <v>52.177089000000002</v>
      </c>
      <c r="M146" s="156">
        <v>-1.735711</v>
      </c>
      <c r="N146" s="139" t="s">
        <v>68</v>
      </c>
      <c r="O146" s="139">
        <v>998</v>
      </c>
      <c r="P146" s="139">
        <v>12.4</v>
      </c>
      <c r="Q146" s="139">
        <v>15</v>
      </c>
      <c r="R146" s="107" t="str">
        <f>IF(AllData[[#This Row],[Nitrate (PPM)]]&gt;2, "Very high", IF(AllData[[#This Row],[Nitrate (PPM)]]&gt;1, "High", IF(AllData[[#This Row],[Nitrate (PPM)]]&gt;0.5, "Some evidence", IF(AllData[[#This Row],[Nitrate (PPM)]]&gt;=0, "No evidence"))))</f>
        <v>Very high</v>
      </c>
      <c r="S146" s="139">
        <v>0.3</v>
      </c>
      <c r="T146" s="7" t="str">
        <f>IF(AllData[[#This Row],[Phosphate (PPM)]]&gt;0.5, "Very high", IF(AllData[[#This Row],[Phosphate (PPM)]]&gt;0.1, "High", IF(AllData[[#This Row],[Phosphate (PPM)]]&gt;0.05, "Some evidence", IF(AllData[[#This Row],[Phosphate (PPM)]]&lt;=0.05, "No Evidence", ""))))</f>
        <v>High</v>
      </c>
      <c r="U146" s="139">
        <v>0.5</v>
      </c>
      <c r="V146" s="139" t="s">
        <v>3320</v>
      </c>
    </row>
    <row r="147" spans="1:22" x14ac:dyDescent="0.35">
      <c r="A147" s="139" t="s">
        <v>3325</v>
      </c>
      <c r="B147" s="146">
        <v>45738</v>
      </c>
      <c r="C147" s="2" t="str" cm="1">
        <f t="array" ref="C1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
        <f>YEAR(AllData[[#This Row],[Date]])</f>
        <v>2025</v>
      </c>
      <c r="E147" s="147">
        <v>0.46666666666666667</v>
      </c>
      <c r="F147" t="str">
        <f>IF(AND(AllData[[#This Row],[Time]]&lt;0.5, AllData[[#This Row],[Time]]&gt;0.17)=TRUE, "Morning", IF(AND(AllData[[#This Row],[Time]]&lt;0.75, AllData[[#This Row],[Time]]&gt;=0.5)=TRUE, "Afternoon", IF(AND(AllData[[#This Row],[Time]]&lt;1, AllData[[#This Row],[Time]]&gt;=0.75)=TRUE, "Evening", "Night")))</f>
        <v>Morning</v>
      </c>
      <c r="G147" t="str">
        <f>_xlfn.XLOOKUP(AllData[[#This Row],[Location Name]], Locations[Location Name],Locations[Group As])</f>
        <v>Piddle Brook Wyre Piddle Bridge</v>
      </c>
      <c r="H147" t="e" vm="6">
        <f>_xlfn.XLOOKUP(AllData[[#This Row],[Site Name]],LocationsKey[Site Name],LocationsKey[District])</f>
        <v>#VALUE!</v>
      </c>
      <c r="I147" t="e" vm="13">
        <f>_xlfn.XLOOKUP(AllData[[#This Row],[Site Name]],LocationsKey[Site Name],LocationsKey[Town])</f>
        <v>#VALUE!</v>
      </c>
      <c r="J147" t="str">
        <f>_xlfn.XLOOKUP(AllData[[#This Row],[Site Name]],LocationsKey[Site Name], LocationsKey[Waterway])</f>
        <v>Piddle Brook</v>
      </c>
      <c r="K147" s="139" t="s">
        <v>2236</v>
      </c>
      <c r="L147" s="139">
        <v>52.126376</v>
      </c>
      <c r="M147" s="156">
        <v>-2.056508</v>
      </c>
      <c r="N147" s="139" t="s">
        <v>3326</v>
      </c>
      <c r="O147" s="139">
        <v>1450</v>
      </c>
      <c r="P147" s="139">
        <v>11.3</v>
      </c>
      <c r="Q147" s="139">
        <v>10</v>
      </c>
      <c r="R147" s="107" t="str">
        <f>IF(AllData[[#This Row],[Nitrate (PPM)]]&gt;2, "Very high", IF(AllData[[#This Row],[Nitrate (PPM)]]&gt;1, "High", IF(AllData[[#This Row],[Nitrate (PPM)]]&gt;0.5, "Some evidence", IF(AllData[[#This Row],[Nitrate (PPM)]]&gt;=0, "No evidence"))))</f>
        <v>Very high</v>
      </c>
      <c r="S147" s="139">
        <v>0.68</v>
      </c>
      <c r="T147" s="7" t="str">
        <f>IF(AllData[[#This Row],[Phosphate (PPM)]]&gt;0.5, "Very high", IF(AllData[[#This Row],[Phosphate (PPM)]]&gt;0.1, "High", IF(AllData[[#This Row],[Phosphate (PPM)]]&gt;0.05, "Some evidence", IF(AllData[[#This Row],[Phosphate (PPM)]]&lt;=0.05, "No Evidence", ""))))</f>
        <v>Very high</v>
      </c>
      <c r="U147" s="139">
        <v>0.23</v>
      </c>
      <c r="V147" s="139" t="s">
        <v>2440</v>
      </c>
    </row>
    <row r="148" spans="1:22" x14ac:dyDescent="0.35">
      <c r="A148" s="139" t="s">
        <v>3318</v>
      </c>
      <c r="B148" s="146">
        <v>45738</v>
      </c>
      <c r="C148" s="2" t="str" cm="1">
        <f t="array" ref="C1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
        <f>YEAR(AllData[[#This Row],[Date]])</f>
        <v>2025</v>
      </c>
      <c r="E148" s="147">
        <v>0.43194444444444446</v>
      </c>
      <c r="F148" t="str">
        <f>IF(AND(AllData[[#This Row],[Time]]&lt;0.5, AllData[[#This Row],[Time]]&gt;0.17)=TRUE, "Morning", IF(AND(AllData[[#This Row],[Time]]&lt;0.75, AllData[[#This Row],[Time]]&gt;=0.5)=TRUE, "Afternoon", IF(AND(AllData[[#This Row],[Time]]&lt;1, AllData[[#This Row],[Time]]&gt;=0.75)=TRUE, "Evening", "Night")))</f>
        <v>Morning</v>
      </c>
      <c r="G148" t="str">
        <f>_xlfn.XLOOKUP(AllData[[#This Row],[Location Name]], Locations[Location Name],Locations[Group As])</f>
        <v>Pitch 16</v>
      </c>
      <c r="H148" t="e" vm="1">
        <f>_xlfn.XLOOKUP(AllData[[#This Row],[Site Name]],LocationsKey[Site Name],LocationsKey[District])</f>
        <v>#VALUE!</v>
      </c>
      <c r="I148" t="e" vm="12">
        <f>_xlfn.XLOOKUP(AllData[[#This Row],[Site Name]],LocationsKey[Site Name],LocationsKey[Town])</f>
        <v>#VALUE!</v>
      </c>
      <c r="J148" t="str">
        <f>_xlfn.XLOOKUP(AllData[[#This Row],[Site Name]],LocationsKey[Site Name], LocationsKey[Waterway])</f>
        <v>Avon</v>
      </c>
      <c r="K148" s="139" t="s">
        <v>3319</v>
      </c>
      <c r="L148" s="139">
        <v>52.172331</v>
      </c>
      <c r="M148" s="156">
        <v>-1.7464120000000001</v>
      </c>
      <c r="N148" s="139" t="s">
        <v>31</v>
      </c>
      <c r="O148" s="139">
        <v>955</v>
      </c>
      <c r="P148" s="139">
        <v>12.3</v>
      </c>
      <c r="Q148" s="139">
        <v>10</v>
      </c>
      <c r="R148" s="107" t="str">
        <f>IF(AllData[[#This Row],[Nitrate (PPM)]]&gt;2, "Very high", IF(AllData[[#This Row],[Nitrate (PPM)]]&gt;1, "High", IF(AllData[[#This Row],[Nitrate (PPM)]]&gt;0.5, "Some evidence", IF(AllData[[#This Row],[Nitrate (PPM)]]&gt;=0, "No evidence"))))</f>
        <v>Very high</v>
      </c>
      <c r="S148" s="139">
        <v>0.5</v>
      </c>
      <c r="T148" s="7" t="str">
        <f>IF(AllData[[#This Row],[Phosphate (PPM)]]&gt;0.5, "Very high", IF(AllData[[#This Row],[Phosphate (PPM)]]&gt;0.1, "High", IF(AllData[[#This Row],[Phosphate (PPM)]]&gt;0.05, "Some evidence", IF(AllData[[#This Row],[Phosphate (PPM)]]&lt;=0.05, "No Evidence", ""))))</f>
        <v>High</v>
      </c>
      <c r="U148" s="139">
        <v>0.5</v>
      </c>
      <c r="V148" s="139" t="s">
        <v>3320</v>
      </c>
    </row>
    <row r="149" spans="1:22" x14ac:dyDescent="0.35">
      <c r="A149" s="139" t="s">
        <v>3328</v>
      </c>
      <c r="B149" s="146">
        <v>45738</v>
      </c>
      <c r="C149" s="2" t="str" cm="1">
        <f t="array" ref="C1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
        <f>YEAR(AllData[[#This Row],[Date]])</f>
        <v>2025</v>
      </c>
      <c r="E149" s="147">
        <v>0.52083333333333337</v>
      </c>
      <c r="F149" t="str">
        <f>IF(AND(AllData[[#This Row],[Time]]&lt;0.5, AllData[[#This Row],[Time]]&gt;0.17)=TRUE, "Morning", IF(AND(AllData[[#This Row],[Time]]&lt;0.75, AllData[[#This Row],[Time]]&gt;=0.5)=TRUE, "Afternoon", IF(AND(AllData[[#This Row],[Time]]&lt;1, AllData[[#This Row],[Time]]&gt;=0.75)=TRUE, "Evening", "Night")))</f>
        <v>Afternoon</v>
      </c>
      <c r="G149" t="str">
        <f>_xlfn.XLOOKUP(AllData[[#This Row],[Location Name]], Locations[Location Name],Locations[Group As])</f>
        <v>Carrant Bredon Rd</v>
      </c>
      <c r="H149" t="e" vm="4">
        <f>_xlfn.XLOOKUP(AllData[[#This Row],[Site Name]],LocationsKey[Site Name],LocationsKey[District])</f>
        <v>#VALUE!</v>
      </c>
      <c r="I149" t="e" vm="4">
        <f>_xlfn.XLOOKUP(AllData[[#This Row],[Site Name]],LocationsKey[Site Name],LocationsKey[Town])</f>
        <v>#VALUE!</v>
      </c>
      <c r="J149" t="str">
        <f>_xlfn.XLOOKUP(AllData[[#This Row],[Site Name]],LocationsKey[Site Name], LocationsKey[Waterway])</f>
        <v>Carrant</v>
      </c>
      <c r="K149" s="139" t="s">
        <v>603</v>
      </c>
      <c r="L149" s="139">
        <v>51.996108999999997</v>
      </c>
      <c r="M149" s="156">
        <v>-2.1557200000000001</v>
      </c>
      <c r="N149" s="139" t="s">
        <v>25</v>
      </c>
      <c r="O149" s="139">
        <v>756</v>
      </c>
      <c r="P149" s="139">
        <v>12.5</v>
      </c>
      <c r="Q149" s="139">
        <v>4</v>
      </c>
      <c r="R149" s="107" t="str">
        <f>IF(AllData[[#This Row],[Nitrate (PPM)]]&gt;2, "Very high", IF(AllData[[#This Row],[Nitrate (PPM)]]&gt;1, "High", IF(AllData[[#This Row],[Nitrate (PPM)]]&gt;0.5, "Some evidence", IF(AllData[[#This Row],[Nitrate (PPM)]]&gt;=0, "No evidence"))))</f>
        <v>Very high</v>
      </c>
      <c r="S149" s="139">
        <v>0.32</v>
      </c>
      <c r="T149" s="7" t="str">
        <f>IF(AllData[[#This Row],[Phosphate (PPM)]]&gt;0.5, "Very high", IF(AllData[[#This Row],[Phosphate (PPM)]]&gt;0.1, "High", IF(AllData[[#This Row],[Phosphate (PPM)]]&gt;0.05, "Some evidence", IF(AllData[[#This Row],[Phosphate (PPM)]]&lt;=0.05, "No Evidence", ""))))</f>
        <v>High</v>
      </c>
      <c r="U149" s="139">
        <v>7.0000000000000007E-2</v>
      </c>
      <c r="V149" s="139"/>
    </row>
    <row r="150" spans="1:22" x14ac:dyDescent="0.35">
      <c r="A150" s="139" t="s">
        <v>3329</v>
      </c>
      <c r="B150" s="146">
        <v>45738</v>
      </c>
      <c r="C150" s="2" t="str" cm="1">
        <f t="array" ref="C1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
        <f>YEAR(AllData[[#This Row],[Date]])</f>
        <v>2025</v>
      </c>
      <c r="E150" s="147">
        <v>0.61597222222222225</v>
      </c>
      <c r="F150" t="str">
        <f>IF(AND(AllData[[#This Row],[Time]]&lt;0.5, AllData[[#This Row],[Time]]&gt;0.17)=TRUE, "Morning", IF(AND(AllData[[#This Row],[Time]]&lt;0.75, AllData[[#This Row],[Time]]&gt;=0.5)=TRUE, "Afternoon", IF(AND(AllData[[#This Row],[Time]]&lt;1, AllData[[#This Row],[Time]]&gt;=0.75)=TRUE, "Evening", "Night")))</f>
        <v>Afternoon</v>
      </c>
      <c r="G150" t="str">
        <f>_xlfn.XLOOKUP(AllData[[#This Row],[Location Name]], Locations[Location Name],Locations[Group As])</f>
        <v>R.Stowe - Lower Fields Farm, Old Brickyard Lane</v>
      </c>
      <c r="H150" t="e" vm="1">
        <f>_xlfn.XLOOKUP(AllData[[#This Row],[Site Name]],LocationsKey[Site Name],LocationsKey[District])</f>
        <v>#VALUE!</v>
      </c>
      <c r="I150" t="e" vm="17">
        <f>_xlfn.XLOOKUP(AllData[[#This Row],[Site Name]],LocationsKey[Site Name],LocationsKey[Town])</f>
        <v>#VALUE!</v>
      </c>
      <c r="J150" t="str">
        <f>_xlfn.XLOOKUP(AllData[[#This Row],[Site Name]],LocationsKey[Site Name], LocationsKey[Waterway])</f>
        <v>Stowe</v>
      </c>
      <c r="K150" s="139" t="s">
        <v>2892</v>
      </c>
      <c r="L150" s="139">
        <v>52.242694</v>
      </c>
      <c r="M150" s="156">
        <v>-1.3461380000000001</v>
      </c>
      <c r="N150" s="139" t="s">
        <v>31</v>
      </c>
      <c r="O150" s="139">
        <v>848</v>
      </c>
      <c r="P150" s="139">
        <v>12.8</v>
      </c>
      <c r="Q150" s="139">
        <v>2</v>
      </c>
      <c r="R150" s="107" t="str">
        <f>IF(AllData[[#This Row],[Nitrate (PPM)]]&gt;2, "Very high", IF(AllData[[#This Row],[Nitrate (PPM)]]&gt;1, "High", IF(AllData[[#This Row],[Nitrate (PPM)]]&gt;0.5, "Some evidence", IF(AllData[[#This Row],[Nitrate (PPM)]]&gt;=0, "No evidence"))))</f>
        <v>High</v>
      </c>
      <c r="S150" s="139">
        <v>0.27</v>
      </c>
      <c r="T150" s="7" t="str">
        <f>IF(AllData[[#This Row],[Phosphate (PPM)]]&gt;0.5, "Very high", IF(AllData[[#This Row],[Phosphate (PPM)]]&gt;0.1, "High", IF(AllData[[#This Row],[Phosphate (PPM)]]&gt;0.05, "Some evidence", IF(AllData[[#This Row],[Phosphate (PPM)]]&lt;=0.05, "No Evidence", ""))))</f>
        <v>High</v>
      </c>
      <c r="U150" s="139">
        <v>0.18</v>
      </c>
      <c r="V150" s="139" t="s">
        <v>3330</v>
      </c>
    </row>
    <row r="151" spans="1:22" x14ac:dyDescent="0.35">
      <c r="A151" s="139" t="s">
        <v>3327</v>
      </c>
      <c r="B151" s="146">
        <v>45738</v>
      </c>
      <c r="C151" s="2" t="str" cm="1">
        <f t="array" ref="C1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
        <f>YEAR(AllData[[#This Row],[Date]])</f>
        <v>2025</v>
      </c>
      <c r="E151" s="147">
        <v>0.52083333333333337</v>
      </c>
      <c r="F151" t="str">
        <f>IF(AND(AllData[[#This Row],[Time]]&lt;0.5, AllData[[#This Row],[Time]]&gt;0.17)=TRUE, "Morning", IF(AND(AllData[[#This Row],[Time]]&lt;0.75, AllData[[#This Row],[Time]]&gt;=0.5)=TRUE, "Afternoon", IF(AND(AllData[[#This Row],[Time]]&lt;1, AllData[[#This Row],[Time]]&gt;=0.75)=TRUE, "Evening", "Night")))</f>
        <v>Afternoon</v>
      </c>
      <c r="G151" t="str">
        <f>_xlfn.XLOOKUP(AllData[[#This Row],[Location Name]], Locations[Location Name],Locations[Group As])</f>
        <v>Fell Mill Footbridge</v>
      </c>
      <c r="H151" t="e" vm="1">
        <f>_xlfn.XLOOKUP(AllData[[#This Row],[Site Name]],LocationsKey[Site Name],LocationsKey[District])</f>
        <v>#VALUE!</v>
      </c>
      <c r="I151" t="e" vm="15">
        <f>_xlfn.XLOOKUP(AllData[[#This Row],[Site Name]],LocationsKey[Site Name],LocationsKey[Town])</f>
        <v>#VALUE!</v>
      </c>
      <c r="J151" t="str">
        <f>_xlfn.XLOOKUP(AllData[[#This Row],[Site Name]],LocationsKey[Site Name], LocationsKey[Waterway])</f>
        <v>Stour</v>
      </c>
      <c r="K151" s="139" t="s">
        <v>1968</v>
      </c>
      <c r="L151" s="139">
        <v>52.070086000000003</v>
      </c>
      <c r="M151" s="156">
        <v>-1.61145</v>
      </c>
      <c r="N151" s="139" t="s">
        <v>31</v>
      </c>
      <c r="O151" s="139">
        <v>610</v>
      </c>
      <c r="P151" s="139">
        <v>12.5</v>
      </c>
      <c r="Q151" s="139">
        <v>2</v>
      </c>
      <c r="R151" s="107" t="str">
        <f>IF(AllData[[#This Row],[Nitrate (PPM)]]&gt;2, "Very high", IF(AllData[[#This Row],[Nitrate (PPM)]]&gt;1, "High", IF(AllData[[#This Row],[Nitrate (PPM)]]&gt;0.5, "Some evidence", IF(AllData[[#This Row],[Nitrate (PPM)]]&gt;=0, "No evidence"))))</f>
        <v>High</v>
      </c>
      <c r="S151" s="139">
        <v>0.23</v>
      </c>
      <c r="T151" s="7" t="str">
        <f>IF(AllData[[#This Row],[Phosphate (PPM)]]&gt;0.5, "Very high", IF(AllData[[#This Row],[Phosphate (PPM)]]&gt;0.1, "High", IF(AllData[[#This Row],[Phosphate (PPM)]]&gt;0.05, "Some evidence", IF(AllData[[#This Row],[Phosphate (PPM)]]&lt;=0.05, "No Evidence", ""))))</f>
        <v>High</v>
      </c>
      <c r="U151" s="139">
        <v>1.35</v>
      </c>
      <c r="V151" s="139"/>
    </row>
    <row r="152" spans="1:22" x14ac:dyDescent="0.35">
      <c r="A152" s="139" t="s">
        <v>3314</v>
      </c>
      <c r="B152" s="146">
        <v>45738</v>
      </c>
      <c r="C152" s="2" t="str" cm="1">
        <f t="array" ref="C1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
        <f>YEAR(AllData[[#This Row],[Date]])</f>
        <v>2025</v>
      </c>
      <c r="E152" s="147">
        <v>2.5000000000000001E-2</v>
      </c>
      <c r="F152" t="str">
        <f>IF(AND(AllData[[#This Row],[Time]]&lt;0.5, AllData[[#This Row],[Time]]&gt;0.17)=TRUE, "Morning", IF(AND(AllData[[#This Row],[Time]]&lt;0.75, AllData[[#This Row],[Time]]&gt;=0.5)=TRUE, "Afternoon", IF(AND(AllData[[#This Row],[Time]]&lt;1, AllData[[#This Row],[Time]]&gt;=0.75)=TRUE, "Evening", "Night")))</f>
        <v>Night</v>
      </c>
      <c r="G152" t="str">
        <f>_xlfn.XLOOKUP(AllData[[#This Row],[Location Name]], Locations[Location Name],Locations[Group As])</f>
        <v>The Ford, Langley</v>
      </c>
      <c r="H152" t="e" vm="1">
        <f>_xlfn.XLOOKUP(AllData[[#This Row],[Site Name]],LocationsKey[Site Name],LocationsKey[District])</f>
        <v>#VALUE!</v>
      </c>
      <c r="I152" t="str">
        <f>_xlfn.XLOOKUP(AllData[[#This Row],[Site Name]],LocationsKey[Site Name],LocationsKey[Town])</f>
        <v>Langley</v>
      </c>
      <c r="J152" t="str">
        <f>_xlfn.XLOOKUP(AllData[[#This Row],[Site Name]],LocationsKey[Site Name], LocationsKey[Waterway])</f>
        <v>Langley Ford</v>
      </c>
      <c r="K152" s="139" t="s">
        <v>561</v>
      </c>
      <c r="L152" s="139">
        <v>52.268996999999999</v>
      </c>
      <c r="M152" s="156">
        <v>-1.7232879999999999</v>
      </c>
      <c r="N152" s="139" t="s">
        <v>31</v>
      </c>
      <c r="O152" s="139">
        <v>812</v>
      </c>
      <c r="P152" s="139">
        <v>11.6</v>
      </c>
      <c r="Q152" s="139">
        <v>1.5</v>
      </c>
      <c r="R152" s="107" t="str">
        <f>IF(AllData[[#This Row],[Nitrate (PPM)]]&gt;2, "Very high", IF(AllData[[#This Row],[Nitrate (PPM)]]&gt;1, "High", IF(AllData[[#This Row],[Nitrate (PPM)]]&gt;0.5, "Some evidence", IF(AllData[[#This Row],[Nitrate (PPM)]]&gt;=0, "No evidence"))))</f>
        <v>High</v>
      </c>
      <c r="S152" s="139">
        <v>0.33</v>
      </c>
      <c r="T152" s="7" t="str">
        <f>IF(AllData[[#This Row],[Phosphate (PPM)]]&gt;0.5, "Very high", IF(AllData[[#This Row],[Phosphate (PPM)]]&gt;0.1, "High", IF(AllData[[#This Row],[Phosphate (PPM)]]&gt;0.05, "Some evidence", IF(AllData[[#This Row],[Phosphate (PPM)]]&lt;=0.05, "No Evidence", ""))))</f>
        <v>High</v>
      </c>
      <c r="U152" s="139">
        <v>0.25</v>
      </c>
      <c r="V152" s="139" t="s">
        <v>919</v>
      </c>
    </row>
    <row r="153" spans="1:22" x14ac:dyDescent="0.35">
      <c r="A153" s="139" t="s">
        <v>3312</v>
      </c>
      <c r="B153" s="146">
        <v>45737</v>
      </c>
      <c r="C153" s="2" t="str" cm="1">
        <f t="array" ref="C1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
        <f>YEAR(AllData[[#This Row],[Date]])</f>
        <v>2025</v>
      </c>
      <c r="E153" s="147">
        <v>0.62638888888888888</v>
      </c>
      <c r="F153" t="str">
        <f>IF(AND(AllData[[#This Row],[Time]]&lt;0.5, AllData[[#This Row],[Time]]&gt;0.17)=TRUE, "Morning", IF(AND(AllData[[#This Row],[Time]]&lt;0.75, AllData[[#This Row],[Time]]&gt;=0.5)=TRUE, "Afternoon", IF(AND(AllData[[#This Row],[Time]]&lt;1, AllData[[#This Row],[Time]]&gt;=0.75)=TRUE, "Evening", "Night")))</f>
        <v>Afternoon</v>
      </c>
      <c r="G153" t="str">
        <f>_xlfn.XLOOKUP(AllData[[#This Row],[Location Name]], Locations[Location Name],Locations[Group As])</f>
        <v>Mill Bridge Peopleton</v>
      </c>
      <c r="H153" t="e" vm="6">
        <f>_xlfn.XLOOKUP(AllData[[#This Row],[Site Name]],LocationsKey[Site Name],LocationsKey[District])</f>
        <v>#VALUE!</v>
      </c>
      <c r="I153" t="str">
        <f>_xlfn.XLOOKUP(AllData[[#This Row],[Site Name]],LocationsKey[Site Name],LocationsKey[Town])</f>
        <v>Peopleton</v>
      </c>
      <c r="J153" t="str">
        <f>_xlfn.XLOOKUP(AllData[[#This Row],[Site Name]],LocationsKey[Site Name], LocationsKey[Waterway])</f>
        <v>Bow Brook</v>
      </c>
      <c r="K153" s="139" t="s">
        <v>1015</v>
      </c>
      <c r="L153" s="139">
        <v>52.151687000000003</v>
      </c>
      <c r="M153" s="156">
        <v>-2.0962679999999998</v>
      </c>
      <c r="N153" s="139" t="s">
        <v>31</v>
      </c>
      <c r="O153" s="139">
        <v>1150</v>
      </c>
      <c r="P153" s="139">
        <v>12.6</v>
      </c>
      <c r="Q153" s="139">
        <v>2</v>
      </c>
      <c r="R153" s="107" t="str">
        <f>IF(AllData[[#This Row],[Nitrate (PPM)]]&gt;2, "Very high", IF(AllData[[#This Row],[Nitrate (PPM)]]&gt;1, "High", IF(AllData[[#This Row],[Nitrate (PPM)]]&gt;0.5, "Some evidence", IF(AllData[[#This Row],[Nitrate (PPM)]]&gt;=0, "No evidence"))))</f>
        <v>High</v>
      </c>
      <c r="S153" s="139">
        <v>0.65</v>
      </c>
      <c r="T153" s="7" t="str">
        <f>IF(AllData[[#This Row],[Phosphate (PPM)]]&gt;0.5, "Very high", IF(AllData[[#This Row],[Phosphate (PPM)]]&gt;0.1, "High", IF(AllData[[#This Row],[Phosphate (PPM)]]&gt;0.05, "Some evidence", IF(AllData[[#This Row],[Phosphate (PPM)]]&lt;=0.05, "No Evidence", ""))))</f>
        <v>Very high</v>
      </c>
      <c r="U153" s="139">
        <v>0.4</v>
      </c>
      <c r="V153" s="139" t="s">
        <v>3313</v>
      </c>
    </row>
    <row r="154" spans="1:22" x14ac:dyDescent="0.35">
      <c r="A154" s="139" t="s">
        <v>3311</v>
      </c>
      <c r="B154" s="146">
        <v>45737</v>
      </c>
      <c r="C154" s="2" t="str" cm="1">
        <f t="array" ref="C1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
        <f>YEAR(AllData[[#This Row],[Date]])</f>
        <v>2025</v>
      </c>
      <c r="E154" s="147">
        <v>0.62569444444444444</v>
      </c>
      <c r="F154" t="str">
        <f>IF(AND(AllData[[#This Row],[Time]]&lt;0.5, AllData[[#This Row],[Time]]&gt;0.17)=TRUE, "Morning", IF(AND(AllData[[#This Row],[Time]]&lt;0.75, AllData[[#This Row],[Time]]&gt;=0.5)=TRUE, "Afternoon", IF(AND(AllData[[#This Row],[Time]]&lt;1, AllData[[#This Row],[Time]]&gt;=0.75)=TRUE, "Evening", "Night")))</f>
        <v>Afternoon</v>
      </c>
      <c r="G154" t="str">
        <f>_xlfn.XLOOKUP(AllData[[#This Row],[Location Name]], Locations[Location Name],Locations[Group As])</f>
        <v>Stour Shipston Mill Bridge</v>
      </c>
      <c r="H154" t="e" vm="1">
        <f>_xlfn.XLOOKUP(AllData[[#This Row],[Site Name]],LocationsKey[Site Name],LocationsKey[District])</f>
        <v>#VALUE!</v>
      </c>
      <c r="I154" t="e" vm="15">
        <f>_xlfn.XLOOKUP(AllData[[#This Row],[Site Name]],LocationsKey[Site Name],LocationsKey[Town])</f>
        <v>#VALUE!</v>
      </c>
      <c r="J154" t="str">
        <f>_xlfn.XLOOKUP(AllData[[#This Row],[Site Name]],LocationsKey[Site Name], LocationsKey[Waterway])</f>
        <v>Stour</v>
      </c>
      <c r="K154" s="139" t="s">
        <v>2006</v>
      </c>
      <c r="L154" s="139"/>
      <c r="M154" s="156"/>
      <c r="N154" s="139"/>
      <c r="O154" s="139">
        <v>5.9</v>
      </c>
      <c r="P154" s="139">
        <v>11.8</v>
      </c>
      <c r="Q154" s="139">
        <v>2</v>
      </c>
      <c r="R154" s="107" t="str">
        <f>IF(AllData[[#This Row],[Nitrate (PPM)]]&gt;2, "Very high", IF(AllData[[#This Row],[Nitrate (PPM)]]&gt;1, "High", IF(AllData[[#This Row],[Nitrate (PPM)]]&gt;0.5, "Some evidence", IF(AllData[[#This Row],[Nitrate (PPM)]]&gt;=0, "No evidence"))))</f>
        <v>High</v>
      </c>
      <c r="S154" s="139">
        <v>0.1</v>
      </c>
      <c r="T154" s="7" t="str">
        <f>IF(AllData[[#This Row],[Phosphate (PPM)]]&gt;0.5, "Very high", IF(AllData[[#This Row],[Phosphate (PPM)]]&gt;0.1, "High", IF(AllData[[#This Row],[Phosphate (PPM)]]&gt;0.05, "Some evidence", IF(AllData[[#This Row],[Phosphate (PPM)]]&lt;=0.05, "No Evidence", ""))))</f>
        <v>Some evidence</v>
      </c>
      <c r="U154" s="139">
        <v>0.43</v>
      </c>
      <c r="V154" s="139" t="s">
        <v>2925</v>
      </c>
    </row>
    <row r="155" spans="1:22" x14ac:dyDescent="0.35">
      <c r="A155" s="139" t="s">
        <v>3307</v>
      </c>
      <c r="B155" s="146">
        <v>45736</v>
      </c>
      <c r="C155" s="2" t="str" cm="1">
        <f t="array" ref="C1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
        <f>YEAR(AllData[[#This Row],[Date]])</f>
        <v>2025</v>
      </c>
      <c r="E155" s="147">
        <v>0.6118055555555556</v>
      </c>
      <c r="F155" t="str">
        <f>IF(AND(AllData[[#This Row],[Time]]&lt;0.5, AllData[[#This Row],[Time]]&gt;0.17)=TRUE, "Morning", IF(AND(AllData[[#This Row],[Time]]&lt;0.75, AllData[[#This Row],[Time]]&gt;=0.5)=TRUE, "Afternoon", IF(AND(AllData[[#This Row],[Time]]&lt;1, AllData[[#This Row],[Time]]&gt;=0.75)=TRUE, "Evening", "Night")))</f>
        <v>Afternoon</v>
      </c>
      <c r="G155" t="str">
        <f>_xlfn.XLOOKUP(AllData[[#This Row],[Location Name]], Locations[Location Name],Locations[Group As])</f>
        <v>Alveston Weir</v>
      </c>
      <c r="H155" t="e" vm="1">
        <f>_xlfn.XLOOKUP(AllData[[#This Row],[Site Name]],LocationsKey[Site Name],LocationsKey[District])</f>
        <v>#VALUE!</v>
      </c>
      <c r="I155" t="e" vm="2">
        <f>_xlfn.XLOOKUP(AllData[[#This Row],[Site Name]],LocationsKey[Site Name],LocationsKey[Town])</f>
        <v>#VALUE!</v>
      </c>
      <c r="J155" t="str">
        <f>_xlfn.XLOOKUP(AllData[[#This Row],[Site Name]],LocationsKey[Site Name], LocationsKey[Waterway])</f>
        <v>Avon</v>
      </c>
      <c r="K155" s="139" t="s">
        <v>288</v>
      </c>
      <c r="L155" s="139">
        <v>52.212288999999998</v>
      </c>
      <c r="M155" s="156">
        <v>-1.660452</v>
      </c>
      <c r="N155" s="139" t="s">
        <v>31</v>
      </c>
      <c r="O155" s="139">
        <v>860</v>
      </c>
      <c r="P155" s="139">
        <v>12.7</v>
      </c>
      <c r="Q155" s="139">
        <v>20</v>
      </c>
      <c r="R155" s="107" t="str">
        <f>IF(AllData[[#This Row],[Nitrate (PPM)]]&gt;2, "Very high", IF(AllData[[#This Row],[Nitrate (PPM)]]&gt;1, "High", IF(AllData[[#This Row],[Nitrate (PPM)]]&gt;0.5, "Some evidence", IF(AllData[[#This Row],[Nitrate (PPM)]]&gt;=0, "No evidence"))))</f>
        <v>Very high</v>
      </c>
      <c r="S155" s="139">
        <v>0.38</v>
      </c>
      <c r="T155" s="7" t="str">
        <f>IF(AllData[[#This Row],[Phosphate (PPM)]]&gt;0.5, "Very high", IF(AllData[[#This Row],[Phosphate (PPM)]]&gt;0.1, "High", IF(AllData[[#This Row],[Phosphate (PPM)]]&gt;0.05, "Some evidence", IF(AllData[[#This Row],[Phosphate (PPM)]]&lt;=0.05, "No Evidence", ""))))</f>
        <v>High</v>
      </c>
      <c r="U155" s="139">
        <v>-0.5</v>
      </c>
      <c r="V155" s="139" t="s">
        <v>3308</v>
      </c>
    </row>
    <row r="156" spans="1:22" x14ac:dyDescent="0.35">
      <c r="A156" s="139" t="s">
        <v>3309</v>
      </c>
      <c r="B156" s="146">
        <v>45736</v>
      </c>
      <c r="C156" s="2" t="str" cm="1">
        <f t="array" ref="C1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
        <f>YEAR(AllData[[#This Row],[Date]])</f>
        <v>2025</v>
      </c>
      <c r="E156" s="147">
        <v>0.61388888888888893</v>
      </c>
      <c r="F156" t="str">
        <f>IF(AND(AllData[[#This Row],[Time]]&lt;0.5, AllData[[#This Row],[Time]]&gt;0.17)=TRUE, "Morning", IF(AND(AllData[[#This Row],[Time]]&lt;0.75, AllData[[#This Row],[Time]]&gt;=0.5)=TRUE, "Afternoon", IF(AND(AllData[[#This Row],[Time]]&lt;1, AllData[[#This Row],[Time]]&gt;=0.75)=TRUE, "Evening", "Night")))</f>
        <v>Afternoon</v>
      </c>
      <c r="G156" t="str">
        <f>_xlfn.XLOOKUP(AllData[[#This Row],[Location Name]], Locations[Location Name],Locations[Group As])</f>
        <v>Swiffen Bank</v>
      </c>
      <c r="H156" t="e" vm="1">
        <f>_xlfn.XLOOKUP(AllData[[#This Row],[Site Name]],LocationsKey[Site Name],LocationsKey[District])</f>
        <v>#VALUE!</v>
      </c>
      <c r="I156" t="e" vm="2">
        <f>_xlfn.XLOOKUP(AllData[[#This Row],[Site Name]],LocationsKey[Site Name],LocationsKey[Town])</f>
        <v>#VALUE!</v>
      </c>
      <c r="J156" t="str">
        <f>_xlfn.XLOOKUP(AllData[[#This Row],[Site Name]],LocationsKey[Site Name], LocationsKey[Waterway])</f>
        <v>Avon</v>
      </c>
      <c r="K156" s="139" t="s">
        <v>286</v>
      </c>
      <c r="L156" s="139">
        <v>52.206477999999997</v>
      </c>
      <c r="M156" s="156">
        <v>-1.653894</v>
      </c>
      <c r="N156" s="139" t="s">
        <v>31</v>
      </c>
      <c r="O156" s="139">
        <v>753</v>
      </c>
      <c r="P156" s="139">
        <v>12.1</v>
      </c>
      <c r="Q156" s="139">
        <v>20</v>
      </c>
      <c r="R156" s="107" t="str">
        <f>IF(AllData[[#This Row],[Nitrate (PPM)]]&gt;2, "Very high", IF(AllData[[#This Row],[Nitrate (PPM)]]&gt;1, "High", IF(AllData[[#This Row],[Nitrate (PPM)]]&gt;0.5, "Some evidence", IF(AllData[[#This Row],[Nitrate (PPM)]]&gt;=0, "No evidence"))))</f>
        <v>Very high</v>
      </c>
      <c r="S156" s="139">
        <v>0.22</v>
      </c>
      <c r="T156" s="7" t="str">
        <f>IF(AllData[[#This Row],[Phosphate (PPM)]]&gt;0.5, "Very high", IF(AllData[[#This Row],[Phosphate (PPM)]]&gt;0.1, "High", IF(AllData[[#This Row],[Phosphate (PPM)]]&gt;0.05, "Some evidence", IF(AllData[[#This Row],[Phosphate (PPM)]]&lt;=0.05, "No Evidence", ""))))</f>
        <v>High</v>
      </c>
      <c r="U156" s="139">
        <v>-0.5</v>
      </c>
      <c r="V156" s="139" t="s">
        <v>3310</v>
      </c>
    </row>
    <row r="157" spans="1:22" x14ac:dyDescent="0.35">
      <c r="A157" s="139" t="s">
        <v>3305</v>
      </c>
      <c r="B157" s="146">
        <v>45736</v>
      </c>
      <c r="C157" s="2" t="str" cm="1">
        <f t="array" ref="C1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
        <f>YEAR(AllData[[#This Row],[Date]])</f>
        <v>2025</v>
      </c>
      <c r="E157" s="147">
        <v>0.56666666666666665</v>
      </c>
      <c r="F157" t="str">
        <f>IF(AND(AllData[[#This Row],[Time]]&lt;0.5, AllData[[#This Row],[Time]]&gt;0.17)=TRUE, "Morning", IF(AND(AllData[[#This Row],[Time]]&lt;0.75, AllData[[#This Row],[Time]]&gt;=0.5)=TRUE, "Afternoon", IF(AND(AllData[[#This Row],[Time]]&lt;1, AllData[[#This Row],[Time]]&gt;=0.75)=TRUE, "Evening", "Night")))</f>
        <v>Afternoon</v>
      </c>
      <c r="G157" t="str">
        <f>_xlfn.XLOOKUP(AllData[[#This Row],[Location Name]], Locations[Location Name],Locations[Group As])</f>
        <v>Carrant Mitton Path</v>
      </c>
      <c r="H157" t="e" vm="4">
        <f>_xlfn.XLOOKUP(AllData[[#This Row],[Site Name]],LocationsKey[Site Name],LocationsKey[District])</f>
        <v>#VALUE!</v>
      </c>
      <c r="I157" t="e" vm="4">
        <f>_xlfn.XLOOKUP(AllData[[#This Row],[Site Name]],LocationsKey[Site Name],LocationsKey[Town])</f>
        <v>#VALUE!</v>
      </c>
      <c r="J157" t="str">
        <f>_xlfn.XLOOKUP(AllData[[#This Row],[Site Name]],LocationsKey[Site Name], LocationsKey[Waterway])</f>
        <v>Carrant</v>
      </c>
      <c r="K157" s="139" t="s">
        <v>1064</v>
      </c>
      <c r="L157" s="139">
        <v>51.999698000000002</v>
      </c>
      <c r="M157" s="156">
        <v>-2.1410260000000001</v>
      </c>
      <c r="N157" s="139" t="s">
        <v>31</v>
      </c>
      <c r="O157" s="139">
        <v>6970</v>
      </c>
      <c r="P157" s="139">
        <v>12.4</v>
      </c>
      <c r="Q157" s="139">
        <v>5</v>
      </c>
      <c r="R157" s="107" t="str">
        <f>IF(AllData[[#This Row],[Nitrate (PPM)]]&gt;2, "Very high", IF(AllData[[#This Row],[Nitrate (PPM)]]&gt;1, "High", IF(AllData[[#This Row],[Nitrate (PPM)]]&gt;0.5, "Some evidence", IF(AllData[[#This Row],[Nitrate (PPM)]]&gt;=0, "No evidence"))))</f>
        <v>Very high</v>
      </c>
      <c r="S157" s="139">
        <v>0.3</v>
      </c>
      <c r="T157" s="7" t="str">
        <f>IF(AllData[[#This Row],[Phosphate (PPM)]]&gt;0.5, "Very high", IF(AllData[[#This Row],[Phosphate (PPM)]]&gt;0.1, "High", IF(AllData[[#This Row],[Phosphate (PPM)]]&gt;0.05, "Some evidence", IF(AllData[[#This Row],[Phosphate (PPM)]]&lt;=0.05, "No Evidence", ""))))</f>
        <v>High</v>
      </c>
      <c r="U157" s="139">
        <v>0</v>
      </c>
      <c r="V157" s="139" t="s">
        <v>3306</v>
      </c>
    </row>
    <row r="158" spans="1:22" x14ac:dyDescent="0.35">
      <c r="A158" s="139" t="s">
        <v>3302</v>
      </c>
      <c r="B158" s="146">
        <v>45736</v>
      </c>
      <c r="C158" s="2" t="str" cm="1">
        <f t="array" ref="C1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
        <f>YEAR(AllData[[#This Row],[Date]])</f>
        <v>2025</v>
      </c>
      <c r="E158" s="147">
        <v>0.41597222222222224</v>
      </c>
      <c r="F158" t="str">
        <f>IF(AND(AllData[[#This Row],[Time]]&lt;0.5, AllData[[#This Row],[Time]]&gt;0.17)=TRUE, "Morning", IF(AND(AllData[[#This Row],[Time]]&lt;0.75, AllData[[#This Row],[Time]]&gt;=0.5)=TRUE, "Afternoon", IF(AND(AllData[[#This Row],[Time]]&lt;1, AllData[[#This Row],[Time]]&gt;=0.75)=TRUE, "Evening", "Night")))</f>
        <v>Morning</v>
      </c>
      <c r="G158" t="str">
        <f>_xlfn.XLOOKUP(AllData[[#This Row],[Location Name]], Locations[Location Name],Locations[Group As])</f>
        <v>SSC Bredons Norton</v>
      </c>
      <c r="H158" t="e" vm="6">
        <f>_xlfn.XLOOKUP(AllData[[#This Row],[Site Name]],LocationsKey[Site Name],LocationsKey[District])</f>
        <v>#VALUE!</v>
      </c>
      <c r="I158" t="str">
        <f>_xlfn.XLOOKUP(AllData[[#This Row],[Site Name]],LocationsKey[Site Name],LocationsKey[Town])</f>
        <v>Bredon's Norton</v>
      </c>
      <c r="J158" t="str">
        <f>_xlfn.XLOOKUP(AllData[[#This Row],[Site Name]],LocationsKey[Site Name], LocationsKey[Waterway])</f>
        <v>Avon</v>
      </c>
      <c r="K158" s="139" t="s">
        <v>3303</v>
      </c>
      <c r="L158" s="139">
        <v>52.050736000000001</v>
      </c>
      <c r="M158" s="156">
        <v>-2.117032</v>
      </c>
      <c r="N158" s="139" t="s">
        <v>31</v>
      </c>
      <c r="O158" s="139">
        <v>956</v>
      </c>
      <c r="P158" s="139">
        <v>8.4</v>
      </c>
      <c r="Q158" s="139">
        <v>5</v>
      </c>
      <c r="R158" s="107" t="str">
        <f>IF(AllData[[#This Row],[Nitrate (PPM)]]&gt;2, "Very high", IF(AllData[[#This Row],[Nitrate (PPM)]]&gt;1, "High", IF(AllData[[#This Row],[Nitrate (PPM)]]&gt;0.5, "Some evidence", IF(AllData[[#This Row],[Nitrate (PPM)]]&gt;=0, "No evidence"))))</f>
        <v>Very high</v>
      </c>
      <c r="S158" s="139">
        <v>0.28000000000000003</v>
      </c>
      <c r="T158" s="7" t="str">
        <f>IF(AllData[[#This Row],[Phosphate (PPM)]]&gt;0.5, "Very high", IF(AllData[[#This Row],[Phosphate (PPM)]]&gt;0.1, "High", IF(AllData[[#This Row],[Phosphate (PPM)]]&gt;0.05, "Some evidence", IF(AllData[[#This Row],[Phosphate (PPM)]]&lt;=0.05, "No Evidence", ""))))</f>
        <v>High</v>
      </c>
      <c r="U158" s="139">
        <v>0.8</v>
      </c>
      <c r="V158" s="139" t="s">
        <v>3304</v>
      </c>
    </row>
    <row r="159" spans="1:22" x14ac:dyDescent="0.35">
      <c r="A159" s="139" t="s">
        <v>3301</v>
      </c>
      <c r="B159" s="146">
        <v>45736</v>
      </c>
      <c r="C159" s="2" t="str" cm="1">
        <f t="array" ref="C1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
        <f>YEAR(AllData[[#This Row],[Date]])</f>
        <v>2025</v>
      </c>
      <c r="E159" s="147">
        <v>0.40972222222222221</v>
      </c>
      <c r="F159" t="str">
        <f>IF(AND(AllData[[#This Row],[Time]]&lt;0.5, AllData[[#This Row],[Time]]&gt;0.17)=TRUE, "Morning", IF(AND(AllData[[#This Row],[Time]]&lt;0.75, AllData[[#This Row],[Time]]&gt;=0.5)=TRUE, "Afternoon", IF(AND(AllData[[#This Row],[Time]]&lt;1, AllData[[#This Row],[Time]]&gt;=0.75)=TRUE, "Evening", "Night")))</f>
        <v>Morning</v>
      </c>
      <c r="G159" t="str">
        <f>_xlfn.XLOOKUP(AllData[[#This Row],[Location Name]], Locations[Location Name],Locations[Group As])</f>
        <v>Swilgate</v>
      </c>
      <c r="H159" t="e" vm="4">
        <f>_xlfn.XLOOKUP(AllData[[#This Row],[Site Name]],LocationsKey[Site Name],LocationsKey[District])</f>
        <v>#VALUE!</v>
      </c>
      <c r="I159" t="e" vm="4">
        <f>_xlfn.XLOOKUP(AllData[[#This Row],[Site Name]],LocationsKey[Site Name],LocationsKey[Town])</f>
        <v>#VALUE!</v>
      </c>
      <c r="J159" t="str">
        <f>_xlfn.XLOOKUP(AllData[[#This Row],[Site Name]],LocationsKey[Site Name], LocationsKey[Waterway])</f>
        <v>Swilgate</v>
      </c>
      <c r="K159" s="139" t="s">
        <v>85</v>
      </c>
      <c r="L159" s="139"/>
      <c r="M159" s="156"/>
      <c r="N159" s="139" t="s">
        <v>34</v>
      </c>
      <c r="O159" s="139">
        <v>101</v>
      </c>
      <c r="P159" s="139">
        <v>8.8000000000000007</v>
      </c>
      <c r="Q159" s="139">
        <v>5</v>
      </c>
      <c r="R159" s="107" t="str">
        <f>IF(AllData[[#This Row],[Nitrate (PPM)]]&gt;2, "Very high", IF(AllData[[#This Row],[Nitrate (PPM)]]&gt;1, "High", IF(AllData[[#This Row],[Nitrate (PPM)]]&gt;0.5, "Some evidence", IF(AllData[[#This Row],[Nitrate (PPM)]]&gt;=0, "No evidence"))))</f>
        <v>Very high</v>
      </c>
      <c r="S159" s="139">
        <v>0.98</v>
      </c>
      <c r="T159" s="7" t="str">
        <f>IF(AllData[[#This Row],[Phosphate (PPM)]]&gt;0.5, "Very high", IF(AllData[[#This Row],[Phosphate (PPM)]]&gt;0.1, "High", IF(AllData[[#This Row],[Phosphate (PPM)]]&gt;0.05, "Some evidence", IF(AllData[[#This Row],[Phosphate (PPM)]]&lt;=0.05, "No Evidence", ""))))</f>
        <v>Very high</v>
      </c>
      <c r="U159" s="139">
        <v>0</v>
      </c>
      <c r="V159" s="139"/>
    </row>
    <row r="160" spans="1:22" x14ac:dyDescent="0.35">
      <c r="A160" s="139" t="s">
        <v>3300</v>
      </c>
      <c r="B160" s="146">
        <v>45734</v>
      </c>
      <c r="C160" s="2" t="str" cm="1">
        <f t="array" ref="C1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
        <f>YEAR(AllData[[#This Row],[Date]])</f>
        <v>2025</v>
      </c>
      <c r="E160" s="147">
        <v>0.6645833333333333</v>
      </c>
      <c r="F160" t="str">
        <f>IF(AND(AllData[[#This Row],[Time]]&lt;0.5, AllData[[#This Row],[Time]]&gt;0.17)=TRUE, "Morning", IF(AND(AllData[[#This Row],[Time]]&lt;0.75, AllData[[#This Row],[Time]]&gt;=0.5)=TRUE, "Afternoon", IF(AND(AllData[[#This Row],[Time]]&lt;1, AllData[[#This Row],[Time]]&gt;=0.75)=TRUE, "Evening", "Night")))</f>
        <v>Afternoon</v>
      </c>
      <c r="G160" t="str">
        <f>_xlfn.XLOOKUP(AllData[[#This Row],[Location Name]], Locations[Location Name],Locations[Group As])</f>
        <v>Twyning Fleet</v>
      </c>
      <c r="H160" t="e" vm="4">
        <f>_xlfn.XLOOKUP(AllData[[#This Row],[Site Name]],LocationsKey[Site Name],LocationsKey[District])</f>
        <v>#VALUE!</v>
      </c>
      <c r="I160" t="str">
        <f>_xlfn.XLOOKUP(AllData[[#This Row],[Site Name]],LocationsKey[Site Name],LocationsKey[Town])</f>
        <v>Twyning Green</v>
      </c>
      <c r="J160" t="str">
        <f>_xlfn.XLOOKUP(AllData[[#This Row],[Site Name]],LocationsKey[Site Name], LocationsKey[Waterway])</f>
        <v>Avon</v>
      </c>
      <c r="K160" s="139" t="s">
        <v>2117</v>
      </c>
      <c r="L160" s="139">
        <v>52.027065</v>
      </c>
      <c r="M160" s="156">
        <v>-2.1405599999999998</v>
      </c>
      <c r="N160" s="139" t="s">
        <v>31</v>
      </c>
      <c r="O160" s="139">
        <v>895</v>
      </c>
      <c r="P160" s="139">
        <v>8.8000000000000007</v>
      </c>
      <c r="Q160" s="139">
        <v>12</v>
      </c>
      <c r="R160" s="107" t="str">
        <f>IF(AllData[[#This Row],[Nitrate (PPM)]]&gt;2, "Very high", IF(AllData[[#This Row],[Nitrate (PPM)]]&gt;1, "High", IF(AllData[[#This Row],[Nitrate (PPM)]]&gt;0.5, "Some evidence", IF(AllData[[#This Row],[Nitrate (PPM)]]&gt;=0, "No evidence"))))</f>
        <v>Very high</v>
      </c>
      <c r="S160" s="139">
        <v>0.31</v>
      </c>
      <c r="T160" s="7" t="str">
        <f>IF(AllData[[#This Row],[Phosphate (PPM)]]&gt;0.5, "Very high", IF(AllData[[#This Row],[Phosphate (PPM)]]&gt;0.1, "High", IF(AllData[[#This Row],[Phosphate (PPM)]]&gt;0.05, "Some evidence", IF(AllData[[#This Row],[Phosphate (PPM)]]&lt;=0.05, "No Evidence", ""))))</f>
        <v>High</v>
      </c>
      <c r="U160" s="139">
        <v>0</v>
      </c>
      <c r="V160" s="139"/>
    </row>
    <row r="161" spans="1:22" x14ac:dyDescent="0.35">
      <c r="A161" s="139" t="s">
        <v>3292</v>
      </c>
      <c r="B161" s="146">
        <v>45734</v>
      </c>
      <c r="C161" s="2" t="str" cm="1">
        <f t="array" ref="C1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
        <f>YEAR(AllData[[#This Row],[Date]])</f>
        <v>2025</v>
      </c>
      <c r="E161" s="147">
        <v>0.6166666666666667</v>
      </c>
      <c r="F161" t="str">
        <f>IF(AND(AllData[[#This Row],[Time]]&lt;0.5, AllData[[#This Row],[Time]]&gt;0.17)=TRUE, "Morning", IF(AND(AllData[[#This Row],[Time]]&lt;0.75, AllData[[#This Row],[Time]]&gt;=0.5)=TRUE, "Afternoon", IF(AND(AllData[[#This Row],[Time]]&lt;1, AllData[[#This Row],[Time]]&gt;=0.75)=TRUE, "Evening", "Night")))</f>
        <v>Afternoon</v>
      </c>
      <c r="G161" t="str">
        <f>_xlfn.XLOOKUP(AllData[[#This Row],[Location Name]], Locations[Location Name],Locations[Group As])</f>
        <v>New Barn Farm Brailes</v>
      </c>
      <c r="H161" t="e" vm="1">
        <f>_xlfn.XLOOKUP(AllData[[#This Row],[Site Name]],LocationsKey[Site Name],LocationsKey[District])</f>
        <v>#VALUE!</v>
      </c>
      <c r="I161" t="e" vm="5">
        <f>_xlfn.XLOOKUP(AllData[[#This Row],[Site Name]],LocationsKey[Site Name],LocationsKey[Town])</f>
        <v>#VALUE!</v>
      </c>
      <c r="J161" t="str">
        <f>_xlfn.XLOOKUP(AllData[[#This Row],[Site Name]],LocationsKey[Site Name], LocationsKey[Waterway])</f>
        <v>Sutton Brook</v>
      </c>
      <c r="K161" s="139" t="s">
        <v>3293</v>
      </c>
      <c r="L161" s="139">
        <v>52.044004999999999</v>
      </c>
      <c r="M161" s="156">
        <v>-1.5488459999999999</v>
      </c>
      <c r="N161" s="139" t="s">
        <v>31</v>
      </c>
      <c r="O161" s="139">
        <v>605</v>
      </c>
      <c r="P161" s="139">
        <v>9.1</v>
      </c>
      <c r="Q161" s="139">
        <v>5</v>
      </c>
      <c r="R161" s="107" t="str">
        <f>IF(AllData[[#This Row],[Nitrate (PPM)]]&gt;2, "Very high", IF(AllData[[#This Row],[Nitrate (PPM)]]&gt;1, "High", IF(AllData[[#This Row],[Nitrate (PPM)]]&gt;0.5, "Some evidence", IF(AllData[[#This Row],[Nitrate (PPM)]]&gt;=0, "No evidence"))))</f>
        <v>Very high</v>
      </c>
      <c r="S161" s="139">
        <v>0.05</v>
      </c>
      <c r="T161" s="7" t="str">
        <f>IF(AllData[[#This Row],[Phosphate (PPM)]]&gt;0.5, "Very high", IF(AllData[[#This Row],[Phosphate (PPM)]]&gt;0.1, "High", IF(AllData[[#This Row],[Phosphate (PPM)]]&gt;0.05, "Some evidence", IF(AllData[[#This Row],[Phosphate (PPM)]]&lt;=0.05, "No Evidence", ""))))</f>
        <v>No Evidence</v>
      </c>
      <c r="U161" s="139">
        <v>0.2</v>
      </c>
      <c r="V161" s="139" t="s">
        <v>3294</v>
      </c>
    </row>
    <row r="162" spans="1:22" x14ac:dyDescent="0.35">
      <c r="A162" s="139" t="s">
        <v>3297</v>
      </c>
      <c r="B162" s="146">
        <v>45734</v>
      </c>
      <c r="C162" s="2" t="str" cm="1">
        <f t="array" ref="C1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
        <f>YEAR(AllData[[#This Row],[Date]])</f>
        <v>2025</v>
      </c>
      <c r="E162" s="147">
        <v>0.65</v>
      </c>
      <c r="F162" t="str">
        <f>IF(AND(AllData[[#This Row],[Time]]&lt;0.5, AllData[[#This Row],[Time]]&gt;0.17)=TRUE, "Morning", IF(AND(AllData[[#This Row],[Time]]&lt;0.75, AllData[[#This Row],[Time]]&gt;=0.5)=TRUE, "Afternoon", IF(AND(AllData[[#This Row],[Time]]&lt;1, AllData[[#This Row],[Time]]&gt;=0.75)=TRUE, "Evening", "Night")))</f>
        <v>Afternoon</v>
      </c>
      <c r="G162" t="str">
        <f>_xlfn.XLOOKUP(AllData[[#This Row],[Location Name]], Locations[Location Name],Locations[Group As])</f>
        <v>High Street Brailes</v>
      </c>
      <c r="H162" t="e" vm="1">
        <f>_xlfn.XLOOKUP(AllData[[#This Row],[Site Name]],LocationsKey[Site Name],LocationsKey[District])</f>
        <v>#VALUE!</v>
      </c>
      <c r="I162" t="e" vm="5">
        <f>_xlfn.XLOOKUP(AllData[[#This Row],[Site Name]],LocationsKey[Site Name],LocationsKey[Town])</f>
        <v>#VALUE!</v>
      </c>
      <c r="J162" t="str">
        <f>_xlfn.XLOOKUP(AllData[[#This Row],[Site Name]],LocationsKey[Site Name], LocationsKey[Waterway])</f>
        <v>Sutton Brook</v>
      </c>
      <c r="K162" s="139" t="s">
        <v>3298</v>
      </c>
      <c r="L162" s="139">
        <v>52.050502999999999</v>
      </c>
      <c r="M162" s="156">
        <v>-1.5459510000000001</v>
      </c>
      <c r="N162" s="139" t="s">
        <v>68</v>
      </c>
      <c r="O162" s="139">
        <v>542</v>
      </c>
      <c r="P162" s="139">
        <v>10.8</v>
      </c>
      <c r="Q162" s="139">
        <v>5</v>
      </c>
      <c r="R162" s="107" t="str">
        <f>IF(AllData[[#This Row],[Nitrate (PPM)]]&gt;2, "Very high", IF(AllData[[#This Row],[Nitrate (PPM)]]&gt;1, "High", IF(AllData[[#This Row],[Nitrate (PPM)]]&gt;0.5, "Some evidence", IF(AllData[[#This Row],[Nitrate (PPM)]]&gt;=0, "No evidence"))))</f>
        <v>Very high</v>
      </c>
      <c r="S162" s="139">
        <v>0.23</v>
      </c>
      <c r="T162" s="7" t="str">
        <f>IF(AllData[[#This Row],[Phosphate (PPM)]]&gt;0.5, "Very high", IF(AllData[[#This Row],[Phosphate (PPM)]]&gt;0.1, "High", IF(AllData[[#This Row],[Phosphate (PPM)]]&gt;0.05, "Some evidence", IF(AllData[[#This Row],[Phosphate (PPM)]]&lt;=0.05, "No Evidence", ""))))</f>
        <v>High</v>
      </c>
      <c r="U162" s="139">
        <v>0.3</v>
      </c>
      <c r="V162" s="139" t="s">
        <v>3299</v>
      </c>
    </row>
    <row r="163" spans="1:22" x14ac:dyDescent="0.35">
      <c r="A163" s="139" t="s">
        <v>3290</v>
      </c>
      <c r="B163" s="146">
        <v>45734</v>
      </c>
      <c r="C163" s="2" t="str" cm="1">
        <f t="array" ref="C1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
        <f>YEAR(AllData[[#This Row],[Date]])</f>
        <v>2025</v>
      </c>
      <c r="E163" s="147">
        <v>0.50208333333333333</v>
      </c>
      <c r="F163" t="str">
        <f>IF(AND(AllData[[#This Row],[Time]]&lt;0.5, AllData[[#This Row],[Time]]&gt;0.17)=TRUE, "Morning", IF(AND(AllData[[#This Row],[Time]]&lt;0.75, AllData[[#This Row],[Time]]&gt;=0.5)=TRUE, "Afternoon", IF(AND(AllData[[#This Row],[Time]]&lt;1, AllData[[#This Row],[Time]]&gt;=0.75)=TRUE, "Evening", "Night")))</f>
        <v>Afternoon</v>
      </c>
      <c r="G163" t="str">
        <f>_xlfn.XLOOKUP(AllData[[#This Row],[Location Name]], Locations[Location Name],Locations[Group As])</f>
        <v>Walcot Lane, Bow Brook Ford</v>
      </c>
      <c r="H163" t="e" vm="6">
        <f>_xlfn.XLOOKUP(AllData[[#This Row],[Site Name]],LocationsKey[Site Name],LocationsKey[District])</f>
        <v>#VALUE!</v>
      </c>
      <c r="I163" t="e" vm="7">
        <f>_xlfn.XLOOKUP(AllData[[#This Row],[Site Name]],LocationsKey[Site Name],LocationsKey[Town])</f>
        <v>#VALUE!</v>
      </c>
      <c r="J163" t="str">
        <f>_xlfn.XLOOKUP(AllData[[#This Row],[Site Name]],LocationsKey[Site Name], LocationsKey[Waterway])</f>
        <v>Bow Brook</v>
      </c>
      <c r="K163" s="139" t="s">
        <v>775</v>
      </c>
      <c r="L163" s="139">
        <v>52.130526000000003</v>
      </c>
      <c r="M163" s="156">
        <v>-2.0786060000000002</v>
      </c>
      <c r="N163" s="139" t="s">
        <v>798</v>
      </c>
      <c r="O163" s="139">
        <v>1190</v>
      </c>
      <c r="P163" s="139">
        <v>8.8000000000000007</v>
      </c>
      <c r="Q163" s="139">
        <v>4</v>
      </c>
      <c r="R163" s="107" t="str">
        <f>IF(AllData[[#This Row],[Nitrate (PPM)]]&gt;2, "Very high", IF(AllData[[#This Row],[Nitrate (PPM)]]&gt;1, "High", IF(AllData[[#This Row],[Nitrate (PPM)]]&gt;0.5, "Some evidence", IF(AllData[[#This Row],[Nitrate (PPM)]]&gt;=0, "No evidence"))))</f>
        <v>Very high</v>
      </c>
      <c r="S163" s="139">
        <v>0.41</v>
      </c>
      <c r="T163" s="7" t="str">
        <f>IF(AllData[[#This Row],[Phosphate (PPM)]]&gt;0.5, "Very high", IF(AllData[[#This Row],[Phosphate (PPM)]]&gt;0.1, "High", IF(AllData[[#This Row],[Phosphate (PPM)]]&gt;0.05, "Some evidence", IF(AllData[[#This Row],[Phosphate (PPM)]]&lt;=0.05, "No Evidence", ""))))</f>
        <v>High</v>
      </c>
      <c r="U163" s="139">
        <v>0.15</v>
      </c>
      <c r="V163" s="139" t="s">
        <v>3291</v>
      </c>
    </row>
    <row r="164" spans="1:22" x14ac:dyDescent="0.35">
      <c r="A164" s="139" t="s">
        <v>3295</v>
      </c>
      <c r="B164" s="146">
        <v>45734</v>
      </c>
      <c r="C164" s="2" t="str" cm="1">
        <f t="array" ref="C1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
        <f>YEAR(AllData[[#This Row],[Date]])</f>
        <v>2025</v>
      </c>
      <c r="E164" s="147">
        <v>0.6479166666666667</v>
      </c>
      <c r="F164" t="str">
        <f>IF(AND(AllData[[#This Row],[Time]]&lt;0.5, AllData[[#This Row],[Time]]&gt;0.17)=TRUE, "Morning", IF(AND(AllData[[#This Row],[Time]]&lt;0.75, AllData[[#This Row],[Time]]&gt;=0.5)=TRUE, "Afternoon", IF(AND(AllData[[#This Row],[Time]]&lt;1, AllData[[#This Row],[Time]]&gt;=0.75)=TRUE, "Evening", "Night")))</f>
        <v>Afternoon</v>
      </c>
      <c r="G164" t="str">
        <f>_xlfn.XLOOKUP(AllData[[#This Row],[Location Name]], Locations[Location Name],Locations[Group As])</f>
        <v>Abbey Mill</v>
      </c>
      <c r="H164" t="e" vm="4">
        <f>_xlfn.XLOOKUP(AllData[[#This Row],[Site Name]],LocationsKey[Site Name],LocationsKey[District])</f>
        <v>#VALUE!</v>
      </c>
      <c r="I164" t="e" vm="4">
        <f>_xlfn.XLOOKUP(AllData[[#This Row],[Site Name]],LocationsKey[Site Name],LocationsKey[Town])</f>
        <v>#VALUE!</v>
      </c>
      <c r="J164" t="str">
        <f>_xlfn.XLOOKUP(AllData[[#This Row],[Site Name]],LocationsKey[Site Name], LocationsKey[Waterway])</f>
        <v>Avon</v>
      </c>
      <c r="K164" s="139" t="s">
        <v>27</v>
      </c>
      <c r="L164" s="139">
        <v>51.991594999999997</v>
      </c>
      <c r="M164" s="156">
        <v>-2.1620330000000001</v>
      </c>
      <c r="N164" s="139" t="s">
        <v>2855</v>
      </c>
      <c r="O164" s="139">
        <v>926</v>
      </c>
      <c r="P164" s="139">
        <v>10.4</v>
      </c>
      <c r="Q164" s="139">
        <v>2</v>
      </c>
      <c r="R164" s="107" t="str">
        <f>IF(AllData[[#This Row],[Nitrate (PPM)]]&gt;2, "Very high", IF(AllData[[#This Row],[Nitrate (PPM)]]&gt;1, "High", IF(AllData[[#This Row],[Nitrate (PPM)]]&gt;0.5, "Some evidence", IF(AllData[[#This Row],[Nitrate (PPM)]]&gt;=0, "No evidence"))))</f>
        <v>High</v>
      </c>
      <c r="S164" s="139">
        <v>0.4</v>
      </c>
      <c r="T164" s="7" t="str">
        <f>IF(AllData[[#This Row],[Phosphate (PPM)]]&gt;0.5, "Very high", IF(AllData[[#This Row],[Phosphate (PPM)]]&gt;0.1, "High", IF(AllData[[#This Row],[Phosphate (PPM)]]&gt;0.05, "Some evidence", IF(AllData[[#This Row],[Phosphate (PPM)]]&lt;=0.05, "No Evidence", ""))))</f>
        <v>High</v>
      </c>
      <c r="U164" s="139">
        <v>0.5</v>
      </c>
      <c r="V164" s="139" t="s">
        <v>3296</v>
      </c>
    </row>
    <row r="165" spans="1:22" x14ac:dyDescent="0.35">
      <c r="A165" s="139" t="s">
        <v>3289</v>
      </c>
      <c r="B165" s="146">
        <v>45733</v>
      </c>
      <c r="C165" s="2" t="str" cm="1">
        <f t="array" ref="C1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
        <f>YEAR(AllData[[#This Row],[Date]])</f>
        <v>2025</v>
      </c>
      <c r="E165" s="147">
        <v>0.68402777777777779</v>
      </c>
      <c r="F165" t="str">
        <f>IF(AND(AllData[[#This Row],[Time]]&lt;0.5, AllData[[#This Row],[Time]]&gt;0.17)=TRUE, "Morning", IF(AND(AllData[[#This Row],[Time]]&lt;0.75, AllData[[#This Row],[Time]]&gt;=0.5)=TRUE, "Afternoon", IF(AND(AllData[[#This Row],[Time]]&lt;1, AllData[[#This Row],[Time]]&gt;=0.75)=TRUE, "Evening", "Night")))</f>
        <v>Afternoon</v>
      </c>
      <c r="G165" t="str">
        <f>_xlfn.XLOOKUP(AllData[[#This Row],[Location Name]], Locations[Location Name],Locations[Group As])</f>
        <v>Black Bear</v>
      </c>
      <c r="H165" t="e" vm="4">
        <f>_xlfn.XLOOKUP(AllData[[#This Row],[Site Name]],LocationsKey[Site Name],LocationsKey[District])</f>
        <v>#VALUE!</v>
      </c>
      <c r="I165" t="e" vm="4">
        <f>_xlfn.XLOOKUP(AllData[[#This Row],[Site Name]],LocationsKey[Site Name],LocationsKey[Town])</f>
        <v>#VALUE!</v>
      </c>
      <c r="J165" t="str">
        <f>_xlfn.XLOOKUP(AllData[[#This Row],[Site Name]],LocationsKey[Site Name], LocationsKey[Waterway])</f>
        <v>Avon</v>
      </c>
      <c r="K165" s="139" t="s">
        <v>1175</v>
      </c>
      <c r="L165" s="139">
        <v>51.997348000000002</v>
      </c>
      <c r="M165" s="156">
        <v>-2.156012</v>
      </c>
      <c r="N165" s="139" t="s">
        <v>34</v>
      </c>
      <c r="O165" s="139">
        <v>873</v>
      </c>
      <c r="P165" s="139">
        <v>9.1999999999999993</v>
      </c>
      <c r="Q165" s="139">
        <v>10</v>
      </c>
      <c r="R165" s="107" t="str">
        <f>IF(AllData[[#This Row],[Nitrate (PPM)]]&gt;2, "Very high", IF(AllData[[#This Row],[Nitrate (PPM)]]&gt;1, "High", IF(AllData[[#This Row],[Nitrate (PPM)]]&gt;0.5, "Some evidence", IF(AllData[[#This Row],[Nitrate (PPM)]]&gt;=0, "No evidence"))))</f>
        <v>Very high</v>
      </c>
      <c r="S165" s="139">
        <v>0.33</v>
      </c>
      <c r="T165" s="7" t="str">
        <f>IF(AllData[[#This Row],[Phosphate (PPM)]]&gt;0.5, "Very high", IF(AllData[[#This Row],[Phosphate (PPM)]]&gt;0.1, "High", IF(AllData[[#This Row],[Phosphate (PPM)]]&gt;0.05, "Some evidence", IF(AllData[[#This Row],[Phosphate (PPM)]]&lt;=0.05, "No Evidence", ""))))</f>
        <v>High</v>
      </c>
      <c r="U165" s="139">
        <v>0</v>
      </c>
      <c r="V165" s="139"/>
    </row>
    <row r="166" spans="1:22" x14ac:dyDescent="0.35">
      <c r="A166" s="139" t="s">
        <v>3285</v>
      </c>
      <c r="B166" s="146">
        <v>45733</v>
      </c>
      <c r="C166" s="2" t="str" cm="1">
        <f t="array" ref="C1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
        <f>YEAR(AllData[[#This Row],[Date]])</f>
        <v>2025</v>
      </c>
      <c r="E166" s="147">
        <v>0.40277777777777779</v>
      </c>
      <c r="F166" t="str">
        <f>IF(AND(AllData[[#This Row],[Time]]&lt;0.5, AllData[[#This Row],[Time]]&gt;0.17)=TRUE, "Morning", IF(AND(AllData[[#This Row],[Time]]&lt;0.75, AllData[[#This Row],[Time]]&gt;=0.5)=TRUE, "Afternoon", IF(AND(AllData[[#This Row],[Time]]&lt;1, AllData[[#This Row],[Time]]&gt;=0.75)=TRUE, "Evening", "Night")))</f>
        <v>Morning</v>
      </c>
      <c r="G166" t="str">
        <f>_xlfn.XLOOKUP(AllData[[#This Row],[Location Name]], Locations[Location Name],Locations[Group As])</f>
        <v>Chipping Campden Sewage Works</v>
      </c>
      <c r="H166" t="e" vm="9">
        <f>_xlfn.XLOOKUP(AllData[[#This Row],[Site Name]],LocationsKey[Site Name],LocationsKey[District])</f>
        <v>#VALUE!</v>
      </c>
      <c r="I166" t="e" vm="10">
        <f>_xlfn.XLOOKUP(AllData[[#This Row],[Site Name]],LocationsKey[Site Name],LocationsKey[Town])</f>
        <v>#VALUE!</v>
      </c>
      <c r="J166" t="str">
        <f>_xlfn.XLOOKUP(AllData[[#This Row],[Site Name]],LocationsKey[Site Name], LocationsKey[Waterway])</f>
        <v>Cam Brook</v>
      </c>
      <c r="K166" s="139" t="s">
        <v>1570</v>
      </c>
      <c r="L166" s="139"/>
      <c r="M166" s="156"/>
      <c r="N166" s="139" t="s">
        <v>31</v>
      </c>
      <c r="O166" s="139">
        <v>647</v>
      </c>
      <c r="P166" s="139">
        <v>8.6</v>
      </c>
      <c r="Q166" s="139">
        <v>2</v>
      </c>
      <c r="R166" s="107" t="str">
        <f>IF(AllData[[#This Row],[Nitrate (PPM)]]&gt;2, "Very high", IF(AllData[[#This Row],[Nitrate (PPM)]]&gt;1, "High", IF(AllData[[#This Row],[Nitrate (PPM)]]&gt;0.5, "Some evidence", IF(AllData[[#This Row],[Nitrate (PPM)]]&gt;=0, "No evidence"))))</f>
        <v>High</v>
      </c>
      <c r="S166" s="139">
        <v>0.1</v>
      </c>
      <c r="T166" s="7" t="str">
        <f>IF(AllData[[#This Row],[Phosphate (PPM)]]&gt;0.5, "Very high", IF(AllData[[#This Row],[Phosphate (PPM)]]&gt;0.1, "High", IF(AllData[[#This Row],[Phosphate (PPM)]]&gt;0.05, "Some evidence", IF(AllData[[#This Row],[Phosphate (PPM)]]&lt;=0.05, "No Evidence", ""))))</f>
        <v>Some evidence</v>
      </c>
      <c r="U166" s="139">
        <v>0.39</v>
      </c>
      <c r="V166" s="139"/>
    </row>
    <row r="167" spans="1:22" x14ac:dyDescent="0.35">
      <c r="A167" s="139" t="s">
        <v>3284</v>
      </c>
      <c r="B167" s="146">
        <v>45733</v>
      </c>
      <c r="C167" s="2" t="str" cm="1">
        <f t="array" ref="C1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
        <f>YEAR(AllData[[#This Row],[Date]])</f>
        <v>2025</v>
      </c>
      <c r="E167" s="147">
        <v>0.3298611111111111</v>
      </c>
      <c r="F167" t="str">
        <f>IF(AND(AllData[[#This Row],[Time]]&lt;0.5, AllData[[#This Row],[Time]]&gt;0.17)=TRUE, "Morning", IF(AND(AllData[[#This Row],[Time]]&lt;0.75, AllData[[#This Row],[Time]]&gt;=0.5)=TRUE, "Afternoon", IF(AND(AllData[[#This Row],[Time]]&lt;1, AllData[[#This Row],[Time]]&gt;=0.75)=TRUE, "Evening", "Night")))</f>
        <v>Morning</v>
      </c>
      <c r="G167" t="str">
        <f>_xlfn.XLOOKUP(AllData[[#This Row],[Location Name]], Locations[Location Name],Locations[Group As])</f>
        <v>Chipping Campden Lady J Gateway</v>
      </c>
      <c r="H167" t="e" vm="9">
        <f>_xlfn.XLOOKUP(AllData[[#This Row],[Site Name]],LocationsKey[Site Name],LocationsKey[District])</f>
        <v>#VALUE!</v>
      </c>
      <c r="I167" t="e" vm="10">
        <f>_xlfn.XLOOKUP(AllData[[#This Row],[Site Name]],LocationsKey[Site Name],LocationsKey[Town])</f>
        <v>#VALUE!</v>
      </c>
      <c r="J167" t="str">
        <f>_xlfn.XLOOKUP(AllData[[#This Row],[Site Name]],LocationsKey[Site Name], LocationsKey[Waterway])</f>
        <v>Cam Brook</v>
      </c>
      <c r="K167" s="139" t="s">
        <v>1573</v>
      </c>
      <c r="L167" s="139"/>
      <c r="M167" s="156"/>
      <c r="N167" s="139" t="s">
        <v>68</v>
      </c>
      <c r="O167" s="139">
        <v>532</v>
      </c>
      <c r="P167" s="139">
        <v>7.5</v>
      </c>
      <c r="Q167" s="139">
        <v>2</v>
      </c>
      <c r="R167" s="107" t="str">
        <f>IF(AllData[[#This Row],[Nitrate (PPM)]]&gt;2, "Very high", IF(AllData[[#This Row],[Nitrate (PPM)]]&gt;1, "High", IF(AllData[[#This Row],[Nitrate (PPM)]]&gt;0.5, "Some evidence", IF(AllData[[#This Row],[Nitrate (PPM)]]&gt;=0, "No evidence"))))</f>
        <v>High</v>
      </c>
      <c r="S167" s="139">
        <v>0.04</v>
      </c>
      <c r="T167" s="7" t="str">
        <f>IF(AllData[[#This Row],[Phosphate (PPM)]]&gt;0.5, "Very high", IF(AllData[[#This Row],[Phosphate (PPM)]]&gt;0.1, "High", IF(AllData[[#This Row],[Phosphate (PPM)]]&gt;0.05, "Some evidence", IF(AllData[[#This Row],[Phosphate (PPM)]]&lt;=0.05, "No Evidence", ""))))</f>
        <v>No Evidence</v>
      </c>
      <c r="U167" s="139">
        <v>0.11</v>
      </c>
      <c r="V167" s="139"/>
    </row>
    <row r="168" spans="1:22" x14ac:dyDescent="0.35">
      <c r="A168" s="139" t="s">
        <v>3286</v>
      </c>
      <c r="B168" s="146">
        <v>45733</v>
      </c>
      <c r="C168" s="2" t="str" cm="1">
        <f t="array" ref="C1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
        <f>YEAR(AllData[[#This Row],[Date]])</f>
        <v>2025</v>
      </c>
      <c r="E168" s="147">
        <v>0.41666666666666669</v>
      </c>
      <c r="F168" t="str">
        <f>IF(AND(AllData[[#This Row],[Time]]&lt;0.5, AllData[[#This Row],[Time]]&gt;0.17)=TRUE, "Morning", IF(AND(AllData[[#This Row],[Time]]&lt;0.75, AllData[[#This Row],[Time]]&gt;=0.5)=TRUE, "Afternoon", IF(AND(AllData[[#This Row],[Time]]&lt;1, AllData[[#This Row],[Time]]&gt;=0.75)=TRUE, "Evening", "Night")))</f>
        <v>Morning</v>
      </c>
      <c r="G168" t="str">
        <f>_xlfn.XLOOKUP(AllData[[#This Row],[Location Name]], Locations[Location Name],Locations[Group As])</f>
        <v>Chipping Campden Craves</v>
      </c>
      <c r="H168" t="e" vm="9">
        <f>_xlfn.XLOOKUP(AllData[[#This Row],[Site Name]],LocationsKey[Site Name],LocationsKey[District])</f>
        <v>#VALUE!</v>
      </c>
      <c r="I168" t="e" vm="10">
        <f>_xlfn.XLOOKUP(AllData[[#This Row],[Site Name]],LocationsKey[Site Name],LocationsKey[Town])</f>
        <v>#VALUE!</v>
      </c>
      <c r="J168" t="str">
        <f>_xlfn.XLOOKUP(AllData[[#This Row],[Site Name]],LocationsKey[Site Name], LocationsKey[Waterway])</f>
        <v>Cam Brook</v>
      </c>
      <c r="K168" s="139" t="s">
        <v>2458</v>
      </c>
      <c r="L168" s="139">
        <v>52.048749999999998</v>
      </c>
      <c r="M168" s="156">
        <v>-1.7863830000000001</v>
      </c>
      <c r="N168" s="139" t="s">
        <v>68</v>
      </c>
      <c r="O168" s="139">
        <v>484</v>
      </c>
      <c r="P168" s="139">
        <v>10.4</v>
      </c>
      <c r="Q168" s="139">
        <v>2</v>
      </c>
      <c r="R168" s="107" t="str">
        <f>IF(AllData[[#This Row],[Nitrate (PPM)]]&gt;2, "Very high", IF(AllData[[#This Row],[Nitrate (PPM)]]&gt;1, "High", IF(AllData[[#This Row],[Nitrate (PPM)]]&gt;0.5, "Some evidence", IF(AllData[[#This Row],[Nitrate (PPM)]]&gt;=0, "No evidence"))))</f>
        <v>High</v>
      </c>
      <c r="S168" s="139">
        <v>0.08</v>
      </c>
      <c r="T168" s="7" t="str">
        <f>IF(AllData[[#This Row],[Phosphate (PPM)]]&gt;0.5, "Very high", IF(AllData[[#This Row],[Phosphate (PPM)]]&gt;0.1, "High", IF(AllData[[#This Row],[Phosphate (PPM)]]&gt;0.05, "Some evidence", IF(AllData[[#This Row],[Phosphate (PPM)]]&lt;=0.05, "No Evidence", ""))))</f>
        <v>Some evidence</v>
      </c>
      <c r="U168" s="139">
        <v>25</v>
      </c>
      <c r="V168" s="139"/>
    </row>
    <row r="169" spans="1:22" x14ac:dyDescent="0.35">
      <c r="A169" s="139" t="s">
        <v>3287</v>
      </c>
      <c r="B169" s="146">
        <v>45733</v>
      </c>
      <c r="C169" s="2" t="str" cm="1">
        <f t="array" ref="C1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
        <f>YEAR(AllData[[#This Row],[Date]])</f>
        <v>2025</v>
      </c>
      <c r="E169" s="147">
        <v>0.63541666666666663</v>
      </c>
      <c r="F169" t="str">
        <f>IF(AND(AllData[[#This Row],[Time]]&lt;0.5, AllData[[#This Row],[Time]]&gt;0.17)=TRUE, "Morning", IF(AND(AllData[[#This Row],[Time]]&lt;0.75, AllData[[#This Row],[Time]]&gt;=0.5)=TRUE, "Afternoon", IF(AND(AllData[[#This Row],[Time]]&lt;1, AllData[[#This Row],[Time]]&gt;=0.75)=TRUE, "Evening", "Night")))</f>
        <v>Afternoon</v>
      </c>
      <c r="G169" t="str">
        <f>_xlfn.XLOOKUP(AllData[[#This Row],[Location Name]], Locations[Location Name],Locations[Group As])</f>
        <v>Fell Mill Footbridge</v>
      </c>
      <c r="H169" t="e" vm="1">
        <f>_xlfn.XLOOKUP(AllData[[#This Row],[Site Name]],LocationsKey[Site Name],LocationsKey[District])</f>
        <v>#VALUE!</v>
      </c>
      <c r="I169" t="e" vm="15">
        <f>_xlfn.XLOOKUP(AllData[[#This Row],[Site Name]],LocationsKey[Site Name],LocationsKey[Town])</f>
        <v>#VALUE!</v>
      </c>
      <c r="J169" t="str">
        <f>_xlfn.XLOOKUP(AllData[[#This Row],[Site Name]],LocationsKey[Site Name], LocationsKey[Waterway])</f>
        <v>Stour</v>
      </c>
      <c r="K169" s="139" t="s">
        <v>3288</v>
      </c>
      <c r="L169" s="139">
        <v>52.070086000000003</v>
      </c>
      <c r="M169" s="156">
        <v>-1.61145</v>
      </c>
      <c r="N169" s="139" t="s">
        <v>31</v>
      </c>
      <c r="O169" s="139">
        <v>628</v>
      </c>
      <c r="P169" s="139">
        <v>6.9</v>
      </c>
      <c r="Q169" s="139">
        <v>0.5</v>
      </c>
      <c r="R169" s="107" t="str">
        <f>IF(AllData[[#This Row],[Nitrate (PPM)]]&gt;2, "Very high", IF(AllData[[#This Row],[Nitrate (PPM)]]&gt;1, "High", IF(AllData[[#This Row],[Nitrate (PPM)]]&gt;0.5, "Some evidence", IF(AllData[[#This Row],[Nitrate (PPM)]]&gt;=0, "No evidence"))))</f>
        <v>No evidence</v>
      </c>
      <c r="S169" s="139">
        <v>0.78</v>
      </c>
      <c r="T169" s="7" t="str">
        <f>IF(AllData[[#This Row],[Phosphate (PPM)]]&gt;0.5, "Very high", IF(AllData[[#This Row],[Phosphate (PPM)]]&gt;0.1, "High", IF(AllData[[#This Row],[Phosphate (PPM)]]&gt;0.05, "Some evidence", IF(AllData[[#This Row],[Phosphate (PPM)]]&lt;=0.05, "No Evidence", ""))))</f>
        <v>Very high</v>
      </c>
      <c r="U169" s="139">
        <v>1.36</v>
      </c>
      <c r="V169" s="139"/>
    </row>
    <row r="170" spans="1:22" x14ac:dyDescent="0.35">
      <c r="A170" s="139" t="s">
        <v>3283</v>
      </c>
      <c r="B170" s="146">
        <v>45732</v>
      </c>
      <c r="C170" s="2" t="str" cm="1">
        <f t="array" ref="C1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
        <f>YEAR(AllData[[#This Row],[Date]])</f>
        <v>2025</v>
      </c>
      <c r="E170" s="147">
        <v>0.73333333333333328</v>
      </c>
      <c r="F170" t="str">
        <f>IF(AND(AllData[[#This Row],[Time]]&lt;0.5, AllData[[#This Row],[Time]]&gt;0.17)=TRUE, "Morning", IF(AND(AllData[[#This Row],[Time]]&lt;0.75, AllData[[#This Row],[Time]]&gt;=0.5)=TRUE, "Afternoon", IF(AND(AllData[[#This Row],[Time]]&lt;1, AllData[[#This Row],[Time]]&gt;=0.75)=TRUE, "Evening", "Night")))</f>
        <v>Afternoon</v>
      </c>
      <c r="G170" t="str">
        <f>_xlfn.XLOOKUP(AllData[[#This Row],[Location Name]], Locations[Location Name],Locations[Group As])</f>
        <v>Lower Lode</v>
      </c>
      <c r="H170" t="e" vm="4">
        <f>_xlfn.XLOOKUP(AllData[[#This Row],[Site Name]],LocationsKey[Site Name],LocationsKey[District])</f>
        <v>#VALUE!</v>
      </c>
      <c r="I170" t="e" vm="4">
        <f>_xlfn.XLOOKUP(AllData[[#This Row],[Site Name]],LocationsKey[Site Name],LocationsKey[Town])</f>
        <v>#VALUE!</v>
      </c>
      <c r="J170" t="str">
        <f>_xlfn.XLOOKUP(AllData[[#This Row],[Site Name]],LocationsKey[Site Name], LocationsKey[Waterway])</f>
        <v>Avon</v>
      </c>
      <c r="K170" s="139" t="s">
        <v>595</v>
      </c>
      <c r="L170" s="139">
        <v>51.984547999999997</v>
      </c>
      <c r="M170" s="156">
        <v>-2.1752050000000001</v>
      </c>
      <c r="N170" s="139" t="s">
        <v>31</v>
      </c>
      <c r="O170" s="139">
        <v>9530</v>
      </c>
      <c r="P170" s="139">
        <v>8.4</v>
      </c>
      <c r="Q170" s="139">
        <v>10</v>
      </c>
      <c r="R170" s="107" t="str">
        <f>IF(AllData[[#This Row],[Nitrate (PPM)]]&gt;2, "Very high", IF(AllData[[#This Row],[Nitrate (PPM)]]&gt;1, "High", IF(AllData[[#This Row],[Nitrate (PPM)]]&gt;0.5, "Some evidence", IF(AllData[[#This Row],[Nitrate (PPM)]]&gt;=0, "No evidence"))))</f>
        <v>Very high</v>
      </c>
      <c r="S170" s="139">
        <v>0.37</v>
      </c>
      <c r="T170" s="7" t="str">
        <f>IF(AllData[[#This Row],[Phosphate (PPM)]]&gt;0.5, "Very high", IF(AllData[[#This Row],[Phosphate (PPM)]]&gt;0.1, "High", IF(AllData[[#This Row],[Phosphate (PPM)]]&gt;0.05, "Some evidence", IF(AllData[[#This Row],[Phosphate (PPM)]]&lt;=0.05, "No Evidence", ""))))</f>
        <v>High</v>
      </c>
      <c r="U170" s="139">
        <v>-1</v>
      </c>
      <c r="V170" s="139"/>
    </row>
    <row r="171" spans="1:22" x14ac:dyDescent="0.35">
      <c r="A171" s="139" t="s">
        <v>3273</v>
      </c>
      <c r="B171" s="146">
        <v>45732</v>
      </c>
      <c r="C171" s="2" t="str" cm="1">
        <f t="array" ref="C1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
        <f>YEAR(AllData[[#This Row],[Date]])</f>
        <v>2025</v>
      </c>
      <c r="E171" s="147">
        <v>0.30208333333333331</v>
      </c>
      <c r="F171" t="str">
        <f>IF(AND(AllData[[#This Row],[Time]]&lt;0.5, AllData[[#This Row],[Time]]&gt;0.17)=TRUE, "Morning", IF(AND(AllData[[#This Row],[Time]]&lt;0.75, AllData[[#This Row],[Time]]&gt;=0.5)=TRUE, "Afternoon", IF(AND(AllData[[#This Row],[Time]]&lt;1, AllData[[#This Row],[Time]]&gt;=0.75)=TRUE, "Evening", "Night")))</f>
        <v>Morning</v>
      </c>
      <c r="G171" t="str">
        <f>_xlfn.XLOOKUP(AllData[[#This Row],[Location Name]], Locations[Location Name],Locations[Group As])</f>
        <v>Sherbourne Brook 2</v>
      </c>
      <c r="H171" t="e" vm="1">
        <f>_xlfn.XLOOKUP(AllData[[#This Row],[Site Name]],LocationsKey[Site Name],LocationsKey[District])</f>
        <v>#VALUE!</v>
      </c>
      <c r="I171" t="str">
        <f>_xlfn.XLOOKUP(AllData[[#This Row],[Site Name]],LocationsKey[Site Name],LocationsKey[Town])</f>
        <v>Unknown</v>
      </c>
      <c r="J171" t="str">
        <f>_xlfn.XLOOKUP(AllData[[#This Row],[Site Name]],LocationsKey[Site Name], LocationsKey[Waterway])</f>
        <v>Sherbourne Brook</v>
      </c>
      <c r="K171" s="139" t="s">
        <v>2995</v>
      </c>
      <c r="L171" s="139"/>
      <c r="M171" s="156"/>
      <c r="N171" s="139"/>
      <c r="O171" s="139">
        <v>1110</v>
      </c>
      <c r="P171" s="139">
        <v>4.9000000000000004</v>
      </c>
      <c r="Q171" s="139">
        <v>10</v>
      </c>
      <c r="R171" s="107" t="str">
        <f>IF(AllData[[#This Row],[Nitrate (PPM)]]&gt;2, "Very high", IF(AllData[[#This Row],[Nitrate (PPM)]]&gt;1, "High", IF(AllData[[#This Row],[Nitrate (PPM)]]&gt;0.5, "Some evidence", IF(AllData[[#This Row],[Nitrate (PPM)]]&gt;=0, "No evidence"))))</f>
        <v>Very high</v>
      </c>
      <c r="S171" s="139">
        <v>0.45</v>
      </c>
      <c r="T171" s="7" t="str">
        <f>IF(AllData[[#This Row],[Phosphate (PPM)]]&gt;0.5, "Very high", IF(AllData[[#This Row],[Phosphate (PPM)]]&gt;0.1, "High", IF(AllData[[#This Row],[Phosphate (PPM)]]&gt;0.05, "Some evidence", IF(AllData[[#This Row],[Phosphate (PPM)]]&lt;=0.05, "No Evidence", ""))))</f>
        <v>High</v>
      </c>
      <c r="U171" s="139">
        <v>0.1</v>
      </c>
      <c r="V171" s="139" t="s">
        <v>3274</v>
      </c>
    </row>
    <row r="172" spans="1:22" x14ac:dyDescent="0.35">
      <c r="A172" s="139" t="s">
        <v>3278</v>
      </c>
      <c r="B172" s="146">
        <v>45732</v>
      </c>
      <c r="C172" s="2" t="str" cm="1">
        <f t="array" ref="C1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
        <f>YEAR(AllData[[#This Row],[Date]])</f>
        <v>2025</v>
      </c>
      <c r="E172" s="147">
        <v>0.5</v>
      </c>
      <c r="F172" t="str">
        <f>IF(AND(AllData[[#This Row],[Time]]&lt;0.5, AllData[[#This Row],[Time]]&gt;0.17)=TRUE, "Morning", IF(AND(AllData[[#This Row],[Time]]&lt;0.75, AllData[[#This Row],[Time]]&gt;=0.5)=TRUE, "Afternoon", IF(AND(AllData[[#This Row],[Time]]&lt;1, AllData[[#This Row],[Time]]&gt;=0.75)=TRUE, "Evening", "Night")))</f>
        <v>Afternoon</v>
      </c>
      <c r="G172" t="str">
        <f>_xlfn.XLOOKUP(AllData[[#This Row],[Location Name]], Locations[Location Name],Locations[Group As])</f>
        <v>Avonbank Drive</v>
      </c>
      <c r="H172" t="e" vm="1">
        <f>_xlfn.XLOOKUP(AllData[[#This Row],[Site Name]],LocationsKey[Site Name],LocationsKey[District])</f>
        <v>#VALUE!</v>
      </c>
      <c r="I172" t="e" vm="12">
        <f>_xlfn.XLOOKUP(AllData[[#This Row],[Site Name]],LocationsKey[Site Name],LocationsKey[Town])</f>
        <v>#VALUE!</v>
      </c>
      <c r="J172" t="str">
        <f>_xlfn.XLOOKUP(AllData[[#This Row],[Site Name]],LocationsKey[Site Name], LocationsKey[Waterway])</f>
        <v>Avon</v>
      </c>
      <c r="K172" s="139" t="s">
        <v>2530</v>
      </c>
      <c r="L172" s="139">
        <v>52.178224999999998</v>
      </c>
      <c r="M172" s="156">
        <v>-1.7359629999999999</v>
      </c>
      <c r="N172" s="139" t="s">
        <v>68</v>
      </c>
      <c r="O172" s="139">
        <v>971</v>
      </c>
      <c r="P172" s="139">
        <v>15</v>
      </c>
      <c r="Q172" s="139">
        <v>10</v>
      </c>
      <c r="R172" s="107" t="str">
        <f>IF(AllData[[#This Row],[Nitrate (PPM)]]&gt;2, "Very high", IF(AllData[[#This Row],[Nitrate (PPM)]]&gt;1, "High", IF(AllData[[#This Row],[Nitrate (PPM)]]&gt;0.5, "Some evidence", IF(AllData[[#This Row],[Nitrate (PPM)]]&gt;=0, "No evidence"))))</f>
        <v>Very high</v>
      </c>
      <c r="S172" s="139">
        <v>0.22</v>
      </c>
      <c r="T172" s="7" t="str">
        <f>IF(AllData[[#This Row],[Phosphate (PPM)]]&gt;0.5, "Very high", IF(AllData[[#This Row],[Phosphate (PPM)]]&gt;0.1, "High", IF(AllData[[#This Row],[Phosphate (PPM)]]&gt;0.05, "Some evidence", IF(AllData[[#This Row],[Phosphate (PPM)]]&lt;=0.05, "No Evidence", ""))))</f>
        <v>High</v>
      </c>
      <c r="U172" s="139">
        <v>0.65</v>
      </c>
      <c r="V172" s="139"/>
    </row>
    <row r="173" spans="1:22" x14ac:dyDescent="0.35">
      <c r="A173" s="139" t="s">
        <v>3281</v>
      </c>
      <c r="B173" s="146">
        <v>45732</v>
      </c>
      <c r="C173" s="2" t="str" cm="1">
        <f t="array" ref="C1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
        <f>YEAR(AllData[[#This Row],[Date]])</f>
        <v>2025</v>
      </c>
      <c r="E173" s="147">
        <v>0.60069444444444442</v>
      </c>
      <c r="F173" t="str">
        <f>IF(AND(AllData[[#This Row],[Time]]&lt;0.5, AllData[[#This Row],[Time]]&gt;0.17)=TRUE, "Morning", IF(AND(AllData[[#This Row],[Time]]&lt;0.75, AllData[[#This Row],[Time]]&gt;=0.5)=TRUE, "Afternoon", IF(AND(AllData[[#This Row],[Time]]&lt;1, AllData[[#This Row],[Time]]&gt;=0.75)=TRUE, "Evening", "Night")))</f>
        <v>Afternoon</v>
      </c>
      <c r="G173" t="str">
        <f>_xlfn.XLOOKUP(AllData[[#This Row],[Location Name]], Locations[Location Name],Locations[Group As])</f>
        <v>Site 3  :  Severn Trent Water processing plant outflow</v>
      </c>
      <c r="H173" t="e" vm="1">
        <f>_xlfn.XLOOKUP(AllData[[#This Row],[Site Name]],LocationsKey[Site Name],LocationsKey[District])</f>
        <v>#VALUE!</v>
      </c>
      <c r="I173" t="e" vm="14">
        <f>_xlfn.XLOOKUP(AllData[[#This Row],[Site Name]],LocationsKey[Site Name],LocationsKey[Town])</f>
        <v>#VALUE!</v>
      </c>
      <c r="J173" t="str">
        <f>_xlfn.XLOOKUP(AllData[[#This Row],[Site Name]],LocationsKey[Site Name], LocationsKey[Waterway])</f>
        <v>Fosseway Brook</v>
      </c>
      <c r="K173" s="139" t="s">
        <v>1826</v>
      </c>
      <c r="L173" s="139">
        <v>52.094428000000001</v>
      </c>
      <c r="M173" s="156">
        <v>-1.6759219999999999</v>
      </c>
      <c r="N173" s="139" t="s">
        <v>31</v>
      </c>
      <c r="O173" s="139">
        <v>943</v>
      </c>
      <c r="P173" s="139">
        <v>9.5</v>
      </c>
      <c r="Q173" s="139">
        <v>10</v>
      </c>
      <c r="R173" s="107" t="str">
        <f>IF(AllData[[#This Row],[Nitrate (PPM)]]&gt;2, "Very high", IF(AllData[[#This Row],[Nitrate (PPM)]]&gt;1, "High", IF(AllData[[#This Row],[Nitrate (PPM)]]&gt;0.5, "Some evidence", IF(AllData[[#This Row],[Nitrate (PPM)]]&gt;=0, "No evidence"))))</f>
        <v>Very high</v>
      </c>
      <c r="S173" s="139">
        <v>7.2</v>
      </c>
      <c r="T173" s="7" t="str">
        <f>IF(AllData[[#This Row],[Phosphate (PPM)]]&gt;0.5, "Very high", IF(AllData[[#This Row],[Phosphate (PPM)]]&gt;0.1, "High", IF(AllData[[#This Row],[Phosphate (PPM)]]&gt;0.05, "Some evidence", IF(AllData[[#This Row],[Phosphate (PPM)]]&lt;=0.05, "No Evidence", ""))))</f>
        <v>Very high</v>
      </c>
      <c r="U173" s="139">
        <v>0.3</v>
      </c>
      <c r="V173" s="139"/>
    </row>
    <row r="174" spans="1:22" x14ac:dyDescent="0.35">
      <c r="A174" s="139" t="s">
        <v>3279</v>
      </c>
      <c r="B174" s="146">
        <v>45732</v>
      </c>
      <c r="C174" s="2" t="str" cm="1">
        <f t="array" ref="C1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
        <f>YEAR(AllData[[#This Row],[Date]])</f>
        <v>2025</v>
      </c>
      <c r="E174" s="147">
        <v>0.5</v>
      </c>
      <c r="F174" t="str">
        <f>IF(AND(AllData[[#This Row],[Time]]&lt;0.5, AllData[[#This Row],[Time]]&gt;0.17)=TRUE, "Morning", IF(AND(AllData[[#This Row],[Time]]&lt;0.75, AllData[[#This Row],[Time]]&gt;=0.5)=TRUE, "Afternoon", IF(AND(AllData[[#This Row],[Time]]&lt;1, AllData[[#This Row],[Time]]&gt;=0.75)=TRUE, "Evening", "Night")))</f>
        <v>Afternoon</v>
      </c>
      <c r="G174" t="str">
        <f>_xlfn.XLOOKUP(AllData[[#This Row],[Location Name]], Locations[Location Name],Locations[Group As])</f>
        <v>Pitch 16</v>
      </c>
      <c r="H174" t="e" vm="1">
        <f>_xlfn.XLOOKUP(AllData[[#This Row],[Site Name]],LocationsKey[Site Name],LocationsKey[District])</f>
        <v>#VALUE!</v>
      </c>
      <c r="I174" t="e" vm="12">
        <f>_xlfn.XLOOKUP(AllData[[#This Row],[Site Name]],LocationsKey[Site Name],LocationsKey[Town])</f>
        <v>#VALUE!</v>
      </c>
      <c r="J174" t="str">
        <f>_xlfn.XLOOKUP(AllData[[#This Row],[Site Name]],LocationsKey[Site Name], LocationsKey[Waterway])</f>
        <v>Avon</v>
      </c>
      <c r="K174" s="139" t="s">
        <v>2532</v>
      </c>
      <c r="L174" s="139">
        <v>52.170456000000001</v>
      </c>
      <c r="M174" s="156">
        <v>-1.7595400000000001</v>
      </c>
      <c r="N174" s="139" t="s">
        <v>31</v>
      </c>
      <c r="O174" s="139">
        <v>766</v>
      </c>
      <c r="P174" s="139">
        <v>16.100000000000001</v>
      </c>
      <c r="Q174" s="139">
        <v>10</v>
      </c>
      <c r="R174" s="107" t="str">
        <f>IF(AllData[[#This Row],[Nitrate (PPM)]]&gt;2, "Very high", IF(AllData[[#This Row],[Nitrate (PPM)]]&gt;1, "High", IF(AllData[[#This Row],[Nitrate (PPM)]]&gt;0.5, "Some evidence", IF(AllData[[#This Row],[Nitrate (PPM)]]&gt;=0, "No evidence"))))</f>
        <v>Very high</v>
      </c>
      <c r="S174" s="139">
        <v>0.22</v>
      </c>
      <c r="T174" s="7" t="str">
        <f>IF(AllData[[#This Row],[Phosphate (PPM)]]&gt;0.5, "Very high", IF(AllData[[#This Row],[Phosphate (PPM)]]&gt;0.1, "High", IF(AllData[[#This Row],[Phosphate (PPM)]]&gt;0.05, "Some evidence", IF(AllData[[#This Row],[Phosphate (PPM)]]&lt;=0.05, "No Evidence", ""))))</f>
        <v>High</v>
      </c>
      <c r="U174" s="139">
        <v>0.65</v>
      </c>
      <c r="V174" s="139"/>
    </row>
    <row r="175" spans="1:22" x14ac:dyDescent="0.35">
      <c r="A175" s="139" t="s">
        <v>3282</v>
      </c>
      <c r="B175" s="146">
        <v>45732</v>
      </c>
      <c r="C175" s="2" t="str" cm="1">
        <f t="array" ref="C1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
        <f>YEAR(AllData[[#This Row],[Date]])</f>
        <v>2025</v>
      </c>
      <c r="E175" s="147">
        <v>0.60624999999999996</v>
      </c>
      <c r="F175" t="str">
        <f>IF(AND(AllData[[#This Row],[Time]]&lt;0.5, AllData[[#This Row],[Time]]&gt;0.17)=TRUE, "Morning", IF(AND(AllData[[#This Row],[Time]]&lt;0.75, AllData[[#This Row],[Time]]&gt;=0.5)=TRUE, "Afternoon", IF(AND(AllData[[#This Row],[Time]]&lt;1, AllData[[#This Row],[Time]]&gt;=0.75)=TRUE, "Evening", "Night")))</f>
        <v>Afternoon</v>
      </c>
      <c r="G175" t="str">
        <f>_xlfn.XLOOKUP(AllData[[#This Row],[Location Name]], Locations[Location Name],Locations[Group As])</f>
        <v>Site 4 : Heath Gate Ilmington</v>
      </c>
      <c r="H175" t="e" vm="1">
        <f>_xlfn.XLOOKUP(AllData[[#This Row],[Site Name]],LocationsKey[Site Name],LocationsKey[District])</f>
        <v>#VALUE!</v>
      </c>
      <c r="I175" t="e" vm="14">
        <f>_xlfn.XLOOKUP(AllData[[#This Row],[Site Name]],LocationsKey[Site Name],LocationsKey[Town])</f>
        <v>#VALUE!</v>
      </c>
      <c r="J175" t="str">
        <f>_xlfn.XLOOKUP(AllData[[#This Row],[Site Name]],LocationsKey[Site Name], LocationsKey[Waterway])</f>
        <v>Fosseway Brook</v>
      </c>
      <c r="K175" s="139" t="s">
        <v>3072</v>
      </c>
      <c r="L175" s="139">
        <v>52.094738</v>
      </c>
      <c r="M175" s="156">
        <v>-1.67404</v>
      </c>
      <c r="N175" s="139" t="s">
        <v>31</v>
      </c>
      <c r="O175" s="139">
        <v>861</v>
      </c>
      <c r="P175" s="139">
        <v>8.3000000000000007</v>
      </c>
      <c r="Q175" s="139">
        <v>5</v>
      </c>
      <c r="R175" s="107" t="str">
        <f>IF(AllData[[#This Row],[Nitrate (PPM)]]&gt;2, "Very high", IF(AllData[[#This Row],[Nitrate (PPM)]]&gt;1, "High", IF(AllData[[#This Row],[Nitrate (PPM)]]&gt;0.5, "Some evidence", IF(AllData[[#This Row],[Nitrate (PPM)]]&gt;=0, "No evidence"))))</f>
        <v>Very high</v>
      </c>
      <c r="S175" s="139">
        <v>4.5999999999999996</v>
      </c>
      <c r="T175" s="7" t="str">
        <f>IF(AllData[[#This Row],[Phosphate (PPM)]]&gt;0.5, "Very high", IF(AllData[[#This Row],[Phosphate (PPM)]]&gt;0.1, "High", IF(AllData[[#This Row],[Phosphate (PPM)]]&gt;0.05, "Some evidence", IF(AllData[[#This Row],[Phosphate (PPM)]]&lt;=0.05, "No Evidence", ""))))</f>
        <v>Very high</v>
      </c>
      <c r="U175" s="139">
        <v>0.4</v>
      </c>
      <c r="V175" s="139"/>
    </row>
    <row r="176" spans="1:22" x14ac:dyDescent="0.35">
      <c r="A176" s="139" t="s">
        <v>3275</v>
      </c>
      <c r="B176" s="146">
        <v>45732</v>
      </c>
      <c r="C176" s="2" t="str" cm="1">
        <f t="array" ref="C1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
        <f>YEAR(AllData[[#This Row],[Date]])</f>
        <v>2025</v>
      </c>
      <c r="E176" s="147">
        <v>0.3125</v>
      </c>
      <c r="F176" t="str">
        <f>IF(AND(AllData[[#This Row],[Time]]&lt;0.5, AllData[[#This Row],[Time]]&gt;0.17)=TRUE, "Morning", IF(AND(AllData[[#This Row],[Time]]&lt;0.75, AllData[[#This Row],[Time]]&gt;=0.5)=TRUE, "Afternoon", IF(AND(AllData[[#This Row],[Time]]&lt;1, AllData[[#This Row],[Time]]&gt;=0.75)=TRUE, "Evening", "Night")))</f>
        <v>Morning</v>
      </c>
      <c r="G176" t="str">
        <f>_xlfn.XLOOKUP(AllData[[#This Row],[Location Name]], Locations[Location Name],Locations[Group As])</f>
        <v>Bell Brook 1</v>
      </c>
      <c r="H176" t="e" vm="1">
        <f>_xlfn.XLOOKUP(AllData[[#This Row],[Site Name]],LocationsKey[Site Name],LocationsKey[District])</f>
        <v>#VALUE!</v>
      </c>
      <c r="I176" t="e" vm="19">
        <f>_xlfn.XLOOKUP(AllData[[#This Row],[Site Name]],LocationsKey[Site Name],LocationsKey[Town])</f>
        <v>#VALUE!</v>
      </c>
      <c r="J176" t="str">
        <f>_xlfn.XLOOKUP(AllData[[#This Row],[Site Name]],LocationsKey[Site Name], LocationsKey[Waterway])</f>
        <v>Bell Brook</v>
      </c>
      <c r="K176" s="139" t="s">
        <v>3000</v>
      </c>
      <c r="L176" s="139"/>
      <c r="M176" s="156"/>
      <c r="N176" s="139"/>
      <c r="O176" s="139">
        <v>852</v>
      </c>
      <c r="P176" s="139">
        <v>4.5999999999999996</v>
      </c>
      <c r="Q176" s="139">
        <v>5</v>
      </c>
      <c r="R176" s="107" t="str">
        <f>IF(AllData[[#This Row],[Nitrate (PPM)]]&gt;2, "Very high", IF(AllData[[#This Row],[Nitrate (PPM)]]&gt;1, "High", IF(AllData[[#This Row],[Nitrate (PPM)]]&gt;0.5, "Some evidence", IF(AllData[[#This Row],[Nitrate (PPM)]]&gt;=0, "No evidence"))))</f>
        <v>Very high</v>
      </c>
      <c r="S176" s="139">
        <v>0.51</v>
      </c>
      <c r="T176" s="7" t="str">
        <f>IF(AllData[[#This Row],[Phosphate (PPM)]]&gt;0.5, "Very high", IF(AllData[[#This Row],[Phosphate (PPM)]]&gt;0.1, "High", IF(AllData[[#This Row],[Phosphate (PPM)]]&gt;0.05, "Some evidence", IF(AllData[[#This Row],[Phosphate (PPM)]]&lt;=0.05, "No Evidence", ""))))</f>
        <v>Very high</v>
      </c>
      <c r="U176" s="139">
        <v>0.1</v>
      </c>
      <c r="V176" s="139" t="s">
        <v>3274</v>
      </c>
    </row>
    <row r="177" spans="1:22" x14ac:dyDescent="0.35">
      <c r="A177" s="139" t="s">
        <v>3276</v>
      </c>
      <c r="B177" s="146">
        <v>45732</v>
      </c>
      <c r="C177" s="2" t="str" cm="1">
        <f t="array" ref="C1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
        <f>YEAR(AllData[[#This Row],[Date]])</f>
        <v>2025</v>
      </c>
      <c r="E177" s="147">
        <v>0.40555555555555556</v>
      </c>
      <c r="F177" t="str">
        <f>IF(AND(AllData[[#This Row],[Time]]&lt;0.5, AllData[[#This Row],[Time]]&gt;0.17)=TRUE, "Morning", IF(AND(AllData[[#This Row],[Time]]&lt;0.75, AllData[[#This Row],[Time]]&gt;=0.5)=TRUE, "Afternoon", IF(AND(AllData[[#This Row],[Time]]&lt;1, AllData[[#This Row],[Time]]&gt;=0.75)=TRUE, "Evening", "Night")))</f>
        <v>Morning</v>
      </c>
      <c r="G177" t="str">
        <f>_xlfn.XLOOKUP(AllData[[#This Row],[Location Name]], Locations[Location Name],Locations[Group As])</f>
        <v>R.Stowe - Lower Fields Farm, Old Brickyard Lane</v>
      </c>
      <c r="H177" t="e" vm="1">
        <f>_xlfn.XLOOKUP(AllData[[#This Row],[Site Name]],LocationsKey[Site Name],LocationsKey[District])</f>
        <v>#VALUE!</v>
      </c>
      <c r="I177" t="e" vm="17">
        <f>_xlfn.XLOOKUP(AllData[[#This Row],[Site Name]],LocationsKey[Site Name],LocationsKey[Town])</f>
        <v>#VALUE!</v>
      </c>
      <c r="J177" t="str">
        <f>_xlfn.XLOOKUP(AllData[[#This Row],[Site Name]],LocationsKey[Site Name], LocationsKey[Waterway])</f>
        <v>Stowe</v>
      </c>
      <c r="K177" s="139" t="s">
        <v>2892</v>
      </c>
      <c r="L177" s="139">
        <v>52.242694999999998</v>
      </c>
      <c r="M177" s="156">
        <v>-1.346068</v>
      </c>
      <c r="N177" s="139" t="s">
        <v>31</v>
      </c>
      <c r="O177" s="139">
        <v>817</v>
      </c>
      <c r="P177" s="139">
        <v>7.8</v>
      </c>
      <c r="Q177" s="139">
        <v>5</v>
      </c>
      <c r="R177" s="107" t="str">
        <f>IF(AllData[[#This Row],[Nitrate (PPM)]]&gt;2, "Very high", IF(AllData[[#This Row],[Nitrate (PPM)]]&gt;1, "High", IF(AllData[[#This Row],[Nitrate (PPM)]]&gt;0.5, "Some evidence", IF(AllData[[#This Row],[Nitrate (PPM)]]&gt;=0, "No evidence"))))</f>
        <v>Very high</v>
      </c>
      <c r="S177" s="139">
        <v>0.55000000000000004</v>
      </c>
      <c r="T177" s="7" t="str">
        <f>IF(AllData[[#This Row],[Phosphate (PPM)]]&gt;0.5, "Very high", IF(AllData[[#This Row],[Phosphate (PPM)]]&gt;0.1, "High", IF(AllData[[#This Row],[Phosphate (PPM)]]&gt;0.05, "Some evidence", IF(AllData[[#This Row],[Phosphate (PPM)]]&lt;=0.05, "No Evidence", ""))))</f>
        <v>Very high</v>
      </c>
      <c r="U177" s="139">
        <v>0.18</v>
      </c>
      <c r="V177" s="139" t="s">
        <v>3277</v>
      </c>
    </row>
    <row r="178" spans="1:22" x14ac:dyDescent="0.35">
      <c r="A178" s="139" t="s">
        <v>3280</v>
      </c>
      <c r="B178" s="146">
        <v>45732</v>
      </c>
      <c r="C178" s="2" t="str" cm="1">
        <f t="array" ref="C1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
        <f>YEAR(AllData[[#This Row],[Date]])</f>
        <v>2025</v>
      </c>
      <c r="E178" s="147">
        <v>0.59375</v>
      </c>
      <c r="F178" t="str">
        <f>IF(AND(AllData[[#This Row],[Time]]&lt;0.5, AllData[[#This Row],[Time]]&gt;0.17)=TRUE, "Morning", IF(AND(AllData[[#This Row],[Time]]&lt;0.75, AllData[[#This Row],[Time]]&gt;=0.5)=TRUE, "Afternoon", IF(AND(AllData[[#This Row],[Time]]&lt;1, AllData[[#This Row],[Time]]&gt;=0.75)=TRUE, "Evening", "Night")))</f>
        <v>Afternoon</v>
      </c>
      <c r="G178" t="str">
        <f>_xlfn.XLOOKUP(AllData[[#This Row],[Location Name]], Locations[Location Name],Locations[Group As])</f>
        <v>Site 1  :  Middle Street</v>
      </c>
      <c r="H178" t="e" vm="1">
        <f>_xlfn.XLOOKUP(AllData[[#This Row],[Site Name]],LocationsKey[Site Name],LocationsKey[District])</f>
        <v>#VALUE!</v>
      </c>
      <c r="I178" t="e" vm="14">
        <f>_xlfn.XLOOKUP(AllData[[#This Row],[Site Name]],LocationsKey[Site Name],LocationsKey[Town])</f>
        <v>#VALUE!</v>
      </c>
      <c r="J178" t="str">
        <f>_xlfn.XLOOKUP(AllData[[#This Row],[Site Name]],LocationsKey[Site Name], LocationsKey[Waterway])</f>
        <v>Fosseway Brook</v>
      </c>
      <c r="K178" s="139" t="s">
        <v>678</v>
      </c>
      <c r="L178" s="139">
        <v>52.090085999999999</v>
      </c>
      <c r="M178" s="156">
        <v>-1.6927099999999999</v>
      </c>
      <c r="N178" s="139" t="s">
        <v>68</v>
      </c>
      <c r="O178" s="139">
        <v>631</v>
      </c>
      <c r="P178" s="139">
        <v>9.1</v>
      </c>
      <c r="Q178" s="139">
        <v>2</v>
      </c>
      <c r="R178" s="107" t="str">
        <f>IF(AllData[[#This Row],[Nitrate (PPM)]]&gt;2, "Very high", IF(AllData[[#This Row],[Nitrate (PPM)]]&gt;1, "High", IF(AllData[[#This Row],[Nitrate (PPM)]]&gt;0.5, "Some evidence", IF(AllData[[#This Row],[Nitrate (PPM)]]&gt;=0, "No evidence"))))</f>
        <v>High</v>
      </c>
      <c r="S178" s="139">
        <v>0.11</v>
      </c>
      <c r="T178" s="7" t="str">
        <f>IF(AllData[[#This Row],[Phosphate (PPM)]]&gt;0.5, "Very high", IF(AllData[[#This Row],[Phosphate (PPM)]]&gt;0.1, "High", IF(AllData[[#This Row],[Phosphate (PPM)]]&gt;0.05, "Some evidence", IF(AllData[[#This Row],[Phosphate (PPM)]]&lt;=0.05, "No Evidence", ""))))</f>
        <v>High</v>
      </c>
      <c r="U178" s="139">
        <v>0.1</v>
      </c>
      <c r="V178" s="139"/>
    </row>
    <row r="179" spans="1:22" x14ac:dyDescent="0.35">
      <c r="A179" s="139" t="s">
        <v>3272</v>
      </c>
      <c r="B179" s="146">
        <v>45731</v>
      </c>
      <c r="C179" s="2" t="str" cm="1">
        <f t="array" ref="C1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
        <f>YEAR(AllData[[#This Row],[Date]])</f>
        <v>2025</v>
      </c>
      <c r="E179" s="147">
        <v>0.54305555555555551</v>
      </c>
      <c r="F179" t="str">
        <f>IF(AND(AllData[[#This Row],[Time]]&lt;0.5, AllData[[#This Row],[Time]]&gt;0.17)=TRUE, "Morning", IF(AND(AllData[[#This Row],[Time]]&lt;0.75, AllData[[#This Row],[Time]]&gt;=0.5)=TRUE, "Afternoon", IF(AND(AllData[[#This Row],[Time]]&lt;1, AllData[[#This Row],[Time]]&gt;=0.75)=TRUE, "Evening", "Night")))</f>
        <v>Afternoon</v>
      </c>
      <c r="G179" t="str">
        <f>_xlfn.XLOOKUP(AllData[[#This Row],[Location Name]], Locations[Location Name],Locations[Group As])</f>
        <v>The Ford, Langley</v>
      </c>
      <c r="H179" t="e" vm="1">
        <f>_xlfn.XLOOKUP(AllData[[#This Row],[Site Name]],LocationsKey[Site Name],LocationsKey[District])</f>
        <v>#VALUE!</v>
      </c>
      <c r="I179" t="str">
        <f>_xlfn.XLOOKUP(AllData[[#This Row],[Site Name]],LocationsKey[Site Name],LocationsKey[Town])</f>
        <v>Langley</v>
      </c>
      <c r="J179" t="str">
        <f>_xlfn.XLOOKUP(AllData[[#This Row],[Site Name]],LocationsKey[Site Name], LocationsKey[Waterway])</f>
        <v>Langley Ford</v>
      </c>
      <c r="K179" s="139" t="s">
        <v>3092</v>
      </c>
      <c r="L179" s="139">
        <v>52.268962000000002</v>
      </c>
      <c r="M179" s="156">
        <v>-1.7233670000000001</v>
      </c>
      <c r="N179" s="139" t="s">
        <v>31</v>
      </c>
      <c r="O179" s="139">
        <v>803</v>
      </c>
      <c r="P179" s="139">
        <v>6.9</v>
      </c>
      <c r="Q179" s="139">
        <v>10</v>
      </c>
      <c r="R179" s="107" t="str">
        <f>IF(AllData[[#This Row],[Nitrate (PPM)]]&gt;2, "Very high", IF(AllData[[#This Row],[Nitrate (PPM)]]&gt;1, "High", IF(AllData[[#This Row],[Nitrate (PPM)]]&gt;0.5, "Some evidence", IF(AllData[[#This Row],[Nitrate (PPM)]]&gt;=0, "No evidence"))))</f>
        <v>Very high</v>
      </c>
      <c r="S179" s="139">
        <v>0.43</v>
      </c>
      <c r="T179" s="7" t="str">
        <f>IF(AllData[[#This Row],[Phosphate (PPM)]]&gt;0.5, "Very high", IF(AllData[[#This Row],[Phosphate (PPM)]]&gt;0.1, "High", IF(AllData[[#This Row],[Phosphate (PPM)]]&gt;0.05, "Some evidence", IF(AllData[[#This Row],[Phosphate (PPM)]]&lt;=0.05, "No Evidence", ""))))</f>
        <v>High</v>
      </c>
      <c r="U179" s="139">
        <v>0.3</v>
      </c>
      <c r="V179" s="139"/>
    </row>
    <row r="180" spans="1:22" x14ac:dyDescent="0.35">
      <c r="A180" s="139" t="s">
        <v>3269</v>
      </c>
      <c r="B180" s="146">
        <v>45731</v>
      </c>
      <c r="C180" s="2" t="str" cm="1">
        <f t="array" ref="C1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
        <f>YEAR(AllData[[#This Row],[Date]])</f>
        <v>2025</v>
      </c>
      <c r="E180" s="147">
        <v>0.46527777777777779</v>
      </c>
      <c r="F180" t="str">
        <f>IF(AND(AllData[[#This Row],[Time]]&lt;0.5, AllData[[#This Row],[Time]]&gt;0.17)=TRUE, "Morning", IF(AND(AllData[[#This Row],[Time]]&lt;0.75, AllData[[#This Row],[Time]]&gt;=0.5)=TRUE, "Afternoon", IF(AND(AllData[[#This Row],[Time]]&lt;1, AllData[[#This Row],[Time]]&gt;=0.75)=TRUE, "Evening", "Night")))</f>
        <v>Morning</v>
      </c>
      <c r="G180" t="str">
        <f>_xlfn.XLOOKUP(AllData[[#This Row],[Location Name]], Locations[Location Name],Locations[Group As])</f>
        <v>Piddle Brook Wyre Piddle Bridge</v>
      </c>
      <c r="H180" t="e" vm="6">
        <f>_xlfn.XLOOKUP(AllData[[#This Row],[Site Name]],LocationsKey[Site Name],LocationsKey[District])</f>
        <v>#VALUE!</v>
      </c>
      <c r="I180" t="e" vm="13">
        <f>_xlfn.XLOOKUP(AllData[[#This Row],[Site Name]],LocationsKey[Site Name],LocationsKey[Town])</f>
        <v>#VALUE!</v>
      </c>
      <c r="J180" t="str">
        <f>_xlfn.XLOOKUP(AllData[[#This Row],[Site Name]],LocationsKey[Site Name], LocationsKey[Waterway])</f>
        <v>Piddle Brook</v>
      </c>
      <c r="K180" s="139" t="s">
        <v>787</v>
      </c>
      <c r="L180" s="139">
        <v>52.126375000000003</v>
      </c>
      <c r="M180" s="156">
        <v>-2.0565349999999998</v>
      </c>
      <c r="N180" s="139" t="s">
        <v>34</v>
      </c>
      <c r="O180" s="139">
        <v>1440</v>
      </c>
      <c r="P180" s="139">
        <v>6.6</v>
      </c>
      <c r="Q180" s="139">
        <v>5</v>
      </c>
      <c r="R180" s="107" t="str">
        <f>IF(AllData[[#This Row],[Nitrate (PPM)]]&gt;2, "Very high", IF(AllData[[#This Row],[Nitrate (PPM)]]&gt;1, "High", IF(AllData[[#This Row],[Nitrate (PPM)]]&gt;0.5, "Some evidence", IF(AllData[[#This Row],[Nitrate (PPM)]]&gt;=0, "No evidence"))))</f>
        <v>Very high</v>
      </c>
      <c r="S180" s="139">
        <v>0.54</v>
      </c>
      <c r="T180" s="7" t="str">
        <f>IF(AllData[[#This Row],[Phosphate (PPM)]]&gt;0.5, "Very high", IF(AllData[[#This Row],[Phosphate (PPM)]]&gt;0.1, "High", IF(AllData[[#This Row],[Phosphate (PPM)]]&gt;0.05, "Some evidence", IF(AllData[[#This Row],[Phosphate (PPM)]]&lt;=0.05, "No Evidence", ""))))</f>
        <v>Very high</v>
      </c>
      <c r="U180" s="139">
        <v>0.23</v>
      </c>
      <c r="V180" s="139" t="s">
        <v>3270</v>
      </c>
    </row>
    <row r="181" spans="1:22" x14ac:dyDescent="0.35">
      <c r="A181" s="139" t="s">
        <v>3267</v>
      </c>
      <c r="B181" s="146">
        <v>45731</v>
      </c>
      <c r="C181" s="2" t="str" cm="1">
        <f t="array" ref="C1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
        <f>YEAR(AllData[[#This Row],[Date]])</f>
        <v>2025</v>
      </c>
      <c r="E181" s="147">
        <v>0.43194444444444446</v>
      </c>
      <c r="F181" t="str">
        <f>IF(AND(AllData[[#This Row],[Time]]&lt;0.5, AllData[[#This Row],[Time]]&gt;0.17)=TRUE, "Morning", IF(AND(AllData[[#This Row],[Time]]&lt;0.75, AllData[[#This Row],[Time]]&gt;=0.5)=TRUE, "Afternoon", IF(AND(AllData[[#This Row],[Time]]&lt;1, AllData[[#This Row],[Time]]&gt;=0.75)=TRUE, "Evening", "Night")))</f>
        <v>Morning</v>
      </c>
      <c r="G181" t="str">
        <f>_xlfn.XLOOKUP(AllData[[#This Row],[Location Name]], Locations[Location Name],Locations[Group As])</f>
        <v>Avon Smiths Meadow Wyre Piddle</v>
      </c>
      <c r="H181" t="e" vm="6">
        <f>_xlfn.XLOOKUP(AllData[[#This Row],[Site Name]],LocationsKey[Site Name],LocationsKey[District])</f>
        <v>#VALUE!</v>
      </c>
      <c r="I181" t="e" vm="13">
        <f>_xlfn.XLOOKUP(AllData[[#This Row],[Site Name]],LocationsKey[Site Name],LocationsKey[Town])</f>
        <v>#VALUE!</v>
      </c>
      <c r="J181" t="str">
        <f>_xlfn.XLOOKUP(AllData[[#This Row],[Site Name]],LocationsKey[Site Name], LocationsKey[Waterway])</f>
        <v>Avon</v>
      </c>
      <c r="K181" s="139" t="s">
        <v>784</v>
      </c>
      <c r="L181" s="139">
        <v>52.122894000000002</v>
      </c>
      <c r="M181" s="156">
        <v>-2.057464</v>
      </c>
      <c r="N181" s="139" t="s">
        <v>34</v>
      </c>
      <c r="O181" s="139">
        <v>842</v>
      </c>
      <c r="P181" s="139">
        <v>8</v>
      </c>
      <c r="Q181" s="139">
        <v>5</v>
      </c>
      <c r="R181" s="107" t="str">
        <f>IF(AllData[[#This Row],[Nitrate (PPM)]]&gt;2, "Very high", IF(AllData[[#This Row],[Nitrate (PPM)]]&gt;1, "High", IF(AllData[[#This Row],[Nitrate (PPM)]]&gt;0.5, "Some evidence", IF(AllData[[#This Row],[Nitrate (PPM)]]&gt;=0, "No evidence"))))</f>
        <v>Very high</v>
      </c>
      <c r="S181" s="139">
        <v>0.52</v>
      </c>
      <c r="T181" s="7" t="str">
        <f>IF(AllData[[#This Row],[Phosphate (PPM)]]&gt;0.5, "Very high", IF(AllData[[#This Row],[Phosphate (PPM)]]&gt;0.1, "High", IF(AllData[[#This Row],[Phosphate (PPM)]]&gt;0.05, "Some evidence", IF(AllData[[#This Row],[Phosphate (PPM)]]&lt;=0.05, "No Evidence", ""))))</f>
        <v>Very high</v>
      </c>
      <c r="U181" s="139">
        <v>0.59</v>
      </c>
      <c r="V181" s="139" t="s">
        <v>3268</v>
      </c>
    </row>
    <row r="182" spans="1:22" x14ac:dyDescent="0.35">
      <c r="A182" s="139" t="s">
        <v>3271</v>
      </c>
      <c r="B182" s="146">
        <v>45731</v>
      </c>
      <c r="C182" s="2" t="str" cm="1">
        <f t="array" ref="C1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
        <f>YEAR(AllData[[#This Row],[Date]])</f>
        <v>2025</v>
      </c>
      <c r="E182" s="147">
        <v>0.5</v>
      </c>
      <c r="F182" t="str">
        <f>IF(AND(AllData[[#This Row],[Time]]&lt;0.5, AllData[[#This Row],[Time]]&gt;0.17)=TRUE, "Morning", IF(AND(AllData[[#This Row],[Time]]&lt;0.75, AllData[[#This Row],[Time]]&gt;=0.5)=TRUE, "Afternoon", IF(AND(AllData[[#This Row],[Time]]&lt;1, AllData[[#This Row],[Time]]&gt;=0.75)=TRUE, "Evening", "Night")))</f>
        <v>Afternoon</v>
      </c>
      <c r="G182" t="str">
        <f>_xlfn.XLOOKUP(AllData[[#This Row],[Location Name]], Locations[Location Name],Locations[Group As])</f>
        <v>Carrant Bredon Rd</v>
      </c>
      <c r="H182" t="e" vm="4">
        <f>_xlfn.XLOOKUP(AllData[[#This Row],[Site Name]],LocationsKey[Site Name],LocationsKey[District])</f>
        <v>#VALUE!</v>
      </c>
      <c r="I182" t="e" vm="4">
        <f>_xlfn.XLOOKUP(AllData[[#This Row],[Site Name]],LocationsKey[Site Name],LocationsKey[Town])</f>
        <v>#VALUE!</v>
      </c>
      <c r="J182" t="str">
        <f>_xlfn.XLOOKUP(AllData[[#This Row],[Site Name]],LocationsKey[Site Name], LocationsKey[Waterway])</f>
        <v>Carrant</v>
      </c>
      <c r="K182" s="139" t="s">
        <v>603</v>
      </c>
      <c r="L182" s="139">
        <v>51.996119</v>
      </c>
      <c r="M182" s="156">
        <v>-2.1557900000000001</v>
      </c>
      <c r="N182" s="139" t="s">
        <v>25</v>
      </c>
      <c r="O182" s="139">
        <v>773</v>
      </c>
      <c r="P182" s="139">
        <v>8.4</v>
      </c>
      <c r="Q182" s="139">
        <v>4</v>
      </c>
      <c r="R182" s="107" t="str">
        <f>IF(AllData[[#This Row],[Nitrate (PPM)]]&gt;2, "Very high", IF(AllData[[#This Row],[Nitrate (PPM)]]&gt;1, "High", IF(AllData[[#This Row],[Nitrate (PPM)]]&gt;0.5, "Some evidence", IF(AllData[[#This Row],[Nitrate (PPM)]]&gt;=0, "No evidence"))))</f>
        <v>Very high</v>
      </c>
      <c r="S182" s="139">
        <v>0.27</v>
      </c>
      <c r="T182" s="7" t="str">
        <f>IF(AllData[[#This Row],[Phosphate (PPM)]]&gt;0.5, "Very high", IF(AllData[[#This Row],[Phosphate (PPM)]]&gt;0.1, "High", IF(AllData[[#This Row],[Phosphate (PPM)]]&gt;0.05, "Some evidence", IF(AllData[[#This Row],[Phosphate (PPM)]]&lt;=0.05, "No Evidence", ""))))</f>
        <v>High</v>
      </c>
      <c r="U182" s="139">
        <v>0.15</v>
      </c>
      <c r="V182" s="139"/>
    </row>
    <row r="183" spans="1:22" x14ac:dyDescent="0.35">
      <c r="A183" s="139" t="s">
        <v>3265</v>
      </c>
      <c r="B183" s="146">
        <v>45730</v>
      </c>
      <c r="C183" s="2" t="str" cm="1">
        <f t="array" ref="C1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
        <f>YEAR(AllData[[#This Row],[Date]])</f>
        <v>2025</v>
      </c>
      <c r="E183" s="147">
        <v>0.63263888888888886</v>
      </c>
      <c r="F183" t="str">
        <f>IF(AND(AllData[[#This Row],[Time]]&lt;0.5, AllData[[#This Row],[Time]]&gt;0.17)=TRUE, "Morning", IF(AND(AllData[[#This Row],[Time]]&lt;0.75, AllData[[#This Row],[Time]]&gt;=0.5)=TRUE, "Afternoon", IF(AND(AllData[[#This Row],[Time]]&lt;1, AllData[[#This Row],[Time]]&gt;=0.75)=TRUE, "Evening", "Night")))</f>
        <v>Afternoon</v>
      </c>
      <c r="G183" t="str">
        <f>_xlfn.XLOOKUP(AllData[[#This Row],[Location Name]], Locations[Location Name],Locations[Group As])</f>
        <v>Twyning Fleet</v>
      </c>
      <c r="H183" t="e" vm="4">
        <f>_xlfn.XLOOKUP(AllData[[#This Row],[Site Name]],LocationsKey[Site Name],LocationsKey[District])</f>
        <v>#VALUE!</v>
      </c>
      <c r="I183" t="str">
        <f>_xlfn.XLOOKUP(AllData[[#This Row],[Site Name]],LocationsKey[Site Name],LocationsKey[Town])</f>
        <v>Twyning Green</v>
      </c>
      <c r="J183" t="str">
        <f>_xlfn.XLOOKUP(AllData[[#This Row],[Site Name]],LocationsKey[Site Name], LocationsKey[Waterway])</f>
        <v>Avon</v>
      </c>
      <c r="K183" s="139" t="s">
        <v>2117</v>
      </c>
      <c r="L183" s="139">
        <v>52.027234</v>
      </c>
      <c r="M183" s="156">
        <v>-2.1408930000000002</v>
      </c>
      <c r="N183" s="139" t="s">
        <v>31</v>
      </c>
      <c r="O183" s="139">
        <v>918</v>
      </c>
      <c r="P183" s="139">
        <v>8.8000000000000007</v>
      </c>
      <c r="Q183" s="139">
        <v>7</v>
      </c>
      <c r="R183" s="107" t="str">
        <f>IF(AllData[[#This Row],[Nitrate (PPM)]]&gt;2, "Very high", IF(AllData[[#This Row],[Nitrate (PPM)]]&gt;1, "High", IF(AllData[[#This Row],[Nitrate (PPM)]]&gt;0.5, "Some evidence", IF(AllData[[#This Row],[Nitrate (PPM)]]&gt;=0, "No evidence"))))</f>
        <v>Very high</v>
      </c>
      <c r="S183" s="139">
        <v>0.37</v>
      </c>
      <c r="T183" s="7" t="str">
        <f>IF(AllData[[#This Row],[Phosphate (PPM)]]&gt;0.5, "Very high", IF(AllData[[#This Row],[Phosphate (PPM)]]&gt;0.1, "High", IF(AllData[[#This Row],[Phosphate (PPM)]]&gt;0.05, "Some evidence", IF(AllData[[#This Row],[Phosphate (PPM)]]&lt;=0.05, "No Evidence", ""))))</f>
        <v>High</v>
      </c>
      <c r="U183" s="139">
        <v>0</v>
      </c>
      <c r="V183" s="139"/>
    </row>
    <row r="184" spans="1:22" x14ac:dyDescent="0.35">
      <c r="A184" s="139" t="s">
        <v>3266</v>
      </c>
      <c r="B184" s="146">
        <v>45730</v>
      </c>
      <c r="C184" s="2" t="str" cm="1">
        <f t="array" ref="C1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
        <f>YEAR(AllData[[#This Row],[Date]])</f>
        <v>2025</v>
      </c>
      <c r="E184" s="147">
        <v>0.63402777777777775</v>
      </c>
      <c r="F184" t="str">
        <f>IF(AND(AllData[[#This Row],[Time]]&lt;0.5, AllData[[#This Row],[Time]]&gt;0.17)=TRUE, "Morning", IF(AND(AllData[[#This Row],[Time]]&lt;0.75, AllData[[#This Row],[Time]]&gt;=0.5)=TRUE, "Afternoon", IF(AND(AllData[[#This Row],[Time]]&lt;1, AllData[[#This Row],[Time]]&gt;=0.75)=TRUE, "Evening", "Night")))</f>
        <v>Afternoon</v>
      </c>
      <c r="G184" t="str">
        <f>_xlfn.XLOOKUP(AllData[[#This Row],[Location Name]], Locations[Location Name],Locations[Group As])</f>
        <v>Stour Shipston Mill Bridge</v>
      </c>
      <c r="H184" t="e" vm="1">
        <f>_xlfn.XLOOKUP(AllData[[#This Row],[Site Name]],LocationsKey[Site Name],LocationsKey[District])</f>
        <v>#VALUE!</v>
      </c>
      <c r="I184" t="e" vm="15">
        <f>_xlfn.XLOOKUP(AllData[[#This Row],[Site Name]],LocationsKey[Site Name],LocationsKey[Town])</f>
        <v>#VALUE!</v>
      </c>
      <c r="J184" t="str">
        <f>_xlfn.XLOOKUP(AllData[[#This Row],[Site Name]],LocationsKey[Site Name], LocationsKey[Waterway])</f>
        <v>Stour</v>
      </c>
      <c r="K184" s="139" t="s">
        <v>2006</v>
      </c>
      <c r="L184" s="139">
        <v>52.062299000000003</v>
      </c>
      <c r="M184" s="156">
        <v>-1.623122</v>
      </c>
      <c r="N184" s="139"/>
      <c r="O184" s="139">
        <v>6.01</v>
      </c>
      <c r="P184" s="139">
        <v>8.6999999999999993</v>
      </c>
      <c r="Q184" s="139">
        <v>3</v>
      </c>
      <c r="R184" s="107" t="str">
        <f>IF(AllData[[#This Row],[Nitrate (PPM)]]&gt;2, "Very high", IF(AllData[[#This Row],[Nitrate (PPM)]]&gt;1, "High", IF(AllData[[#This Row],[Nitrate (PPM)]]&gt;0.5, "Some evidence", IF(AllData[[#This Row],[Nitrate (PPM)]]&gt;=0, "No evidence"))))</f>
        <v>Very high</v>
      </c>
      <c r="S184" s="139">
        <v>0.24</v>
      </c>
      <c r="T184" s="7" t="str">
        <f>IF(AllData[[#This Row],[Phosphate (PPM)]]&gt;0.5, "Very high", IF(AllData[[#This Row],[Phosphate (PPM)]]&gt;0.1, "High", IF(AllData[[#This Row],[Phosphate (PPM)]]&gt;0.05, "Some evidence", IF(AllData[[#This Row],[Phosphate (PPM)]]&lt;=0.05, "No Evidence", ""))))</f>
        <v>High</v>
      </c>
      <c r="U184" s="139">
        <v>0.49</v>
      </c>
      <c r="V184" s="139" t="s">
        <v>2925</v>
      </c>
    </row>
    <row r="185" spans="1:22" x14ac:dyDescent="0.35">
      <c r="A185" s="139" t="s">
        <v>3261</v>
      </c>
      <c r="B185" s="146">
        <v>45729</v>
      </c>
      <c r="C185" s="2" t="str" cm="1">
        <f t="array" ref="C1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
        <f>YEAR(AllData[[#This Row],[Date]])</f>
        <v>2025</v>
      </c>
      <c r="E185" s="147">
        <v>0.4</v>
      </c>
      <c r="F185" t="str">
        <f>IF(AND(AllData[[#This Row],[Time]]&lt;0.5, AllData[[#This Row],[Time]]&gt;0.17)=TRUE, "Morning", IF(AND(AllData[[#This Row],[Time]]&lt;0.75, AllData[[#This Row],[Time]]&gt;=0.5)=TRUE, "Afternoon", IF(AND(AllData[[#This Row],[Time]]&lt;1, AllData[[#This Row],[Time]]&gt;=0.75)=TRUE, "Evening", "Night")))</f>
        <v>Morning</v>
      </c>
      <c r="G185" t="str">
        <f>_xlfn.XLOOKUP(AllData[[#This Row],[Location Name]], Locations[Location Name],Locations[Group As])</f>
        <v>Carters Lane</v>
      </c>
      <c r="H185" t="e" vm="1">
        <f>_xlfn.XLOOKUP(AllData[[#This Row],[Site Name]],LocationsKey[Site Name],LocationsKey[District])</f>
        <v>#VALUE!</v>
      </c>
      <c r="I185" t="e" vm="3">
        <f>_xlfn.XLOOKUP(AllData[[#This Row],[Site Name]],LocationsKey[Site Name],LocationsKey[Town])</f>
        <v>#VALUE!</v>
      </c>
      <c r="J185" t="str">
        <f>_xlfn.XLOOKUP(AllData[[#This Row],[Site Name]],LocationsKey[Site Name], LocationsKey[Waterway])</f>
        <v>Avon</v>
      </c>
      <c r="K185" s="139" t="s">
        <v>2250</v>
      </c>
      <c r="L185" s="139">
        <v>52.201847000000001</v>
      </c>
      <c r="M185" s="156">
        <v>-1.6728099999999999</v>
      </c>
      <c r="N185" s="139" t="s">
        <v>68</v>
      </c>
      <c r="O185" s="139">
        <v>861</v>
      </c>
      <c r="P185" s="139">
        <v>9</v>
      </c>
      <c r="Q185" s="139">
        <v>10</v>
      </c>
      <c r="R185" s="107" t="str">
        <f>IF(AllData[[#This Row],[Nitrate (PPM)]]&gt;2, "Very high", IF(AllData[[#This Row],[Nitrate (PPM)]]&gt;1, "High", IF(AllData[[#This Row],[Nitrate (PPM)]]&gt;0.5, "Some evidence", IF(AllData[[#This Row],[Nitrate (PPM)]]&gt;=0, "No evidence"))))</f>
        <v>Very high</v>
      </c>
      <c r="S185" s="139">
        <v>0.53</v>
      </c>
      <c r="T185" s="7" t="str">
        <f>IF(AllData[[#This Row],[Phosphate (PPM)]]&gt;0.5, "Very high", IF(AllData[[#This Row],[Phosphate (PPM)]]&gt;0.1, "High", IF(AllData[[#This Row],[Phosphate (PPM)]]&gt;0.05, "Some evidence", IF(AllData[[#This Row],[Phosphate (PPM)]]&lt;=0.05, "No Evidence", ""))))</f>
        <v>Very high</v>
      </c>
      <c r="U185" s="139">
        <v>0.66</v>
      </c>
      <c r="V185" s="139"/>
    </row>
    <row r="186" spans="1:22" x14ac:dyDescent="0.35">
      <c r="A186" s="139" t="s">
        <v>3262</v>
      </c>
      <c r="B186" s="146">
        <v>45729</v>
      </c>
      <c r="C186" s="2" t="str" cm="1">
        <f t="array" ref="C1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
        <f>YEAR(AllData[[#This Row],[Date]])</f>
        <v>2025</v>
      </c>
      <c r="E186" s="147">
        <v>0.40069444444444446</v>
      </c>
      <c r="F186" t="str">
        <f>IF(AND(AllData[[#This Row],[Time]]&lt;0.5, AllData[[#This Row],[Time]]&gt;0.17)=TRUE, "Morning", IF(AND(AllData[[#This Row],[Time]]&lt;0.75, AllData[[#This Row],[Time]]&gt;=0.5)=TRUE, "Afternoon", IF(AND(AllData[[#This Row],[Time]]&lt;1, AllData[[#This Row],[Time]]&gt;=0.75)=TRUE, "Evening", "Night")))</f>
        <v>Morning</v>
      </c>
      <c r="G186" t="str">
        <f>_xlfn.XLOOKUP(AllData[[#This Row],[Location Name]], Locations[Location Name],Locations[Group As])</f>
        <v>School Lane</v>
      </c>
      <c r="H186" t="e" vm="1">
        <f>_xlfn.XLOOKUP(AllData[[#This Row],[Site Name]],LocationsKey[Site Name],LocationsKey[District])</f>
        <v>#VALUE!</v>
      </c>
      <c r="I186" t="e" vm="3">
        <f>_xlfn.XLOOKUP(AllData[[#This Row],[Site Name]],LocationsKey[Site Name],LocationsKey[Town])</f>
        <v>#VALUE!</v>
      </c>
      <c r="J186" t="str">
        <f>_xlfn.XLOOKUP(AllData[[#This Row],[Site Name]],LocationsKey[Site Name], LocationsKey[Waterway])</f>
        <v>Avon</v>
      </c>
      <c r="K186" s="139" t="s">
        <v>2252</v>
      </c>
      <c r="L186" s="139">
        <v>52.201883000000002</v>
      </c>
      <c r="M186" s="156">
        <v>-1.672836</v>
      </c>
      <c r="N186" s="139" t="s">
        <v>31</v>
      </c>
      <c r="O186" s="139">
        <v>860</v>
      </c>
      <c r="P186" s="139">
        <v>8.6</v>
      </c>
      <c r="Q186" s="139">
        <v>10</v>
      </c>
      <c r="R186" s="107" t="str">
        <f>IF(AllData[[#This Row],[Nitrate (PPM)]]&gt;2, "Very high", IF(AllData[[#This Row],[Nitrate (PPM)]]&gt;1, "High", IF(AllData[[#This Row],[Nitrate (PPM)]]&gt;0.5, "Some evidence", IF(AllData[[#This Row],[Nitrate (PPM)]]&gt;=0, "No evidence"))))</f>
        <v>Very high</v>
      </c>
      <c r="S186" s="139">
        <v>0.51</v>
      </c>
      <c r="T186" s="7" t="str">
        <f>IF(AllData[[#This Row],[Phosphate (PPM)]]&gt;0.5, "Very high", IF(AllData[[#This Row],[Phosphate (PPM)]]&gt;0.1, "High", IF(AllData[[#This Row],[Phosphate (PPM)]]&gt;0.05, "Some evidence", IF(AllData[[#This Row],[Phosphate (PPM)]]&lt;=0.05, "No Evidence", ""))))</f>
        <v>Very high</v>
      </c>
      <c r="U186" s="139">
        <v>0.66</v>
      </c>
      <c r="V186" s="139"/>
    </row>
    <row r="187" spans="1:22" x14ac:dyDescent="0.35">
      <c r="A187" s="139" t="s">
        <v>3264</v>
      </c>
      <c r="B187" s="146">
        <v>45729</v>
      </c>
      <c r="C187" s="2" t="str" cm="1">
        <f t="array" ref="C1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
        <f>YEAR(AllData[[#This Row],[Date]])</f>
        <v>2025</v>
      </c>
      <c r="E187" s="147">
        <v>0.46527777777777779</v>
      </c>
      <c r="F187" t="str">
        <f>IF(AND(AllData[[#This Row],[Time]]&lt;0.5, AllData[[#This Row],[Time]]&gt;0.17)=TRUE, "Morning", IF(AND(AllData[[#This Row],[Time]]&lt;0.75, AllData[[#This Row],[Time]]&gt;=0.5)=TRUE, "Afternoon", IF(AND(AllData[[#This Row],[Time]]&lt;1, AllData[[#This Row],[Time]]&gt;=0.75)=TRUE, "Evening", "Night")))</f>
        <v>Morning</v>
      </c>
      <c r="G187" t="str">
        <f>_xlfn.XLOOKUP(AllData[[#This Row],[Location Name]], Locations[Location Name],Locations[Group As])</f>
        <v>Dock Lane Bredon</v>
      </c>
      <c r="H187" t="e" vm="6">
        <f>_xlfn.XLOOKUP(AllData[[#This Row],[Site Name]],LocationsKey[Site Name],LocationsKey[District])</f>
        <v>#VALUE!</v>
      </c>
      <c r="I187" t="e" vm="11">
        <f>_xlfn.XLOOKUP(AllData[[#This Row],[Site Name]],LocationsKey[Site Name],LocationsKey[Town])</f>
        <v>#VALUE!</v>
      </c>
      <c r="J187" t="str">
        <f>_xlfn.XLOOKUP(AllData[[#This Row],[Site Name]],LocationsKey[Site Name], LocationsKey[Waterway])</f>
        <v>Avon</v>
      </c>
      <c r="K187" s="139" t="s">
        <v>2374</v>
      </c>
      <c r="L187" s="139">
        <v>52.031213999999999</v>
      </c>
      <c r="M187" s="156">
        <v>-2.114052</v>
      </c>
      <c r="N187" s="139" t="s">
        <v>31</v>
      </c>
      <c r="O187" s="139">
        <v>8690</v>
      </c>
      <c r="P187" s="139">
        <v>11.4</v>
      </c>
      <c r="Q187" s="139">
        <v>5</v>
      </c>
      <c r="R187" s="107" t="str">
        <f>IF(AllData[[#This Row],[Nitrate (PPM)]]&gt;2, "Very high", IF(AllData[[#This Row],[Nitrate (PPM)]]&gt;1, "High", IF(AllData[[#This Row],[Nitrate (PPM)]]&gt;0.5, "Some evidence", IF(AllData[[#This Row],[Nitrate (PPM)]]&gt;=0, "No evidence"))))</f>
        <v>Very high</v>
      </c>
      <c r="S187" s="139">
        <v>0.71</v>
      </c>
      <c r="T187" s="7" t="str">
        <f>IF(AllData[[#This Row],[Phosphate (PPM)]]&gt;0.5, "Very high", IF(AllData[[#This Row],[Phosphate (PPM)]]&gt;0.1, "High", IF(AllData[[#This Row],[Phosphate (PPM)]]&gt;0.05, "Some evidence", IF(AllData[[#This Row],[Phosphate (PPM)]]&lt;=0.05, "No Evidence", ""))))</f>
        <v>Very high</v>
      </c>
      <c r="U187" s="139">
        <v>1</v>
      </c>
      <c r="V187" s="139"/>
    </row>
    <row r="188" spans="1:22" x14ac:dyDescent="0.35">
      <c r="A188" s="139" t="s">
        <v>3263</v>
      </c>
      <c r="B188" s="146">
        <v>45729</v>
      </c>
      <c r="C188" s="2" t="str" cm="1">
        <f t="array" ref="C1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
        <f>YEAR(AllData[[#This Row],[Date]])</f>
        <v>2025</v>
      </c>
      <c r="E188" s="147">
        <v>0.44444444444444442</v>
      </c>
      <c r="F188" t="str">
        <f>IF(AND(AllData[[#This Row],[Time]]&lt;0.5, AllData[[#This Row],[Time]]&gt;0.17)=TRUE, "Morning", IF(AND(AllData[[#This Row],[Time]]&lt;0.75, AllData[[#This Row],[Time]]&gt;=0.5)=TRUE, "Afternoon", IF(AND(AllData[[#This Row],[Time]]&lt;1, AllData[[#This Row],[Time]]&gt;=0.75)=TRUE, "Evening", "Night")))</f>
        <v>Morning</v>
      </c>
      <c r="G188" t="str">
        <f>_xlfn.XLOOKUP(AllData[[#This Row],[Location Name]], Locations[Location Name],Locations[Group As])</f>
        <v>Swilgate</v>
      </c>
      <c r="H188" t="e" vm="4">
        <f>_xlfn.XLOOKUP(AllData[[#This Row],[Site Name]],LocationsKey[Site Name],LocationsKey[District])</f>
        <v>#VALUE!</v>
      </c>
      <c r="I188" t="e" vm="4">
        <f>_xlfn.XLOOKUP(AllData[[#This Row],[Site Name]],LocationsKey[Site Name],LocationsKey[Town])</f>
        <v>#VALUE!</v>
      </c>
      <c r="J188" t="str">
        <f>_xlfn.XLOOKUP(AllData[[#This Row],[Site Name]],LocationsKey[Site Name], LocationsKey[Waterway])</f>
        <v>Swilgate</v>
      </c>
      <c r="K188" s="139" t="s">
        <v>415</v>
      </c>
      <c r="L188" s="139"/>
      <c r="M188" s="156"/>
      <c r="N188" s="139" t="s">
        <v>34</v>
      </c>
      <c r="O188" s="139">
        <v>1210</v>
      </c>
      <c r="P188" s="139">
        <v>7.4</v>
      </c>
      <c r="Q188" s="139">
        <v>5</v>
      </c>
      <c r="R188" s="107" t="str">
        <f>IF(AllData[[#This Row],[Nitrate (PPM)]]&gt;2, "Very high", IF(AllData[[#This Row],[Nitrate (PPM)]]&gt;1, "High", IF(AllData[[#This Row],[Nitrate (PPM)]]&gt;0.5, "Some evidence", IF(AllData[[#This Row],[Nitrate (PPM)]]&gt;=0, "No evidence"))))</f>
        <v>Very high</v>
      </c>
      <c r="S188" s="139">
        <v>0.64</v>
      </c>
      <c r="T188" s="7" t="str">
        <f>IF(AllData[[#This Row],[Phosphate (PPM)]]&gt;0.5, "Very high", IF(AllData[[#This Row],[Phosphate (PPM)]]&gt;0.1, "High", IF(AllData[[#This Row],[Phosphate (PPM)]]&gt;0.05, "Some evidence", IF(AllData[[#This Row],[Phosphate (PPM)]]&lt;=0.05, "No Evidence", ""))))</f>
        <v>Very high</v>
      </c>
      <c r="U188" s="139">
        <v>0</v>
      </c>
      <c r="V188" s="139"/>
    </row>
    <row r="189" spans="1:22" x14ac:dyDescent="0.35">
      <c r="A189" s="139" t="s">
        <v>3260</v>
      </c>
      <c r="B189" s="146">
        <v>45728</v>
      </c>
      <c r="C189" s="2" t="str" cm="1">
        <f t="array" ref="C1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9">
        <f>YEAR(AllData[[#This Row],[Date]])</f>
        <v>2025</v>
      </c>
      <c r="E189" s="147">
        <v>0.64166666666666672</v>
      </c>
      <c r="F189" t="str">
        <f>IF(AND(AllData[[#This Row],[Time]]&lt;0.5, AllData[[#This Row],[Time]]&gt;0.17)=TRUE, "Morning", IF(AND(AllData[[#This Row],[Time]]&lt;0.75, AllData[[#This Row],[Time]]&gt;=0.5)=TRUE, "Afternoon", IF(AND(AllData[[#This Row],[Time]]&lt;1, AllData[[#This Row],[Time]]&gt;=0.75)=TRUE, "Evening", "Night")))</f>
        <v>Afternoon</v>
      </c>
      <c r="G189" t="str">
        <f>_xlfn.XLOOKUP(AllData[[#This Row],[Location Name]], Locations[Location Name],Locations[Group As])</f>
        <v>SSC Bredons Norton</v>
      </c>
      <c r="H189" t="e" vm="6">
        <f>_xlfn.XLOOKUP(AllData[[#This Row],[Site Name]],LocationsKey[Site Name],LocationsKey[District])</f>
        <v>#VALUE!</v>
      </c>
      <c r="I189" t="str">
        <f>_xlfn.XLOOKUP(AllData[[#This Row],[Site Name]],LocationsKey[Site Name],LocationsKey[Town])</f>
        <v>Bredon's Norton</v>
      </c>
      <c r="J189" t="str">
        <f>_xlfn.XLOOKUP(AllData[[#This Row],[Site Name]],LocationsKey[Site Name], LocationsKey[Waterway])</f>
        <v>Avon</v>
      </c>
      <c r="K189" s="139" t="s">
        <v>2121</v>
      </c>
      <c r="L189" s="139">
        <v>52.050846</v>
      </c>
      <c r="M189" s="156">
        <v>-2.1170209999999998</v>
      </c>
      <c r="N189" s="139" t="s">
        <v>25</v>
      </c>
      <c r="O189" s="139">
        <v>920</v>
      </c>
      <c r="P189" s="139">
        <v>9.5</v>
      </c>
      <c r="Q189" s="139">
        <v>5</v>
      </c>
      <c r="R189" s="107" t="str">
        <f>IF(AllData[[#This Row],[Nitrate (PPM)]]&gt;2, "Very high", IF(AllData[[#This Row],[Nitrate (PPM)]]&gt;1, "High", IF(AllData[[#This Row],[Nitrate (PPM)]]&gt;0.5, "Some evidence", IF(AllData[[#This Row],[Nitrate (PPM)]]&gt;=0, "No evidence"))))</f>
        <v>Very high</v>
      </c>
      <c r="S189" s="139">
        <v>0.28000000000000003</v>
      </c>
      <c r="T189" s="7" t="str">
        <f>IF(AllData[[#This Row],[Phosphate (PPM)]]&gt;0.5, "Very high", IF(AllData[[#This Row],[Phosphate (PPM)]]&gt;0.1, "High", IF(AllData[[#This Row],[Phosphate (PPM)]]&gt;0.05, "Some evidence", IF(AllData[[#This Row],[Phosphate (PPM)]]&lt;=0.05, "No Evidence", ""))))</f>
        <v>High</v>
      </c>
      <c r="U189" s="139">
        <v>1</v>
      </c>
      <c r="V189" s="139"/>
    </row>
    <row r="190" spans="1:22" x14ac:dyDescent="0.35">
      <c r="A190" s="139" t="s">
        <v>3257</v>
      </c>
      <c r="B190" s="146">
        <v>45727</v>
      </c>
      <c r="C190" s="2" t="str" cm="1">
        <f t="array" ref="C1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0">
        <f>YEAR(AllData[[#This Row],[Date]])</f>
        <v>2025</v>
      </c>
      <c r="E190" s="147">
        <v>0.5708333333333333</v>
      </c>
      <c r="F190" t="str">
        <f>IF(AND(AllData[[#This Row],[Time]]&lt;0.5, AllData[[#This Row],[Time]]&gt;0.17)=TRUE, "Morning", IF(AND(AllData[[#This Row],[Time]]&lt;0.75, AllData[[#This Row],[Time]]&gt;=0.5)=TRUE, "Afternoon", IF(AND(AllData[[#This Row],[Time]]&lt;1, AllData[[#This Row],[Time]]&gt;=0.75)=TRUE, "Evening", "Night")))</f>
        <v>Afternoon</v>
      </c>
      <c r="G190" t="str">
        <f>_xlfn.XLOOKUP(AllData[[#This Row],[Location Name]], Locations[Location Name],Locations[Group As])</f>
        <v>High Street Brailes</v>
      </c>
      <c r="H190" t="e" vm="1">
        <f>_xlfn.XLOOKUP(AllData[[#This Row],[Site Name]],LocationsKey[Site Name],LocationsKey[District])</f>
        <v>#VALUE!</v>
      </c>
      <c r="I190" t="e" vm="5">
        <f>_xlfn.XLOOKUP(AllData[[#This Row],[Site Name]],LocationsKey[Site Name],LocationsKey[Town])</f>
        <v>#VALUE!</v>
      </c>
      <c r="J190" t="str">
        <f>_xlfn.XLOOKUP(AllData[[#This Row],[Site Name]],LocationsKey[Site Name], LocationsKey[Waterway])</f>
        <v>Sutton Brook</v>
      </c>
      <c r="K190" s="139" t="s">
        <v>3058</v>
      </c>
      <c r="L190" s="139">
        <v>52.050888999999998</v>
      </c>
      <c r="M190" s="156">
        <v>-1.5459590000000001</v>
      </c>
      <c r="N190" s="139" t="s">
        <v>68</v>
      </c>
      <c r="O190" s="139">
        <v>5.35</v>
      </c>
      <c r="P190" s="139">
        <v>12.8</v>
      </c>
      <c r="Q190" s="139">
        <v>6</v>
      </c>
      <c r="R190" s="107" t="str">
        <f>IF(AllData[[#This Row],[Nitrate (PPM)]]&gt;2, "Very high", IF(AllData[[#This Row],[Nitrate (PPM)]]&gt;1, "High", IF(AllData[[#This Row],[Nitrate (PPM)]]&gt;0.5, "Some evidence", IF(AllData[[#This Row],[Nitrate (PPM)]]&gt;=0, "No evidence"))))</f>
        <v>Very high</v>
      </c>
      <c r="S190" s="139">
        <v>0.12</v>
      </c>
      <c r="T190" s="7" t="str">
        <f>IF(AllData[[#This Row],[Phosphate (PPM)]]&gt;0.5, "Very high", IF(AllData[[#This Row],[Phosphate (PPM)]]&gt;0.1, "High", IF(AllData[[#This Row],[Phosphate (PPM)]]&gt;0.05, "Some evidence", IF(AllData[[#This Row],[Phosphate (PPM)]]&lt;=0.05, "No Evidence", ""))))</f>
        <v>High</v>
      </c>
      <c r="U190" s="139">
        <v>0.3</v>
      </c>
      <c r="V190" s="139"/>
    </row>
    <row r="191" spans="1:22" x14ac:dyDescent="0.35">
      <c r="A191" s="139" t="s">
        <v>3253</v>
      </c>
      <c r="B191" s="146">
        <v>45727</v>
      </c>
      <c r="C191" s="2" t="str" cm="1">
        <f t="array" ref="C1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1">
        <f>YEAR(AllData[[#This Row],[Date]])</f>
        <v>2025</v>
      </c>
      <c r="E191" s="147">
        <v>0.40972222222222221</v>
      </c>
      <c r="F191" t="str">
        <f>IF(AND(AllData[[#This Row],[Time]]&lt;0.5, AllData[[#This Row],[Time]]&gt;0.17)=TRUE, "Morning", IF(AND(AllData[[#This Row],[Time]]&lt;0.75, AllData[[#This Row],[Time]]&gt;=0.5)=TRUE, "Afternoon", IF(AND(AllData[[#This Row],[Time]]&lt;1, AllData[[#This Row],[Time]]&gt;=0.75)=TRUE, "Evening", "Night")))</f>
        <v>Morning</v>
      </c>
      <c r="G191" t="str">
        <f>_xlfn.XLOOKUP(AllData[[#This Row],[Location Name]], Locations[Location Name],Locations[Group As])</f>
        <v>Alveston Weir</v>
      </c>
      <c r="H191" t="e" vm="1">
        <f>_xlfn.XLOOKUP(AllData[[#This Row],[Site Name]],LocationsKey[Site Name],LocationsKey[District])</f>
        <v>#VALUE!</v>
      </c>
      <c r="I191" t="e" vm="2">
        <f>_xlfn.XLOOKUP(AllData[[#This Row],[Site Name]],LocationsKey[Site Name],LocationsKey[Town])</f>
        <v>#VALUE!</v>
      </c>
      <c r="J191" t="str">
        <f>_xlfn.XLOOKUP(AllData[[#This Row],[Site Name]],LocationsKey[Site Name], LocationsKey[Waterway])</f>
        <v>Avon</v>
      </c>
      <c r="K191" s="139" t="s">
        <v>288</v>
      </c>
      <c r="L191" s="139">
        <v>52.212288999999998</v>
      </c>
      <c r="M191" s="156">
        <v>-1.6045199999999999</v>
      </c>
      <c r="N191" s="139" t="s">
        <v>31</v>
      </c>
      <c r="O191" s="139">
        <v>870</v>
      </c>
      <c r="P191" s="139">
        <v>8.9</v>
      </c>
      <c r="Q191" s="139">
        <v>5</v>
      </c>
      <c r="R191" s="107" t="str">
        <f>IF(AllData[[#This Row],[Nitrate (PPM)]]&gt;2, "Very high", IF(AllData[[#This Row],[Nitrate (PPM)]]&gt;1, "High", IF(AllData[[#This Row],[Nitrate (PPM)]]&gt;0.5, "Some evidence", IF(AllData[[#This Row],[Nitrate (PPM)]]&gt;=0, "No evidence"))))</f>
        <v>Very high</v>
      </c>
      <c r="S191" s="139">
        <v>0.42</v>
      </c>
      <c r="T191" s="7" t="str">
        <f>IF(AllData[[#This Row],[Phosphate (PPM)]]&gt;0.5, "Very high", IF(AllData[[#This Row],[Phosphate (PPM)]]&gt;0.1, "High", IF(AllData[[#This Row],[Phosphate (PPM)]]&gt;0.05, "Some evidence", IF(AllData[[#This Row],[Phosphate (PPM)]]&lt;=0.05, "No Evidence", ""))))</f>
        <v>High</v>
      </c>
      <c r="U191" s="139">
        <v>0</v>
      </c>
      <c r="V191" s="139" t="s">
        <v>3254</v>
      </c>
    </row>
    <row r="192" spans="1:22" x14ac:dyDescent="0.35">
      <c r="A192" s="139" t="s">
        <v>3255</v>
      </c>
      <c r="B192" s="146">
        <v>45727</v>
      </c>
      <c r="C192" s="2" t="str" cm="1">
        <f t="array" ref="C1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2">
        <f>YEAR(AllData[[#This Row],[Date]])</f>
        <v>2025</v>
      </c>
      <c r="E192" s="147">
        <v>0.44791666666666669</v>
      </c>
      <c r="F192" t="str">
        <f>IF(AND(AllData[[#This Row],[Time]]&lt;0.5, AllData[[#This Row],[Time]]&gt;0.17)=TRUE, "Morning", IF(AND(AllData[[#This Row],[Time]]&lt;0.75, AllData[[#This Row],[Time]]&gt;=0.5)=TRUE, "Afternoon", IF(AND(AllData[[#This Row],[Time]]&lt;1, AllData[[#This Row],[Time]]&gt;=0.75)=TRUE, "Evening", "Night")))</f>
        <v>Morning</v>
      </c>
      <c r="G192" t="str">
        <f>_xlfn.XLOOKUP(AllData[[#This Row],[Location Name]], Locations[Location Name],Locations[Group As])</f>
        <v>Swiffen Bank</v>
      </c>
      <c r="H192" t="e" vm="1">
        <f>_xlfn.XLOOKUP(AllData[[#This Row],[Site Name]],LocationsKey[Site Name],LocationsKey[District])</f>
        <v>#VALUE!</v>
      </c>
      <c r="I192" t="e" vm="2">
        <f>_xlfn.XLOOKUP(AllData[[#This Row],[Site Name]],LocationsKey[Site Name],LocationsKey[Town])</f>
        <v>#VALUE!</v>
      </c>
      <c r="J192" t="str">
        <f>_xlfn.XLOOKUP(AllData[[#This Row],[Site Name]],LocationsKey[Site Name], LocationsKey[Waterway])</f>
        <v>Avon</v>
      </c>
      <c r="K192" s="139" t="s">
        <v>1448</v>
      </c>
      <c r="L192" s="139">
        <v>52.206477999999997</v>
      </c>
      <c r="M192" s="156">
        <v>-1.653894</v>
      </c>
      <c r="N192" s="139" t="s">
        <v>31</v>
      </c>
      <c r="O192" s="139">
        <v>844</v>
      </c>
      <c r="P192" s="139">
        <v>10</v>
      </c>
      <c r="Q192" s="139">
        <v>5</v>
      </c>
      <c r="R192" s="107" t="str">
        <f>IF(AllData[[#This Row],[Nitrate (PPM)]]&gt;2, "Very high", IF(AllData[[#This Row],[Nitrate (PPM)]]&gt;1, "High", IF(AllData[[#This Row],[Nitrate (PPM)]]&gt;0.5, "Some evidence", IF(AllData[[#This Row],[Nitrate (PPM)]]&gt;=0, "No evidence"))))</f>
        <v>Very high</v>
      </c>
      <c r="S192" s="139">
        <v>0.46</v>
      </c>
      <c r="T192" s="7" t="str">
        <f>IF(AllData[[#This Row],[Phosphate (PPM)]]&gt;0.5, "Very high", IF(AllData[[#This Row],[Phosphate (PPM)]]&gt;0.1, "High", IF(AllData[[#This Row],[Phosphate (PPM)]]&gt;0.05, "Some evidence", IF(AllData[[#This Row],[Phosphate (PPM)]]&lt;=0.05, "No Evidence", ""))))</f>
        <v>High</v>
      </c>
      <c r="U192" s="139">
        <v>0</v>
      </c>
      <c r="V192" s="139" t="s">
        <v>3256</v>
      </c>
    </row>
    <row r="193" spans="1:22" x14ac:dyDescent="0.35">
      <c r="A193" s="139" t="s">
        <v>3258</v>
      </c>
      <c r="B193" s="146">
        <v>45727</v>
      </c>
      <c r="C193" s="2" t="str" cm="1">
        <f t="array" ref="C1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3">
        <f>YEAR(AllData[[#This Row],[Date]])</f>
        <v>2025</v>
      </c>
      <c r="E193" s="147">
        <v>0.59652777777777777</v>
      </c>
      <c r="F193" t="str">
        <f>IF(AND(AllData[[#This Row],[Time]]&lt;0.5, AllData[[#This Row],[Time]]&gt;0.17)=TRUE, "Morning", IF(AND(AllData[[#This Row],[Time]]&lt;0.75, AllData[[#This Row],[Time]]&gt;=0.5)=TRUE, "Afternoon", IF(AND(AllData[[#This Row],[Time]]&lt;1, AllData[[#This Row],[Time]]&gt;=0.75)=TRUE, "Evening", "Night")))</f>
        <v>Afternoon</v>
      </c>
      <c r="G193" t="str">
        <f>_xlfn.XLOOKUP(AllData[[#This Row],[Location Name]], Locations[Location Name],Locations[Group As])</f>
        <v>New Barn Farm Brailes</v>
      </c>
      <c r="H193" t="e" vm="1">
        <f>_xlfn.XLOOKUP(AllData[[#This Row],[Site Name]],LocationsKey[Site Name],LocationsKey[District])</f>
        <v>#VALUE!</v>
      </c>
      <c r="I193" t="e" vm="5">
        <f>_xlfn.XLOOKUP(AllData[[#This Row],[Site Name]],LocationsKey[Site Name],LocationsKey[Town])</f>
        <v>#VALUE!</v>
      </c>
      <c r="J193" t="str">
        <f>_xlfn.XLOOKUP(AllData[[#This Row],[Site Name]],LocationsKey[Site Name], LocationsKey[Waterway])</f>
        <v>Sutton Brook</v>
      </c>
      <c r="K193" s="139" t="s">
        <v>3060</v>
      </c>
      <c r="L193" s="139">
        <v>52.043965999999998</v>
      </c>
      <c r="M193" s="156">
        <v>-1.5491189999999999</v>
      </c>
      <c r="N193" s="139" t="s">
        <v>31</v>
      </c>
      <c r="O193" s="139">
        <v>5.35</v>
      </c>
      <c r="P193" s="139">
        <v>9.3000000000000007</v>
      </c>
      <c r="Q193" s="139">
        <v>5</v>
      </c>
      <c r="R193" s="107" t="str">
        <f>IF(AllData[[#This Row],[Nitrate (PPM)]]&gt;2, "Very high", IF(AllData[[#This Row],[Nitrate (PPM)]]&gt;1, "High", IF(AllData[[#This Row],[Nitrate (PPM)]]&gt;0.5, "Some evidence", IF(AllData[[#This Row],[Nitrate (PPM)]]&gt;=0, "No evidence"))))</f>
        <v>Very high</v>
      </c>
      <c r="S193" s="139">
        <v>0.13</v>
      </c>
      <c r="T193" s="7" t="str">
        <f>IF(AllData[[#This Row],[Phosphate (PPM)]]&gt;0.5, "Very high", IF(AllData[[#This Row],[Phosphate (PPM)]]&gt;0.1, "High", IF(AllData[[#This Row],[Phosphate (PPM)]]&gt;0.05, "Some evidence", IF(AllData[[#This Row],[Phosphate (PPM)]]&lt;=0.05, "No Evidence", ""))))</f>
        <v>High</v>
      </c>
      <c r="U193" s="139">
        <v>0.4</v>
      </c>
      <c r="V193" s="139" t="s">
        <v>3259</v>
      </c>
    </row>
    <row r="194" spans="1:22" x14ac:dyDescent="0.35">
      <c r="A194" s="139" t="s">
        <v>3244</v>
      </c>
      <c r="B194" s="146">
        <v>45726</v>
      </c>
      <c r="C194" s="2" t="str" cm="1">
        <f t="array" ref="C1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4">
        <f>YEAR(AllData[[#This Row],[Date]])</f>
        <v>2025</v>
      </c>
      <c r="E194" s="147">
        <v>0.57708333333333328</v>
      </c>
      <c r="F194" t="str">
        <f>IF(AND(AllData[[#This Row],[Time]]&lt;0.5, AllData[[#This Row],[Time]]&gt;0.17)=TRUE, "Morning", IF(AND(AllData[[#This Row],[Time]]&lt;0.75, AllData[[#This Row],[Time]]&gt;=0.5)=TRUE, "Afternoon", IF(AND(AllData[[#This Row],[Time]]&lt;1, AllData[[#This Row],[Time]]&gt;=0.75)=TRUE, "Evening", "Night")))</f>
        <v>Afternoon</v>
      </c>
      <c r="G194" t="str">
        <f>_xlfn.XLOOKUP(AllData[[#This Row],[Location Name]], Locations[Location Name],Locations[Group As])</f>
        <v>Carrant Mitton Path</v>
      </c>
      <c r="H194" t="e" vm="4">
        <f>_xlfn.XLOOKUP(AllData[[#This Row],[Site Name]],LocationsKey[Site Name],LocationsKey[District])</f>
        <v>#VALUE!</v>
      </c>
      <c r="I194" t="e" vm="4">
        <f>_xlfn.XLOOKUP(AllData[[#This Row],[Site Name]],LocationsKey[Site Name],LocationsKey[Town])</f>
        <v>#VALUE!</v>
      </c>
      <c r="J194" t="str">
        <f>_xlfn.XLOOKUP(AllData[[#This Row],[Site Name]],LocationsKey[Site Name], LocationsKey[Waterway])</f>
        <v>Carrant</v>
      </c>
      <c r="K194" s="139" t="s">
        <v>3245</v>
      </c>
      <c r="L194" s="139">
        <v>51.999260999999997</v>
      </c>
      <c r="M194" s="156">
        <v>-2.1390750000000001</v>
      </c>
      <c r="N194" s="139" t="s">
        <v>31</v>
      </c>
      <c r="O194" s="139">
        <v>6300</v>
      </c>
      <c r="P194" s="139">
        <v>11.4</v>
      </c>
      <c r="Q194" s="139">
        <v>5</v>
      </c>
      <c r="R194" s="107" t="str">
        <f>IF(AllData[[#This Row],[Nitrate (PPM)]]&gt;2, "Very high", IF(AllData[[#This Row],[Nitrate (PPM)]]&gt;1, "High", IF(AllData[[#This Row],[Nitrate (PPM)]]&gt;0.5, "Some evidence", IF(AllData[[#This Row],[Nitrate (PPM)]]&gt;=0, "No evidence"))))</f>
        <v>Very high</v>
      </c>
      <c r="S194" s="139">
        <v>0.36</v>
      </c>
      <c r="T194" s="7" t="str">
        <f>IF(AllData[[#This Row],[Phosphate (PPM)]]&gt;0.5, "Very high", IF(AllData[[#This Row],[Phosphate (PPM)]]&gt;0.1, "High", IF(AllData[[#This Row],[Phosphate (PPM)]]&gt;0.05, "Some evidence", IF(AllData[[#This Row],[Phosphate (PPM)]]&lt;=0.05, "No Evidence", ""))))</f>
        <v>High</v>
      </c>
      <c r="U194" s="139">
        <v>0</v>
      </c>
      <c r="V194" s="139"/>
    </row>
    <row r="195" spans="1:22" x14ac:dyDescent="0.35">
      <c r="A195" s="139" t="s">
        <v>3252</v>
      </c>
      <c r="B195" s="146">
        <v>45726</v>
      </c>
      <c r="C195" s="2" t="str" cm="1">
        <f t="array" ref="C1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5">
        <f>YEAR(AllData[[#This Row],[Date]])</f>
        <v>2025</v>
      </c>
      <c r="E195" s="147">
        <v>0.71875</v>
      </c>
      <c r="F195" t="str">
        <f>IF(AND(AllData[[#This Row],[Time]]&lt;0.5, AllData[[#This Row],[Time]]&gt;0.17)=TRUE, "Morning", IF(AND(AllData[[#This Row],[Time]]&lt;0.75, AllData[[#This Row],[Time]]&gt;=0.5)=TRUE, "Afternoon", IF(AND(AllData[[#This Row],[Time]]&lt;1, AllData[[#This Row],[Time]]&gt;=0.75)=TRUE, "Evening", "Night")))</f>
        <v>Afternoon</v>
      </c>
      <c r="G195" t="str">
        <f>_xlfn.XLOOKUP(AllData[[#This Row],[Location Name]], Locations[Location Name],Locations[Group As])</f>
        <v>Bell Brook 1</v>
      </c>
      <c r="H195" t="e" vm="1">
        <f>_xlfn.XLOOKUP(AllData[[#This Row],[Site Name]],LocationsKey[Site Name],LocationsKey[District])</f>
        <v>#VALUE!</v>
      </c>
      <c r="I195" t="e" vm="19">
        <f>_xlfn.XLOOKUP(AllData[[#This Row],[Site Name]],LocationsKey[Site Name],LocationsKey[Town])</f>
        <v>#VALUE!</v>
      </c>
      <c r="J195" t="str">
        <f>_xlfn.XLOOKUP(AllData[[#This Row],[Site Name]],LocationsKey[Site Name], LocationsKey[Waterway])</f>
        <v>Bell Brook</v>
      </c>
      <c r="K195" s="139" t="s">
        <v>3000</v>
      </c>
      <c r="L195" s="139"/>
      <c r="M195" s="156"/>
      <c r="N195" s="139"/>
      <c r="O195" s="139">
        <v>760</v>
      </c>
      <c r="P195" s="139">
        <v>9.6</v>
      </c>
      <c r="Q195" s="139">
        <v>5</v>
      </c>
      <c r="R195" s="107" t="str">
        <f>IF(AllData[[#This Row],[Nitrate (PPM)]]&gt;2, "Very high", IF(AllData[[#This Row],[Nitrate (PPM)]]&gt;1, "High", IF(AllData[[#This Row],[Nitrate (PPM)]]&gt;0.5, "Some evidence", IF(AllData[[#This Row],[Nitrate (PPM)]]&gt;=0, "No evidence"))))</f>
        <v>Very high</v>
      </c>
      <c r="S195" s="139">
        <v>0.27</v>
      </c>
      <c r="T195" s="7" t="str">
        <f>IF(AllData[[#This Row],[Phosphate (PPM)]]&gt;0.5, "Very high", IF(AllData[[#This Row],[Phosphate (PPM)]]&gt;0.1, "High", IF(AllData[[#This Row],[Phosphate (PPM)]]&gt;0.05, "Some evidence", IF(AllData[[#This Row],[Phosphate (PPM)]]&lt;=0.05, "No Evidence", ""))))</f>
        <v>High</v>
      </c>
      <c r="U195" s="139">
        <v>0.15</v>
      </c>
      <c r="V195" s="139" t="s">
        <v>3251</v>
      </c>
    </row>
    <row r="196" spans="1:22" x14ac:dyDescent="0.35">
      <c r="A196" s="139" t="s">
        <v>3242</v>
      </c>
      <c r="B196" s="146">
        <v>45726</v>
      </c>
      <c r="C196" s="2" t="str" cm="1">
        <f t="array" ref="C1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6">
        <f>YEAR(AllData[[#This Row],[Date]])</f>
        <v>2025</v>
      </c>
      <c r="E196" s="147">
        <v>0.34722222222222221</v>
      </c>
      <c r="F196" t="str">
        <f>IF(AND(AllData[[#This Row],[Time]]&lt;0.5, AllData[[#This Row],[Time]]&gt;0.17)=TRUE, "Morning", IF(AND(AllData[[#This Row],[Time]]&lt;0.75, AllData[[#This Row],[Time]]&gt;=0.5)=TRUE, "Afternoon", IF(AND(AllData[[#This Row],[Time]]&lt;1, AllData[[#This Row],[Time]]&gt;=0.75)=TRUE, "Evening", "Night")))</f>
        <v>Morning</v>
      </c>
      <c r="G196" t="str">
        <f>_xlfn.XLOOKUP(AllData[[#This Row],[Location Name]], Locations[Location Name],Locations[Group As])</f>
        <v>Chipping Campden Lady J Gateway</v>
      </c>
      <c r="H196" t="e" vm="9">
        <f>_xlfn.XLOOKUP(AllData[[#This Row],[Site Name]],LocationsKey[Site Name],LocationsKey[District])</f>
        <v>#VALUE!</v>
      </c>
      <c r="I196" t="e" vm="10">
        <f>_xlfn.XLOOKUP(AllData[[#This Row],[Site Name]],LocationsKey[Site Name],LocationsKey[Town])</f>
        <v>#VALUE!</v>
      </c>
      <c r="J196" t="str">
        <f>_xlfn.XLOOKUP(AllData[[#This Row],[Site Name]],LocationsKey[Site Name], LocationsKey[Waterway])</f>
        <v>Cam Brook</v>
      </c>
      <c r="K196" s="139" t="s">
        <v>1573</v>
      </c>
      <c r="L196" s="139"/>
      <c r="M196" s="156"/>
      <c r="N196" s="139" t="s">
        <v>68</v>
      </c>
      <c r="O196" s="139">
        <v>534</v>
      </c>
      <c r="P196" s="139">
        <v>8.5</v>
      </c>
      <c r="Q196" s="139">
        <v>5</v>
      </c>
      <c r="R196" s="107" t="str">
        <f>IF(AllData[[#This Row],[Nitrate (PPM)]]&gt;2, "Very high", IF(AllData[[#This Row],[Nitrate (PPM)]]&gt;1, "High", IF(AllData[[#This Row],[Nitrate (PPM)]]&gt;0.5, "Some evidence", IF(AllData[[#This Row],[Nitrate (PPM)]]&gt;=0, "No evidence"))))</f>
        <v>Very high</v>
      </c>
      <c r="S196" s="139">
        <v>0.11</v>
      </c>
      <c r="T196" s="7" t="str">
        <f>IF(AllData[[#This Row],[Phosphate (PPM)]]&gt;0.5, "Very high", IF(AllData[[#This Row],[Phosphate (PPM)]]&gt;0.1, "High", IF(AllData[[#This Row],[Phosphate (PPM)]]&gt;0.05, "Some evidence", IF(AllData[[#This Row],[Phosphate (PPM)]]&lt;=0.05, "No Evidence", ""))))</f>
        <v>High</v>
      </c>
      <c r="U196" s="139">
        <v>0.16</v>
      </c>
      <c r="V196" s="139"/>
    </row>
    <row r="197" spans="1:22" x14ac:dyDescent="0.35">
      <c r="A197" s="139" t="s">
        <v>3249</v>
      </c>
      <c r="B197" s="146">
        <v>45726</v>
      </c>
      <c r="C197" s="2" t="str" cm="1">
        <f t="array" ref="C1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7">
        <f>YEAR(AllData[[#This Row],[Date]])</f>
        <v>2025</v>
      </c>
      <c r="E197" s="147">
        <v>0.66666666666666663</v>
      </c>
      <c r="F197" t="str">
        <f>IF(AND(AllData[[#This Row],[Time]]&lt;0.5, AllData[[#This Row],[Time]]&gt;0.17)=TRUE, "Morning", IF(AND(AllData[[#This Row],[Time]]&lt;0.75, AllData[[#This Row],[Time]]&gt;=0.5)=TRUE, "Afternoon", IF(AND(AllData[[#This Row],[Time]]&lt;1, AllData[[#This Row],[Time]]&gt;=0.75)=TRUE, "Evening", "Night")))</f>
        <v>Afternoon</v>
      </c>
      <c r="G197" t="str">
        <f>_xlfn.XLOOKUP(AllData[[#This Row],[Location Name]], Locations[Location Name],Locations[Group As])</f>
        <v>Chipping Campden Craves</v>
      </c>
      <c r="H197" t="e" vm="9">
        <f>_xlfn.XLOOKUP(AllData[[#This Row],[Site Name]],LocationsKey[Site Name],LocationsKey[District])</f>
        <v>#VALUE!</v>
      </c>
      <c r="I197" t="e" vm="10">
        <f>_xlfn.XLOOKUP(AllData[[#This Row],[Site Name]],LocationsKey[Site Name],LocationsKey[Town])</f>
        <v>#VALUE!</v>
      </c>
      <c r="J197" t="str">
        <f>_xlfn.XLOOKUP(AllData[[#This Row],[Site Name]],LocationsKey[Site Name], LocationsKey[Waterway])</f>
        <v>Cam Brook</v>
      </c>
      <c r="K197" s="139" t="s">
        <v>2558</v>
      </c>
      <c r="L197" s="139">
        <v>52.048755</v>
      </c>
      <c r="M197" s="156">
        <v>-1.7863599999999999</v>
      </c>
      <c r="N197" s="139" t="s">
        <v>68</v>
      </c>
      <c r="O197" s="139">
        <v>496</v>
      </c>
      <c r="P197" s="139">
        <v>12.6</v>
      </c>
      <c r="Q197" s="139">
        <v>5</v>
      </c>
      <c r="R197" s="107" t="str">
        <f>IF(AllData[[#This Row],[Nitrate (PPM)]]&gt;2, "Very high", IF(AllData[[#This Row],[Nitrate (PPM)]]&gt;1, "High", IF(AllData[[#This Row],[Nitrate (PPM)]]&gt;0.5, "Some evidence", IF(AllData[[#This Row],[Nitrate (PPM)]]&gt;=0, "No evidence"))))</f>
        <v>Very high</v>
      </c>
      <c r="S197" s="139">
        <v>0.04</v>
      </c>
      <c r="T197" s="7" t="str">
        <f>IF(AllData[[#This Row],[Phosphate (PPM)]]&gt;0.5, "Very high", IF(AllData[[#This Row],[Phosphate (PPM)]]&gt;0.1, "High", IF(AllData[[#This Row],[Phosphate (PPM)]]&gt;0.05, "Some evidence", IF(AllData[[#This Row],[Phosphate (PPM)]]&lt;=0.05, "No Evidence", ""))))</f>
        <v>No Evidence</v>
      </c>
      <c r="U197" s="139">
        <v>26</v>
      </c>
      <c r="V197" s="139"/>
    </row>
    <row r="198" spans="1:22" x14ac:dyDescent="0.35">
      <c r="A198" s="139" t="s">
        <v>3246</v>
      </c>
      <c r="B198" s="146">
        <v>45726</v>
      </c>
      <c r="C198" s="2" t="str" cm="1">
        <f t="array" ref="C1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8">
        <f>YEAR(AllData[[#This Row],[Date]])</f>
        <v>2025</v>
      </c>
      <c r="E198" s="147">
        <v>0.61319444444444449</v>
      </c>
      <c r="F198" t="str">
        <f>IF(AND(AllData[[#This Row],[Time]]&lt;0.5, AllData[[#This Row],[Time]]&gt;0.17)=TRUE, "Morning", IF(AND(AllData[[#This Row],[Time]]&lt;0.75, AllData[[#This Row],[Time]]&gt;=0.5)=TRUE, "Afternoon", IF(AND(AllData[[#This Row],[Time]]&lt;1, AllData[[#This Row],[Time]]&gt;=0.75)=TRUE, "Evening", "Night")))</f>
        <v>Afternoon</v>
      </c>
      <c r="G198" t="str">
        <f>_xlfn.XLOOKUP(AllData[[#This Row],[Location Name]], Locations[Location Name],Locations[Group As])</f>
        <v>Abbey Mill</v>
      </c>
      <c r="H198" t="e" vm="4">
        <f>_xlfn.XLOOKUP(AllData[[#This Row],[Site Name]],LocationsKey[Site Name],LocationsKey[District])</f>
        <v>#VALUE!</v>
      </c>
      <c r="I198" t="e" vm="4">
        <f>_xlfn.XLOOKUP(AllData[[#This Row],[Site Name]],LocationsKey[Site Name],LocationsKey[Town])</f>
        <v>#VALUE!</v>
      </c>
      <c r="J198" t="str">
        <f>_xlfn.XLOOKUP(AllData[[#This Row],[Site Name]],LocationsKey[Site Name], LocationsKey[Waterway])</f>
        <v>Avon</v>
      </c>
      <c r="K198" s="139" t="s">
        <v>27</v>
      </c>
      <c r="L198" s="139">
        <v>51.991266000000003</v>
      </c>
      <c r="M198" s="156">
        <v>-2.1627160000000001</v>
      </c>
      <c r="N198" s="139" t="s">
        <v>3247</v>
      </c>
      <c r="O198" s="139">
        <v>876</v>
      </c>
      <c r="P198" s="139">
        <v>11.2</v>
      </c>
      <c r="Q198" s="139">
        <v>4</v>
      </c>
      <c r="R198" s="107" t="str">
        <f>IF(AllData[[#This Row],[Nitrate (PPM)]]&gt;2, "Very high", IF(AllData[[#This Row],[Nitrate (PPM)]]&gt;1, "High", IF(AllData[[#This Row],[Nitrate (PPM)]]&gt;0.5, "Some evidence", IF(AllData[[#This Row],[Nitrate (PPM)]]&gt;=0, "No evidence"))))</f>
        <v>Very high</v>
      </c>
      <c r="S198" s="139">
        <v>0.4</v>
      </c>
      <c r="T198" s="7" t="str">
        <f>IF(AllData[[#This Row],[Phosphate (PPM)]]&gt;0.5, "Very high", IF(AllData[[#This Row],[Phosphate (PPM)]]&gt;0.1, "High", IF(AllData[[#This Row],[Phosphate (PPM)]]&gt;0.05, "Some evidence", IF(AllData[[#This Row],[Phosphate (PPM)]]&lt;=0.05, "No Evidence", ""))))</f>
        <v>High</v>
      </c>
      <c r="U198" s="139">
        <v>0.5</v>
      </c>
      <c r="V198" s="139" t="s">
        <v>3248</v>
      </c>
    </row>
    <row r="199" spans="1:22" x14ac:dyDescent="0.35">
      <c r="A199" s="139" t="s">
        <v>3250</v>
      </c>
      <c r="B199" s="146">
        <v>45726</v>
      </c>
      <c r="C199" s="2" t="str" cm="1">
        <f t="array" ref="C1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99">
        <f>YEAR(AllData[[#This Row],[Date]])</f>
        <v>2025</v>
      </c>
      <c r="E199" s="147">
        <v>0.70833333333333337</v>
      </c>
      <c r="F199" t="str">
        <f>IF(AND(AllData[[#This Row],[Time]]&lt;0.5, AllData[[#This Row],[Time]]&gt;0.17)=TRUE, "Morning", IF(AND(AllData[[#This Row],[Time]]&lt;0.75, AllData[[#This Row],[Time]]&gt;=0.5)=TRUE, "Afternoon", IF(AND(AllData[[#This Row],[Time]]&lt;1, AllData[[#This Row],[Time]]&gt;=0.75)=TRUE, "Evening", "Night")))</f>
        <v>Afternoon</v>
      </c>
      <c r="G199" t="str">
        <f>_xlfn.XLOOKUP(AllData[[#This Row],[Location Name]], Locations[Location Name],Locations[Group As])</f>
        <v>Sherbourne Brook 2</v>
      </c>
      <c r="H199" t="e" vm="1">
        <f>_xlfn.XLOOKUP(AllData[[#This Row],[Site Name]],LocationsKey[Site Name],LocationsKey[District])</f>
        <v>#VALUE!</v>
      </c>
      <c r="I199" t="str">
        <f>_xlfn.XLOOKUP(AllData[[#This Row],[Site Name]],LocationsKey[Site Name],LocationsKey[Town])</f>
        <v>Unknown</v>
      </c>
      <c r="J199" t="str">
        <f>_xlfn.XLOOKUP(AllData[[#This Row],[Site Name]],LocationsKey[Site Name], LocationsKey[Waterway])</f>
        <v>Sherbourne Brook</v>
      </c>
      <c r="K199" s="139" t="s">
        <v>2995</v>
      </c>
      <c r="L199" s="139"/>
      <c r="M199" s="156"/>
      <c r="N199" s="139"/>
      <c r="O199" s="139">
        <v>1090</v>
      </c>
      <c r="P199" s="139">
        <v>8.9</v>
      </c>
      <c r="Q199" s="139">
        <v>3</v>
      </c>
      <c r="R199" s="107" t="str">
        <f>IF(AllData[[#This Row],[Nitrate (PPM)]]&gt;2, "Very high", IF(AllData[[#This Row],[Nitrate (PPM)]]&gt;1, "High", IF(AllData[[#This Row],[Nitrate (PPM)]]&gt;0.5, "Some evidence", IF(AllData[[#This Row],[Nitrate (PPM)]]&gt;=0, "No evidence"))))</f>
        <v>Very high</v>
      </c>
      <c r="S199" s="139">
        <v>0.18</v>
      </c>
      <c r="T199" s="7" t="str">
        <f>IF(AllData[[#This Row],[Phosphate (PPM)]]&gt;0.5, "Very high", IF(AllData[[#This Row],[Phosphate (PPM)]]&gt;0.1, "High", IF(AllData[[#This Row],[Phosphate (PPM)]]&gt;0.05, "Some evidence", IF(AllData[[#This Row],[Phosphate (PPM)]]&lt;=0.05, "No Evidence", ""))))</f>
        <v>High</v>
      </c>
      <c r="U199" s="139">
        <v>0.15</v>
      </c>
      <c r="V199" s="139" t="s">
        <v>3251</v>
      </c>
    </row>
    <row r="200" spans="1:22" x14ac:dyDescent="0.35">
      <c r="A200" s="139" t="s">
        <v>3243</v>
      </c>
      <c r="B200" s="146">
        <v>45726</v>
      </c>
      <c r="C200" s="2" t="str" cm="1">
        <f t="array" ref="C2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0">
        <f>YEAR(AllData[[#This Row],[Date]])</f>
        <v>2025</v>
      </c>
      <c r="E200" s="147">
        <v>0.35416666666666669</v>
      </c>
      <c r="F200" t="str">
        <f>IF(AND(AllData[[#This Row],[Time]]&lt;0.5, AllData[[#This Row],[Time]]&gt;0.17)=TRUE, "Morning", IF(AND(AllData[[#This Row],[Time]]&lt;0.75, AllData[[#This Row],[Time]]&gt;=0.5)=TRUE, "Afternoon", IF(AND(AllData[[#This Row],[Time]]&lt;1, AllData[[#This Row],[Time]]&gt;=0.75)=TRUE, "Evening", "Night")))</f>
        <v>Morning</v>
      </c>
      <c r="G200" t="str">
        <f>_xlfn.XLOOKUP(AllData[[#This Row],[Location Name]], Locations[Location Name],Locations[Group As])</f>
        <v>Chipping Campden Sewage Works</v>
      </c>
      <c r="H200" t="e" vm="9">
        <f>_xlfn.XLOOKUP(AllData[[#This Row],[Site Name]],LocationsKey[Site Name],LocationsKey[District])</f>
        <v>#VALUE!</v>
      </c>
      <c r="I200" t="e" vm="10">
        <f>_xlfn.XLOOKUP(AllData[[#This Row],[Site Name]],LocationsKey[Site Name],LocationsKey[Town])</f>
        <v>#VALUE!</v>
      </c>
      <c r="J200" t="str">
        <f>_xlfn.XLOOKUP(AllData[[#This Row],[Site Name]],LocationsKey[Site Name], LocationsKey[Waterway])</f>
        <v>Cam Brook</v>
      </c>
      <c r="K200" s="139" t="s">
        <v>1570</v>
      </c>
      <c r="L200" s="139"/>
      <c r="M200" s="156"/>
      <c r="N200" s="139" t="s">
        <v>31</v>
      </c>
      <c r="O200" s="139">
        <v>632</v>
      </c>
      <c r="P200" s="139">
        <v>10.199999999999999</v>
      </c>
      <c r="Q200" s="139">
        <v>2</v>
      </c>
      <c r="R200" s="107" t="str">
        <f>IF(AllData[[#This Row],[Nitrate (PPM)]]&gt;2, "Very high", IF(AllData[[#This Row],[Nitrate (PPM)]]&gt;1, "High", IF(AllData[[#This Row],[Nitrate (PPM)]]&gt;0.5, "Some evidence", IF(AllData[[#This Row],[Nitrate (PPM)]]&gt;=0, "No evidence"))))</f>
        <v>High</v>
      </c>
      <c r="S200" s="139">
        <v>0.03</v>
      </c>
      <c r="T200" s="7" t="str">
        <f>IF(AllData[[#This Row],[Phosphate (PPM)]]&gt;0.5, "Very high", IF(AllData[[#This Row],[Phosphate (PPM)]]&gt;0.1, "High", IF(AllData[[#This Row],[Phosphate (PPM)]]&gt;0.05, "Some evidence", IF(AllData[[#This Row],[Phosphate (PPM)]]&lt;=0.05, "No Evidence", ""))))</f>
        <v>No Evidence</v>
      </c>
      <c r="U200" s="139">
        <v>0.36</v>
      </c>
      <c r="V200" s="139"/>
    </row>
    <row r="201" spans="1:22" x14ac:dyDescent="0.35">
      <c r="A201" s="139" t="s">
        <v>3241</v>
      </c>
      <c r="B201" s="146">
        <v>45725</v>
      </c>
      <c r="C201" s="2" t="str" cm="1">
        <f t="array" ref="C2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1">
        <f>YEAR(AllData[[#This Row],[Date]])</f>
        <v>2025</v>
      </c>
      <c r="E201" s="147">
        <v>0.69444444444444442</v>
      </c>
      <c r="F201" t="str">
        <f>IF(AND(AllData[[#This Row],[Time]]&lt;0.5, AllData[[#This Row],[Time]]&gt;0.17)=TRUE, "Morning", IF(AND(AllData[[#This Row],[Time]]&lt;0.75, AllData[[#This Row],[Time]]&gt;=0.5)=TRUE, "Afternoon", IF(AND(AllData[[#This Row],[Time]]&lt;1, AllData[[#This Row],[Time]]&gt;=0.75)=TRUE, "Evening", "Night")))</f>
        <v>Afternoon</v>
      </c>
      <c r="G201" t="str">
        <f>_xlfn.XLOOKUP(AllData[[#This Row],[Location Name]], Locations[Location Name],Locations[Group As])</f>
        <v>Carrant Back Lane Beckford</v>
      </c>
      <c r="H201" t="e" vm="4">
        <f>_xlfn.XLOOKUP(AllData[[#This Row],[Site Name]],LocationsKey[Site Name],LocationsKey[District])</f>
        <v>#VALUE!</v>
      </c>
      <c r="I201" t="str">
        <f>_xlfn.XLOOKUP(AllData[[#This Row],[Site Name]],LocationsKey[Site Name],LocationsKey[Town])</f>
        <v>Beckford</v>
      </c>
      <c r="J201" t="str">
        <f>_xlfn.XLOOKUP(AllData[[#This Row],[Site Name]],LocationsKey[Site Name], LocationsKey[Waterway])</f>
        <v>Carrant</v>
      </c>
      <c r="K201" s="139" t="s">
        <v>1736</v>
      </c>
      <c r="L201" s="139">
        <v>52.018448999999997</v>
      </c>
      <c r="M201" s="156">
        <v>-2.0388280000000001</v>
      </c>
      <c r="N201" s="139" t="s">
        <v>68</v>
      </c>
      <c r="O201" s="139">
        <v>770</v>
      </c>
      <c r="P201" s="139">
        <v>12</v>
      </c>
      <c r="Q201" s="139">
        <v>8</v>
      </c>
      <c r="R201" s="107" t="str">
        <f>IF(AllData[[#This Row],[Nitrate (PPM)]]&gt;2, "Very high", IF(AllData[[#This Row],[Nitrate (PPM)]]&gt;1, "High", IF(AllData[[#This Row],[Nitrate (PPM)]]&gt;0.5, "Some evidence", IF(AllData[[#This Row],[Nitrate (PPM)]]&gt;=0, "No evidence"))))</f>
        <v>Very high</v>
      </c>
      <c r="S201" s="139">
        <v>0.16</v>
      </c>
      <c r="T201" s="7" t="str">
        <f>IF(AllData[[#This Row],[Phosphate (PPM)]]&gt;0.5, "Very high", IF(AllData[[#This Row],[Phosphate (PPM)]]&gt;0.1, "High", IF(AllData[[#This Row],[Phosphate (PPM)]]&gt;0.05, "Some evidence", IF(AllData[[#This Row],[Phosphate (PPM)]]&lt;=0.05, "No Evidence", ""))))</f>
        <v>High</v>
      </c>
      <c r="U201" s="139">
        <v>0.11</v>
      </c>
      <c r="V201" s="139"/>
    </row>
    <row r="202" spans="1:22" x14ac:dyDescent="0.35">
      <c r="A202" s="139" t="s">
        <v>3238</v>
      </c>
      <c r="B202" s="146">
        <v>45725</v>
      </c>
      <c r="C202" s="2" t="str" cm="1">
        <f t="array" ref="C2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2">
        <f>YEAR(AllData[[#This Row],[Date]])</f>
        <v>2025</v>
      </c>
      <c r="E202" s="147">
        <v>0.4597222222222222</v>
      </c>
      <c r="F202" t="str">
        <f>IF(AND(AllData[[#This Row],[Time]]&lt;0.5, AllData[[#This Row],[Time]]&gt;0.17)=TRUE, "Morning", IF(AND(AllData[[#This Row],[Time]]&lt;0.75, AllData[[#This Row],[Time]]&gt;=0.5)=TRUE, "Afternoon", IF(AND(AllData[[#This Row],[Time]]&lt;1, AllData[[#This Row],[Time]]&gt;=0.75)=TRUE, "Evening", "Night")))</f>
        <v>Morning</v>
      </c>
      <c r="G202" t="str">
        <f>_xlfn.XLOOKUP(AllData[[#This Row],[Location Name]], Locations[Location Name],Locations[Group As])</f>
        <v>R.Stowe - Lower Fields Farm, Old Brickyard Lane</v>
      </c>
      <c r="H202" t="e" vm="1">
        <f>_xlfn.XLOOKUP(AllData[[#This Row],[Site Name]],LocationsKey[Site Name],LocationsKey[District])</f>
        <v>#VALUE!</v>
      </c>
      <c r="I202" t="e" vm="17">
        <f>_xlfn.XLOOKUP(AllData[[#This Row],[Site Name]],LocationsKey[Site Name],LocationsKey[Town])</f>
        <v>#VALUE!</v>
      </c>
      <c r="J202" t="str">
        <f>_xlfn.XLOOKUP(AllData[[#This Row],[Site Name]],LocationsKey[Site Name], LocationsKey[Waterway])</f>
        <v>Stowe</v>
      </c>
      <c r="K202" s="139" t="s">
        <v>2892</v>
      </c>
      <c r="L202" s="139">
        <v>52.242758000000002</v>
      </c>
      <c r="M202" s="156">
        <v>-1.346231</v>
      </c>
      <c r="N202" s="139" t="s">
        <v>3239</v>
      </c>
      <c r="O202" s="139">
        <v>828</v>
      </c>
      <c r="P202" s="139">
        <v>14.1</v>
      </c>
      <c r="Q202" s="139">
        <v>2</v>
      </c>
      <c r="R202" s="107" t="str">
        <f>IF(AllData[[#This Row],[Nitrate (PPM)]]&gt;2, "Very high", IF(AllData[[#This Row],[Nitrate (PPM)]]&gt;1, "High", IF(AllData[[#This Row],[Nitrate (PPM)]]&gt;0.5, "Some evidence", IF(AllData[[#This Row],[Nitrate (PPM)]]&gt;=0, "No evidence"))))</f>
        <v>High</v>
      </c>
      <c r="S202" s="139">
        <v>0.49</v>
      </c>
      <c r="T202" s="7" t="str">
        <f>IF(AllData[[#This Row],[Phosphate (PPM)]]&gt;0.5, "Very high", IF(AllData[[#This Row],[Phosphate (PPM)]]&gt;0.1, "High", IF(AllData[[#This Row],[Phosphate (PPM)]]&gt;0.05, "Some evidence", IF(AllData[[#This Row],[Phosphate (PPM)]]&lt;=0.05, "No Evidence", ""))))</f>
        <v>High</v>
      </c>
      <c r="U202" s="139">
        <v>0.25</v>
      </c>
      <c r="V202" s="139" t="s">
        <v>3240</v>
      </c>
    </row>
    <row r="203" spans="1:22" x14ac:dyDescent="0.35">
      <c r="A203" s="139" t="s">
        <v>3223</v>
      </c>
      <c r="B203" s="146">
        <v>45724</v>
      </c>
      <c r="C203" s="2" t="str" cm="1">
        <f t="array" ref="C2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3">
        <f>YEAR(AllData[[#This Row],[Date]])</f>
        <v>2025</v>
      </c>
      <c r="E203" s="147">
        <v>0.43819444444444444</v>
      </c>
      <c r="F203" t="str">
        <f>IF(AND(AllData[[#This Row],[Time]]&lt;0.5, AllData[[#This Row],[Time]]&gt;0.17)=TRUE, "Morning", IF(AND(AllData[[#This Row],[Time]]&lt;0.75, AllData[[#This Row],[Time]]&gt;=0.5)=TRUE, "Afternoon", IF(AND(AllData[[#This Row],[Time]]&lt;1, AllData[[#This Row],[Time]]&gt;=0.75)=TRUE, "Evening", "Night")))</f>
        <v>Morning</v>
      </c>
      <c r="G203" t="str">
        <f>_xlfn.XLOOKUP(AllData[[#This Row],[Location Name]], Locations[Location Name],Locations[Group As])</f>
        <v>Avon Smiths Meadow Wyre Piddle</v>
      </c>
      <c r="H203" t="e" vm="6">
        <f>_xlfn.XLOOKUP(AllData[[#This Row],[Site Name]],LocationsKey[Site Name],LocationsKey[District])</f>
        <v>#VALUE!</v>
      </c>
      <c r="I203" t="e" vm="13">
        <f>_xlfn.XLOOKUP(AllData[[#This Row],[Site Name]],LocationsKey[Site Name],LocationsKey[Town])</f>
        <v>#VALUE!</v>
      </c>
      <c r="J203" t="str">
        <f>_xlfn.XLOOKUP(AllData[[#This Row],[Site Name]],LocationsKey[Site Name], LocationsKey[Waterway])</f>
        <v>Avon</v>
      </c>
      <c r="K203" s="139" t="s">
        <v>3224</v>
      </c>
      <c r="L203" s="139">
        <v>52.122998000000003</v>
      </c>
      <c r="M203" s="156">
        <v>-2.0574690000000002</v>
      </c>
      <c r="N203" s="139" t="s">
        <v>25</v>
      </c>
      <c r="O203" s="139">
        <v>963</v>
      </c>
      <c r="P203" s="139">
        <v>9.6999999999999993</v>
      </c>
      <c r="Q203" s="139">
        <v>10</v>
      </c>
      <c r="R203" s="107" t="str">
        <f>IF(AllData[[#This Row],[Nitrate (PPM)]]&gt;2, "Very high", IF(AllData[[#This Row],[Nitrate (PPM)]]&gt;1, "High", IF(AllData[[#This Row],[Nitrate (PPM)]]&gt;0.5, "Some evidence", IF(AllData[[#This Row],[Nitrate (PPM)]]&gt;=0, "No evidence"))))</f>
        <v>Very high</v>
      </c>
      <c r="S203" s="139">
        <v>0.41</v>
      </c>
      <c r="T203" s="7" t="str">
        <f>IF(AllData[[#This Row],[Phosphate (PPM)]]&gt;0.5, "Very high", IF(AllData[[#This Row],[Phosphate (PPM)]]&gt;0.1, "High", IF(AllData[[#This Row],[Phosphate (PPM)]]&gt;0.05, "Some evidence", IF(AllData[[#This Row],[Phosphate (PPM)]]&lt;=0.05, "No Evidence", ""))))</f>
        <v>High</v>
      </c>
      <c r="U203" s="139">
        <v>0.66</v>
      </c>
      <c r="V203" s="139" t="s">
        <v>3225</v>
      </c>
    </row>
    <row r="204" spans="1:22" x14ac:dyDescent="0.35">
      <c r="A204" s="139" t="s">
        <v>3232</v>
      </c>
      <c r="B204" s="146">
        <v>45724</v>
      </c>
      <c r="C204" s="2" t="str" cm="1">
        <f t="array" ref="C2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4">
        <f>YEAR(AllData[[#This Row],[Date]])</f>
        <v>2025</v>
      </c>
      <c r="E204" s="147">
        <v>0.51736111111111116</v>
      </c>
      <c r="F204" t="str">
        <f>IF(AND(AllData[[#This Row],[Time]]&lt;0.5, AllData[[#This Row],[Time]]&gt;0.17)=TRUE, "Morning", IF(AND(AllData[[#This Row],[Time]]&lt;0.75, AllData[[#This Row],[Time]]&gt;=0.5)=TRUE, "Afternoon", IF(AND(AllData[[#This Row],[Time]]&lt;1, AllData[[#This Row],[Time]]&gt;=0.75)=TRUE, "Evening", "Night")))</f>
        <v>Afternoon</v>
      </c>
      <c r="G204" t="str">
        <f>_xlfn.XLOOKUP(AllData[[#This Row],[Location Name]], Locations[Location Name],Locations[Group As])</f>
        <v>Quay Lane Great Comberton</v>
      </c>
      <c r="H204" t="e" vm="6">
        <f>_xlfn.XLOOKUP(AllData[[#This Row],[Site Name]],LocationsKey[Site Name],LocationsKey[District])</f>
        <v>#VALUE!</v>
      </c>
      <c r="I204" t="e" vm="7">
        <f>_xlfn.XLOOKUP(AllData[[#This Row],[Site Name]],LocationsKey[Site Name],LocationsKey[Town])</f>
        <v>#VALUE!</v>
      </c>
      <c r="J204" t="str">
        <f>_xlfn.XLOOKUP(AllData[[#This Row],[Site Name]],LocationsKey[Site Name], LocationsKey[Waterway])</f>
        <v>Avon</v>
      </c>
      <c r="K204" s="139" t="s">
        <v>3233</v>
      </c>
      <c r="L204" s="139">
        <v>52.081783999999999</v>
      </c>
      <c r="M204" s="156">
        <v>-2.0706799999999999</v>
      </c>
      <c r="N204" s="139" t="s">
        <v>3234</v>
      </c>
      <c r="O204" s="139">
        <v>820</v>
      </c>
      <c r="P204" s="139">
        <v>10.9</v>
      </c>
      <c r="Q204" s="139">
        <v>10</v>
      </c>
      <c r="R204" s="107" t="str">
        <f>IF(AllData[[#This Row],[Nitrate (PPM)]]&gt;2, "Very high", IF(AllData[[#This Row],[Nitrate (PPM)]]&gt;1, "High", IF(AllData[[#This Row],[Nitrate (PPM)]]&gt;0.5, "Some evidence", IF(AllData[[#This Row],[Nitrate (PPM)]]&gt;=0, "No evidence"))))</f>
        <v>Very high</v>
      </c>
      <c r="S204" s="139">
        <v>0.78</v>
      </c>
      <c r="T204" s="7" t="str">
        <f>IF(AllData[[#This Row],[Phosphate (PPM)]]&gt;0.5, "Very high", IF(AllData[[#This Row],[Phosphate (PPM)]]&gt;0.1, "High", IF(AllData[[#This Row],[Phosphate (PPM)]]&gt;0.05, "Some evidence", IF(AllData[[#This Row],[Phosphate (PPM)]]&lt;=0.05, "No Evidence", ""))))</f>
        <v>Very high</v>
      </c>
      <c r="U204" s="139">
        <v>1.6</v>
      </c>
      <c r="V204" s="139" t="s">
        <v>3235</v>
      </c>
    </row>
    <row r="205" spans="1:22" x14ac:dyDescent="0.35">
      <c r="A205" s="139" t="s">
        <v>3227</v>
      </c>
      <c r="B205" s="146">
        <v>45724</v>
      </c>
      <c r="C205" s="2" t="str" cm="1">
        <f t="array" ref="C2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5">
        <f>YEAR(AllData[[#This Row],[Date]])</f>
        <v>2025</v>
      </c>
      <c r="E205" s="147">
        <v>0.4548611111111111</v>
      </c>
      <c r="F205" t="str">
        <f>IF(AND(AllData[[#This Row],[Time]]&lt;0.5, AllData[[#This Row],[Time]]&gt;0.17)=TRUE, "Morning", IF(AND(AllData[[#This Row],[Time]]&lt;0.75, AllData[[#This Row],[Time]]&gt;=0.5)=TRUE, "Afternoon", IF(AND(AllData[[#This Row],[Time]]&lt;1, AllData[[#This Row],[Time]]&gt;=0.75)=TRUE, "Evening", "Night")))</f>
        <v>Morning</v>
      </c>
      <c r="G205" t="str">
        <f>_xlfn.XLOOKUP(AllData[[#This Row],[Location Name]], Locations[Location Name],Locations[Group As])</f>
        <v>Site 4 : Heath Gate Ilmington</v>
      </c>
      <c r="H205" t="e" vm="1">
        <f>_xlfn.XLOOKUP(AllData[[#This Row],[Site Name]],LocationsKey[Site Name],LocationsKey[District])</f>
        <v>#VALUE!</v>
      </c>
      <c r="I205" t="e" vm="14">
        <f>_xlfn.XLOOKUP(AllData[[#This Row],[Site Name]],LocationsKey[Site Name],LocationsKey[Town])</f>
        <v>#VALUE!</v>
      </c>
      <c r="J205" t="str">
        <f>_xlfn.XLOOKUP(AllData[[#This Row],[Site Name]],LocationsKey[Site Name], LocationsKey[Waterway])</f>
        <v>Fosseway Brook</v>
      </c>
      <c r="K205" s="139" t="s">
        <v>3183</v>
      </c>
      <c r="L205" s="139">
        <v>52.094847999999999</v>
      </c>
      <c r="M205" s="156">
        <v>-1.6740060000000001</v>
      </c>
      <c r="N205" s="139" t="s">
        <v>31</v>
      </c>
      <c r="O205" s="139">
        <v>814</v>
      </c>
      <c r="P205" s="139">
        <v>10.6</v>
      </c>
      <c r="Q205" s="139">
        <v>10</v>
      </c>
      <c r="R205" s="107" t="str">
        <f>IF(AllData[[#This Row],[Nitrate (PPM)]]&gt;2, "Very high", IF(AllData[[#This Row],[Nitrate (PPM)]]&gt;1, "High", IF(AllData[[#This Row],[Nitrate (PPM)]]&gt;0.5, "Some evidence", IF(AllData[[#This Row],[Nitrate (PPM)]]&gt;=0, "No evidence"))))</f>
        <v>Very high</v>
      </c>
      <c r="S205" s="139">
        <v>3.9</v>
      </c>
      <c r="T205" s="7" t="str">
        <f>IF(AllData[[#This Row],[Phosphate (PPM)]]&gt;0.5, "Very high", IF(AllData[[#This Row],[Phosphate (PPM)]]&gt;0.1, "High", IF(AllData[[#This Row],[Phosphate (PPM)]]&gt;0.05, "Some evidence", IF(AllData[[#This Row],[Phosphate (PPM)]]&lt;=0.05, "No Evidence", ""))))</f>
        <v>Very high</v>
      </c>
      <c r="U205" s="139">
        <v>0</v>
      </c>
      <c r="V205" s="139"/>
    </row>
    <row r="206" spans="1:22" x14ac:dyDescent="0.35">
      <c r="A206" s="139" t="s">
        <v>3237</v>
      </c>
      <c r="B206" s="146">
        <v>45724</v>
      </c>
      <c r="C206" s="2" t="str" cm="1">
        <f t="array" ref="C2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6">
        <f>YEAR(AllData[[#This Row],[Date]])</f>
        <v>2025</v>
      </c>
      <c r="E206" s="147">
        <v>0.67708333333333337</v>
      </c>
      <c r="F206" t="str">
        <f>IF(AND(AllData[[#This Row],[Time]]&lt;0.5, AllData[[#This Row],[Time]]&gt;0.17)=TRUE, "Morning", IF(AND(AllData[[#This Row],[Time]]&lt;0.75, AllData[[#This Row],[Time]]&gt;=0.5)=TRUE, "Afternoon", IF(AND(AllData[[#This Row],[Time]]&lt;1, AllData[[#This Row],[Time]]&gt;=0.75)=TRUE, "Evening", "Night")))</f>
        <v>Afternoon</v>
      </c>
      <c r="G206" t="str">
        <f>_xlfn.XLOOKUP(AllData[[#This Row],[Location Name]], Locations[Location Name],Locations[Group As])</f>
        <v>Black Bear</v>
      </c>
      <c r="H206" t="e" vm="4">
        <f>_xlfn.XLOOKUP(AllData[[#This Row],[Site Name]],LocationsKey[Site Name],LocationsKey[District])</f>
        <v>#VALUE!</v>
      </c>
      <c r="I206" t="e" vm="4">
        <f>_xlfn.XLOOKUP(AllData[[#This Row],[Site Name]],LocationsKey[Site Name],LocationsKey[Town])</f>
        <v>#VALUE!</v>
      </c>
      <c r="J206" t="str">
        <f>_xlfn.XLOOKUP(AllData[[#This Row],[Site Name]],LocationsKey[Site Name], LocationsKey[Waterway])</f>
        <v>Avon</v>
      </c>
      <c r="K206" s="139" t="s">
        <v>1175</v>
      </c>
      <c r="L206" s="139">
        <v>51.997331000000003</v>
      </c>
      <c r="M206" s="156">
        <v>-2.1560709999999998</v>
      </c>
      <c r="N206" s="139" t="s">
        <v>34</v>
      </c>
      <c r="O206" s="139">
        <v>812</v>
      </c>
      <c r="P206" s="139">
        <v>11.5</v>
      </c>
      <c r="Q206" s="139">
        <v>9</v>
      </c>
      <c r="R206" s="107" t="str">
        <f>IF(AllData[[#This Row],[Nitrate (PPM)]]&gt;2, "Very high", IF(AllData[[#This Row],[Nitrate (PPM)]]&gt;1, "High", IF(AllData[[#This Row],[Nitrate (PPM)]]&gt;0.5, "Some evidence", IF(AllData[[#This Row],[Nitrate (PPM)]]&gt;=0, "No evidence"))))</f>
        <v>Very high</v>
      </c>
      <c r="S206" s="139">
        <v>0.44</v>
      </c>
      <c r="T206" s="7" t="str">
        <f>IF(AllData[[#This Row],[Phosphate (PPM)]]&gt;0.5, "Very high", IF(AllData[[#This Row],[Phosphate (PPM)]]&gt;0.1, "High", IF(AllData[[#This Row],[Phosphate (PPM)]]&gt;0.05, "Some evidence", IF(AllData[[#This Row],[Phosphate (PPM)]]&lt;=0.05, "No Evidence", ""))))</f>
        <v>High</v>
      </c>
      <c r="U206" s="139">
        <v>0</v>
      </c>
      <c r="V206" s="139"/>
    </row>
    <row r="207" spans="1:22" x14ac:dyDescent="0.35">
      <c r="A207" s="139" t="s">
        <v>3220</v>
      </c>
      <c r="B207" s="146">
        <v>45724</v>
      </c>
      <c r="C207" s="2" t="str" cm="1">
        <f t="array" ref="C2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7">
        <f>YEAR(AllData[[#This Row],[Date]])</f>
        <v>2025</v>
      </c>
      <c r="E207" s="147">
        <v>0.33958333333333335</v>
      </c>
      <c r="F207" t="str">
        <f>IF(AND(AllData[[#This Row],[Time]]&lt;0.5, AllData[[#This Row],[Time]]&gt;0.17)=TRUE, "Morning", IF(AND(AllData[[#This Row],[Time]]&lt;0.75, AllData[[#This Row],[Time]]&gt;=0.5)=TRUE, "Afternoon", IF(AND(AllData[[#This Row],[Time]]&lt;1, AllData[[#This Row],[Time]]&gt;=0.75)=TRUE, "Evening", "Night")))</f>
        <v>Morning</v>
      </c>
      <c r="G207" t="str">
        <f>_xlfn.XLOOKUP(AllData[[#This Row],[Location Name]], Locations[Location Name],Locations[Group As])</f>
        <v>Lower Lode</v>
      </c>
      <c r="H207" t="e" vm="4">
        <f>_xlfn.XLOOKUP(AllData[[#This Row],[Site Name]],LocationsKey[Site Name],LocationsKey[District])</f>
        <v>#VALUE!</v>
      </c>
      <c r="I207" t="e" vm="4">
        <f>_xlfn.XLOOKUP(AllData[[#This Row],[Site Name]],LocationsKey[Site Name],LocationsKey[Town])</f>
        <v>#VALUE!</v>
      </c>
      <c r="J207" t="str">
        <f>_xlfn.XLOOKUP(AllData[[#This Row],[Site Name]],LocationsKey[Site Name], LocationsKey[Waterway])</f>
        <v>Avon</v>
      </c>
      <c r="K207" s="139" t="s">
        <v>595</v>
      </c>
      <c r="L207" s="139">
        <v>51.984749999999998</v>
      </c>
      <c r="M207" s="156">
        <v>-2.1753209999999998</v>
      </c>
      <c r="N207" s="139" t="s">
        <v>31</v>
      </c>
      <c r="O207" s="139">
        <v>8520</v>
      </c>
      <c r="P207" s="139">
        <v>9.6999999999999993</v>
      </c>
      <c r="Q207" s="139">
        <v>5</v>
      </c>
      <c r="R207" s="107" t="str">
        <f>IF(AllData[[#This Row],[Nitrate (PPM)]]&gt;2, "Very high", IF(AllData[[#This Row],[Nitrate (PPM)]]&gt;1, "High", IF(AllData[[#This Row],[Nitrate (PPM)]]&gt;0.5, "Some evidence", IF(AllData[[#This Row],[Nitrate (PPM)]]&gt;=0, "No evidence"))))</f>
        <v>Very high</v>
      </c>
      <c r="S207" s="139">
        <v>0.47</v>
      </c>
      <c r="T207" s="7" t="str">
        <f>IF(AllData[[#This Row],[Phosphate (PPM)]]&gt;0.5, "Very high", IF(AllData[[#This Row],[Phosphate (PPM)]]&gt;0.1, "High", IF(AllData[[#This Row],[Phosphate (PPM)]]&gt;0.05, "Some evidence", IF(AllData[[#This Row],[Phosphate (PPM)]]&lt;=0.05, "No Evidence", ""))))</f>
        <v>High</v>
      </c>
      <c r="U207" s="139">
        <v>0</v>
      </c>
      <c r="V207" s="139"/>
    </row>
    <row r="208" spans="1:22" x14ac:dyDescent="0.35">
      <c r="A208" s="139" t="s">
        <v>3228</v>
      </c>
      <c r="B208" s="146">
        <v>45724</v>
      </c>
      <c r="C208" s="2" t="str" cm="1">
        <f t="array" ref="C2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8">
        <f>YEAR(AllData[[#This Row],[Date]])</f>
        <v>2025</v>
      </c>
      <c r="E208" s="147">
        <v>0.47083333333333333</v>
      </c>
      <c r="F208" t="str">
        <f>IF(AND(AllData[[#This Row],[Time]]&lt;0.5, AllData[[#This Row],[Time]]&gt;0.17)=TRUE, "Morning", IF(AND(AllData[[#This Row],[Time]]&lt;0.75, AllData[[#This Row],[Time]]&gt;=0.5)=TRUE, "Afternoon", IF(AND(AllData[[#This Row],[Time]]&lt;1, AllData[[#This Row],[Time]]&gt;=0.75)=TRUE, "Evening", "Night")))</f>
        <v>Morning</v>
      </c>
      <c r="G208" t="str">
        <f>_xlfn.XLOOKUP(AllData[[#This Row],[Location Name]], Locations[Location Name],Locations[Group As])</f>
        <v>Piddle Brook Wyre Piddle Bridge</v>
      </c>
      <c r="H208" t="e" vm="6">
        <f>_xlfn.XLOOKUP(AllData[[#This Row],[Site Name]],LocationsKey[Site Name],LocationsKey[District])</f>
        <v>#VALUE!</v>
      </c>
      <c r="I208" t="e" vm="13">
        <f>_xlfn.XLOOKUP(AllData[[#This Row],[Site Name]],LocationsKey[Site Name],LocationsKey[Town])</f>
        <v>#VALUE!</v>
      </c>
      <c r="J208" t="str">
        <f>_xlfn.XLOOKUP(AllData[[#This Row],[Site Name]],LocationsKey[Site Name], LocationsKey[Waterway])</f>
        <v>Piddle Brook</v>
      </c>
      <c r="K208" s="139" t="s">
        <v>3229</v>
      </c>
      <c r="L208" s="139">
        <v>52.126415999999999</v>
      </c>
      <c r="M208" s="156">
        <v>-2.0565359999999999</v>
      </c>
      <c r="N208" s="139" t="s">
        <v>25</v>
      </c>
      <c r="O208" s="139">
        <v>1260</v>
      </c>
      <c r="P208" s="139">
        <v>10.02</v>
      </c>
      <c r="Q208" s="139">
        <v>5</v>
      </c>
      <c r="R208" s="107" t="str">
        <f>IF(AllData[[#This Row],[Nitrate (PPM)]]&gt;2, "Very high", IF(AllData[[#This Row],[Nitrate (PPM)]]&gt;1, "High", IF(AllData[[#This Row],[Nitrate (PPM)]]&gt;0.5, "Some evidence", IF(AllData[[#This Row],[Nitrate (PPM)]]&gt;=0, "No evidence"))))</f>
        <v>Very high</v>
      </c>
      <c r="S208" s="139">
        <v>0.6</v>
      </c>
      <c r="T208" s="7" t="str">
        <f>IF(AllData[[#This Row],[Phosphate (PPM)]]&gt;0.5, "Very high", IF(AllData[[#This Row],[Phosphate (PPM)]]&gt;0.1, "High", IF(AllData[[#This Row],[Phosphate (PPM)]]&gt;0.05, "Some evidence", IF(AllData[[#This Row],[Phosphate (PPM)]]&lt;=0.05, "No Evidence", ""))))</f>
        <v>Very high</v>
      </c>
      <c r="U208" s="139">
        <v>0.26</v>
      </c>
      <c r="V208" s="139" t="s">
        <v>3230</v>
      </c>
    </row>
    <row r="209" spans="1:22" x14ac:dyDescent="0.35">
      <c r="A209" s="139" t="s">
        <v>3226</v>
      </c>
      <c r="B209" s="146">
        <v>45724</v>
      </c>
      <c r="C209" s="2" t="str" cm="1">
        <f t="array" ref="C2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09">
        <f>YEAR(AllData[[#This Row],[Date]])</f>
        <v>2025</v>
      </c>
      <c r="E209" s="147">
        <v>0.44791666666666669</v>
      </c>
      <c r="F209" t="str">
        <f>IF(AND(AllData[[#This Row],[Time]]&lt;0.5, AllData[[#This Row],[Time]]&gt;0.17)=TRUE, "Morning", IF(AND(AllData[[#This Row],[Time]]&lt;0.75, AllData[[#This Row],[Time]]&gt;=0.5)=TRUE, "Afternoon", IF(AND(AllData[[#This Row],[Time]]&lt;1, AllData[[#This Row],[Time]]&gt;=0.75)=TRUE, "Evening", "Night")))</f>
        <v>Morning</v>
      </c>
      <c r="G209" t="str">
        <f>_xlfn.XLOOKUP(AllData[[#This Row],[Location Name]], Locations[Location Name],Locations[Group As])</f>
        <v>Site 3  :  Severn Trent Water processing plant outflow</v>
      </c>
      <c r="H209" t="e" vm="1">
        <f>_xlfn.XLOOKUP(AllData[[#This Row],[Site Name]],LocationsKey[Site Name],LocationsKey[District])</f>
        <v>#VALUE!</v>
      </c>
      <c r="I209" t="e" vm="14">
        <f>_xlfn.XLOOKUP(AllData[[#This Row],[Site Name]],LocationsKey[Site Name],LocationsKey[Town])</f>
        <v>#VALUE!</v>
      </c>
      <c r="J209" t="str">
        <f>_xlfn.XLOOKUP(AllData[[#This Row],[Site Name]],LocationsKey[Site Name], LocationsKey[Waterway])</f>
        <v>Fosseway Brook</v>
      </c>
      <c r="K209" s="139" t="s">
        <v>1917</v>
      </c>
      <c r="L209" s="139">
        <v>52.094557999999999</v>
      </c>
      <c r="M209" s="156">
        <v>-1.6759770000000001</v>
      </c>
      <c r="N209" s="139" t="s">
        <v>31</v>
      </c>
      <c r="O209" s="139">
        <v>899</v>
      </c>
      <c r="P209" s="139">
        <v>10.4</v>
      </c>
      <c r="Q209" s="139">
        <v>5</v>
      </c>
      <c r="R209" s="107" t="str">
        <f>IF(AllData[[#This Row],[Nitrate (PPM)]]&gt;2, "Very high", IF(AllData[[#This Row],[Nitrate (PPM)]]&gt;1, "High", IF(AllData[[#This Row],[Nitrate (PPM)]]&gt;0.5, "Some evidence", IF(AllData[[#This Row],[Nitrate (PPM)]]&gt;=0, "No evidence"))))</f>
        <v>Very high</v>
      </c>
      <c r="S209" s="139">
        <v>6.6</v>
      </c>
      <c r="T209" s="7" t="str">
        <f>IF(AllData[[#This Row],[Phosphate (PPM)]]&gt;0.5, "Very high", IF(AllData[[#This Row],[Phosphate (PPM)]]&gt;0.1, "High", IF(AllData[[#This Row],[Phosphate (PPM)]]&gt;0.05, "Some evidence", IF(AllData[[#This Row],[Phosphate (PPM)]]&lt;=0.05, "No Evidence", ""))))</f>
        <v>Very high</v>
      </c>
      <c r="U209" s="139">
        <v>0</v>
      </c>
      <c r="V209" s="139"/>
    </row>
    <row r="210" spans="1:22" x14ac:dyDescent="0.35">
      <c r="A210" s="139" t="s">
        <v>3221</v>
      </c>
      <c r="B210" s="146">
        <v>45724</v>
      </c>
      <c r="C210" s="2" t="str" cm="1">
        <f t="array" ref="C2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0">
        <f>YEAR(AllData[[#This Row],[Date]])</f>
        <v>2025</v>
      </c>
      <c r="E210" s="147">
        <v>0.40277777777777779</v>
      </c>
      <c r="F210" t="str">
        <f>IF(AND(AllData[[#This Row],[Time]]&lt;0.5, AllData[[#This Row],[Time]]&gt;0.17)=TRUE, "Morning", IF(AND(AllData[[#This Row],[Time]]&lt;0.75, AllData[[#This Row],[Time]]&gt;=0.5)=TRUE, "Afternoon", IF(AND(AllData[[#This Row],[Time]]&lt;1, AllData[[#This Row],[Time]]&gt;=0.75)=TRUE, "Evening", "Night")))</f>
        <v>Morning</v>
      </c>
      <c r="G210" t="str">
        <f>_xlfn.XLOOKUP(AllData[[#This Row],[Location Name]], Locations[Location Name],Locations[Group As])</f>
        <v>The Ford, Langley</v>
      </c>
      <c r="H210" t="e" vm="1">
        <f>_xlfn.XLOOKUP(AllData[[#This Row],[Site Name]],LocationsKey[Site Name],LocationsKey[District])</f>
        <v>#VALUE!</v>
      </c>
      <c r="I210" t="str">
        <f>_xlfn.XLOOKUP(AllData[[#This Row],[Site Name]],LocationsKey[Site Name],LocationsKey[Town])</f>
        <v>Langley</v>
      </c>
      <c r="J210" t="str">
        <f>_xlfn.XLOOKUP(AllData[[#This Row],[Site Name]],LocationsKey[Site Name], LocationsKey[Waterway])</f>
        <v>Langley Ford</v>
      </c>
      <c r="K210" s="139" t="s">
        <v>3092</v>
      </c>
      <c r="L210" s="139">
        <v>52.259779999999999</v>
      </c>
      <c r="M210" s="156">
        <v>-1.7185299999999999</v>
      </c>
      <c r="N210" s="139" t="s">
        <v>31</v>
      </c>
      <c r="O210" s="139">
        <v>702</v>
      </c>
      <c r="P210" s="139">
        <v>9.9</v>
      </c>
      <c r="Q210" s="139">
        <v>5</v>
      </c>
      <c r="R210" s="107" t="str">
        <f>IF(AllData[[#This Row],[Nitrate (PPM)]]&gt;2, "Very high", IF(AllData[[#This Row],[Nitrate (PPM)]]&gt;1, "High", IF(AllData[[#This Row],[Nitrate (PPM)]]&gt;0.5, "Some evidence", IF(AllData[[#This Row],[Nitrate (PPM)]]&gt;=0, "No evidence"))))</f>
        <v>Very high</v>
      </c>
      <c r="S210" s="139">
        <v>0.48</v>
      </c>
      <c r="T210" s="7" t="str">
        <f>IF(AllData[[#This Row],[Phosphate (PPM)]]&gt;0.5, "Very high", IF(AllData[[#This Row],[Phosphate (PPM)]]&gt;0.1, "High", IF(AllData[[#This Row],[Phosphate (PPM)]]&gt;0.05, "Some evidence", IF(AllData[[#This Row],[Phosphate (PPM)]]&lt;=0.05, "No Evidence", ""))))</f>
        <v>High</v>
      </c>
      <c r="U210" s="139">
        <v>0.4</v>
      </c>
      <c r="V210" s="139"/>
    </row>
    <row r="211" spans="1:22" x14ac:dyDescent="0.35">
      <c r="A211" s="139" t="s">
        <v>3231</v>
      </c>
      <c r="B211" s="146">
        <v>45724</v>
      </c>
      <c r="C211" s="2" t="str" cm="1">
        <f t="array" ref="C2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1">
        <f>YEAR(AllData[[#This Row],[Date]])</f>
        <v>2025</v>
      </c>
      <c r="E211" s="147">
        <v>0.5</v>
      </c>
      <c r="F211" t="str">
        <f>IF(AND(AllData[[#This Row],[Time]]&lt;0.5, AllData[[#This Row],[Time]]&gt;0.17)=TRUE, "Morning", IF(AND(AllData[[#This Row],[Time]]&lt;0.75, AllData[[#This Row],[Time]]&gt;=0.5)=TRUE, "Afternoon", IF(AND(AllData[[#This Row],[Time]]&lt;1, AllData[[#This Row],[Time]]&gt;=0.75)=TRUE, "Evening", "Night")))</f>
        <v>Afternoon</v>
      </c>
      <c r="G211" t="str">
        <f>_xlfn.XLOOKUP(AllData[[#This Row],[Location Name]], Locations[Location Name],Locations[Group As])</f>
        <v>Carrant Bredon Rd</v>
      </c>
      <c r="H211" t="e" vm="4">
        <f>_xlfn.XLOOKUP(AllData[[#This Row],[Site Name]],LocationsKey[Site Name],LocationsKey[District])</f>
        <v>#VALUE!</v>
      </c>
      <c r="I211" t="e" vm="4">
        <f>_xlfn.XLOOKUP(AllData[[#This Row],[Site Name]],LocationsKey[Site Name],LocationsKey[Town])</f>
        <v>#VALUE!</v>
      </c>
      <c r="J211" t="str">
        <f>_xlfn.XLOOKUP(AllData[[#This Row],[Site Name]],LocationsKey[Site Name], LocationsKey[Waterway])</f>
        <v>Carrant</v>
      </c>
      <c r="K211" s="139" t="s">
        <v>603</v>
      </c>
      <c r="L211" s="139">
        <v>51.996143000000004</v>
      </c>
      <c r="M211" s="156">
        <v>-2.1562250000000001</v>
      </c>
      <c r="N211" s="139" t="s">
        <v>25</v>
      </c>
      <c r="O211" s="139">
        <v>775</v>
      </c>
      <c r="P211" s="139">
        <v>11.3</v>
      </c>
      <c r="Q211" s="139">
        <v>3</v>
      </c>
      <c r="R211" s="107" t="str">
        <f>IF(AllData[[#This Row],[Nitrate (PPM)]]&gt;2, "Very high", IF(AllData[[#This Row],[Nitrate (PPM)]]&gt;1, "High", IF(AllData[[#This Row],[Nitrate (PPM)]]&gt;0.5, "Some evidence", IF(AllData[[#This Row],[Nitrate (PPM)]]&gt;=0, "No evidence"))))</f>
        <v>Very high</v>
      </c>
      <c r="S211" s="139">
        <v>0.34</v>
      </c>
      <c r="T211" s="7" t="str">
        <f>IF(AllData[[#This Row],[Phosphate (PPM)]]&gt;0.5, "Very high", IF(AllData[[#This Row],[Phosphate (PPM)]]&gt;0.1, "High", IF(AllData[[#This Row],[Phosphate (PPM)]]&gt;0.05, "Some evidence", IF(AllData[[#This Row],[Phosphate (PPM)]]&lt;=0.05, "No Evidence", ""))))</f>
        <v>High</v>
      </c>
      <c r="U211" s="139">
        <v>0.1</v>
      </c>
      <c r="V211" s="139"/>
    </row>
    <row r="212" spans="1:22" x14ac:dyDescent="0.35">
      <c r="A212" s="139" t="s">
        <v>3222</v>
      </c>
      <c r="B212" s="146">
        <v>45724</v>
      </c>
      <c r="C212" s="2" t="str" cm="1">
        <f t="array" ref="C2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2">
        <f>YEAR(AllData[[#This Row],[Date]])</f>
        <v>2025</v>
      </c>
      <c r="E212" s="147">
        <v>0.43819444444444444</v>
      </c>
      <c r="F212" t="str">
        <f>IF(AND(AllData[[#This Row],[Time]]&lt;0.5, AllData[[#This Row],[Time]]&gt;0.17)=TRUE, "Morning", IF(AND(AllData[[#This Row],[Time]]&lt;0.75, AllData[[#This Row],[Time]]&gt;=0.5)=TRUE, "Afternoon", IF(AND(AllData[[#This Row],[Time]]&lt;1, AllData[[#This Row],[Time]]&gt;=0.75)=TRUE, "Evening", "Night")))</f>
        <v>Morning</v>
      </c>
      <c r="G212" t="str">
        <f>_xlfn.XLOOKUP(AllData[[#This Row],[Location Name]], Locations[Location Name],Locations[Group As])</f>
        <v>Site 1  :  Middle Street</v>
      </c>
      <c r="H212" t="e" vm="1">
        <f>_xlfn.XLOOKUP(AllData[[#This Row],[Site Name]],LocationsKey[Site Name],LocationsKey[District])</f>
        <v>#VALUE!</v>
      </c>
      <c r="I212" t="e" vm="14">
        <f>_xlfn.XLOOKUP(AllData[[#This Row],[Site Name]],LocationsKey[Site Name],LocationsKey[Town])</f>
        <v>#VALUE!</v>
      </c>
      <c r="J212" t="str">
        <f>_xlfn.XLOOKUP(AllData[[#This Row],[Site Name]],LocationsKey[Site Name], LocationsKey[Waterway])</f>
        <v>Fosseway Brook</v>
      </c>
      <c r="K212" s="139" t="s">
        <v>670</v>
      </c>
      <c r="L212" s="139">
        <v>52.090077000000001</v>
      </c>
      <c r="M212" s="156">
        <v>-1.6926730000000001</v>
      </c>
      <c r="N212" s="139" t="s">
        <v>68</v>
      </c>
      <c r="O212" s="139">
        <v>641</v>
      </c>
      <c r="P212" s="139">
        <v>10.199999999999999</v>
      </c>
      <c r="Q212" s="139">
        <v>2</v>
      </c>
      <c r="R212" s="107" t="str">
        <f>IF(AllData[[#This Row],[Nitrate (PPM)]]&gt;2, "Very high", IF(AllData[[#This Row],[Nitrate (PPM)]]&gt;1, "High", IF(AllData[[#This Row],[Nitrate (PPM)]]&gt;0.5, "Some evidence", IF(AllData[[#This Row],[Nitrate (PPM)]]&gt;=0, "No evidence"))))</f>
        <v>High</v>
      </c>
      <c r="S212" s="139">
        <v>0.1</v>
      </c>
      <c r="T212" s="7" t="str">
        <f>IF(AllData[[#This Row],[Phosphate (PPM)]]&gt;0.5, "Very high", IF(AllData[[#This Row],[Phosphate (PPM)]]&gt;0.1, "High", IF(AllData[[#This Row],[Phosphate (PPM)]]&gt;0.05, "Some evidence", IF(AllData[[#This Row],[Phosphate (PPM)]]&lt;=0.05, "No Evidence", ""))))</f>
        <v>Some evidence</v>
      </c>
      <c r="U212" s="139">
        <v>0.1</v>
      </c>
      <c r="V212" s="139"/>
    </row>
    <row r="213" spans="1:22" x14ac:dyDescent="0.35">
      <c r="A213" s="139" t="s">
        <v>3236</v>
      </c>
      <c r="B213" s="146">
        <v>45724</v>
      </c>
      <c r="C213" s="2" t="str" cm="1">
        <f t="array" ref="C2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3">
        <f>YEAR(AllData[[#This Row],[Date]])</f>
        <v>2025</v>
      </c>
      <c r="E213" s="147">
        <v>0.64583333333333337</v>
      </c>
      <c r="F213" t="str">
        <f>IF(AND(AllData[[#This Row],[Time]]&lt;0.5, AllData[[#This Row],[Time]]&gt;0.17)=TRUE, "Morning", IF(AND(AllData[[#This Row],[Time]]&lt;0.75, AllData[[#This Row],[Time]]&gt;=0.5)=TRUE, "Afternoon", IF(AND(AllData[[#This Row],[Time]]&lt;1, AllData[[#This Row],[Time]]&gt;=0.75)=TRUE, "Evening", "Night")))</f>
        <v>Afternoon</v>
      </c>
      <c r="G213" t="str">
        <f>_xlfn.XLOOKUP(AllData[[#This Row],[Location Name]], Locations[Location Name],Locations[Group As])</f>
        <v>Fell Mill Footbridge</v>
      </c>
      <c r="H213" t="e" vm="1">
        <f>_xlfn.XLOOKUP(AllData[[#This Row],[Site Name]],LocationsKey[Site Name],LocationsKey[District])</f>
        <v>#VALUE!</v>
      </c>
      <c r="I213" t="e" vm="15">
        <f>_xlfn.XLOOKUP(AllData[[#This Row],[Site Name]],LocationsKey[Site Name],LocationsKey[Town])</f>
        <v>#VALUE!</v>
      </c>
      <c r="J213" t="str">
        <f>_xlfn.XLOOKUP(AllData[[#This Row],[Site Name]],LocationsKey[Site Name], LocationsKey[Waterway])</f>
        <v>Stour</v>
      </c>
      <c r="K213" s="139" t="s">
        <v>1968</v>
      </c>
      <c r="L213" s="139">
        <v>52.070086000000003</v>
      </c>
      <c r="M213" s="156">
        <v>-1.61145</v>
      </c>
      <c r="N213" s="139" t="s">
        <v>31</v>
      </c>
      <c r="O213" s="139">
        <v>603</v>
      </c>
      <c r="P213" s="139">
        <v>12.7</v>
      </c>
      <c r="Q213" s="139">
        <v>0.5</v>
      </c>
      <c r="R213" s="107" t="str">
        <f>IF(AllData[[#This Row],[Nitrate (PPM)]]&gt;2, "Very high", IF(AllData[[#This Row],[Nitrate (PPM)]]&gt;1, "High", IF(AllData[[#This Row],[Nitrate (PPM)]]&gt;0.5, "Some evidence", IF(AllData[[#This Row],[Nitrate (PPM)]]&gt;=0, "No evidence"))))</f>
        <v>No evidence</v>
      </c>
      <c r="S213" s="139">
        <v>0.26</v>
      </c>
      <c r="T213" s="7" t="str">
        <f>IF(AllData[[#This Row],[Phosphate (PPM)]]&gt;0.5, "Very high", IF(AllData[[#This Row],[Phosphate (PPM)]]&gt;0.1, "High", IF(AllData[[#This Row],[Phosphate (PPM)]]&gt;0.05, "Some evidence", IF(AllData[[#This Row],[Phosphate (PPM)]]&lt;=0.05, "No Evidence", ""))))</f>
        <v>High</v>
      </c>
      <c r="U213" s="139">
        <v>2.1</v>
      </c>
      <c r="V213" s="139"/>
    </row>
    <row r="214" spans="1:22" x14ac:dyDescent="0.35">
      <c r="A214" s="139" t="s">
        <v>3217</v>
      </c>
      <c r="B214" s="146">
        <v>45723</v>
      </c>
      <c r="C214" s="2" t="str" cm="1">
        <f t="array" ref="C2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4">
        <f>YEAR(AllData[[#This Row],[Date]])</f>
        <v>2025</v>
      </c>
      <c r="E214" s="147">
        <v>0.43680555555555556</v>
      </c>
      <c r="F214" t="str">
        <f>IF(AND(AllData[[#This Row],[Time]]&lt;0.5, AllData[[#This Row],[Time]]&gt;0.17)=TRUE, "Morning", IF(AND(AllData[[#This Row],[Time]]&lt;0.75, AllData[[#This Row],[Time]]&gt;=0.5)=TRUE, "Afternoon", IF(AND(AllData[[#This Row],[Time]]&lt;1, AllData[[#This Row],[Time]]&gt;=0.75)=TRUE, "Evening", "Night")))</f>
        <v>Morning</v>
      </c>
      <c r="G214" t="str">
        <f>_xlfn.XLOOKUP(AllData[[#This Row],[Location Name]], Locations[Location Name],Locations[Group As])</f>
        <v>Mill Bridge Peopleton</v>
      </c>
      <c r="H214" t="e" vm="6">
        <f>_xlfn.XLOOKUP(AllData[[#This Row],[Site Name]],LocationsKey[Site Name],LocationsKey[District])</f>
        <v>#VALUE!</v>
      </c>
      <c r="I214" t="str">
        <f>_xlfn.XLOOKUP(AllData[[#This Row],[Site Name]],LocationsKey[Site Name],LocationsKey[Town])</f>
        <v>Peopleton</v>
      </c>
      <c r="J214" t="str">
        <f>_xlfn.XLOOKUP(AllData[[#This Row],[Site Name]],LocationsKey[Site Name], LocationsKey[Waterway])</f>
        <v>Bow Brook</v>
      </c>
      <c r="K214" s="139" t="s">
        <v>1015</v>
      </c>
      <c r="L214" s="139">
        <v>52.151499000000001</v>
      </c>
      <c r="M214" s="156">
        <v>-2.0960559999999999</v>
      </c>
      <c r="N214" s="139" t="s">
        <v>31</v>
      </c>
      <c r="O214" s="139">
        <v>1120</v>
      </c>
      <c r="P214" s="139">
        <v>10.7</v>
      </c>
      <c r="Q214" s="139">
        <v>4</v>
      </c>
      <c r="R214" s="107" t="str">
        <f>IF(AllData[[#This Row],[Nitrate (PPM)]]&gt;2, "Very high", IF(AllData[[#This Row],[Nitrate (PPM)]]&gt;1, "High", IF(AllData[[#This Row],[Nitrate (PPM)]]&gt;0.5, "Some evidence", IF(AllData[[#This Row],[Nitrate (PPM)]]&gt;=0, "No evidence"))))</f>
        <v>Very high</v>
      </c>
      <c r="S214" s="139">
        <v>0.19</v>
      </c>
      <c r="T214" s="7" t="str">
        <f>IF(AllData[[#This Row],[Phosphate (PPM)]]&gt;0.5, "Very high", IF(AllData[[#This Row],[Phosphate (PPM)]]&gt;0.1, "High", IF(AllData[[#This Row],[Phosphate (PPM)]]&gt;0.05, "Some evidence", IF(AllData[[#This Row],[Phosphate (PPM)]]&lt;=0.05, "No Evidence", ""))))</f>
        <v>High</v>
      </c>
      <c r="U214" s="139">
        <v>0.5</v>
      </c>
      <c r="V214" s="139" t="s">
        <v>3218</v>
      </c>
    </row>
    <row r="215" spans="1:22" x14ac:dyDescent="0.35">
      <c r="A215" s="139" t="s">
        <v>3219</v>
      </c>
      <c r="B215" s="146">
        <v>45723</v>
      </c>
      <c r="C215" s="2" t="str" cm="1">
        <f t="array" ref="C2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5">
        <f>YEAR(AllData[[#This Row],[Date]])</f>
        <v>2025</v>
      </c>
      <c r="E215" s="147">
        <v>0.63749999999999996</v>
      </c>
      <c r="F215" t="str">
        <f>IF(AND(AllData[[#This Row],[Time]]&lt;0.5, AllData[[#This Row],[Time]]&gt;0.17)=TRUE, "Morning", IF(AND(AllData[[#This Row],[Time]]&lt;0.75, AllData[[#This Row],[Time]]&gt;=0.5)=TRUE, "Afternoon", IF(AND(AllData[[#This Row],[Time]]&lt;1, AllData[[#This Row],[Time]]&gt;=0.75)=TRUE, "Evening", "Night")))</f>
        <v>Afternoon</v>
      </c>
      <c r="G215" t="str">
        <f>_xlfn.XLOOKUP(AllData[[#This Row],[Location Name]], Locations[Location Name],Locations[Group As])</f>
        <v>Stour Shipston Mill Bridge</v>
      </c>
      <c r="H215" t="e" vm="1">
        <f>_xlfn.XLOOKUP(AllData[[#This Row],[Site Name]],LocationsKey[Site Name],LocationsKey[District])</f>
        <v>#VALUE!</v>
      </c>
      <c r="I215" t="e" vm="15">
        <f>_xlfn.XLOOKUP(AllData[[#This Row],[Site Name]],LocationsKey[Site Name],LocationsKey[Town])</f>
        <v>#VALUE!</v>
      </c>
      <c r="J215" t="str">
        <f>_xlfn.XLOOKUP(AllData[[#This Row],[Site Name]],LocationsKey[Site Name], LocationsKey[Waterway])</f>
        <v>Stour</v>
      </c>
      <c r="K215" s="139" t="s">
        <v>2038</v>
      </c>
      <c r="L215" s="139">
        <v>52.062347000000003</v>
      </c>
      <c r="M215" s="156">
        <v>-1.6229279999999999</v>
      </c>
      <c r="N215" s="139" t="s">
        <v>25</v>
      </c>
      <c r="O215" s="139">
        <v>607</v>
      </c>
      <c r="P215" s="139">
        <v>13.2</v>
      </c>
      <c r="Q215" s="139">
        <v>3</v>
      </c>
      <c r="R215" s="107" t="str">
        <f>IF(AllData[[#This Row],[Nitrate (PPM)]]&gt;2, "Very high", IF(AllData[[#This Row],[Nitrate (PPM)]]&gt;1, "High", IF(AllData[[#This Row],[Nitrate (PPM)]]&gt;0.5, "Some evidence", IF(AllData[[#This Row],[Nitrate (PPM)]]&gt;=0, "No evidence"))))</f>
        <v>Very high</v>
      </c>
      <c r="S215" s="139">
        <v>0.17</v>
      </c>
      <c r="T215" s="7" t="str">
        <f>IF(AllData[[#This Row],[Phosphate (PPM)]]&gt;0.5, "Very high", IF(AllData[[#This Row],[Phosphate (PPM)]]&gt;0.1, "High", IF(AllData[[#This Row],[Phosphate (PPM)]]&gt;0.05, "Some evidence", IF(AllData[[#This Row],[Phosphate (PPM)]]&lt;=0.05, "No Evidence", ""))))</f>
        <v>High</v>
      </c>
      <c r="U215" s="139">
        <v>0.56000000000000005</v>
      </c>
      <c r="V215" s="139" t="s">
        <v>798</v>
      </c>
    </row>
    <row r="216" spans="1:22" x14ac:dyDescent="0.35">
      <c r="A216" s="139" t="s">
        <v>3215</v>
      </c>
      <c r="B216" s="146">
        <v>45722</v>
      </c>
      <c r="C216" s="2" t="str" cm="1">
        <f t="array" ref="C2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6">
        <f>YEAR(AllData[[#This Row],[Date]])</f>
        <v>2025</v>
      </c>
      <c r="E216" s="147">
        <v>0.53611111111111109</v>
      </c>
      <c r="F216" t="str">
        <f>IF(AND(AllData[[#This Row],[Time]]&lt;0.5, AllData[[#This Row],[Time]]&gt;0.17)=TRUE, "Morning", IF(AND(AllData[[#This Row],[Time]]&lt;0.75, AllData[[#This Row],[Time]]&gt;=0.5)=TRUE, "Afternoon", IF(AND(AllData[[#This Row],[Time]]&lt;1, AllData[[#This Row],[Time]]&gt;=0.75)=TRUE, "Evening", "Night")))</f>
        <v>Afternoon</v>
      </c>
      <c r="G216" t="str">
        <f>_xlfn.XLOOKUP(AllData[[#This Row],[Location Name]], Locations[Location Name],Locations[Group As])</f>
        <v>Preston-on-Stour River Bridge</v>
      </c>
      <c r="H216" t="e" vm="1">
        <f>_xlfn.XLOOKUP(AllData[[#This Row],[Site Name]],LocationsKey[Site Name],LocationsKey[District])</f>
        <v>#VALUE!</v>
      </c>
      <c r="I216" t="e" vm="20">
        <f>_xlfn.XLOOKUP(AllData[[#This Row],[Site Name]],LocationsKey[Site Name],LocationsKey[Town])</f>
        <v>#VALUE!</v>
      </c>
      <c r="J216" t="str">
        <f>_xlfn.XLOOKUP(AllData[[#This Row],[Site Name]],LocationsKey[Site Name], LocationsKey[Waterway])</f>
        <v>Stour</v>
      </c>
      <c r="K216" s="139" t="s">
        <v>164</v>
      </c>
      <c r="L216" s="139">
        <v>52.146566999999997</v>
      </c>
      <c r="M216" s="156">
        <v>-1.6999230000000001</v>
      </c>
      <c r="N216" s="139" t="s">
        <v>31</v>
      </c>
      <c r="O216" s="139">
        <v>672</v>
      </c>
      <c r="P216" s="139">
        <v>8.3000000000000007</v>
      </c>
      <c r="Q216" s="139">
        <v>5</v>
      </c>
      <c r="R216" s="107" t="str">
        <f>IF(AllData[[#This Row],[Nitrate (PPM)]]&gt;2, "Very high", IF(AllData[[#This Row],[Nitrate (PPM)]]&gt;1, "High", IF(AllData[[#This Row],[Nitrate (PPM)]]&gt;0.5, "Some evidence", IF(AllData[[#This Row],[Nitrate (PPM)]]&gt;=0, "No evidence"))))</f>
        <v>Very high</v>
      </c>
      <c r="S216" s="139">
        <v>0.22</v>
      </c>
      <c r="T216" s="7" t="str">
        <f>IF(AllData[[#This Row],[Phosphate (PPM)]]&gt;0.5, "Very high", IF(AllData[[#This Row],[Phosphate (PPM)]]&gt;0.1, "High", IF(AllData[[#This Row],[Phosphate (PPM)]]&gt;0.05, "Some evidence", IF(AllData[[#This Row],[Phosphate (PPM)]]&lt;=0.05, "No Evidence", ""))))</f>
        <v>High</v>
      </c>
      <c r="U216" s="139">
        <v>1.5</v>
      </c>
      <c r="V216" s="139" t="s">
        <v>3216</v>
      </c>
    </row>
    <row r="217" spans="1:22" x14ac:dyDescent="0.35">
      <c r="A217" s="139" t="s">
        <v>3214</v>
      </c>
      <c r="B217" s="146">
        <v>45722</v>
      </c>
      <c r="C217" s="2" t="str" cm="1">
        <f t="array" ref="C2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7">
        <f>YEAR(AllData[[#This Row],[Date]])</f>
        <v>2025</v>
      </c>
      <c r="E217" s="147">
        <v>0.45624999999999999</v>
      </c>
      <c r="F217" t="str">
        <f>IF(AND(AllData[[#This Row],[Time]]&lt;0.5, AllData[[#This Row],[Time]]&gt;0.17)=TRUE, "Morning", IF(AND(AllData[[#This Row],[Time]]&lt;0.75, AllData[[#This Row],[Time]]&gt;=0.5)=TRUE, "Afternoon", IF(AND(AllData[[#This Row],[Time]]&lt;1, AllData[[#This Row],[Time]]&gt;=0.75)=TRUE, "Evening", "Night")))</f>
        <v>Morning</v>
      </c>
      <c r="G217" t="str">
        <f>_xlfn.XLOOKUP(AllData[[#This Row],[Location Name]], Locations[Location Name],Locations[Group As])</f>
        <v>Dock Lane Bredon</v>
      </c>
      <c r="H217" t="e" vm="6">
        <f>_xlfn.XLOOKUP(AllData[[#This Row],[Site Name]],LocationsKey[Site Name],LocationsKey[District])</f>
        <v>#VALUE!</v>
      </c>
      <c r="I217" t="e" vm="11">
        <f>_xlfn.XLOOKUP(AllData[[#This Row],[Site Name]],LocationsKey[Site Name],LocationsKey[Town])</f>
        <v>#VALUE!</v>
      </c>
      <c r="J217" t="str">
        <f>_xlfn.XLOOKUP(AllData[[#This Row],[Site Name]],LocationsKey[Site Name], LocationsKey[Waterway])</f>
        <v>Avon</v>
      </c>
      <c r="K217" s="139" t="s">
        <v>2374</v>
      </c>
      <c r="L217" s="139"/>
      <c r="M217" s="156"/>
      <c r="N217" s="139" t="s">
        <v>31</v>
      </c>
      <c r="O217" s="139">
        <v>8330</v>
      </c>
      <c r="P217" s="139">
        <v>9.4</v>
      </c>
      <c r="Q217" s="139">
        <v>4</v>
      </c>
      <c r="R217" s="107" t="str">
        <f>IF(AllData[[#This Row],[Nitrate (PPM)]]&gt;2, "Very high", IF(AllData[[#This Row],[Nitrate (PPM)]]&gt;1, "High", IF(AllData[[#This Row],[Nitrate (PPM)]]&gt;0.5, "Some evidence", IF(AllData[[#This Row],[Nitrate (PPM)]]&gt;=0, "No evidence"))))</f>
        <v>Very high</v>
      </c>
      <c r="S217" s="139">
        <v>0.69</v>
      </c>
      <c r="T217" s="7" t="str">
        <f>IF(AllData[[#This Row],[Phosphate (PPM)]]&gt;0.5, "Very high", IF(AllData[[#This Row],[Phosphate (PPM)]]&gt;0.1, "High", IF(AllData[[#This Row],[Phosphate (PPM)]]&gt;0.05, "Some evidence", IF(AllData[[#This Row],[Phosphate (PPM)]]&lt;=0.05, "No Evidence", ""))))</f>
        <v>Very high</v>
      </c>
      <c r="U217" s="139">
        <v>1</v>
      </c>
      <c r="V217" s="139"/>
    </row>
    <row r="218" spans="1:22" x14ac:dyDescent="0.35">
      <c r="A218" s="139" t="s">
        <v>3213</v>
      </c>
      <c r="B218" s="146">
        <v>45722</v>
      </c>
      <c r="C218" s="2" t="str" cm="1">
        <f t="array" ref="C2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8">
        <f>YEAR(AllData[[#This Row],[Date]])</f>
        <v>2025</v>
      </c>
      <c r="E218" s="147">
        <v>0.34027777777777779</v>
      </c>
      <c r="F218" t="str">
        <f>IF(AND(AllData[[#This Row],[Time]]&lt;0.5, AllData[[#This Row],[Time]]&gt;0.17)=TRUE, "Morning", IF(AND(AllData[[#This Row],[Time]]&lt;0.75, AllData[[#This Row],[Time]]&gt;=0.5)=TRUE, "Afternoon", IF(AND(AllData[[#This Row],[Time]]&lt;1, AllData[[#This Row],[Time]]&gt;=0.75)=TRUE, "Evening", "Night")))</f>
        <v>Morning</v>
      </c>
      <c r="G218" t="str">
        <f>_xlfn.XLOOKUP(AllData[[#This Row],[Location Name]], Locations[Location Name],Locations[Group As])</f>
        <v>Swilgate</v>
      </c>
      <c r="H218" t="e" vm="4">
        <f>_xlfn.XLOOKUP(AllData[[#This Row],[Site Name]],LocationsKey[Site Name],LocationsKey[District])</f>
        <v>#VALUE!</v>
      </c>
      <c r="I218" t="e" vm="4">
        <f>_xlfn.XLOOKUP(AllData[[#This Row],[Site Name]],LocationsKey[Site Name],LocationsKey[Town])</f>
        <v>#VALUE!</v>
      </c>
      <c r="J218" t="str">
        <f>_xlfn.XLOOKUP(AllData[[#This Row],[Site Name]],LocationsKey[Site Name], LocationsKey[Waterway])</f>
        <v>Swilgate</v>
      </c>
      <c r="K218" s="139" t="s">
        <v>85</v>
      </c>
      <c r="L218" s="139"/>
      <c r="M218" s="156"/>
      <c r="N218" s="139" t="s">
        <v>34</v>
      </c>
      <c r="O218" s="139">
        <v>998</v>
      </c>
      <c r="P218" s="139">
        <v>6.5</v>
      </c>
      <c r="Q218" s="139">
        <v>4</v>
      </c>
      <c r="R218" s="107" t="str">
        <f>IF(AllData[[#This Row],[Nitrate (PPM)]]&gt;2, "Very high", IF(AllData[[#This Row],[Nitrate (PPM)]]&gt;1, "High", IF(AllData[[#This Row],[Nitrate (PPM)]]&gt;0.5, "Some evidence", IF(AllData[[#This Row],[Nitrate (PPM)]]&gt;=0, "No evidence"))))</f>
        <v>Very high</v>
      </c>
      <c r="S218" s="139">
        <v>0.44</v>
      </c>
      <c r="T218" s="7" t="str">
        <f>IF(AllData[[#This Row],[Phosphate (PPM)]]&gt;0.5, "Very high", IF(AllData[[#This Row],[Phosphate (PPM)]]&gt;0.1, "High", IF(AllData[[#This Row],[Phosphate (PPM)]]&gt;0.05, "Some evidence", IF(AllData[[#This Row],[Phosphate (PPM)]]&lt;=0.05, "No Evidence", ""))))</f>
        <v>High</v>
      </c>
      <c r="U218" s="139">
        <v>0</v>
      </c>
      <c r="V218" s="139"/>
    </row>
    <row r="219" spans="1:22" x14ac:dyDescent="0.35">
      <c r="A219" s="139" t="s">
        <v>3210</v>
      </c>
      <c r="B219" s="146">
        <v>45721</v>
      </c>
      <c r="C219" s="2" t="str" cm="1">
        <f t="array" ref="C2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19">
        <f>YEAR(AllData[[#This Row],[Date]])</f>
        <v>2025</v>
      </c>
      <c r="E219" s="147">
        <v>0.60069444444444442</v>
      </c>
      <c r="F219" t="str">
        <f>IF(AND(AllData[[#This Row],[Time]]&lt;0.5, AllData[[#This Row],[Time]]&gt;0.17)=TRUE, "Morning", IF(AND(AllData[[#This Row],[Time]]&lt;0.75, AllData[[#This Row],[Time]]&gt;=0.5)=TRUE, "Afternoon", IF(AND(AllData[[#This Row],[Time]]&lt;1, AllData[[#This Row],[Time]]&gt;=0.75)=TRUE, "Evening", "Night")))</f>
        <v>Afternoon</v>
      </c>
      <c r="G219" t="str">
        <f>_xlfn.XLOOKUP(AllData[[#This Row],[Location Name]], Locations[Location Name],Locations[Group As])</f>
        <v>Swiffen Bank</v>
      </c>
      <c r="H219" t="e" vm="1">
        <f>_xlfn.XLOOKUP(AllData[[#This Row],[Site Name]],LocationsKey[Site Name],LocationsKey[District])</f>
        <v>#VALUE!</v>
      </c>
      <c r="I219" t="e" vm="2">
        <f>_xlfn.XLOOKUP(AllData[[#This Row],[Site Name]],LocationsKey[Site Name],LocationsKey[Town])</f>
        <v>#VALUE!</v>
      </c>
      <c r="J219" t="str">
        <f>_xlfn.XLOOKUP(AllData[[#This Row],[Site Name]],LocationsKey[Site Name], LocationsKey[Waterway])</f>
        <v>Avon</v>
      </c>
      <c r="K219" s="139" t="s">
        <v>286</v>
      </c>
      <c r="L219" s="139">
        <v>52.206477999999997</v>
      </c>
      <c r="M219" s="156">
        <v>-1.653894</v>
      </c>
      <c r="N219" s="139" t="s">
        <v>31</v>
      </c>
      <c r="O219" s="139">
        <v>675</v>
      </c>
      <c r="P219" s="139">
        <v>10.5</v>
      </c>
      <c r="Q219" s="139">
        <v>10</v>
      </c>
      <c r="R219" s="107" t="str">
        <f>IF(AllData[[#This Row],[Nitrate (PPM)]]&gt;2, "Very high", IF(AllData[[#This Row],[Nitrate (PPM)]]&gt;1, "High", IF(AllData[[#This Row],[Nitrate (PPM)]]&gt;0.5, "Some evidence", IF(AllData[[#This Row],[Nitrate (PPM)]]&gt;=0, "No evidence"))))</f>
        <v>Very high</v>
      </c>
      <c r="S219" s="139">
        <v>0.41</v>
      </c>
      <c r="T219" s="7" t="str">
        <f>IF(AllData[[#This Row],[Phosphate (PPM)]]&gt;0.5, "Very high", IF(AllData[[#This Row],[Phosphate (PPM)]]&gt;0.1, "High", IF(AllData[[#This Row],[Phosphate (PPM)]]&gt;0.05, "Some evidence", IF(AllData[[#This Row],[Phosphate (PPM)]]&lt;=0.05, "No Evidence", ""))))</f>
        <v>High</v>
      </c>
      <c r="U219" s="139">
        <v>0</v>
      </c>
      <c r="V219" s="139" t="s">
        <v>3211</v>
      </c>
    </row>
    <row r="220" spans="1:22" x14ac:dyDescent="0.35">
      <c r="A220" s="139" t="s">
        <v>3208</v>
      </c>
      <c r="B220" s="146">
        <v>45721</v>
      </c>
      <c r="C220" s="2" t="str" cm="1">
        <f t="array" ref="C2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0">
        <f>YEAR(AllData[[#This Row],[Date]])</f>
        <v>2025</v>
      </c>
      <c r="E220" s="147">
        <v>0.58750000000000002</v>
      </c>
      <c r="F220" t="str">
        <f>IF(AND(AllData[[#This Row],[Time]]&lt;0.5, AllData[[#This Row],[Time]]&gt;0.17)=TRUE, "Morning", IF(AND(AllData[[#This Row],[Time]]&lt;0.75, AllData[[#This Row],[Time]]&gt;=0.5)=TRUE, "Afternoon", IF(AND(AllData[[#This Row],[Time]]&lt;1, AllData[[#This Row],[Time]]&gt;=0.75)=TRUE, "Evening", "Night")))</f>
        <v>Afternoon</v>
      </c>
      <c r="G220" t="str">
        <f>_xlfn.XLOOKUP(AllData[[#This Row],[Location Name]], Locations[Location Name],Locations[Group As])</f>
        <v>Alveston Weir</v>
      </c>
      <c r="H220" t="e" vm="1">
        <f>_xlfn.XLOOKUP(AllData[[#This Row],[Site Name]],LocationsKey[Site Name],LocationsKey[District])</f>
        <v>#VALUE!</v>
      </c>
      <c r="I220" t="e" vm="2">
        <f>_xlfn.XLOOKUP(AllData[[#This Row],[Site Name]],LocationsKey[Site Name],LocationsKey[Town])</f>
        <v>#VALUE!</v>
      </c>
      <c r="J220" t="str">
        <f>_xlfn.XLOOKUP(AllData[[#This Row],[Site Name]],LocationsKey[Site Name], LocationsKey[Waterway])</f>
        <v>Avon</v>
      </c>
      <c r="K220" s="139" t="s">
        <v>288</v>
      </c>
      <c r="L220" s="139">
        <v>52.212288999999998</v>
      </c>
      <c r="M220" s="156">
        <v>-1.660452</v>
      </c>
      <c r="N220" s="139" t="s">
        <v>31</v>
      </c>
      <c r="O220" s="139">
        <v>671</v>
      </c>
      <c r="P220" s="139">
        <v>8.8000000000000007</v>
      </c>
      <c r="Q220" s="139">
        <v>10</v>
      </c>
      <c r="R220" s="107" t="str">
        <f>IF(AllData[[#This Row],[Nitrate (PPM)]]&gt;2, "Very high", IF(AllData[[#This Row],[Nitrate (PPM)]]&gt;1, "High", IF(AllData[[#This Row],[Nitrate (PPM)]]&gt;0.5, "Some evidence", IF(AllData[[#This Row],[Nitrate (PPM)]]&gt;=0, "No evidence"))))</f>
        <v>Very high</v>
      </c>
      <c r="S220" s="139">
        <v>0.49</v>
      </c>
      <c r="T220" s="7" t="str">
        <f>IF(AllData[[#This Row],[Phosphate (PPM)]]&gt;0.5, "Very high", IF(AllData[[#This Row],[Phosphate (PPM)]]&gt;0.1, "High", IF(AllData[[#This Row],[Phosphate (PPM)]]&gt;0.05, "Some evidence", IF(AllData[[#This Row],[Phosphate (PPM)]]&lt;=0.05, "No Evidence", ""))))</f>
        <v>High</v>
      </c>
      <c r="U220" s="139">
        <v>0</v>
      </c>
      <c r="V220" s="139" t="s">
        <v>3209</v>
      </c>
    </row>
    <row r="221" spans="1:22" x14ac:dyDescent="0.35">
      <c r="A221" s="139" t="s">
        <v>3212</v>
      </c>
      <c r="B221" s="146">
        <v>45721</v>
      </c>
      <c r="C221" s="2" t="str" cm="1">
        <f t="array" ref="C2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1">
        <f>YEAR(AllData[[#This Row],[Date]])</f>
        <v>2025</v>
      </c>
      <c r="E221" s="147">
        <v>0.66805555555555551</v>
      </c>
      <c r="F221" t="str">
        <f>IF(AND(AllData[[#This Row],[Time]]&lt;0.5, AllData[[#This Row],[Time]]&gt;0.17)=TRUE, "Morning", IF(AND(AllData[[#This Row],[Time]]&lt;0.75, AllData[[#This Row],[Time]]&gt;=0.5)=TRUE, "Afternoon", IF(AND(AllData[[#This Row],[Time]]&lt;1, AllData[[#This Row],[Time]]&gt;=0.75)=TRUE, "Evening", "Night")))</f>
        <v>Afternoon</v>
      </c>
      <c r="G221" t="str">
        <f>_xlfn.XLOOKUP(AllData[[#This Row],[Location Name]], Locations[Location Name],Locations[Group As])</f>
        <v>SSC Bredons Norton</v>
      </c>
      <c r="H221" t="e" vm="6">
        <f>_xlfn.XLOOKUP(AllData[[#This Row],[Site Name]],LocationsKey[Site Name],LocationsKey[District])</f>
        <v>#VALUE!</v>
      </c>
      <c r="I221" t="str">
        <f>_xlfn.XLOOKUP(AllData[[#This Row],[Site Name]],LocationsKey[Site Name],LocationsKey[Town])</f>
        <v>Bredon's Norton</v>
      </c>
      <c r="J221" t="str">
        <f>_xlfn.XLOOKUP(AllData[[#This Row],[Site Name]],LocationsKey[Site Name], LocationsKey[Waterway])</f>
        <v>Avon</v>
      </c>
      <c r="K221" s="139" t="s">
        <v>2121</v>
      </c>
      <c r="L221" s="139">
        <v>52.050783000000003</v>
      </c>
      <c r="M221" s="156">
        <v>-2.1170719999999998</v>
      </c>
      <c r="N221" s="139" t="s">
        <v>25</v>
      </c>
      <c r="O221" s="139">
        <v>761</v>
      </c>
      <c r="P221" s="139">
        <v>9.3000000000000007</v>
      </c>
      <c r="Q221" s="139">
        <v>5</v>
      </c>
      <c r="R221" s="107" t="str">
        <f>IF(AllData[[#This Row],[Nitrate (PPM)]]&gt;2, "Very high", IF(AllData[[#This Row],[Nitrate (PPM)]]&gt;1, "High", IF(AllData[[#This Row],[Nitrate (PPM)]]&gt;0.5, "Some evidence", IF(AllData[[#This Row],[Nitrate (PPM)]]&gt;=0, "No evidence"))))</f>
        <v>Very high</v>
      </c>
      <c r="S221" s="139">
        <v>0.3</v>
      </c>
      <c r="T221" s="7" t="str">
        <f>IF(AllData[[#This Row],[Phosphate (PPM)]]&gt;0.5, "Very high", IF(AllData[[#This Row],[Phosphate (PPM)]]&gt;0.1, "High", IF(AllData[[#This Row],[Phosphate (PPM)]]&gt;0.05, "Some evidence", IF(AllData[[#This Row],[Phosphate (PPM)]]&lt;=0.05, "No Evidence", ""))))</f>
        <v>High</v>
      </c>
      <c r="U221" s="139">
        <v>1</v>
      </c>
      <c r="V221" s="139"/>
    </row>
    <row r="222" spans="1:22" x14ac:dyDescent="0.35">
      <c r="A222" s="140" t="s">
        <v>3206</v>
      </c>
      <c r="B222" s="146">
        <v>45721</v>
      </c>
      <c r="C222" s="2" t="str" cm="1">
        <f t="array" ref="C2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2">
        <f>YEAR(AllData[[#This Row],[Date]])</f>
        <v>2025</v>
      </c>
      <c r="E222" s="147">
        <v>0.51944444444444449</v>
      </c>
      <c r="F222" t="str">
        <f>IF(AND(AllData[[#This Row],[Time]]&lt;0.5, AllData[[#This Row],[Time]]&gt;0.17)=TRUE, "Morning", IF(AND(AllData[[#This Row],[Time]]&lt;0.75, AllData[[#This Row],[Time]]&gt;=0.5)=TRUE, "Afternoon", IF(AND(AllData[[#This Row],[Time]]&lt;1, AllData[[#This Row],[Time]]&gt;=0.75)=TRUE, "Evening", "Night")))</f>
        <v>Afternoon</v>
      </c>
      <c r="G222" t="str">
        <f>_xlfn.XLOOKUP(AllData[[#This Row],[Location Name]], Locations[Location Name],Locations[Group As])</f>
        <v>Walcot Lane, Bow Brook Ford</v>
      </c>
      <c r="H222" t="e" vm="6">
        <f>_xlfn.XLOOKUP(AllData[[#This Row],[Site Name]],LocationsKey[Site Name],LocationsKey[District])</f>
        <v>#VALUE!</v>
      </c>
      <c r="I222" t="e" vm="7">
        <f>_xlfn.XLOOKUP(AllData[[#This Row],[Site Name]],LocationsKey[Site Name],LocationsKey[Town])</f>
        <v>#VALUE!</v>
      </c>
      <c r="J222" t="str">
        <f>_xlfn.XLOOKUP(AllData[[#This Row],[Site Name]],LocationsKey[Site Name], LocationsKey[Waterway])</f>
        <v>Bow Brook</v>
      </c>
      <c r="K222" s="139" t="s">
        <v>775</v>
      </c>
      <c r="L222" s="139">
        <v>52.130600999999999</v>
      </c>
      <c r="M222" s="156">
        <v>-2.0788519999999999</v>
      </c>
      <c r="N222" s="139" t="s">
        <v>798</v>
      </c>
      <c r="O222" s="139">
        <v>1030</v>
      </c>
      <c r="P222" s="139">
        <v>9.8000000000000007</v>
      </c>
      <c r="Q222" s="139">
        <v>2</v>
      </c>
      <c r="R222" s="107" t="str">
        <f>IF(AllData[[#This Row],[Nitrate (PPM)]]&gt;2, "Very high", IF(AllData[[#This Row],[Nitrate (PPM)]]&gt;1, "High", IF(AllData[[#This Row],[Nitrate (PPM)]]&gt;0.5, "Some evidence", IF(AllData[[#This Row],[Nitrate (PPM)]]&gt;=0, "No evidence"))))</f>
        <v>High</v>
      </c>
      <c r="S222" s="139">
        <v>0.52</v>
      </c>
      <c r="T222" s="7" t="str">
        <f>IF(AllData[[#This Row],[Phosphate (PPM)]]&gt;0.5, "Very high", IF(AllData[[#This Row],[Phosphate (PPM)]]&gt;0.1, "High", IF(AllData[[#This Row],[Phosphate (PPM)]]&gt;0.05, "Some evidence", IF(AllData[[#This Row],[Phosphate (PPM)]]&lt;=0.05, "No Evidence", ""))))</f>
        <v>Very high</v>
      </c>
      <c r="U222" s="139">
        <v>0.25</v>
      </c>
      <c r="V222" s="139" t="s">
        <v>3207</v>
      </c>
    </row>
    <row r="223" spans="1:22" x14ac:dyDescent="0.35">
      <c r="A223" s="139" t="s">
        <v>3201</v>
      </c>
      <c r="B223" s="146">
        <v>45720</v>
      </c>
      <c r="C223" s="2" t="str" cm="1">
        <f t="array" ref="C2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3">
        <f>YEAR(AllData[[#This Row],[Date]])</f>
        <v>2025</v>
      </c>
      <c r="E223" s="147">
        <v>0.56111111111111112</v>
      </c>
      <c r="F223" t="str">
        <f>IF(AND(AllData[[#This Row],[Time]]&lt;0.5, AllData[[#This Row],[Time]]&gt;0.17)=TRUE, "Morning", IF(AND(AllData[[#This Row],[Time]]&lt;0.75, AllData[[#This Row],[Time]]&gt;=0.5)=TRUE, "Afternoon", IF(AND(AllData[[#This Row],[Time]]&lt;1, AllData[[#This Row],[Time]]&gt;=0.75)=TRUE, "Evening", "Night")))</f>
        <v>Afternoon</v>
      </c>
      <c r="G223" t="str">
        <f>_xlfn.XLOOKUP(AllData[[#This Row],[Location Name]], Locations[Location Name],Locations[Group As])</f>
        <v>Twyning Fleet</v>
      </c>
      <c r="H223" t="e" vm="4">
        <f>_xlfn.XLOOKUP(AllData[[#This Row],[Site Name]],LocationsKey[Site Name],LocationsKey[District])</f>
        <v>#VALUE!</v>
      </c>
      <c r="I223" t="str">
        <f>_xlfn.XLOOKUP(AllData[[#This Row],[Site Name]],LocationsKey[Site Name],LocationsKey[Town])</f>
        <v>Twyning Green</v>
      </c>
      <c r="J223" t="str">
        <f>_xlfn.XLOOKUP(AllData[[#This Row],[Site Name]],LocationsKey[Site Name], LocationsKey[Waterway])</f>
        <v>Avon</v>
      </c>
      <c r="K223" s="139" t="s">
        <v>2117</v>
      </c>
      <c r="L223" s="139">
        <v>52.027374999999999</v>
      </c>
      <c r="M223" s="156">
        <v>-2.1424820000000002</v>
      </c>
      <c r="N223" s="139" t="s">
        <v>31</v>
      </c>
      <c r="O223" s="139">
        <v>723</v>
      </c>
      <c r="P223" s="139">
        <v>9.1</v>
      </c>
      <c r="Q223" s="139">
        <v>8</v>
      </c>
      <c r="R223" s="107" t="str">
        <f>IF(AllData[[#This Row],[Nitrate (PPM)]]&gt;2, "Very high", IF(AllData[[#This Row],[Nitrate (PPM)]]&gt;1, "High", IF(AllData[[#This Row],[Nitrate (PPM)]]&gt;0.5, "Some evidence", IF(AllData[[#This Row],[Nitrate (PPM)]]&gt;=0, "No evidence"))))</f>
        <v>Very high</v>
      </c>
      <c r="S223" s="139">
        <v>0.43</v>
      </c>
      <c r="T223" s="7" t="str">
        <f>IF(AllData[[#This Row],[Phosphate (PPM)]]&gt;0.5, "Very high", IF(AllData[[#This Row],[Phosphate (PPM)]]&gt;0.1, "High", IF(AllData[[#This Row],[Phosphate (PPM)]]&gt;0.05, "Some evidence", IF(AllData[[#This Row],[Phosphate (PPM)]]&lt;=0.05, "No Evidence", ""))))</f>
        <v>High</v>
      </c>
      <c r="U223" s="139">
        <v>0</v>
      </c>
      <c r="V223" s="139"/>
    </row>
    <row r="224" spans="1:22" x14ac:dyDescent="0.35">
      <c r="A224" s="139" t="s">
        <v>3199</v>
      </c>
      <c r="B224" s="146">
        <v>45720</v>
      </c>
      <c r="C224" s="2" t="str" cm="1">
        <f t="array" ref="C2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4">
        <f>YEAR(AllData[[#This Row],[Date]])</f>
        <v>2025</v>
      </c>
      <c r="E224" s="147">
        <v>0.40277777777777779</v>
      </c>
      <c r="F224" t="str">
        <f>IF(AND(AllData[[#This Row],[Time]]&lt;0.5, AllData[[#This Row],[Time]]&gt;0.17)=TRUE, "Morning", IF(AND(AllData[[#This Row],[Time]]&lt;0.75, AllData[[#This Row],[Time]]&gt;=0.5)=TRUE, "Afternoon", IF(AND(AllData[[#This Row],[Time]]&lt;1, AllData[[#This Row],[Time]]&gt;=0.75)=TRUE, "Evening", "Night")))</f>
        <v>Morning</v>
      </c>
      <c r="G224" t="str">
        <f>_xlfn.XLOOKUP(AllData[[#This Row],[Location Name]], Locations[Location Name],Locations[Group As])</f>
        <v>School Lane</v>
      </c>
      <c r="H224" t="e" vm="1">
        <f>_xlfn.XLOOKUP(AllData[[#This Row],[Site Name]],LocationsKey[Site Name],LocationsKey[District])</f>
        <v>#VALUE!</v>
      </c>
      <c r="I224" t="e" vm="3">
        <f>_xlfn.XLOOKUP(AllData[[#This Row],[Site Name]],LocationsKey[Site Name],LocationsKey[Town])</f>
        <v>#VALUE!</v>
      </c>
      <c r="J224" t="str">
        <f>_xlfn.XLOOKUP(AllData[[#This Row],[Site Name]],LocationsKey[Site Name], LocationsKey[Waterway])</f>
        <v>Avon</v>
      </c>
      <c r="K224" s="139" t="s">
        <v>2252</v>
      </c>
      <c r="L224" s="139">
        <v>52.201850999999998</v>
      </c>
      <c r="M224" s="156">
        <v>-1.672938</v>
      </c>
      <c r="N224" s="139" t="s">
        <v>31</v>
      </c>
      <c r="O224" s="139">
        <v>851</v>
      </c>
      <c r="P224" s="139">
        <v>6.2</v>
      </c>
      <c r="Q224" s="139">
        <v>5</v>
      </c>
      <c r="R224" s="107" t="str">
        <f>IF(AllData[[#This Row],[Nitrate (PPM)]]&gt;2, "Very high", IF(AllData[[#This Row],[Nitrate (PPM)]]&gt;1, "High", IF(AllData[[#This Row],[Nitrate (PPM)]]&gt;0.5, "Some evidence", IF(AllData[[#This Row],[Nitrate (PPM)]]&gt;=0, "No evidence"))))</f>
        <v>Very high</v>
      </c>
      <c r="S224" s="139">
        <v>0.9</v>
      </c>
      <c r="T224" s="7" t="str">
        <f>IF(AllData[[#This Row],[Phosphate (PPM)]]&gt;0.5, "Very high", IF(AllData[[#This Row],[Phosphate (PPM)]]&gt;0.1, "High", IF(AllData[[#This Row],[Phosphate (PPM)]]&gt;0.05, "Some evidence", IF(AllData[[#This Row],[Phosphate (PPM)]]&lt;=0.05, "No Evidence", ""))))</f>
        <v>Very high</v>
      </c>
      <c r="U224" s="139">
        <v>0.75</v>
      </c>
      <c r="V224" s="139"/>
    </row>
    <row r="225" spans="1:22" x14ac:dyDescent="0.35">
      <c r="A225" s="139" t="s">
        <v>3204</v>
      </c>
      <c r="B225" s="146">
        <v>45720</v>
      </c>
      <c r="C225" s="2" t="str" cm="1">
        <f t="array" ref="C2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5">
        <f>YEAR(AllData[[#This Row],[Date]])</f>
        <v>2025</v>
      </c>
      <c r="E225" s="147">
        <v>0.63541666666666663</v>
      </c>
      <c r="F225" t="str">
        <f>IF(AND(AllData[[#This Row],[Time]]&lt;0.5, AllData[[#This Row],[Time]]&gt;0.17)=TRUE, "Morning", IF(AND(AllData[[#This Row],[Time]]&lt;0.75, AllData[[#This Row],[Time]]&gt;=0.5)=TRUE, "Afternoon", IF(AND(AllData[[#This Row],[Time]]&lt;1, AllData[[#This Row],[Time]]&gt;=0.75)=TRUE, "Evening", "Night")))</f>
        <v>Afternoon</v>
      </c>
      <c r="G225" t="str">
        <f>_xlfn.XLOOKUP(AllData[[#This Row],[Location Name]], Locations[Location Name],Locations[Group As])</f>
        <v>New Barn Farm Brailes</v>
      </c>
      <c r="H225" t="e" vm="1">
        <f>_xlfn.XLOOKUP(AllData[[#This Row],[Site Name]],LocationsKey[Site Name],LocationsKey[District])</f>
        <v>#VALUE!</v>
      </c>
      <c r="I225" t="e" vm="5">
        <f>_xlfn.XLOOKUP(AllData[[#This Row],[Site Name]],LocationsKey[Site Name],LocationsKey[Town])</f>
        <v>#VALUE!</v>
      </c>
      <c r="J225" t="str">
        <f>_xlfn.XLOOKUP(AllData[[#This Row],[Site Name]],LocationsKey[Site Name], LocationsKey[Waterway])</f>
        <v>Sutton Brook</v>
      </c>
      <c r="K225" s="139" t="s">
        <v>3205</v>
      </c>
      <c r="L225" s="139"/>
      <c r="M225" s="156"/>
      <c r="N225" s="139" t="s">
        <v>31</v>
      </c>
      <c r="O225" s="139">
        <v>5.86</v>
      </c>
      <c r="P225" s="139">
        <v>9.6999999999999993</v>
      </c>
      <c r="Q225" s="139">
        <v>5</v>
      </c>
      <c r="R225" s="107" t="str">
        <f>IF(AllData[[#This Row],[Nitrate (PPM)]]&gt;2, "Very high", IF(AllData[[#This Row],[Nitrate (PPM)]]&gt;1, "High", IF(AllData[[#This Row],[Nitrate (PPM)]]&gt;0.5, "Some evidence", IF(AllData[[#This Row],[Nitrate (PPM)]]&gt;=0, "No evidence"))))</f>
        <v>Very high</v>
      </c>
      <c r="S225" s="139">
        <v>0.2</v>
      </c>
      <c r="T225" s="7" t="str">
        <f>IF(AllData[[#This Row],[Phosphate (PPM)]]&gt;0.5, "Very high", IF(AllData[[#This Row],[Phosphate (PPM)]]&gt;0.1, "High", IF(AllData[[#This Row],[Phosphate (PPM)]]&gt;0.05, "Some evidence", IF(AllData[[#This Row],[Phosphate (PPM)]]&lt;=0.05, "No Evidence", ""))))</f>
        <v>High</v>
      </c>
      <c r="U225" s="139">
        <v>0.33</v>
      </c>
      <c r="V225" s="139"/>
    </row>
    <row r="226" spans="1:22" x14ac:dyDescent="0.35">
      <c r="A226" s="139" t="s">
        <v>3202</v>
      </c>
      <c r="B226" s="146">
        <v>45720</v>
      </c>
      <c r="C226" s="2" t="str" cm="1">
        <f t="array" ref="C2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6">
        <f>YEAR(AllData[[#This Row],[Date]])</f>
        <v>2025</v>
      </c>
      <c r="E226" s="147">
        <v>0.625</v>
      </c>
      <c r="F226" t="str">
        <f>IF(AND(AllData[[#This Row],[Time]]&lt;0.5, AllData[[#This Row],[Time]]&gt;0.17)=TRUE, "Morning", IF(AND(AllData[[#This Row],[Time]]&lt;0.75, AllData[[#This Row],[Time]]&gt;=0.5)=TRUE, "Afternoon", IF(AND(AllData[[#This Row],[Time]]&lt;1, AllData[[#This Row],[Time]]&gt;=0.75)=TRUE, "Evening", "Night")))</f>
        <v>Afternoon</v>
      </c>
      <c r="G226" t="str">
        <f>_xlfn.XLOOKUP(AllData[[#This Row],[Location Name]], Locations[Location Name],Locations[Group As])</f>
        <v>High Street Brailes</v>
      </c>
      <c r="H226" t="e" vm="1">
        <f>_xlfn.XLOOKUP(AllData[[#This Row],[Site Name]],LocationsKey[Site Name],LocationsKey[District])</f>
        <v>#VALUE!</v>
      </c>
      <c r="I226" t="e" vm="5">
        <f>_xlfn.XLOOKUP(AllData[[#This Row],[Site Name]],LocationsKey[Site Name],LocationsKey[Town])</f>
        <v>#VALUE!</v>
      </c>
      <c r="J226" t="str">
        <f>_xlfn.XLOOKUP(AllData[[#This Row],[Site Name]],LocationsKey[Site Name], LocationsKey[Waterway])</f>
        <v>Sutton Brook</v>
      </c>
      <c r="K226" s="139" t="s">
        <v>3203</v>
      </c>
      <c r="L226" s="139"/>
      <c r="M226" s="156"/>
      <c r="N226" s="139" t="s">
        <v>68</v>
      </c>
      <c r="O226" s="139">
        <v>5.37</v>
      </c>
      <c r="P226" s="139">
        <v>10.7</v>
      </c>
      <c r="Q226" s="139">
        <v>5</v>
      </c>
      <c r="R226" s="107" t="str">
        <f>IF(AllData[[#This Row],[Nitrate (PPM)]]&gt;2, "Very high", IF(AllData[[#This Row],[Nitrate (PPM)]]&gt;1, "High", IF(AllData[[#This Row],[Nitrate (PPM)]]&gt;0.5, "Some evidence", IF(AllData[[#This Row],[Nitrate (PPM)]]&gt;=0, "No evidence"))))</f>
        <v>Very high</v>
      </c>
      <c r="S226" s="139">
        <v>0.04</v>
      </c>
      <c r="T226" s="7" t="str">
        <f>IF(AllData[[#This Row],[Phosphate (PPM)]]&gt;0.5, "Very high", IF(AllData[[#This Row],[Phosphate (PPM)]]&gt;0.1, "High", IF(AllData[[#This Row],[Phosphate (PPM)]]&gt;0.05, "Some evidence", IF(AllData[[#This Row],[Phosphate (PPM)]]&lt;=0.05, "No Evidence", ""))))</f>
        <v>No Evidence</v>
      </c>
      <c r="U226" s="139">
        <v>0.33</v>
      </c>
      <c r="V226" s="139"/>
    </row>
    <row r="227" spans="1:22" x14ac:dyDescent="0.35">
      <c r="A227" s="139" t="s">
        <v>3200</v>
      </c>
      <c r="B227" s="146">
        <v>45720</v>
      </c>
      <c r="C227" s="2" t="str" cm="1">
        <f t="array" ref="C2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7">
        <f>YEAR(AllData[[#This Row],[Date]])</f>
        <v>2025</v>
      </c>
      <c r="E227" s="147">
        <v>0.40833333333333333</v>
      </c>
      <c r="F227" t="str">
        <f>IF(AND(AllData[[#This Row],[Time]]&lt;0.5, AllData[[#This Row],[Time]]&gt;0.17)=TRUE, "Morning", IF(AND(AllData[[#This Row],[Time]]&lt;0.75, AllData[[#This Row],[Time]]&gt;=0.5)=TRUE, "Afternoon", IF(AND(AllData[[#This Row],[Time]]&lt;1, AllData[[#This Row],[Time]]&gt;=0.75)=TRUE, "Evening", "Night")))</f>
        <v>Morning</v>
      </c>
      <c r="G227" t="str">
        <f>_xlfn.XLOOKUP(AllData[[#This Row],[Location Name]], Locations[Location Name],Locations[Group As])</f>
        <v>Carters Lane</v>
      </c>
      <c r="H227" t="e" vm="1">
        <f>_xlfn.XLOOKUP(AllData[[#This Row],[Site Name]],LocationsKey[Site Name],LocationsKey[District])</f>
        <v>#VALUE!</v>
      </c>
      <c r="I227" t="e" vm="3">
        <f>_xlfn.XLOOKUP(AllData[[#This Row],[Site Name]],LocationsKey[Site Name],LocationsKey[Town])</f>
        <v>#VALUE!</v>
      </c>
      <c r="J227" t="str">
        <f>_xlfn.XLOOKUP(AllData[[#This Row],[Site Name]],LocationsKey[Site Name], LocationsKey[Waterway])</f>
        <v>Avon</v>
      </c>
      <c r="K227" s="139" t="s">
        <v>2250</v>
      </c>
      <c r="L227" s="139">
        <v>52.201844000000001</v>
      </c>
      <c r="M227" s="156">
        <v>-1.6729499999999999</v>
      </c>
      <c r="N227" s="139" t="s">
        <v>68</v>
      </c>
      <c r="O227" s="139">
        <v>842</v>
      </c>
      <c r="P227" s="139">
        <v>7.3</v>
      </c>
      <c r="Q227" s="139">
        <v>0</v>
      </c>
      <c r="R227" s="107" t="str">
        <f>IF(AllData[[#This Row],[Nitrate (PPM)]]&gt;2, "Very high", IF(AllData[[#This Row],[Nitrate (PPM)]]&gt;1, "High", IF(AllData[[#This Row],[Nitrate (PPM)]]&gt;0.5, "Some evidence", IF(AllData[[#This Row],[Nitrate (PPM)]]&gt;=0, "No evidence"))))</f>
        <v>No evidence</v>
      </c>
      <c r="S227" s="139">
        <v>0.53</v>
      </c>
      <c r="T227" s="7" t="str">
        <f>IF(AllData[[#This Row],[Phosphate (PPM)]]&gt;0.5, "Very high", IF(AllData[[#This Row],[Phosphate (PPM)]]&gt;0.1, "High", IF(AllData[[#This Row],[Phosphate (PPM)]]&gt;0.05, "Some evidence", IF(AllData[[#This Row],[Phosphate (PPM)]]&lt;=0.05, "No Evidence", ""))))</f>
        <v>Very high</v>
      </c>
      <c r="U227" s="139">
        <v>0.75</v>
      </c>
      <c r="V227" s="139"/>
    </row>
    <row r="228" spans="1:22" x14ac:dyDescent="0.35">
      <c r="A228" s="139" t="s">
        <v>3196</v>
      </c>
      <c r="B228" s="146">
        <v>45719</v>
      </c>
      <c r="C228" s="2" t="str" cm="1">
        <f t="array" ref="C2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8">
        <f>YEAR(AllData[[#This Row],[Date]])</f>
        <v>2025</v>
      </c>
      <c r="E228" s="147">
        <v>0.37847222222222221</v>
      </c>
      <c r="F228" t="str">
        <f>IF(AND(AllData[[#This Row],[Time]]&lt;0.5, AllData[[#This Row],[Time]]&gt;0.17)=TRUE, "Morning", IF(AND(AllData[[#This Row],[Time]]&lt;0.75, AllData[[#This Row],[Time]]&gt;=0.5)=TRUE, "Afternoon", IF(AND(AllData[[#This Row],[Time]]&lt;1, AllData[[#This Row],[Time]]&gt;=0.75)=TRUE, "Evening", "Night")))</f>
        <v>Morning</v>
      </c>
      <c r="G228" t="str">
        <f>_xlfn.XLOOKUP(AllData[[#This Row],[Location Name]], Locations[Location Name],Locations[Group As])</f>
        <v>Chipping Campden Lady J Gateway</v>
      </c>
      <c r="H228" t="e" vm="9">
        <f>_xlfn.XLOOKUP(AllData[[#This Row],[Site Name]],LocationsKey[Site Name],LocationsKey[District])</f>
        <v>#VALUE!</v>
      </c>
      <c r="I228" t="e" vm="10">
        <f>_xlfn.XLOOKUP(AllData[[#This Row],[Site Name]],LocationsKey[Site Name],LocationsKey[Town])</f>
        <v>#VALUE!</v>
      </c>
      <c r="J228" t="str">
        <f>_xlfn.XLOOKUP(AllData[[#This Row],[Site Name]],LocationsKey[Site Name], LocationsKey[Waterway])</f>
        <v>Cam Brook</v>
      </c>
      <c r="K228" s="139" t="s">
        <v>1573</v>
      </c>
      <c r="L228" s="139"/>
      <c r="M228" s="156"/>
      <c r="N228" s="139" t="s">
        <v>68</v>
      </c>
      <c r="O228" s="139">
        <v>541</v>
      </c>
      <c r="P228" s="139">
        <v>5.4</v>
      </c>
      <c r="Q228" s="139">
        <v>5</v>
      </c>
      <c r="R228" s="107" t="str">
        <f>IF(AllData[[#This Row],[Nitrate (PPM)]]&gt;2, "Very high", IF(AllData[[#This Row],[Nitrate (PPM)]]&gt;1, "High", IF(AllData[[#This Row],[Nitrate (PPM)]]&gt;0.5, "Some evidence", IF(AllData[[#This Row],[Nitrate (PPM)]]&gt;=0, "No evidence"))))</f>
        <v>Very high</v>
      </c>
      <c r="S228" s="139">
        <v>0.04</v>
      </c>
      <c r="T228" s="7" t="str">
        <f>IF(AllData[[#This Row],[Phosphate (PPM)]]&gt;0.5, "Very high", IF(AllData[[#This Row],[Phosphate (PPM)]]&gt;0.1, "High", IF(AllData[[#This Row],[Phosphate (PPM)]]&gt;0.05, "Some evidence", IF(AllData[[#This Row],[Phosphate (PPM)]]&lt;=0.05, "No Evidence", ""))))</f>
        <v>No Evidence</v>
      </c>
      <c r="U228" s="139">
        <v>0.15</v>
      </c>
      <c r="V228" s="139"/>
    </row>
    <row r="229" spans="1:22" x14ac:dyDescent="0.35">
      <c r="A229" s="139" t="s">
        <v>3197</v>
      </c>
      <c r="B229" s="146">
        <v>45719</v>
      </c>
      <c r="C229" s="2" t="str" cm="1">
        <f t="array" ref="C2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29">
        <f>YEAR(AllData[[#This Row],[Date]])</f>
        <v>2025</v>
      </c>
      <c r="E229" s="147">
        <v>0.73611111111111116</v>
      </c>
      <c r="F229" t="str">
        <f>IF(AND(AllData[[#This Row],[Time]]&lt;0.5, AllData[[#This Row],[Time]]&gt;0.17)=TRUE, "Morning", IF(AND(AllData[[#This Row],[Time]]&lt;0.75, AllData[[#This Row],[Time]]&gt;=0.5)=TRUE, "Afternoon", IF(AND(AllData[[#This Row],[Time]]&lt;1, AllData[[#This Row],[Time]]&gt;=0.75)=TRUE, "Evening", "Night")))</f>
        <v>Afternoon</v>
      </c>
      <c r="G229" t="str">
        <f>_xlfn.XLOOKUP(AllData[[#This Row],[Location Name]], Locations[Location Name],Locations[Group As])</f>
        <v>Chipping Campden Craves</v>
      </c>
      <c r="H229" t="e" vm="9">
        <f>_xlfn.XLOOKUP(AllData[[#This Row],[Site Name]],LocationsKey[Site Name],LocationsKey[District])</f>
        <v>#VALUE!</v>
      </c>
      <c r="I229" t="e" vm="10">
        <f>_xlfn.XLOOKUP(AllData[[#This Row],[Site Name]],LocationsKey[Site Name],LocationsKey[Town])</f>
        <v>#VALUE!</v>
      </c>
      <c r="J229" t="str">
        <f>_xlfn.XLOOKUP(AllData[[#This Row],[Site Name]],LocationsKey[Site Name], LocationsKey[Waterway])</f>
        <v>Cam Brook</v>
      </c>
      <c r="K229" s="139" t="s">
        <v>3198</v>
      </c>
      <c r="L229" s="139">
        <v>52.048744999999997</v>
      </c>
      <c r="M229" s="156">
        <v>-1.7863830000000001</v>
      </c>
      <c r="N229" s="139" t="s">
        <v>68</v>
      </c>
      <c r="O229" s="139">
        <v>518</v>
      </c>
      <c r="P229" s="139">
        <v>8.6</v>
      </c>
      <c r="Q229" s="139">
        <v>5</v>
      </c>
      <c r="R229" s="107" t="str">
        <f>IF(AllData[[#This Row],[Nitrate (PPM)]]&gt;2, "Very high", IF(AllData[[#This Row],[Nitrate (PPM)]]&gt;1, "High", IF(AllData[[#This Row],[Nitrate (PPM)]]&gt;0.5, "Some evidence", IF(AllData[[#This Row],[Nitrate (PPM)]]&gt;=0, "No evidence"))))</f>
        <v>Very high</v>
      </c>
      <c r="S229" s="139">
        <v>0.02</v>
      </c>
      <c r="T229" s="7" t="str">
        <f>IF(AllData[[#This Row],[Phosphate (PPM)]]&gt;0.5, "Very high", IF(AllData[[#This Row],[Phosphate (PPM)]]&gt;0.1, "High", IF(AllData[[#This Row],[Phosphate (PPM)]]&gt;0.05, "Some evidence", IF(AllData[[#This Row],[Phosphate (PPM)]]&lt;=0.05, "No Evidence", ""))))</f>
        <v>No Evidence</v>
      </c>
      <c r="U229" s="139">
        <v>12</v>
      </c>
      <c r="V229" s="139"/>
    </row>
    <row r="230" spans="1:22" x14ac:dyDescent="0.35">
      <c r="A230" s="139" t="s">
        <v>3195</v>
      </c>
      <c r="B230" s="146">
        <v>45719</v>
      </c>
      <c r="C230" s="2" t="str" cm="1">
        <f t="array" ref="C2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0">
        <f>YEAR(AllData[[#This Row],[Date]])</f>
        <v>2025</v>
      </c>
      <c r="E230" s="147">
        <v>0.35416666666666669</v>
      </c>
      <c r="F230" t="str">
        <f>IF(AND(AllData[[#This Row],[Time]]&lt;0.5, AllData[[#This Row],[Time]]&gt;0.17)=TRUE, "Morning", IF(AND(AllData[[#This Row],[Time]]&lt;0.75, AllData[[#This Row],[Time]]&gt;=0.5)=TRUE, "Afternoon", IF(AND(AllData[[#This Row],[Time]]&lt;1, AllData[[#This Row],[Time]]&gt;=0.75)=TRUE, "Evening", "Night")))</f>
        <v>Morning</v>
      </c>
      <c r="G230" t="str">
        <f>_xlfn.XLOOKUP(AllData[[#This Row],[Location Name]], Locations[Location Name],Locations[Group As])</f>
        <v>Chipping Campden Sewage Works</v>
      </c>
      <c r="H230" t="e" vm="9">
        <f>_xlfn.XLOOKUP(AllData[[#This Row],[Site Name]],LocationsKey[Site Name],LocationsKey[District])</f>
        <v>#VALUE!</v>
      </c>
      <c r="I230" t="e" vm="10">
        <f>_xlfn.XLOOKUP(AllData[[#This Row],[Site Name]],LocationsKey[Site Name],LocationsKey[Town])</f>
        <v>#VALUE!</v>
      </c>
      <c r="J230" t="str">
        <f>_xlfn.XLOOKUP(AllData[[#This Row],[Site Name]],LocationsKey[Site Name], LocationsKey[Waterway])</f>
        <v>Cam Brook</v>
      </c>
      <c r="K230" s="139" t="s">
        <v>1570</v>
      </c>
      <c r="L230" s="139"/>
      <c r="M230" s="156"/>
      <c r="N230" s="139" t="s">
        <v>31</v>
      </c>
      <c r="O230" s="139">
        <v>625</v>
      </c>
      <c r="P230" s="139">
        <v>7.6</v>
      </c>
      <c r="Q230" s="139">
        <v>2</v>
      </c>
      <c r="R230" s="107" t="str">
        <f>IF(AllData[[#This Row],[Nitrate (PPM)]]&gt;2, "Very high", IF(AllData[[#This Row],[Nitrate (PPM)]]&gt;1, "High", IF(AllData[[#This Row],[Nitrate (PPM)]]&gt;0.5, "Some evidence", IF(AllData[[#This Row],[Nitrate (PPM)]]&gt;=0, "No evidence"))))</f>
        <v>High</v>
      </c>
      <c r="S230" s="139">
        <v>0.16</v>
      </c>
      <c r="T230" s="7" t="str">
        <f>IF(AllData[[#This Row],[Phosphate (PPM)]]&gt;0.5, "Very high", IF(AllData[[#This Row],[Phosphate (PPM)]]&gt;0.1, "High", IF(AllData[[#This Row],[Phosphate (PPM)]]&gt;0.05, "Some evidence", IF(AllData[[#This Row],[Phosphate (PPM)]]&lt;=0.05, "No Evidence", ""))))</f>
        <v>High</v>
      </c>
      <c r="U230" s="139">
        <v>0.44</v>
      </c>
      <c r="V230" s="139"/>
    </row>
    <row r="231" spans="1:22" x14ac:dyDescent="0.35">
      <c r="A231" s="139" t="s">
        <v>3184</v>
      </c>
      <c r="B231" s="146">
        <v>45718</v>
      </c>
      <c r="C231" s="2" t="str" cm="1">
        <f t="array" ref="C2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1">
        <f>YEAR(AllData[[#This Row],[Date]])</f>
        <v>2025</v>
      </c>
      <c r="E231" s="147">
        <v>0.58333333333333337</v>
      </c>
      <c r="F231" t="str">
        <f>IF(AND(AllData[[#This Row],[Time]]&lt;0.5, AllData[[#This Row],[Time]]&gt;0.17)=TRUE, "Morning", IF(AND(AllData[[#This Row],[Time]]&lt;0.75, AllData[[#This Row],[Time]]&gt;=0.5)=TRUE, "Afternoon", IF(AND(AllData[[#This Row],[Time]]&lt;1, AllData[[#This Row],[Time]]&gt;=0.75)=TRUE, "Evening", "Night")))</f>
        <v>Afternoon</v>
      </c>
      <c r="G231" t="str">
        <f>_xlfn.XLOOKUP(AllData[[#This Row],[Location Name]], Locations[Location Name],Locations[Group As])</f>
        <v>Sherbourne Brook 2</v>
      </c>
      <c r="H231" t="e" vm="1">
        <f>_xlfn.XLOOKUP(AllData[[#This Row],[Site Name]],LocationsKey[Site Name],LocationsKey[District])</f>
        <v>#VALUE!</v>
      </c>
      <c r="I231" t="str">
        <f>_xlfn.XLOOKUP(AllData[[#This Row],[Site Name]],LocationsKey[Site Name],LocationsKey[Town])</f>
        <v>Unknown</v>
      </c>
      <c r="J231" t="str">
        <f>_xlfn.XLOOKUP(AllData[[#This Row],[Site Name]],LocationsKey[Site Name], LocationsKey[Waterway])</f>
        <v>Sherbourne Brook</v>
      </c>
      <c r="K231" s="139" t="s">
        <v>2995</v>
      </c>
      <c r="L231" s="139"/>
      <c r="M231" s="156"/>
      <c r="N231" s="139"/>
      <c r="O231" s="139">
        <v>1000</v>
      </c>
      <c r="P231" s="139">
        <v>7.7</v>
      </c>
      <c r="Q231" s="139">
        <v>6</v>
      </c>
      <c r="R231" s="107" t="str">
        <f>IF(AllData[[#This Row],[Nitrate (PPM)]]&gt;2, "Very high", IF(AllData[[#This Row],[Nitrate (PPM)]]&gt;1, "High", IF(AllData[[#This Row],[Nitrate (PPM)]]&gt;0.5, "Some evidence", IF(AllData[[#This Row],[Nitrate (PPM)]]&gt;=0, "No evidence"))))</f>
        <v>Very high</v>
      </c>
      <c r="S231" s="139">
        <v>0.26</v>
      </c>
      <c r="T231" s="7" t="str">
        <f>IF(AllData[[#This Row],[Phosphate (PPM)]]&gt;0.5, "Very high", IF(AllData[[#This Row],[Phosphate (PPM)]]&gt;0.1, "High", IF(AllData[[#This Row],[Phosphate (PPM)]]&gt;0.05, "Some evidence", IF(AllData[[#This Row],[Phosphate (PPM)]]&lt;=0.05, "No Evidence", ""))))</f>
        <v>High</v>
      </c>
      <c r="U231" s="139">
        <v>0.2</v>
      </c>
      <c r="V231" s="139" t="s">
        <v>3185</v>
      </c>
    </row>
    <row r="232" spans="1:22" x14ac:dyDescent="0.35">
      <c r="A232" s="139" t="s">
        <v>3181</v>
      </c>
      <c r="B232" s="146">
        <v>45718</v>
      </c>
      <c r="C232" s="2" t="str" cm="1">
        <f t="array" ref="C2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2">
        <f>YEAR(AllData[[#This Row],[Date]])</f>
        <v>2025</v>
      </c>
      <c r="E232" s="147">
        <v>0.48819444444444443</v>
      </c>
      <c r="F232" t="str">
        <f>IF(AND(AllData[[#This Row],[Time]]&lt;0.5, AllData[[#This Row],[Time]]&gt;0.17)=TRUE, "Morning", IF(AND(AllData[[#This Row],[Time]]&lt;0.75, AllData[[#This Row],[Time]]&gt;=0.5)=TRUE, "Afternoon", IF(AND(AllData[[#This Row],[Time]]&lt;1, AllData[[#This Row],[Time]]&gt;=0.75)=TRUE, "Evening", "Night")))</f>
        <v>Morning</v>
      </c>
      <c r="G232" t="str">
        <f>_xlfn.XLOOKUP(AllData[[#This Row],[Location Name]], Locations[Location Name],Locations[Group As])</f>
        <v>Unknown</v>
      </c>
      <c r="H232" t="str">
        <f>_xlfn.XLOOKUP(AllData[[#This Row],[Site Name]],LocationsKey[Site Name],LocationsKey[District])</f>
        <v>Unknown</v>
      </c>
      <c r="I232" t="str">
        <f>_xlfn.XLOOKUP(AllData[[#This Row],[Site Name]],LocationsKey[Site Name],LocationsKey[Town])</f>
        <v>Unknown</v>
      </c>
      <c r="J232" t="str">
        <f>_xlfn.XLOOKUP(AllData[[#This Row],[Site Name]],LocationsKey[Site Name], LocationsKey[Waterway])</f>
        <v>Unknown</v>
      </c>
      <c r="K232" s="139" t="s">
        <v>2641</v>
      </c>
      <c r="L232" s="139">
        <v>52.114246000000001</v>
      </c>
      <c r="M232" s="156">
        <v>-1.6549259999999999</v>
      </c>
      <c r="N232" s="139" t="s">
        <v>31</v>
      </c>
      <c r="O232" s="139">
        <v>779</v>
      </c>
      <c r="P232" s="139">
        <v>7.8</v>
      </c>
      <c r="Q232" s="139">
        <v>5</v>
      </c>
      <c r="R232" s="107" t="str">
        <f>IF(AllData[[#This Row],[Nitrate (PPM)]]&gt;2, "Very high", IF(AllData[[#This Row],[Nitrate (PPM)]]&gt;1, "High", IF(AllData[[#This Row],[Nitrate (PPM)]]&gt;0.5, "Some evidence", IF(AllData[[#This Row],[Nitrate (PPM)]]&gt;=0, "No evidence"))))</f>
        <v>Very high</v>
      </c>
      <c r="S232" s="139">
        <v>5</v>
      </c>
      <c r="T232" s="7" t="str">
        <f>IF(AllData[[#This Row],[Phosphate (PPM)]]&gt;0.5, "Very high", IF(AllData[[#This Row],[Phosphate (PPM)]]&gt;0.1, "High", IF(AllData[[#This Row],[Phosphate (PPM)]]&gt;0.05, "Some evidence", IF(AllData[[#This Row],[Phosphate (PPM)]]&lt;=0.05, "No Evidence", ""))))</f>
        <v>Very high</v>
      </c>
      <c r="U232" s="139">
        <v>0.3</v>
      </c>
      <c r="V232" s="139" t="s">
        <v>533</v>
      </c>
    </row>
    <row r="233" spans="1:22" x14ac:dyDescent="0.35">
      <c r="A233" s="139" t="s">
        <v>3186</v>
      </c>
      <c r="B233" s="146">
        <v>45718</v>
      </c>
      <c r="C233" s="2" t="str" cm="1">
        <f t="array" ref="C2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3">
        <f>YEAR(AllData[[#This Row],[Date]])</f>
        <v>2025</v>
      </c>
      <c r="E233" s="147">
        <v>0.59375</v>
      </c>
      <c r="F233" t="str">
        <f>IF(AND(AllData[[#This Row],[Time]]&lt;0.5, AllData[[#This Row],[Time]]&gt;0.17)=TRUE, "Morning", IF(AND(AllData[[#This Row],[Time]]&lt;0.75, AllData[[#This Row],[Time]]&gt;=0.5)=TRUE, "Afternoon", IF(AND(AllData[[#This Row],[Time]]&lt;1, AllData[[#This Row],[Time]]&gt;=0.75)=TRUE, "Evening", "Night")))</f>
        <v>Afternoon</v>
      </c>
      <c r="G233" t="str">
        <f>_xlfn.XLOOKUP(AllData[[#This Row],[Location Name]], Locations[Location Name],Locations[Group As])</f>
        <v>Bell Brook 1</v>
      </c>
      <c r="H233" t="e" vm="1">
        <f>_xlfn.XLOOKUP(AllData[[#This Row],[Site Name]],LocationsKey[Site Name],LocationsKey[District])</f>
        <v>#VALUE!</v>
      </c>
      <c r="I233" t="e" vm="19">
        <f>_xlfn.XLOOKUP(AllData[[#This Row],[Site Name]],LocationsKey[Site Name],LocationsKey[Town])</f>
        <v>#VALUE!</v>
      </c>
      <c r="J233" t="str">
        <f>_xlfn.XLOOKUP(AllData[[#This Row],[Site Name]],LocationsKey[Site Name], LocationsKey[Waterway])</f>
        <v>Bell Brook</v>
      </c>
      <c r="K233" s="139" t="s">
        <v>3000</v>
      </c>
      <c r="L233" s="139"/>
      <c r="M233" s="156"/>
      <c r="N233" s="139"/>
      <c r="O233" s="139">
        <v>660</v>
      </c>
      <c r="P233" s="139">
        <v>8.3000000000000007</v>
      </c>
      <c r="Q233" s="139">
        <v>4</v>
      </c>
      <c r="R233" s="107" t="str">
        <f>IF(AllData[[#This Row],[Nitrate (PPM)]]&gt;2, "Very high", IF(AllData[[#This Row],[Nitrate (PPM)]]&gt;1, "High", IF(AllData[[#This Row],[Nitrate (PPM)]]&gt;0.5, "Some evidence", IF(AllData[[#This Row],[Nitrate (PPM)]]&gt;=0, "No evidence"))))</f>
        <v>Very high</v>
      </c>
      <c r="S233" s="139">
        <v>0.36</v>
      </c>
      <c r="T233" s="7" t="str">
        <f>IF(AllData[[#This Row],[Phosphate (PPM)]]&gt;0.5, "Very high", IF(AllData[[#This Row],[Phosphate (PPM)]]&gt;0.1, "High", IF(AllData[[#This Row],[Phosphate (PPM)]]&gt;0.05, "Some evidence", IF(AllData[[#This Row],[Phosphate (PPM)]]&lt;=0.05, "No Evidence", ""))))</f>
        <v>High</v>
      </c>
      <c r="U233" s="139">
        <v>0.2</v>
      </c>
      <c r="V233" s="139" t="s">
        <v>3185</v>
      </c>
    </row>
    <row r="234" spans="1:22" x14ac:dyDescent="0.35">
      <c r="A234" s="139" t="s">
        <v>3187</v>
      </c>
      <c r="B234" s="146">
        <v>45718</v>
      </c>
      <c r="C234" s="2" t="str" cm="1">
        <f t="array" ref="C2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4">
        <f>YEAR(AllData[[#This Row],[Date]])</f>
        <v>2025</v>
      </c>
      <c r="E234" s="147">
        <v>0.64236111111111116</v>
      </c>
      <c r="F234" t="str">
        <f>IF(AND(AllData[[#This Row],[Time]]&lt;0.5, AllData[[#This Row],[Time]]&gt;0.17)=TRUE, "Morning", IF(AND(AllData[[#This Row],[Time]]&lt;0.75, AllData[[#This Row],[Time]]&gt;=0.5)=TRUE, "Afternoon", IF(AND(AllData[[#This Row],[Time]]&lt;1, AllData[[#This Row],[Time]]&gt;=0.75)=TRUE, "Evening", "Night")))</f>
        <v>Afternoon</v>
      </c>
      <c r="G234" t="str">
        <f>_xlfn.XLOOKUP(AllData[[#This Row],[Location Name]], Locations[Location Name],Locations[Group As])</f>
        <v>Isbourne Silk Mill Lane</v>
      </c>
      <c r="H234" t="e" vm="4">
        <f>_xlfn.XLOOKUP(AllData[[#This Row],[Site Name]],LocationsKey[Site Name],LocationsKey[District])</f>
        <v>#VALUE!</v>
      </c>
      <c r="I234" t="e" vm="8">
        <f>_xlfn.XLOOKUP(AllData[[#This Row],[Site Name]],LocationsKey[Site Name],LocationsKey[Town])</f>
        <v>#VALUE!</v>
      </c>
      <c r="J234" t="str">
        <f>_xlfn.XLOOKUP(AllData[[#This Row],[Site Name]],LocationsKey[Site Name], LocationsKey[Waterway])</f>
        <v>Isbourne</v>
      </c>
      <c r="K234" s="139" t="s">
        <v>3188</v>
      </c>
      <c r="L234" s="139">
        <v>51.953673000000002</v>
      </c>
      <c r="M234" s="156">
        <v>-1.9623280000000001</v>
      </c>
      <c r="N234" s="139" t="s">
        <v>34</v>
      </c>
      <c r="O234" s="139">
        <v>488</v>
      </c>
      <c r="P234" s="139">
        <v>9.6</v>
      </c>
      <c r="Q234" s="139">
        <v>4</v>
      </c>
      <c r="R234" s="107" t="str">
        <f>IF(AllData[[#This Row],[Nitrate (PPM)]]&gt;2, "Very high", IF(AllData[[#This Row],[Nitrate (PPM)]]&gt;1, "High", IF(AllData[[#This Row],[Nitrate (PPM)]]&gt;0.5, "Some evidence", IF(AllData[[#This Row],[Nitrate (PPM)]]&gt;=0, "No evidence"))))</f>
        <v>Very high</v>
      </c>
      <c r="S234" s="139">
        <v>0.15</v>
      </c>
      <c r="T234" s="7" t="str">
        <f>IF(AllData[[#This Row],[Phosphate (PPM)]]&gt;0.5, "Very high", IF(AllData[[#This Row],[Phosphate (PPM)]]&gt;0.1, "High", IF(AllData[[#This Row],[Phosphate (PPM)]]&gt;0.05, "Some evidence", IF(AllData[[#This Row],[Phosphate (PPM)]]&lt;=0.05, "No Evidence", ""))))</f>
        <v>High</v>
      </c>
      <c r="U234" s="139">
        <v>0</v>
      </c>
      <c r="V234" s="139"/>
    </row>
    <row r="235" spans="1:22" x14ac:dyDescent="0.35">
      <c r="A235" s="139" t="s">
        <v>3191</v>
      </c>
      <c r="B235" s="146">
        <v>45718</v>
      </c>
      <c r="C235" s="2" t="str" cm="1">
        <f t="array" ref="C2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5">
        <f>YEAR(AllData[[#This Row],[Date]])</f>
        <v>2025</v>
      </c>
      <c r="E235" s="147">
        <v>0.67708333333333337</v>
      </c>
      <c r="F235" t="str">
        <f>IF(AND(AllData[[#This Row],[Time]]&lt;0.5, AllData[[#This Row],[Time]]&gt;0.17)=TRUE, "Morning", IF(AND(AllData[[#This Row],[Time]]&lt;0.75, AllData[[#This Row],[Time]]&gt;=0.5)=TRUE, "Afternoon", IF(AND(AllData[[#This Row],[Time]]&lt;1, AllData[[#This Row],[Time]]&gt;=0.75)=TRUE, "Evening", "Night")))</f>
        <v>Afternoon</v>
      </c>
      <c r="G235" t="str">
        <f>_xlfn.XLOOKUP(AllData[[#This Row],[Location Name]], Locations[Location Name],Locations[Group As])</f>
        <v>Preston Bagot Brook</v>
      </c>
      <c r="H235" t="e" vm="1">
        <f>_xlfn.XLOOKUP(AllData[[#This Row],[Site Name]],LocationsKey[Site Name],LocationsKey[District])</f>
        <v>#VALUE!</v>
      </c>
      <c r="I235" t="e" vm="21">
        <f>_xlfn.XLOOKUP(AllData[[#This Row],[Site Name]],LocationsKey[Site Name],LocationsKey[Town])</f>
        <v>#VALUE!</v>
      </c>
      <c r="J235" t="str">
        <f>_xlfn.XLOOKUP(AllData[[#This Row],[Site Name]],LocationsKey[Site Name], LocationsKey[Waterway])</f>
        <v>Preston Bagot Brook</v>
      </c>
      <c r="K235" s="139" t="s">
        <v>3192</v>
      </c>
      <c r="L235" s="139">
        <v>52.286000000000001</v>
      </c>
      <c r="M235" s="156">
        <v>-1.7470000000000001</v>
      </c>
      <c r="N235" s="139" t="s">
        <v>3025</v>
      </c>
      <c r="O235" s="139">
        <v>737</v>
      </c>
      <c r="P235" s="139">
        <v>8.8000000000000007</v>
      </c>
      <c r="Q235" s="139">
        <v>3.5</v>
      </c>
      <c r="R235" s="107" t="str">
        <f>IF(AllData[[#This Row],[Nitrate (PPM)]]&gt;2, "Very high", IF(AllData[[#This Row],[Nitrate (PPM)]]&gt;1, "High", IF(AllData[[#This Row],[Nitrate (PPM)]]&gt;0.5, "Some evidence", IF(AllData[[#This Row],[Nitrate (PPM)]]&gt;=0, "No evidence"))))</f>
        <v>Very high</v>
      </c>
      <c r="S235" s="139">
        <v>0.45</v>
      </c>
      <c r="T235" s="7" t="str">
        <f>IF(AllData[[#This Row],[Phosphate (PPM)]]&gt;0.5, "Very high", IF(AllData[[#This Row],[Phosphate (PPM)]]&gt;0.1, "High", IF(AllData[[#This Row],[Phosphate (PPM)]]&gt;0.05, "Some evidence", IF(AllData[[#This Row],[Phosphate (PPM)]]&lt;=0.05, "No Evidence", ""))))</f>
        <v>High</v>
      </c>
      <c r="U235" s="139">
        <v>0</v>
      </c>
      <c r="V235" s="139"/>
    </row>
    <row r="236" spans="1:22" x14ac:dyDescent="0.35">
      <c r="A236" s="139" t="s">
        <v>3182</v>
      </c>
      <c r="B236" s="146">
        <v>45718</v>
      </c>
      <c r="C236" s="2" t="str" cm="1">
        <f t="array" ref="C2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6">
        <f>YEAR(AllData[[#This Row],[Date]])</f>
        <v>2025</v>
      </c>
      <c r="E236" s="147">
        <v>0.49375000000000002</v>
      </c>
      <c r="F236" t="str">
        <f>IF(AND(AllData[[#This Row],[Time]]&lt;0.5, AllData[[#This Row],[Time]]&gt;0.17)=TRUE, "Morning", IF(AND(AllData[[#This Row],[Time]]&lt;0.75, AllData[[#This Row],[Time]]&gt;=0.5)=TRUE, "Afternoon", IF(AND(AllData[[#This Row],[Time]]&lt;1, AllData[[#This Row],[Time]]&gt;=0.75)=TRUE, "Evening", "Night")))</f>
        <v>Morning</v>
      </c>
      <c r="G236" t="str">
        <f>_xlfn.XLOOKUP(AllData[[#This Row],[Location Name]], Locations[Location Name],Locations[Group As])</f>
        <v>Site 4 : Heath Gate Ilmington</v>
      </c>
      <c r="H236" t="e" vm="1">
        <f>_xlfn.XLOOKUP(AllData[[#This Row],[Site Name]],LocationsKey[Site Name],LocationsKey[District])</f>
        <v>#VALUE!</v>
      </c>
      <c r="I236" t="e" vm="14">
        <f>_xlfn.XLOOKUP(AllData[[#This Row],[Site Name]],LocationsKey[Site Name],LocationsKey[Town])</f>
        <v>#VALUE!</v>
      </c>
      <c r="J236" t="str">
        <f>_xlfn.XLOOKUP(AllData[[#This Row],[Site Name]],LocationsKey[Site Name], LocationsKey[Waterway])</f>
        <v>Fosseway Brook</v>
      </c>
      <c r="K236" s="139" t="s">
        <v>3183</v>
      </c>
      <c r="L236" s="139">
        <v>52.094819000000001</v>
      </c>
      <c r="M236" s="156">
        <v>-1.6738900000000001</v>
      </c>
      <c r="N236" s="139" t="s">
        <v>31</v>
      </c>
      <c r="O236" s="139">
        <v>761</v>
      </c>
      <c r="P236" s="139">
        <v>7.9</v>
      </c>
      <c r="Q236" s="139">
        <v>2</v>
      </c>
      <c r="R236" s="107" t="str">
        <f>IF(AllData[[#This Row],[Nitrate (PPM)]]&gt;2, "Very high", IF(AllData[[#This Row],[Nitrate (PPM)]]&gt;1, "High", IF(AllData[[#This Row],[Nitrate (PPM)]]&gt;0.5, "Some evidence", IF(AllData[[#This Row],[Nitrate (PPM)]]&gt;=0, "No evidence"))))</f>
        <v>High</v>
      </c>
      <c r="S236" s="139">
        <v>2</v>
      </c>
      <c r="T236" s="7" t="str">
        <f>IF(AllData[[#This Row],[Phosphate (PPM)]]&gt;0.5, "Very high", IF(AllData[[#This Row],[Phosphate (PPM)]]&gt;0.1, "High", IF(AllData[[#This Row],[Phosphate (PPM)]]&gt;0.05, "Some evidence", IF(AllData[[#This Row],[Phosphate (PPM)]]&lt;=0.05, "No Evidence", ""))))</f>
        <v>Very high</v>
      </c>
      <c r="U236" s="139">
        <v>0.45</v>
      </c>
      <c r="V236" s="139" t="s">
        <v>533</v>
      </c>
    </row>
    <row r="237" spans="1:22" x14ac:dyDescent="0.35">
      <c r="A237" s="139" t="s">
        <v>3177</v>
      </c>
      <c r="B237" s="146">
        <v>45718</v>
      </c>
      <c r="C237" s="2" t="str" cm="1">
        <f t="array" ref="C2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7">
        <f>YEAR(AllData[[#This Row],[Date]])</f>
        <v>2025</v>
      </c>
      <c r="E237" s="147">
        <v>0.42499999999999999</v>
      </c>
      <c r="F237" t="str">
        <f>IF(AND(AllData[[#This Row],[Time]]&lt;0.5, AllData[[#This Row],[Time]]&gt;0.17)=TRUE, "Morning", IF(AND(AllData[[#This Row],[Time]]&lt;0.75, AllData[[#This Row],[Time]]&gt;=0.5)=TRUE, "Afternoon", IF(AND(AllData[[#This Row],[Time]]&lt;1, AllData[[#This Row],[Time]]&gt;=0.75)=TRUE, "Evening", "Night")))</f>
        <v>Morning</v>
      </c>
      <c r="G237" t="str">
        <f>_xlfn.XLOOKUP(AllData[[#This Row],[Location Name]], Locations[Location Name],Locations[Group As])</f>
        <v>R.Stowe - Lower Fields Farm, Old Brickyard Lane</v>
      </c>
      <c r="H237" t="e" vm="1">
        <f>_xlfn.XLOOKUP(AllData[[#This Row],[Site Name]],LocationsKey[Site Name],LocationsKey[District])</f>
        <v>#VALUE!</v>
      </c>
      <c r="I237" t="e" vm="17">
        <f>_xlfn.XLOOKUP(AllData[[#This Row],[Site Name]],LocationsKey[Site Name],LocationsKey[Town])</f>
        <v>#VALUE!</v>
      </c>
      <c r="J237" t="str">
        <f>_xlfn.XLOOKUP(AllData[[#This Row],[Site Name]],LocationsKey[Site Name], LocationsKey[Waterway])</f>
        <v>Stowe</v>
      </c>
      <c r="K237" s="139" t="s">
        <v>3178</v>
      </c>
      <c r="L237" s="139">
        <v>52.242690000000003</v>
      </c>
      <c r="M237" s="156">
        <v>-1.346079</v>
      </c>
      <c r="N237" s="139" t="s">
        <v>31</v>
      </c>
      <c r="O237" s="139">
        <v>718</v>
      </c>
      <c r="P237" s="139">
        <v>7.2</v>
      </c>
      <c r="Q237" s="139">
        <v>2</v>
      </c>
      <c r="R237" s="107" t="str">
        <f>IF(AllData[[#This Row],[Nitrate (PPM)]]&gt;2, "Very high", IF(AllData[[#This Row],[Nitrate (PPM)]]&gt;1, "High", IF(AllData[[#This Row],[Nitrate (PPM)]]&gt;0.5, "Some evidence", IF(AllData[[#This Row],[Nitrate (PPM)]]&gt;=0, "No evidence"))))</f>
        <v>High</v>
      </c>
      <c r="S237" s="139">
        <v>0.38</v>
      </c>
      <c r="T237" s="7" t="str">
        <f>IF(AllData[[#This Row],[Phosphate (PPM)]]&gt;0.5, "Very high", IF(AllData[[#This Row],[Phosphate (PPM)]]&gt;0.1, "High", IF(AllData[[#This Row],[Phosphate (PPM)]]&gt;0.05, "Some evidence", IF(AllData[[#This Row],[Phosphate (PPM)]]&lt;=0.05, "No Evidence", ""))))</f>
        <v>High</v>
      </c>
      <c r="U237" s="139">
        <v>0.32</v>
      </c>
      <c r="V237" s="139" t="s">
        <v>3179</v>
      </c>
    </row>
    <row r="238" spans="1:22" x14ac:dyDescent="0.35">
      <c r="A238" s="139" t="s">
        <v>3189</v>
      </c>
      <c r="B238" s="146">
        <v>45718</v>
      </c>
      <c r="C238" s="2" t="str" cm="1">
        <f t="array" ref="C2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8">
        <f>YEAR(AllData[[#This Row],[Date]])</f>
        <v>2025</v>
      </c>
      <c r="E238" s="147">
        <v>0.65972222222222221</v>
      </c>
      <c r="F238" t="str">
        <f>IF(AND(AllData[[#This Row],[Time]]&lt;0.5, AllData[[#This Row],[Time]]&gt;0.17)=TRUE, "Morning", IF(AND(AllData[[#This Row],[Time]]&lt;0.75, AllData[[#This Row],[Time]]&gt;=0.5)=TRUE, "Afternoon", IF(AND(AllData[[#This Row],[Time]]&lt;1, AllData[[#This Row],[Time]]&gt;=0.75)=TRUE, "Evening", "Night")))</f>
        <v>Afternoon</v>
      </c>
      <c r="G238" t="str">
        <f>_xlfn.XLOOKUP(AllData[[#This Row],[Location Name]], Locations[Location Name],Locations[Group As])</f>
        <v>Abbey Mill</v>
      </c>
      <c r="H238" t="e" vm="4">
        <f>_xlfn.XLOOKUP(AllData[[#This Row],[Site Name]],LocationsKey[Site Name],LocationsKey[District])</f>
        <v>#VALUE!</v>
      </c>
      <c r="I238" t="e" vm="4">
        <f>_xlfn.XLOOKUP(AllData[[#This Row],[Site Name]],LocationsKey[Site Name],LocationsKey[Town])</f>
        <v>#VALUE!</v>
      </c>
      <c r="J238" t="str">
        <f>_xlfn.XLOOKUP(AllData[[#This Row],[Site Name]],LocationsKey[Site Name], LocationsKey[Waterway])</f>
        <v>Avon</v>
      </c>
      <c r="K238" s="139" t="s">
        <v>27</v>
      </c>
      <c r="L238" s="139">
        <v>51.991250000000001</v>
      </c>
      <c r="M238" s="156">
        <v>-2.1626660000000002</v>
      </c>
      <c r="N238" s="139" t="s">
        <v>2855</v>
      </c>
      <c r="O238" s="139">
        <v>702</v>
      </c>
      <c r="P238" s="139">
        <v>10.1</v>
      </c>
      <c r="Q238" s="139">
        <v>2</v>
      </c>
      <c r="R238" s="107" t="str">
        <f>IF(AllData[[#This Row],[Nitrate (PPM)]]&gt;2, "Very high", IF(AllData[[#This Row],[Nitrate (PPM)]]&gt;1, "High", IF(AllData[[#This Row],[Nitrate (PPM)]]&gt;0.5, "Some evidence", IF(AllData[[#This Row],[Nitrate (PPM)]]&gt;=0, "No evidence"))))</f>
        <v>High</v>
      </c>
      <c r="S238" s="139">
        <v>0.46</v>
      </c>
      <c r="T238" s="7" t="str">
        <f>IF(AllData[[#This Row],[Phosphate (PPM)]]&gt;0.5, "Very high", IF(AllData[[#This Row],[Phosphate (PPM)]]&gt;0.1, "High", IF(AllData[[#This Row],[Phosphate (PPM)]]&gt;0.05, "Some evidence", IF(AllData[[#This Row],[Phosphate (PPM)]]&lt;=0.05, "No Evidence", ""))))</f>
        <v>High</v>
      </c>
      <c r="U238" s="139">
        <v>0.7</v>
      </c>
      <c r="V238" s="139" t="s">
        <v>3190</v>
      </c>
    </row>
    <row r="239" spans="1:22" x14ac:dyDescent="0.35">
      <c r="A239" s="139" t="s">
        <v>3180</v>
      </c>
      <c r="B239" s="146">
        <v>45718</v>
      </c>
      <c r="C239" s="2" t="str" cm="1">
        <f t="array" ref="C2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39">
        <f>YEAR(AllData[[#This Row],[Date]])</f>
        <v>2025</v>
      </c>
      <c r="E239" s="147">
        <v>0.46458333333333335</v>
      </c>
      <c r="F239" t="str">
        <f>IF(AND(AllData[[#This Row],[Time]]&lt;0.5, AllData[[#This Row],[Time]]&gt;0.17)=TRUE, "Morning", IF(AND(AllData[[#This Row],[Time]]&lt;0.75, AllData[[#This Row],[Time]]&gt;=0.5)=TRUE, "Afternoon", IF(AND(AllData[[#This Row],[Time]]&lt;1, AllData[[#This Row],[Time]]&gt;=0.75)=TRUE, "Evening", "Night")))</f>
        <v>Morning</v>
      </c>
      <c r="G239" t="str">
        <f>_xlfn.XLOOKUP(AllData[[#This Row],[Location Name]], Locations[Location Name],Locations[Group As])</f>
        <v>Site 1  :  Middle Street</v>
      </c>
      <c r="H239" t="e" vm="1">
        <f>_xlfn.XLOOKUP(AllData[[#This Row],[Site Name]],LocationsKey[Site Name],LocationsKey[District])</f>
        <v>#VALUE!</v>
      </c>
      <c r="I239" t="e" vm="14">
        <f>_xlfn.XLOOKUP(AllData[[#This Row],[Site Name]],LocationsKey[Site Name],LocationsKey[Town])</f>
        <v>#VALUE!</v>
      </c>
      <c r="J239" t="str">
        <f>_xlfn.XLOOKUP(AllData[[#This Row],[Site Name]],LocationsKey[Site Name], LocationsKey[Waterway])</f>
        <v>Fosseway Brook</v>
      </c>
      <c r="K239" s="139" t="s">
        <v>670</v>
      </c>
      <c r="L239" s="139">
        <v>52.090153999999998</v>
      </c>
      <c r="M239" s="156">
        <v>-1.692458</v>
      </c>
      <c r="N239" s="139" t="s">
        <v>68</v>
      </c>
      <c r="O239" s="139">
        <v>609</v>
      </c>
      <c r="P239" s="139">
        <v>6.3</v>
      </c>
      <c r="Q239" s="139">
        <v>1</v>
      </c>
      <c r="R239" s="107" t="str">
        <f>IF(AllData[[#This Row],[Nitrate (PPM)]]&gt;2, "Very high", IF(AllData[[#This Row],[Nitrate (PPM)]]&gt;1, "High", IF(AllData[[#This Row],[Nitrate (PPM)]]&gt;0.5, "Some evidence", IF(AllData[[#This Row],[Nitrate (PPM)]]&gt;=0, "No evidence"))))</f>
        <v>Some evidence</v>
      </c>
      <c r="S239" s="139">
        <v>0</v>
      </c>
      <c r="T239" s="7" t="str">
        <f>IF(AllData[[#This Row],[Phosphate (PPM)]]&gt;0.5, "Very high", IF(AllData[[#This Row],[Phosphate (PPM)]]&gt;0.1, "High", IF(AllData[[#This Row],[Phosphate (PPM)]]&gt;0.05, "Some evidence", IF(AllData[[#This Row],[Phosphate (PPM)]]&lt;=0.05, "No Evidence", ""))))</f>
        <v>No Evidence</v>
      </c>
      <c r="U239" s="139">
        <v>0.05</v>
      </c>
      <c r="V239" s="139" t="s">
        <v>533</v>
      </c>
    </row>
    <row r="240" spans="1:22" x14ac:dyDescent="0.35">
      <c r="A240" s="139" t="s">
        <v>3193</v>
      </c>
      <c r="B240" s="146">
        <v>45718</v>
      </c>
      <c r="C240" s="2" t="str" cm="1">
        <f t="array" ref="C2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0">
        <f>YEAR(AllData[[#This Row],[Date]])</f>
        <v>2025</v>
      </c>
      <c r="E240" s="147">
        <v>0.67708333333333337</v>
      </c>
      <c r="F240" t="str">
        <f>IF(AND(AllData[[#This Row],[Time]]&lt;0.5, AllData[[#This Row],[Time]]&gt;0.17)=TRUE, "Morning", IF(AND(AllData[[#This Row],[Time]]&lt;0.75, AllData[[#This Row],[Time]]&gt;=0.5)=TRUE, "Afternoon", IF(AND(AllData[[#This Row],[Time]]&lt;1, AllData[[#This Row],[Time]]&gt;=0.75)=TRUE, "Evening", "Night")))</f>
        <v>Afternoon</v>
      </c>
      <c r="G240" t="str">
        <f>_xlfn.XLOOKUP(AllData[[#This Row],[Location Name]], Locations[Location Name],Locations[Group As])</f>
        <v>Preston Bagot Canal</v>
      </c>
      <c r="H240" t="e" vm="1">
        <f>_xlfn.XLOOKUP(AllData[[#This Row],[Site Name]],LocationsKey[Site Name],LocationsKey[District])</f>
        <v>#VALUE!</v>
      </c>
      <c r="I240" t="e" vm="21">
        <f>_xlfn.XLOOKUP(AllData[[#This Row],[Site Name]],LocationsKey[Site Name],LocationsKey[Town])</f>
        <v>#VALUE!</v>
      </c>
      <c r="J240" t="str">
        <f>_xlfn.XLOOKUP(AllData[[#This Row],[Site Name]],LocationsKey[Site Name], LocationsKey[Waterway])</f>
        <v>Preston Bagot Canal</v>
      </c>
      <c r="K240" s="139" t="s">
        <v>3194</v>
      </c>
      <c r="L240" s="139">
        <v>52.286999999999999</v>
      </c>
      <c r="M240" s="156">
        <v>-1.746</v>
      </c>
      <c r="N240" s="139" t="s">
        <v>3025</v>
      </c>
      <c r="O240" s="139">
        <v>433</v>
      </c>
      <c r="P240" s="139">
        <v>8.6</v>
      </c>
      <c r="Q240" s="139">
        <v>1</v>
      </c>
      <c r="R240" s="107" t="str">
        <f>IF(AllData[[#This Row],[Nitrate (PPM)]]&gt;2, "Very high", IF(AllData[[#This Row],[Nitrate (PPM)]]&gt;1, "High", IF(AllData[[#This Row],[Nitrate (PPM)]]&gt;0.5, "Some evidence", IF(AllData[[#This Row],[Nitrate (PPM)]]&gt;=0, "No evidence"))))</f>
        <v>Some evidence</v>
      </c>
      <c r="S240" s="139">
        <v>0.17</v>
      </c>
      <c r="T240" s="7" t="str">
        <f>IF(AllData[[#This Row],[Phosphate (PPM)]]&gt;0.5, "Very high", IF(AllData[[#This Row],[Phosphate (PPM)]]&gt;0.1, "High", IF(AllData[[#This Row],[Phosphate (PPM)]]&gt;0.05, "Some evidence", IF(AllData[[#This Row],[Phosphate (PPM)]]&lt;=0.05, "No Evidence", ""))))</f>
        <v>High</v>
      </c>
      <c r="U240" s="139">
        <v>0</v>
      </c>
      <c r="V240" s="139"/>
    </row>
    <row r="241" spans="1:22" x14ac:dyDescent="0.35">
      <c r="A241" s="139" t="s">
        <v>3169</v>
      </c>
      <c r="B241" s="146">
        <v>45717</v>
      </c>
      <c r="C241" s="2" t="str" cm="1">
        <f t="array" ref="C2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1">
        <f>YEAR(AllData[[#This Row],[Date]])</f>
        <v>2025</v>
      </c>
      <c r="E241" s="147">
        <v>0.45555555555555555</v>
      </c>
      <c r="F241" t="str">
        <f>IF(AND(AllData[[#This Row],[Time]]&lt;0.5, AllData[[#This Row],[Time]]&gt;0.17)=TRUE, "Morning", IF(AND(AllData[[#This Row],[Time]]&lt;0.75, AllData[[#This Row],[Time]]&gt;=0.5)=TRUE, "Afternoon", IF(AND(AllData[[#This Row],[Time]]&lt;1, AllData[[#This Row],[Time]]&gt;=0.75)=TRUE, "Evening", "Night")))</f>
        <v>Morning</v>
      </c>
      <c r="G241" t="str">
        <f>_xlfn.XLOOKUP(AllData[[#This Row],[Location Name]], Locations[Location Name],Locations[Group As])</f>
        <v>Piddle Brook Wyre Piddle Bridge</v>
      </c>
      <c r="H241" t="e" vm="6">
        <f>_xlfn.XLOOKUP(AllData[[#This Row],[Site Name]],LocationsKey[Site Name],LocationsKey[District])</f>
        <v>#VALUE!</v>
      </c>
      <c r="I241" t="e" vm="13">
        <f>_xlfn.XLOOKUP(AllData[[#This Row],[Site Name]],LocationsKey[Site Name],LocationsKey[Town])</f>
        <v>#VALUE!</v>
      </c>
      <c r="J241" t="str">
        <f>_xlfn.XLOOKUP(AllData[[#This Row],[Site Name]],LocationsKey[Site Name], LocationsKey[Waterway])</f>
        <v>Piddle Brook</v>
      </c>
      <c r="K241" s="139" t="s">
        <v>787</v>
      </c>
      <c r="L241" s="139">
        <v>52.126399999999997</v>
      </c>
      <c r="M241" s="156">
        <v>-2.0565169999999999</v>
      </c>
      <c r="N241" s="139" t="s">
        <v>34</v>
      </c>
      <c r="O241" s="139">
        <v>998</v>
      </c>
      <c r="P241" s="139">
        <v>5.8</v>
      </c>
      <c r="Q241" s="139">
        <v>5</v>
      </c>
      <c r="R241" s="107" t="str">
        <f>IF(AllData[[#This Row],[Nitrate (PPM)]]&gt;2, "Very high", IF(AllData[[#This Row],[Nitrate (PPM)]]&gt;1, "High", IF(AllData[[#This Row],[Nitrate (PPM)]]&gt;0.5, "Some evidence", IF(AllData[[#This Row],[Nitrate (PPM)]]&gt;=0, "No evidence"))))</f>
        <v>Very high</v>
      </c>
      <c r="S241" s="139">
        <v>0.48</v>
      </c>
      <c r="T241" s="7" t="str">
        <f>IF(AllData[[#This Row],[Phosphate (PPM)]]&gt;0.5, "Very high", IF(AllData[[#This Row],[Phosphate (PPM)]]&gt;0.1, "High", IF(AllData[[#This Row],[Phosphate (PPM)]]&gt;0.05, "Some evidence", IF(AllData[[#This Row],[Phosphate (PPM)]]&lt;=0.05, "No Evidence", ""))))</f>
        <v>High</v>
      </c>
      <c r="U241" s="139">
        <v>0.33</v>
      </c>
      <c r="V241" s="139" t="s">
        <v>3170</v>
      </c>
    </row>
    <row r="242" spans="1:22" x14ac:dyDescent="0.35">
      <c r="A242" s="139" t="s">
        <v>3173</v>
      </c>
      <c r="B242" s="146">
        <v>45717</v>
      </c>
      <c r="C242" s="2" t="str" cm="1">
        <f t="array" ref="C2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2">
        <f>YEAR(AllData[[#This Row],[Date]])</f>
        <v>2025</v>
      </c>
      <c r="E242" s="147">
        <v>0.52430555555555558</v>
      </c>
      <c r="F242" t="str">
        <f>IF(AND(AllData[[#This Row],[Time]]&lt;0.5, AllData[[#This Row],[Time]]&gt;0.17)=TRUE, "Morning", IF(AND(AllData[[#This Row],[Time]]&lt;0.75, AllData[[#This Row],[Time]]&gt;=0.5)=TRUE, "Afternoon", IF(AND(AllData[[#This Row],[Time]]&lt;1, AllData[[#This Row],[Time]]&gt;=0.75)=TRUE, "Evening", "Night")))</f>
        <v>Afternoon</v>
      </c>
      <c r="G242" t="str">
        <f>_xlfn.XLOOKUP(AllData[[#This Row],[Location Name]], Locations[Location Name],Locations[Group As])</f>
        <v>Avonbank Drive</v>
      </c>
      <c r="H242" t="e" vm="1">
        <f>_xlfn.XLOOKUP(AllData[[#This Row],[Site Name]],LocationsKey[Site Name],LocationsKey[District])</f>
        <v>#VALUE!</v>
      </c>
      <c r="I242" t="e" vm="12">
        <f>_xlfn.XLOOKUP(AllData[[#This Row],[Site Name]],LocationsKey[Site Name],LocationsKey[Town])</f>
        <v>#VALUE!</v>
      </c>
      <c r="J242" t="str">
        <f>_xlfn.XLOOKUP(AllData[[#This Row],[Site Name]],LocationsKey[Site Name], LocationsKey[Waterway])</f>
        <v>Avon</v>
      </c>
      <c r="K242" s="139" t="s">
        <v>2530</v>
      </c>
      <c r="L242" s="139">
        <v>52.177</v>
      </c>
      <c r="M242" s="156">
        <v>-1.736</v>
      </c>
      <c r="N242" s="139" t="s">
        <v>68</v>
      </c>
      <c r="O242" s="139">
        <v>710</v>
      </c>
      <c r="P242" s="139">
        <v>9.3000000000000007</v>
      </c>
      <c r="Q242" s="139">
        <v>5</v>
      </c>
      <c r="R242" s="107" t="str">
        <f>IF(AllData[[#This Row],[Nitrate (PPM)]]&gt;2, "Very high", IF(AllData[[#This Row],[Nitrate (PPM)]]&gt;1, "High", IF(AllData[[#This Row],[Nitrate (PPM)]]&gt;0.5, "Some evidence", IF(AllData[[#This Row],[Nitrate (PPM)]]&gt;=0, "No evidence"))))</f>
        <v>Very high</v>
      </c>
      <c r="S242" s="139">
        <v>0.32</v>
      </c>
      <c r="T242" s="7" t="str">
        <f>IF(AllData[[#This Row],[Phosphate (PPM)]]&gt;0.5, "Very high", IF(AllData[[#This Row],[Phosphate (PPM)]]&gt;0.1, "High", IF(AllData[[#This Row],[Phosphate (PPM)]]&gt;0.05, "Some evidence", IF(AllData[[#This Row],[Phosphate (PPM)]]&lt;=0.05, "No Evidence", ""))))</f>
        <v>High</v>
      </c>
      <c r="U242" s="139">
        <v>0.8</v>
      </c>
      <c r="V242" s="139"/>
    </row>
    <row r="243" spans="1:22" x14ac:dyDescent="0.35">
      <c r="A243" s="139" t="s">
        <v>3172</v>
      </c>
      <c r="B243" s="146">
        <v>45717</v>
      </c>
      <c r="C243" s="2" t="str" cm="1">
        <f t="array" ref="C2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3">
        <f>YEAR(AllData[[#This Row],[Date]])</f>
        <v>2025</v>
      </c>
      <c r="E243" s="147">
        <v>0.51041666666666663</v>
      </c>
      <c r="F243" t="str">
        <f>IF(AND(AllData[[#This Row],[Time]]&lt;0.5, AllData[[#This Row],[Time]]&gt;0.17)=TRUE, "Morning", IF(AND(AllData[[#This Row],[Time]]&lt;0.75, AllData[[#This Row],[Time]]&gt;=0.5)=TRUE, "Afternoon", IF(AND(AllData[[#This Row],[Time]]&lt;1, AllData[[#This Row],[Time]]&gt;=0.75)=TRUE, "Evening", "Night")))</f>
        <v>Afternoon</v>
      </c>
      <c r="G243" t="str">
        <f>_xlfn.XLOOKUP(AllData[[#This Row],[Location Name]], Locations[Location Name],Locations[Group As])</f>
        <v>Pitch 16</v>
      </c>
      <c r="H243" t="e" vm="1">
        <f>_xlfn.XLOOKUP(AllData[[#This Row],[Site Name]],LocationsKey[Site Name],LocationsKey[District])</f>
        <v>#VALUE!</v>
      </c>
      <c r="I243" t="e" vm="12">
        <f>_xlfn.XLOOKUP(AllData[[#This Row],[Site Name]],LocationsKey[Site Name],LocationsKey[Town])</f>
        <v>#VALUE!</v>
      </c>
      <c r="J243" t="str">
        <f>_xlfn.XLOOKUP(AllData[[#This Row],[Site Name]],LocationsKey[Site Name], LocationsKey[Waterway])</f>
        <v>Avon</v>
      </c>
      <c r="K243" s="139" t="s">
        <v>2532</v>
      </c>
      <c r="L243" s="139">
        <v>52.173000000000002</v>
      </c>
      <c r="M243" s="156">
        <v>-1.7450000000000001</v>
      </c>
      <c r="N243" s="139" t="s">
        <v>31</v>
      </c>
      <c r="O243" s="139">
        <v>705</v>
      </c>
      <c r="P243" s="139">
        <v>8.6999999999999993</v>
      </c>
      <c r="Q243" s="139">
        <v>5</v>
      </c>
      <c r="R243" s="107" t="str">
        <f>IF(AllData[[#This Row],[Nitrate (PPM)]]&gt;2, "Very high", IF(AllData[[#This Row],[Nitrate (PPM)]]&gt;1, "High", IF(AllData[[#This Row],[Nitrate (PPM)]]&gt;0.5, "Some evidence", IF(AllData[[#This Row],[Nitrate (PPM)]]&gt;=0, "No evidence"))))</f>
        <v>Very high</v>
      </c>
      <c r="S243" s="139">
        <v>0.25</v>
      </c>
      <c r="T243" s="7" t="str">
        <f>IF(AllData[[#This Row],[Phosphate (PPM)]]&gt;0.5, "Very high", IF(AllData[[#This Row],[Phosphate (PPM)]]&gt;0.1, "High", IF(AllData[[#This Row],[Phosphate (PPM)]]&gt;0.05, "Some evidence", IF(AllData[[#This Row],[Phosphate (PPM)]]&lt;=0.05, "No Evidence", ""))))</f>
        <v>High</v>
      </c>
      <c r="U243" s="139">
        <v>0.8</v>
      </c>
      <c r="V243" s="139"/>
    </row>
    <row r="244" spans="1:22" x14ac:dyDescent="0.35">
      <c r="A244" s="139" t="s">
        <v>3161</v>
      </c>
      <c r="B244" s="146">
        <v>45717</v>
      </c>
      <c r="C244" s="2" t="str" cm="1">
        <f t="array" ref="C2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4">
        <f>YEAR(AllData[[#This Row],[Date]])</f>
        <v>2025</v>
      </c>
      <c r="E244" s="147">
        <v>0.42916666666666664</v>
      </c>
      <c r="F244" t="str">
        <f>IF(AND(AllData[[#This Row],[Time]]&lt;0.5, AllData[[#This Row],[Time]]&gt;0.17)=TRUE, "Morning", IF(AND(AllData[[#This Row],[Time]]&lt;0.75, AllData[[#This Row],[Time]]&gt;=0.5)=TRUE, "Afternoon", IF(AND(AllData[[#This Row],[Time]]&lt;1, AllData[[#This Row],[Time]]&gt;=0.75)=TRUE, "Evening", "Night")))</f>
        <v>Morning</v>
      </c>
      <c r="G244" t="str">
        <f>_xlfn.XLOOKUP(AllData[[#This Row],[Location Name]], Locations[Location Name],Locations[Group As])</f>
        <v>Avon Smiths Meadow Wyre Piddle</v>
      </c>
      <c r="H244" t="e" vm="6">
        <f>_xlfn.XLOOKUP(AllData[[#This Row],[Site Name]],LocationsKey[Site Name],LocationsKey[District])</f>
        <v>#VALUE!</v>
      </c>
      <c r="I244" t="e" vm="13">
        <f>_xlfn.XLOOKUP(AllData[[#This Row],[Site Name]],LocationsKey[Site Name],LocationsKey[Town])</f>
        <v>#VALUE!</v>
      </c>
      <c r="J244" t="str">
        <f>_xlfn.XLOOKUP(AllData[[#This Row],[Site Name]],LocationsKey[Site Name], LocationsKey[Waterway])</f>
        <v>Avon</v>
      </c>
      <c r="K244" s="139" t="s">
        <v>784</v>
      </c>
      <c r="L244" s="139">
        <v>52.122844000000001</v>
      </c>
      <c r="M244" s="156">
        <v>-2.0574219999999999</v>
      </c>
      <c r="N244" s="139" t="s">
        <v>34</v>
      </c>
      <c r="O244" s="139">
        <v>697</v>
      </c>
      <c r="P244" s="139">
        <v>7.6</v>
      </c>
      <c r="Q244" s="139">
        <v>5</v>
      </c>
      <c r="R244" s="107" t="str">
        <f>IF(AllData[[#This Row],[Nitrate (PPM)]]&gt;2, "Very high", IF(AllData[[#This Row],[Nitrate (PPM)]]&gt;1, "High", IF(AllData[[#This Row],[Nitrate (PPM)]]&gt;0.5, "Some evidence", IF(AllData[[#This Row],[Nitrate (PPM)]]&gt;=0, "No evidence"))))</f>
        <v>Very high</v>
      </c>
      <c r="S244" s="139">
        <v>0.44</v>
      </c>
      <c r="T244" s="7" t="str">
        <f>IF(AllData[[#This Row],[Phosphate (PPM)]]&gt;0.5, "Very high", IF(AllData[[#This Row],[Phosphate (PPM)]]&gt;0.1, "High", IF(AllData[[#This Row],[Phosphate (PPM)]]&gt;0.05, "Some evidence", IF(AllData[[#This Row],[Phosphate (PPM)]]&lt;=0.05, "No Evidence", ""))))</f>
        <v>High</v>
      </c>
      <c r="U244" s="139">
        <v>0.93</v>
      </c>
      <c r="V244" s="139" t="s">
        <v>3162</v>
      </c>
    </row>
    <row r="245" spans="1:22" x14ac:dyDescent="0.35">
      <c r="A245" s="139" t="s">
        <v>3176</v>
      </c>
      <c r="B245" s="146">
        <v>45717</v>
      </c>
      <c r="C245" s="2" t="str" cm="1">
        <f t="array" ref="C2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5">
        <f>YEAR(AllData[[#This Row],[Date]])</f>
        <v>2025</v>
      </c>
      <c r="E245" s="147">
        <v>0.6645833333333333</v>
      </c>
      <c r="F245" t="str">
        <f>IF(AND(AllData[[#This Row],[Time]]&lt;0.5, AllData[[#This Row],[Time]]&gt;0.17)=TRUE, "Morning", IF(AND(AllData[[#This Row],[Time]]&lt;0.75, AllData[[#This Row],[Time]]&gt;=0.5)=TRUE, "Afternoon", IF(AND(AllData[[#This Row],[Time]]&lt;1, AllData[[#This Row],[Time]]&gt;=0.75)=TRUE, "Evening", "Night")))</f>
        <v>Afternoon</v>
      </c>
      <c r="G245" t="str">
        <f>_xlfn.XLOOKUP(AllData[[#This Row],[Location Name]], Locations[Location Name],Locations[Group As])</f>
        <v>Black Bear</v>
      </c>
      <c r="H245" t="e" vm="4">
        <f>_xlfn.XLOOKUP(AllData[[#This Row],[Site Name]],LocationsKey[Site Name],LocationsKey[District])</f>
        <v>#VALUE!</v>
      </c>
      <c r="I245" t="e" vm="4">
        <f>_xlfn.XLOOKUP(AllData[[#This Row],[Site Name]],LocationsKey[Site Name],LocationsKey[Town])</f>
        <v>#VALUE!</v>
      </c>
      <c r="J245" t="str">
        <f>_xlfn.XLOOKUP(AllData[[#This Row],[Site Name]],LocationsKey[Site Name], LocationsKey[Waterway])</f>
        <v>Avon</v>
      </c>
      <c r="K245" s="139" t="s">
        <v>1175</v>
      </c>
      <c r="L245" s="139">
        <v>51.997273999999997</v>
      </c>
      <c r="M245" s="156">
        <v>-2.1558980000000001</v>
      </c>
      <c r="N245" s="139" t="s">
        <v>34</v>
      </c>
      <c r="O245" s="139">
        <v>636</v>
      </c>
      <c r="P245" s="139">
        <v>9.8000000000000007</v>
      </c>
      <c r="Q245" s="139">
        <v>5</v>
      </c>
      <c r="R245" s="107" t="str">
        <f>IF(AllData[[#This Row],[Nitrate (PPM)]]&gt;2, "Very high", IF(AllData[[#This Row],[Nitrate (PPM)]]&gt;1, "High", IF(AllData[[#This Row],[Nitrate (PPM)]]&gt;0.5, "Some evidence", IF(AllData[[#This Row],[Nitrate (PPM)]]&gt;=0, "No evidence"))))</f>
        <v>Very high</v>
      </c>
      <c r="S245" s="139">
        <v>0.1</v>
      </c>
      <c r="T245" s="7" t="str">
        <f>IF(AllData[[#This Row],[Phosphate (PPM)]]&gt;0.5, "Very high", IF(AllData[[#This Row],[Phosphate (PPM)]]&gt;0.1, "High", IF(AllData[[#This Row],[Phosphate (PPM)]]&gt;0.05, "Some evidence", IF(AllData[[#This Row],[Phosphate (PPM)]]&lt;=0.05, "No Evidence", ""))))</f>
        <v>Some evidence</v>
      </c>
      <c r="U245" s="139">
        <v>0</v>
      </c>
      <c r="V245" s="139"/>
    </row>
    <row r="246" spans="1:22" x14ac:dyDescent="0.35">
      <c r="A246" s="139" t="s">
        <v>3174</v>
      </c>
      <c r="B246" s="146">
        <v>45717</v>
      </c>
      <c r="C246" s="2" t="str" cm="1">
        <f t="array" ref="C2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6">
        <f>YEAR(AllData[[#This Row],[Date]])</f>
        <v>2025</v>
      </c>
      <c r="E246" s="147">
        <v>0.52777777777777779</v>
      </c>
      <c r="F246" t="str">
        <f>IF(AND(AllData[[#This Row],[Time]]&lt;0.5, AllData[[#This Row],[Time]]&gt;0.17)=TRUE, "Morning", IF(AND(AllData[[#This Row],[Time]]&lt;0.75, AllData[[#This Row],[Time]]&gt;=0.5)=TRUE, "Afternoon", IF(AND(AllData[[#This Row],[Time]]&lt;1, AllData[[#This Row],[Time]]&gt;=0.75)=TRUE, "Evening", "Night")))</f>
        <v>Afternoon</v>
      </c>
      <c r="G246" t="str">
        <f>_xlfn.XLOOKUP(AllData[[#This Row],[Location Name]], Locations[Location Name],Locations[Group As])</f>
        <v>The Ford, Langley</v>
      </c>
      <c r="H246" t="e" vm="1">
        <f>_xlfn.XLOOKUP(AllData[[#This Row],[Site Name]],LocationsKey[Site Name],LocationsKey[District])</f>
        <v>#VALUE!</v>
      </c>
      <c r="I246" t="str">
        <f>_xlfn.XLOOKUP(AllData[[#This Row],[Site Name]],LocationsKey[Site Name],LocationsKey[Town])</f>
        <v>Langley</v>
      </c>
      <c r="J246" t="str">
        <f>_xlfn.XLOOKUP(AllData[[#This Row],[Site Name]],LocationsKey[Site Name], LocationsKey[Waterway])</f>
        <v>Langley Ford</v>
      </c>
      <c r="K246" s="139" t="s">
        <v>3092</v>
      </c>
      <c r="L246" s="139">
        <v>52.259779999999999</v>
      </c>
      <c r="M246" s="156">
        <v>-1.7185299999999999</v>
      </c>
      <c r="N246" s="139" t="s">
        <v>3175</v>
      </c>
      <c r="O246" s="139">
        <v>447</v>
      </c>
      <c r="P246" s="139">
        <v>6.8</v>
      </c>
      <c r="Q246" s="139">
        <v>5</v>
      </c>
      <c r="R246" s="107" t="str">
        <f>IF(AllData[[#This Row],[Nitrate (PPM)]]&gt;2, "Very high", IF(AllData[[#This Row],[Nitrate (PPM)]]&gt;1, "High", IF(AllData[[#This Row],[Nitrate (PPM)]]&gt;0.5, "Some evidence", IF(AllData[[#This Row],[Nitrate (PPM)]]&gt;=0, "No evidence"))))</f>
        <v>Very high</v>
      </c>
      <c r="S246" s="139">
        <v>0.5</v>
      </c>
      <c r="T246" s="7" t="str">
        <f>IF(AllData[[#This Row],[Phosphate (PPM)]]&gt;0.5, "Very high", IF(AllData[[#This Row],[Phosphate (PPM)]]&gt;0.1, "High", IF(AllData[[#This Row],[Phosphate (PPM)]]&gt;0.05, "Some evidence", IF(AllData[[#This Row],[Phosphate (PPM)]]&lt;=0.05, "No Evidence", ""))))</f>
        <v>High</v>
      </c>
      <c r="U246" s="139">
        <v>0.45</v>
      </c>
      <c r="V246" s="139"/>
    </row>
    <row r="247" spans="1:22" x14ac:dyDescent="0.35">
      <c r="A247" s="139" t="s">
        <v>3171</v>
      </c>
      <c r="B247" s="146">
        <v>45717</v>
      </c>
      <c r="C247" s="2" t="str" cm="1">
        <f t="array" ref="C2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7">
        <f>YEAR(AllData[[#This Row],[Date]])</f>
        <v>2025</v>
      </c>
      <c r="E247" s="147">
        <v>0.5</v>
      </c>
      <c r="F247" t="str">
        <f>IF(AND(AllData[[#This Row],[Time]]&lt;0.5, AllData[[#This Row],[Time]]&gt;0.17)=TRUE, "Morning", IF(AND(AllData[[#This Row],[Time]]&lt;0.75, AllData[[#This Row],[Time]]&gt;=0.5)=TRUE, "Afternoon", IF(AND(AllData[[#This Row],[Time]]&lt;1, AllData[[#This Row],[Time]]&gt;=0.75)=TRUE, "Evening", "Night")))</f>
        <v>Afternoon</v>
      </c>
      <c r="G247" t="str">
        <f>_xlfn.XLOOKUP(AllData[[#This Row],[Location Name]], Locations[Location Name],Locations[Group As])</f>
        <v>Carrant Bredon Rd</v>
      </c>
      <c r="H247" t="e" vm="4">
        <f>_xlfn.XLOOKUP(AllData[[#This Row],[Site Name]],LocationsKey[Site Name],LocationsKey[District])</f>
        <v>#VALUE!</v>
      </c>
      <c r="I247" t="e" vm="4">
        <f>_xlfn.XLOOKUP(AllData[[#This Row],[Site Name]],LocationsKey[Site Name],LocationsKey[Town])</f>
        <v>#VALUE!</v>
      </c>
      <c r="J247" t="str">
        <f>_xlfn.XLOOKUP(AllData[[#This Row],[Site Name]],LocationsKey[Site Name], LocationsKey[Waterway])</f>
        <v>Carrant</v>
      </c>
      <c r="K247" s="139" t="s">
        <v>603</v>
      </c>
      <c r="L247" s="139">
        <v>51.996116999999998</v>
      </c>
      <c r="M247" s="156">
        <v>-2.155732</v>
      </c>
      <c r="N247" s="139" t="s">
        <v>25</v>
      </c>
      <c r="O247" s="139">
        <v>791</v>
      </c>
      <c r="P247" s="139">
        <v>7.7</v>
      </c>
      <c r="Q247" s="139">
        <v>4</v>
      </c>
      <c r="R247" s="107" t="str">
        <f>IF(AllData[[#This Row],[Nitrate (PPM)]]&gt;2, "Very high", IF(AllData[[#This Row],[Nitrate (PPM)]]&gt;1, "High", IF(AllData[[#This Row],[Nitrate (PPM)]]&gt;0.5, "Some evidence", IF(AllData[[#This Row],[Nitrate (PPM)]]&gt;=0, "No evidence"))))</f>
        <v>Very high</v>
      </c>
      <c r="S247" s="139">
        <v>0.25</v>
      </c>
      <c r="T247" s="7" t="str">
        <f>IF(AllData[[#This Row],[Phosphate (PPM)]]&gt;0.5, "Very high", IF(AllData[[#This Row],[Phosphate (PPM)]]&gt;0.1, "High", IF(AllData[[#This Row],[Phosphate (PPM)]]&gt;0.05, "Some evidence", IF(AllData[[#This Row],[Phosphate (PPM)]]&lt;=0.05, "No Evidence", ""))))</f>
        <v>High</v>
      </c>
      <c r="U247" s="139">
        <v>0.3</v>
      </c>
      <c r="V247" s="139"/>
    </row>
    <row r="248" spans="1:22" x14ac:dyDescent="0.35">
      <c r="A248" s="139" t="s">
        <v>3167</v>
      </c>
      <c r="B248" s="146">
        <v>45717</v>
      </c>
      <c r="C248" s="2" t="str" cm="1">
        <f t="array" ref="C2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8">
        <f>YEAR(AllData[[#This Row],[Date]])</f>
        <v>2025</v>
      </c>
      <c r="E248" s="147">
        <v>0.45416666666666666</v>
      </c>
      <c r="F248" t="str">
        <f>IF(AND(AllData[[#This Row],[Time]]&lt;0.5, AllData[[#This Row],[Time]]&gt;0.17)=TRUE, "Morning", IF(AND(AllData[[#This Row],[Time]]&lt;0.75, AllData[[#This Row],[Time]]&gt;=0.5)=TRUE, "Afternoon", IF(AND(AllData[[#This Row],[Time]]&lt;1, AllData[[#This Row],[Time]]&gt;=0.75)=TRUE, "Evening", "Night")))</f>
        <v>Morning</v>
      </c>
      <c r="G248" t="str">
        <f>_xlfn.XLOOKUP(AllData[[#This Row],[Location Name]], Locations[Location Name],Locations[Group As])</f>
        <v>SSC Bredons Norton</v>
      </c>
      <c r="H248" t="e" vm="6">
        <f>_xlfn.XLOOKUP(AllData[[#This Row],[Site Name]],LocationsKey[Site Name],LocationsKey[District])</f>
        <v>#VALUE!</v>
      </c>
      <c r="I248" t="str">
        <f>_xlfn.XLOOKUP(AllData[[#This Row],[Site Name]],LocationsKey[Site Name],LocationsKey[Town])</f>
        <v>Bredon's Norton</v>
      </c>
      <c r="J248" t="str">
        <f>_xlfn.XLOOKUP(AllData[[#This Row],[Site Name]],LocationsKey[Site Name], LocationsKey[Waterway])</f>
        <v>Avon</v>
      </c>
      <c r="K248" s="139" t="s">
        <v>2121</v>
      </c>
      <c r="L248" s="139">
        <v>52.032916999999998</v>
      </c>
      <c r="M248" s="156">
        <v>-2.1460210000000002</v>
      </c>
      <c r="N248" s="139" t="s">
        <v>25</v>
      </c>
      <c r="O248" s="139">
        <v>663</v>
      </c>
      <c r="P248" s="139">
        <v>8.3000000000000007</v>
      </c>
      <c r="Q248" s="139">
        <v>2</v>
      </c>
      <c r="R248" s="107" t="str">
        <f>IF(AllData[[#This Row],[Nitrate (PPM)]]&gt;2, "Very high", IF(AllData[[#This Row],[Nitrate (PPM)]]&gt;1, "High", IF(AllData[[#This Row],[Nitrate (PPM)]]&gt;0.5, "Some evidence", IF(AllData[[#This Row],[Nitrate (PPM)]]&gt;=0, "No evidence"))))</f>
        <v>High</v>
      </c>
      <c r="S248" s="139">
        <v>0.38</v>
      </c>
      <c r="T248" s="7" t="str">
        <f>IF(AllData[[#This Row],[Phosphate (PPM)]]&gt;0.5, "Very high", IF(AllData[[#This Row],[Phosphate (PPM)]]&gt;0.1, "High", IF(AllData[[#This Row],[Phosphate (PPM)]]&gt;0.05, "Some evidence", IF(AllData[[#This Row],[Phosphate (PPM)]]&lt;=0.05, "No Evidence", ""))))</f>
        <v>High</v>
      </c>
      <c r="U248" s="139">
        <v>1.2</v>
      </c>
      <c r="V248" s="139" t="s">
        <v>3168</v>
      </c>
    </row>
    <row r="249" spans="1:22" x14ac:dyDescent="0.35">
      <c r="A249" s="139" t="s">
        <v>3163</v>
      </c>
      <c r="B249" s="146">
        <v>45717</v>
      </c>
      <c r="C249" s="2" t="str" cm="1">
        <f t="array" ref="C2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49">
        <f>YEAR(AllData[[#This Row],[Date]])</f>
        <v>2025</v>
      </c>
      <c r="E249" s="147">
        <v>0.4375</v>
      </c>
      <c r="F249" t="str">
        <f>IF(AND(AllData[[#This Row],[Time]]&lt;0.5, AllData[[#This Row],[Time]]&gt;0.17)=TRUE, "Morning", IF(AND(AllData[[#This Row],[Time]]&lt;0.75, AllData[[#This Row],[Time]]&gt;=0.5)=TRUE, "Afternoon", IF(AND(AllData[[#This Row],[Time]]&lt;1, AllData[[#This Row],[Time]]&gt;=0.75)=TRUE, "Evening", "Night")))</f>
        <v>Morning</v>
      </c>
      <c r="G249" t="str">
        <f>_xlfn.XLOOKUP(AllData[[#This Row],[Location Name]], Locations[Location Name],Locations[Group As])</f>
        <v>Quay Lane Great Comberton</v>
      </c>
      <c r="H249" t="e" vm="6">
        <f>_xlfn.XLOOKUP(AllData[[#This Row],[Site Name]],LocationsKey[Site Name],LocationsKey[District])</f>
        <v>#VALUE!</v>
      </c>
      <c r="I249" t="e" vm="7">
        <f>_xlfn.XLOOKUP(AllData[[#This Row],[Site Name]],LocationsKey[Site Name],LocationsKey[Town])</f>
        <v>#VALUE!</v>
      </c>
      <c r="J249" t="str">
        <f>_xlfn.XLOOKUP(AllData[[#This Row],[Site Name]],LocationsKey[Site Name], LocationsKey[Waterway])</f>
        <v>Avon</v>
      </c>
      <c r="K249" s="139" t="s">
        <v>3164</v>
      </c>
      <c r="L249" s="139">
        <v>52.076365000000003</v>
      </c>
      <c r="M249" s="156">
        <v>-2.0667450000000001</v>
      </c>
      <c r="N249" s="139" t="s">
        <v>34</v>
      </c>
      <c r="O249" s="139">
        <v>663</v>
      </c>
      <c r="P249" s="139">
        <v>7.1</v>
      </c>
      <c r="Q249" s="139">
        <v>0</v>
      </c>
      <c r="R249" s="107" t="str">
        <f>IF(AllData[[#This Row],[Nitrate (PPM)]]&gt;2, "Very high", IF(AllData[[#This Row],[Nitrate (PPM)]]&gt;1, "High", IF(AllData[[#This Row],[Nitrate (PPM)]]&gt;0.5, "Some evidence", IF(AllData[[#This Row],[Nitrate (PPM)]]&gt;=0, "No evidence"))))</f>
        <v>No evidence</v>
      </c>
      <c r="S249" s="139">
        <v>0.7</v>
      </c>
      <c r="T249" s="7" t="str">
        <f>IF(AllData[[#This Row],[Phosphate (PPM)]]&gt;0.5, "Very high", IF(AllData[[#This Row],[Phosphate (PPM)]]&gt;0.1, "High", IF(AllData[[#This Row],[Phosphate (PPM)]]&gt;0.05, "Some evidence", IF(AllData[[#This Row],[Phosphate (PPM)]]&lt;=0.05, "No Evidence", ""))))</f>
        <v>Very high</v>
      </c>
      <c r="U249" s="139">
        <v>1</v>
      </c>
      <c r="V249" s="139" t="s">
        <v>3165</v>
      </c>
    </row>
    <row r="250" spans="1:22" x14ac:dyDescent="0.35">
      <c r="A250" s="139" t="s">
        <v>3166</v>
      </c>
      <c r="B250" s="146">
        <v>45717</v>
      </c>
      <c r="C250" s="2" t="str" cm="1">
        <f t="array" ref="C2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50">
        <f>YEAR(AllData[[#This Row],[Date]])</f>
        <v>2025</v>
      </c>
      <c r="E250" s="147">
        <v>0.44791666666666669</v>
      </c>
      <c r="F250" t="str">
        <f>IF(AND(AllData[[#This Row],[Time]]&lt;0.5, AllData[[#This Row],[Time]]&gt;0.17)=TRUE, "Morning", IF(AND(AllData[[#This Row],[Time]]&lt;0.75, AllData[[#This Row],[Time]]&gt;=0.5)=TRUE, "Afternoon", IF(AND(AllData[[#This Row],[Time]]&lt;1, AllData[[#This Row],[Time]]&gt;=0.75)=TRUE, "Evening", "Night")))</f>
        <v>Morning</v>
      </c>
      <c r="G250" t="str">
        <f>_xlfn.XLOOKUP(AllData[[#This Row],[Location Name]], Locations[Location Name],Locations[Group As])</f>
        <v>Fell Mill Footbridge</v>
      </c>
      <c r="H250" t="e" vm="1">
        <f>_xlfn.XLOOKUP(AllData[[#This Row],[Site Name]],LocationsKey[Site Name],LocationsKey[District])</f>
        <v>#VALUE!</v>
      </c>
      <c r="I250" t="e" vm="15">
        <f>_xlfn.XLOOKUP(AllData[[#This Row],[Site Name]],LocationsKey[Site Name],LocationsKey[Town])</f>
        <v>#VALUE!</v>
      </c>
      <c r="J250" t="str">
        <f>_xlfn.XLOOKUP(AllData[[#This Row],[Site Name]],LocationsKey[Site Name], LocationsKey[Waterway])</f>
        <v>Stour</v>
      </c>
      <c r="K250" s="139" t="s">
        <v>1968</v>
      </c>
      <c r="L250" s="139">
        <v>52.070086000000003</v>
      </c>
      <c r="M250" s="156">
        <v>-1.61145</v>
      </c>
      <c r="N250" s="139" t="s">
        <v>31</v>
      </c>
      <c r="O250" s="139">
        <v>590</v>
      </c>
      <c r="P250" s="139">
        <v>6.6</v>
      </c>
      <c r="Q250" s="139">
        <v>0</v>
      </c>
      <c r="R250" s="107" t="str">
        <f>IF(AllData[[#This Row],[Nitrate (PPM)]]&gt;2, "Very high", IF(AllData[[#This Row],[Nitrate (PPM)]]&gt;1, "High", IF(AllData[[#This Row],[Nitrate (PPM)]]&gt;0.5, "Some evidence", IF(AllData[[#This Row],[Nitrate (PPM)]]&gt;=0, "No evidence"))))</f>
        <v>No evidence</v>
      </c>
      <c r="S250" s="139">
        <v>0.52</v>
      </c>
      <c r="T250" s="7" t="str">
        <f>IF(AllData[[#This Row],[Phosphate (PPM)]]&gt;0.5, "Very high", IF(AllData[[#This Row],[Phosphate (PPM)]]&gt;0.1, "High", IF(AllData[[#This Row],[Phosphate (PPM)]]&gt;0.05, "Some evidence", IF(AllData[[#This Row],[Phosphate (PPM)]]&lt;=0.05, "No Evidence", ""))))</f>
        <v>Very high</v>
      </c>
      <c r="U250" s="139">
        <v>1.75</v>
      </c>
      <c r="V250" s="139"/>
    </row>
    <row r="251" spans="1:22" x14ac:dyDescent="0.35">
      <c r="A251" s="139" t="s">
        <v>3160</v>
      </c>
      <c r="B251" s="146">
        <v>45716</v>
      </c>
      <c r="C251" s="2" t="str" cm="1">
        <f t="array" ref="C2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1">
        <v>2024</v>
      </c>
      <c r="E251" s="147">
        <v>0.57986111111111116</v>
      </c>
      <c r="F251" t="str">
        <f>IF(AND(AllData[[#This Row],[Time]]&lt;0.5, AllData[[#This Row],[Time]]&gt;0.17)=TRUE, "Morning", IF(AND(AllData[[#This Row],[Time]]&lt;0.75, AllData[[#This Row],[Time]]&gt;=0.5)=TRUE, "Afternoon", IF(AND(AllData[[#This Row],[Time]]&lt;1, AllData[[#This Row],[Time]]&gt;=0.75)=TRUE, "Evening", "Night")))</f>
        <v>Afternoon</v>
      </c>
      <c r="G251" t="str">
        <f>_xlfn.XLOOKUP(AllData[[#This Row],[Location Name]], Locations[Location Name],Locations[Group As])</f>
        <v>Lower Lode</v>
      </c>
      <c r="H251" t="e" vm="4">
        <f>_xlfn.XLOOKUP(AllData[[#This Row],[Site Name]],LocationsKey[Site Name],LocationsKey[District])</f>
        <v>#VALUE!</v>
      </c>
      <c r="I251" t="e" vm="4">
        <f>_xlfn.XLOOKUP(AllData[[#This Row],[Site Name]],LocationsKey[Site Name],LocationsKey[Town])</f>
        <v>#VALUE!</v>
      </c>
      <c r="J251" t="str">
        <f>_xlfn.XLOOKUP(AllData[[#This Row],[Site Name]],LocationsKey[Site Name], LocationsKey[Waterway])</f>
        <v>Avon</v>
      </c>
      <c r="K251" s="139" t="s">
        <v>595</v>
      </c>
      <c r="L251" s="139">
        <v>51.984952999999997</v>
      </c>
      <c r="M251" s="156">
        <v>-2.174156</v>
      </c>
      <c r="N251" s="139" t="s">
        <v>31</v>
      </c>
      <c r="O251" s="139">
        <v>6570</v>
      </c>
      <c r="P251" s="139">
        <v>10.6</v>
      </c>
      <c r="Q251" s="139">
        <v>2</v>
      </c>
      <c r="R251" s="107" t="str">
        <f>IF(AllData[[#This Row],[Nitrate (PPM)]]&gt;2, "Very high", IF(AllData[[#This Row],[Nitrate (PPM)]]&gt;1, "High", IF(AllData[[#This Row],[Nitrate (PPM)]]&gt;0.5, "Some evidence", IF(AllData[[#This Row],[Nitrate (PPM)]]&gt;=0, "No evidence"))))</f>
        <v>High</v>
      </c>
      <c r="S251" s="139">
        <v>0.47</v>
      </c>
      <c r="T251" s="7" t="str">
        <f>IF(AllData[[#This Row],[Phosphate (PPM)]]&gt;0.5, "Very high", IF(AllData[[#This Row],[Phosphate (PPM)]]&gt;0.1, "High", IF(AllData[[#This Row],[Phosphate (PPM)]]&gt;0.05, "Some evidence", IF(AllData[[#This Row],[Phosphate (PPM)]]&lt;=0.05, "No Evidence", ""))))</f>
        <v>High</v>
      </c>
      <c r="U251" s="139">
        <v>3</v>
      </c>
      <c r="V251" s="139"/>
    </row>
    <row r="252" spans="1:22" x14ac:dyDescent="0.35">
      <c r="A252" s="139" t="s">
        <v>3158</v>
      </c>
      <c r="B252" s="146">
        <v>45715</v>
      </c>
      <c r="C252" s="2" t="str" cm="1">
        <f t="array" ref="C2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2">
        <v>2024</v>
      </c>
      <c r="E252" s="147">
        <v>0.39027777777777778</v>
      </c>
      <c r="F252" t="str">
        <f>IF(AND(AllData[[#This Row],[Time]]&lt;0.5, AllData[[#This Row],[Time]]&gt;0.17)=TRUE, "Morning", IF(AND(AllData[[#This Row],[Time]]&lt;0.75, AllData[[#This Row],[Time]]&gt;=0.5)=TRUE, "Afternoon", IF(AND(AllData[[#This Row],[Time]]&lt;1, AllData[[#This Row],[Time]]&gt;=0.75)=TRUE, "Evening", "Night")))</f>
        <v>Morning</v>
      </c>
      <c r="G252" t="str">
        <f>_xlfn.XLOOKUP(AllData[[#This Row],[Location Name]], Locations[Location Name],Locations[Group As])</f>
        <v>School Lane</v>
      </c>
      <c r="H252" t="e" vm="1">
        <f>_xlfn.XLOOKUP(AllData[[#This Row],[Site Name]],LocationsKey[Site Name],LocationsKey[District])</f>
        <v>#VALUE!</v>
      </c>
      <c r="I252" t="e" vm="3">
        <f>_xlfn.XLOOKUP(AllData[[#This Row],[Site Name]],LocationsKey[Site Name],LocationsKey[Town])</f>
        <v>#VALUE!</v>
      </c>
      <c r="J252" t="str">
        <f>_xlfn.XLOOKUP(AllData[[#This Row],[Site Name]],LocationsKey[Site Name], LocationsKey[Waterway])</f>
        <v>Avon</v>
      </c>
      <c r="K252" s="139" t="s">
        <v>2212</v>
      </c>
      <c r="L252" s="139">
        <v>52.202286000000001</v>
      </c>
      <c r="M252" s="156">
        <v>-1.6784490000000001</v>
      </c>
      <c r="N252" s="139" t="s">
        <v>31</v>
      </c>
      <c r="O252" s="139">
        <v>690</v>
      </c>
      <c r="P252" s="139">
        <v>7.3</v>
      </c>
      <c r="Q252" s="139">
        <v>10</v>
      </c>
      <c r="R252" s="107" t="str">
        <f>IF(AllData[[#This Row],[Nitrate (PPM)]]&gt;2, "Very high", IF(AllData[[#This Row],[Nitrate (PPM)]]&gt;1, "High", IF(AllData[[#This Row],[Nitrate (PPM)]]&gt;0.5, "Some evidence", IF(AllData[[#This Row],[Nitrate (PPM)]]&gt;=0, "No evidence"))))</f>
        <v>Very high</v>
      </c>
      <c r="S252" s="139">
        <v>0.39</v>
      </c>
      <c r="T252" s="7" t="str">
        <f>IF(AllData[[#This Row],[Phosphate (PPM)]]&gt;0.5, "Very high", IF(AllData[[#This Row],[Phosphate (PPM)]]&gt;0.1, "High", IF(AllData[[#This Row],[Phosphate (PPM)]]&gt;0.05, "Some evidence", IF(AllData[[#This Row],[Phosphate (PPM)]]&lt;=0.05, "No Evidence", ""))))</f>
        <v>High</v>
      </c>
      <c r="U252" s="139">
        <v>0.86</v>
      </c>
      <c r="V252" s="139"/>
    </row>
    <row r="253" spans="1:22" x14ac:dyDescent="0.35">
      <c r="A253" s="139" t="s">
        <v>3159</v>
      </c>
      <c r="B253" s="146">
        <v>45715</v>
      </c>
      <c r="C253" s="2" t="str" cm="1">
        <f t="array" ref="C2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3">
        <v>2024</v>
      </c>
      <c r="E253" s="147">
        <v>0.39166666666666666</v>
      </c>
      <c r="F253" t="str">
        <f>IF(AND(AllData[[#This Row],[Time]]&lt;0.5, AllData[[#This Row],[Time]]&gt;0.17)=TRUE, "Morning", IF(AND(AllData[[#This Row],[Time]]&lt;0.75, AllData[[#This Row],[Time]]&gt;=0.5)=TRUE, "Afternoon", IF(AND(AllData[[#This Row],[Time]]&lt;1, AllData[[#This Row],[Time]]&gt;=0.75)=TRUE, "Evening", "Night")))</f>
        <v>Morning</v>
      </c>
      <c r="G253" t="str">
        <f>_xlfn.XLOOKUP(AllData[[#This Row],[Location Name]], Locations[Location Name],Locations[Group As])</f>
        <v>Carters Lane</v>
      </c>
      <c r="H253" t="e" vm="1">
        <f>_xlfn.XLOOKUP(AllData[[#This Row],[Site Name]],LocationsKey[Site Name],LocationsKey[District])</f>
        <v>#VALUE!</v>
      </c>
      <c r="I253" t="e" vm="3">
        <f>_xlfn.XLOOKUP(AllData[[#This Row],[Site Name]],LocationsKey[Site Name],LocationsKey[Town])</f>
        <v>#VALUE!</v>
      </c>
      <c r="J253" t="str">
        <f>_xlfn.XLOOKUP(AllData[[#This Row],[Site Name]],LocationsKey[Site Name], LocationsKey[Waterway])</f>
        <v>Avon</v>
      </c>
      <c r="K253" s="139" t="s">
        <v>2520</v>
      </c>
      <c r="L253" s="139">
        <v>52.202151000000001</v>
      </c>
      <c r="M253" s="156">
        <v>-1.6783760000000001</v>
      </c>
      <c r="N253" s="139" t="s">
        <v>68</v>
      </c>
      <c r="O253" s="139">
        <v>684</v>
      </c>
      <c r="P253" s="139">
        <v>7</v>
      </c>
      <c r="Q253" s="139">
        <v>10</v>
      </c>
      <c r="R253" s="107" t="str">
        <f>IF(AllData[[#This Row],[Nitrate (PPM)]]&gt;2, "Very high", IF(AllData[[#This Row],[Nitrate (PPM)]]&gt;1, "High", IF(AllData[[#This Row],[Nitrate (PPM)]]&gt;0.5, "Some evidence", IF(AllData[[#This Row],[Nitrate (PPM)]]&gt;=0, "No evidence"))))</f>
        <v>Very high</v>
      </c>
      <c r="S253" s="139">
        <v>0.54</v>
      </c>
      <c r="T253" s="7" t="str">
        <f>IF(AllData[[#This Row],[Phosphate (PPM)]]&gt;0.5, "Very high", IF(AllData[[#This Row],[Phosphate (PPM)]]&gt;0.1, "High", IF(AllData[[#This Row],[Phosphate (PPM)]]&gt;0.05, "Some evidence", IF(AllData[[#This Row],[Phosphate (PPM)]]&lt;=0.05, "No Evidence", ""))))</f>
        <v>Very high</v>
      </c>
      <c r="U253" s="139">
        <v>0.86</v>
      </c>
      <c r="V253" s="139"/>
    </row>
    <row r="254" spans="1:22" x14ac:dyDescent="0.35">
      <c r="A254" s="139" t="s">
        <v>3156</v>
      </c>
      <c r="B254" s="146">
        <v>45714</v>
      </c>
      <c r="C254" s="2" t="str" cm="1">
        <f t="array" ref="C2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4">
        <v>2024</v>
      </c>
      <c r="E254" s="147">
        <v>0.5229166666666667</v>
      </c>
      <c r="F254" t="str">
        <f>IF(AND(AllData[[#This Row],[Time]]&lt;0.5, AllData[[#This Row],[Time]]&gt;0.17)=TRUE, "Morning", IF(AND(AllData[[#This Row],[Time]]&lt;0.75, AllData[[#This Row],[Time]]&gt;=0.5)=TRUE, "Afternoon", IF(AND(AllData[[#This Row],[Time]]&lt;1, AllData[[#This Row],[Time]]&gt;=0.75)=TRUE, "Evening", "Night")))</f>
        <v>Afternoon</v>
      </c>
      <c r="G254" t="str">
        <f>_xlfn.XLOOKUP(AllData[[#This Row],[Location Name]], Locations[Location Name],Locations[Group As])</f>
        <v>Twyning Fleet</v>
      </c>
      <c r="H254" t="e" vm="4">
        <f>_xlfn.XLOOKUP(AllData[[#This Row],[Site Name]],LocationsKey[Site Name],LocationsKey[District])</f>
        <v>#VALUE!</v>
      </c>
      <c r="I254" t="str">
        <f>_xlfn.XLOOKUP(AllData[[#This Row],[Site Name]],LocationsKey[Site Name],LocationsKey[Town])</f>
        <v>Twyning Green</v>
      </c>
      <c r="J254" t="str">
        <f>_xlfn.XLOOKUP(AllData[[#This Row],[Site Name]],LocationsKey[Site Name], LocationsKey[Waterway])</f>
        <v>Avon</v>
      </c>
      <c r="K254" s="139" t="s">
        <v>2117</v>
      </c>
      <c r="L254" s="139">
        <v>52.027228999999998</v>
      </c>
      <c r="M254" s="156">
        <v>-2.1412969999999998</v>
      </c>
      <c r="N254" s="139" t="s">
        <v>31</v>
      </c>
      <c r="O254" s="139">
        <v>610</v>
      </c>
      <c r="P254" s="139">
        <v>9.4</v>
      </c>
      <c r="Q254" s="139">
        <v>10</v>
      </c>
      <c r="R254" s="107" t="str">
        <f>IF(AllData[[#This Row],[Nitrate (PPM)]]&gt;2, "Very high", IF(AllData[[#This Row],[Nitrate (PPM)]]&gt;1, "High", IF(AllData[[#This Row],[Nitrate (PPM)]]&gt;0.5, "Some evidence", IF(AllData[[#This Row],[Nitrate (PPM)]]&gt;=0, "No evidence"))))</f>
        <v>Very high</v>
      </c>
      <c r="S254" s="139">
        <v>0.44</v>
      </c>
      <c r="T254" s="7" t="str">
        <f>IF(AllData[[#This Row],[Phosphate (PPM)]]&gt;0.5, "Very high", IF(AllData[[#This Row],[Phosphate (PPM)]]&gt;0.1, "High", IF(AllData[[#This Row],[Phosphate (PPM)]]&gt;0.05, "Some evidence", IF(AllData[[#This Row],[Phosphate (PPM)]]&lt;=0.05, "No Evidence", ""))))</f>
        <v>High</v>
      </c>
      <c r="U254" s="139">
        <v>0.5</v>
      </c>
      <c r="V254" s="139"/>
    </row>
    <row r="255" spans="1:22" x14ac:dyDescent="0.35">
      <c r="A255" s="139" t="s">
        <v>3157</v>
      </c>
      <c r="B255" s="146">
        <v>45714</v>
      </c>
      <c r="C255" s="2" t="str" cm="1">
        <f t="array" ref="C2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5">
        <v>2024</v>
      </c>
      <c r="E255" s="147">
        <v>0.8256944444444444</v>
      </c>
      <c r="F255" t="str">
        <f>IF(AND(AllData[[#This Row],[Time]]&lt;0.5, AllData[[#This Row],[Time]]&gt;0.17)=TRUE, "Morning", IF(AND(AllData[[#This Row],[Time]]&lt;0.75, AllData[[#This Row],[Time]]&gt;=0.5)=TRUE, "Afternoon", IF(AND(AllData[[#This Row],[Time]]&lt;1, AllData[[#This Row],[Time]]&gt;=0.75)=TRUE, "Evening", "Night")))</f>
        <v>Evening</v>
      </c>
      <c r="G255" t="str">
        <f>_xlfn.XLOOKUP(AllData[[#This Row],[Location Name]], Locations[Location Name],Locations[Group As])</f>
        <v>Dock Lane Bredon</v>
      </c>
      <c r="H255" t="e" vm="6">
        <f>_xlfn.XLOOKUP(AllData[[#This Row],[Site Name]],LocationsKey[Site Name],LocationsKey[District])</f>
        <v>#VALUE!</v>
      </c>
      <c r="I255" t="e" vm="11">
        <f>_xlfn.XLOOKUP(AllData[[#This Row],[Site Name]],LocationsKey[Site Name],LocationsKey[Town])</f>
        <v>#VALUE!</v>
      </c>
      <c r="J255" t="str">
        <f>_xlfn.XLOOKUP(AllData[[#This Row],[Site Name]],LocationsKey[Site Name], LocationsKey[Waterway])</f>
        <v>Avon</v>
      </c>
      <c r="K255" s="139" t="s">
        <v>2374</v>
      </c>
      <c r="L255" s="139">
        <v>52.031207999999999</v>
      </c>
      <c r="M255" s="156">
        <v>-2.1140180000000002</v>
      </c>
      <c r="N255" s="139" t="s">
        <v>31</v>
      </c>
      <c r="O255" s="139">
        <v>6770</v>
      </c>
      <c r="P255" s="139">
        <v>12.3</v>
      </c>
      <c r="Q255" s="139">
        <v>5</v>
      </c>
      <c r="R255" s="107" t="str">
        <f>IF(AllData[[#This Row],[Nitrate (PPM)]]&gt;2, "Very high", IF(AllData[[#This Row],[Nitrate (PPM)]]&gt;1, "High", IF(AllData[[#This Row],[Nitrate (PPM)]]&gt;0.5, "Some evidence", IF(AllData[[#This Row],[Nitrate (PPM)]]&gt;=0, "No evidence"))))</f>
        <v>Very high</v>
      </c>
      <c r="S255" s="139">
        <v>0.4</v>
      </c>
      <c r="T255" s="7" t="str">
        <f>IF(AllData[[#This Row],[Phosphate (PPM)]]&gt;0.5, "Very high", IF(AllData[[#This Row],[Phosphate (PPM)]]&gt;0.1, "High", IF(AllData[[#This Row],[Phosphate (PPM)]]&gt;0.05, "Some evidence", IF(AllData[[#This Row],[Phosphate (PPM)]]&lt;=0.05, "No Evidence", ""))))</f>
        <v>High</v>
      </c>
      <c r="U255" s="139">
        <v>1</v>
      </c>
      <c r="V255" s="139"/>
    </row>
    <row r="256" spans="1:22" x14ac:dyDescent="0.35">
      <c r="A256" s="139" t="s">
        <v>3155</v>
      </c>
      <c r="B256" s="146">
        <v>45714</v>
      </c>
      <c r="C256" s="2" t="str" cm="1">
        <f t="array" ref="C2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6">
        <v>2024</v>
      </c>
      <c r="E256" s="147">
        <v>0.3611111111111111</v>
      </c>
      <c r="F256" t="str">
        <f>IF(AND(AllData[[#This Row],[Time]]&lt;0.5, AllData[[#This Row],[Time]]&gt;0.17)=TRUE, "Morning", IF(AND(AllData[[#This Row],[Time]]&lt;0.75, AllData[[#This Row],[Time]]&gt;=0.5)=TRUE, "Afternoon", IF(AND(AllData[[#This Row],[Time]]&lt;1, AllData[[#This Row],[Time]]&gt;=0.75)=TRUE, "Evening", "Night")))</f>
        <v>Morning</v>
      </c>
      <c r="G256" t="str">
        <f>_xlfn.XLOOKUP(AllData[[#This Row],[Location Name]], Locations[Location Name],Locations[Group As])</f>
        <v>Swilgate</v>
      </c>
      <c r="H256" t="e" vm="4">
        <f>_xlfn.XLOOKUP(AllData[[#This Row],[Site Name]],LocationsKey[Site Name],LocationsKey[District])</f>
        <v>#VALUE!</v>
      </c>
      <c r="I256" t="e" vm="4">
        <f>_xlfn.XLOOKUP(AllData[[#This Row],[Site Name]],LocationsKey[Site Name],LocationsKey[Town])</f>
        <v>#VALUE!</v>
      </c>
      <c r="J256" t="str">
        <f>_xlfn.XLOOKUP(AllData[[#This Row],[Site Name]],LocationsKey[Site Name], LocationsKey[Waterway])</f>
        <v>Swilgate</v>
      </c>
      <c r="K256" s="139" t="s">
        <v>415</v>
      </c>
      <c r="L256" s="139"/>
      <c r="M256" s="156"/>
      <c r="N256" s="139" t="s">
        <v>34</v>
      </c>
      <c r="O256" s="139">
        <v>895</v>
      </c>
      <c r="P256" s="139">
        <v>8.5</v>
      </c>
      <c r="Q256" s="139">
        <v>3</v>
      </c>
      <c r="R256" s="107" t="str">
        <f>IF(AllData[[#This Row],[Nitrate (PPM)]]&gt;2, "Very high", IF(AllData[[#This Row],[Nitrate (PPM)]]&gt;1, "High", IF(AllData[[#This Row],[Nitrate (PPM)]]&gt;0.5, "Some evidence", IF(AllData[[#This Row],[Nitrate (PPM)]]&gt;=0, "No evidence"))))</f>
        <v>Very high</v>
      </c>
      <c r="S256" s="139">
        <v>0.35</v>
      </c>
      <c r="T256" s="7" t="str">
        <f>IF(AllData[[#This Row],[Phosphate (PPM)]]&gt;0.5, "Very high", IF(AllData[[#This Row],[Phosphate (PPM)]]&gt;0.1, "High", IF(AllData[[#This Row],[Phosphate (PPM)]]&gt;0.05, "Some evidence", IF(AllData[[#This Row],[Phosphate (PPM)]]&lt;=0.05, "No Evidence", ""))))</f>
        <v>High</v>
      </c>
      <c r="U256" s="139">
        <v>1</v>
      </c>
      <c r="V256" s="139"/>
    </row>
    <row r="257" spans="1:22" x14ac:dyDescent="0.35">
      <c r="A257" s="139" t="s">
        <v>3148</v>
      </c>
      <c r="B257" s="146">
        <v>45713</v>
      </c>
      <c r="C257" s="2" t="str" cm="1">
        <f t="array" ref="C2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7">
        <v>2024</v>
      </c>
      <c r="E257" s="147">
        <v>0.59236111111111112</v>
      </c>
      <c r="F257" t="str">
        <f>IF(AND(AllData[[#This Row],[Time]]&lt;0.5, AllData[[#This Row],[Time]]&gt;0.17)=TRUE, "Morning", IF(AND(AllData[[#This Row],[Time]]&lt;0.75, AllData[[#This Row],[Time]]&gt;=0.5)=TRUE, "Afternoon", IF(AND(AllData[[#This Row],[Time]]&lt;1, AllData[[#This Row],[Time]]&gt;=0.75)=TRUE, "Evening", "Night")))</f>
        <v>Afternoon</v>
      </c>
      <c r="G257" t="str">
        <f>_xlfn.XLOOKUP(AllData[[#This Row],[Location Name]], Locations[Location Name],Locations[Group As])</f>
        <v>Site 3  :  Severn Trent Water processing plant outflow</v>
      </c>
      <c r="H257" t="e" vm="1">
        <f>_xlfn.XLOOKUP(AllData[[#This Row],[Site Name]],LocationsKey[Site Name],LocationsKey[District])</f>
        <v>#VALUE!</v>
      </c>
      <c r="I257" t="e" vm="14">
        <f>_xlfn.XLOOKUP(AllData[[#This Row],[Site Name]],LocationsKey[Site Name],LocationsKey[Town])</f>
        <v>#VALUE!</v>
      </c>
      <c r="J257" t="str">
        <f>_xlfn.XLOOKUP(AllData[[#This Row],[Site Name]],LocationsKey[Site Name], LocationsKey[Waterway])</f>
        <v>Fosseway Brook</v>
      </c>
      <c r="K257" s="139" t="s">
        <v>2846</v>
      </c>
      <c r="L257" s="139">
        <v>52.094512000000002</v>
      </c>
      <c r="M257" s="156">
        <v>-1.675494</v>
      </c>
      <c r="N257" s="139" t="s">
        <v>31</v>
      </c>
      <c r="O257" s="139">
        <v>808</v>
      </c>
      <c r="P257" s="139">
        <v>8.8000000000000007</v>
      </c>
      <c r="Q257" s="139">
        <v>5</v>
      </c>
      <c r="R257" s="107" t="str">
        <f>IF(AllData[[#This Row],[Nitrate (PPM)]]&gt;2, "Very high", IF(AllData[[#This Row],[Nitrate (PPM)]]&gt;1, "High", IF(AllData[[#This Row],[Nitrate (PPM)]]&gt;0.5, "Some evidence", IF(AllData[[#This Row],[Nitrate (PPM)]]&gt;=0, "No evidence"))))</f>
        <v>Very high</v>
      </c>
      <c r="S257" s="139">
        <v>1.4</v>
      </c>
      <c r="T257" s="7" t="str">
        <f>IF(AllData[[#This Row],[Phosphate (PPM)]]&gt;0.5, "Very high", IF(AllData[[#This Row],[Phosphate (PPM)]]&gt;0.1, "High", IF(AllData[[#This Row],[Phosphate (PPM)]]&gt;0.05, "Some evidence", IF(AllData[[#This Row],[Phosphate (PPM)]]&lt;=0.05, "No Evidence", ""))))</f>
        <v>Very high</v>
      </c>
      <c r="U257" s="139">
        <v>0.3</v>
      </c>
      <c r="V257" s="139"/>
    </row>
    <row r="258" spans="1:22" x14ac:dyDescent="0.35">
      <c r="A258" s="139" t="s">
        <v>3153</v>
      </c>
      <c r="B258" s="146">
        <v>45713</v>
      </c>
      <c r="C258" s="2" t="str" cm="1">
        <f t="array" ref="C2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8">
        <v>2024</v>
      </c>
      <c r="E258" s="147">
        <v>0.63541666666666663</v>
      </c>
      <c r="F258" t="str">
        <f>IF(AND(AllData[[#This Row],[Time]]&lt;0.5, AllData[[#This Row],[Time]]&gt;0.17)=TRUE, "Morning", IF(AND(AllData[[#This Row],[Time]]&lt;0.75, AllData[[#This Row],[Time]]&gt;=0.5)=TRUE, "Afternoon", IF(AND(AllData[[#This Row],[Time]]&lt;1, AllData[[#This Row],[Time]]&gt;=0.75)=TRUE, "Evening", "Night")))</f>
        <v>Afternoon</v>
      </c>
      <c r="G258" t="str">
        <f>_xlfn.XLOOKUP(AllData[[#This Row],[Location Name]], Locations[Location Name],Locations[Group As])</f>
        <v>Alveston Weir</v>
      </c>
      <c r="H258" t="e" vm="1">
        <f>_xlfn.XLOOKUP(AllData[[#This Row],[Site Name]],LocationsKey[Site Name],LocationsKey[District])</f>
        <v>#VALUE!</v>
      </c>
      <c r="I258" t="e" vm="2">
        <f>_xlfn.XLOOKUP(AllData[[#This Row],[Site Name]],LocationsKey[Site Name],LocationsKey[Town])</f>
        <v>#VALUE!</v>
      </c>
      <c r="J258" t="str">
        <f>_xlfn.XLOOKUP(AllData[[#This Row],[Site Name]],LocationsKey[Site Name], LocationsKey[Waterway])</f>
        <v>Avon</v>
      </c>
      <c r="K258" s="139" t="s">
        <v>288</v>
      </c>
      <c r="L258" s="139">
        <v>52.212288999999998</v>
      </c>
      <c r="M258" s="156">
        <v>-1.660452</v>
      </c>
      <c r="N258" s="139" t="s">
        <v>31</v>
      </c>
      <c r="O258" s="139">
        <v>558</v>
      </c>
      <c r="P258" s="139">
        <v>11.2</v>
      </c>
      <c r="Q258" s="139">
        <v>5</v>
      </c>
      <c r="R258" s="107" t="str">
        <f>IF(AllData[[#This Row],[Nitrate (PPM)]]&gt;2, "Very high", IF(AllData[[#This Row],[Nitrate (PPM)]]&gt;1, "High", IF(AllData[[#This Row],[Nitrate (PPM)]]&gt;0.5, "Some evidence", IF(AllData[[#This Row],[Nitrate (PPM)]]&gt;=0, "No evidence"))))</f>
        <v>Very high</v>
      </c>
      <c r="S258" s="139">
        <v>0.26</v>
      </c>
      <c r="T258" s="7" t="str">
        <f>IF(AllData[[#This Row],[Phosphate (PPM)]]&gt;0.5, "Very high", IF(AllData[[#This Row],[Phosphate (PPM)]]&gt;0.1, "High", IF(AllData[[#This Row],[Phosphate (PPM)]]&gt;0.05, "Some evidence", IF(AllData[[#This Row],[Phosphate (PPM)]]&lt;=0.05, "No Evidence", ""))))</f>
        <v>High</v>
      </c>
      <c r="U258" s="139">
        <v>1</v>
      </c>
      <c r="V258" s="139" t="s">
        <v>3154</v>
      </c>
    </row>
    <row r="259" spans="1:22" x14ac:dyDescent="0.35">
      <c r="A259" s="139" t="s">
        <v>3151</v>
      </c>
      <c r="B259" s="146">
        <v>45713</v>
      </c>
      <c r="C259" s="2" t="str" cm="1">
        <f t="array" ref="C2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59">
        <v>2024</v>
      </c>
      <c r="E259" s="147">
        <v>0.63124999999999998</v>
      </c>
      <c r="F259" t="str">
        <f>IF(AND(AllData[[#This Row],[Time]]&lt;0.5, AllData[[#This Row],[Time]]&gt;0.17)=TRUE, "Morning", IF(AND(AllData[[#This Row],[Time]]&lt;0.75, AllData[[#This Row],[Time]]&gt;=0.5)=TRUE, "Afternoon", IF(AND(AllData[[#This Row],[Time]]&lt;1, AllData[[#This Row],[Time]]&gt;=0.75)=TRUE, "Evening", "Night")))</f>
        <v>Afternoon</v>
      </c>
      <c r="G259" t="str">
        <f>_xlfn.XLOOKUP(AllData[[#This Row],[Location Name]], Locations[Location Name],Locations[Group As])</f>
        <v>Swiffen Bank</v>
      </c>
      <c r="H259" t="e" vm="1">
        <f>_xlfn.XLOOKUP(AllData[[#This Row],[Site Name]],LocationsKey[Site Name],LocationsKey[District])</f>
        <v>#VALUE!</v>
      </c>
      <c r="I259" t="e" vm="2">
        <f>_xlfn.XLOOKUP(AllData[[#This Row],[Site Name]],LocationsKey[Site Name],LocationsKey[Town])</f>
        <v>#VALUE!</v>
      </c>
      <c r="J259" t="str">
        <f>_xlfn.XLOOKUP(AllData[[#This Row],[Site Name]],LocationsKey[Site Name], LocationsKey[Waterway])</f>
        <v>Avon</v>
      </c>
      <c r="K259" s="139" t="s">
        <v>286</v>
      </c>
      <c r="L259" s="139"/>
      <c r="M259" s="156"/>
      <c r="N259" s="139" t="s">
        <v>31</v>
      </c>
      <c r="O259" s="139">
        <v>546</v>
      </c>
      <c r="P259" s="139">
        <v>9.3000000000000007</v>
      </c>
      <c r="Q259" s="139">
        <v>5</v>
      </c>
      <c r="R259" s="107" t="str">
        <f>IF(AllData[[#This Row],[Nitrate (PPM)]]&gt;2, "Very high", IF(AllData[[#This Row],[Nitrate (PPM)]]&gt;1, "High", IF(AllData[[#This Row],[Nitrate (PPM)]]&gt;0.5, "Some evidence", IF(AllData[[#This Row],[Nitrate (PPM)]]&gt;=0, "No evidence"))))</f>
        <v>Very high</v>
      </c>
      <c r="S259" s="139">
        <v>0.36</v>
      </c>
      <c r="T259" s="7" t="str">
        <f>IF(AllData[[#This Row],[Phosphate (PPM)]]&gt;0.5, "Very high", IF(AllData[[#This Row],[Phosphate (PPM)]]&gt;0.1, "High", IF(AllData[[#This Row],[Phosphate (PPM)]]&gt;0.05, "Some evidence", IF(AllData[[#This Row],[Phosphate (PPM)]]&lt;=0.05, "No Evidence", ""))))</f>
        <v>High</v>
      </c>
      <c r="U259" s="139">
        <v>1</v>
      </c>
      <c r="V259" s="139" t="s">
        <v>3152</v>
      </c>
    </row>
    <row r="260" spans="1:22" x14ac:dyDescent="0.35">
      <c r="A260" s="139" t="s">
        <v>3149</v>
      </c>
      <c r="B260" s="146">
        <v>45713</v>
      </c>
      <c r="C260" s="2" t="str" cm="1">
        <f t="array" ref="C2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0">
        <v>2024</v>
      </c>
      <c r="E260" s="147">
        <v>0.60138888888888886</v>
      </c>
      <c r="F260" t="str">
        <f>IF(AND(AllData[[#This Row],[Time]]&lt;0.5, AllData[[#This Row],[Time]]&gt;0.17)=TRUE, "Morning", IF(AND(AllData[[#This Row],[Time]]&lt;0.75, AllData[[#This Row],[Time]]&gt;=0.5)=TRUE, "Afternoon", IF(AND(AllData[[#This Row],[Time]]&lt;1, AllData[[#This Row],[Time]]&gt;=0.75)=TRUE, "Evening", "Night")))</f>
        <v>Afternoon</v>
      </c>
      <c r="G260" t="str">
        <f>_xlfn.XLOOKUP(AllData[[#This Row],[Location Name]], Locations[Location Name],Locations[Group As])</f>
        <v>Site 4 : Heath Gate Ilmington</v>
      </c>
      <c r="H260" t="e" vm="1">
        <f>_xlfn.XLOOKUP(AllData[[#This Row],[Site Name]],LocationsKey[Site Name],LocationsKey[District])</f>
        <v>#VALUE!</v>
      </c>
      <c r="I260" t="e" vm="14">
        <f>_xlfn.XLOOKUP(AllData[[#This Row],[Site Name]],LocationsKey[Site Name],LocationsKey[Town])</f>
        <v>#VALUE!</v>
      </c>
      <c r="J260" t="str">
        <f>_xlfn.XLOOKUP(AllData[[#This Row],[Site Name]],LocationsKey[Site Name], LocationsKey[Waterway])</f>
        <v>Fosseway Brook</v>
      </c>
      <c r="K260" s="139" t="s">
        <v>3150</v>
      </c>
      <c r="L260" s="139">
        <v>52.094850999999998</v>
      </c>
      <c r="M260" s="156">
        <v>-1.67398</v>
      </c>
      <c r="N260" s="139" t="s">
        <v>31</v>
      </c>
      <c r="O260" s="139">
        <v>585</v>
      </c>
      <c r="P260" s="139">
        <v>9.1999999999999993</v>
      </c>
      <c r="Q260" s="139">
        <v>2</v>
      </c>
      <c r="R260" s="107" t="str">
        <f>IF(AllData[[#This Row],[Nitrate (PPM)]]&gt;2, "Very high", IF(AllData[[#This Row],[Nitrate (PPM)]]&gt;1, "High", IF(AllData[[#This Row],[Nitrate (PPM)]]&gt;0.5, "Some evidence", IF(AllData[[#This Row],[Nitrate (PPM)]]&gt;=0, "No evidence"))))</f>
        <v>High</v>
      </c>
      <c r="S260" s="139">
        <v>0.7</v>
      </c>
      <c r="T260" s="7" t="str">
        <f>IF(AllData[[#This Row],[Phosphate (PPM)]]&gt;0.5, "Very high", IF(AllData[[#This Row],[Phosphate (PPM)]]&gt;0.1, "High", IF(AllData[[#This Row],[Phosphate (PPM)]]&gt;0.05, "Some evidence", IF(AllData[[#This Row],[Phosphate (PPM)]]&lt;=0.05, "No Evidence", ""))))</f>
        <v>Very high</v>
      </c>
      <c r="U260" s="139">
        <v>0.4</v>
      </c>
      <c r="V260" s="139"/>
    </row>
    <row r="261" spans="1:22" x14ac:dyDescent="0.35">
      <c r="A261" s="139" t="s">
        <v>3147</v>
      </c>
      <c r="B261" s="146">
        <v>45713</v>
      </c>
      <c r="C261" s="2" t="str" cm="1">
        <f t="array" ref="C2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1">
        <v>2024</v>
      </c>
      <c r="E261" s="147">
        <v>0.57708333333333328</v>
      </c>
      <c r="F261" t="str">
        <f>IF(AND(AllData[[#This Row],[Time]]&lt;0.5, AllData[[#This Row],[Time]]&gt;0.17)=TRUE, "Morning", IF(AND(AllData[[#This Row],[Time]]&lt;0.75, AllData[[#This Row],[Time]]&gt;=0.5)=TRUE, "Afternoon", IF(AND(AllData[[#This Row],[Time]]&lt;1, AllData[[#This Row],[Time]]&gt;=0.75)=TRUE, "Evening", "Night")))</f>
        <v>Afternoon</v>
      </c>
      <c r="G261" t="str">
        <f>_xlfn.XLOOKUP(AllData[[#This Row],[Location Name]], Locations[Location Name],Locations[Group As])</f>
        <v>Site 1  :  Middle Street</v>
      </c>
      <c r="H261" t="e" vm="1">
        <f>_xlfn.XLOOKUP(AllData[[#This Row],[Site Name]],LocationsKey[Site Name],LocationsKey[District])</f>
        <v>#VALUE!</v>
      </c>
      <c r="I261" t="e" vm="14">
        <f>_xlfn.XLOOKUP(AllData[[#This Row],[Site Name]],LocationsKey[Site Name],LocationsKey[Town])</f>
        <v>#VALUE!</v>
      </c>
      <c r="J261" t="str">
        <f>_xlfn.XLOOKUP(AllData[[#This Row],[Site Name]],LocationsKey[Site Name], LocationsKey[Waterway])</f>
        <v>Fosseway Brook</v>
      </c>
      <c r="K261" s="139" t="s">
        <v>2993</v>
      </c>
      <c r="L261" s="139">
        <v>52.090065000000003</v>
      </c>
      <c r="M261" s="156">
        <v>-1.6926589999999999</v>
      </c>
      <c r="N261" s="139" t="s">
        <v>68</v>
      </c>
      <c r="O261" s="139">
        <v>553</v>
      </c>
      <c r="P261" s="139">
        <v>10.199999999999999</v>
      </c>
      <c r="Q261" s="139">
        <v>2</v>
      </c>
      <c r="R261" s="107" t="str">
        <f>IF(AllData[[#This Row],[Nitrate (PPM)]]&gt;2, "Very high", IF(AllData[[#This Row],[Nitrate (PPM)]]&gt;1, "High", IF(AllData[[#This Row],[Nitrate (PPM)]]&gt;0.5, "Some evidence", IF(AllData[[#This Row],[Nitrate (PPM)]]&gt;=0, "No evidence"))))</f>
        <v>High</v>
      </c>
      <c r="S261" s="139">
        <v>0.02</v>
      </c>
      <c r="T261" s="7" t="str">
        <f>IF(AllData[[#This Row],[Phosphate (PPM)]]&gt;0.5, "Very high", IF(AllData[[#This Row],[Phosphate (PPM)]]&gt;0.1, "High", IF(AllData[[#This Row],[Phosphate (PPM)]]&gt;0.05, "Some evidence", IF(AllData[[#This Row],[Phosphate (PPM)]]&lt;=0.05, "No Evidence", ""))))</f>
        <v>No Evidence</v>
      </c>
      <c r="U261" s="139">
        <v>0.1</v>
      </c>
      <c r="V261" s="139"/>
    </row>
    <row r="262" spans="1:22" x14ac:dyDescent="0.35">
      <c r="A262" s="139" t="s">
        <v>3144</v>
      </c>
      <c r="B262" s="146">
        <v>45712</v>
      </c>
      <c r="C262" s="2" t="str" cm="1">
        <f t="array" ref="C2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2">
        <v>2024</v>
      </c>
      <c r="E262" s="147">
        <v>0.72638888888888886</v>
      </c>
      <c r="F262" t="str">
        <f>IF(AND(AllData[[#This Row],[Time]]&lt;0.5, AllData[[#This Row],[Time]]&gt;0.17)=TRUE, "Morning", IF(AND(AllData[[#This Row],[Time]]&lt;0.75, AllData[[#This Row],[Time]]&gt;=0.5)=TRUE, "Afternoon", IF(AND(AllData[[#This Row],[Time]]&lt;1, AllData[[#This Row],[Time]]&gt;=0.75)=TRUE, "Evening", "Night")))</f>
        <v>Afternoon</v>
      </c>
      <c r="G262" t="str">
        <f>_xlfn.XLOOKUP(AllData[[#This Row],[Location Name]], Locations[Location Name],Locations[Group As])</f>
        <v>Carrant Crashmore Lane</v>
      </c>
      <c r="H262" t="e" vm="4">
        <f>_xlfn.XLOOKUP(AllData[[#This Row],[Site Name]],LocationsKey[Site Name],LocationsKey[District])</f>
        <v>#VALUE!</v>
      </c>
      <c r="I262" t="e" vm="4">
        <f>_xlfn.XLOOKUP(AllData[[#This Row],[Site Name]],LocationsKey[Site Name],LocationsKey[Town])</f>
        <v>#VALUE!</v>
      </c>
      <c r="J262" t="str">
        <f>_xlfn.XLOOKUP(AllData[[#This Row],[Site Name]],LocationsKey[Site Name], LocationsKey[Waterway])</f>
        <v>Carrant</v>
      </c>
      <c r="K262" s="139" t="s">
        <v>3145</v>
      </c>
      <c r="L262" s="139">
        <v>52.014532000000003</v>
      </c>
      <c r="M262" s="156">
        <v>-2.0577079999999999</v>
      </c>
      <c r="N262" s="139" t="s">
        <v>31</v>
      </c>
      <c r="O262" s="139">
        <v>580</v>
      </c>
      <c r="P262" s="139">
        <v>11.3</v>
      </c>
      <c r="Q262" s="139">
        <v>5</v>
      </c>
      <c r="R262" s="107" t="str">
        <f>IF(AllData[[#This Row],[Nitrate (PPM)]]&gt;2, "Very high", IF(AllData[[#This Row],[Nitrate (PPM)]]&gt;1, "High", IF(AllData[[#This Row],[Nitrate (PPM)]]&gt;0.5, "Some evidence", IF(AllData[[#This Row],[Nitrate (PPM)]]&gt;=0, "No evidence"))))</f>
        <v>Very high</v>
      </c>
      <c r="S262" s="139">
        <v>0.4</v>
      </c>
      <c r="T262" s="7" t="str">
        <f>IF(AllData[[#This Row],[Phosphate (PPM)]]&gt;0.5, "Very high", IF(AllData[[#This Row],[Phosphate (PPM)]]&gt;0.1, "High", IF(AllData[[#This Row],[Phosphate (PPM)]]&gt;0.05, "Some evidence", IF(AllData[[#This Row],[Phosphate (PPM)]]&lt;=0.05, "No Evidence", ""))))</f>
        <v>High</v>
      </c>
      <c r="U262" s="139">
        <v>0</v>
      </c>
      <c r="V262" s="139" t="s">
        <v>3146</v>
      </c>
    </row>
    <row r="263" spans="1:22" x14ac:dyDescent="0.35">
      <c r="A263" s="139" t="s">
        <v>3141</v>
      </c>
      <c r="B263" s="146">
        <v>45712</v>
      </c>
      <c r="C263" s="2" t="str" cm="1">
        <f t="array" ref="C2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3">
        <v>2024</v>
      </c>
      <c r="E263" s="147">
        <v>0.36458333333333331</v>
      </c>
      <c r="F263" t="str">
        <f>IF(AND(AllData[[#This Row],[Time]]&lt;0.5, AllData[[#This Row],[Time]]&gt;0.17)=TRUE, "Morning", IF(AND(AllData[[#This Row],[Time]]&lt;0.75, AllData[[#This Row],[Time]]&gt;=0.5)=TRUE, "Afternoon", IF(AND(AllData[[#This Row],[Time]]&lt;1, AllData[[#This Row],[Time]]&gt;=0.75)=TRUE, "Evening", "Night")))</f>
        <v>Morning</v>
      </c>
      <c r="G263" t="str">
        <f>_xlfn.XLOOKUP(AllData[[#This Row],[Location Name]], Locations[Location Name],Locations[Group As])</f>
        <v>Chipping Campden Sewage Works</v>
      </c>
      <c r="H263" t="e" vm="9">
        <f>_xlfn.XLOOKUP(AllData[[#This Row],[Site Name]],LocationsKey[Site Name],LocationsKey[District])</f>
        <v>#VALUE!</v>
      </c>
      <c r="I263" t="e" vm="10">
        <f>_xlfn.XLOOKUP(AllData[[#This Row],[Site Name]],LocationsKey[Site Name],LocationsKey[Town])</f>
        <v>#VALUE!</v>
      </c>
      <c r="J263" t="str">
        <f>_xlfn.XLOOKUP(AllData[[#This Row],[Site Name]],LocationsKey[Site Name], LocationsKey[Waterway])</f>
        <v>Cam Brook</v>
      </c>
      <c r="K263" s="139" t="s">
        <v>1570</v>
      </c>
      <c r="L263" s="139"/>
      <c r="M263" s="156"/>
      <c r="N263" s="139" t="s">
        <v>31</v>
      </c>
      <c r="O263" s="139">
        <v>515</v>
      </c>
      <c r="P263" s="139">
        <v>10.199999999999999</v>
      </c>
      <c r="Q263" s="139">
        <v>5</v>
      </c>
      <c r="R263" s="107" t="str">
        <f>IF(AllData[[#This Row],[Nitrate (PPM)]]&gt;2, "Very high", IF(AllData[[#This Row],[Nitrate (PPM)]]&gt;1, "High", IF(AllData[[#This Row],[Nitrate (PPM)]]&gt;0.5, "Some evidence", IF(AllData[[#This Row],[Nitrate (PPM)]]&gt;=0, "No evidence"))))</f>
        <v>Very high</v>
      </c>
      <c r="S263" s="139">
        <v>0.17</v>
      </c>
      <c r="T263" s="7" t="str">
        <f>IF(AllData[[#This Row],[Phosphate (PPM)]]&gt;0.5, "Very high", IF(AllData[[#This Row],[Phosphate (PPM)]]&gt;0.1, "High", IF(AllData[[#This Row],[Phosphate (PPM)]]&gt;0.05, "Some evidence", IF(AllData[[#This Row],[Phosphate (PPM)]]&lt;=0.05, "No Evidence", ""))))</f>
        <v>High</v>
      </c>
      <c r="U263" s="139">
        <v>0.46</v>
      </c>
      <c r="V263" s="139"/>
    </row>
    <row r="264" spans="1:22" x14ac:dyDescent="0.35">
      <c r="A264" s="139" t="s">
        <v>3143</v>
      </c>
      <c r="B264" s="146">
        <v>45712</v>
      </c>
      <c r="C264" s="2" t="str" cm="1">
        <f t="array" ref="C2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4">
        <v>2024</v>
      </c>
      <c r="E264" s="147">
        <v>0.67013888888888884</v>
      </c>
      <c r="F264" t="str">
        <f>IF(AND(AllData[[#This Row],[Time]]&lt;0.5, AllData[[#This Row],[Time]]&gt;0.17)=TRUE, "Morning", IF(AND(AllData[[#This Row],[Time]]&lt;0.75, AllData[[#This Row],[Time]]&gt;=0.5)=TRUE, "Afternoon", IF(AND(AllData[[#This Row],[Time]]&lt;1, AllData[[#This Row],[Time]]&gt;=0.75)=TRUE, "Evening", "Night")))</f>
        <v>Afternoon</v>
      </c>
      <c r="G264" t="str">
        <f>_xlfn.XLOOKUP(AllData[[#This Row],[Location Name]], Locations[Location Name],Locations[Group As])</f>
        <v>Carrant Back Lane Beckford</v>
      </c>
      <c r="H264" t="e" vm="4">
        <f>_xlfn.XLOOKUP(AllData[[#This Row],[Site Name]],LocationsKey[Site Name],LocationsKey[District])</f>
        <v>#VALUE!</v>
      </c>
      <c r="I264" t="str">
        <f>_xlfn.XLOOKUP(AllData[[#This Row],[Site Name]],LocationsKey[Site Name],LocationsKey[Town])</f>
        <v>Beckford</v>
      </c>
      <c r="J264" t="str">
        <f>_xlfn.XLOOKUP(AllData[[#This Row],[Site Name]],LocationsKey[Site Name], LocationsKey[Waterway])</f>
        <v>Carrant</v>
      </c>
      <c r="K264" s="139" t="s">
        <v>1736</v>
      </c>
      <c r="L264" s="139">
        <v>52.018428999999998</v>
      </c>
      <c r="M264" s="156">
        <v>-2.0387469999999999</v>
      </c>
      <c r="N264" s="139" t="s">
        <v>68</v>
      </c>
      <c r="O264" s="139">
        <v>552</v>
      </c>
      <c r="P264" s="139">
        <v>10.3</v>
      </c>
      <c r="Q264" s="139">
        <v>4</v>
      </c>
      <c r="R264" s="107" t="str">
        <f>IF(AllData[[#This Row],[Nitrate (PPM)]]&gt;2, "Very high", IF(AllData[[#This Row],[Nitrate (PPM)]]&gt;1, "High", IF(AllData[[#This Row],[Nitrate (PPM)]]&gt;0.5, "Some evidence", IF(AllData[[#This Row],[Nitrate (PPM)]]&gt;=0, "No evidence"))))</f>
        <v>Very high</v>
      </c>
      <c r="S264" s="139">
        <v>0.12</v>
      </c>
      <c r="T264" s="7" t="str">
        <f>IF(AllData[[#This Row],[Phosphate (PPM)]]&gt;0.5, "Very high", IF(AllData[[#This Row],[Phosphate (PPM)]]&gt;0.1, "High", IF(AllData[[#This Row],[Phosphate (PPM)]]&gt;0.05, "Some evidence", IF(AllData[[#This Row],[Phosphate (PPM)]]&lt;=0.05, "No Evidence", ""))))</f>
        <v>High</v>
      </c>
      <c r="U264" s="139">
        <v>0.77</v>
      </c>
      <c r="V264" s="139"/>
    </row>
    <row r="265" spans="1:22" x14ac:dyDescent="0.35">
      <c r="A265" s="139" t="s">
        <v>3140</v>
      </c>
      <c r="B265" s="146">
        <v>45712</v>
      </c>
      <c r="C265" s="2" t="str" cm="1">
        <f t="array" ref="C2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5">
        <v>2024</v>
      </c>
      <c r="E265" s="147">
        <v>0.35069444444444442</v>
      </c>
      <c r="F265" t="str">
        <f>IF(AND(AllData[[#This Row],[Time]]&lt;0.5, AllData[[#This Row],[Time]]&gt;0.17)=TRUE, "Morning", IF(AND(AllData[[#This Row],[Time]]&lt;0.75, AllData[[#This Row],[Time]]&gt;=0.5)=TRUE, "Afternoon", IF(AND(AllData[[#This Row],[Time]]&lt;1, AllData[[#This Row],[Time]]&gt;=0.75)=TRUE, "Evening", "Night")))</f>
        <v>Morning</v>
      </c>
      <c r="G265" t="str">
        <f>_xlfn.XLOOKUP(AllData[[#This Row],[Location Name]], Locations[Location Name],Locations[Group As])</f>
        <v>Chipping Campden Lady J Gateway</v>
      </c>
      <c r="H265" t="e" vm="9">
        <f>_xlfn.XLOOKUP(AllData[[#This Row],[Site Name]],LocationsKey[Site Name],LocationsKey[District])</f>
        <v>#VALUE!</v>
      </c>
      <c r="I265" t="e" vm="10">
        <f>_xlfn.XLOOKUP(AllData[[#This Row],[Site Name]],LocationsKey[Site Name],LocationsKey[Town])</f>
        <v>#VALUE!</v>
      </c>
      <c r="J265" t="str">
        <f>_xlfn.XLOOKUP(AllData[[#This Row],[Site Name]],LocationsKey[Site Name], LocationsKey[Waterway])</f>
        <v>Cam Brook</v>
      </c>
      <c r="K265" s="139" t="s">
        <v>1573</v>
      </c>
      <c r="L265" s="139"/>
      <c r="M265" s="156"/>
      <c r="N265" s="139" t="s">
        <v>68</v>
      </c>
      <c r="O265" s="139">
        <v>472</v>
      </c>
      <c r="P265" s="139">
        <v>8.5</v>
      </c>
      <c r="Q265" s="139">
        <v>2</v>
      </c>
      <c r="R265" s="107" t="str">
        <f>IF(AllData[[#This Row],[Nitrate (PPM)]]&gt;2, "Very high", IF(AllData[[#This Row],[Nitrate (PPM)]]&gt;1, "High", IF(AllData[[#This Row],[Nitrate (PPM)]]&gt;0.5, "Some evidence", IF(AllData[[#This Row],[Nitrate (PPM)]]&gt;=0, "No evidence"))))</f>
        <v>High</v>
      </c>
      <c r="S265" s="139">
        <v>0.08</v>
      </c>
      <c r="T265" s="7" t="str">
        <f>IF(AllData[[#This Row],[Phosphate (PPM)]]&gt;0.5, "Very high", IF(AllData[[#This Row],[Phosphate (PPM)]]&gt;0.1, "High", IF(AllData[[#This Row],[Phosphate (PPM)]]&gt;0.05, "Some evidence", IF(AllData[[#This Row],[Phosphate (PPM)]]&lt;=0.05, "No Evidence", ""))))</f>
        <v>Some evidence</v>
      </c>
      <c r="U265" s="139">
        <v>0.23</v>
      </c>
      <c r="V265" s="139"/>
    </row>
    <row r="266" spans="1:22" x14ac:dyDescent="0.35">
      <c r="A266" s="139" t="s">
        <v>3142</v>
      </c>
      <c r="B266" s="146">
        <v>45712</v>
      </c>
      <c r="C266" s="2" t="str" cm="1">
        <f t="array" ref="C2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6">
        <v>2024</v>
      </c>
      <c r="E266" s="147">
        <v>0.4375</v>
      </c>
      <c r="F266" t="str">
        <f>IF(AND(AllData[[#This Row],[Time]]&lt;0.5, AllData[[#This Row],[Time]]&gt;0.17)=TRUE, "Morning", IF(AND(AllData[[#This Row],[Time]]&lt;0.75, AllData[[#This Row],[Time]]&gt;=0.5)=TRUE, "Afternoon", IF(AND(AllData[[#This Row],[Time]]&lt;1, AllData[[#This Row],[Time]]&gt;=0.75)=TRUE, "Evening", "Night")))</f>
        <v>Morning</v>
      </c>
      <c r="G266" t="str">
        <f>_xlfn.XLOOKUP(AllData[[#This Row],[Location Name]], Locations[Location Name],Locations[Group As])</f>
        <v>Chipping Campden Craves</v>
      </c>
      <c r="H266" t="e" vm="9">
        <f>_xlfn.XLOOKUP(AllData[[#This Row],[Site Name]],LocationsKey[Site Name],LocationsKey[District])</f>
        <v>#VALUE!</v>
      </c>
      <c r="I266" t="e" vm="10">
        <f>_xlfn.XLOOKUP(AllData[[#This Row],[Site Name]],LocationsKey[Site Name],LocationsKey[Town])</f>
        <v>#VALUE!</v>
      </c>
      <c r="J266" t="str">
        <f>_xlfn.XLOOKUP(AllData[[#This Row],[Site Name]],LocationsKey[Site Name], LocationsKey[Waterway])</f>
        <v>Cam Brook</v>
      </c>
      <c r="K266" s="139" t="s">
        <v>2458</v>
      </c>
      <c r="L266" s="139">
        <v>52.048771000000002</v>
      </c>
      <c r="M266" s="156">
        <v>-1.7863500000000001</v>
      </c>
      <c r="N266" s="139" t="s">
        <v>68</v>
      </c>
      <c r="O266" s="139">
        <v>442</v>
      </c>
      <c r="P266" s="139">
        <v>11.9</v>
      </c>
      <c r="Q266" s="139">
        <v>2</v>
      </c>
      <c r="R266" s="107" t="str">
        <f>IF(AllData[[#This Row],[Nitrate (PPM)]]&gt;2, "Very high", IF(AllData[[#This Row],[Nitrate (PPM)]]&gt;1, "High", IF(AllData[[#This Row],[Nitrate (PPM)]]&gt;0.5, "Some evidence", IF(AllData[[#This Row],[Nitrate (PPM)]]&gt;=0, "No evidence"))))</f>
        <v>High</v>
      </c>
      <c r="S266" s="139">
        <v>0.04</v>
      </c>
      <c r="T266" s="7" t="str">
        <f>IF(AllData[[#This Row],[Phosphate (PPM)]]&gt;0.5, "Very high", IF(AllData[[#This Row],[Phosphate (PPM)]]&gt;0.1, "High", IF(AllData[[#This Row],[Phosphate (PPM)]]&gt;0.05, "Some evidence", IF(AllData[[#This Row],[Phosphate (PPM)]]&lt;=0.05, "No Evidence", ""))))</f>
        <v>No Evidence</v>
      </c>
      <c r="U266" s="139">
        <v>37</v>
      </c>
      <c r="V266" s="139"/>
    </row>
    <row r="267" spans="1:22" x14ac:dyDescent="0.35">
      <c r="A267" s="139" t="s">
        <v>3137</v>
      </c>
      <c r="B267" s="146">
        <v>45711</v>
      </c>
      <c r="C267" s="2" t="str" cm="1">
        <f t="array" ref="C2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7">
        <v>2024</v>
      </c>
      <c r="E267" s="147">
        <v>0.66666666666666663</v>
      </c>
      <c r="F267" t="str">
        <f>IF(AND(AllData[[#This Row],[Time]]&lt;0.5, AllData[[#This Row],[Time]]&gt;0.17)=TRUE, "Morning", IF(AND(AllData[[#This Row],[Time]]&lt;0.75, AllData[[#This Row],[Time]]&gt;=0.5)=TRUE, "Afternoon", IF(AND(AllData[[#This Row],[Time]]&lt;1, AllData[[#This Row],[Time]]&gt;=0.75)=TRUE, "Evening", "Night")))</f>
        <v>Afternoon</v>
      </c>
      <c r="G267" t="str">
        <f>_xlfn.XLOOKUP(AllData[[#This Row],[Location Name]], Locations[Location Name],Locations[Group As])</f>
        <v>Sherbourne Brook 2</v>
      </c>
      <c r="H267" t="e" vm="1">
        <f>_xlfn.XLOOKUP(AllData[[#This Row],[Site Name]],LocationsKey[Site Name],LocationsKey[District])</f>
        <v>#VALUE!</v>
      </c>
      <c r="I267" t="str">
        <f>_xlfn.XLOOKUP(AllData[[#This Row],[Site Name]],LocationsKey[Site Name],LocationsKey[Town])</f>
        <v>Unknown</v>
      </c>
      <c r="J267" t="str">
        <f>_xlfn.XLOOKUP(AllData[[#This Row],[Site Name]],LocationsKey[Site Name], LocationsKey[Waterway])</f>
        <v>Sherbourne Brook</v>
      </c>
      <c r="K267" s="139" t="s">
        <v>2995</v>
      </c>
      <c r="L267" s="139"/>
      <c r="M267" s="156"/>
      <c r="N267" s="139"/>
      <c r="O267" s="139">
        <v>1010</v>
      </c>
      <c r="P267" s="139">
        <v>9.8000000000000007</v>
      </c>
      <c r="Q267" s="139">
        <v>6</v>
      </c>
      <c r="R267" s="107" t="str">
        <f>IF(AllData[[#This Row],[Nitrate (PPM)]]&gt;2, "Very high", IF(AllData[[#This Row],[Nitrate (PPM)]]&gt;1, "High", IF(AllData[[#This Row],[Nitrate (PPM)]]&gt;0.5, "Some evidence", IF(AllData[[#This Row],[Nitrate (PPM)]]&gt;=0, "No evidence"))))</f>
        <v>Very high</v>
      </c>
      <c r="S267" s="139">
        <v>0.49</v>
      </c>
      <c r="T267" s="7" t="str">
        <f>IF(AllData[[#This Row],[Phosphate (PPM)]]&gt;0.5, "Very high", IF(AllData[[#This Row],[Phosphate (PPM)]]&gt;0.1, "High", IF(AllData[[#This Row],[Phosphate (PPM)]]&gt;0.05, "Some evidence", IF(AllData[[#This Row],[Phosphate (PPM)]]&lt;=0.05, "No Evidence", ""))))</f>
        <v>High</v>
      </c>
      <c r="U267" s="139">
        <v>0.2</v>
      </c>
      <c r="V267" s="139" t="s">
        <v>3138</v>
      </c>
    </row>
    <row r="268" spans="1:22" x14ac:dyDescent="0.35">
      <c r="A268" s="139" t="s">
        <v>3139</v>
      </c>
      <c r="B268" s="146">
        <v>45711</v>
      </c>
      <c r="C268" s="2" t="str" cm="1">
        <f t="array" ref="C2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8">
        <v>2024</v>
      </c>
      <c r="E268" s="147">
        <v>0.67708333333333337</v>
      </c>
      <c r="F268" t="str">
        <f>IF(AND(AllData[[#This Row],[Time]]&lt;0.5, AllData[[#This Row],[Time]]&gt;0.17)=TRUE, "Morning", IF(AND(AllData[[#This Row],[Time]]&lt;0.75, AllData[[#This Row],[Time]]&gt;=0.5)=TRUE, "Afternoon", IF(AND(AllData[[#This Row],[Time]]&lt;1, AllData[[#This Row],[Time]]&gt;=0.75)=TRUE, "Evening", "Night")))</f>
        <v>Afternoon</v>
      </c>
      <c r="G268" t="str">
        <f>_xlfn.XLOOKUP(AllData[[#This Row],[Location Name]], Locations[Location Name],Locations[Group As])</f>
        <v>Bell Brook 1</v>
      </c>
      <c r="H268" t="e" vm="1">
        <f>_xlfn.XLOOKUP(AllData[[#This Row],[Site Name]],LocationsKey[Site Name],LocationsKey[District])</f>
        <v>#VALUE!</v>
      </c>
      <c r="I268" t="e" vm="19">
        <f>_xlfn.XLOOKUP(AllData[[#This Row],[Site Name]],LocationsKey[Site Name],LocationsKey[Town])</f>
        <v>#VALUE!</v>
      </c>
      <c r="J268" t="str">
        <f>_xlfn.XLOOKUP(AllData[[#This Row],[Site Name]],LocationsKey[Site Name], LocationsKey[Waterway])</f>
        <v>Bell Brook</v>
      </c>
      <c r="K268" s="139" t="s">
        <v>3000</v>
      </c>
      <c r="L268" s="139"/>
      <c r="M268" s="156"/>
      <c r="N268" s="139"/>
      <c r="O268" s="139">
        <v>701</v>
      </c>
      <c r="P268" s="139">
        <v>9.9</v>
      </c>
      <c r="Q268" s="139">
        <v>4</v>
      </c>
      <c r="R268" s="107" t="str">
        <f>IF(AllData[[#This Row],[Nitrate (PPM)]]&gt;2, "Very high", IF(AllData[[#This Row],[Nitrate (PPM)]]&gt;1, "High", IF(AllData[[#This Row],[Nitrate (PPM)]]&gt;0.5, "Some evidence", IF(AllData[[#This Row],[Nitrate (PPM)]]&gt;=0, "No evidence"))))</f>
        <v>Very high</v>
      </c>
      <c r="S268" s="139">
        <v>0.28999999999999998</v>
      </c>
      <c r="T268" s="7" t="str">
        <f>IF(AllData[[#This Row],[Phosphate (PPM)]]&gt;0.5, "Very high", IF(AllData[[#This Row],[Phosphate (PPM)]]&gt;0.1, "High", IF(AllData[[#This Row],[Phosphate (PPM)]]&gt;0.05, "Some evidence", IF(AllData[[#This Row],[Phosphate (PPM)]]&lt;=0.05, "No Evidence", ""))))</f>
        <v>High</v>
      </c>
      <c r="U268" s="139">
        <v>0.2</v>
      </c>
      <c r="V268" s="139" t="s">
        <v>3138</v>
      </c>
    </row>
    <row r="269" spans="1:22" x14ac:dyDescent="0.35">
      <c r="A269" s="139" t="s">
        <v>3133</v>
      </c>
      <c r="B269" s="146">
        <v>45711</v>
      </c>
      <c r="C269" s="2" t="str" cm="1">
        <f t="array" ref="C2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69">
        <v>2024</v>
      </c>
      <c r="E269" s="147">
        <v>0.42499999999999999</v>
      </c>
      <c r="F269" t="str">
        <f>IF(AND(AllData[[#This Row],[Time]]&lt;0.5, AllData[[#This Row],[Time]]&gt;0.17)=TRUE, "Morning", IF(AND(AllData[[#This Row],[Time]]&lt;0.75, AllData[[#This Row],[Time]]&gt;=0.5)=TRUE, "Afternoon", IF(AND(AllData[[#This Row],[Time]]&lt;1, AllData[[#This Row],[Time]]&gt;=0.75)=TRUE, "Evening", "Night")))</f>
        <v>Morning</v>
      </c>
      <c r="G269" t="str">
        <f>_xlfn.XLOOKUP(AllData[[#This Row],[Location Name]], Locations[Location Name],Locations[Group As])</f>
        <v>R.Stowe - Lower Fields Farm, Old Brickyard Lane</v>
      </c>
      <c r="H269" t="e" vm="1">
        <f>_xlfn.XLOOKUP(AllData[[#This Row],[Site Name]],LocationsKey[Site Name],LocationsKey[District])</f>
        <v>#VALUE!</v>
      </c>
      <c r="I269" t="e" vm="17">
        <f>_xlfn.XLOOKUP(AllData[[#This Row],[Site Name]],LocationsKey[Site Name],LocationsKey[Town])</f>
        <v>#VALUE!</v>
      </c>
      <c r="J269" t="str">
        <f>_xlfn.XLOOKUP(AllData[[#This Row],[Site Name]],LocationsKey[Site Name], LocationsKey[Waterway])</f>
        <v>Stowe</v>
      </c>
      <c r="K269" s="139" t="s">
        <v>2892</v>
      </c>
      <c r="L269" s="139">
        <v>52.244005000000001</v>
      </c>
      <c r="M269" s="156">
        <v>-1.3478030000000001</v>
      </c>
      <c r="N269" s="139" t="s">
        <v>31</v>
      </c>
      <c r="O269" s="139">
        <v>734</v>
      </c>
      <c r="P269" s="139">
        <v>8.5</v>
      </c>
      <c r="Q269" s="139">
        <v>2</v>
      </c>
      <c r="R269" s="107" t="str">
        <f>IF(AllData[[#This Row],[Nitrate (PPM)]]&gt;2, "Very high", IF(AllData[[#This Row],[Nitrate (PPM)]]&gt;1, "High", IF(AllData[[#This Row],[Nitrate (PPM)]]&gt;0.5, "Some evidence", IF(AllData[[#This Row],[Nitrate (PPM)]]&gt;=0, "No evidence"))))</f>
        <v>High</v>
      </c>
      <c r="S269" s="139">
        <v>0.56999999999999995</v>
      </c>
      <c r="T269" s="7" t="str">
        <f>IF(AllData[[#This Row],[Phosphate (PPM)]]&gt;0.5, "Very high", IF(AllData[[#This Row],[Phosphate (PPM)]]&gt;0.1, "High", IF(AllData[[#This Row],[Phosphate (PPM)]]&gt;0.05, "Some evidence", IF(AllData[[#This Row],[Phosphate (PPM)]]&lt;=0.05, "No Evidence", ""))))</f>
        <v>Very high</v>
      </c>
      <c r="U269" s="139">
        <v>0.31</v>
      </c>
      <c r="V269" s="139" t="s">
        <v>3134</v>
      </c>
    </row>
    <row r="270" spans="1:22" x14ac:dyDescent="0.35">
      <c r="A270" s="139" t="s">
        <v>3135</v>
      </c>
      <c r="B270" s="146">
        <v>45711</v>
      </c>
      <c r="C270" s="2" t="str" cm="1">
        <f t="array" ref="C2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0">
        <v>2024</v>
      </c>
      <c r="E270" s="147">
        <v>0.4375</v>
      </c>
      <c r="F270" t="str">
        <f>IF(AND(AllData[[#This Row],[Time]]&lt;0.5, AllData[[#This Row],[Time]]&gt;0.17)=TRUE, "Morning", IF(AND(AllData[[#This Row],[Time]]&lt;0.75, AllData[[#This Row],[Time]]&gt;=0.5)=TRUE, "Afternoon", IF(AND(AllData[[#This Row],[Time]]&lt;1, AllData[[#This Row],[Time]]&gt;=0.75)=TRUE, "Evening", "Night")))</f>
        <v>Morning</v>
      </c>
      <c r="G270" t="str">
        <f>_xlfn.XLOOKUP(AllData[[#This Row],[Location Name]], Locations[Location Name],Locations[Group As])</f>
        <v>The Ford, Langley</v>
      </c>
      <c r="H270" t="e" vm="1">
        <f>_xlfn.XLOOKUP(AllData[[#This Row],[Site Name]],LocationsKey[Site Name],LocationsKey[District])</f>
        <v>#VALUE!</v>
      </c>
      <c r="I270" t="str">
        <f>_xlfn.XLOOKUP(AllData[[#This Row],[Site Name]],LocationsKey[Site Name],LocationsKey[Town])</f>
        <v>Langley</v>
      </c>
      <c r="J270" t="str">
        <f>_xlfn.XLOOKUP(AllData[[#This Row],[Site Name]],LocationsKey[Site Name], LocationsKey[Waterway])</f>
        <v>Langley Ford</v>
      </c>
      <c r="K270" s="139" t="s">
        <v>561</v>
      </c>
      <c r="L270" s="139">
        <v>52.259779999999999</v>
      </c>
      <c r="M270" s="156">
        <v>-1.7185299999999999</v>
      </c>
      <c r="N270" s="139" t="s">
        <v>31</v>
      </c>
      <c r="O270" s="139">
        <v>707</v>
      </c>
      <c r="P270" s="139">
        <v>7.7</v>
      </c>
      <c r="Q270" s="139">
        <v>1.5</v>
      </c>
      <c r="R270" s="107" t="str">
        <f>IF(AllData[[#This Row],[Nitrate (PPM)]]&gt;2, "Very high", IF(AllData[[#This Row],[Nitrate (PPM)]]&gt;1, "High", IF(AllData[[#This Row],[Nitrate (PPM)]]&gt;0.5, "Some evidence", IF(AllData[[#This Row],[Nitrate (PPM)]]&gt;=0, "No evidence"))))</f>
        <v>High</v>
      </c>
      <c r="S270" s="139">
        <v>0.1</v>
      </c>
      <c r="T270" s="7" t="str">
        <f>IF(AllData[[#This Row],[Phosphate (PPM)]]&gt;0.5, "Very high", IF(AllData[[#This Row],[Phosphate (PPM)]]&gt;0.1, "High", IF(AllData[[#This Row],[Phosphate (PPM)]]&gt;0.05, "Some evidence", IF(AllData[[#This Row],[Phosphate (PPM)]]&lt;=0.05, "No Evidence", ""))))</f>
        <v>Some evidence</v>
      </c>
      <c r="U270" s="139">
        <v>0.45</v>
      </c>
      <c r="V270" s="139"/>
    </row>
    <row r="271" spans="1:22" x14ac:dyDescent="0.35">
      <c r="A271" s="139" t="s">
        <v>3136</v>
      </c>
      <c r="B271" s="146">
        <v>45711</v>
      </c>
      <c r="C271" s="2" t="str" cm="1">
        <f t="array" ref="C2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1">
        <v>2024</v>
      </c>
      <c r="E271" s="147">
        <v>0.52083333333333337</v>
      </c>
      <c r="F271" t="str">
        <f>IF(AND(AllData[[#This Row],[Time]]&lt;0.5, AllData[[#This Row],[Time]]&gt;0.17)=TRUE, "Morning", IF(AND(AllData[[#This Row],[Time]]&lt;0.75, AllData[[#This Row],[Time]]&gt;=0.5)=TRUE, "Afternoon", IF(AND(AllData[[#This Row],[Time]]&lt;1, AllData[[#This Row],[Time]]&gt;=0.75)=TRUE, "Evening", "Night")))</f>
        <v>Afternoon</v>
      </c>
      <c r="G271" t="str">
        <f>_xlfn.XLOOKUP(AllData[[#This Row],[Location Name]], Locations[Location Name],Locations[Group As])</f>
        <v>Fell Mill Footbridge</v>
      </c>
      <c r="H271" t="e" vm="1">
        <f>_xlfn.XLOOKUP(AllData[[#This Row],[Site Name]],LocationsKey[Site Name],LocationsKey[District])</f>
        <v>#VALUE!</v>
      </c>
      <c r="I271" t="e" vm="15">
        <f>_xlfn.XLOOKUP(AllData[[#This Row],[Site Name]],LocationsKey[Site Name],LocationsKey[Town])</f>
        <v>#VALUE!</v>
      </c>
      <c r="J271" t="str">
        <f>_xlfn.XLOOKUP(AllData[[#This Row],[Site Name]],LocationsKey[Site Name], LocationsKey[Waterway])</f>
        <v>Stour</v>
      </c>
      <c r="K271" s="139" t="s">
        <v>1968</v>
      </c>
      <c r="L271" s="139">
        <v>52.070086000000003</v>
      </c>
      <c r="M271" s="156">
        <v>-1.61145</v>
      </c>
      <c r="N271" s="139" t="s">
        <v>31</v>
      </c>
      <c r="O271" s="139">
        <v>607</v>
      </c>
      <c r="P271" s="139">
        <v>8.5</v>
      </c>
      <c r="Q271" s="139">
        <v>0.5</v>
      </c>
      <c r="R271" s="107" t="str">
        <f>IF(AllData[[#This Row],[Nitrate (PPM)]]&gt;2, "Very high", IF(AllData[[#This Row],[Nitrate (PPM)]]&gt;1, "High", IF(AllData[[#This Row],[Nitrate (PPM)]]&gt;0.5, "Some evidence", IF(AllData[[#This Row],[Nitrate (PPM)]]&gt;=0, "No evidence"))))</f>
        <v>No evidence</v>
      </c>
      <c r="S271" s="139">
        <v>0.48</v>
      </c>
      <c r="T271" s="7" t="str">
        <f>IF(AllData[[#This Row],[Phosphate (PPM)]]&gt;0.5, "Very high", IF(AllData[[#This Row],[Phosphate (PPM)]]&gt;0.1, "High", IF(AllData[[#This Row],[Phosphate (PPM)]]&gt;0.05, "Some evidence", IF(AllData[[#This Row],[Phosphate (PPM)]]&lt;=0.05, "No Evidence", ""))))</f>
        <v>High</v>
      </c>
      <c r="U271" s="139">
        <v>1.85</v>
      </c>
      <c r="V271" s="139"/>
    </row>
    <row r="272" spans="1:22" x14ac:dyDescent="0.35">
      <c r="A272" s="139" t="s">
        <v>3130</v>
      </c>
      <c r="B272" s="146">
        <v>45710</v>
      </c>
      <c r="C272" s="2" t="str" cm="1">
        <f t="array" ref="C2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2">
        <v>2024</v>
      </c>
      <c r="E272" s="147">
        <v>0.47569444444444442</v>
      </c>
      <c r="F272" t="str">
        <f>IF(AND(AllData[[#This Row],[Time]]&lt;0.5, AllData[[#This Row],[Time]]&gt;0.17)=TRUE, "Morning", IF(AND(AllData[[#This Row],[Time]]&lt;0.75, AllData[[#This Row],[Time]]&gt;=0.5)=TRUE, "Afternoon", IF(AND(AllData[[#This Row],[Time]]&lt;1, AllData[[#This Row],[Time]]&gt;=0.75)=TRUE, "Evening", "Night")))</f>
        <v>Morning</v>
      </c>
      <c r="G272" t="str">
        <f>_xlfn.XLOOKUP(AllData[[#This Row],[Location Name]], Locations[Location Name],Locations[Group As])</f>
        <v>Lower Lode</v>
      </c>
      <c r="H272" t="e" vm="4">
        <f>_xlfn.XLOOKUP(AllData[[#This Row],[Site Name]],LocationsKey[Site Name],LocationsKey[District])</f>
        <v>#VALUE!</v>
      </c>
      <c r="I272" t="e" vm="4">
        <f>_xlfn.XLOOKUP(AllData[[#This Row],[Site Name]],LocationsKey[Site Name],LocationsKey[Town])</f>
        <v>#VALUE!</v>
      </c>
      <c r="J272" t="str">
        <f>_xlfn.XLOOKUP(AllData[[#This Row],[Site Name]],LocationsKey[Site Name], LocationsKey[Waterway])</f>
        <v>Avon</v>
      </c>
      <c r="K272" s="139" t="s">
        <v>595</v>
      </c>
      <c r="L272" s="139">
        <v>51.985075000000002</v>
      </c>
      <c r="M272" s="156">
        <v>-2.1743700000000001</v>
      </c>
      <c r="N272" s="139" t="s">
        <v>31</v>
      </c>
      <c r="O272" s="139">
        <v>9180</v>
      </c>
      <c r="P272" s="139">
        <v>12.7</v>
      </c>
      <c r="Q272" s="139">
        <v>5</v>
      </c>
      <c r="R272" s="107" t="str">
        <f>IF(AllData[[#This Row],[Nitrate (PPM)]]&gt;2, "Very high", IF(AllData[[#This Row],[Nitrate (PPM)]]&gt;1, "High", IF(AllData[[#This Row],[Nitrate (PPM)]]&gt;0.5, "Some evidence", IF(AllData[[#This Row],[Nitrate (PPM)]]&gt;=0, "No evidence"))))</f>
        <v>Very high</v>
      </c>
      <c r="S272" s="139">
        <v>0.43</v>
      </c>
      <c r="T272" s="7" t="str">
        <f>IF(AllData[[#This Row],[Phosphate (PPM)]]&gt;0.5, "Very high", IF(AllData[[#This Row],[Phosphate (PPM)]]&gt;0.1, "High", IF(AllData[[#This Row],[Phosphate (PPM)]]&gt;0.05, "Some evidence", IF(AllData[[#This Row],[Phosphate (PPM)]]&lt;=0.05, "No Evidence", ""))))</f>
        <v>High</v>
      </c>
      <c r="U272" s="139">
        <v>1</v>
      </c>
      <c r="V272" s="139"/>
    </row>
    <row r="273" spans="1:22" x14ac:dyDescent="0.35">
      <c r="A273" s="139" t="s">
        <v>3128</v>
      </c>
      <c r="B273" s="146">
        <v>45710</v>
      </c>
      <c r="C273" s="2" t="str" cm="1">
        <f t="array" ref="C2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3">
        <v>2024</v>
      </c>
      <c r="E273" s="147">
        <v>0.4548611111111111</v>
      </c>
      <c r="F273" t="str">
        <f>IF(AND(AllData[[#This Row],[Time]]&lt;0.5, AllData[[#This Row],[Time]]&gt;0.17)=TRUE, "Morning", IF(AND(AllData[[#This Row],[Time]]&lt;0.75, AllData[[#This Row],[Time]]&gt;=0.5)=TRUE, "Afternoon", IF(AND(AllData[[#This Row],[Time]]&lt;1, AllData[[#This Row],[Time]]&gt;=0.75)=TRUE, "Evening", "Night")))</f>
        <v>Morning</v>
      </c>
      <c r="G273" t="str">
        <f>_xlfn.XLOOKUP(AllData[[#This Row],[Location Name]], Locations[Location Name],Locations[Group As])</f>
        <v>Piddle Brook Wyre Piddle Bridge</v>
      </c>
      <c r="H273" t="e" vm="6">
        <f>_xlfn.XLOOKUP(AllData[[#This Row],[Site Name]],LocationsKey[Site Name],LocationsKey[District])</f>
        <v>#VALUE!</v>
      </c>
      <c r="I273" t="e" vm="13">
        <f>_xlfn.XLOOKUP(AllData[[#This Row],[Site Name]],LocationsKey[Site Name],LocationsKey[Town])</f>
        <v>#VALUE!</v>
      </c>
      <c r="J273" t="str">
        <f>_xlfn.XLOOKUP(AllData[[#This Row],[Site Name]],LocationsKey[Site Name], LocationsKey[Waterway])</f>
        <v>Piddle Brook</v>
      </c>
      <c r="K273" s="139" t="s">
        <v>787</v>
      </c>
      <c r="L273" s="139">
        <v>52.126420000000003</v>
      </c>
      <c r="M273" s="156">
        <v>-2.0563549999999999</v>
      </c>
      <c r="N273" s="139" t="s">
        <v>34</v>
      </c>
      <c r="O273" s="139">
        <v>1080</v>
      </c>
      <c r="P273" s="139">
        <v>9.6999999999999993</v>
      </c>
      <c r="Q273" s="139">
        <v>5</v>
      </c>
      <c r="R273" s="107" t="str">
        <f>IF(AllData[[#This Row],[Nitrate (PPM)]]&gt;2, "Very high", IF(AllData[[#This Row],[Nitrate (PPM)]]&gt;1, "High", IF(AllData[[#This Row],[Nitrate (PPM)]]&gt;0.5, "Some evidence", IF(AllData[[#This Row],[Nitrate (PPM)]]&gt;=0, "No evidence"))))</f>
        <v>Very high</v>
      </c>
      <c r="S273" s="139">
        <v>0.56999999999999995</v>
      </c>
      <c r="T273" s="7" t="str">
        <f>IF(AllData[[#This Row],[Phosphate (PPM)]]&gt;0.5, "Very high", IF(AllData[[#This Row],[Phosphate (PPM)]]&gt;0.1, "High", IF(AllData[[#This Row],[Phosphate (PPM)]]&gt;0.05, "Some evidence", IF(AllData[[#This Row],[Phosphate (PPM)]]&lt;=0.05, "No Evidence", ""))))</f>
        <v>Very high</v>
      </c>
      <c r="U273" s="139">
        <v>0.35</v>
      </c>
      <c r="V273" s="139" t="s">
        <v>3129</v>
      </c>
    </row>
    <row r="274" spans="1:22" x14ac:dyDescent="0.35">
      <c r="A274" s="139" t="s">
        <v>3126</v>
      </c>
      <c r="B274" s="146">
        <v>45710</v>
      </c>
      <c r="C274" s="2" t="str" cm="1">
        <f t="array" ref="C2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4">
        <v>2024</v>
      </c>
      <c r="E274" s="147">
        <v>0.42916666666666664</v>
      </c>
      <c r="F274" t="str">
        <f>IF(AND(AllData[[#This Row],[Time]]&lt;0.5, AllData[[#This Row],[Time]]&gt;0.17)=TRUE, "Morning", IF(AND(AllData[[#This Row],[Time]]&lt;0.75, AllData[[#This Row],[Time]]&gt;=0.5)=TRUE, "Afternoon", IF(AND(AllData[[#This Row],[Time]]&lt;1, AllData[[#This Row],[Time]]&gt;=0.75)=TRUE, "Evening", "Night")))</f>
        <v>Morning</v>
      </c>
      <c r="G274" t="str">
        <f>_xlfn.XLOOKUP(AllData[[#This Row],[Location Name]], Locations[Location Name],Locations[Group As])</f>
        <v>Avon Smiths Meadow Wyre Piddle</v>
      </c>
      <c r="H274" t="e" vm="6">
        <f>_xlfn.XLOOKUP(AllData[[#This Row],[Site Name]],LocationsKey[Site Name],LocationsKey[District])</f>
        <v>#VALUE!</v>
      </c>
      <c r="I274" t="e" vm="13">
        <f>_xlfn.XLOOKUP(AllData[[#This Row],[Site Name]],LocationsKey[Site Name],LocationsKey[Town])</f>
        <v>#VALUE!</v>
      </c>
      <c r="J274" t="str">
        <f>_xlfn.XLOOKUP(AllData[[#This Row],[Site Name]],LocationsKey[Site Name], LocationsKey[Waterway])</f>
        <v>Avon</v>
      </c>
      <c r="K274" s="139" t="s">
        <v>784</v>
      </c>
      <c r="L274" s="139">
        <v>52.122892</v>
      </c>
      <c r="M274" s="156">
        <v>-2.0575040000000002</v>
      </c>
      <c r="N274" s="139" t="s">
        <v>34</v>
      </c>
      <c r="O274" s="139">
        <v>836</v>
      </c>
      <c r="P274" s="139">
        <v>9.1999999999999993</v>
      </c>
      <c r="Q274" s="139">
        <v>5</v>
      </c>
      <c r="R274" s="107" t="str">
        <f>IF(AllData[[#This Row],[Nitrate (PPM)]]&gt;2, "Very high", IF(AllData[[#This Row],[Nitrate (PPM)]]&gt;1, "High", IF(AllData[[#This Row],[Nitrate (PPM)]]&gt;0.5, "Some evidence", IF(AllData[[#This Row],[Nitrate (PPM)]]&gt;=0, "No evidence"))))</f>
        <v>Very high</v>
      </c>
      <c r="S274" s="139">
        <v>0.51</v>
      </c>
      <c r="T274" s="7" t="str">
        <f>IF(AllData[[#This Row],[Phosphate (PPM)]]&gt;0.5, "Very high", IF(AllData[[#This Row],[Phosphate (PPM)]]&gt;0.1, "High", IF(AllData[[#This Row],[Phosphate (PPM)]]&gt;0.05, "Some evidence", IF(AllData[[#This Row],[Phosphate (PPM)]]&lt;=0.05, "No Evidence", ""))))</f>
        <v>Very high</v>
      </c>
      <c r="U274" s="139">
        <v>0.83</v>
      </c>
      <c r="V274" s="139" t="s">
        <v>3127</v>
      </c>
    </row>
    <row r="275" spans="1:22" x14ac:dyDescent="0.35">
      <c r="A275" s="139" t="s">
        <v>3132</v>
      </c>
      <c r="B275" s="146">
        <v>45710</v>
      </c>
      <c r="C275" s="2" t="str" cm="1">
        <f t="array" ref="C2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5">
        <v>2024</v>
      </c>
      <c r="E275" s="147">
        <v>0.63124999999999998</v>
      </c>
      <c r="F275" t="str">
        <f>IF(AND(AllData[[#This Row],[Time]]&lt;0.5, AllData[[#This Row],[Time]]&gt;0.17)=TRUE, "Morning", IF(AND(AllData[[#This Row],[Time]]&lt;0.75, AllData[[#This Row],[Time]]&gt;=0.5)=TRUE, "Afternoon", IF(AND(AllData[[#This Row],[Time]]&lt;1, AllData[[#This Row],[Time]]&gt;=0.75)=TRUE, "Evening", "Night")))</f>
        <v>Afternoon</v>
      </c>
      <c r="G275" t="str">
        <f>_xlfn.XLOOKUP(AllData[[#This Row],[Location Name]], Locations[Location Name],Locations[Group As])</f>
        <v>Black Bear</v>
      </c>
      <c r="H275" t="e" vm="4">
        <f>_xlfn.XLOOKUP(AllData[[#This Row],[Site Name]],LocationsKey[Site Name],LocationsKey[District])</f>
        <v>#VALUE!</v>
      </c>
      <c r="I275" t="e" vm="4">
        <f>_xlfn.XLOOKUP(AllData[[#This Row],[Site Name]],LocationsKey[Site Name],LocationsKey[Town])</f>
        <v>#VALUE!</v>
      </c>
      <c r="J275" t="str">
        <f>_xlfn.XLOOKUP(AllData[[#This Row],[Site Name]],LocationsKey[Site Name], LocationsKey[Waterway])</f>
        <v>Avon</v>
      </c>
      <c r="K275" s="139" t="s">
        <v>1175</v>
      </c>
      <c r="L275" s="139">
        <v>51.997331000000003</v>
      </c>
      <c r="M275" s="156">
        <v>-2.1561669999999999</v>
      </c>
      <c r="N275" s="139" t="s">
        <v>34</v>
      </c>
      <c r="O275" s="139">
        <v>799</v>
      </c>
      <c r="P275" s="139">
        <v>10.7</v>
      </c>
      <c r="Q275" s="139">
        <v>5</v>
      </c>
      <c r="R275" s="107" t="str">
        <f>IF(AllData[[#This Row],[Nitrate (PPM)]]&gt;2, "Very high", IF(AllData[[#This Row],[Nitrate (PPM)]]&gt;1, "High", IF(AllData[[#This Row],[Nitrate (PPM)]]&gt;0.5, "Some evidence", IF(AllData[[#This Row],[Nitrate (PPM)]]&gt;=0, "No evidence"))))</f>
        <v>Very high</v>
      </c>
      <c r="S275" s="139">
        <v>0.61</v>
      </c>
      <c r="T275" s="7" t="str">
        <f>IF(AllData[[#This Row],[Phosphate (PPM)]]&gt;0.5, "Very high", IF(AllData[[#This Row],[Phosphate (PPM)]]&gt;0.1, "High", IF(AllData[[#This Row],[Phosphate (PPM)]]&gt;0.05, "Some evidence", IF(AllData[[#This Row],[Phosphate (PPM)]]&lt;=0.05, "No Evidence", ""))))</f>
        <v>Very high</v>
      </c>
      <c r="U275" s="139">
        <v>0</v>
      </c>
      <c r="V275" s="139"/>
    </row>
    <row r="276" spans="1:22" x14ac:dyDescent="0.35">
      <c r="A276" s="139" t="s">
        <v>3131</v>
      </c>
      <c r="B276" s="146">
        <v>45710</v>
      </c>
      <c r="C276" s="2" t="str" cm="1">
        <f t="array" ref="C2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6">
        <v>2024</v>
      </c>
      <c r="E276" s="147">
        <v>0.47916666666666669</v>
      </c>
      <c r="F276" t="str">
        <f>IF(AND(AllData[[#This Row],[Time]]&lt;0.5, AllData[[#This Row],[Time]]&gt;0.17)=TRUE, "Morning", IF(AND(AllData[[#This Row],[Time]]&lt;0.75, AllData[[#This Row],[Time]]&gt;=0.5)=TRUE, "Afternoon", IF(AND(AllData[[#This Row],[Time]]&lt;1, AllData[[#This Row],[Time]]&gt;=0.75)=TRUE, "Evening", "Night")))</f>
        <v>Morning</v>
      </c>
      <c r="G276" t="str">
        <f>_xlfn.XLOOKUP(AllData[[#This Row],[Location Name]], Locations[Location Name],Locations[Group As])</f>
        <v>Carrant Bredon Rd</v>
      </c>
      <c r="H276" t="e" vm="4">
        <f>_xlfn.XLOOKUP(AllData[[#This Row],[Site Name]],LocationsKey[Site Name],LocationsKey[District])</f>
        <v>#VALUE!</v>
      </c>
      <c r="I276" t="e" vm="4">
        <f>_xlfn.XLOOKUP(AllData[[#This Row],[Site Name]],LocationsKey[Site Name],LocationsKey[Town])</f>
        <v>#VALUE!</v>
      </c>
      <c r="J276" t="str">
        <f>_xlfn.XLOOKUP(AllData[[#This Row],[Site Name]],LocationsKey[Site Name], LocationsKey[Waterway])</f>
        <v>Carrant</v>
      </c>
      <c r="K276" s="139" t="s">
        <v>603</v>
      </c>
      <c r="L276" s="139">
        <v>51.996105</v>
      </c>
      <c r="M276" s="156">
        <v>-2.155729</v>
      </c>
      <c r="N276" s="139" t="s">
        <v>25</v>
      </c>
      <c r="O276" s="139">
        <v>780</v>
      </c>
      <c r="P276" s="139">
        <v>10.7</v>
      </c>
      <c r="Q276" s="139">
        <v>4</v>
      </c>
      <c r="R276" s="107" t="str">
        <f>IF(AllData[[#This Row],[Nitrate (PPM)]]&gt;2, "Very high", IF(AllData[[#This Row],[Nitrate (PPM)]]&gt;1, "High", IF(AllData[[#This Row],[Nitrate (PPM)]]&gt;0.5, "Some evidence", IF(AllData[[#This Row],[Nitrate (PPM)]]&gt;=0, "No evidence"))))</f>
        <v>Very high</v>
      </c>
      <c r="S276" s="139">
        <v>0.42</v>
      </c>
      <c r="T276" s="7" t="str">
        <f>IF(AllData[[#This Row],[Phosphate (PPM)]]&gt;0.5, "Very high", IF(AllData[[#This Row],[Phosphate (PPM)]]&gt;0.1, "High", IF(AllData[[#This Row],[Phosphate (PPM)]]&gt;0.05, "Some evidence", IF(AllData[[#This Row],[Phosphate (PPM)]]&lt;=0.05, "No Evidence", ""))))</f>
        <v>High</v>
      </c>
      <c r="U276" s="139">
        <v>0.2</v>
      </c>
      <c r="V276" s="139"/>
    </row>
    <row r="277" spans="1:22" x14ac:dyDescent="0.35">
      <c r="A277" s="139" t="s">
        <v>3122</v>
      </c>
      <c r="B277" s="146">
        <v>45709</v>
      </c>
      <c r="C277" s="2" t="str" cm="1">
        <f t="array" ref="C2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7">
        <v>2024</v>
      </c>
      <c r="E277" s="147">
        <v>0.55555555555555558</v>
      </c>
      <c r="F277" t="str">
        <f>IF(AND(AllData[[#This Row],[Time]]&lt;0.5, AllData[[#This Row],[Time]]&gt;0.17)=TRUE, "Morning", IF(AND(AllData[[#This Row],[Time]]&lt;0.75, AllData[[#This Row],[Time]]&gt;=0.5)=TRUE, "Afternoon", IF(AND(AllData[[#This Row],[Time]]&lt;1, AllData[[#This Row],[Time]]&gt;=0.75)=TRUE, "Evening", "Night")))</f>
        <v>Afternoon</v>
      </c>
      <c r="G277" t="str">
        <f>_xlfn.XLOOKUP(AllData[[#This Row],[Location Name]], Locations[Location Name],Locations[Group As])</f>
        <v>Carrant M5 Bridge</v>
      </c>
      <c r="H277" t="e" vm="4">
        <f>_xlfn.XLOOKUP(AllData[[#This Row],[Site Name]],LocationsKey[Site Name],LocationsKey[District])</f>
        <v>#VALUE!</v>
      </c>
      <c r="I277" t="e" vm="4">
        <f>_xlfn.XLOOKUP(AllData[[#This Row],[Site Name]],LocationsKey[Site Name],LocationsKey[Town])</f>
        <v>#VALUE!</v>
      </c>
      <c r="J277" t="str">
        <f>_xlfn.XLOOKUP(AllData[[#This Row],[Site Name]],LocationsKey[Site Name], LocationsKey[Waterway])</f>
        <v>Carrant</v>
      </c>
      <c r="K277" s="139" t="s">
        <v>1066</v>
      </c>
      <c r="L277" s="139"/>
      <c r="M277" s="156"/>
      <c r="N277" s="139" t="s">
        <v>34</v>
      </c>
      <c r="O277" s="139">
        <v>729</v>
      </c>
      <c r="P277" s="139">
        <v>11.1</v>
      </c>
      <c r="Q277" s="139">
        <v>4</v>
      </c>
      <c r="R277" s="107" t="str">
        <f>IF(AllData[[#This Row],[Nitrate (PPM)]]&gt;2, "Very high", IF(AllData[[#This Row],[Nitrate (PPM)]]&gt;1, "High", IF(AllData[[#This Row],[Nitrate (PPM)]]&gt;0.5, "Some evidence", IF(AllData[[#This Row],[Nitrate (PPM)]]&gt;=0, "No evidence"))))</f>
        <v>Very high</v>
      </c>
      <c r="S277" s="139">
        <v>0.47</v>
      </c>
      <c r="T277" s="7" t="str">
        <f>IF(AllData[[#This Row],[Phosphate (PPM)]]&gt;0.5, "Very high", IF(AllData[[#This Row],[Phosphate (PPM)]]&gt;0.1, "High", IF(AllData[[#This Row],[Phosphate (PPM)]]&gt;0.05, "Some evidence", IF(AllData[[#This Row],[Phosphate (PPM)]]&lt;=0.05, "No Evidence", ""))))</f>
        <v>High</v>
      </c>
      <c r="U277" s="139">
        <v>0</v>
      </c>
      <c r="V277" s="139"/>
    </row>
    <row r="278" spans="1:22" x14ac:dyDescent="0.35">
      <c r="A278" s="139" t="s">
        <v>3124</v>
      </c>
      <c r="B278" s="146">
        <v>45709</v>
      </c>
      <c r="C278" s="2" t="str" cm="1">
        <f t="array" ref="C2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8">
        <v>2024</v>
      </c>
      <c r="E278" s="147">
        <v>0.65625</v>
      </c>
      <c r="F278" t="str">
        <f>IF(AND(AllData[[#This Row],[Time]]&lt;0.5, AllData[[#This Row],[Time]]&gt;0.17)=TRUE, "Morning", IF(AND(AllData[[#This Row],[Time]]&lt;0.75, AllData[[#This Row],[Time]]&gt;=0.5)=TRUE, "Afternoon", IF(AND(AllData[[#This Row],[Time]]&lt;1, AllData[[#This Row],[Time]]&gt;=0.75)=TRUE, "Evening", "Night")))</f>
        <v>Afternoon</v>
      </c>
      <c r="G278" t="str">
        <f>_xlfn.XLOOKUP(AllData[[#This Row],[Location Name]], Locations[Location Name],Locations[Group As])</f>
        <v>Preston Bagot Brook</v>
      </c>
      <c r="H278" t="e" vm="1">
        <f>_xlfn.XLOOKUP(AllData[[#This Row],[Site Name]],LocationsKey[Site Name],LocationsKey[District])</f>
        <v>#VALUE!</v>
      </c>
      <c r="I278" t="e" vm="21">
        <f>_xlfn.XLOOKUP(AllData[[#This Row],[Site Name]],LocationsKey[Site Name],LocationsKey[Town])</f>
        <v>#VALUE!</v>
      </c>
      <c r="J278" t="str">
        <f>_xlfn.XLOOKUP(AllData[[#This Row],[Site Name]],LocationsKey[Site Name], LocationsKey[Waterway])</f>
        <v>Preston Bagot Brook</v>
      </c>
      <c r="K278" s="139" t="s">
        <v>621</v>
      </c>
      <c r="L278" s="139">
        <v>52.286000000000001</v>
      </c>
      <c r="M278" s="156">
        <v>-1.7470000000000001</v>
      </c>
      <c r="N278" s="139" t="s">
        <v>3025</v>
      </c>
      <c r="O278" s="139">
        <v>815</v>
      </c>
      <c r="P278" s="139">
        <v>12</v>
      </c>
      <c r="Q278" s="139">
        <v>3</v>
      </c>
      <c r="R278" s="107" t="str">
        <f>IF(AllData[[#This Row],[Nitrate (PPM)]]&gt;2, "Very high", IF(AllData[[#This Row],[Nitrate (PPM)]]&gt;1, "High", IF(AllData[[#This Row],[Nitrate (PPM)]]&gt;0.5, "Some evidence", IF(AllData[[#This Row],[Nitrate (PPM)]]&gt;=0, "No evidence"))))</f>
        <v>Very high</v>
      </c>
      <c r="S278" s="139">
        <v>0.53</v>
      </c>
      <c r="T278" s="7" t="str">
        <f>IF(AllData[[#This Row],[Phosphate (PPM)]]&gt;0.5, "Very high", IF(AllData[[#This Row],[Phosphate (PPM)]]&gt;0.1, "High", IF(AllData[[#This Row],[Phosphate (PPM)]]&gt;0.05, "Some evidence", IF(AllData[[#This Row],[Phosphate (PPM)]]&lt;=0.05, "No Evidence", ""))))</f>
        <v>Very high</v>
      </c>
      <c r="U278" s="139">
        <v>0</v>
      </c>
      <c r="V278" s="139"/>
    </row>
    <row r="279" spans="1:22" x14ac:dyDescent="0.35">
      <c r="A279" s="139" t="s">
        <v>3120</v>
      </c>
      <c r="B279" s="146">
        <v>45709</v>
      </c>
      <c r="C279" s="2" t="str" cm="1">
        <f t="array" ref="C2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79">
        <v>2024</v>
      </c>
      <c r="E279" s="147">
        <v>0.49861111111111112</v>
      </c>
      <c r="F279" t="str">
        <f>IF(AND(AllData[[#This Row],[Time]]&lt;0.5, AllData[[#This Row],[Time]]&gt;0.17)=TRUE, "Morning", IF(AND(AllData[[#This Row],[Time]]&lt;0.75, AllData[[#This Row],[Time]]&gt;=0.5)=TRUE, "Afternoon", IF(AND(AllData[[#This Row],[Time]]&lt;1, AllData[[#This Row],[Time]]&gt;=0.75)=TRUE, "Evening", "Night")))</f>
        <v>Morning</v>
      </c>
      <c r="G279" t="str">
        <f>_xlfn.XLOOKUP(AllData[[#This Row],[Location Name]], Locations[Location Name],Locations[Group As])</f>
        <v>Mill Bridge Peopleton</v>
      </c>
      <c r="H279" t="e" vm="6">
        <f>_xlfn.XLOOKUP(AllData[[#This Row],[Site Name]],LocationsKey[Site Name],LocationsKey[District])</f>
        <v>#VALUE!</v>
      </c>
      <c r="I279" t="str">
        <f>_xlfn.XLOOKUP(AllData[[#This Row],[Site Name]],LocationsKey[Site Name],LocationsKey[Town])</f>
        <v>Peopleton</v>
      </c>
      <c r="J279" t="str">
        <f>_xlfn.XLOOKUP(AllData[[#This Row],[Site Name]],LocationsKey[Site Name], LocationsKey[Waterway])</f>
        <v>Bow Brook</v>
      </c>
      <c r="K279" s="139" t="s">
        <v>1015</v>
      </c>
      <c r="L279" s="139">
        <v>52.151499000000001</v>
      </c>
      <c r="M279" s="156">
        <v>-2.0960559999999999</v>
      </c>
      <c r="N279" s="139" t="s">
        <v>31</v>
      </c>
      <c r="O279" s="139">
        <v>1000</v>
      </c>
      <c r="P279" s="139">
        <v>10.7</v>
      </c>
      <c r="Q279" s="139">
        <v>2</v>
      </c>
      <c r="R279" s="107" t="str">
        <f>IF(AllData[[#This Row],[Nitrate (PPM)]]&gt;2, "Very high", IF(AllData[[#This Row],[Nitrate (PPM)]]&gt;1, "High", IF(AllData[[#This Row],[Nitrate (PPM)]]&gt;0.5, "Some evidence", IF(AllData[[#This Row],[Nitrate (PPM)]]&gt;=0, "No evidence"))))</f>
        <v>High</v>
      </c>
      <c r="S279" s="139">
        <v>0.72</v>
      </c>
      <c r="T279" s="7" t="str">
        <f>IF(AllData[[#This Row],[Phosphate (PPM)]]&gt;0.5, "Very high", IF(AllData[[#This Row],[Phosphate (PPM)]]&gt;0.1, "High", IF(AllData[[#This Row],[Phosphate (PPM)]]&gt;0.05, "Some evidence", IF(AllData[[#This Row],[Phosphate (PPM)]]&lt;=0.05, "No Evidence", ""))))</f>
        <v>Very high</v>
      </c>
      <c r="U279" s="139">
        <v>0.6</v>
      </c>
      <c r="V279" s="139" t="s">
        <v>3121</v>
      </c>
    </row>
    <row r="280" spans="1:22" x14ac:dyDescent="0.35">
      <c r="A280" s="139" t="s">
        <v>3123</v>
      </c>
      <c r="B280" s="146">
        <v>45709</v>
      </c>
      <c r="C280" s="2" t="str" cm="1">
        <f t="array" ref="C2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0">
        <v>2024</v>
      </c>
      <c r="E280" s="147">
        <v>0.63263888888888886</v>
      </c>
      <c r="F280" t="str">
        <f>IF(AND(AllData[[#This Row],[Time]]&lt;0.5, AllData[[#This Row],[Time]]&gt;0.17)=TRUE, "Morning", IF(AND(AllData[[#This Row],[Time]]&lt;0.75, AllData[[#This Row],[Time]]&gt;=0.5)=TRUE, "Afternoon", IF(AND(AllData[[#This Row],[Time]]&lt;1, AllData[[#This Row],[Time]]&gt;=0.75)=TRUE, "Evening", "Night")))</f>
        <v>Afternoon</v>
      </c>
      <c r="G280" t="str">
        <f>_xlfn.XLOOKUP(AllData[[#This Row],[Location Name]], Locations[Location Name],Locations[Group As])</f>
        <v>Stour Shipston Mill Bridge</v>
      </c>
      <c r="H280" t="e" vm="1">
        <f>_xlfn.XLOOKUP(AllData[[#This Row],[Site Name]],LocationsKey[Site Name],LocationsKey[District])</f>
        <v>#VALUE!</v>
      </c>
      <c r="I280" t="e" vm="15">
        <f>_xlfn.XLOOKUP(AllData[[#This Row],[Site Name]],LocationsKey[Site Name],LocationsKey[Town])</f>
        <v>#VALUE!</v>
      </c>
      <c r="J280" t="str">
        <f>_xlfn.XLOOKUP(AllData[[#This Row],[Site Name]],LocationsKey[Site Name], LocationsKey[Waterway])</f>
        <v>Stour</v>
      </c>
      <c r="K280" s="139" t="s">
        <v>2006</v>
      </c>
      <c r="L280" s="139"/>
      <c r="M280" s="156"/>
      <c r="N280" s="139"/>
      <c r="O280" s="139">
        <v>561</v>
      </c>
      <c r="P280" s="139">
        <v>11.4</v>
      </c>
      <c r="Q280" s="139">
        <v>2</v>
      </c>
      <c r="R280" s="107" t="str">
        <f>IF(AllData[[#This Row],[Nitrate (PPM)]]&gt;2, "Very high", IF(AllData[[#This Row],[Nitrate (PPM)]]&gt;1, "High", IF(AllData[[#This Row],[Nitrate (PPM)]]&gt;0.5, "Some evidence", IF(AllData[[#This Row],[Nitrate (PPM)]]&gt;=0, "No evidence"))))</f>
        <v>High</v>
      </c>
      <c r="S280" s="139">
        <v>0.63</v>
      </c>
      <c r="T280" s="7" t="str">
        <f>IF(AllData[[#This Row],[Phosphate (PPM)]]&gt;0.5, "Very high", IF(AllData[[#This Row],[Phosphate (PPM)]]&gt;0.1, "High", IF(AllData[[#This Row],[Phosphate (PPM)]]&gt;0.05, "Some evidence", IF(AllData[[#This Row],[Phosphate (PPM)]]&lt;=0.05, "No Evidence", ""))))</f>
        <v>Very high</v>
      </c>
      <c r="U280" s="139">
        <v>0.78</v>
      </c>
      <c r="V280" s="139"/>
    </row>
    <row r="281" spans="1:22" x14ac:dyDescent="0.35">
      <c r="A281" s="139" t="s">
        <v>3125</v>
      </c>
      <c r="B281" s="146">
        <v>45709</v>
      </c>
      <c r="C281" s="2" t="str" cm="1">
        <f t="array" ref="C2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1">
        <v>2024</v>
      </c>
      <c r="E281" s="147">
        <v>0.65972222222222221</v>
      </c>
      <c r="F281" t="str">
        <f>IF(AND(AllData[[#This Row],[Time]]&lt;0.5, AllData[[#This Row],[Time]]&gt;0.17)=TRUE, "Morning", IF(AND(AllData[[#This Row],[Time]]&lt;0.75, AllData[[#This Row],[Time]]&gt;=0.5)=TRUE, "Afternoon", IF(AND(AllData[[#This Row],[Time]]&lt;1, AllData[[#This Row],[Time]]&gt;=0.75)=TRUE, "Evening", "Night")))</f>
        <v>Afternoon</v>
      </c>
      <c r="G281" t="str">
        <f>_xlfn.XLOOKUP(AllData[[#This Row],[Location Name]], Locations[Location Name],Locations[Group As])</f>
        <v>Preston Bagot Canal</v>
      </c>
      <c r="H281" t="e" vm="1">
        <f>_xlfn.XLOOKUP(AllData[[#This Row],[Site Name]],LocationsKey[Site Name],LocationsKey[District])</f>
        <v>#VALUE!</v>
      </c>
      <c r="I281" t="e" vm="21">
        <f>_xlfn.XLOOKUP(AllData[[#This Row],[Site Name]],LocationsKey[Site Name],LocationsKey[Town])</f>
        <v>#VALUE!</v>
      </c>
      <c r="J281" t="str">
        <f>_xlfn.XLOOKUP(AllData[[#This Row],[Site Name]],LocationsKey[Site Name], LocationsKey[Waterway])</f>
        <v>Preston Bagot Canal</v>
      </c>
      <c r="K281" s="139" t="s">
        <v>618</v>
      </c>
      <c r="L281" s="139">
        <v>52.286999999999999</v>
      </c>
      <c r="M281" s="156">
        <v>-1.746</v>
      </c>
      <c r="N281" s="139" t="s">
        <v>3025</v>
      </c>
      <c r="O281" s="139">
        <v>450</v>
      </c>
      <c r="P281" s="139">
        <v>10.8</v>
      </c>
      <c r="Q281" s="139">
        <v>2</v>
      </c>
      <c r="R281" s="107" t="str">
        <f>IF(AllData[[#This Row],[Nitrate (PPM)]]&gt;2, "Very high", IF(AllData[[#This Row],[Nitrate (PPM)]]&gt;1, "High", IF(AllData[[#This Row],[Nitrate (PPM)]]&gt;0.5, "Some evidence", IF(AllData[[#This Row],[Nitrate (PPM)]]&gt;=0, "No evidence"))))</f>
        <v>High</v>
      </c>
      <c r="S281" s="139">
        <v>0.2</v>
      </c>
      <c r="T281" s="7" t="str">
        <f>IF(AllData[[#This Row],[Phosphate (PPM)]]&gt;0.5, "Very high", IF(AllData[[#This Row],[Phosphate (PPM)]]&gt;0.1, "High", IF(AllData[[#This Row],[Phosphate (PPM)]]&gt;0.05, "Some evidence", IF(AllData[[#This Row],[Phosphate (PPM)]]&lt;=0.05, "No Evidence", ""))))</f>
        <v>High</v>
      </c>
      <c r="U281" s="139">
        <v>0</v>
      </c>
      <c r="V281" s="139"/>
    </row>
    <row r="282" spans="1:22" x14ac:dyDescent="0.35">
      <c r="A282" s="139" t="s">
        <v>3114</v>
      </c>
      <c r="B282" s="146">
        <v>45708</v>
      </c>
      <c r="C282" s="2" t="str" cm="1">
        <f t="array" ref="C2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2">
        <v>2024</v>
      </c>
      <c r="E282" s="147">
        <v>0.37916666666666665</v>
      </c>
      <c r="F282" t="str">
        <f>IF(AND(AllData[[#This Row],[Time]]&lt;0.5, AllData[[#This Row],[Time]]&gt;0.17)=TRUE, "Morning", IF(AND(AllData[[#This Row],[Time]]&lt;0.75, AllData[[#This Row],[Time]]&gt;=0.5)=TRUE, "Afternoon", IF(AND(AllData[[#This Row],[Time]]&lt;1, AllData[[#This Row],[Time]]&gt;=0.75)=TRUE, "Evening", "Night")))</f>
        <v>Morning</v>
      </c>
      <c r="G282" t="str">
        <f>_xlfn.XLOOKUP(AllData[[#This Row],[Location Name]], Locations[Location Name],Locations[Group As])</f>
        <v>Carters Lane</v>
      </c>
      <c r="H282" t="e" vm="1">
        <f>_xlfn.XLOOKUP(AllData[[#This Row],[Site Name]],LocationsKey[Site Name],LocationsKey[District])</f>
        <v>#VALUE!</v>
      </c>
      <c r="I282" t="e" vm="3">
        <f>_xlfn.XLOOKUP(AllData[[#This Row],[Site Name]],LocationsKey[Site Name],LocationsKey[Town])</f>
        <v>#VALUE!</v>
      </c>
      <c r="J282" t="str">
        <f>_xlfn.XLOOKUP(AllData[[#This Row],[Site Name]],LocationsKey[Site Name], LocationsKey[Waterway])</f>
        <v>Avon</v>
      </c>
      <c r="K282" s="139" t="s">
        <v>2520</v>
      </c>
      <c r="L282" s="139">
        <v>52.202502000000003</v>
      </c>
      <c r="M282" s="156">
        <v>-1.6787559999999999</v>
      </c>
      <c r="N282" s="139" t="s">
        <v>68</v>
      </c>
      <c r="O282" s="139">
        <v>828</v>
      </c>
      <c r="P282" s="139">
        <v>9.8000000000000007</v>
      </c>
      <c r="Q282" s="139">
        <v>10</v>
      </c>
      <c r="R282" s="107" t="str">
        <f>IF(AllData[[#This Row],[Nitrate (PPM)]]&gt;2, "Very high", IF(AllData[[#This Row],[Nitrate (PPM)]]&gt;1, "High", IF(AllData[[#This Row],[Nitrate (PPM)]]&gt;0.5, "Some evidence", IF(AllData[[#This Row],[Nitrate (PPM)]]&gt;=0, "No evidence"))))</f>
        <v>Very high</v>
      </c>
      <c r="S282" s="139">
        <v>0.42</v>
      </c>
      <c r="T282" s="7" t="str">
        <f>IF(AllData[[#This Row],[Phosphate (PPM)]]&gt;0.5, "Very high", IF(AllData[[#This Row],[Phosphate (PPM)]]&gt;0.1, "High", IF(AllData[[#This Row],[Phosphate (PPM)]]&gt;0.05, "Some evidence", IF(AllData[[#This Row],[Phosphate (PPM)]]&lt;=0.05, "No Evidence", ""))))</f>
        <v>High</v>
      </c>
      <c r="U282" s="139">
        <v>0.76</v>
      </c>
      <c r="V282" s="139"/>
    </row>
    <row r="283" spans="1:22" x14ac:dyDescent="0.35">
      <c r="A283" s="139" t="s">
        <v>3113</v>
      </c>
      <c r="B283" s="146">
        <v>45708</v>
      </c>
      <c r="C283" s="2" t="str" cm="1">
        <f t="array" ref="C2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3">
        <v>2024</v>
      </c>
      <c r="E283" s="147">
        <v>0.37777777777777777</v>
      </c>
      <c r="F283" t="str">
        <f>IF(AND(AllData[[#This Row],[Time]]&lt;0.5, AllData[[#This Row],[Time]]&gt;0.17)=TRUE, "Morning", IF(AND(AllData[[#This Row],[Time]]&lt;0.75, AllData[[#This Row],[Time]]&gt;=0.5)=TRUE, "Afternoon", IF(AND(AllData[[#This Row],[Time]]&lt;1, AllData[[#This Row],[Time]]&gt;=0.75)=TRUE, "Evening", "Night")))</f>
        <v>Morning</v>
      </c>
      <c r="G283" t="str">
        <f>_xlfn.XLOOKUP(AllData[[#This Row],[Location Name]], Locations[Location Name],Locations[Group As])</f>
        <v>School Lane</v>
      </c>
      <c r="H283" t="e" vm="1">
        <f>_xlfn.XLOOKUP(AllData[[#This Row],[Site Name]],LocationsKey[Site Name],LocationsKey[District])</f>
        <v>#VALUE!</v>
      </c>
      <c r="I283" t="e" vm="3">
        <f>_xlfn.XLOOKUP(AllData[[#This Row],[Site Name]],LocationsKey[Site Name],LocationsKey[Town])</f>
        <v>#VALUE!</v>
      </c>
      <c r="J283" t="str">
        <f>_xlfn.XLOOKUP(AllData[[#This Row],[Site Name]],LocationsKey[Site Name], LocationsKey[Waterway])</f>
        <v>Avon</v>
      </c>
      <c r="K283" s="139" t="s">
        <v>2522</v>
      </c>
      <c r="L283" s="139">
        <v>52.202503</v>
      </c>
      <c r="M283" s="156">
        <v>-1.6794500000000001</v>
      </c>
      <c r="N283" s="139" t="s">
        <v>31</v>
      </c>
      <c r="O283" s="139">
        <v>822</v>
      </c>
      <c r="P283" s="139">
        <v>9.1999999999999993</v>
      </c>
      <c r="Q283" s="139">
        <v>10</v>
      </c>
      <c r="R283" s="107" t="str">
        <f>IF(AllData[[#This Row],[Nitrate (PPM)]]&gt;2, "Very high", IF(AllData[[#This Row],[Nitrate (PPM)]]&gt;1, "High", IF(AllData[[#This Row],[Nitrate (PPM)]]&gt;0.5, "Some evidence", IF(AllData[[#This Row],[Nitrate (PPM)]]&gt;=0, "No evidence"))))</f>
        <v>Very high</v>
      </c>
      <c r="S283" s="139">
        <v>0.46</v>
      </c>
      <c r="T283" s="7" t="str">
        <f>IF(AllData[[#This Row],[Phosphate (PPM)]]&gt;0.5, "Very high", IF(AllData[[#This Row],[Phosphate (PPM)]]&gt;0.1, "High", IF(AllData[[#This Row],[Phosphate (PPM)]]&gt;0.05, "Some evidence", IF(AllData[[#This Row],[Phosphate (PPM)]]&lt;=0.05, "No Evidence", ""))))</f>
        <v>High</v>
      </c>
      <c r="U283" s="139">
        <v>0.76</v>
      </c>
      <c r="V283" s="139"/>
    </row>
    <row r="284" spans="1:22" x14ac:dyDescent="0.35">
      <c r="A284" s="139" t="s">
        <v>3117</v>
      </c>
      <c r="B284" s="146">
        <v>45708</v>
      </c>
      <c r="C284" s="2" t="str" cm="1">
        <f t="array" ref="C2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4">
        <v>2024</v>
      </c>
      <c r="E284" s="147">
        <v>0.45694444444444443</v>
      </c>
      <c r="F284" t="str">
        <f>IF(AND(AllData[[#This Row],[Time]]&lt;0.5, AllData[[#This Row],[Time]]&gt;0.17)=TRUE, "Morning", IF(AND(AllData[[#This Row],[Time]]&lt;0.75, AllData[[#This Row],[Time]]&gt;=0.5)=TRUE, "Afternoon", IF(AND(AllData[[#This Row],[Time]]&lt;1, AllData[[#This Row],[Time]]&gt;=0.75)=TRUE, "Evening", "Night")))</f>
        <v>Morning</v>
      </c>
      <c r="G284" t="str">
        <f>_xlfn.XLOOKUP(AllData[[#This Row],[Location Name]], Locations[Location Name],Locations[Group As])</f>
        <v>Dock Lane Bredon</v>
      </c>
      <c r="H284" t="e" vm="6">
        <f>_xlfn.XLOOKUP(AllData[[#This Row],[Site Name]],LocationsKey[Site Name],LocationsKey[District])</f>
        <v>#VALUE!</v>
      </c>
      <c r="I284" t="e" vm="11">
        <f>_xlfn.XLOOKUP(AllData[[#This Row],[Site Name]],LocationsKey[Site Name],LocationsKey[Town])</f>
        <v>#VALUE!</v>
      </c>
      <c r="J284" t="str">
        <f>_xlfn.XLOOKUP(AllData[[#This Row],[Site Name]],LocationsKey[Site Name], LocationsKey[Waterway])</f>
        <v>Avon</v>
      </c>
      <c r="K284" s="139" t="s">
        <v>2374</v>
      </c>
      <c r="L284" s="139">
        <v>52.031224999999999</v>
      </c>
      <c r="M284" s="156">
        <v>-2.1140370000000002</v>
      </c>
      <c r="N284" s="139" t="s">
        <v>31</v>
      </c>
      <c r="O284" s="139">
        <v>7970</v>
      </c>
      <c r="P284" s="139">
        <v>13.2</v>
      </c>
      <c r="Q284" s="139">
        <v>5</v>
      </c>
      <c r="R284" s="107" t="str">
        <f>IF(AllData[[#This Row],[Nitrate (PPM)]]&gt;2, "Very high", IF(AllData[[#This Row],[Nitrate (PPM)]]&gt;1, "High", IF(AllData[[#This Row],[Nitrate (PPM)]]&gt;0.5, "Some evidence", IF(AllData[[#This Row],[Nitrate (PPM)]]&gt;=0, "No evidence"))))</f>
        <v>Very high</v>
      </c>
      <c r="S284" s="139">
        <v>0.48</v>
      </c>
      <c r="T284" s="7" t="str">
        <f>IF(AllData[[#This Row],[Phosphate (PPM)]]&gt;0.5, "Very high", IF(AllData[[#This Row],[Phosphate (PPM)]]&gt;0.1, "High", IF(AllData[[#This Row],[Phosphate (PPM)]]&gt;0.05, "Some evidence", IF(AllData[[#This Row],[Phosphate (PPM)]]&lt;=0.05, "No Evidence", ""))))</f>
        <v>High</v>
      </c>
      <c r="U284" s="139">
        <v>1</v>
      </c>
      <c r="V284" s="139"/>
    </row>
    <row r="285" spans="1:22" x14ac:dyDescent="0.35">
      <c r="A285" s="139" t="s">
        <v>3119</v>
      </c>
      <c r="B285" s="146">
        <v>45708</v>
      </c>
      <c r="C285" s="2" t="str" cm="1">
        <f t="array" ref="C2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5">
        <v>2024</v>
      </c>
      <c r="E285" s="147">
        <v>0.59722222222222221</v>
      </c>
      <c r="F285" t="str">
        <f>IF(AND(AllData[[#This Row],[Time]]&lt;0.5, AllData[[#This Row],[Time]]&gt;0.17)=TRUE, "Morning", IF(AND(AllData[[#This Row],[Time]]&lt;0.75, AllData[[#This Row],[Time]]&gt;=0.5)=TRUE, "Afternoon", IF(AND(AllData[[#This Row],[Time]]&lt;1, AllData[[#This Row],[Time]]&gt;=0.75)=TRUE, "Evening", "Night")))</f>
        <v>Afternoon</v>
      </c>
      <c r="G285" t="str">
        <f>_xlfn.XLOOKUP(AllData[[#This Row],[Location Name]], Locations[Location Name],Locations[Group As])</f>
        <v>Swiffen Bank</v>
      </c>
      <c r="H285" t="e" vm="1">
        <f>_xlfn.XLOOKUP(AllData[[#This Row],[Site Name]],LocationsKey[Site Name],LocationsKey[District])</f>
        <v>#VALUE!</v>
      </c>
      <c r="I285" t="e" vm="2">
        <f>_xlfn.XLOOKUP(AllData[[#This Row],[Site Name]],LocationsKey[Site Name],LocationsKey[Town])</f>
        <v>#VALUE!</v>
      </c>
      <c r="J285" t="str">
        <f>_xlfn.XLOOKUP(AllData[[#This Row],[Site Name]],LocationsKey[Site Name], LocationsKey[Waterway])</f>
        <v>Avon</v>
      </c>
      <c r="K285" s="139" t="s">
        <v>286</v>
      </c>
      <c r="L285" s="139">
        <v>52.206477999999997</v>
      </c>
      <c r="M285" s="156">
        <v>-1.653894</v>
      </c>
      <c r="N285" s="139" t="s">
        <v>31</v>
      </c>
      <c r="O285" s="139">
        <v>668</v>
      </c>
      <c r="P285" s="139">
        <v>9.6</v>
      </c>
      <c r="Q285" s="139">
        <v>5</v>
      </c>
      <c r="R285" s="107" t="str">
        <f>IF(AllData[[#This Row],[Nitrate (PPM)]]&gt;2, "Very high", IF(AllData[[#This Row],[Nitrate (PPM)]]&gt;1, "High", IF(AllData[[#This Row],[Nitrate (PPM)]]&gt;0.5, "Some evidence", IF(AllData[[#This Row],[Nitrate (PPM)]]&gt;=0, "No evidence"))))</f>
        <v>Very high</v>
      </c>
      <c r="S285" s="139">
        <v>0.46</v>
      </c>
      <c r="T285" s="7" t="str">
        <f>IF(AllData[[#This Row],[Phosphate (PPM)]]&gt;0.5, "Very high", IF(AllData[[#This Row],[Phosphate (PPM)]]&gt;0.1, "High", IF(AllData[[#This Row],[Phosphate (PPM)]]&gt;0.05, "Some evidence", IF(AllData[[#This Row],[Phosphate (PPM)]]&lt;=0.05, "No Evidence", ""))))</f>
        <v>High</v>
      </c>
      <c r="U285" s="139">
        <v>0.25</v>
      </c>
      <c r="V285" s="139"/>
    </row>
    <row r="286" spans="1:22" x14ac:dyDescent="0.35">
      <c r="A286" s="139" t="s">
        <v>3115</v>
      </c>
      <c r="B286" s="146">
        <v>45708</v>
      </c>
      <c r="C286" s="2" t="str" cm="1">
        <f t="array" ref="C2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6">
        <v>2024</v>
      </c>
      <c r="E286" s="147">
        <v>0.40902777777777777</v>
      </c>
      <c r="F286" t="str">
        <f>IF(AND(AllData[[#This Row],[Time]]&lt;0.5, AllData[[#This Row],[Time]]&gt;0.17)=TRUE, "Morning", IF(AND(AllData[[#This Row],[Time]]&lt;0.75, AllData[[#This Row],[Time]]&gt;=0.5)=TRUE, "Afternoon", IF(AND(AllData[[#This Row],[Time]]&lt;1, AllData[[#This Row],[Time]]&gt;=0.75)=TRUE, "Evening", "Night")))</f>
        <v>Morning</v>
      </c>
      <c r="G286" t="str">
        <f>_xlfn.XLOOKUP(AllData[[#This Row],[Location Name]], Locations[Location Name],Locations[Group As])</f>
        <v>Alveston Weir</v>
      </c>
      <c r="H286" t="e" vm="1">
        <f>_xlfn.XLOOKUP(AllData[[#This Row],[Site Name]],LocationsKey[Site Name],LocationsKey[District])</f>
        <v>#VALUE!</v>
      </c>
      <c r="I286" t="e" vm="2">
        <f>_xlfn.XLOOKUP(AllData[[#This Row],[Site Name]],LocationsKey[Site Name],LocationsKey[Town])</f>
        <v>#VALUE!</v>
      </c>
      <c r="J286" t="str">
        <f>_xlfn.XLOOKUP(AllData[[#This Row],[Site Name]],LocationsKey[Site Name], LocationsKey[Waterway])</f>
        <v>Avon</v>
      </c>
      <c r="K286" s="139" t="s">
        <v>288</v>
      </c>
      <c r="L286" s="139">
        <v>52.214402999999997</v>
      </c>
      <c r="M286" s="156">
        <v>-1.660121</v>
      </c>
      <c r="N286" s="139" t="s">
        <v>31</v>
      </c>
      <c r="O286" s="139">
        <v>668</v>
      </c>
      <c r="P286" s="139">
        <v>8.4</v>
      </c>
      <c r="Q286" s="139">
        <v>5</v>
      </c>
      <c r="R286" s="107" t="str">
        <f>IF(AllData[[#This Row],[Nitrate (PPM)]]&gt;2, "Very high", IF(AllData[[#This Row],[Nitrate (PPM)]]&gt;1, "High", IF(AllData[[#This Row],[Nitrate (PPM)]]&gt;0.5, "Some evidence", IF(AllData[[#This Row],[Nitrate (PPM)]]&gt;=0, "No evidence"))))</f>
        <v>Very high</v>
      </c>
      <c r="S286" s="139">
        <v>0.35</v>
      </c>
      <c r="T286" s="7" t="str">
        <f>IF(AllData[[#This Row],[Phosphate (PPM)]]&gt;0.5, "Very high", IF(AllData[[#This Row],[Phosphate (PPM)]]&gt;0.1, "High", IF(AllData[[#This Row],[Phosphate (PPM)]]&gt;0.05, "Some evidence", IF(AllData[[#This Row],[Phosphate (PPM)]]&lt;=0.05, "No Evidence", ""))))</f>
        <v>High</v>
      </c>
      <c r="U286" s="139">
        <v>0</v>
      </c>
      <c r="V286" s="139" t="s">
        <v>3116</v>
      </c>
    </row>
    <row r="287" spans="1:22" x14ac:dyDescent="0.35">
      <c r="A287" s="139" t="s">
        <v>3118</v>
      </c>
      <c r="B287" s="146">
        <v>45708</v>
      </c>
      <c r="C287" s="2" t="str" cm="1">
        <f t="array" ref="C2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7">
        <v>2024</v>
      </c>
      <c r="E287" s="147">
        <v>0.45833333333333331</v>
      </c>
      <c r="F287" t="str">
        <f>IF(AND(AllData[[#This Row],[Time]]&lt;0.5, AllData[[#This Row],[Time]]&gt;0.17)=TRUE, "Morning", IF(AND(AllData[[#This Row],[Time]]&lt;0.75, AllData[[#This Row],[Time]]&gt;=0.5)=TRUE, "Afternoon", IF(AND(AllData[[#This Row],[Time]]&lt;1, AllData[[#This Row],[Time]]&gt;=0.75)=TRUE, "Evening", "Night")))</f>
        <v>Morning</v>
      </c>
      <c r="G287" t="str">
        <f>_xlfn.XLOOKUP(AllData[[#This Row],[Location Name]], Locations[Location Name],Locations[Group As])</f>
        <v>Swilgate</v>
      </c>
      <c r="H287" t="e" vm="4">
        <f>_xlfn.XLOOKUP(AllData[[#This Row],[Site Name]],LocationsKey[Site Name],LocationsKey[District])</f>
        <v>#VALUE!</v>
      </c>
      <c r="I287" t="e" vm="4">
        <f>_xlfn.XLOOKUP(AllData[[#This Row],[Site Name]],LocationsKey[Site Name],LocationsKey[Town])</f>
        <v>#VALUE!</v>
      </c>
      <c r="J287" t="str">
        <f>_xlfn.XLOOKUP(AllData[[#This Row],[Site Name]],LocationsKey[Site Name], LocationsKey[Waterway])</f>
        <v>Swilgate</v>
      </c>
      <c r="K287" s="139" t="s">
        <v>85</v>
      </c>
      <c r="L287" s="139"/>
      <c r="M287" s="156"/>
      <c r="N287" s="139" t="s">
        <v>34</v>
      </c>
      <c r="O287" s="139">
        <v>101</v>
      </c>
      <c r="P287" s="139">
        <v>9.6</v>
      </c>
      <c r="Q287" s="139">
        <v>3</v>
      </c>
      <c r="R287" s="107" t="str">
        <f>IF(AllData[[#This Row],[Nitrate (PPM)]]&gt;2, "Very high", IF(AllData[[#This Row],[Nitrate (PPM)]]&gt;1, "High", IF(AllData[[#This Row],[Nitrate (PPM)]]&gt;0.5, "Some evidence", IF(AllData[[#This Row],[Nitrate (PPM)]]&gt;=0, "No evidence"))))</f>
        <v>Very high</v>
      </c>
      <c r="S287" s="139">
        <v>0.35</v>
      </c>
      <c r="T287" s="7" t="str">
        <f>IF(AllData[[#This Row],[Phosphate (PPM)]]&gt;0.5, "Very high", IF(AllData[[#This Row],[Phosphate (PPM)]]&gt;0.1, "High", IF(AllData[[#This Row],[Phosphate (PPM)]]&gt;0.05, "Some evidence", IF(AllData[[#This Row],[Phosphate (PPM)]]&lt;=0.05, "No Evidence", ""))))</f>
        <v>High</v>
      </c>
      <c r="U287" s="139">
        <v>0</v>
      </c>
      <c r="V287" s="139"/>
    </row>
    <row r="288" spans="1:22" x14ac:dyDescent="0.35">
      <c r="A288" s="139" t="s">
        <v>3109</v>
      </c>
      <c r="B288" s="146">
        <v>45707</v>
      </c>
      <c r="C288" s="2" t="str" cm="1">
        <f t="array" ref="C2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8">
        <v>2024</v>
      </c>
      <c r="E288" s="147">
        <v>0.43819444444444444</v>
      </c>
      <c r="F288" t="str">
        <f>IF(AND(AllData[[#This Row],[Time]]&lt;0.5, AllData[[#This Row],[Time]]&gt;0.17)=TRUE, "Morning", IF(AND(AllData[[#This Row],[Time]]&lt;0.75, AllData[[#This Row],[Time]]&gt;=0.5)=TRUE, "Afternoon", IF(AND(AllData[[#This Row],[Time]]&lt;1, AllData[[#This Row],[Time]]&gt;=0.75)=TRUE, "Evening", "Night")))</f>
        <v>Morning</v>
      </c>
      <c r="G288" t="str">
        <f>_xlfn.XLOOKUP(AllData[[#This Row],[Location Name]], Locations[Location Name],Locations[Group As])</f>
        <v>Twyning Fleet</v>
      </c>
      <c r="H288" t="e" vm="4">
        <f>_xlfn.XLOOKUP(AllData[[#This Row],[Site Name]],LocationsKey[Site Name],LocationsKey[District])</f>
        <v>#VALUE!</v>
      </c>
      <c r="I288" t="str">
        <f>_xlfn.XLOOKUP(AllData[[#This Row],[Site Name]],LocationsKey[Site Name],LocationsKey[Town])</f>
        <v>Twyning Green</v>
      </c>
      <c r="J288" t="str">
        <f>_xlfn.XLOOKUP(AllData[[#This Row],[Site Name]],LocationsKey[Site Name], LocationsKey[Waterway])</f>
        <v>Avon</v>
      </c>
      <c r="K288" s="139" t="s">
        <v>2117</v>
      </c>
      <c r="L288" s="139">
        <v>52.027393000000004</v>
      </c>
      <c r="M288" s="156">
        <v>-2.1411859999999998</v>
      </c>
      <c r="N288" s="139" t="s">
        <v>31</v>
      </c>
      <c r="O288" s="139">
        <v>735</v>
      </c>
      <c r="P288" s="139">
        <v>6.4</v>
      </c>
      <c r="Q288" s="139">
        <v>8</v>
      </c>
      <c r="R288" s="107" t="str">
        <f>IF(AllData[[#This Row],[Nitrate (PPM)]]&gt;2, "Very high", IF(AllData[[#This Row],[Nitrate (PPM)]]&gt;1, "High", IF(AllData[[#This Row],[Nitrate (PPM)]]&gt;0.5, "Some evidence", IF(AllData[[#This Row],[Nitrate (PPM)]]&gt;=0, "No evidence"))))</f>
        <v>Very high</v>
      </c>
      <c r="S288" s="139">
        <v>0.46</v>
      </c>
      <c r="T288" s="7" t="str">
        <f>IF(AllData[[#This Row],[Phosphate (PPM)]]&gt;0.5, "Very high", IF(AllData[[#This Row],[Phosphate (PPM)]]&gt;0.1, "High", IF(AllData[[#This Row],[Phosphate (PPM)]]&gt;0.05, "Some evidence", IF(AllData[[#This Row],[Phosphate (PPM)]]&lt;=0.05, "No Evidence", ""))))</f>
        <v>High</v>
      </c>
      <c r="U288" s="139">
        <v>0</v>
      </c>
      <c r="V288" s="139"/>
    </row>
    <row r="289" spans="1:22" x14ac:dyDescent="0.35">
      <c r="A289" s="139" t="s">
        <v>3110</v>
      </c>
      <c r="B289" s="146">
        <v>45707</v>
      </c>
      <c r="C289" s="2" t="str" cm="1">
        <f t="array" ref="C2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89">
        <v>2024</v>
      </c>
      <c r="E289" s="147">
        <v>0.50555555555555554</v>
      </c>
      <c r="F289" t="str">
        <f>IF(AND(AllData[[#This Row],[Time]]&lt;0.5, AllData[[#This Row],[Time]]&gt;0.17)=TRUE, "Morning", IF(AND(AllData[[#This Row],[Time]]&lt;0.75, AllData[[#This Row],[Time]]&gt;=0.5)=TRUE, "Afternoon", IF(AND(AllData[[#This Row],[Time]]&lt;1, AllData[[#This Row],[Time]]&gt;=0.75)=TRUE, "Evening", "Night")))</f>
        <v>Afternoon</v>
      </c>
      <c r="G289" t="str">
        <f>_xlfn.XLOOKUP(AllData[[#This Row],[Location Name]], Locations[Location Name],Locations[Group As])</f>
        <v>Walcot Lane, Bow Brook Ford</v>
      </c>
      <c r="H289" t="e" vm="6">
        <f>_xlfn.XLOOKUP(AllData[[#This Row],[Site Name]],LocationsKey[Site Name],LocationsKey[District])</f>
        <v>#VALUE!</v>
      </c>
      <c r="I289" t="e" vm="7">
        <f>_xlfn.XLOOKUP(AllData[[#This Row],[Site Name]],LocationsKey[Site Name],LocationsKey[Town])</f>
        <v>#VALUE!</v>
      </c>
      <c r="J289" t="str">
        <f>_xlfn.XLOOKUP(AllData[[#This Row],[Site Name]],LocationsKey[Site Name], LocationsKey[Waterway])</f>
        <v>Bow Brook</v>
      </c>
      <c r="K289" s="139" t="s">
        <v>775</v>
      </c>
      <c r="L289" s="139">
        <v>52.130510000000001</v>
      </c>
      <c r="M289" s="156">
        <v>-2.0786220000000002</v>
      </c>
      <c r="N289" s="139" t="s">
        <v>798</v>
      </c>
      <c r="O289" s="139">
        <v>957</v>
      </c>
      <c r="P289" s="139">
        <v>5.4</v>
      </c>
      <c r="Q289" s="139">
        <v>5</v>
      </c>
      <c r="R289" s="107" t="str">
        <f>IF(AllData[[#This Row],[Nitrate (PPM)]]&gt;2, "Very high", IF(AllData[[#This Row],[Nitrate (PPM)]]&gt;1, "High", IF(AllData[[#This Row],[Nitrate (PPM)]]&gt;0.5, "Some evidence", IF(AllData[[#This Row],[Nitrate (PPM)]]&gt;=0, "No evidence"))))</f>
        <v>Very high</v>
      </c>
      <c r="S289" s="139">
        <v>0.51</v>
      </c>
      <c r="T289" s="7" t="str">
        <f>IF(AllData[[#This Row],[Phosphate (PPM)]]&gt;0.5, "Very high", IF(AllData[[#This Row],[Phosphate (PPM)]]&gt;0.1, "High", IF(AllData[[#This Row],[Phosphate (PPM)]]&gt;0.05, "Some evidence", IF(AllData[[#This Row],[Phosphate (PPM)]]&lt;=0.05, "No Evidence", ""))))</f>
        <v>Very high</v>
      </c>
      <c r="U289" s="139">
        <v>0.4</v>
      </c>
      <c r="V289" s="139" t="s">
        <v>3111</v>
      </c>
    </row>
    <row r="290" spans="1:22" x14ac:dyDescent="0.35">
      <c r="A290" s="139" t="s">
        <v>3112</v>
      </c>
      <c r="B290" s="146">
        <v>45707</v>
      </c>
      <c r="C290" s="2" t="str" cm="1">
        <f t="array" ref="C2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0">
        <v>2024</v>
      </c>
      <c r="E290" s="147">
        <v>0.67083333333333328</v>
      </c>
      <c r="F290" t="str">
        <f>IF(AND(AllData[[#This Row],[Time]]&lt;0.5, AllData[[#This Row],[Time]]&gt;0.17)=TRUE, "Morning", IF(AND(AllData[[#This Row],[Time]]&lt;0.75, AllData[[#This Row],[Time]]&gt;=0.5)=TRUE, "Afternoon", IF(AND(AllData[[#This Row],[Time]]&lt;1, AllData[[#This Row],[Time]]&gt;=0.75)=TRUE, "Evening", "Night")))</f>
        <v>Afternoon</v>
      </c>
      <c r="G290" t="str">
        <f>_xlfn.XLOOKUP(AllData[[#This Row],[Location Name]], Locations[Location Name],Locations[Group As])</f>
        <v>SSC Bredons Norton</v>
      </c>
      <c r="H290" t="e" vm="6">
        <f>_xlfn.XLOOKUP(AllData[[#This Row],[Site Name]],LocationsKey[Site Name],LocationsKey[District])</f>
        <v>#VALUE!</v>
      </c>
      <c r="I290" t="str">
        <f>_xlfn.XLOOKUP(AllData[[#This Row],[Site Name]],LocationsKey[Site Name],LocationsKey[Town])</f>
        <v>Bredon's Norton</v>
      </c>
      <c r="J290" t="str">
        <f>_xlfn.XLOOKUP(AllData[[#This Row],[Site Name]],LocationsKey[Site Name], LocationsKey[Waterway])</f>
        <v>Avon</v>
      </c>
      <c r="K290" s="139" t="s">
        <v>2121</v>
      </c>
      <c r="L290" s="139">
        <v>52.050708999999998</v>
      </c>
      <c r="M290" s="156">
        <v>-2.1170429999999998</v>
      </c>
      <c r="N290" s="139" t="s">
        <v>25</v>
      </c>
      <c r="O290" s="139">
        <v>5</v>
      </c>
      <c r="P290" s="139">
        <v>6.2</v>
      </c>
      <c r="Q290" s="139">
        <v>5</v>
      </c>
      <c r="R290" s="107" t="str">
        <f>IF(AllData[[#This Row],[Nitrate (PPM)]]&gt;2, "Very high", IF(AllData[[#This Row],[Nitrate (PPM)]]&gt;1, "High", IF(AllData[[#This Row],[Nitrate (PPM)]]&gt;0.5, "Some evidence", IF(AllData[[#This Row],[Nitrate (PPM)]]&gt;=0, "No evidence"))))</f>
        <v>Very high</v>
      </c>
      <c r="S290" s="139">
        <v>0.51</v>
      </c>
      <c r="T290" s="7" t="str">
        <f>IF(AllData[[#This Row],[Phosphate (PPM)]]&gt;0.5, "Very high", IF(AllData[[#This Row],[Phosphate (PPM)]]&gt;0.1, "High", IF(AllData[[#This Row],[Phosphate (PPM)]]&gt;0.05, "Some evidence", IF(AllData[[#This Row],[Phosphate (PPM)]]&lt;=0.05, "No Evidence", ""))))</f>
        <v>Very high</v>
      </c>
      <c r="U290" s="139">
        <v>1</v>
      </c>
      <c r="V290" s="139"/>
    </row>
    <row r="291" spans="1:22" x14ac:dyDescent="0.35">
      <c r="A291" s="139" t="s">
        <v>3102</v>
      </c>
      <c r="B291" s="146">
        <v>45706</v>
      </c>
      <c r="C291" s="2" t="str" cm="1">
        <f t="array" ref="C2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1">
        <v>2024</v>
      </c>
      <c r="E291" s="147">
        <v>0.62430555555555556</v>
      </c>
      <c r="F291" t="str">
        <f>IF(AND(AllData[[#This Row],[Time]]&lt;0.5, AllData[[#This Row],[Time]]&gt;0.17)=TRUE, "Morning", IF(AND(AllData[[#This Row],[Time]]&lt;0.75, AllData[[#This Row],[Time]]&gt;=0.5)=TRUE, "Afternoon", IF(AND(AllData[[#This Row],[Time]]&lt;1, AllData[[#This Row],[Time]]&gt;=0.75)=TRUE, "Evening", "Night")))</f>
        <v>Afternoon</v>
      </c>
      <c r="G291" t="str">
        <f>_xlfn.XLOOKUP(AllData[[#This Row],[Location Name]], Locations[Location Name],Locations[Group As])</f>
        <v>New Barn Farm Brailes</v>
      </c>
      <c r="H291" t="e" vm="1">
        <f>_xlfn.XLOOKUP(AllData[[#This Row],[Site Name]],LocationsKey[Site Name],LocationsKey[District])</f>
        <v>#VALUE!</v>
      </c>
      <c r="I291" t="e" vm="5">
        <f>_xlfn.XLOOKUP(AllData[[#This Row],[Site Name]],LocationsKey[Site Name],LocationsKey[Town])</f>
        <v>#VALUE!</v>
      </c>
      <c r="J291" t="str">
        <f>_xlfn.XLOOKUP(AllData[[#This Row],[Site Name]],LocationsKey[Site Name], LocationsKey[Waterway])</f>
        <v>Sutton Brook</v>
      </c>
      <c r="K291" s="139" t="s">
        <v>3103</v>
      </c>
      <c r="L291" s="139">
        <v>52.044080000000001</v>
      </c>
      <c r="M291" s="156">
        <v>-1.5490429999999999</v>
      </c>
      <c r="N291" s="139" t="s">
        <v>31</v>
      </c>
      <c r="O291" s="139">
        <v>600</v>
      </c>
      <c r="P291" s="139">
        <v>6</v>
      </c>
      <c r="Q291" s="139">
        <v>4</v>
      </c>
      <c r="R291" s="107" t="str">
        <f>IF(AllData[[#This Row],[Nitrate (PPM)]]&gt;2, "Very high", IF(AllData[[#This Row],[Nitrate (PPM)]]&gt;1, "High", IF(AllData[[#This Row],[Nitrate (PPM)]]&gt;0.5, "Some evidence", IF(AllData[[#This Row],[Nitrate (PPM)]]&gt;=0, "No evidence"))))</f>
        <v>Very high</v>
      </c>
      <c r="S291" s="139">
        <v>0.35</v>
      </c>
      <c r="T291" s="7" t="str">
        <f>IF(AllData[[#This Row],[Phosphate (PPM)]]&gt;0.5, "Very high", IF(AllData[[#This Row],[Phosphate (PPM)]]&gt;0.1, "High", IF(AllData[[#This Row],[Phosphate (PPM)]]&gt;0.05, "Some evidence", IF(AllData[[#This Row],[Phosphate (PPM)]]&lt;=0.05, "No Evidence", ""))))</f>
        <v>High</v>
      </c>
      <c r="U291" s="139">
        <v>0.3</v>
      </c>
      <c r="V291" s="139" t="s">
        <v>3104</v>
      </c>
    </row>
    <row r="292" spans="1:22" x14ac:dyDescent="0.35">
      <c r="A292" s="139" t="s">
        <v>3105</v>
      </c>
      <c r="B292" s="146">
        <v>45706</v>
      </c>
      <c r="C292" s="2" t="str" cm="1">
        <f t="array" ref="C2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2">
        <v>2024</v>
      </c>
      <c r="E292" s="147">
        <v>0.6381944444444444</v>
      </c>
      <c r="F292" t="str">
        <f>IF(AND(AllData[[#This Row],[Time]]&lt;0.5, AllData[[#This Row],[Time]]&gt;0.17)=TRUE, "Morning", IF(AND(AllData[[#This Row],[Time]]&lt;0.75, AllData[[#This Row],[Time]]&gt;=0.5)=TRUE, "Afternoon", IF(AND(AllData[[#This Row],[Time]]&lt;1, AllData[[#This Row],[Time]]&gt;=0.75)=TRUE, "Evening", "Night")))</f>
        <v>Afternoon</v>
      </c>
      <c r="G292" t="str">
        <f>_xlfn.XLOOKUP(AllData[[#This Row],[Location Name]], Locations[Location Name],Locations[Group As])</f>
        <v>High Street Brailes</v>
      </c>
      <c r="H292" t="e" vm="1">
        <f>_xlfn.XLOOKUP(AllData[[#This Row],[Site Name]],LocationsKey[Site Name],LocationsKey[District])</f>
        <v>#VALUE!</v>
      </c>
      <c r="I292" t="e" vm="5">
        <f>_xlfn.XLOOKUP(AllData[[#This Row],[Site Name]],LocationsKey[Site Name],LocationsKey[Town])</f>
        <v>#VALUE!</v>
      </c>
      <c r="J292" t="str">
        <f>_xlfn.XLOOKUP(AllData[[#This Row],[Site Name]],LocationsKey[Site Name], LocationsKey[Waterway])</f>
        <v>Sutton Brook</v>
      </c>
      <c r="K292" s="139" t="s">
        <v>3106</v>
      </c>
      <c r="L292" s="139">
        <v>52.050924999999999</v>
      </c>
      <c r="M292" s="156">
        <v>-1.546197</v>
      </c>
      <c r="N292" s="139" t="s">
        <v>68</v>
      </c>
      <c r="O292" s="139">
        <v>582</v>
      </c>
      <c r="P292" s="139">
        <v>5.8</v>
      </c>
      <c r="Q292" s="139">
        <v>4</v>
      </c>
      <c r="R292" s="107" t="str">
        <f>IF(AllData[[#This Row],[Nitrate (PPM)]]&gt;2, "Very high", IF(AllData[[#This Row],[Nitrate (PPM)]]&gt;1, "High", IF(AllData[[#This Row],[Nitrate (PPM)]]&gt;0.5, "Some evidence", IF(AllData[[#This Row],[Nitrate (PPM)]]&gt;=0, "No evidence"))))</f>
        <v>Very high</v>
      </c>
      <c r="S292" s="139">
        <v>0.14000000000000001</v>
      </c>
      <c r="T292" s="7" t="str">
        <f>IF(AllData[[#This Row],[Phosphate (PPM)]]&gt;0.5, "Very high", IF(AllData[[#This Row],[Phosphate (PPM)]]&gt;0.1, "High", IF(AllData[[#This Row],[Phosphate (PPM)]]&gt;0.05, "Some evidence", IF(AllData[[#This Row],[Phosphate (PPM)]]&lt;=0.05, "No Evidence", ""))))</f>
        <v>High</v>
      </c>
      <c r="U292" s="139">
        <v>0.3</v>
      </c>
      <c r="V292" s="139" t="s">
        <v>3107</v>
      </c>
    </row>
    <row r="293" spans="1:22" x14ac:dyDescent="0.35">
      <c r="A293" s="139" t="s">
        <v>3100</v>
      </c>
      <c r="B293" s="146">
        <v>45705</v>
      </c>
      <c r="C293" s="2" t="str" cm="1">
        <f t="array" ref="C2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3">
        <v>2024</v>
      </c>
      <c r="E293" s="147">
        <v>0.36805555555555558</v>
      </c>
      <c r="F293" t="str">
        <f>IF(AND(AllData[[#This Row],[Time]]&lt;0.5, AllData[[#This Row],[Time]]&gt;0.17)=TRUE, "Morning", IF(AND(AllData[[#This Row],[Time]]&lt;0.75, AllData[[#This Row],[Time]]&gt;=0.5)=TRUE, "Afternoon", IF(AND(AllData[[#This Row],[Time]]&lt;1, AllData[[#This Row],[Time]]&gt;=0.75)=TRUE, "Evening", "Night")))</f>
        <v>Morning</v>
      </c>
      <c r="G293" t="str">
        <f>_xlfn.XLOOKUP(AllData[[#This Row],[Location Name]], Locations[Location Name],Locations[Group As])</f>
        <v>Chipping Campden Lady J Gateway</v>
      </c>
      <c r="H293" t="e" vm="9">
        <f>_xlfn.XLOOKUP(AllData[[#This Row],[Site Name]],LocationsKey[Site Name],LocationsKey[District])</f>
        <v>#VALUE!</v>
      </c>
      <c r="I293" t="e" vm="10">
        <f>_xlfn.XLOOKUP(AllData[[#This Row],[Site Name]],LocationsKey[Site Name],LocationsKey[Town])</f>
        <v>#VALUE!</v>
      </c>
      <c r="J293" t="str">
        <f>_xlfn.XLOOKUP(AllData[[#This Row],[Site Name]],LocationsKey[Site Name], LocationsKey[Waterway])</f>
        <v>Cam Brook</v>
      </c>
      <c r="K293" s="139" t="s">
        <v>1573</v>
      </c>
      <c r="L293" s="139"/>
      <c r="M293" s="156"/>
      <c r="N293" s="139" t="s">
        <v>68</v>
      </c>
      <c r="O293" s="139">
        <v>552</v>
      </c>
      <c r="P293" s="139">
        <v>3.7</v>
      </c>
      <c r="Q293" s="139">
        <v>5</v>
      </c>
      <c r="R293" s="107" t="str">
        <f>IF(AllData[[#This Row],[Nitrate (PPM)]]&gt;2, "Very high", IF(AllData[[#This Row],[Nitrate (PPM)]]&gt;1, "High", IF(AllData[[#This Row],[Nitrate (PPM)]]&gt;0.5, "Some evidence", IF(AllData[[#This Row],[Nitrate (PPM)]]&gt;=0, "No evidence"))))</f>
        <v>Very high</v>
      </c>
      <c r="S293" s="139">
        <v>0.03</v>
      </c>
      <c r="T293" s="7" t="str">
        <f>IF(AllData[[#This Row],[Phosphate (PPM)]]&gt;0.5, "Very high", IF(AllData[[#This Row],[Phosphate (PPM)]]&gt;0.1, "High", IF(AllData[[#This Row],[Phosphate (PPM)]]&gt;0.05, "Some evidence", IF(AllData[[#This Row],[Phosphate (PPM)]]&lt;=0.05, "No Evidence", ""))))</f>
        <v>No Evidence</v>
      </c>
      <c r="U293" s="139">
        <v>0.14000000000000001</v>
      </c>
      <c r="V293" s="139"/>
    </row>
    <row r="294" spans="1:22" x14ac:dyDescent="0.35">
      <c r="A294" s="139" t="s">
        <v>3101</v>
      </c>
      <c r="B294" s="146">
        <v>45705</v>
      </c>
      <c r="C294" s="2" t="str" cm="1">
        <f t="array" ref="C2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4">
        <v>2024</v>
      </c>
      <c r="E294" s="147">
        <v>0.47916666666666669</v>
      </c>
      <c r="F294" t="str">
        <f>IF(AND(AllData[[#This Row],[Time]]&lt;0.5, AllData[[#This Row],[Time]]&gt;0.17)=TRUE, "Morning", IF(AND(AllData[[#This Row],[Time]]&lt;0.75, AllData[[#This Row],[Time]]&gt;=0.5)=TRUE, "Afternoon", IF(AND(AllData[[#This Row],[Time]]&lt;1, AllData[[#This Row],[Time]]&gt;=0.75)=TRUE, "Evening", "Night")))</f>
        <v>Morning</v>
      </c>
      <c r="G294" t="str">
        <f>_xlfn.XLOOKUP(AllData[[#This Row],[Location Name]], Locations[Location Name],Locations[Group As])</f>
        <v>Chipping Campden Craves</v>
      </c>
      <c r="H294" t="e" vm="9">
        <f>_xlfn.XLOOKUP(AllData[[#This Row],[Site Name]],LocationsKey[Site Name],LocationsKey[District])</f>
        <v>#VALUE!</v>
      </c>
      <c r="I294" t="e" vm="10">
        <f>_xlfn.XLOOKUP(AllData[[#This Row],[Site Name]],LocationsKey[Site Name],LocationsKey[Town])</f>
        <v>#VALUE!</v>
      </c>
      <c r="J294" t="str">
        <f>_xlfn.XLOOKUP(AllData[[#This Row],[Site Name]],LocationsKey[Site Name], LocationsKey[Waterway])</f>
        <v>Cam Brook</v>
      </c>
      <c r="K294" s="139" t="s">
        <v>2458</v>
      </c>
      <c r="L294" s="139">
        <v>52.048777000000001</v>
      </c>
      <c r="M294" s="156">
        <v>-1.7863519999999999</v>
      </c>
      <c r="N294" s="139" t="s">
        <v>68</v>
      </c>
      <c r="O294" s="139">
        <v>476</v>
      </c>
      <c r="P294" s="139">
        <v>8.1999999999999993</v>
      </c>
      <c r="Q294" s="139">
        <v>5</v>
      </c>
      <c r="R294" s="107" t="str">
        <f>IF(AllData[[#This Row],[Nitrate (PPM)]]&gt;2, "Very high", IF(AllData[[#This Row],[Nitrate (PPM)]]&gt;1, "High", IF(AllData[[#This Row],[Nitrate (PPM)]]&gt;0.5, "Some evidence", IF(AllData[[#This Row],[Nitrate (PPM)]]&gt;=0, "No evidence"))))</f>
        <v>Very high</v>
      </c>
      <c r="S294" s="139">
        <v>0.12</v>
      </c>
      <c r="T294" s="7" t="str">
        <f>IF(AllData[[#This Row],[Phosphate (PPM)]]&gt;0.5, "Very high", IF(AllData[[#This Row],[Phosphate (PPM)]]&gt;0.1, "High", IF(AllData[[#This Row],[Phosphate (PPM)]]&gt;0.05, "Some evidence", IF(AllData[[#This Row],[Phosphate (PPM)]]&lt;=0.05, "No Evidence", ""))))</f>
        <v>High</v>
      </c>
      <c r="U294" s="139">
        <v>29</v>
      </c>
      <c r="V294" s="139"/>
    </row>
    <row r="295" spans="1:22" x14ac:dyDescent="0.35">
      <c r="A295" s="139" t="s">
        <v>3098</v>
      </c>
      <c r="B295" s="146">
        <v>45705</v>
      </c>
      <c r="C295" s="2" t="str" cm="1">
        <f t="array" ref="C2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5">
        <v>2024</v>
      </c>
      <c r="E295" s="147">
        <v>0.35416666666666669</v>
      </c>
      <c r="F295" t="str">
        <f>IF(AND(AllData[[#This Row],[Time]]&lt;0.5, AllData[[#This Row],[Time]]&gt;0.17)=TRUE, "Morning", IF(AND(AllData[[#This Row],[Time]]&lt;0.75, AllData[[#This Row],[Time]]&gt;=0.5)=TRUE, "Afternoon", IF(AND(AllData[[#This Row],[Time]]&lt;1, AllData[[#This Row],[Time]]&gt;=0.75)=TRUE, "Evening", "Night")))</f>
        <v>Morning</v>
      </c>
      <c r="G295" t="str">
        <f>_xlfn.XLOOKUP(AllData[[#This Row],[Location Name]], Locations[Location Name],Locations[Group As])</f>
        <v>Chipping Campden Sewage Works</v>
      </c>
      <c r="H295" t="e" vm="9">
        <f>_xlfn.XLOOKUP(AllData[[#This Row],[Site Name]],LocationsKey[Site Name],LocationsKey[District])</f>
        <v>#VALUE!</v>
      </c>
      <c r="I295" t="e" vm="10">
        <f>_xlfn.XLOOKUP(AllData[[#This Row],[Site Name]],LocationsKey[Site Name],LocationsKey[Town])</f>
        <v>#VALUE!</v>
      </c>
      <c r="J295" t="str">
        <f>_xlfn.XLOOKUP(AllData[[#This Row],[Site Name]],LocationsKey[Site Name], LocationsKey[Waterway])</f>
        <v>Cam Brook</v>
      </c>
      <c r="K295" s="139" t="s">
        <v>3099</v>
      </c>
      <c r="L295" s="139"/>
      <c r="M295" s="156"/>
      <c r="N295" s="139" t="s">
        <v>31</v>
      </c>
      <c r="O295" s="139">
        <v>624</v>
      </c>
      <c r="P295" s="139">
        <v>6.1</v>
      </c>
      <c r="Q295" s="139">
        <v>2</v>
      </c>
      <c r="R295" s="107" t="str">
        <f>IF(AllData[[#This Row],[Nitrate (PPM)]]&gt;2, "Very high", IF(AllData[[#This Row],[Nitrate (PPM)]]&gt;1, "High", IF(AllData[[#This Row],[Nitrate (PPM)]]&gt;0.5, "Some evidence", IF(AllData[[#This Row],[Nitrate (PPM)]]&gt;=0, "No evidence"))))</f>
        <v>High</v>
      </c>
      <c r="S295" s="139">
        <v>0</v>
      </c>
      <c r="T295" s="7" t="str">
        <f>IF(AllData[[#This Row],[Phosphate (PPM)]]&gt;0.5, "Very high", IF(AllData[[#This Row],[Phosphate (PPM)]]&gt;0.1, "High", IF(AllData[[#This Row],[Phosphate (PPM)]]&gt;0.05, "Some evidence", IF(AllData[[#This Row],[Phosphate (PPM)]]&lt;=0.05, "No Evidence", ""))))</f>
        <v>No Evidence</v>
      </c>
      <c r="U295" s="139">
        <v>0.4</v>
      </c>
      <c r="V295" s="139"/>
    </row>
    <row r="296" spans="1:22" x14ac:dyDescent="0.35">
      <c r="A296" s="139" t="s">
        <v>3090</v>
      </c>
      <c r="B296" s="146">
        <v>45704</v>
      </c>
      <c r="C296" s="2" t="str" cm="1">
        <f t="array" ref="C2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6">
        <v>2024</v>
      </c>
      <c r="E296" s="147">
        <v>0.45</v>
      </c>
      <c r="F296" t="str">
        <f>IF(AND(AllData[[#This Row],[Time]]&lt;0.5, AllData[[#This Row],[Time]]&gt;0.17)=TRUE, "Morning", IF(AND(AllData[[#This Row],[Time]]&lt;0.75, AllData[[#This Row],[Time]]&gt;=0.5)=TRUE, "Afternoon", IF(AND(AllData[[#This Row],[Time]]&lt;1, AllData[[#This Row],[Time]]&gt;=0.75)=TRUE, "Evening", "Night")))</f>
        <v>Morning</v>
      </c>
      <c r="G296" t="str">
        <f>_xlfn.XLOOKUP(AllData[[#This Row],[Location Name]], Locations[Location Name],Locations[Group As])</f>
        <v>Lower Lode</v>
      </c>
      <c r="H296" t="e" vm="4">
        <f>_xlfn.XLOOKUP(AllData[[#This Row],[Site Name]],LocationsKey[Site Name],LocationsKey[District])</f>
        <v>#VALUE!</v>
      </c>
      <c r="I296" t="e" vm="4">
        <f>_xlfn.XLOOKUP(AllData[[#This Row],[Site Name]],LocationsKey[Site Name],LocationsKey[Town])</f>
        <v>#VALUE!</v>
      </c>
      <c r="J296" t="str">
        <f>_xlfn.XLOOKUP(AllData[[#This Row],[Site Name]],LocationsKey[Site Name], LocationsKey[Waterway])</f>
        <v>Avon</v>
      </c>
      <c r="K296" s="139" t="s">
        <v>595</v>
      </c>
      <c r="L296" s="139">
        <v>51.984752999999998</v>
      </c>
      <c r="M296" s="156">
        <v>-2.1750440000000002</v>
      </c>
      <c r="N296" s="139" t="s">
        <v>31</v>
      </c>
      <c r="O296" s="139">
        <v>9260</v>
      </c>
      <c r="P296" s="139">
        <v>9.5</v>
      </c>
      <c r="Q296" s="139">
        <v>10</v>
      </c>
      <c r="R296" s="107" t="str">
        <f>IF(AllData[[#This Row],[Nitrate (PPM)]]&gt;2, "Very high", IF(AllData[[#This Row],[Nitrate (PPM)]]&gt;1, "High", IF(AllData[[#This Row],[Nitrate (PPM)]]&gt;0.5, "Some evidence", IF(AllData[[#This Row],[Nitrate (PPM)]]&gt;=0, "No evidence"))))</f>
        <v>Very high</v>
      </c>
      <c r="S296" s="139">
        <v>0.25</v>
      </c>
      <c r="T296" s="7" t="str">
        <f>IF(AllData[[#This Row],[Phosphate (PPM)]]&gt;0.5, "Very high", IF(AllData[[#This Row],[Phosphate (PPM)]]&gt;0.1, "High", IF(AllData[[#This Row],[Phosphate (PPM)]]&gt;0.05, "Some evidence", IF(AllData[[#This Row],[Phosphate (PPM)]]&lt;=0.05, "No Evidence", ""))))</f>
        <v>High</v>
      </c>
      <c r="U296" s="139">
        <v>2</v>
      </c>
      <c r="V296" s="139"/>
    </row>
    <row r="297" spans="1:22" x14ac:dyDescent="0.35">
      <c r="A297" s="139" t="s">
        <v>3089</v>
      </c>
      <c r="B297" s="146">
        <v>45704</v>
      </c>
      <c r="C297" s="2" t="str" cm="1">
        <f t="array" ref="C2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7">
        <v>2024</v>
      </c>
      <c r="E297" s="147">
        <v>0.42777777777777776</v>
      </c>
      <c r="F297" t="str">
        <f>IF(AND(AllData[[#This Row],[Time]]&lt;0.5, AllData[[#This Row],[Time]]&gt;0.17)=TRUE, "Morning", IF(AND(AllData[[#This Row],[Time]]&lt;0.75, AllData[[#This Row],[Time]]&gt;=0.5)=TRUE, "Afternoon", IF(AND(AllData[[#This Row],[Time]]&lt;1, AllData[[#This Row],[Time]]&gt;=0.75)=TRUE, "Evening", "Night")))</f>
        <v>Morning</v>
      </c>
      <c r="G297" t="str">
        <f>_xlfn.XLOOKUP(AllData[[#This Row],[Location Name]], Locations[Location Name],Locations[Group As])</f>
        <v>Avonbank Drive</v>
      </c>
      <c r="H297" t="e" vm="1">
        <f>_xlfn.XLOOKUP(AllData[[#This Row],[Site Name]],LocationsKey[Site Name],LocationsKey[District])</f>
        <v>#VALUE!</v>
      </c>
      <c r="I297" t="e" vm="12">
        <f>_xlfn.XLOOKUP(AllData[[#This Row],[Site Name]],LocationsKey[Site Name],LocationsKey[Town])</f>
        <v>#VALUE!</v>
      </c>
      <c r="J297" t="str">
        <f>_xlfn.XLOOKUP(AllData[[#This Row],[Site Name]],LocationsKey[Site Name], LocationsKey[Waterway])</f>
        <v>Avon</v>
      </c>
      <c r="K297" s="139" t="s">
        <v>2530</v>
      </c>
      <c r="L297" s="139">
        <v>52.178001000000002</v>
      </c>
      <c r="M297" s="156">
        <v>-1.7365029999999999</v>
      </c>
      <c r="N297" s="139" t="s">
        <v>68</v>
      </c>
      <c r="O297" s="139">
        <v>821</v>
      </c>
      <c r="P297" s="139">
        <v>11.2</v>
      </c>
      <c r="Q297" s="139">
        <v>10</v>
      </c>
      <c r="R297" s="107" t="str">
        <f>IF(AllData[[#This Row],[Nitrate (PPM)]]&gt;2, "Very high", IF(AllData[[#This Row],[Nitrate (PPM)]]&gt;1, "High", IF(AllData[[#This Row],[Nitrate (PPM)]]&gt;0.5, "Some evidence", IF(AllData[[#This Row],[Nitrate (PPM)]]&gt;=0, "No evidence"))))</f>
        <v>Very high</v>
      </c>
      <c r="S297" s="139">
        <v>0.48</v>
      </c>
      <c r="T297" s="7" t="str">
        <f>IF(AllData[[#This Row],[Phosphate (PPM)]]&gt;0.5, "Very high", IF(AllData[[#This Row],[Phosphate (PPM)]]&gt;0.1, "High", IF(AllData[[#This Row],[Phosphate (PPM)]]&gt;0.05, "Some evidence", IF(AllData[[#This Row],[Phosphate (PPM)]]&lt;=0.05, "No Evidence", ""))))</f>
        <v>High</v>
      </c>
      <c r="U297" s="139">
        <v>0.79</v>
      </c>
      <c r="V297" s="139"/>
    </row>
    <row r="298" spans="1:22" x14ac:dyDescent="0.35">
      <c r="A298" s="139" t="s">
        <v>3093</v>
      </c>
      <c r="B298" s="146">
        <v>45704</v>
      </c>
      <c r="C298" s="2" t="str" cm="1">
        <f t="array" ref="C2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8">
        <v>2024</v>
      </c>
      <c r="E298" s="147">
        <v>0.54166666666666663</v>
      </c>
      <c r="F298" t="str">
        <f>IF(AND(AllData[[#This Row],[Time]]&lt;0.5, AllData[[#This Row],[Time]]&gt;0.17)=TRUE, "Morning", IF(AND(AllData[[#This Row],[Time]]&lt;0.75, AllData[[#This Row],[Time]]&gt;=0.5)=TRUE, "Afternoon", IF(AND(AllData[[#This Row],[Time]]&lt;1, AllData[[#This Row],[Time]]&gt;=0.75)=TRUE, "Evening", "Night")))</f>
        <v>Afternoon</v>
      </c>
      <c r="G298" t="str">
        <f>_xlfn.XLOOKUP(AllData[[#This Row],[Location Name]], Locations[Location Name],Locations[Group As])</f>
        <v>Sherbourne Brook 2</v>
      </c>
      <c r="H298" t="e" vm="1">
        <f>_xlfn.XLOOKUP(AllData[[#This Row],[Site Name]],LocationsKey[Site Name],LocationsKey[District])</f>
        <v>#VALUE!</v>
      </c>
      <c r="I298" t="str">
        <f>_xlfn.XLOOKUP(AllData[[#This Row],[Site Name]],LocationsKey[Site Name],LocationsKey[Town])</f>
        <v>Unknown</v>
      </c>
      <c r="J298" t="str">
        <f>_xlfn.XLOOKUP(AllData[[#This Row],[Site Name]],LocationsKey[Site Name], LocationsKey[Waterway])</f>
        <v>Sherbourne Brook</v>
      </c>
      <c r="K298" s="139" t="s">
        <v>2995</v>
      </c>
      <c r="L298" s="139"/>
      <c r="M298" s="156"/>
      <c r="N298" s="139"/>
      <c r="O298" s="139">
        <v>852</v>
      </c>
      <c r="P298" s="139">
        <v>6.2</v>
      </c>
      <c r="Q298" s="139">
        <v>6</v>
      </c>
      <c r="R298" s="107" t="str">
        <f>IF(AllData[[#This Row],[Nitrate (PPM)]]&gt;2, "Very high", IF(AllData[[#This Row],[Nitrate (PPM)]]&gt;1, "High", IF(AllData[[#This Row],[Nitrate (PPM)]]&gt;0.5, "Some evidence", IF(AllData[[#This Row],[Nitrate (PPM)]]&gt;=0, "No evidence"))))</f>
        <v>Very high</v>
      </c>
      <c r="S298" s="139">
        <v>0.54</v>
      </c>
      <c r="T298" s="7" t="str">
        <f>IF(AllData[[#This Row],[Phosphate (PPM)]]&gt;0.5, "Very high", IF(AllData[[#This Row],[Phosphate (PPM)]]&gt;0.1, "High", IF(AllData[[#This Row],[Phosphate (PPM)]]&gt;0.05, "Some evidence", IF(AllData[[#This Row],[Phosphate (PPM)]]&lt;=0.05, "No Evidence", ""))))</f>
        <v>Very high</v>
      </c>
      <c r="U298" s="139">
        <v>0.3</v>
      </c>
      <c r="V298" s="139" t="s">
        <v>3094</v>
      </c>
    </row>
    <row r="299" spans="1:22" x14ac:dyDescent="0.35">
      <c r="A299" s="139" t="s">
        <v>3088</v>
      </c>
      <c r="B299" s="146">
        <v>45704</v>
      </c>
      <c r="C299" s="2" t="str" cm="1">
        <f t="array" ref="C2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99">
        <v>2024</v>
      </c>
      <c r="E299" s="147">
        <v>0.42430555555555555</v>
      </c>
      <c r="F299" t="str">
        <f>IF(AND(AllData[[#This Row],[Time]]&lt;0.5, AllData[[#This Row],[Time]]&gt;0.17)=TRUE, "Morning", IF(AND(AllData[[#This Row],[Time]]&lt;0.75, AllData[[#This Row],[Time]]&gt;=0.5)=TRUE, "Afternoon", IF(AND(AllData[[#This Row],[Time]]&lt;1, AllData[[#This Row],[Time]]&gt;=0.75)=TRUE, "Evening", "Night")))</f>
        <v>Morning</v>
      </c>
      <c r="G299" t="str">
        <f>_xlfn.XLOOKUP(AllData[[#This Row],[Location Name]], Locations[Location Name],Locations[Group As])</f>
        <v>Pitch 16</v>
      </c>
      <c r="H299" t="e" vm="1">
        <f>_xlfn.XLOOKUP(AllData[[#This Row],[Site Name]],LocationsKey[Site Name],LocationsKey[District])</f>
        <v>#VALUE!</v>
      </c>
      <c r="I299" t="e" vm="12">
        <f>_xlfn.XLOOKUP(AllData[[#This Row],[Site Name]],LocationsKey[Site Name],LocationsKey[Town])</f>
        <v>#VALUE!</v>
      </c>
      <c r="J299" t="str">
        <f>_xlfn.XLOOKUP(AllData[[#This Row],[Site Name]],LocationsKey[Site Name], LocationsKey[Waterway])</f>
        <v>Avon</v>
      </c>
      <c r="K299" s="139" t="s">
        <v>2532</v>
      </c>
      <c r="L299" s="139">
        <v>52.170456000000001</v>
      </c>
      <c r="M299" s="156">
        <v>-1.7595400000000001</v>
      </c>
      <c r="N299" s="139" t="s">
        <v>31</v>
      </c>
      <c r="O299" s="139">
        <v>762</v>
      </c>
      <c r="P299" s="139">
        <v>10.3</v>
      </c>
      <c r="Q299" s="139">
        <v>5</v>
      </c>
      <c r="R299" s="107" t="str">
        <f>IF(AllData[[#This Row],[Nitrate (PPM)]]&gt;2, "Very high", IF(AllData[[#This Row],[Nitrate (PPM)]]&gt;1, "High", IF(AllData[[#This Row],[Nitrate (PPM)]]&gt;0.5, "Some evidence", IF(AllData[[#This Row],[Nitrate (PPM)]]&gt;=0, "No evidence"))))</f>
        <v>Very high</v>
      </c>
      <c r="S299" s="139">
        <v>0.59</v>
      </c>
      <c r="T299" s="7" t="str">
        <f>IF(AllData[[#This Row],[Phosphate (PPM)]]&gt;0.5, "Very high", IF(AllData[[#This Row],[Phosphate (PPM)]]&gt;0.1, "High", IF(AllData[[#This Row],[Phosphate (PPM)]]&gt;0.05, "Some evidence", IF(AllData[[#This Row],[Phosphate (PPM)]]&lt;=0.05, "No Evidence", ""))))</f>
        <v>Very high</v>
      </c>
      <c r="U299" s="139">
        <v>0.79</v>
      </c>
      <c r="V299" s="139"/>
    </row>
    <row r="300" spans="1:22" x14ac:dyDescent="0.35">
      <c r="A300" s="139" t="s">
        <v>3095</v>
      </c>
      <c r="B300" s="146">
        <v>45704</v>
      </c>
      <c r="C300" s="2" t="str" cm="1">
        <f t="array" ref="C3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0">
        <v>2024</v>
      </c>
      <c r="E300" s="147">
        <v>0.55208333333333337</v>
      </c>
      <c r="F300" t="str">
        <f>IF(AND(AllData[[#This Row],[Time]]&lt;0.5, AllData[[#This Row],[Time]]&gt;0.17)=TRUE, "Morning", IF(AND(AllData[[#This Row],[Time]]&lt;0.75, AllData[[#This Row],[Time]]&gt;=0.5)=TRUE, "Afternoon", IF(AND(AllData[[#This Row],[Time]]&lt;1, AllData[[#This Row],[Time]]&gt;=0.75)=TRUE, "Evening", "Night")))</f>
        <v>Afternoon</v>
      </c>
      <c r="G300" t="str">
        <f>_xlfn.XLOOKUP(AllData[[#This Row],[Location Name]], Locations[Location Name],Locations[Group As])</f>
        <v>Bell Brook 1</v>
      </c>
      <c r="H300" t="e" vm="1">
        <f>_xlfn.XLOOKUP(AllData[[#This Row],[Site Name]],LocationsKey[Site Name],LocationsKey[District])</f>
        <v>#VALUE!</v>
      </c>
      <c r="I300" t="e" vm="19">
        <f>_xlfn.XLOOKUP(AllData[[#This Row],[Site Name]],LocationsKey[Site Name],LocationsKey[Town])</f>
        <v>#VALUE!</v>
      </c>
      <c r="J300" t="str">
        <f>_xlfn.XLOOKUP(AllData[[#This Row],[Site Name]],LocationsKey[Site Name], LocationsKey[Waterway])</f>
        <v>Bell Brook</v>
      </c>
      <c r="K300" s="139" t="s">
        <v>3000</v>
      </c>
      <c r="L300" s="139"/>
      <c r="M300" s="156"/>
      <c r="N300" s="139"/>
      <c r="O300" s="139">
        <v>565</v>
      </c>
      <c r="P300" s="139">
        <v>6.8</v>
      </c>
      <c r="Q300" s="139">
        <v>4</v>
      </c>
      <c r="R300" s="107" t="str">
        <f>IF(AllData[[#This Row],[Nitrate (PPM)]]&gt;2, "Very high", IF(AllData[[#This Row],[Nitrate (PPM)]]&gt;1, "High", IF(AllData[[#This Row],[Nitrate (PPM)]]&gt;0.5, "Some evidence", IF(AllData[[#This Row],[Nitrate (PPM)]]&gt;=0, "No evidence"))))</f>
        <v>Very high</v>
      </c>
      <c r="S300" s="139">
        <v>0.27</v>
      </c>
      <c r="T300" s="7" t="str">
        <f>IF(AllData[[#This Row],[Phosphate (PPM)]]&gt;0.5, "Very high", IF(AllData[[#This Row],[Phosphate (PPM)]]&gt;0.1, "High", IF(AllData[[#This Row],[Phosphate (PPM)]]&gt;0.05, "Some evidence", IF(AllData[[#This Row],[Phosphate (PPM)]]&lt;=0.05, "No Evidence", ""))))</f>
        <v>High</v>
      </c>
      <c r="U300" s="139">
        <v>0.3</v>
      </c>
      <c r="V300" s="139" t="s">
        <v>3094</v>
      </c>
    </row>
    <row r="301" spans="1:22" x14ac:dyDescent="0.35">
      <c r="A301" s="139" t="s">
        <v>3091</v>
      </c>
      <c r="B301" s="146">
        <v>45704</v>
      </c>
      <c r="C301" s="2" t="str" cm="1">
        <f t="array" ref="C3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1">
        <v>2024</v>
      </c>
      <c r="E301" s="147">
        <v>0.4513888888888889</v>
      </c>
      <c r="F301" t="str">
        <f>IF(AND(AllData[[#This Row],[Time]]&lt;0.5, AllData[[#This Row],[Time]]&gt;0.17)=TRUE, "Morning", IF(AND(AllData[[#This Row],[Time]]&lt;0.75, AllData[[#This Row],[Time]]&gt;=0.5)=TRUE, "Afternoon", IF(AND(AllData[[#This Row],[Time]]&lt;1, AllData[[#This Row],[Time]]&gt;=0.75)=TRUE, "Evening", "Night")))</f>
        <v>Morning</v>
      </c>
      <c r="G301" t="str">
        <f>_xlfn.XLOOKUP(AllData[[#This Row],[Location Name]], Locations[Location Name],Locations[Group As])</f>
        <v>The Ford, Langley</v>
      </c>
      <c r="H301" t="e" vm="1">
        <f>_xlfn.XLOOKUP(AllData[[#This Row],[Site Name]],LocationsKey[Site Name],LocationsKey[District])</f>
        <v>#VALUE!</v>
      </c>
      <c r="I301" t="str">
        <f>_xlfn.XLOOKUP(AllData[[#This Row],[Site Name]],LocationsKey[Site Name],LocationsKey[Town])</f>
        <v>Langley</v>
      </c>
      <c r="J301" t="str">
        <f>_xlfn.XLOOKUP(AllData[[#This Row],[Site Name]],LocationsKey[Site Name], LocationsKey[Waterway])</f>
        <v>Langley Ford</v>
      </c>
      <c r="K301" s="139" t="s">
        <v>3092</v>
      </c>
      <c r="L301" s="139">
        <v>52.259779999999999</v>
      </c>
      <c r="M301" s="156">
        <v>-1.7185299999999999</v>
      </c>
      <c r="N301" s="139" t="s">
        <v>31</v>
      </c>
      <c r="O301" s="139">
        <v>590</v>
      </c>
      <c r="P301" s="139">
        <v>6.5</v>
      </c>
      <c r="Q301" s="139">
        <v>2</v>
      </c>
      <c r="R301" s="107" t="str">
        <f>IF(AllData[[#This Row],[Nitrate (PPM)]]&gt;2, "Very high", IF(AllData[[#This Row],[Nitrate (PPM)]]&gt;1, "High", IF(AllData[[#This Row],[Nitrate (PPM)]]&gt;0.5, "Some evidence", IF(AllData[[#This Row],[Nitrate (PPM)]]&gt;=0, "No evidence"))))</f>
        <v>High</v>
      </c>
      <c r="S301" s="139">
        <v>0.45</v>
      </c>
      <c r="T301" s="7" t="str">
        <f>IF(AllData[[#This Row],[Phosphate (PPM)]]&gt;0.5, "Very high", IF(AllData[[#This Row],[Phosphate (PPM)]]&gt;0.1, "High", IF(AllData[[#This Row],[Phosphate (PPM)]]&gt;0.05, "Some evidence", IF(AllData[[#This Row],[Phosphate (PPM)]]&lt;=0.05, "No Evidence", ""))))</f>
        <v>High</v>
      </c>
      <c r="U301" s="139">
        <v>0.5</v>
      </c>
      <c r="V301" s="139"/>
    </row>
    <row r="302" spans="1:22" x14ac:dyDescent="0.35">
      <c r="A302" s="139" t="s">
        <v>3085</v>
      </c>
      <c r="B302" s="146">
        <v>45704</v>
      </c>
      <c r="C302" s="2" t="str" cm="1">
        <f t="array" ref="C3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2">
        <v>2024</v>
      </c>
      <c r="E302" s="147">
        <v>0.41736111111111113</v>
      </c>
      <c r="F302" t="str">
        <f>IF(AND(AllData[[#This Row],[Time]]&lt;0.5, AllData[[#This Row],[Time]]&gt;0.17)=TRUE, "Morning", IF(AND(AllData[[#This Row],[Time]]&lt;0.75, AllData[[#This Row],[Time]]&gt;=0.5)=TRUE, "Afternoon", IF(AND(AllData[[#This Row],[Time]]&lt;1, AllData[[#This Row],[Time]]&gt;=0.75)=TRUE, "Evening", "Night")))</f>
        <v>Morning</v>
      </c>
      <c r="G302" t="str">
        <f>_xlfn.XLOOKUP(AllData[[#This Row],[Location Name]], Locations[Location Name],Locations[Group As])</f>
        <v>R.Stowe - Lower Fields Farm, Old Brickyard Lane</v>
      </c>
      <c r="H302" t="e" vm="1">
        <f>_xlfn.XLOOKUP(AllData[[#This Row],[Site Name]],LocationsKey[Site Name],LocationsKey[District])</f>
        <v>#VALUE!</v>
      </c>
      <c r="I302" t="e" vm="17">
        <f>_xlfn.XLOOKUP(AllData[[#This Row],[Site Name]],LocationsKey[Site Name],LocationsKey[Town])</f>
        <v>#VALUE!</v>
      </c>
      <c r="J302" t="str">
        <f>_xlfn.XLOOKUP(AllData[[#This Row],[Site Name]],LocationsKey[Site Name], LocationsKey[Waterway])</f>
        <v>Stowe</v>
      </c>
      <c r="K302" s="139" t="s">
        <v>2892</v>
      </c>
      <c r="L302" s="139">
        <v>52.244045</v>
      </c>
      <c r="M302" s="156">
        <v>-1.347842</v>
      </c>
      <c r="N302" s="139" t="s">
        <v>3086</v>
      </c>
      <c r="O302" s="139">
        <v>607</v>
      </c>
      <c r="P302" s="139">
        <v>5.9</v>
      </c>
      <c r="Q302" s="139">
        <v>0.5</v>
      </c>
      <c r="R302" s="107" t="str">
        <f>IF(AllData[[#This Row],[Nitrate (PPM)]]&gt;2, "Very high", IF(AllData[[#This Row],[Nitrate (PPM)]]&gt;1, "High", IF(AllData[[#This Row],[Nitrate (PPM)]]&gt;0.5, "Some evidence", IF(AllData[[#This Row],[Nitrate (PPM)]]&gt;=0, "No evidence"))))</f>
        <v>No evidence</v>
      </c>
      <c r="S302" s="139">
        <v>0.21</v>
      </c>
      <c r="T302" s="7" t="str">
        <f>IF(AllData[[#This Row],[Phosphate (PPM)]]&gt;0.5, "Very high", IF(AllData[[#This Row],[Phosphate (PPM)]]&gt;0.1, "High", IF(AllData[[#This Row],[Phosphate (PPM)]]&gt;0.05, "Some evidence", IF(AllData[[#This Row],[Phosphate (PPM)]]&lt;=0.05, "No Evidence", ""))))</f>
        <v>High</v>
      </c>
      <c r="U302" s="139">
        <v>0.45</v>
      </c>
      <c r="V302" s="139" t="s">
        <v>3087</v>
      </c>
    </row>
    <row r="303" spans="1:22" x14ac:dyDescent="0.35">
      <c r="A303" s="139" t="s">
        <v>3096</v>
      </c>
      <c r="B303" s="146">
        <v>45704</v>
      </c>
      <c r="C303" s="2" t="str" cm="1">
        <f t="array" ref="C3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3">
        <v>2024</v>
      </c>
      <c r="E303" s="147">
        <v>0.60763888888888884</v>
      </c>
      <c r="F303" t="str">
        <f>IF(AND(AllData[[#This Row],[Time]]&lt;0.5, AllData[[#This Row],[Time]]&gt;0.17)=TRUE, "Morning", IF(AND(AllData[[#This Row],[Time]]&lt;0.75, AllData[[#This Row],[Time]]&gt;=0.5)=TRUE, "Afternoon", IF(AND(AllData[[#This Row],[Time]]&lt;1, AllData[[#This Row],[Time]]&gt;=0.75)=TRUE, "Evening", "Night")))</f>
        <v>Afternoon</v>
      </c>
      <c r="G303" t="str">
        <f>_xlfn.XLOOKUP(AllData[[#This Row],[Location Name]], Locations[Location Name],Locations[Group As])</f>
        <v>Fell Mill Footbridge</v>
      </c>
      <c r="H303" t="e" vm="1">
        <f>_xlfn.XLOOKUP(AllData[[#This Row],[Site Name]],LocationsKey[Site Name],LocationsKey[District])</f>
        <v>#VALUE!</v>
      </c>
      <c r="I303" t="e" vm="15">
        <f>_xlfn.XLOOKUP(AllData[[#This Row],[Site Name]],LocationsKey[Site Name],LocationsKey[Town])</f>
        <v>#VALUE!</v>
      </c>
      <c r="J303" t="str">
        <f>_xlfn.XLOOKUP(AllData[[#This Row],[Site Name]],LocationsKey[Site Name], LocationsKey[Waterway])</f>
        <v>Stour</v>
      </c>
      <c r="K303" s="139" t="s">
        <v>3097</v>
      </c>
      <c r="L303" s="139">
        <v>52.070086000000003</v>
      </c>
      <c r="M303" s="156">
        <v>-1.61145</v>
      </c>
      <c r="N303" s="139" t="s">
        <v>31</v>
      </c>
      <c r="O303" s="139">
        <v>504</v>
      </c>
      <c r="P303" s="139">
        <v>6.8</v>
      </c>
      <c r="Q303" s="139">
        <v>0</v>
      </c>
      <c r="R303" s="107" t="str">
        <f>IF(AllData[[#This Row],[Nitrate (PPM)]]&gt;2, "Very high", IF(AllData[[#This Row],[Nitrate (PPM)]]&gt;1, "High", IF(AllData[[#This Row],[Nitrate (PPM)]]&gt;0.5, "Some evidence", IF(AllData[[#This Row],[Nitrate (PPM)]]&gt;=0, "No evidence"))))</f>
        <v>No evidence</v>
      </c>
      <c r="S303" s="139">
        <v>0.69</v>
      </c>
      <c r="T303" s="7" t="str">
        <f>IF(AllData[[#This Row],[Phosphate (PPM)]]&gt;0.5, "Very high", IF(AllData[[#This Row],[Phosphate (PPM)]]&gt;0.1, "High", IF(AllData[[#This Row],[Phosphate (PPM)]]&gt;0.05, "Some evidence", IF(AllData[[#This Row],[Phosphate (PPM)]]&lt;=0.05, "No Evidence", ""))))</f>
        <v>Very high</v>
      </c>
      <c r="U303" s="139">
        <v>2.2999999999999998</v>
      </c>
      <c r="V303" s="139"/>
    </row>
    <row r="304" spans="1:22" x14ac:dyDescent="0.35">
      <c r="A304" s="139" t="s">
        <v>3079</v>
      </c>
      <c r="B304" s="146">
        <v>45703</v>
      </c>
      <c r="C304" s="2" t="str" cm="1">
        <f t="array" ref="C3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4">
        <v>2024</v>
      </c>
      <c r="E304" s="147">
        <v>0.42638888888888887</v>
      </c>
      <c r="F304" t="str">
        <f>IF(AND(AllData[[#This Row],[Time]]&lt;0.5, AllData[[#This Row],[Time]]&gt;0.17)=TRUE, "Morning", IF(AND(AllData[[#This Row],[Time]]&lt;0.75, AllData[[#This Row],[Time]]&gt;=0.5)=TRUE, "Afternoon", IF(AND(AllData[[#This Row],[Time]]&lt;1, AllData[[#This Row],[Time]]&gt;=0.75)=TRUE, "Evening", "Night")))</f>
        <v>Morning</v>
      </c>
      <c r="G304" t="str">
        <f>_xlfn.XLOOKUP(AllData[[#This Row],[Location Name]], Locations[Location Name],Locations[Group As])</f>
        <v>Avon Smiths Meadow Wyre Piddle</v>
      </c>
      <c r="H304" t="e" vm="6">
        <f>_xlfn.XLOOKUP(AllData[[#This Row],[Site Name]],LocationsKey[Site Name],LocationsKey[District])</f>
        <v>#VALUE!</v>
      </c>
      <c r="I304" t="e" vm="13">
        <f>_xlfn.XLOOKUP(AllData[[#This Row],[Site Name]],LocationsKey[Site Name],LocationsKey[Town])</f>
        <v>#VALUE!</v>
      </c>
      <c r="J304" t="str">
        <f>_xlfn.XLOOKUP(AllData[[#This Row],[Site Name]],LocationsKey[Site Name], LocationsKey[Waterway])</f>
        <v>Avon</v>
      </c>
      <c r="K304" s="139" t="s">
        <v>784</v>
      </c>
      <c r="L304" s="139">
        <v>52.122880000000002</v>
      </c>
      <c r="M304" s="156">
        <v>-2.0574340000000002</v>
      </c>
      <c r="N304" s="139" t="s">
        <v>34</v>
      </c>
      <c r="O304" s="139">
        <v>847</v>
      </c>
      <c r="P304" s="139">
        <v>6.5</v>
      </c>
      <c r="Q304" s="139">
        <v>10</v>
      </c>
      <c r="R304" s="107" t="str">
        <f>IF(AllData[[#This Row],[Nitrate (PPM)]]&gt;2, "Very high", IF(AllData[[#This Row],[Nitrate (PPM)]]&gt;1, "High", IF(AllData[[#This Row],[Nitrate (PPM)]]&gt;0.5, "Some evidence", IF(AllData[[#This Row],[Nitrate (PPM)]]&gt;=0, "No evidence"))))</f>
        <v>Very high</v>
      </c>
      <c r="S304" s="139">
        <v>0.44</v>
      </c>
      <c r="T304" s="7" t="str">
        <f>IF(AllData[[#This Row],[Phosphate (PPM)]]&gt;0.5, "Very high", IF(AllData[[#This Row],[Phosphate (PPM)]]&gt;0.1, "High", IF(AllData[[#This Row],[Phosphate (PPM)]]&gt;0.05, "Some evidence", IF(AllData[[#This Row],[Phosphate (PPM)]]&lt;=0.05, "No Evidence", ""))))</f>
        <v>High</v>
      </c>
      <c r="U304" s="139">
        <v>0.74</v>
      </c>
      <c r="V304" s="139" t="s">
        <v>3080</v>
      </c>
    </row>
    <row r="305" spans="1:22" x14ac:dyDescent="0.35">
      <c r="A305" s="139" t="s">
        <v>3081</v>
      </c>
      <c r="B305" s="146">
        <v>45703</v>
      </c>
      <c r="C305" s="2" t="str" cm="1">
        <f t="array" ref="C3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5">
        <v>2024</v>
      </c>
      <c r="E305" s="147">
        <v>0.45069444444444445</v>
      </c>
      <c r="F305" t="str">
        <f>IF(AND(AllData[[#This Row],[Time]]&lt;0.5, AllData[[#This Row],[Time]]&gt;0.17)=TRUE, "Morning", IF(AND(AllData[[#This Row],[Time]]&lt;0.75, AllData[[#This Row],[Time]]&gt;=0.5)=TRUE, "Afternoon", IF(AND(AllData[[#This Row],[Time]]&lt;1, AllData[[#This Row],[Time]]&gt;=0.75)=TRUE, "Evening", "Night")))</f>
        <v>Morning</v>
      </c>
      <c r="G305" t="str">
        <f>_xlfn.XLOOKUP(AllData[[#This Row],[Location Name]], Locations[Location Name],Locations[Group As])</f>
        <v>Piddle Brook Wyre Piddle Bridge</v>
      </c>
      <c r="H305" t="e" vm="6">
        <f>_xlfn.XLOOKUP(AllData[[#This Row],[Site Name]],LocationsKey[Site Name],LocationsKey[District])</f>
        <v>#VALUE!</v>
      </c>
      <c r="I305" t="e" vm="13">
        <f>_xlfn.XLOOKUP(AllData[[#This Row],[Site Name]],LocationsKey[Site Name],LocationsKey[Town])</f>
        <v>#VALUE!</v>
      </c>
      <c r="J305" t="str">
        <f>_xlfn.XLOOKUP(AllData[[#This Row],[Site Name]],LocationsKey[Site Name], LocationsKey[Waterway])</f>
        <v>Piddle Brook</v>
      </c>
      <c r="K305" s="139" t="s">
        <v>787</v>
      </c>
      <c r="L305" s="139">
        <v>52.126435999999998</v>
      </c>
      <c r="M305" s="156">
        <v>-2.0564719999999999</v>
      </c>
      <c r="N305" s="139" t="s">
        <v>34</v>
      </c>
      <c r="O305" s="139">
        <v>1140</v>
      </c>
      <c r="P305" s="139">
        <v>5.9</v>
      </c>
      <c r="Q305" s="139">
        <v>5</v>
      </c>
      <c r="R305" s="107" t="str">
        <f>IF(AllData[[#This Row],[Nitrate (PPM)]]&gt;2, "Very high", IF(AllData[[#This Row],[Nitrate (PPM)]]&gt;1, "High", IF(AllData[[#This Row],[Nitrate (PPM)]]&gt;0.5, "Some evidence", IF(AllData[[#This Row],[Nitrate (PPM)]]&gt;=0, "No evidence"))))</f>
        <v>Very high</v>
      </c>
      <c r="S305" s="139">
        <v>0.49</v>
      </c>
      <c r="T305" s="7" t="str">
        <f>IF(AllData[[#This Row],[Phosphate (PPM)]]&gt;0.5, "Very high", IF(AllData[[#This Row],[Phosphate (PPM)]]&gt;0.1, "High", IF(AllData[[#This Row],[Phosphate (PPM)]]&gt;0.05, "Some evidence", IF(AllData[[#This Row],[Phosphate (PPM)]]&lt;=0.05, "No Evidence", ""))))</f>
        <v>High</v>
      </c>
      <c r="U305" s="139">
        <v>0.28000000000000003</v>
      </c>
      <c r="V305" s="139" t="s">
        <v>3082</v>
      </c>
    </row>
    <row r="306" spans="1:22" x14ac:dyDescent="0.35">
      <c r="A306" s="139" t="s">
        <v>3084</v>
      </c>
      <c r="B306" s="146">
        <v>45703</v>
      </c>
      <c r="C306" s="2" t="str" cm="1">
        <f t="array" ref="C3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6">
        <v>2024</v>
      </c>
      <c r="E306" s="147">
        <v>0.64097222222222228</v>
      </c>
      <c r="F306" t="str">
        <f>IF(AND(AllData[[#This Row],[Time]]&lt;0.5, AllData[[#This Row],[Time]]&gt;0.17)=TRUE, "Morning", IF(AND(AllData[[#This Row],[Time]]&lt;0.75, AllData[[#This Row],[Time]]&gt;=0.5)=TRUE, "Afternoon", IF(AND(AllData[[#This Row],[Time]]&lt;1, AllData[[#This Row],[Time]]&gt;=0.75)=TRUE, "Evening", "Night")))</f>
        <v>Afternoon</v>
      </c>
      <c r="G306" t="str">
        <f>_xlfn.XLOOKUP(AllData[[#This Row],[Location Name]], Locations[Location Name],Locations[Group As])</f>
        <v>Black Bear</v>
      </c>
      <c r="H306" t="e" vm="4">
        <f>_xlfn.XLOOKUP(AllData[[#This Row],[Site Name]],LocationsKey[Site Name],LocationsKey[District])</f>
        <v>#VALUE!</v>
      </c>
      <c r="I306" t="e" vm="4">
        <f>_xlfn.XLOOKUP(AllData[[#This Row],[Site Name]],LocationsKey[Site Name],LocationsKey[Town])</f>
        <v>#VALUE!</v>
      </c>
      <c r="J306" t="str">
        <f>_xlfn.XLOOKUP(AllData[[#This Row],[Site Name]],LocationsKey[Site Name], LocationsKey[Waterway])</f>
        <v>Avon</v>
      </c>
      <c r="K306" s="139" t="s">
        <v>1175</v>
      </c>
      <c r="L306" s="139">
        <v>51.997573000000003</v>
      </c>
      <c r="M306" s="156">
        <v>-2.1560589999999999</v>
      </c>
      <c r="N306" s="139" t="s">
        <v>34</v>
      </c>
      <c r="O306" s="139">
        <v>876</v>
      </c>
      <c r="P306" s="139">
        <v>6.7</v>
      </c>
      <c r="Q306" s="139">
        <v>5</v>
      </c>
      <c r="R306" s="107" t="str">
        <f>IF(AllData[[#This Row],[Nitrate (PPM)]]&gt;2, "Very high", IF(AllData[[#This Row],[Nitrate (PPM)]]&gt;1, "High", IF(AllData[[#This Row],[Nitrate (PPM)]]&gt;0.5, "Some evidence", IF(AllData[[#This Row],[Nitrate (PPM)]]&gt;=0, "No evidence"))))</f>
        <v>Very high</v>
      </c>
      <c r="S306" s="139">
        <v>0.45</v>
      </c>
      <c r="T306" s="7" t="str">
        <f>IF(AllData[[#This Row],[Phosphate (PPM)]]&gt;0.5, "Very high", IF(AllData[[#This Row],[Phosphate (PPM)]]&gt;0.1, "High", IF(AllData[[#This Row],[Phosphate (PPM)]]&gt;0.05, "Some evidence", IF(AllData[[#This Row],[Phosphate (PPM)]]&lt;=0.05, "No Evidence", ""))))</f>
        <v>High</v>
      </c>
      <c r="U306" s="139">
        <v>0</v>
      </c>
      <c r="V306" s="139"/>
    </row>
    <row r="307" spans="1:22" x14ac:dyDescent="0.35">
      <c r="A307" s="139" t="s">
        <v>3083</v>
      </c>
      <c r="B307" s="146">
        <v>45703</v>
      </c>
      <c r="C307" s="2" t="str" cm="1">
        <f t="array" ref="C3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7">
        <v>2024</v>
      </c>
      <c r="E307" s="147">
        <v>0.58333333333333337</v>
      </c>
      <c r="F307" t="str">
        <f>IF(AND(AllData[[#This Row],[Time]]&lt;0.5, AllData[[#This Row],[Time]]&gt;0.17)=TRUE, "Morning", IF(AND(AllData[[#This Row],[Time]]&lt;0.75, AllData[[#This Row],[Time]]&gt;=0.5)=TRUE, "Afternoon", IF(AND(AllData[[#This Row],[Time]]&lt;1, AllData[[#This Row],[Time]]&gt;=0.75)=TRUE, "Evening", "Night")))</f>
        <v>Afternoon</v>
      </c>
      <c r="G307" t="str">
        <f>_xlfn.XLOOKUP(AllData[[#This Row],[Location Name]], Locations[Location Name],Locations[Group As])</f>
        <v>Carrant Bredon Rd</v>
      </c>
      <c r="H307" t="e" vm="4">
        <f>_xlfn.XLOOKUP(AllData[[#This Row],[Site Name]],LocationsKey[Site Name],LocationsKey[District])</f>
        <v>#VALUE!</v>
      </c>
      <c r="I307" t="e" vm="4">
        <f>_xlfn.XLOOKUP(AllData[[#This Row],[Site Name]],LocationsKey[Site Name],LocationsKey[Town])</f>
        <v>#VALUE!</v>
      </c>
      <c r="J307" t="str">
        <f>_xlfn.XLOOKUP(AllData[[#This Row],[Site Name]],LocationsKey[Site Name], LocationsKey[Waterway])</f>
        <v>Carrant</v>
      </c>
      <c r="K307" s="139" t="s">
        <v>603</v>
      </c>
      <c r="L307" s="139">
        <v>51.996113999999999</v>
      </c>
      <c r="M307" s="156">
        <v>-2.1558459999999999</v>
      </c>
      <c r="N307" s="139" t="s">
        <v>25</v>
      </c>
      <c r="O307" s="139">
        <v>826</v>
      </c>
      <c r="P307" s="139">
        <v>7.8</v>
      </c>
      <c r="Q307" s="139">
        <v>4</v>
      </c>
      <c r="R307" s="107" t="str">
        <f>IF(AllData[[#This Row],[Nitrate (PPM)]]&gt;2, "Very high", IF(AllData[[#This Row],[Nitrate (PPM)]]&gt;1, "High", IF(AllData[[#This Row],[Nitrate (PPM)]]&gt;0.5, "Some evidence", IF(AllData[[#This Row],[Nitrate (PPM)]]&gt;=0, "No evidence"))))</f>
        <v>Very high</v>
      </c>
      <c r="S307" s="139">
        <v>0.37</v>
      </c>
      <c r="T307" s="7" t="str">
        <f>IF(AllData[[#This Row],[Phosphate (PPM)]]&gt;0.5, "Very high", IF(AllData[[#This Row],[Phosphate (PPM)]]&gt;0.1, "High", IF(AllData[[#This Row],[Phosphate (PPM)]]&gt;0.05, "Some evidence", IF(AllData[[#This Row],[Phosphate (PPM)]]&lt;=0.05, "No Evidence", ""))))</f>
        <v>High</v>
      </c>
      <c r="U307" s="139">
        <v>0.2</v>
      </c>
      <c r="V307" s="139"/>
    </row>
    <row r="308" spans="1:22" x14ac:dyDescent="0.35">
      <c r="A308" s="139" t="s">
        <v>3078</v>
      </c>
      <c r="B308" s="146">
        <v>45703</v>
      </c>
      <c r="C308" s="2" t="str" cm="1">
        <f t="array" ref="C3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8">
        <v>2024</v>
      </c>
      <c r="E308" s="147">
        <v>0.4236111111111111</v>
      </c>
      <c r="F308" t="str">
        <f>IF(AND(AllData[[#This Row],[Time]]&lt;0.5, AllData[[#This Row],[Time]]&gt;0.17)=TRUE, "Morning", IF(AND(AllData[[#This Row],[Time]]&lt;0.75, AllData[[#This Row],[Time]]&gt;=0.5)=TRUE, "Afternoon", IF(AND(AllData[[#This Row],[Time]]&lt;1, AllData[[#This Row],[Time]]&gt;=0.75)=TRUE, "Evening", "Night")))</f>
        <v>Morning</v>
      </c>
      <c r="G308" t="str">
        <f>_xlfn.XLOOKUP(AllData[[#This Row],[Location Name]], Locations[Location Name],Locations[Group As])</f>
        <v>Dock Lane Bredon</v>
      </c>
      <c r="H308" t="e" vm="6">
        <f>_xlfn.XLOOKUP(AllData[[#This Row],[Site Name]],LocationsKey[Site Name],LocationsKey[District])</f>
        <v>#VALUE!</v>
      </c>
      <c r="I308" t="e" vm="11">
        <f>_xlfn.XLOOKUP(AllData[[#This Row],[Site Name]],LocationsKey[Site Name],LocationsKey[Town])</f>
        <v>#VALUE!</v>
      </c>
      <c r="J308" t="str">
        <f>_xlfn.XLOOKUP(AllData[[#This Row],[Site Name]],LocationsKey[Site Name], LocationsKey[Waterway])</f>
        <v>Avon</v>
      </c>
      <c r="K308" s="139" t="s">
        <v>2374</v>
      </c>
      <c r="L308" s="139"/>
      <c r="M308" s="156"/>
      <c r="N308" s="139" t="s">
        <v>31</v>
      </c>
      <c r="O308" s="139">
        <v>8220</v>
      </c>
      <c r="P308" s="139">
        <v>7.5</v>
      </c>
      <c r="Q308" s="139">
        <v>3</v>
      </c>
      <c r="R308" s="107" t="str">
        <f>IF(AllData[[#This Row],[Nitrate (PPM)]]&gt;2, "Very high", IF(AllData[[#This Row],[Nitrate (PPM)]]&gt;1, "High", IF(AllData[[#This Row],[Nitrate (PPM)]]&gt;0.5, "Some evidence", IF(AllData[[#This Row],[Nitrate (PPM)]]&gt;=0, "No evidence"))))</f>
        <v>Very high</v>
      </c>
      <c r="S308" s="139">
        <v>7.0000000000000007E-2</v>
      </c>
      <c r="T308" s="7" t="str">
        <f>IF(AllData[[#This Row],[Phosphate (PPM)]]&gt;0.5, "Very high", IF(AllData[[#This Row],[Phosphate (PPM)]]&gt;0.1, "High", IF(AllData[[#This Row],[Phosphate (PPM)]]&gt;0.05, "Some evidence", IF(AllData[[#This Row],[Phosphate (PPM)]]&lt;=0.05, "No Evidence", ""))))</f>
        <v>Some evidence</v>
      </c>
      <c r="U308" s="139">
        <v>0</v>
      </c>
      <c r="V308" s="139"/>
    </row>
    <row r="309" spans="1:22" x14ac:dyDescent="0.35">
      <c r="A309" s="139" t="s">
        <v>3074</v>
      </c>
      <c r="B309" s="146">
        <v>45702</v>
      </c>
      <c r="C309" s="2" t="str" cm="1">
        <f t="array" ref="C3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09">
        <v>2024</v>
      </c>
      <c r="E309" s="147">
        <v>0.47222222222222221</v>
      </c>
      <c r="F309" t="str">
        <f>IF(AND(AllData[[#This Row],[Time]]&lt;0.5, AllData[[#This Row],[Time]]&gt;0.17)=TRUE, "Morning", IF(AND(AllData[[#This Row],[Time]]&lt;0.75, AllData[[#This Row],[Time]]&gt;=0.5)=TRUE, "Afternoon", IF(AND(AllData[[#This Row],[Time]]&lt;1, AllData[[#This Row],[Time]]&gt;=0.75)=TRUE, "Evening", "Night")))</f>
        <v>Morning</v>
      </c>
      <c r="G309" t="str">
        <f>_xlfn.XLOOKUP(AllData[[#This Row],[Location Name]], Locations[Location Name],Locations[Group As])</f>
        <v>Site 3  :  Severn Trent Water processing plant outflow</v>
      </c>
      <c r="H309" t="e" vm="1">
        <f>_xlfn.XLOOKUP(AllData[[#This Row],[Site Name]],LocationsKey[Site Name],LocationsKey[District])</f>
        <v>#VALUE!</v>
      </c>
      <c r="I309" t="e" vm="14">
        <f>_xlfn.XLOOKUP(AllData[[#This Row],[Site Name]],LocationsKey[Site Name],LocationsKey[Town])</f>
        <v>#VALUE!</v>
      </c>
      <c r="J309" t="str">
        <f>_xlfn.XLOOKUP(AllData[[#This Row],[Site Name]],LocationsKey[Site Name], LocationsKey[Waterway])</f>
        <v>Fosseway Brook</v>
      </c>
      <c r="K309" s="139" t="s">
        <v>1826</v>
      </c>
      <c r="L309" s="139">
        <v>52.094420999999997</v>
      </c>
      <c r="M309" s="156">
        <v>-1.6759360000000001</v>
      </c>
      <c r="N309" s="139" t="s">
        <v>31</v>
      </c>
      <c r="O309" s="139">
        <v>822</v>
      </c>
      <c r="P309" s="139">
        <v>6.2</v>
      </c>
      <c r="Q309" s="139">
        <v>10</v>
      </c>
      <c r="R309" s="107" t="str">
        <f>IF(AllData[[#This Row],[Nitrate (PPM)]]&gt;2, "Very high", IF(AllData[[#This Row],[Nitrate (PPM)]]&gt;1, "High", IF(AllData[[#This Row],[Nitrate (PPM)]]&gt;0.5, "Some evidence", IF(AllData[[#This Row],[Nitrate (PPM)]]&gt;=0, "No evidence"))))</f>
        <v>Very high</v>
      </c>
      <c r="S309" s="139">
        <v>3.7</v>
      </c>
      <c r="T309" s="7" t="str">
        <f>IF(AllData[[#This Row],[Phosphate (PPM)]]&gt;0.5, "Very high", IF(AllData[[#This Row],[Phosphate (PPM)]]&gt;0.1, "High", IF(AllData[[#This Row],[Phosphate (PPM)]]&gt;0.05, "Some evidence", IF(AllData[[#This Row],[Phosphate (PPM)]]&lt;=0.05, "No Evidence", ""))))</f>
        <v>Very high</v>
      </c>
      <c r="U309" s="139">
        <v>0.2</v>
      </c>
      <c r="V309" s="139" t="s">
        <v>3075</v>
      </c>
    </row>
    <row r="310" spans="1:22" x14ac:dyDescent="0.35">
      <c r="A310" s="139" t="s">
        <v>3071</v>
      </c>
      <c r="B310" s="146">
        <v>45702</v>
      </c>
      <c r="C310" s="2" t="str" cm="1">
        <f t="array" ref="C3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0">
        <v>2024</v>
      </c>
      <c r="E310" s="147">
        <v>0.46041666666666664</v>
      </c>
      <c r="F310" t="str">
        <f>IF(AND(AllData[[#This Row],[Time]]&lt;0.5, AllData[[#This Row],[Time]]&gt;0.17)=TRUE, "Morning", IF(AND(AllData[[#This Row],[Time]]&lt;0.75, AllData[[#This Row],[Time]]&gt;=0.5)=TRUE, "Afternoon", IF(AND(AllData[[#This Row],[Time]]&lt;1, AllData[[#This Row],[Time]]&gt;=0.75)=TRUE, "Evening", "Night")))</f>
        <v>Morning</v>
      </c>
      <c r="G310" t="str">
        <f>_xlfn.XLOOKUP(AllData[[#This Row],[Location Name]], Locations[Location Name],Locations[Group As])</f>
        <v>Site 4 : Heath Gate Ilmington</v>
      </c>
      <c r="H310" t="e" vm="1">
        <f>_xlfn.XLOOKUP(AllData[[#This Row],[Site Name]],LocationsKey[Site Name],LocationsKey[District])</f>
        <v>#VALUE!</v>
      </c>
      <c r="I310" t="e" vm="14">
        <f>_xlfn.XLOOKUP(AllData[[#This Row],[Site Name]],LocationsKey[Site Name],LocationsKey[Town])</f>
        <v>#VALUE!</v>
      </c>
      <c r="J310" t="str">
        <f>_xlfn.XLOOKUP(AllData[[#This Row],[Site Name]],LocationsKey[Site Name], LocationsKey[Waterway])</f>
        <v>Fosseway Brook</v>
      </c>
      <c r="K310" s="139" t="s">
        <v>3072</v>
      </c>
      <c r="L310" s="139">
        <v>52.094765000000002</v>
      </c>
      <c r="M310" s="156">
        <v>-1.6739900000000001</v>
      </c>
      <c r="N310" s="139" t="s">
        <v>31</v>
      </c>
      <c r="O310" s="139">
        <v>750</v>
      </c>
      <c r="P310" s="139">
        <v>6.9</v>
      </c>
      <c r="Q310" s="139">
        <v>10</v>
      </c>
      <c r="R310" s="107" t="str">
        <f>IF(AllData[[#This Row],[Nitrate (PPM)]]&gt;2, "Very high", IF(AllData[[#This Row],[Nitrate (PPM)]]&gt;1, "High", IF(AllData[[#This Row],[Nitrate (PPM)]]&gt;0.5, "Some evidence", IF(AllData[[#This Row],[Nitrate (PPM)]]&gt;=0, "No evidence"))))</f>
        <v>Very high</v>
      </c>
      <c r="S310" s="139">
        <v>2.2999999999999998</v>
      </c>
      <c r="T310" s="7" t="str">
        <f>IF(AllData[[#This Row],[Phosphate (PPM)]]&gt;0.5, "Very high", IF(AllData[[#This Row],[Phosphate (PPM)]]&gt;0.1, "High", IF(AllData[[#This Row],[Phosphate (PPM)]]&gt;0.05, "Some evidence", IF(AllData[[#This Row],[Phosphate (PPM)]]&lt;=0.05, "No Evidence", ""))))</f>
        <v>Very high</v>
      </c>
      <c r="U310" s="139">
        <v>0.3</v>
      </c>
      <c r="V310" s="139" t="s">
        <v>3073</v>
      </c>
    </row>
    <row r="311" spans="1:22" x14ac:dyDescent="0.35">
      <c r="A311" s="139" t="s">
        <v>3076</v>
      </c>
      <c r="B311" s="146">
        <v>45702</v>
      </c>
      <c r="C311" s="2" t="str" cm="1">
        <f t="array" ref="C3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1">
        <v>2024</v>
      </c>
      <c r="E311" s="147">
        <v>0.64236111111111116</v>
      </c>
      <c r="F311" t="str">
        <f>IF(AND(AllData[[#This Row],[Time]]&lt;0.5, AllData[[#This Row],[Time]]&gt;0.17)=TRUE, "Morning", IF(AND(AllData[[#This Row],[Time]]&lt;0.75, AllData[[#This Row],[Time]]&gt;=0.5)=TRUE, "Afternoon", IF(AND(AllData[[#This Row],[Time]]&lt;1, AllData[[#This Row],[Time]]&gt;=0.75)=TRUE, "Evening", "Night")))</f>
        <v>Afternoon</v>
      </c>
      <c r="G311" t="str">
        <f>_xlfn.XLOOKUP(AllData[[#This Row],[Location Name]], Locations[Location Name],Locations[Group As])</f>
        <v>Preston Bagot Brook</v>
      </c>
      <c r="H311" t="e" vm="1">
        <f>_xlfn.XLOOKUP(AllData[[#This Row],[Site Name]],LocationsKey[Site Name],LocationsKey[District])</f>
        <v>#VALUE!</v>
      </c>
      <c r="I311" t="e" vm="21">
        <f>_xlfn.XLOOKUP(AllData[[#This Row],[Site Name]],LocationsKey[Site Name],LocationsKey[Town])</f>
        <v>#VALUE!</v>
      </c>
      <c r="J311" t="str">
        <f>_xlfn.XLOOKUP(AllData[[#This Row],[Site Name]],LocationsKey[Site Name], LocationsKey[Waterway])</f>
        <v>Preston Bagot Brook</v>
      </c>
      <c r="K311" s="139" t="s">
        <v>621</v>
      </c>
      <c r="L311" s="139">
        <v>52.286000000000001</v>
      </c>
      <c r="M311" s="156">
        <v>-1.7470000000000001</v>
      </c>
      <c r="N311" s="139" t="s">
        <v>3025</v>
      </c>
      <c r="O311" s="139">
        <v>790</v>
      </c>
      <c r="P311" s="139">
        <v>6.9</v>
      </c>
      <c r="Q311" s="139">
        <v>3</v>
      </c>
      <c r="R311" s="107" t="str">
        <f>IF(AllData[[#This Row],[Nitrate (PPM)]]&gt;2, "Very high", IF(AllData[[#This Row],[Nitrate (PPM)]]&gt;1, "High", IF(AllData[[#This Row],[Nitrate (PPM)]]&gt;0.5, "Some evidence", IF(AllData[[#This Row],[Nitrate (PPM)]]&gt;=0, "No evidence"))))</f>
        <v>Very high</v>
      </c>
      <c r="S311" s="139">
        <v>0.47</v>
      </c>
      <c r="T311" s="7" t="str">
        <f>IF(AllData[[#This Row],[Phosphate (PPM)]]&gt;0.5, "Very high", IF(AllData[[#This Row],[Phosphate (PPM)]]&gt;0.1, "High", IF(AllData[[#This Row],[Phosphate (PPM)]]&gt;0.05, "Some evidence", IF(AllData[[#This Row],[Phosphate (PPM)]]&lt;=0.05, "No Evidence", ""))))</f>
        <v>High</v>
      </c>
      <c r="U311" s="139">
        <v>0</v>
      </c>
      <c r="V311" s="139"/>
    </row>
    <row r="312" spans="1:22" x14ac:dyDescent="0.35">
      <c r="A312" s="139" t="s">
        <v>3070</v>
      </c>
      <c r="B312" s="146">
        <v>45702</v>
      </c>
      <c r="C312" s="2" t="str" cm="1">
        <f t="array" ref="C3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2">
        <v>2024</v>
      </c>
      <c r="E312" s="147">
        <v>0.45208333333333334</v>
      </c>
      <c r="F312" t="str">
        <f>IF(AND(AllData[[#This Row],[Time]]&lt;0.5, AllData[[#This Row],[Time]]&gt;0.17)=TRUE, "Morning", IF(AND(AllData[[#This Row],[Time]]&lt;0.75, AllData[[#This Row],[Time]]&gt;=0.5)=TRUE, "Afternoon", IF(AND(AllData[[#This Row],[Time]]&lt;1, AllData[[#This Row],[Time]]&gt;=0.75)=TRUE, "Evening", "Night")))</f>
        <v>Morning</v>
      </c>
      <c r="G312" t="str">
        <f>_xlfn.XLOOKUP(AllData[[#This Row],[Location Name]], Locations[Location Name],Locations[Group As])</f>
        <v>Site 1  :  Middle Street</v>
      </c>
      <c r="H312" t="e" vm="1">
        <f>_xlfn.XLOOKUP(AllData[[#This Row],[Site Name]],LocationsKey[Site Name],LocationsKey[District])</f>
        <v>#VALUE!</v>
      </c>
      <c r="I312" t="e" vm="14">
        <f>_xlfn.XLOOKUP(AllData[[#This Row],[Site Name]],LocationsKey[Site Name],LocationsKey[Town])</f>
        <v>#VALUE!</v>
      </c>
      <c r="J312" t="str">
        <f>_xlfn.XLOOKUP(AllData[[#This Row],[Site Name]],LocationsKey[Site Name], LocationsKey[Waterway])</f>
        <v>Fosseway Brook</v>
      </c>
      <c r="K312" s="139" t="s">
        <v>678</v>
      </c>
      <c r="L312" s="139">
        <v>52.090052999999997</v>
      </c>
      <c r="M312" s="156">
        <v>-1.692626</v>
      </c>
      <c r="N312" s="139" t="s">
        <v>68</v>
      </c>
      <c r="O312" s="139">
        <v>610</v>
      </c>
      <c r="P312" s="139">
        <v>5.6</v>
      </c>
      <c r="Q312" s="139">
        <v>2</v>
      </c>
      <c r="R312" s="107" t="str">
        <f>IF(AllData[[#This Row],[Nitrate (PPM)]]&gt;2, "Very high", IF(AllData[[#This Row],[Nitrate (PPM)]]&gt;1, "High", IF(AllData[[#This Row],[Nitrate (PPM)]]&gt;0.5, "Some evidence", IF(AllData[[#This Row],[Nitrate (PPM)]]&gt;=0, "No evidence"))))</f>
        <v>High</v>
      </c>
      <c r="S312" s="139">
        <v>0.11</v>
      </c>
      <c r="T312" s="7" t="str">
        <f>IF(AllData[[#This Row],[Phosphate (PPM)]]&gt;0.5, "Very high", IF(AllData[[#This Row],[Phosphate (PPM)]]&gt;0.1, "High", IF(AllData[[#This Row],[Phosphate (PPM)]]&gt;0.05, "Some evidence", IF(AllData[[#This Row],[Phosphate (PPM)]]&lt;=0.05, "No Evidence", ""))))</f>
        <v>High</v>
      </c>
      <c r="U312" s="139">
        <v>0.05</v>
      </c>
      <c r="V312" s="139"/>
    </row>
    <row r="313" spans="1:22" x14ac:dyDescent="0.35">
      <c r="A313" s="139" t="s">
        <v>3077</v>
      </c>
      <c r="B313" s="146">
        <v>45702</v>
      </c>
      <c r="C313" s="2" t="str" cm="1">
        <f t="array" ref="C3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3">
        <v>2024</v>
      </c>
      <c r="E313" s="147">
        <v>0.64236111111111116</v>
      </c>
      <c r="F313" t="str">
        <f>IF(AND(AllData[[#This Row],[Time]]&lt;0.5, AllData[[#This Row],[Time]]&gt;0.17)=TRUE, "Morning", IF(AND(AllData[[#This Row],[Time]]&lt;0.75, AllData[[#This Row],[Time]]&gt;=0.5)=TRUE, "Afternoon", IF(AND(AllData[[#This Row],[Time]]&lt;1, AllData[[#This Row],[Time]]&gt;=0.75)=TRUE, "Evening", "Night")))</f>
        <v>Afternoon</v>
      </c>
      <c r="G313" t="str">
        <f>_xlfn.XLOOKUP(AllData[[#This Row],[Location Name]], Locations[Location Name],Locations[Group As])</f>
        <v>Preston Bagot Canal</v>
      </c>
      <c r="H313" t="e" vm="1">
        <f>_xlfn.XLOOKUP(AllData[[#This Row],[Site Name]],LocationsKey[Site Name],LocationsKey[District])</f>
        <v>#VALUE!</v>
      </c>
      <c r="I313" t="e" vm="21">
        <f>_xlfn.XLOOKUP(AllData[[#This Row],[Site Name]],LocationsKey[Site Name],LocationsKey[Town])</f>
        <v>#VALUE!</v>
      </c>
      <c r="J313" t="str">
        <f>_xlfn.XLOOKUP(AllData[[#This Row],[Site Name]],LocationsKey[Site Name], LocationsKey[Waterway])</f>
        <v>Preston Bagot Canal</v>
      </c>
      <c r="K313" s="139" t="s">
        <v>618</v>
      </c>
      <c r="L313" s="139">
        <v>52.286999999999999</v>
      </c>
      <c r="M313" s="156">
        <v>-1.746</v>
      </c>
      <c r="N313" s="139" t="s">
        <v>3025</v>
      </c>
      <c r="O313" s="139">
        <v>420</v>
      </c>
      <c r="P313" s="139">
        <v>6.6</v>
      </c>
      <c r="Q313" s="139">
        <v>2</v>
      </c>
      <c r="R313" s="107" t="str">
        <f>IF(AllData[[#This Row],[Nitrate (PPM)]]&gt;2, "Very high", IF(AllData[[#This Row],[Nitrate (PPM)]]&gt;1, "High", IF(AllData[[#This Row],[Nitrate (PPM)]]&gt;0.5, "Some evidence", IF(AllData[[#This Row],[Nitrate (PPM)]]&gt;=0, "No evidence"))))</f>
        <v>High</v>
      </c>
      <c r="S313" s="139">
        <v>0.17</v>
      </c>
      <c r="T313" s="7" t="str">
        <f>IF(AllData[[#This Row],[Phosphate (PPM)]]&gt;0.5, "Very high", IF(AllData[[#This Row],[Phosphate (PPM)]]&gt;0.1, "High", IF(AllData[[#This Row],[Phosphate (PPM)]]&gt;0.05, "Some evidence", IF(AllData[[#This Row],[Phosphate (PPM)]]&lt;=0.05, "No Evidence", ""))))</f>
        <v>High</v>
      </c>
      <c r="U313" s="139">
        <v>0</v>
      </c>
      <c r="V313" s="139"/>
    </row>
    <row r="314" spans="1:22" x14ac:dyDescent="0.35">
      <c r="A314" s="139" t="s">
        <v>3068</v>
      </c>
      <c r="B314" s="146">
        <v>45701</v>
      </c>
      <c r="C314" s="2" t="str" cm="1">
        <f t="array" ref="C3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4">
        <v>2024</v>
      </c>
      <c r="E314" s="147">
        <v>0.40277777777777779</v>
      </c>
      <c r="F314" t="str">
        <f>IF(AND(AllData[[#This Row],[Time]]&lt;0.5, AllData[[#This Row],[Time]]&gt;0.17)=TRUE, "Morning", IF(AND(AllData[[#This Row],[Time]]&lt;0.75, AllData[[#This Row],[Time]]&gt;=0.5)=TRUE, "Afternoon", IF(AND(AllData[[#This Row],[Time]]&lt;1, AllData[[#This Row],[Time]]&gt;=0.75)=TRUE, "Evening", "Night")))</f>
        <v>Morning</v>
      </c>
      <c r="G314" t="str">
        <f>_xlfn.XLOOKUP(AllData[[#This Row],[Location Name]], Locations[Location Name],Locations[Group As])</f>
        <v>Carters Lane</v>
      </c>
      <c r="H314" t="e" vm="1">
        <f>_xlfn.XLOOKUP(AllData[[#This Row],[Site Name]],LocationsKey[Site Name],LocationsKey[District])</f>
        <v>#VALUE!</v>
      </c>
      <c r="I314" t="e" vm="3">
        <f>_xlfn.XLOOKUP(AllData[[#This Row],[Site Name]],LocationsKey[Site Name],LocationsKey[Town])</f>
        <v>#VALUE!</v>
      </c>
      <c r="J314" t="str">
        <f>_xlfn.XLOOKUP(AllData[[#This Row],[Site Name]],LocationsKey[Site Name], LocationsKey[Waterway])</f>
        <v>Avon</v>
      </c>
      <c r="K314" s="139" t="s">
        <v>2520</v>
      </c>
      <c r="L314" s="139">
        <v>52.201875000000001</v>
      </c>
      <c r="M314" s="156">
        <v>-1.6729590000000001</v>
      </c>
      <c r="N314" s="139" t="s">
        <v>31</v>
      </c>
      <c r="O314" s="139">
        <v>875</v>
      </c>
      <c r="P314" s="139">
        <v>6.4</v>
      </c>
      <c r="Q314" s="139">
        <v>10</v>
      </c>
      <c r="R314" s="107" t="str">
        <f>IF(AllData[[#This Row],[Nitrate (PPM)]]&gt;2, "Very high", IF(AllData[[#This Row],[Nitrate (PPM)]]&gt;1, "High", IF(AllData[[#This Row],[Nitrate (PPM)]]&gt;0.5, "Some evidence", IF(AllData[[#This Row],[Nitrate (PPM)]]&gt;=0, "No evidence"))))</f>
        <v>Very high</v>
      </c>
      <c r="S314" s="139">
        <v>0.44</v>
      </c>
      <c r="T314" s="7" t="str">
        <f>IF(AllData[[#This Row],[Phosphate (PPM)]]&gt;0.5, "Very high", IF(AllData[[#This Row],[Phosphate (PPM)]]&gt;0.1, "High", IF(AllData[[#This Row],[Phosphate (PPM)]]&gt;0.05, "Some evidence", IF(AllData[[#This Row],[Phosphate (PPM)]]&lt;=0.05, "No Evidence", ""))))</f>
        <v>High</v>
      </c>
      <c r="U314" s="139">
        <v>0.66</v>
      </c>
      <c r="V314" s="139"/>
    </row>
    <row r="315" spans="1:22" x14ac:dyDescent="0.35">
      <c r="A315" s="139" t="s">
        <v>3069</v>
      </c>
      <c r="B315" s="146">
        <v>45701</v>
      </c>
      <c r="C315" s="2" t="str" cm="1">
        <f t="array" ref="C3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5">
        <v>2024</v>
      </c>
      <c r="E315" s="147">
        <v>0.40972222222222221</v>
      </c>
      <c r="F315" t="str">
        <f>IF(AND(AllData[[#This Row],[Time]]&lt;0.5, AllData[[#This Row],[Time]]&gt;0.17)=TRUE, "Morning", IF(AND(AllData[[#This Row],[Time]]&lt;0.75, AllData[[#This Row],[Time]]&gt;=0.5)=TRUE, "Afternoon", IF(AND(AllData[[#This Row],[Time]]&lt;1, AllData[[#This Row],[Time]]&gt;=0.75)=TRUE, "Evening", "Night")))</f>
        <v>Morning</v>
      </c>
      <c r="G315" t="str">
        <f>_xlfn.XLOOKUP(AllData[[#This Row],[Location Name]], Locations[Location Name],Locations[Group As])</f>
        <v>School Lane</v>
      </c>
      <c r="H315" t="e" vm="1">
        <f>_xlfn.XLOOKUP(AllData[[#This Row],[Site Name]],LocationsKey[Site Name],LocationsKey[District])</f>
        <v>#VALUE!</v>
      </c>
      <c r="I315" t="e" vm="3">
        <f>_xlfn.XLOOKUP(AllData[[#This Row],[Site Name]],LocationsKey[Site Name],LocationsKey[Town])</f>
        <v>#VALUE!</v>
      </c>
      <c r="J315" t="str">
        <f>_xlfn.XLOOKUP(AllData[[#This Row],[Site Name]],LocationsKey[Site Name], LocationsKey[Waterway])</f>
        <v>Avon</v>
      </c>
      <c r="K315" s="139" t="s">
        <v>2212</v>
      </c>
      <c r="L315" s="139">
        <v>52.201836</v>
      </c>
      <c r="M315" s="156">
        <v>-1.672952</v>
      </c>
      <c r="N315" s="139" t="s">
        <v>68</v>
      </c>
      <c r="O315" s="139">
        <v>866</v>
      </c>
      <c r="P315" s="139">
        <v>6.5</v>
      </c>
      <c r="Q315" s="139">
        <v>10</v>
      </c>
      <c r="R315" s="107" t="str">
        <f>IF(AllData[[#This Row],[Nitrate (PPM)]]&gt;2, "Very high", IF(AllData[[#This Row],[Nitrate (PPM)]]&gt;1, "High", IF(AllData[[#This Row],[Nitrate (PPM)]]&gt;0.5, "Some evidence", IF(AllData[[#This Row],[Nitrate (PPM)]]&gt;=0, "No evidence"))))</f>
        <v>Very high</v>
      </c>
      <c r="S315" s="139">
        <v>0.59</v>
      </c>
      <c r="T315" s="7" t="str">
        <f>IF(AllData[[#This Row],[Phosphate (PPM)]]&gt;0.5, "Very high", IF(AllData[[#This Row],[Phosphate (PPM)]]&gt;0.1, "High", IF(AllData[[#This Row],[Phosphate (PPM)]]&gt;0.05, "Some evidence", IF(AllData[[#This Row],[Phosphate (PPM)]]&lt;=0.05, "No Evidence", ""))))</f>
        <v>Very high</v>
      </c>
      <c r="U315" s="139">
        <v>0.66</v>
      </c>
      <c r="V315" s="139"/>
    </row>
    <row r="316" spans="1:22" x14ac:dyDescent="0.35">
      <c r="A316" s="139" t="s">
        <v>3066</v>
      </c>
      <c r="B316" s="146">
        <v>45700</v>
      </c>
      <c r="C316" s="2" t="str" cm="1">
        <f t="array" ref="C3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6">
        <v>2024</v>
      </c>
      <c r="E316" s="147">
        <v>0.71388888888888891</v>
      </c>
      <c r="F316" t="str">
        <f>IF(AND(AllData[[#This Row],[Time]]&lt;0.5, AllData[[#This Row],[Time]]&gt;0.17)=TRUE, "Morning", IF(AND(AllData[[#This Row],[Time]]&lt;0.75, AllData[[#This Row],[Time]]&gt;=0.5)=TRUE, "Afternoon", IF(AND(AllData[[#This Row],[Time]]&lt;1, AllData[[#This Row],[Time]]&gt;=0.75)=TRUE, "Evening", "Night")))</f>
        <v>Afternoon</v>
      </c>
      <c r="G316" t="str">
        <f>_xlfn.XLOOKUP(AllData[[#This Row],[Location Name]], Locations[Location Name],Locations[Group As])</f>
        <v>Carrant Back Lane Beckford</v>
      </c>
      <c r="H316" t="e" vm="4">
        <f>_xlfn.XLOOKUP(AllData[[#This Row],[Site Name]],LocationsKey[Site Name],LocationsKey[District])</f>
        <v>#VALUE!</v>
      </c>
      <c r="I316" t="str">
        <f>_xlfn.XLOOKUP(AllData[[#This Row],[Site Name]],LocationsKey[Site Name],LocationsKey[Town])</f>
        <v>Beckford</v>
      </c>
      <c r="J316" t="str">
        <f>_xlfn.XLOOKUP(AllData[[#This Row],[Site Name]],LocationsKey[Site Name], LocationsKey[Waterway])</f>
        <v>Carrant</v>
      </c>
      <c r="K316" s="139" t="s">
        <v>3067</v>
      </c>
      <c r="L316" s="139">
        <v>52.018458000000003</v>
      </c>
      <c r="M316" s="156">
        <v>-2.0387590000000002</v>
      </c>
      <c r="N316" s="139" t="s">
        <v>68</v>
      </c>
      <c r="O316" s="139">
        <v>748</v>
      </c>
      <c r="P316" s="139">
        <v>7.5</v>
      </c>
      <c r="Q316" s="139">
        <v>10</v>
      </c>
      <c r="R316" s="107" t="str">
        <f>IF(AllData[[#This Row],[Nitrate (PPM)]]&gt;2, "Very high", IF(AllData[[#This Row],[Nitrate (PPM)]]&gt;1, "High", IF(AllData[[#This Row],[Nitrate (PPM)]]&gt;0.5, "Some evidence", IF(AllData[[#This Row],[Nitrate (PPM)]]&gt;=0, "No evidence"))))</f>
        <v>Very high</v>
      </c>
      <c r="S316" s="139">
        <v>0</v>
      </c>
      <c r="T316" s="7" t="str">
        <f>IF(AllData[[#This Row],[Phosphate (PPM)]]&gt;0.5, "Very high", IF(AllData[[#This Row],[Phosphate (PPM)]]&gt;0.1, "High", IF(AllData[[#This Row],[Phosphate (PPM)]]&gt;0.05, "Some evidence", IF(AllData[[#This Row],[Phosphate (PPM)]]&lt;=0.05, "No Evidence", ""))))</f>
        <v>No Evidence</v>
      </c>
      <c r="U316" s="139">
        <v>0.23</v>
      </c>
      <c r="V316" s="139"/>
    </row>
    <row r="317" spans="1:22" x14ac:dyDescent="0.35">
      <c r="A317" s="139" t="s">
        <v>3065</v>
      </c>
      <c r="B317" s="146">
        <v>45700</v>
      </c>
      <c r="C317" s="2" t="str" cm="1">
        <f t="array" ref="C3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7">
        <v>2024</v>
      </c>
      <c r="E317" s="147">
        <v>0.54791666666666672</v>
      </c>
      <c r="F317" t="str">
        <f>IF(AND(AllData[[#This Row],[Time]]&lt;0.5, AllData[[#This Row],[Time]]&gt;0.17)=TRUE, "Morning", IF(AND(AllData[[#This Row],[Time]]&lt;0.75, AllData[[#This Row],[Time]]&gt;=0.5)=TRUE, "Afternoon", IF(AND(AllData[[#This Row],[Time]]&lt;1, AllData[[#This Row],[Time]]&gt;=0.75)=TRUE, "Evening", "Night")))</f>
        <v>Afternoon</v>
      </c>
      <c r="G317" t="str">
        <f>_xlfn.XLOOKUP(AllData[[#This Row],[Location Name]], Locations[Location Name],Locations[Group As])</f>
        <v>SSC Bredons Norton</v>
      </c>
      <c r="H317" t="e" vm="6">
        <f>_xlfn.XLOOKUP(AllData[[#This Row],[Site Name]],LocationsKey[Site Name],LocationsKey[District])</f>
        <v>#VALUE!</v>
      </c>
      <c r="I317" t="str">
        <f>_xlfn.XLOOKUP(AllData[[#This Row],[Site Name]],LocationsKey[Site Name],LocationsKey[Town])</f>
        <v>Bredon's Norton</v>
      </c>
      <c r="J317" t="str">
        <f>_xlfn.XLOOKUP(AllData[[#This Row],[Site Name]],LocationsKey[Site Name], LocationsKey[Waterway])</f>
        <v>Avon</v>
      </c>
      <c r="K317" s="139" t="s">
        <v>2121</v>
      </c>
      <c r="L317" s="139">
        <v>52.050995</v>
      </c>
      <c r="M317" s="156">
        <v>-2.1172010000000001</v>
      </c>
      <c r="N317" s="139" t="s">
        <v>25</v>
      </c>
      <c r="O317" s="139">
        <v>363</v>
      </c>
      <c r="P317" s="139">
        <v>6</v>
      </c>
      <c r="Q317" s="139">
        <v>5</v>
      </c>
      <c r="R317" s="107" t="str">
        <f>IF(AllData[[#This Row],[Nitrate (PPM)]]&gt;2, "Very high", IF(AllData[[#This Row],[Nitrate (PPM)]]&gt;1, "High", IF(AllData[[#This Row],[Nitrate (PPM)]]&gt;0.5, "Some evidence", IF(AllData[[#This Row],[Nitrate (PPM)]]&gt;=0, "No evidence"))))</f>
        <v>Very high</v>
      </c>
      <c r="S317" s="139">
        <v>0.31</v>
      </c>
      <c r="T317" s="7" t="str">
        <f>IF(AllData[[#This Row],[Phosphate (PPM)]]&gt;0.5, "Very high", IF(AllData[[#This Row],[Phosphate (PPM)]]&gt;0.1, "High", IF(AllData[[#This Row],[Phosphate (PPM)]]&gt;0.05, "Some evidence", IF(AllData[[#This Row],[Phosphate (PPM)]]&lt;=0.05, "No Evidence", ""))))</f>
        <v>High</v>
      </c>
      <c r="U317" s="139">
        <v>1</v>
      </c>
      <c r="V317" s="139"/>
    </row>
    <row r="318" spans="1:22" x14ac:dyDescent="0.35">
      <c r="A318" s="139" t="s">
        <v>3064</v>
      </c>
      <c r="B318" s="146">
        <v>45700</v>
      </c>
      <c r="C318" s="2" t="str" cm="1">
        <f t="array" ref="C3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8">
        <v>2024</v>
      </c>
      <c r="E318" s="147">
        <v>0.5</v>
      </c>
      <c r="F318" t="str">
        <f>IF(AND(AllData[[#This Row],[Time]]&lt;0.5, AllData[[#This Row],[Time]]&gt;0.17)=TRUE, "Morning", IF(AND(AllData[[#This Row],[Time]]&lt;0.75, AllData[[#This Row],[Time]]&gt;=0.5)=TRUE, "Afternoon", IF(AND(AllData[[#This Row],[Time]]&lt;1, AllData[[#This Row],[Time]]&gt;=0.75)=TRUE, "Evening", "Night")))</f>
        <v>Afternoon</v>
      </c>
      <c r="G318" t="str">
        <f>_xlfn.XLOOKUP(AllData[[#This Row],[Location Name]], Locations[Location Name],Locations[Group As])</f>
        <v>Swilgate</v>
      </c>
      <c r="H318" t="e" vm="4">
        <f>_xlfn.XLOOKUP(AllData[[#This Row],[Site Name]],LocationsKey[Site Name],LocationsKey[District])</f>
        <v>#VALUE!</v>
      </c>
      <c r="I318" t="e" vm="4">
        <f>_xlfn.XLOOKUP(AllData[[#This Row],[Site Name]],LocationsKey[Site Name],LocationsKey[Town])</f>
        <v>#VALUE!</v>
      </c>
      <c r="J318" t="str">
        <f>_xlfn.XLOOKUP(AllData[[#This Row],[Site Name]],LocationsKey[Site Name], LocationsKey[Waterway])</f>
        <v>Swilgate</v>
      </c>
      <c r="K318" s="139" t="s">
        <v>85</v>
      </c>
      <c r="L318" s="139"/>
      <c r="M318" s="156"/>
      <c r="N318" s="139" t="s">
        <v>34</v>
      </c>
      <c r="O318" s="139">
        <v>990</v>
      </c>
      <c r="P318" s="139">
        <v>6.4</v>
      </c>
      <c r="Q318" s="139">
        <v>3</v>
      </c>
      <c r="R318" s="107" t="str">
        <f>IF(AllData[[#This Row],[Nitrate (PPM)]]&gt;2, "Very high", IF(AllData[[#This Row],[Nitrate (PPM)]]&gt;1, "High", IF(AllData[[#This Row],[Nitrate (PPM)]]&gt;0.5, "Some evidence", IF(AllData[[#This Row],[Nitrate (PPM)]]&gt;=0, "No evidence"))))</f>
        <v>Very high</v>
      </c>
      <c r="S318" s="139">
        <v>0.23</v>
      </c>
      <c r="T318" s="7" t="str">
        <f>IF(AllData[[#This Row],[Phosphate (PPM)]]&gt;0.5, "Very high", IF(AllData[[#This Row],[Phosphate (PPM)]]&gt;0.1, "High", IF(AllData[[#This Row],[Phosphate (PPM)]]&gt;0.05, "Some evidence", IF(AllData[[#This Row],[Phosphate (PPM)]]&lt;=0.05, "No Evidence", ""))))</f>
        <v>High</v>
      </c>
      <c r="U318" s="139">
        <v>0</v>
      </c>
      <c r="V318" s="139"/>
    </row>
    <row r="319" spans="1:22" x14ac:dyDescent="0.35">
      <c r="A319" s="139" t="s">
        <v>3057</v>
      </c>
      <c r="B319" s="146">
        <v>45699</v>
      </c>
      <c r="C319" s="2" t="str" cm="1">
        <f t="array" ref="C3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19">
        <v>2024</v>
      </c>
      <c r="E319" s="147">
        <v>0.64097222222222228</v>
      </c>
      <c r="F319" t="str">
        <f>IF(AND(AllData[[#This Row],[Time]]&lt;0.5, AllData[[#This Row],[Time]]&gt;0.17)=TRUE, "Morning", IF(AND(AllData[[#This Row],[Time]]&lt;0.75, AllData[[#This Row],[Time]]&gt;=0.5)=TRUE, "Afternoon", IF(AND(AllData[[#This Row],[Time]]&lt;1, AllData[[#This Row],[Time]]&gt;=0.75)=TRUE, "Evening", "Night")))</f>
        <v>Afternoon</v>
      </c>
      <c r="G319" t="str">
        <f>_xlfn.XLOOKUP(AllData[[#This Row],[Location Name]], Locations[Location Name],Locations[Group As])</f>
        <v>High Street Brailes</v>
      </c>
      <c r="H319" t="e" vm="1">
        <f>_xlfn.XLOOKUP(AllData[[#This Row],[Site Name]],LocationsKey[Site Name],LocationsKey[District])</f>
        <v>#VALUE!</v>
      </c>
      <c r="I319" t="e" vm="5">
        <f>_xlfn.XLOOKUP(AllData[[#This Row],[Site Name]],LocationsKey[Site Name],LocationsKey[Town])</f>
        <v>#VALUE!</v>
      </c>
      <c r="J319" t="str">
        <f>_xlfn.XLOOKUP(AllData[[#This Row],[Site Name]],LocationsKey[Site Name], LocationsKey[Waterway])</f>
        <v>Sutton Brook</v>
      </c>
      <c r="K319" s="139" t="s">
        <v>3058</v>
      </c>
      <c r="L319" s="139">
        <v>52.050975000000001</v>
      </c>
      <c r="M319" s="156">
        <v>-1.5458879999999999</v>
      </c>
      <c r="N319" s="139" t="s">
        <v>68</v>
      </c>
      <c r="O319" s="139">
        <v>589</v>
      </c>
      <c r="P319" s="139">
        <v>5.3</v>
      </c>
      <c r="Q319" s="139">
        <v>7</v>
      </c>
      <c r="R319" s="107" t="str">
        <f>IF(AllData[[#This Row],[Nitrate (PPM)]]&gt;2, "Very high", IF(AllData[[#This Row],[Nitrate (PPM)]]&gt;1, "High", IF(AllData[[#This Row],[Nitrate (PPM)]]&gt;0.5, "Some evidence", IF(AllData[[#This Row],[Nitrate (PPM)]]&gt;=0, "No evidence"))))</f>
        <v>Very high</v>
      </c>
      <c r="S319" s="139">
        <v>0.06</v>
      </c>
      <c r="T319" s="7" t="str">
        <f>IF(AllData[[#This Row],[Phosphate (PPM)]]&gt;0.5, "Very high", IF(AllData[[#This Row],[Phosphate (PPM)]]&gt;0.1, "High", IF(AllData[[#This Row],[Phosphate (PPM)]]&gt;0.05, "Some evidence", IF(AllData[[#This Row],[Phosphate (PPM)]]&lt;=0.05, "No Evidence", ""))))</f>
        <v>Some evidence</v>
      </c>
      <c r="U319" s="139">
        <v>0.35</v>
      </c>
      <c r="V319" s="139"/>
    </row>
    <row r="320" spans="1:22" x14ac:dyDescent="0.35">
      <c r="A320" s="139" t="s">
        <v>3059</v>
      </c>
      <c r="B320" s="146">
        <v>45699</v>
      </c>
      <c r="C320" s="2" t="str" cm="1">
        <f t="array" ref="C3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0">
        <v>2024</v>
      </c>
      <c r="E320" s="147">
        <v>0.65625</v>
      </c>
      <c r="F320" t="str">
        <f>IF(AND(AllData[[#This Row],[Time]]&lt;0.5, AllData[[#This Row],[Time]]&gt;0.17)=TRUE, "Morning", IF(AND(AllData[[#This Row],[Time]]&lt;0.75, AllData[[#This Row],[Time]]&gt;=0.5)=TRUE, "Afternoon", IF(AND(AllData[[#This Row],[Time]]&lt;1, AllData[[#This Row],[Time]]&gt;=0.75)=TRUE, "Evening", "Night")))</f>
        <v>Afternoon</v>
      </c>
      <c r="G320" t="str">
        <f>_xlfn.XLOOKUP(AllData[[#This Row],[Location Name]], Locations[Location Name],Locations[Group As])</f>
        <v>New Barn Farm Brailes</v>
      </c>
      <c r="H320" t="e" vm="1">
        <f>_xlfn.XLOOKUP(AllData[[#This Row],[Site Name]],LocationsKey[Site Name],LocationsKey[District])</f>
        <v>#VALUE!</v>
      </c>
      <c r="I320" t="e" vm="5">
        <f>_xlfn.XLOOKUP(AllData[[#This Row],[Site Name]],LocationsKey[Site Name],LocationsKey[Town])</f>
        <v>#VALUE!</v>
      </c>
      <c r="J320" t="str">
        <f>_xlfn.XLOOKUP(AllData[[#This Row],[Site Name]],LocationsKey[Site Name], LocationsKey[Waterway])</f>
        <v>Sutton Brook</v>
      </c>
      <c r="K320" s="139" t="s">
        <v>3060</v>
      </c>
      <c r="L320" s="139"/>
      <c r="M320" s="156"/>
      <c r="N320" s="139" t="s">
        <v>31</v>
      </c>
      <c r="O320" s="139">
        <v>6.25</v>
      </c>
      <c r="P320" s="139">
        <v>5.8</v>
      </c>
      <c r="Q320" s="139">
        <v>6</v>
      </c>
      <c r="R320" s="107" t="str">
        <f>IF(AllData[[#This Row],[Nitrate (PPM)]]&gt;2, "Very high", IF(AllData[[#This Row],[Nitrate (PPM)]]&gt;1, "High", IF(AllData[[#This Row],[Nitrate (PPM)]]&gt;0.5, "Some evidence", IF(AllData[[#This Row],[Nitrate (PPM)]]&gt;=0, "No evidence"))))</f>
        <v>Very high</v>
      </c>
      <c r="S320" s="139">
        <v>0.28999999999999998</v>
      </c>
      <c r="T320" s="7" t="str">
        <f>IF(AllData[[#This Row],[Phosphate (PPM)]]&gt;0.5, "Very high", IF(AllData[[#This Row],[Phosphate (PPM)]]&gt;0.1, "High", IF(AllData[[#This Row],[Phosphate (PPM)]]&gt;0.05, "Some evidence", IF(AllData[[#This Row],[Phosphate (PPM)]]&lt;=0.05, "No Evidence", ""))))</f>
        <v>High</v>
      </c>
      <c r="U320" s="139">
        <v>0.7</v>
      </c>
      <c r="V320" s="139" t="s">
        <v>3061</v>
      </c>
    </row>
    <row r="321" spans="1:22" x14ac:dyDescent="0.35">
      <c r="A321" s="139" t="s">
        <v>3062</v>
      </c>
      <c r="B321" s="146">
        <v>45699</v>
      </c>
      <c r="C321" s="2" t="str" cm="1">
        <f t="array" ref="C3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1">
        <v>2024</v>
      </c>
      <c r="E321" s="147">
        <v>0.68472222222222223</v>
      </c>
      <c r="F321" t="str">
        <f>IF(AND(AllData[[#This Row],[Time]]&lt;0.5, AllData[[#This Row],[Time]]&gt;0.17)=TRUE, "Morning", IF(AND(AllData[[#This Row],[Time]]&lt;0.75, AllData[[#This Row],[Time]]&gt;=0.5)=TRUE, "Afternoon", IF(AND(AllData[[#This Row],[Time]]&lt;1, AllData[[#This Row],[Time]]&gt;=0.75)=TRUE, "Evening", "Night")))</f>
        <v>Afternoon</v>
      </c>
      <c r="G321" t="str">
        <f>_xlfn.XLOOKUP(AllData[[#This Row],[Location Name]], Locations[Location Name],Locations[Group As])</f>
        <v>Walcot Lane, Bow Brook Ford</v>
      </c>
      <c r="H321" t="e" vm="6">
        <f>_xlfn.XLOOKUP(AllData[[#This Row],[Site Name]],LocationsKey[Site Name],LocationsKey[District])</f>
        <v>#VALUE!</v>
      </c>
      <c r="I321" t="e" vm="7">
        <f>_xlfn.XLOOKUP(AllData[[#This Row],[Site Name]],LocationsKey[Site Name],LocationsKey[Town])</f>
        <v>#VALUE!</v>
      </c>
      <c r="J321" t="str">
        <f>_xlfn.XLOOKUP(AllData[[#This Row],[Site Name]],LocationsKey[Site Name], LocationsKey[Waterway])</f>
        <v>Bow Brook</v>
      </c>
      <c r="K321" s="139" t="s">
        <v>775</v>
      </c>
      <c r="L321" s="139">
        <v>52.130465000000001</v>
      </c>
      <c r="M321" s="156">
        <v>-2.078573</v>
      </c>
      <c r="N321" s="139" t="s">
        <v>798</v>
      </c>
      <c r="O321" s="139">
        <v>970</v>
      </c>
      <c r="P321" s="139">
        <v>7</v>
      </c>
      <c r="Q321" s="139">
        <v>5</v>
      </c>
      <c r="R321" s="107" t="str">
        <f>IF(AllData[[#This Row],[Nitrate (PPM)]]&gt;2, "Very high", IF(AllData[[#This Row],[Nitrate (PPM)]]&gt;1, "High", IF(AllData[[#This Row],[Nitrate (PPM)]]&gt;0.5, "Some evidence", IF(AllData[[#This Row],[Nitrate (PPM)]]&gt;=0, "No evidence"))))</f>
        <v>Very high</v>
      </c>
      <c r="S321" s="139">
        <v>0.52</v>
      </c>
      <c r="T321" s="7" t="str">
        <f>IF(AllData[[#This Row],[Phosphate (PPM)]]&gt;0.5, "Very high", IF(AllData[[#This Row],[Phosphate (PPM)]]&gt;0.1, "High", IF(AllData[[#This Row],[Phosphate (PPM)]]&gt;0.05, "Some evidence", IF(AllData[[#This Row],[Phosphate (PPM)]]&lt;=0.05, "No Evidence", ""))))</f>
        <v>Very high</v>
      </c>
      <c r="U321" s="139">
        <v>0.5</v>
      </c>
      <c r="V321" s="139" t="s">
        <v>3063</v>
      </c>
    </row>
    <row r="322" spans="1:22" x14ac:dyDescent="0.35">
      <c r="A322" s="139" t="s">
        <v>3056</v>
      </c>
      <c r="B322" s="146">
        <v>45699</v>
      </c>
      <c r="C322" s="2" t="str" cm="1">
        <f t="array" ref="C3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2">
        <v>2024</v>
      </c>
      <c r="E322" s="147">
        <v>0.6</v>
      </c>
      <c r="F322" t="str">
        <f>IF(AND(AllData[[#This Row],[Time]]&lt;0.5, AllData[[#This Row],[Time]]&gt;0.17)=TRUE, "Morning", IF(AND(AllData[[#This Row],[Time]]&lt;0.75, AllData[[#This Row],[Time]]&gt;=0.5)=TRUE, "Afternoon", IF(AND(AllData[[#This Row],[Time]]&lt;1, AllData[[#This Row],[Time]]&gt;=0.75)=TRUE, "Evening", "Night")))</f>
        <v>Afternoon</v>
      </c>
      <c r="G322" t="str">
        <f>_xlfn.XLOOKUP(AllData[[#This Row],[Location Name]], Locations[Location Name],Locations[Group As])</f>
        <v>Abbey Mill</v>
      </c>
      <c r="H322" t="e" vm="4">
        <f>_xlfn.XLOOKUP(AllData[[#This Row],[Site Name]],LocationsKey[Site Name],LocationsKey[District])</f>
        <v>#VALUE!</v>
      </c>
      <c r="I322" t="e" vm="4">
        <f>_xlfn.XLOOKUP(AllData[[#This Row],[Site Name]],LocationsKey[Site Name],LocationsKey[Town])</f>
        <v>#VALUE!</v>
      </c>
      <c r="J322" t="str">
        <f>_xlfn.XLOOKUP(AllData[[#This Row],[Site Name]],LocationsKey[Site Name], LocationsKey[Waterway])</f>
        <v>Avon</v>
      </c>
      <c r="K322" s="139" t="s">
        <v>27</v>
      </c>
      <c r="L322" s="139">
        <v>51.991210000000002</v>
      </c>
      <c r="M322" s="156">
        <v>-2.1625480000000001</v>
      </c>
      <c r="N322" s="139" t="s">
        <v>31</v>
      </c>
      <c r="O322" s="139">
        <v>851</v>
      </c>
      <c r="P322" s="139">
        <v>7.1</v>
      </c>
      <c r="Q322" s="139">
        <v>5</v>
      </c>
      <c r="R322" s="107" t="str">
        <f>IF(AllData[[#This Row],[Nitrate (PPM)]]&gt;2, "Very high", IF(AllData[[#This Row],[Nitrate (PPM)]]&gt;1, "High", IF(AllData[[#This Row],[Nitrate (PPM)]]&gt;0.5, "Some evidence", IF(AllData[[#This Row],[Nitrate (PPM)]]&gt;=0, "No evidence"))))</f>
        <v>Very high</v>
      </c>
      <c r="S322" s="139">
        <v>0.55000000000000004</v>
      </c>
      <c r="T322" s="7" t="str">
        <f>IF(AllData[[#This Row],[Phosphate (PPM)]]&gt;0.5, "Very high", IF(AllData[[#This Row],[Phosphate (PPM)]]&gt;0.1, "High", IF(AllData[[#This Row],[Phosphate (PPM)]]&gt;0.05, "Some evidence", IF(AllData[[#This Row],[Phosphate (PPM)]]&lt;=0.05, "No Evidence", ""))))</f>
        <v>Very high</v>
      </c>
      <c r="U322" s="139">
        <v>0.7</v>
      </c>
      <c r="V322" s="139"/>
    </row>
    <row r="323" spans="1:22" x14ac:dyDescent="0.35">
      <c r="A323" s="139" t="s">
        <v>3054</v>
      </c>
      <c r="B323" s="146">
        <v>45699</v>
      </c>
      <c r="C323" s="2" t="str" cm="1">
        <f t="array" ref="C3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3">
        <v>2024</v>
      </c>
      <c r="E323" s="147">
        <v>0.37916666666666665</v>
      </c>
      <c r="F323" t="str">
        <f>IF(AND(AllData[[#This Row],[Time]]&lt;0.5, AllData[[#This Row],[Time]]&gt;0.17)=TRUE, "Morning", IF(AND(AllData[[#This Row],[Time]]&lt;0.75, AllData[[#This Row],[Time]]&gt;=0.5)=TRUE, "Afternoon", IF(AND(AllData[[#This Row],[Time]]&lt;1, AllData[[#This Row],[Time]]&gt;=0.75)=TRUE, "Evening", "Night")))</f>
        <v>Morning</v>
      </c>
      <c r="G323" t="str">
        <f>_xlfn.XLOOKUP(AllData[[#This Row],[Location Name]], Locations[Location Name],Locations[Group As])</f>
        <v>Carrant Mitton Path</v>
      </c>
      <c r="H323" t="e" vm="4">
        <f>_xlfn.XLOOKUP(AllData[[#This Row],[Site Name]],LocationsKey[Site Name],LocationsKey[District])</f>
        <v>#VALUE!</v>
      </c>
      <c r="I323" t="e" vm="4">
        <f>_xlfn.XLOOKUP(AllData[[#This Row],[Site Name]],LocationsKey[Site Name],LocationsKey[Town])</f>
        <v>#VALUE!</v>
      </c>
      <c r="J323" t="str">
        <f>_xlfn.XLOOKUP(AllData[[#This Row],[Site Name]],LocationsKey[Site Name], LocationsKey[Waterway])</f>
        <v>Carrant</v>
      </c>
      <c r="K323" s="139" t="s">
        <v>1064</v>
      </c>
      <c r="L323" s="139">
        <v>52.000317000000003</v>
      </c>
      <c r="M323" s="156">
        <v>-2.1412900000000001</v>
      </c>
      <c r="N323" s="139" t="s">
        <v>31</v>
      </c>
      <c r="O323" s="139">
        <v>8050</v>
      </c>
      <c r="P323" s="139">
        <v>6.5</v>
      </c>
      <c r="Q323" s="139">
        <v>2</v>
      </c>
      <c r="R323" s="107" t="str">
        <f>IF(AllData[[#This Row],[Nitrate (PPM)]]&gt;2, "Very high", IF(AllData[[#This Row],[Nitrate (PPM)]]&gt;1, "High", IF(AllData[[#This Row],[Nitrate (PPM)]]&gt;0.5, "Some evidence", IF(AllData[[#This Row],[Nitrate (PPM)]]&gt;=0, "No evidence"))))</f>
        <v>High</v>
      </c>
      <c r="S323" s="139">
        <v>0.46</v>
      </c>
      <c r="T323" s="7" t="str">
        <f>IF(AllData[[#This Row],[Phosphate (PPM)]]&gt;0.5, "Very high", IF(AllData[[#This Row],[Phosphate (PPM)]]&gt;0.1, "High", IF(AllData[[#This Row],[Phosphate (PPM)]]&gt;0.05, "Some evidence", IF(AllData[[#This Row],[Phosphate (PPM)]]&lt;=0.05, "No Evidence", ""))))</f>
        <v>High</v>
      </c>
      <c r="U323" s="139">
        <v>0</v>
      </c>
      <c r="V323" s="139" t="s">
        <v>3055</v>
      </c>
    </row>
    <row r="324" spans="1:22" x14ac:dyDescent="0.35">
      <c r="A324" s="139" t="s">
        <v>3048</v>
      </c>
      <c r="B324" s="146">
        <v>45698</v>
      </c>
      <c r="C324" s="2" t="str" cm="1">
        <f t="array" ref="C3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4">
        <v>2024</v>
      </c>
      <c r="E324" s="147">
        <v>0.45833333333333331</v>
      </c>
      <c r="F324" t="str">
        <f>IF(AND(AllData[[#This Row],[Time]]&lt;0.5, AllData[[#This Row],[Time]]&gt;0.17)=TRUE, "Morning", IF(AND(AllData[[#This Row],[Time]]&lt;0.75, AllData[[#This Row],[Time]]&gt;=0.5)=TRUE, "Afternoon", IF(AND(AllData[[#This Row],[Time]]&lt;1, AllData[[#This Row],[Time]]&gt;=0.75)=TRUE, "Evening", "Night")))</f>
        <v>Morning</v>
      </c>
      <c r="G324" t="str">
        <f>_xlfn.XLOOKUP(AllData[[#This Row],[Location Name]], Locations[Location Name],Locations[Group As])</f>
        <v>Alveston Weir</v>
      </c>
      <c r="H324" t="e" vm="1">
        <f>_xlfn.XLOOKUP(AllData[[#This Row],[Site Name]],LocationsKey[Site Name],LocationsKey[District])</f>
        <v>#VALUE!</v>
      </c>
      <c r="I324" t="e" vm="2">
        <f>_xlfn.XLOOKUP(AllData[[#This Row],[Site Name]],LocationsKey[Site Name],LocationsKey[Town])</f>
        <v>#VALUE!</v>
      </c>
      <c r="J324" t="str">
        <f>_xlfn.XLOOKUP(AllData[[#This Row],[Site Name]],LocationsKey[Site Name], LocationsKey[Waterway])</f>
        <v>Avon</v>
      </c>
      <c r="K324" s="139" t="s">
        <v>288</v>
      </c>
      <c r="L324" s="139">
        <v>52.212288000000001</v>
      </c>
      <c r="M324" s="156">
        <v>-1.660452</v>
      </c>
      <c r="N324" s="139" t="s">
        <v>2855</v>
      </c>
      <c r="O324" s="139">
        <v>831</v>
      </c>
      <c r="P324" s="139">
        <v>6.4</v>
      </c>
      <c r="Q324" s="139">
        <v>5</v>
      </c>
      <c r="R324" s="107" t="str">
        <f>IF(AllData[[#This Row],[Nitrate (PPM)]]&gt;2, "Very high", IF(AllData[[#This Row],[Nitrate (PPM)]]&gt;1, "High", IF(AllData[[#This Row],[Nitrate (PPM)]]&gt;0.5, "Some evidence", IF(AllData[[#This Row],[Nitrate (PPM)]]&gt;=0, "No evidence"))))</f>
        <v>Very high</v>
      </c>
      <c r="S324" s="139">
        <v>0.43</v>
      </c>
      <c r="T324" s="7" t="str">
        <f>IF(AllData[[#This Row],[Phosphate (PPM)]]&gt;0.5, "Very high", IF(AllData[[#This Row],[Phosphate (PPM)]]&gt;0.1, "High", IF(AllData[[#This Row],[Phosphate (PPM)]]&gt;0.05, "Some evidence", IF(AllData[[#This Row],[Phosphate (PPM)]]&lt;=0.05, "No Evidence", ""))))</f>
        <v>High</v>
      </c>
      <c r="U324" s="139">
        <v>0</v>
      </c>
      <c r="V324" s="139" t="s">
        <v>3049</v>
      </c>
    </row>
    <row r="325" spans="1:22" x14ac:dyDescent="0.35">
      <c r="A325" s="139" t="s">
        <v>3043</v>
      </c>
      <c r="B325" s="146">
        <v>45698</v>
      </c>
      <c r="C325" s="2" t="str" cm="1">
        <f t="array" ref="C3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5">
        <v>2024</v>
      </c>
      <c r="E325" s="147">
        <v>2.7777777777777776E-2</v>
      </c>
      <c r="F325" t="str">
        <f>IF(AND(AllData[[#This Row],[Time]]&lt;0.5, AllData[[#This Row],[Time]]&gt;0.17)=TRUE, "Morning", IF(AND(AllData[[#This Row],[Time]]&lt;0.75, AllData[[#This Row],[Time]]&gt;=0.5)=TRUE, "Afternoon", IF(AND(AllData[[#This Row],[Time]]&lt;1, AllData[[#This Row],[Time]]&gt;=0.75)=TRUE, "Evening", "Night")))</f>
        <v>Night</v>
      </c>
      <c r="G325" t="str">
        <f>_xlfn.XLOOKUP(AllData[[#This Row],[Location Name]], Locations[Location Name],Locations[Group As])</f>
        <v>The Ford, Langley</v>
      </c>
      <c r="H325" t="e" vm="1">
        <f>_xlfn.XLOOKUP(AllData[[#This Row],[Site Name]],LocationsKey[Site Name],LocationsKey[District])</f>
        <v>#VALUE!</v>
      </c>
      <c r="I325" t="str">
        <f>_xlfn.XLOOKUP(AllData[[#This Row],[Site Name]],LocationsKey[Site Name],LocationsKey[Town])</f>
        <v>Langley</v>
      </c>
      <c r="J325" t="str">
        <f>_xlfn.XLOOKUP(AllData[[#This Row],[Site Name]],LocationsKey[Site Name], LocationsKey[Waterway])</f>
        <v>Langley Ford</v>
      </c>
      <c r="K325" s="139" t="s">
        <v>3044</v>
      </c>
      <c r="L325" s="139">
        <v>52.269029000000003</v>
      </c>
      <c r="M325" s="156">
        <v>-1.72329</v>
      </c>
      <c r="N325" s="139" t="s">
        <v>31</v>
      </c>
      <c r="O325" s="139">
        <v>767</v>
      </c>
      <c r="P325" s="139">
        <v>6.1</v>
      </c>
      <c r="Q325" s="139">
        <v>5</v>
      </c>
      <c r="R325" s="107" t="str">
        <f>IF(AllData[[#This Row],[Nitrate (PPM)]]&gt;2, "Very high", IF(AllData[[#This Row],[Nitrate (PPM)]]&gt;1, "High", IF(AllData[[#This Row],[Nitrate (PPM)]]&gt;0.5, "Some evidence", IF(AllData[[#This Row],[Nitrate (PPM)]]&gt;=0, "No evidence"))))</f>
        <v>Very high</v>
      </c>
      <c r="S325" s="139">
        <v>1.27</v>
      </c>
      <c r="T325" s="7" t="str">
        <f>IF(AllData[[#This Row],[Phosphate (PPM)]]&gt;0.5, "Very high", IF(AllData[[#This Row],[Phosphate (PPM)]]&gt;0.1, "High", IF(AllData[[#This Row],[Phosphate (PPM)]]&gt;0.05, "Some evidence", IF(AllData[[#This Row],[Phosphate (PPM)]]&lt;=0.05, "No Evidence", ""))))</f>
        <v>Very high</v>
      </c>
      <c r="U325" s="139">
        <v>0.45</v>
      </c>
      <c r="V325" s="139"/>
    </row>
    <row r="326" spans="1:22" x14ac:dyDescent="0.35">
      <c r="A326" s="139" t="s">
        <v>3050</v>
      </c>
      <c r="B326" s="146">
        <v>45698</v>
      </c>
      <c r="C326" s="2" t="str" cm="1">
        <f t="array" ref="C3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6">
        <v>2024</v>
      </c>
      <c r="E326" s="147">
        <v>0.58333333333333337</v>
      </c>
      <c r="F326" t="str">
        <f>IF(AND(AllData[[#This Row],[Time]]&lt;0.5, AllData[[#This Row],[Time]]&gt;0.17)=TRUE, "Morning", IF(AND(AllData[[#This Row],[Time]]&lt;0.75, AllData[[#This Row],[Time]]&gt;=0.5)=TRUE, "Afternoon", IF(AND(AllData[[#This Row],[Time]]&lt;1, AllData[[#This Row],[Time]]&gt;=0.75)=TRUE, "Evening", "Night")))</f>
        <v>Afternoon</v>
      </c>
      <c r="G326" t="str">
        <f>_xlfn.XLOOKUP(AllData[[#This Row],[Location Name]], Locations[Location Name],Locations[Group As])</f>
        <v>Swiffen Bank</v>
      </c>
      <c r="H326" t="e" vm="1">
        <f>_xlfn.XLOOKUP(AllData[[#This Row],[Site Name]],LocationsKey[Site Name],LocationsKey[District])</f>
        <v>#VALUE!</v>
      </c>
      <c r="I326" t="e" vm="2">
        <f>_xlfn.XLOOKUP(AllData[[#This Row],[Site Name]],LocationsKey[Site Name],LocationsKey[Town])</f>
        <v>#VALUE!</v>
      </c>
      <c r="J326" t="str">
        <f>_xlfn.XLOOKUP(AllData[[#This Row],[Site Name]],LocationsKey[Site Name], LocationsKey[Waterway])</f>
        <v>Avon</v>
      </c>
      <c r="K326" s="139" t="s">
        <v>286</v>
      </c>
      <c r="L326" s="139">
        <v>52.206477999999997</v>
      </c>
      <c r="M326" s="156">
        <v>-1.653894</v>
      </c>
      <c r="N326" s="139" t="s">
        <v>2855</v>
      </c>
      <c r="O326" s="139">
        <v>720</v>
      </c>
      <c r="P326" s="139">
        <v>6.7</v>
      </c>
      <c r="Q326" s="139">
        <v>5</v>
      </c>
      <c r="R326" s="107" t="str">
        <f>IF(AllData[[#This Row],[Nitrate (PPM)]]&gt;2, "Very high", IF(AllData[[#This Row],[Nitrate (PPM)]]&gt;1, "High", IF(AllData[[#This Row],[Nitrate (PPM)]]&gt;0.5, "Some evidence", IF(AllData[[#This Row],[Nitrate (PPM)]]&gt;=0, "No evidence"))))</f>
        <v>Very high</v>
      </c>
      <c r="S326" s="139">
        <v>0.42</v>
      </c>
      <c r="T326" s="7" t="str">
        <f>IF(AllData[[#This Row],[Phosphate (PPM)]]&gt;0.5, "Very high", IF(AllData[[#This Row],[Phosphate (PPM)]]&gt;0.1, "High", IF(AllData[[#This Row],[Phosphate (PPM)]]&gt;0.05, "Some evidence", IF(AllData[[#This Row],[Phosphate (PPM)]]&lt;=0.05, "No Evidence", ""))))</f>
        <v>High</v>
      </c>
      <c r="U326" s="139">
        <v>0</v>
      </c>
      <c r="V326" s="139" t="s">
        <v>3051</v>
      </c>
    </row>
    <row r="327" spans="1:22" x14ac:dyDescent="0.35">
      <c r="A327" s="139" t="s">
        <v>3045</v>
      </c>
      <c r="B327" s="146">
        <v>45698</v>
      </c>
      <c r="C327" s="2" t="str" cm="1">
        <f t="array" ref="C3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7">
        <v>2024</v>
      </c>
      <c r="E327" s="147">
        <v>0.34375</v>
      </c>
      <c r="F327" t="str">
        <f>IF(AND(AllData[[#This Row],[Time]]&lt;0.5, AllData[[#This Row],[Time]]&gt;0.17)=TRUE, "Morning", IF(AND(AllData[[#This Row],[Time]]&lt;0.75, AllData[[#This Row],[Time]]&gt;=0.5)=TRUE, "Afternoon", IF(AND(AllData[[#This Row],[Time]]&lt;1, AllData[[#This Row],[Time]]&gt;=0.75)=TRUE, "Evening", "Night")))</f>
        <v>Morning</v>
      </c>
      <c r="G327" t="str">
        <f>_xlfn.XLOOKUP(AllData[[#This Row],[Location Name]], Locations[Location Name],Locations[Group As])</f>
        <v>Chipping Campden Sewage Works</v>
      </c>
      <c r="H327" t="e" vm="9">
        <f>_xlfn.XLOOKUP(AllData[[#This Row],[Site Name]],LocationsKey[Site Name],LocationsKey[District])</f>
        <v>#VALUE!</v>
      </c>
      <c r="I327" t="e" vm="10">
        <f>_xlfn.XLOOKUP(AllData[[#This Row],[Site Name]],LocationsKey[Site Name],LocationsKey[Town])</f>
        <v>#VALUE!</v>
      </c>
      <c r="J327" t="str">
        <f>_xlfn.XLOOKUP(AllData[[#This Row],[Site Name]],LocationsKey[Site Name], LocationsKey[Waterway])</f>
        <v>Cam Brook</v>
      </c>
      <c r="K327" s="139" t="s">
        <v>1570</v>
      </c>
      <c r="L327" s="139"/>
      <c r="M327" s="156"/>
      <c r="N327" s="139" t="s">
        <v>31</v>
      </c>
      <c r="O327" s="139">
        <v>621</v>
      </c>
      <c r="P327" s="139">
        <v>7.3</v>
      </c>
      <c r="Q327" s="139">
        <v>5</v>
      </c>
      <c r="R327" s="107" t="str">
        <f>IF(AllData[[#This Row],[Nitrate (PPM)]]&gt;2, "Very high", IF(AllData[[#This Row],[Nitrate (PPM)]]&gt;1, "High", IF(AllData[[#This Row],[Nitrate (PPM)]]&gt;0.5, "Some evidence", IF(AllData[[#This Row],[Nitrate (PPM)]]&gt;=0, "No evidence"))))</f>
        <v>Very high</v>
      </c>
      <c r="S327" s="139">
        <v>0.13</v>
      </c>
      <c r="T327" s="7" t="str">
        <f>IF(AllData[[#This Row],[Phosphate (PPM)]]&gt;0.5, "Very high", IF(AllData[[#This Row],[Phosphate (PPM)]]&gt;0.1, "High", IF(AllData[[#This Row],[Phosphate (PPM)]]&gt;0.05, "Some evidence", IF(AllData[[#This Row],[Phosphate (PPM)]]&lt;=0.05, "No Evidence", ""))))</f>
        <v>High</v>
      </c>
      <c r="U327" s="139">
        <v>0.42</v>
      </c>
      <c r="V327" s="139"/>
    </row>
    <row r="328" spans="1:22" x14ac:dyDescent="0.35">
      <c r="A328" s="139" t="s">
        <v>3046</v>
      </c>
      <c r="B328" s="146">
        <v>45698</v>
      </c>
      <c r="C328" s="2" t="str" cm="1">
        <f t="array" ref="C3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8">
        <v>2024</v>
      </c>
      <c r="E328" s="147">
        <v>0.3611111111111111</v>
      </c>
      <c r="F328" t="str">
        <f>IF(AND(AllData[[#This Row],[Time]]&lt;0.5, AllData[[#This Row],[Time]]&gt;0.17)=TRUE, "Morning", IF(AND(AllData[[#This Row],[Time]]&lt;0.75, AllData[[#This Row],[Time]]&gt;=0.5)=TRUE, "Afternoon", IF(AND(AllData[[#This Row],[Time]]&lt;1, AllData[[#This Row],[Time]]&gt;=0.75)=TRUE, "Evening", "Night")))</f>
        <v>Morning</v>
      </c>
      <c r="G328" t="str">
        <f>_xlfn.XLOOKUP(AllData[[#This Row],[Location Name]], Locations[Location Name],Locations[Group As])</f>
        <v>Chipping Campden Lady J Gateway</v>
      </c>
      <c r="H328" t="e" vm="9">
        <f>_xlfn.XLOOKUP(AllData[[#This Row],[Site Name]],LocationsKey[Site Name],LocationsKey[District])</f>
        <v>#VALUE!</v>
      </c>
      <c r="I328" t="e" vm="10">
        <f>_xlfn.XLOOKUP(AllData[[#This Row],[Site Name]],LocationsKey[Site Name],LocationsKey[Town])</f>
        <v>#VALUE!</v>
      </c>
      <c r="J328" t="str">
        <f>_xlfn.XLOOKUP(AllData[[#This Row],[Site Name]],LocationsKey[Site Name], LocationsKey[Waterway])</f>
        <v>Cam Brook</v>
      </c>
      <c r="K328" s="139" t="s">
        <v>1573</v>
      </c>
      <c r="L328" s="139"/>
      <c r="M328" s="156"/>
      <c r="N328" s="139" t="s">
        <v>68</v>
      </c>
      <c r="O328" s="139">
        <v>549</v>
      </c>
      <c r="P328" s="139">
        <v>5.5</v>
      </c>
      <c r="Q328" s="139">
        <v>5</v>
      </c>
      <c r="R328" s="107" t="str">
        <f>IF(AllData[[#This Row],[Nitrate (PPM)]]&gt;2, "Very high", IF(AllData[[#This Row],[Nitrate (PPM)]]&gt;1, "High", IF(AllData[[#This Row],[Nitrate (PPM)]]&gt;0.5, "Some evidence", IF(AllData[[#This Row],[Nitrate (PPM)]]&gt;=0, "No evidence"))))</f>
        <v>Very high</v>
      </c>
      <c r="S328" s="139">
        <v>0.02</v>
      </c>
      <c r="T328" s="7" t="str">
        <f>IF(AllData[[#This Row],[Phosphate (PPM)]]&gt;0.5, "Very high", IF(AllData[[#This Row],[Phosphate (PPM)]]&gt;0.1, "High", IF(AllData[[#This Row],[Phosphate (PPM)]]&gt;0.05, "Some evidence", IF(AllData[[#This Row],[Phosphate (PPM)]]&lt;=0.05, "No Evidence", ""))))</f>
        <v>No Evidence</v>
      </c>
      <c r="U328" s="139">
        <v>0.17</v>
      </c>
      <c r="V328" s="139"/>
    </row>
    <row r="329" spans="1:22" x14ac:dyDescent="0.35">
      <c r="A329" s="139" t="s">
        <v>3047</v>
      </c>
      <c r="B329" s="146">
        <v>45698</v>
      </c>
      <c r="C329" s="2" t="str" cm="1">
        <f t="array" ref="C3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29">
        <v>2024</v>
      </c>
      <c r="E329" s="147">
        <v>0.42708333333333331</v>
      </c>
      <c r="F329" t="str">
        <f>IF(AND(AllData[[#This Row],[Time]]&lt;0.5, AllData[[#This Row],[Time]]&gt;0.17)=TRUE, "Morning", IF(AND(AllData[[#This Row],[Time]]&lt;0.75, AllData[[#This Row],[Time]]&gt;=0.5)=TRUE, "Afternoon", IF(AND(AllData[[#This Row],[Time]]&lt;1, AllData[[#This Row],[Time]]&gt;=0.75)=TRUE, "Evening", "Night")))</f>
        <v>Morning</v>
      </c>
      <c r="G329" t="str">
        <f>_xlfn.XLOOKUP(AllData[[#This Row],[Location Name]], Locations[Location Name],Locations[Group As])</f>
        <v>Chipping Campden Craves</v>
      </c>
      <c r="H329" t="e" vm="9">
        <f>_xlfn.XLOOKUP(AllData[[#This Row],[Site Name]],LocationsKey[Site Name],LocationsKey[District])</f>
        <v>#VALUE!</v>
      </c>
      <c r="I329" t="e" vm="10">
        <f>_xlfn.XLOOKUP(AllData[[#This Row],[Site Name]],LocationsKey[Site Name],LocationsKey[Town])</f>
        <v>#VALUE!</v>
      </c>
      <c r="J329" t="str">
        <f>_xlfn.XLOOKUP(AllData[[#This Row],[Site Name]],LocationsKey[Site Name], LocationsKey[Waterway])</f>
        <v>Cam Brook</v>
      </c>
      <c r="K329" s="139" t="s">
        <v>2458</v>
      </c>
      <c r="L329" s="139">
        <v>52.048765000000003</v>
      </c>
      <c r="M329" s="156">
        <v>-1.786367</v>
      </c>
      <c r="N329" s="139" t="s">
        <v>68</v>
      </c>
      <c r="O329" s="139">
        <v>494</v>
      </c>
      <c r="P329" s="139">
        <v>8.6999999999999993</v>
      </c>
      <c r="Q329" s="139">
        <v>5</v>
      </c>
      <c r="R329" s="107" t="str">
        <f>IF(AllData[[#This Row],[Nitrate (PPM)]]&gt;2, "Very high", IF(AllData[[#This Row],[Nitrate (PPM)]]&gt;1, "High", IF(AllData[[#This Row],[Nitrate (PPM)]]&gt;0.5, "Some evidence", IF(AllData[[#This Row],[Nitrate (PPM)]]&gt;=0, "No evidence"))))</f>
        <v>Very high</v>
      </c>
      <c r="S329" s="139">
        <v>7.0000000000000007E-2</v>
      </c>
      <c r="T329" s="7" t="str">
        <f>IF(AllData[[#This Row],[Phosphate (PPM)]]&gt;0.5, "Very high", IF(AllData[[#This Row],[Phosphate (PPM)]]&gt;0.1, "High", IF(AllData[[#This Row],[Phosphate (PPM)]]&gt;0.05, "Some evidence", IF(AllData[[#This Row],[Phosphate (PPM)]]&lt;=0.05, "No Evidence", ""))))</f>
        <v>Some evidence</v>
      </c>
      <c r="U329" s="139">
        <v>27</v>
      </c>
      <c r="V329" s="139"/>
    </row>
    <row r="330" spans="1:22" x14ac:dyDescent="0.35">
      <c r="A330" s="139" t="s">
        <v>3052</v>
      </c>
      <c r="B330" s="146">
        <v>45698</v>
      </c>
      <c r="C330" s="2" t="str" cm="1">
        <f t="array" ref="C3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0">
        <v>2024</v>
      </c>
      <c r="E330" s="147">
        <v>0.71250000000000002</v>
      </c>
      <c r="F330" t="str">
        <f>IF(AND(AllData[[#This Row],[Time]]&lt;0.5, AllData[[#This Row],[Time]]&gt;0.17)=TRUE, "Morning", IF(AND(AllData[[#This Row],[Time]]&lt;0.75, AllData[[#This Row],[Time]]&gt;=0.5)=TRUE, "Afternoon", IF(AND(AllData[[#This Row],[Time]]&lt;1, AllData[[#This Row],[Time]]&gt;=0.75)=TRUE, "Evening", "Night")))</f>
        <v>Afternoon</v>
      </c>
      <c r="G330" t="str">
        <f>_xlfn.XLOOKUP(AllData[[#This Row],[Location Name]], Locations[Location Name],Locations[Group As])</f>
        <v>Mill Bridge Peopleton</v>
      </c>
      <c r="H330" t="e" vm="6">
        <f>_xlfn.XLOOKUP(AllData[[#This Row],[Site Name]],LocationsKey[Site Name],LocationsKey[District])</f>
        <v>#VALUE!</v>
      </c>
      <c r="I330" t="str">
        <f>_xlfn.XLOOKUP(AllData[[#This Row],[Site Name]],LocationsKey[Site Name],LocationsKey[Town])</f>
        <v>Peopleton</v>
      </c>
      <c r="J330" t="str">
        <f>_xlfn.XLOOKUP(AllData[[#This Row],[Site Name]],LocationsKey[Site Name], LocationsKey[Waterway])</f>
        <v>Bow Brook</v>
      </c>
      <c r="K330" s="139" t="s">
        <v>1015</v>
      </c>
      <c r="L330" s="139">
        <v>52.151541000000002</v>
      </c>
      <c r="M330" s="156">
        <v>-2.096031</v>
      </c>
      <c r="N330" s="139" t="s">
        <v>31</v>
      </c>
      <c r="O330" s="139">
        <v>989</v>
      </c>
      <c r="P330" s="139">
        <v>8.6</v>
      </c>
      <c r="Q330" s="139">
        <v>2</v>
      </c>
      <c r="R330" s="107" t="str">
        <f>IF(AllData[[#This Row],[Nitrate (PPM)]]&gt;2, "Very high", IF(AllData[[#This Row],[Nitrate (PPM)]]&gt;1, "High", IF(AllData[[#This Row],[Nitrate (PPM)]]&gt;0.5, "Some evidence", IF(AllData[[#This Row],[Nitrate (PPM)]]&gt;=0, "No evidence"))))</f>
        <v>High</v>
      </c>
      <c r="S330" s="139">
        <v>0.14000000000000001</v>
      </c>
      <c r="T330" s="7" t="str">
        <f>IF(AllData[[#This Row],[Phosphate (PPM)]]&gt;0.5, "Very high", IF(AllData[[#This Row],[Phosphate (PPM)]]&gt;0.1, "High", IF(AllData[[#This Row],[Phosphate (PPM)]]&gt;0.05, "Some evidence", IF(AllData[[#This Row],[Phosphate (PPM)]]&lt;=0.05, "No Evidence", ""))))</f>
        <v>High</v>
      </c>
      <c r="U330" s="139">
        <v>0.7</v>
      </c>
      <c r="V330" s="139" t="s">
        <v>3053</v>
      </c>
    </row>
    <row r="331" spans="1:22" x14ac:dyDescent="0.35">
      <c r="A331" s="139" t="s">
        <v>3040</v>
      </c>
      <c r="B331" s="146">
        <v>45697</v>
      </c>
      <c r="C331" s="2" t="str" cm="1">
        <f t="array" ref="C3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1">
        <v>2024</v>
      </c>
      <c r="E331" s="147">
        <v>0.60416666666666663</v>
      </c>
      <c r="F331" t="str">
        <f>IF(AND(AllData[[#This Row],[Time]]&lt;0.5, AllData[[#This Row],[Time]]&gt;0.17)=TRUE, "Morning", IF(AND(AllData[[#This Row],[Time]]&lt;0.75, AllData[[#This Row],[Time]]&gt;=0.5)=TRUE, "Afternoon", IF(AND(AllData[[#This Row],[Time]]&lt;1, AllData[[#This Row],[Time]]&gt;=0.75)=TRUE, "Evening", "Night")))</f>
        <v>Afternoon</v>
      </c>
      <c r="G331" t="str">
        <f>_xlfn.XLOOKUP(AllData[[#This Row],[Location Name]], Locations[Location Name],Locations[Group As])</f>
        <v>Sherbourne Brook 2</v>
      </c>
      <c r="H331" t="e" vm="1">
        <f>_xlfn.XLOOKUP(AllData[[#This Row],[Site Name]],LocationsKey[Site Name],LocationsKey[District])</f>
        <v>#VALUE!</v>
      </c>
      <c r="I331" t="str">
        <f>_xlfn.XLOOKUP(AllData[[#This Row],[Site Name]],LocationsKey[Site Name],LocationsKey[Town])</f>
        <v>Unknown</v>
      </c>
      <c r="J331" t="str">
        <f>_xlfn.XLOOKUP(AllData[[#This Row],[Site Name]],LocationsKey[Site Name], LocationsKey[Waterway])</f>
        <v>Sherbourne Brook</v>
      </c>
      <c r="K331" s="139" t="s">
        <v>2995</v>
      </c>
      <c r="L331" s="139"/>
      <c r="M331" s="156"/>
      <c r="N331" s="139"/>
      <c r="O331" s="139">
        <v>949</v>
      </c>
      <c r="P331" s="139">
        <v>7.2</v>
      </c>
      <c r="Q331" s="139">
        <v>6</v>
      </c>
      <c r="R331" s="107" t="str">
        <f>IF(AllData[[#This Row],[Nitrate (PPM)]]&gt;2, "Very high", IF(AllData[[#This Row],[Nitrate (PPM)]]&gt;1, "High", IF(AllData[[#This Row],[Nitrate (PPM)]]&gt;0.5, "Some evidence", IF(AllData[[#This Row],[Nitrate (PPM)]]&gt;=0, "No evidence"))))</f>
        <v>Very high</v>
      </c>
      <c r="S331" s="139">
        <v>0.47</v>
      </c>
      <c r="T331" s="7" t="str">
        <f>IF(AllData[[#This Row],[Phosphate (PPM)]]&gt;0.5, "Very high", IF(AllData[[#This Row],[Phosphate (PPM)]]&gt;0.1, "High", IF(AllData[[#This Row],[Phosphate (PPM)]]&gt;0.05, "Some evidence", IF(AllData[[#This Row],[Phosphate (PPM)]]&lt;=0.05, "No Evidence", ""))))</f>
        <v>High</v>
      </c>
      <c r="U331" s="139">
        <v>0.2</v>
      </c>
      <c r="V331" s="139" t="s">
        <v>3041</v>
      </c>
    </row>
    <row r="332" spans="1:22" x14ac:dyDescent="0.35">
      <c r="A332" s="139" t="s">
        <v>3042</v>
      </c>
      <c r="B332" s="146">
        <v>45697</v>
      </c>
      <c r="C332" s="2" t="str" cm="1">
        <f t="array" ref="C3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2">
        <v>2024</v>
      </c>
      <c r="E332" s="147">
        <v>0.61458333333333337</v>
      </c>
      <c r="F332" t="str">
        <f>IF(AND(AllData[[#This Row],[Time]]&lt;0.5, AllData[[#This Row],[Time]]&gt;0.17)=TRUE, "Morning", IF(AND(AllData[[#This Row],[Time]]&lt;0.75, AllData[[#This Row],[Time]]&gt;=0.5)=TRUE, "Afternoon", IF(AND(AllData[[#This Row],[Time]]&lt;1, AllData[[#This Row],[Time]]&gt;=0.75)=TRUE, "Evening", "Night")))</f>
        <v>Afternoon</v>
      </c>
      <c r="G332" t="str">
        <f>_xlfn.XLOOKUP(AllData[[#This Row],[Location Name]], Locations[Location Name],Locations[Group As])</f>
        <v>Bell Brook 1</v>
      </c>
      <c r="H332" t="e" vm="1">
        <f>_xlfn.XLOOKUP(AllData[[#This Row],[Site Name]],LocationsKey[Site Name],LocationsKey[District])</f>
        <v>#VALUE!</v>
      </c>
      <c r="I332" t="e" vm="19">
        <f>_xlfn.XLOOKUP(AllData[[#This Row],[Site Name]],LocationsKey[Site Name],LocationsKey[Town])</f>
        <v>#VALUE!</v>
      </c>
      <c r="J332" t="str">
        <f>_xlfn.XLOOKUP(AllData[[#This Row],[Site Name]],LocationsKey[Site Name], LocationsKey[Waterway])</f>
        <v>Bell Brook</v>
      </c>
      <c r="K332" s="139" t="s">
        <v>3000</v>
      </c>
      <c r="L332" s="139"/>
      <c r="M332" s="156"/>
      <c r="N332" s="139"/>
      <c r="O332" s="139">
        <v>729</v>
      </c>
      <c r="P332" s="139">
        <v>7.5</v>
      </c>
      <c r="Q332" s="139">
        <v>4</v>
      </c>
      <c r="R332" s="107" t="str">
        <f>IF(AllData[[#This Row],[Nitrate (PPM)]]&gt;2, "Very high", IF(AllData[[#This Row],[Nitrate (PPM)]]&gt;1, "High", IF(AllData[[#This Row],[Nitrate (PPM)]]&gt;0.5, "Some evidence", IF(AllData[[#This Row],[Nitrate (PPM)]]&gt;=0, "No evidence"))))</f>
        <v>Very high</v>
      </c>
      <c r="S332" s="139">
        <v>0.32</v>
      </c>
      <c r="T332" s="7" t="str">
        <f>IF(AllData[[#This Row],[Phosphate (PPM)]]&gt;0.5, "Very high", IF(AllData[[#This Row],[Phosphate (PPM)]]&gt;0.1, "High", IF(AllData[[#This Row],[Phosphate (PPM)]]&gt;0.05, "Some evidence", IF(AllData[[#This Row],[Phosphate (PPM)]]&lt;=0.05, "No Evidence", ""))))</f>
        <v>High</v>
      </c>
      <c r="U332" s="139">
        <v>0.2</v>
      </c>
      <c r="V332" s="139" t="s">
        <v>3041</v>
      </c>
    </row>
    <row r="333" spans="1:22" x14ac:dyDescent="0.35">
      <c r="A333" s="139" t="s">
        <v>3037</v>
      </c>
      <c r="B333" s="146">
        <v>45697</v>
      </c>
      <c r="C333" s="2" t="str" cm="1">
        <f t="array" ref="C3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3">
        <v>2024</v>
      </c>
      <c r="E333" s="147">
        <v>0.4284722222222222</v>
      </c>
      <c r="F333" t="str">
        <f>IF(AND(AllData[[#This Row],[Time]]&lt;0.5, AllData[[#This Row],[Time]]&gt;0.17)=TRUE, "Morning", IF(AND(AllData[[#This Row],[Time]]&lt;0.75, AllData[[#This Row],[Time]]&gt;=0.5)=TRUE, "Afternoon", IF(AND(AllData[[#This Row],[Time]]&lt;1, AllData[[#This Row],[Time]]&gt;=0.75)=TRUE, "Evening", "Night")))</f>
        <v>Morning</v>
      </c>
      <c r="G333" t="str">
        <f>_xlfn.XLOOKUP(AllData[[#This Row],[Location Name]], Locations[Location Name],Locations[Group As])</f>
        <v>R.Stowe - Lower Fields Farm, Old Brickyard Lane</v>
      </c>
      <c r="H333" t="e" vm="1">
        <f>_xlfn.XLOOKUP(AllData[[#This Row],[Site Name]],LocationsKey[Site Name],LocationsKey[District])</f>
        <v>#VALUE!</v>
      </c>
      <c r="I333" t="e" vm="17">
        <f>_xlfn.XLOOKUP(AllData[[#This Row],[Site Name]],LocationsKey[Site Name],LocationsKey[Town])</f>
        <v>#VALUE!</v>
      </c>
      <c r="J333" t="str">
        <f>_xlfn.XLOOKUP(AllData[[#This Row],[Site Name]],LocationsKey[Site Name], LocationsKey[Waterway])</f>
        <v>Stowe</v>
      </c>
      <c r="K333" s="139" t="s">
        <v>2943</v>
      </c>
      <c r="L333" s="139">
        <v>52.244027000000003</v>
      </c>
      <c r="M333" s="156">
        <v>-1.347872</v>
      </c>
      <c r="N333" s="139" t="s">
        <v>31</v>
      </c>
      <c r="O333" s="139">
        <v>775</v>
      </c>
      <c r="P333" s="139">
        <v>6.3</v>
      </c>
      <c r="Q333" s="139">
        <v>2</v>
      </c>
      <c r="R333" s="107" t="str">
        <f>IF(AllData[[#This Row],[Nitrate (PPM)]]&gt;2, "Very high", IF(AllData[[#This Row],[Nitrate (PPM)]]&gt;1, "High", IF(AllData[[#This Row],[Nitrate (PPM)]]&gt;0.5, "Some evidence", IF(AllData[[#This Row],[Nitrate (PPM)]]&gt;=0, "No evidence"))))</f>
        <v>High</v>
      </c>
      <c r="S333" s="139">
        <v>0.32</v>
      </c>
      <c r="T333" s="7" t="str">
        <f>IF(AllData[[#This Row],[Phosphate (PPM)]]&gt;0.5, "Very high", IF(AllData[[#This Row],[Phosphate (PPM)]]&gt;0.1, "High", IF(AllData[[#This Row],[Phosphate (PPM)]]&gt;0.05, "Some evidence", IF(AllData[[#This Row],[Phosphate (PPM)]]&lt;=0.05, "No Evidence", ""))))</f>
        <v>High</v>
      </c>
      <c r="U333" s="139">
        <v>1</v>
      </c>
      <c r="V333" s="139" t="s">
        <v>3038</v>
      </c>
    </row>
    <row r="334" spans="1:22" x14ac:dyDescent="0.35">
      <c r="A334" s="139" t="s">
        <v>3039</v>
      </c>
      <c r="B334" s="146">
        <v>45697</v>
      </c>
      <c r="C334" s="2" t="str" cm="1">
        <f t="array" ref="C3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4">
        <v>2024</v>
      </c>
      <c r="E334" s="147">
        <v>0.47916666666666669</v>
      </c>
      <c r="F334" t="str">
        <f>IF(AND(AllData[[#This Row],[Time]]&lt;0.5, AllData[[#This Row],[Time]]&gt;0.17)=TRUE, "Morning", IF(AND(AllData[[#This Row],[Time]]&lt;0.75, AllData[[#This Row],[Time]]&gt;=0.5)=TRUE, "Afternoon", IF(AND(AllData[[#This Row],[Time]]&lt;1, AllData[[#This Row],[Time]]&gt;=0.75)=TRUE, "Evening", "Night")))</f>
        <v>Morning</v>
      </c>
      <c r="G334" t="str">
        <f>_xlfn.XLOOKUP(AllData[[#This Row],[Location Name]], Locations[Location Name],Locations[Group As])</f>
        <v>Fell Mill Footbridge</v>
      </c>
      <c r="H334" t="e" vm="1">
        <f>_xlfn.XLOOKUP(AllData[[#This Row],[Site Name]],LocationsKey[Site Name],LocationsKey[District])</f>
        <v>#VALUE!</v>
      </c>
      <c r="I334" t="e" vm="15">
        <f>_xlfn.XLOOKUP(AllData[[#This Row],[Site Name]],LocationsKey[Site Name],LocationsKey[Town])</f>
        <v>#VALUE!</v>
      </c>
      <c r="J334" t="str">
        <f>_xlfn.XLOOKUP(AllData[[#This Row],[Site Name]],LocationsKey[Site Name], LocationsKey[Waterway])</f>
        <v>Stour</v>
      </c>
      <c r="K334" s="139" t="s">
        <v>1968</v>
      </c>
      <c r="L334" s="139">
        <v>52.070086000000003</v>
      </c>
      <c r="M334" s="156">
        <v>-1.61145</v>
      </c>
      <c r="N334" s="139" t="s">
        <v>31</v>
      </c>
      <c r="O334" s="139">
        <v>616</v>
      </c>
      <c r="P334" s="139">
        <v>6.2</v>
      </c>
      <c r="Q334" s="139">
        <v>2</v>
      </c>
      <c r="R334" s="107" t="str">
        <f>IF(AllData[[#This Row],[Nitrate (PPM)]]&gt;2, "Very high", IF(AllData[[#This Row],[Nitrate (PPM)]]&gt;1, "High", IF(AllData[[#This Row],[Nitrate (PPM)]]&gt;0.5, "Some evidence", IF(AllData[[#This Row],[Nitrate (PPM)]]&gt;=0, "No evidence"))))</f>
        <v>High</v>
      </c>
      <c r="S334" s="139">
        <v>0.34</v>
      </c>
      <c r="T334" s="7" t="str">
        <f>IF(AllData[[#This Row],[Phosphate (PPM)]]&gt;0.5, "Very high", IF(AllData[[#This Row],[Phosphate (PPM)]]&gt;0.1, "High", IF(AllData[[#This Row],[Phosphate (PPM)]]&gt;0.05, "Some evidence", IF(AllData[[#This Row],[Phosphate (PPM)]]&lt;=0.05, "No Evidence", ""))))</f>
        <v>High</v>
      </c>
      <c r="U334" s="139">
        <v>1.75</v>
      </c>
      <c r="V334" s="139"/>
    </row>
    <row r="335" spans="1:22" x14ac:dyDescent="0.35">
      <c r="A335" s="139" t="s">
        <v>3034</v>
      </c>
      <c r="B335" s="146">
        <v>45696</v>
      </c>
      <c r="C335" s="2" t="str" cm="1">
        <f t="array" ref="C3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5">
        <v>2024</v>
      </c>
      <c r="E335" s="147">
        <v>0.47916666666666669</v>
      </c>
      <c r="F335" t="str">
        <f>IF(AND(AllData[[#This Row],[Time]]&lt;0.5, AllData[[#This Row],[Time]]&gt;0.17)=TRUE, "Morning", IF(AND(AllData[[#This Row],[Time]]&lt;0.75, AllData[[#This Row],[Time]]&gt;=0.5)=TRUE, "Afternoon", IF(AND(AllData[[#This Row],[Time]]&lt;1, AllData[[#This Row],[Time]]&gt;=0.75)=TRUE, "Evening", "Night")))</f>
        <v>Morning</v>
      </c>
      <c r="G335" t="str">
        <f>_xlfn.XLOOKUP(AllData[[#This Row],[Location Name]], Locations[Location Name],Locations[Group As])</f>
        <v>Avonbank Drive</v>
      </c>
      <c r="H335" t="e" vm="1">
        <f>_xlfn.XLOOKUP(AllData[[#This Row],[Site Name]],LocationsKey[Site Name],LocationsKey[District])</f>
        <v>#VALUE!</v>
      </c>
      <c r="I335" t="e" vm="12">
        <f>_xlfn.XLOOKUP(AllData[[#This Row],[Site Name]],LocationsKey[Site Name],LocationsKey[Town])</f>
        <v>#VALUE!</v>
      </c>
      <c r="J335" t="str">
        <f>_xlfn.XLOOKUP(AllData[[#This Row],[Site Name]],LocationsKey[Site Name], LocationsKey[Waterway])</f>
        <v>Avon</v>
      </c>
      <c r="K335" s="139" t="s">
        <v>2530</v>
      </c>
      <c r="L335" s="139">
        <v>52.177</v>
      </c>
      <c r="M335" s="156">
        <v>-1.736</v>
      </c>
      <c r="N335" s="139" t="s">
        <v>68</v>
      </c>
      <c r="O335" s="139">
        <v>935</v>
      </c>
      <c r="P335" s="139">
        <v>5.7</v>
      </c>
      <c r="Q335" s="139">
        <v>12</v>
      </c>
      <c r="R335" s="107" t="str">
        <f>IF(AllData[[#This Row],[Nitrate (PPM)]]&gt;2, "Very high", IF(AllData[[#This Row],[Nitrate (PPM)]]&gt;1, "High", IF(AllData[[#This Row],[Nitrate (PPM)]]&gt;0.5, "Some evidence", IF(AllData[[#This Row],[Nitrate (PPM)]]&gt;=0, "No evidence"))))</f>
        <v>Very high</v>
      </c>
      <c r="S335" s="139">
        <v>0.5</v>
      </c>
      <c r="T335" s="7" t="str">
        <f>IF(AllData[[#This Row],[Phosphate (PPM)]]&gt;0.5, "Very high", IF(AllData[[#This Row],[Phosphate (PPM)]]&gt;0.1, "High", IF(AllData[[#This Row],[Phosphate (PPM)]]&gt;0.05, "Some evidence", IF(AllData[[#This Row],[Phosphate (PPM)]]&lt;=0.05, "No Evidence", ""))))</f>
        <v>High</v>
      </c>
      <c r="U335" s="139">
        <v>0.6</v>
      </c>
      <c r="V335" s="139" t="s">
        <v>3031</v>
      </c>
    </row>
    <row r="336" spans="1:22" x14ac:dyDescent="0.35">
      <c r="A336" s="139" t="s">
        <v>3030</v>
      </c>
      <c r="B336" s="146">
        <v>45696</v>
      </c>
      <c r="C336" s="2" t="str" cm="1">
        <f t="array" ref="C3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6">
        <v>2024</v>
      </c>
      <c r="E336" s="147">
        <v>0.46875</v>
      </c>
      <c r="F336" t="str">
        <f>IF(AND(AllData[[#This Row],[Time]]&lt;0.5, AllData[[#This Row],[Time]]&gt;0.17)=TRUE, "Morning", IF(AND(AllData[[#This Row],[Time]]&lt;0.75, AllData[[#This Row],[Time]]&gt;=0.5)=TRUE, "Afternoon", IF(AND(AllData[[#This Row],[Time]]&lt;1, AllData[[#This Row],[Time]]&gt;=0.75)=TRUE, "Evening", "Night")))</f>
        <v>Morning</v>
      </c>
      <c r="G336" t="str">
        <f>_xlfn.XLOOKUP(AllData[[#This Row],[Location Name]], Locations[Location Name],Locations[Group As])</f>
        <v>Pitch 16</v>
      </c>
      <c r="H336" t="e" vm="1">
        <f>_xlfn.XLOOKUP(AllData[[#This Row],[Site Name]],LocationsKey[Site Name],LocationsKey[District])</f>
        <v>#VALUE!</v>
      </c>
      <c r="I336" t="e" vm="12">
        <f>_xlfn.XLOOKUP(AllData[[#This Row],[Site Name]],LocationsKey[Site Name],LocationsKey[Town])</f>
        <v>#VALUE!</v>
      </c>
      <c r="J336" t="str">
        <f>_xlfn.XLOOKUP(AllData[[#This Row],[Site Name]],LocationsKey[Site Name], LocationsKey[Waterway])</f>
        <v>Avon</v>
      </c>
      <c r="K336" s="139" t="s">
        <v>2532</v>
      </c>
      <c r="L336" s="139">
        <v>52.173000000000002</v>
      </c>
      <c r="M336" s="156">
        <v>-1.7450000000000001</v>
      </c>
      <c r="N336" s="139" t="s">
        <v>31</v>
      </c>
      <c r="O336" s="139">
        <v>890</v>
      </c>
      <c r="P336" s="139">
        <v>5.8</v>
      </c>
      <c r="Q336" s="139">
        <v>12</v>
      </c>
      <c r="R336" s="107" t="str">
        <f>IF(AllData[[#This Row],[Nitrate (PPM)]]&gt;2, "Very high", IF(AllData[[#This Row],[Nitrate (PPM)]]&gt;1, "High", IF(AllData[[#This Row],[Nitrate (PPM)]]&gt;0.5, "Some evidence", IF(AllData[[#This Row],[Nitrate (PPM)]]&gt;=0, "No evidence"))))</f>
        <v>Very high</v>
      </c>
      <c r="S336" s="139">
        <v>0.36</v>
      </c>
      <c r="T336" s="7" t="str">
        <f>IF(AllData[[#This Row],[Phosphate (PPM)]]&gt;0.5, "Very high", IF(AllData[[#This Row],[Phosphate (PPM)]]&gt;0.1, "High", IF(AllData[[#This Row],[Phosphate (PPM)]]&gt;0.05, "Some evidence", IF(AllData[[#This Row],[Phosphate (PPM)]]&lt;=0.05, "No Evidence", ""))))</f>
        <v>High</v>
      </c>
      <c r="U336" s="139">
        <v>0.6</v>
      </c>
      <c r="V336" s="139" t="s">
        <v>3031</v>
      </c>
    </row>
    <row r="337" spans="1:22" x14ac:dyDescent="0.35">
      <c r="A337" s="139" t="s">
        <v>3032</v>
      </c>
      <c r="B337" s="146">
        <v>45696</v>
      </c>
      <c r="C337" s="2" t="str" cm="1">
        <f t="array" ref="C3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7">
        <v>2024</v>
      </c>
      <c r="E337" s="147">
        <v>0.47152777777777777</v>
      </c>
      <c r="F337" t="str">
        <f>IF(AND(AllData[[#This Row],[Time]]&lt;0.5, AllData[[#This Row],[Time]]&gt;0.17)=TRUE, "Morning", IF(AND(AllData[[#This Row],[Time]]&lt;0.75, AllData[[#This Row],[Time]]&gt;=0.5)=TRUE, "Afternoon", IF(AND(AllData[[#This Row],[Time]]&lt;1, AllData[[#This Row],[Time]]&gt;=0.75)=TRUE, "Evening", "Night")))</f>
        <v>Morning</v>
      </c>
      <c r="G337" t="str">
        <f>_xlfn.XLOOKUP(AllData[[#This Row],[Location Name]], Locations[Location Name],Locations[Group As])</f>
        <v>Avon Smiths Meadow Wyre Piddle</v>
      </c>
      <c r="H337" t="e" vm="6">
        <f>_xlfn.XLOOKUP(AllData[[#This Row],[Site Name]],LocationsKey[Site Name],LocationsKey[District])</f>
        <v>#VALUE!</v>
      </c>
      <c r="I337" t="e" vm="13">
        <f>_xlfn.XLOOKUP(AllData[[#This Row],[Site Name]],LocationsKey[Site Name],LocationsKey[Town])</f>
        <v>#VALUE!</v>
      </c>
      <c r="J337" t="str">
        <f>_xlfn.XLOOKUP(AllData[[#This Row],[Site Name]],LocationsKey[Site Name], LocationsKey[Waterway])</f>
        <v>Avon</v>
      </c>
      <c r="K337" s="139" t="s">
        <v>2329</v>
      </c>
      <c r="L337" s="139">
        <v>52.122858999999998</v>
      </c>
      <c r="M337" s="156">
        <v>-2.0575389999999998</v>
      </c>
      <c r="N337" s="139" t="s">
        <v>798</v>
      </c>
      <c r="O337" s="139">
        <v>846</v>
      </c>
      <c r="P337" s="139">
        <v>5.6</v>
      </c>
      <c r="Q337" s="139">
        <v>10</v>
      </c>
      <c r="R337" s="107" t="str">
        <f>IF(AllData[[#This Row],[Nitrate (PPM)]]&gt;2, "Very high", IF(AllData[[#This Row],[Nitrate (PPM)]]&gt;1, "High", IF(AllData[[#This Row],[Nitrate (PPM)]]&gt;0.5, "Some evidence", IF(AllData[[#This Row],[Nitrate (PPM)]]&gt;=0, "No evidence"))))</f>
        <v>Very high</v>
      </c>
      <c r="S337" s="139">
        <v>0.49</v>
      </c>
      <c r="T337" s="7" t="str">
        <f>IF(AllData[[#This Row],[Phosphate (PPM)]]&gt;0.5, "Very high", IF(AllData[[#This Row],[Phosphate (PPM)]]&gt;0.1, "High", IF(AllData[[#This Row],[Phosphate (PPM)]]&gt;0.05, "Some evidence", IF(AllData[[#This Row],[Phosphate (PPM)]]&lt;=0.05, "No Evidence", ""))))</f>
        <v>High</v>
      </c>
      <c r="U337" s="139">
        <v>0.75</v>
      </c>
      <c r="V337" s="139" t="s">
        <v>3033</v>
      </c>
    </row>
    <row r="338" spans="1:22" x14ac:dyDescent="0.35">
      <c r="A338" s="139" t="s">
        <v>3027</v>
      </c>
      <c r="B338" s="146">
        <v>45696</v>
      </c>
      <c r="C338" s="2" t="str" cm="1">
        <f t="array" ref="C3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8">
        <v>2024</v>
      </c>
      <c r="E338" s="147">
        <v>0.44374999999999998</v>
      </c>
      <c r="F338" t="str">
        <f>IF(AND(AllData[[#This Row],[Time]]&lt;0.5, AllData[[#This Row],[Time]]&gt;0.17)=TRUE, "Morning", IF(AND(AllData[[#This Row],[Time]]&lt;0.75, AllData[[#This Row],[Time]]&gt;=0.5)=TRUE, "Afternoon", IF(AND(AllData[[#This Row],[Time]]&lt;1, AllData[[#This Row],[Time]]&gt;=0.75)=TRUE, "Evening", "Night")))</f>
        <v>Morning</v>
      </c>
      <c r="G338" t="str">
        <f>_xlfn.XLOOKUP(AllData[[#This Row],[Location Name]], Locations[Location Name],Locations[Group As])</f>
        <v>Piddle Brook Wyre Piddle Bridge</v>
      </c>
      <c r="H338" t="e" vm="6">
        <f>_xlfn.XLOOKUP(AllData[[#This Row],[Site Name]],LocationsKey[Site Name],LocationsKey[District])</f>
        <v>#VALUE!</v>
      </c>
      <c r="I338" t="e" vm="13">
        <f>_xlfn.XLOOKUP(AllData[[#This Row],[Site Name]],LocationsKey[Site Name],LocationsKey[Town])</f>
        <v>#VALUE!</v>
      </c>
      <c r="J338" t="str">
        <f>_xlfn.XLOOKUP(AllData[[#This Row],[Site Name]],LocationsKey[Site Name], LocationsKey[Waterway])</f>
        <v>Piddle Brook</v>
      </c>
      <c r="K338" s="139" t="s">
        <v>3028</v>
      </c>
      <c r="L338" s="139">
        <v>52.126404000000001</v>
      </c>
      <c r="M338" s="156">
        <v>-2.0564809999999998</v>
      </c>
      <c r="N338" s="139" t="s">
        <v>798</v>
      </c>
      <c r="O338" s="139">
        <v>1180</v>
      </c>
      <c r="P338" s="139">
        <v>6.3</v>
      </c>
      <c r="Q338" s="139">
        <v>7</v>
      </c>
      <c r="R338" s="107" t="str">
        <f>IF(AllData[[#This Row],[Nitrate (PPM)]]&gt;2, "Very high", IF(AllData[[#This Row],[Nitrate (PPM)]]&gt;1, "High", IF(AllData[[#This Row],[Nitrate (PPM)]]&gt;0.5, "Some evidence", IF(AllData[[#This Row],[Nitrate (PPM)]]&gt;=0, "No evidence"))))</f>
        <v>Very high</v>
      </c>
      <c r="S338" s="139">
        <v>0.73</v>
      </c>
      <c r="T338" s="7" t="str">
        <f>IF(AllData[[#This Row],[Phosphate (PPM)]]&gt;0.5, "Very high", IF(AllData[[#This Row],[Phosphate (PPM)]]&gt;0.1, "High", IF(AllData[[#This Row],[Phosphate (PPM)]]&gt;0.05, "Some evidence", IF(AllData[[#This Row],[Phosphate (PPM)]]&lt;=0.05, "No Evidence", ""))))</f>
        <v>Very high</v>
      </c>
      <c r="U338" s="139">
        <v>0.28000000000000003</v>
      </c>
      <c r="V338" s="139" t="s">
        <v>3029</v>
      </c>
    </row>
    <row r="339" spans="1:22" x14ac:dyDescent="0.35">
      <c r="A339" s="139" t="s">
        <v>3036</v>
      </c>
      <c r="B339" s="146">
        <v>45696</v>
      </c>
      <c r="C339" s="2" t="str" cm="1">
        <f t="array" ref="C3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39">
        <v>2024</v>
      </c>
      <c r="E339" s="147">
        <v>0.6694444444444444</v>
      </c>
      <c r="F339" t="str">
        <f>IF(AND(AllData[[#This Row],[Time]]&lt;0.5, AllData[[#This Row],[Time]]&gt;0.17)=TRUE, "Morning", IF(AND(AllData[[#This Row],[Time]]&lt;0.75, AllData[[#This Row],[Time]]&gt;=0.5)=TRUE, "Afternoon", IF(AND(AllData[[#This Row],[Time]]&lt;1, AllData[[#This Row],[Time]]&gt;=0.75)=TRUE, "Evening", "Night")))</f>
        <v>Afternoon</v>
      </c>
      <c r="G339" t="str">
        <f>_xlfn.XLOOKUP(AllData[[#This Row],[Location Name]], Locations[Location Name],Locations[Group As])</f>
        <v>Black Bear</v>
      </c>
      <c r="H339" t="e" vm="4">
        <f>_xlfn.XLOOKUP(AllData[[#This Row],[Site Name]],LocationsKey[Site Name],LocationsKey[District])</f>
        <v>#VALUE!</v>
      </c>
      <c r="I339" t="e" vm="4">
        <f>_xlfn.XLOOKUP(AllData[[#This Row],[Site Name]],LocationsKey[Site Name],LocationsKey[Town])</f>
        <v>#VALUE!</v>
      </c>
      <c r="J339" t="str">
        <f>_xlfn.XLOOKUP(AllData[[#This Row],[Site Name]],LocationsKey[Site Name], LocationsKey[Waterway])</f>
        <v>Avon</v>
      </c>
      <c r="K339" s="139" t="s">
        <v>1175</v>
      </c>
      <c r="L339" s="139">
        <v>51.997500000000002</v>
      </c>
      <c r="M339" s="156">
        <v>-2.1560220000000001</v>
      </c>
      <c r="N339" s="139" t="s">
        <v>34</v>
      </c>
      <c r="O339" s="139">
        <v>888</v>
      </c>
      <c r="P339" s="139">
        <v>5.4</v>
      </c>
      <c r="Q339" s="139">
        <v>7</v>
      </c>
      <c r="R339" s="107" t="str">
        <f>IF(AllData[[#This Row],[Nitrate (PPM)]]&gt;2, "Very high", IF(AllData[[#This Row],[Nitrate (PPM)]]&gt;1, "High", IF(AllData[[#This Row],[Nitrate (PPM)]]&gt;0.5, "Some evidence", IF(AllData[[#This Row],[Nitrate (PPM)]]&gt;=0, "No evidence"))))</f>
        <v>Very high</v>
      </c>
      <c r="S339" s="139">
        <v>0.1</v>
      </c>
      <c r="T339" s="7" t="str">
        <f>IF(AllData[[#This Row],[Phosphate (PPM)]]&gt;0.5, "Very high", IF(AllData[[#This Row],[Phosphate (PPM)]]&gt;0.1, "High", IF(AllData[[#This Row],[Phosphate (PPM)]]&gt;0.05, "Some evidence", IF(AllData[[#This Row],[Phosphate (PPM)]]&lt;=0.05, "No Evidence", ""))))</f>
        <v>Some evidence</v>
      </c>
      <c r="U339" s="139">
        <v>0</v>
      </c>
      <c r="V339" s="139"/>
    </row>
    <row r="340" spans="1:22" x14ac:dyDescent="0.35">
      <c r="A340" s="139" t="s">
        <v>3035</v>
      </c>
      <c r="B340" s="146">
        <v>45696</v>
      </c>
      <c r="C340" s="2" t="str" cm="1">
        <f t="array" ref="C3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0">
        <v>2024</v>
      </c>
      <c r="E340" s="147">
        <v>0.58333333333333337</v>
      </c>
      <c r="F340" t="str">
        <f>IF(AND(AllData[[#This Row],[Time]]&lt;0.5, AllData[[#This Row],[Time]]&gt;0.17)=TRUE, "Morning", IF(AND(AllData[[#This Row],[Time]]&lt;0.75, AllData[[#This Row],[Time]]&gt;=0.5)=TRUE, "Afternoon", IF(AND(AllData[[#This Row],[Time]]&lt;1, AllData[[#This Row],[Time]]&gt;=0.75)=TRUE, "Evening", "Night")))</f>
        <v>Afternoon</v>
      </c>
      <c r="G340" t="str">
        <f>_xlfn.XLOOKUP(AllData[[#This Row],[Location Name]], Locations[Location Name],Locations[Group As])</f>
        <v>Carrant Bredon Rd</v>
      </c>
      <c r="H340" t="e" vm="4">
        <f>_xlfn.XLOOKUP(AllData[[#This Row],[Site Name]],LocationsKey[Site Name],LocationsKey[District])</f>
        <v>#VALUE!</v>
      </c>
      <c r="I340" t="e" vm="4">
        <f>_xlfn.XLOOKUP(AllData[[#This Row],[Site Name]],LocationsKey[Site Name],LocationsKey[Town])</f>
        <v>#VALUE!</v>
      </c>
      <c r="J340" t="str">
        <f>_xlfn.XLOOKUP(AllData[[#This Row],[Site Name]],LocationsKey[Site Name], LocationsKey[Waterway])</f>
        <v>Carrant</v>
      </c>
      <c r="K340" s="139" t="s">
        <v>603</v>
      </c>
      <c r="L340" s="139">
        <v>51.996285</v>
      </c>
      <c r="M340" s="156">
        <v>-2.1561170000000001</v>
      </c>
      <c r="N340" s="139" t="s">
        <v>25</v>
      </c>
      <c r="O340" s="139">
        <v>656</v>
      </c>
      <c r="P340" s="139">
        <v>6.3</v>
      </c>
      <c r="Q340" s="139">
        <v>4</v>
      </c>
      <c r="R340" s="107" t="str">
        <f>IF(AllData[[#This Row],[Nitrate (PPM)]]&gt;2, "Very high", IF(AllData[[#This Row],[Nitrate (PPM)]]&gt;1, "High", IF(AllData[[#This Row],[Nitrate (PPM)]]&gt;0.5, "Some evidence", IF(AllData[[#This Row],[Nitrate (PPM)]]&gt;=0, "No evidence"))))</f>
        <v>Very high</v>
      </c>
      <c r="S340" s="139">
        <v>0.37</v>
      </c>
      <c r="T340" s="7" t="str">
        <f>IF(AllData[[#This Row],[Phosphate (PPM)]]&gt;0.5, "Very high", IF(AllData[[#This Row],[Phosphate (PPM)]]&gt;0.1, "High", IF(AllData[[#This Row],[Phosphate (PPM)]]&gt;0.05, "Some evidence", IF(AllData[[#This Row],[Phosphate (PPM)]]&lt;=0.05, "No Evidence", ""))))</f>
        <v>High</v>
      </c>
      <c r="U340" s="139">
        <v>0.21</v>
      </c>
      <c r="V340" s="139"/>
    </row>
    <row r="341" spans="1:22" x14ac:dyDescent="0.35">
      <c r="A341" s="139" t="s">
        <v>3021</v>
      </c>
      <c r="B341" s="146">
        <v>45695</v>
      </c>
      <c r="C341" s="2" t="str" cm="1">
        <f t="array" ref="C3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1">
        <v>2024</v>
      </c>
      <c r="E341" s="147">
        <v>0.52361111111111114</v>
      </c>
      <c r="F341" t="str">
        <f>IF(AND(AllData[[#This Row],[Time]]&lt;0.5, AllData[[#This Row],[Time]]&gt;0.17)=TRUE, "Morning", IF(AND(AllData[[#This Row],[Time]]&lt;0.75, AllData[[#This Row],[Time]]&gt;=0.5)=TRUE, "Afternoon", IF(AND(AllData[[#This Row],[Time]]&lt;1, AllData[[#This Row],[Time]]&gt;=0.75)=TRUE, "Evening", "Night")))</f>
        <v>Afternoon</v>
      </c>
      <c r="G341" t="str">
        <f>_xlfn.XLOOKUP(AllData[[#This Row],[Location Name]], Locations[Location Name],Locations[Group As])</f>
        <v>Lower Lode</v>
      </c>
      <c r="H341" t="e" vm="4">
        <f>_xlfn.XLOOKUP(AllData[[#This Row],[Site Name]],LocationsKey[Site Name],LocationsKey[District])</f>
        <v>#VALUE!</v>
      </c>
      <c r="I341" t="e" vm="4">
        <f>_xlfn.XLOOKUP(AllData[[#This Row],[Site Name]],LocationsKey[Site Name],LocationsKey[Town])</f>
        <v>#VALUE!</v>
      </c>
      <c r="J341" t="str">
        <f>_xlfn.XLOOKUP(AllData[[#This Row],[Site Name]],LocationsKey[Site Name], LocationsKey[Waterway])</f>
        <v>Avon</v>
      </c>
      <c r="K341" s="139" t="s">
        <v>595</v>
      </c>
      <c r="L341" s="139">
        <v>51.984341999999998</v>
      </c>
      <c r="M341" s="156">
        <v>-2.177362</v>
      </c>
      <c r="N341" s="139" t="s">
        <v>31</v>
      </c>
      <c r="O341" s="139">
        <v>8900</v>
      </c>
      <c r="P341" s="139">
        <v>9.1999999999999993</v>
      </c>
      <c r="Q341" s="139">
        <v>10</v>
      </c>
      <c r="R341" s="107" t="str">
        <f>IF(AllData[[#This Row],[Nitrate (PPM)]]&gt;2, "Very high", IF(AllData[[#This Row],[Nitrate (PPM)]]&gt;1, "High", IF(AllData[[#This Row],[Nitrate (PPM)]]&gt;0.5, "Some evidence", IF(AllData[[#This Row],[Nitrate (PPM)]]&gt;=0, "No evidence"))))</f>
        <v>Very high</v>
      </c>
      <c r="S341" s="139">
        <v>0.23</v>
      </c>
      <c r="T341" s="7" t="str">
        <f>IF(AllData[[#This Row],[Phosphate (PPM)]]&gt;0.5, "Very high", IF(AllData[[#This Row],[Phosphate (PPM)]]&gt;0.1, "High", IF(AllData[[#This Row],[Phosphate (PPM)]]&gt;0.05, "Some evidence", IF(AllData[[#This Row],[Phosphate (PPM)]]&lt;=0.05, "No Evidence", ""))))</f>
        <v>High</v>
      </c>
      <c r="U341" s="139">
        <v>2</v>
      </c>
      <c r="V341" s="139"/>
    </row>
    <row r="342" spans="1:22" x14ac:dyDescent="0.35">
      <c r="A342" s="139" t="s">
        <v>3022</v>
      </c>
      <c r="B342" s="146">
        <v>45695</v>
      </c>
      <c r="C342" s="2" t="str" cm="1">
        <f t="array" ref="C3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2">
        <v>2024</v>
      </c>
      <c r="E342" s="147">
        <v>0.63263888888888886</v>
      </c>
      <c r="F342" t="str">
        <f>IF(AND(AllData[[#This Row],[Time]]&lt;0.5, AllData[[#This Row],[Time]]&gt;0.17)=TRUE, "Morning", IF(AND(AllData[[#This Row],[Time]]&lt;0.75, AllData[[#This Row],[Time]]&gt;=0.5)=TRUE, "Afternoon", IF(AND(AllData[[#This Row],[Time]]&lt;1, AllData[[#This Row],[Time]]&gt;=0.75)=TRUE, "Evening", "Night")))</f>
        <v>Afternoon</v>
      </c>
      <c r="G342" t="str">
        <f>_xlfn.XLOOKUP(AllData[[#This Row],[Location Name]], Locations[Location Name],Locations[Group As])</f>
        <v>Stour Shipston Mill Bridge</v>
      </c>
      <c r="H342" t="e" vm="1">
        <f>_xlfn.XLOOKUP(AllData[[#This Row],[Site Name]],LocationsKey[Site Name],LocationsKey[District])</f>
        <v>#VALUE!</v>
      </c>
      <c r="I342" t="e" vm="15">
        <f>_xlfn.XLOOKUP(AllData[[#This Row],[Site Name]],LocationsKey[Site Name],LocationsKey[Town])</f>
        <v>#VALUE!</v>
      </c>
      <c r="J342" t="str">
        <f>_xlfn.XLOOKUP(AllData[[#This Row],[Site Name]],LocationsKey[Site Name], LocationsKey[Waterway])</f>
        <v>Stour</v>
      </c>
      <c r="K342" s="139" t="s">
        <v>2038</v>
      </c>
      <c r="L342" s="139">
        <v>52.062455999999997</v>
      </c>
      <c r="M342" s="156">
        <v>-1.622824</v>
      </c>
      <c r="N342" s="139" t="s">
        <v>3023</v>
      </c>
      <c r="O342" s="139">
        <v>6.01</v>
      </c>
      <c r="P342" s="139">
        <v>6.8</v>
      </c>
      <c r="Q342" s="139">
        <v>5</v>
      </c>
      <c r="R342" s="107" t="str">
        <f>IF(AllData[[#This Row],[Nitrate (PPM)]]&gt;2, "Very high", IF(AllData[[#This Row],[Nitrate (PPM)]]&gt;1, "High", IF(AllData[[#This Row],[Nitrate (PPM)]]&gt;0.5, "Some evidence", IF(AllData[[#This Row],[Nitrate (PPM)]]&gt;=0, "No evidence"))))</f>
        <v>Very high</v>
      </c>
      <c r="S342" s="139">
        <v>0.27</v>
      </c>
      <c r="T342" s="7" t="str">
        <f>IF(AllData[[#This Row],[Phosphate (PPM)]]&gt;0.5, "Very high", IF(AllData[[#This Row],[Phosphate (PPM)]]&gt;0.1, "High", IF(AllData[[#This Row],[Phosphate (PPM)]]&gt;0.05, "Some evidence", IF(AllData[[#This Row],[Phosphate (PPM)]]&lt;=0.05, "No Evidence", ""))))</f>
        <v>High</v>
      </c>
      <c r="U342" s="139">
        <v>0.65</v>
      </c>
      <c r="V342" s="139" t="s">
        <v>25</v>
      </c>
    </row>
    <row r="343" spans="1:22" x14ac:dyDescent="0.35">
      <c r="A343" s="139" t="s">
        <v>3024</v>
      </c>
      <c r="B343" s="146">
        <v>45695</v>
      </c>
      <c r="C343" s="2" t="str" cm="1">
        <f t="array" ref="C3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3">
        <v>2024</v>
      </c>
      <c r="E343" s="147">
        <v>0.66319444444444442</v>
      </c>
      <c r="F343" t="str">
        <f>IF(AND(AllData[[#This Row],[Time]]&lt;0.5, AllData[[#This Row],[Time]]&gt;0.17)=TRUE, "Morning", IF(AND(AllData[[#This Row],[Time]]&lt;0.75, AllData[[#This Row],[Time]]&gt;=0.5)=TRUE, "Afternoon", IF(AND(AllData[[#This Row],[Time]]&lt;1, AllData[[#This Row],[Time]]&gt;=0.75)=TRUE, "Evening", "Night")))</f>
        <v>Afternoon</v>
      </c>
      <c r="G343" t="str">
        <f>_xlfn.XLOOKUP(AllData[[#This Row],[Location Name]], Locations[Location Name],Locations[Group As])</f>
        <v>Preston Bagot Brook</v>
      </c>
      <c r="H343" t="e" vm="1">
        <f>_xlfn.XLOOKUP(AllData[[#This Row],[Site Name]],LocationsKey[Site Name],LocationsKey[District])</f>
        <v>#VALUE!</v>
      </c>
      <c r="I343" t="e" vm="21">
        <f>_xlfn.XLOOKUP(AllData[[#This Row],[Site Name]],LocationsKey[Site Name],LocationsKey[Town])</f>
        <v>#VALUE!</v>
      </c>
      <c r="J343" t="str">
        <f>_xlfn.XLOOKUP(AllData[[#This Row],[Site Name]],LocationsKey[Site Name], LocationsKey[Waterway])</f>
        <v>Preston Bagot Brook</v>
      </c>
      <c r="K343" s="139" t="s">
        <v>621</v>
      </c>
      <c r="L343" s="139">
        <v>52.286000000000001</v>
      </c>
      <c r="M343" s="156">
        <v>-1.7470000000000001</v>
      </c>
      <c r="N343" s="139" t="s">
        <v>3025</v>
      </c>
      <c r="O343" s="139">
        <v>775</v>
      </c>
      <c r="P343" s="139">
        <v>6.7</v>
      </c>
      <c r="Q343" s="139">
        <v>3.5</v>
      </c>
      <c r="R343" s="107" t="str">
        <f>IF(AllData[[#This Row],[Nitrate (PPM)]]&gt;2, "Very high", IF(AllData[[#This Row],[Nitrate (PPM)]]&gt;1, "High", IF(AllData[[#This Row],[Nitrate (PPM)]]&gt;0.5, "Some evidence", IF(AllData[[#This Row],[Nitrate (PPM)]]&gt;=0, "No evidence"))))</f>
        <v>Very high</v>
      </c>
      <c r="S343" s="139">
        <v>0.51</v>
      </c>
      <c r="T343" s="7" t="str">
        <f>IF(AllData[[#This Row],[Phosphate (PPM)]]&gt;0.5, "Very high", IF(AllData[[#This Row],[Phosphate (PPM)]]&gt;0.1, "High", IF(AllData[[#This Row],[Phosphate (PPM)]]&gt;0.05, "Some evidence", IF(AllData[[#This Row],[Phosphate (PPM)]]&lt;=0.05, "No Evidence", ""))))</f>
        <v>Very high</v>
      </c>
      <c r="U343" s="139">
        <v>0</v>
      </c>
      <c r="V343" s="139"/>
    </row>
    <row r="344" spans="1:22" x14ac:dyDescent="0.35">
      <c r="A344" s="139" t="s">
        <v>3020</v>
      </c>
      <c r="B344" s="146">
        <v>45695</v>
      </c>
      <c r="C344" s="2" t="str" cm="1">
        <f t="array" ref="C3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4">
        <v>2024</v>
      </c>
      <c r="E344" s="147">
        <v>0.50277777777777777</v>
      </c>
      <c r="F344" t="str">
        <f>IF(AND(AllData[[#This Row],[Time]]&lt;0.5, AllData[[#This Row],[Time]]&gt;0.17)=TRUE, "Morning", IF(AND(AllData[[#This Row],[Time]]&lt;0.75, AllData[[#This Row],[Time]]&gt;=0.5)=TRUE, "Afternoon", IF(AND(AllData[[#This Row],[Time]]&lt;1, AllData[[#This Row],[Time]]&gt;=0.75)=TRUE, "Evening", "Night")))</f>
        <v>Afternoon</v>
      </c>
      <c r="G344" t="str">
        <f>_xlfn.XLOOKUP(AllData[[#This Row],[Location Name]], Locations[Location Name],Locations[Group As])</f>
        <v>Unknown</v>
      </c>
      <c r="H344" t="str">
        <f>_xlfn.XLOOKUP(AllData[[#This Row],[Site Name]],LocationsKey[Site Name],LocationsKey[District])</f>
        <v>Unknown</v>
      </c>
      <c r="I344" t="str">
        <f>_xlfn.XLOOKUP(AllData[[#This Row],[Site Name]],LocationsKey[Site Name],LocationsKey[Town])</f>
        <v>Unknown</v>
      </c>
      <c r="J344" t="str">
        <f>_xlfn.XLOOKUP(AllData[[#This Row],[Site Name]],LocationsKey[Site Name], LocationsKey[Waterway])</f>
        <v>Unknown</v>
      </c>
      <c r="K344" s="139" t="s">
        <v>2641</v>
      </c>
      <c r="L344" s="139">
        <v>52.094552</v>
      </c>
      <c r="M344" s="156">
        <v>-1.675603</v>
      </c>
      <c r="N344" s="139" t="s">
        <v>31</v>
      </c>
      <c r="O344" s="139">
        <v>785</v>
      </c>
      <c r="P344" s="139">
        <v>5.5</v>
      </c>
      <c r="Q344" s="139">
        <v>2</v>
      </c>
      <c r="R344" s="107" t="str">
        <f>IF(AllData[[#This Row],[Nitrate (PPM)]]&gt;2, "Very high", IF(AllData[[#This Row],[Nitrate (PPM)]]&gt;1, "High", IF(AllData[[#This Row],[Nitrate (PPM)]]&gt;0.5, "Some evidence", IF(AllData[[#This Row],[Nitrate (PPM)]]&gt;=0, "No evidence"))))</f>
        <v>High</v>
      </c>
      <c r="S344" s="139">
        <v>2.8</v>
      </c>
      <c r="T344" s="7" t="str">
        <f>IF(AllData[[#This Row],[Phosphate (PPM)]]&gt;0.5, "Very high", IF(AllData[[#This Row],[Phosphate (PPM)]]&gt;0.1, "High", IF(AllData[[#This Row],[Phosphate (PPM)]]&gt;0.05, "Some evidence", IF(AllData[[#This Row],[Phosphate (PPM)]]&lt;=0.05, "No Evidence", ""))))</f>
        <v>Very high</v>
      </c>
      <c r="U344" s="139">
        <v>0.3</v>
      </c>
      <c r="V344" s="139"/>
    </row>
    <row r="345" spans="1:22" x14ac:dyDescent="0.35">
      <c r="A345" s="139" t="s">
        <v>3019</v>
      </c>
      <c r="B345" s="146">
        <v>45695</v>
      </c>
      <c r="C345" s="2" t="str" cm="1">
        <f t="array" ref="C3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5">
        <v>2024</v>
      </c>
      <c r="E345" s="147">
        <v>0.49930555555555556</v>
      </c>
      <c r="F345" t="str">
        <f>IF(AND(AllData[[#This Row],[Time]]&lt;0.5, AllData[[#This Row],[Time]]&gt;0.17)=TRUE, "Morning", IF(AND(AllData[[#This Row],[Time]]&lt;0.75, AllData[[#This Row],[Time]]&gt;=0.5)=TRUE, "Afternoon", IF(AND(AllData[[#This Row],[Time]]&lt;1, AllData[[#This Row],[Time]]&gt;=0.75)=TRUE, "Evening", "Night")))</f>
        <v>Morning</v>
      </c>
      <c r="G345" t="str">
        <f>_xlfn.XLOOKUP(AllData[[#This Row],[Location Name]], Locations[Location Name],Locations[Group As])</f>
        <v>Site 2  :  Cross Leys culvert</v>
      </c>
      <c r="H345" t="e" vm="1">
        <f>_xlfn.XLOOKUP(AllData[[#This Row],[Site Name]],LocationsKey[Site Name],LocationsKey[District])</f>
        <v>#VALUE!</v>
      </c>
      <c r="I345" t="e" vm="14">
        <f>_xlfn.XLOOKUP(AllData[[#This Row],[Site Name]],LocationsKey[Site Name],LocationsKey[Town])</f>
        <v>#VALUE!</v>
      </c>
      <c r="J345" t="str">
        <f>_xlfn.XLOOKUP(AllData[[#This Row],[Site Name]],LocationsKey[Site Name], LocationsKey[Waterway])</f>
        <v>Fosseway Brook</v>
      </c>
      <c r="K345" s="139" t="s">
        <v>1915</v>
      </c>
      <c r="L345" s="139">
        <v>52.093029000000001</v>
      </c>
      <c r="M345" s="156">
        <v>-1.6863950000000001</v>
      </c>
      <c r="N345" s="139" t="s">
        <v>68</v>
      </c>
      <c r="O345" s="139">
        <v>661</v>
      </c>
      <c r="P345" s="139">
        <v>5.0999999999999996</v>
      </c>
      <c r="Q345" s="139">
        <v>2</v>
      </c>
      <c r="R345" s="107" t="str">
        <f>IF(AllData[[#This Row],[Nitrate (PPM)]]&gt;2, "Very high", IF(AllData[[#This Row],[Nitrate (PPM)]]&gt;1, "High", IF(AllData[[#This Row],[Nitrate (PPM)]]&gt;0.5, "Some evidence", IF(AllData[[#This Row],[Nitrate (PPM)]]&gt;=0, "No evidence"))))</f>
        <v>High</v>
      </c>
      <c r="S345" s="139">
        <v>0.31</v>
      </c>
      <c r="T345" s="7" t="str">
        <f>IF(AllData[[#This Row],[Phosphate (PPM)]]&gt;0.5, "Very high", IF(AllData[[#This Row],[Phosphate (PPM)]]&gt;0.1, "High", IF(AllData[[#This Row],[Phosphate (PPM)]]&gt;0.05, "Some evidence", IF(AllData[[#This Row],[Phosphate (PPM)]]&lt;=0.05, "No Evidence", ""))))</f>
        <v>High</v>
      </c>
      <c r="U345" s="139">
        <v>0.15</v>
      </c>
      <c r="V345" s="139"/>
    </row>
    <row r="346" spans="1:22" x14ac:dyDescent="0.35">
      <c r="A346" s="139" t="s">
        <v>3026</v>
      </c>
      <c r="B346" s="146">
        <v>45695</v>
      </c>
      <c r="C346" s="2" t="str" cm="1">
        <f t="array" ref="C3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6">
        <v>2024</v>
      </c>
      <c r="E346" s="147">
        <v>0.66319444444444442</v>
      </c>
      <c r="F346" t="str">
        <f>IF(AND(AllData[[#This Row],[Time]]&lt;0.5, AllData[[#This Row],[Time]]&gt;0.17)=TRUE, "Morning", IF(AND(AllData[[#This Row],[Time]]&lt;0.75, AllData[[#This Row],[Time]]&gt;=0.5)=TRUE, "Afternoon", IF(AND(AllData[[#This Row],[Time]]&lt;1, AllData[[#This Row],[Time]]&gt;=0.75)=TRUE, "Evening", "Night")))</f>
        <v>Afternoon</v>
      </c>
      <c r="G346" t="str">
        <f>_xlfn.XLOOKUP(AllData[[#This Row],[Location Name]], Locations[Location Name],Locations[Group As])</f>
        <v>Preston Bagot Canal</v>
      </c>
      <c r="H346" t="e" vm="1">
        <f>_xlfn.XLOOKUP(AllData[[#This Row],[Site Name]],LocationsKey[Site Name],LocationsKey[District])</f>
        <v>#VALUE!</v>
      </c>
      <c r="I346" t="e" vm="21">
        <f>_xlfn.XLOOKUP(AllData[[#This Row],[Site Name]],LocationsKey[Site Name],LocationsKey[Town])</f>
        <v>#VALUE!</v>
      </c>
      <c r="J346" t="str">
        <f>_xlfn.XLOOKUP(AllData[[#This Row],[Site Name]],LocationsKey[Site Name], LocationsKey[Waterway])</f>
        <v>Preston Bagot Canal</v>
      </c>
      <c r="K346" s="139" t="s">
        <v>2074</v>
      </c>
      <c r="L346" s="139">
        <v>52.286999999999999</v>
      </c>
      <c r="M346" s="156">
        <v>-1.746</v>
      </c>
      <c r="N346" s="139" t="s">
        <v>3025</v>
      </c>
      <c r="O346" s="139">
        <v>456</v>
      </c>
      <c r="P346" s="139">
        <v>6.1</v>
      </c>
      <c r="Q346" s="139">
        <v>2</v>
      </c>
      <c r="R346" s="107" t="str">
        <f>IF(AllData[[#This Row],[Nitrate (PPM)]]&gt;2, "Very high", IF(AllData[[#This Row],[Nitrate (PPM)]]&gt;1, "High", IF(AllData[[#This Row],[Nitrate (PPM)]]&gt;0.5, "Some evidence", IF(AllData[[#This Row],[Nitrate (PPM)]]&gt;=0, "No evidence"))))</f>
        <v>High</v>
      </c>
      <c r="S346" s="139">
        <v>0.21</v>
      </c>
      <c r="T346" s="7" t="str">
        <f>IF(AllData[[#This Row],[Phosphate (PPM)]]&gt;0.5, "Very high", IF(AllData[[#This Row],[Phosphate (PPM)]]&gt;0.1, "High", IF(AllData[[#This Row],[Phosphate (PPM)]]&gt;0.05, "Some evidence", IF(AllData[[#This Row],[Phosphate (PPM)]]&lt;=0.05, "No Evidence", ""))))</f>
        <v>High</v>
      </c>
      <c r="U346" s="139">
        <v>0</v>
      </c>
      <c r="V346" s="139"/>
    </row>
    <row r="347" spans="1:22" x14ac:dyDescent="0.35">
      <c r="A347" s="139" t="s">
        <v>3018</v>
      </c>
      <c r="B347" s="146">
        <v>45695</v>
      </c>
      <c r="C347" s="2" t="str" cm="1">
        <f t="array" ref="C3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7">
        <v>2024</v>
      </c>
      <c r="E347" s="147">
        <v>0.48958333333333331</v>
      </c>
      <c r="F347" t="str">
        <f>IF(AND(AllData[[#This Row],[Time]]&lt;0.5, AllData[[#This Row],[Time]]&gt;0.17)=TRUE, "Morning", IF(AND(AllData[[#This Row],[Time]]&lt;0.75, AllData[[#This Row],[Time]]&gt;=0.5)=TRUE, "Afternoon", IF(AND(AllData[[#This Row],[Time]]&lt;1, AllData[[#This Row],[Time]]&gt;=0.75)=TRUE, "Evening", "Night")))</f>
        <v>Morning</v>
      </c>
      <c r="G347" t="str">
        <f>_xlfn.XLOOKUP(AllData[[#This Row],[Location Name]], Locations[Location Name],Locations[Group As])</f>
        <v>Site 1  :  Middle Street</v>
      </c>
      <c r="H347" t="e" vm="1">
        <f>_xlfn.XLOOKUP(AllData[[#This Row],[Site Name]],LocationsKey[Site Name],LocationsKey[District])</f>
        <v>#VALUE!</v>
      </c>
      <c r="I347" t="e" vm="14">
        <f>_xlfn.XLOOKUP(AllData[[#This Row],[Site Name]],LocationsKey[Site Name],LocationsKey[Town])</f>
        <v>#VALUE!</v>
      </c>
      <c r="J347" t="str">
        <f>_xlfn.XLOOKUP(AllData[[#This Row],[Site Name]],LocationsKey[Site Name], LocationsKey[Waterway])</f>
        <v>Fosseway Brook</v>
      </c>
      <c r="K347" s="139" t="s">
        <v>670</v>
      </c>
      <c r="L347" s="139">
        <v>52.089495999999997</v>
      </c>
      <c r="M347" s="156">
        <v>-1.6910879999999999</v>
      </c>
      <c r="N347" s="139" t="s">
        <v>68</v>
      </c>
      <c r="O347" s="139">
        <v>615</v>
      </c>
      <c r="P347" s="139">
        <v>5.0999999999999996</v>
      </c>
      <c r="Q347" s="139">
        <v>1</v>
      </c>
      <c r="R347" s="107" t="str">
        <f>IF(AllData[[#This Row],[Nitrate (PPM)]]&gt;2, "Very high", IF(AllData[[#This Row],[Nitrate (PPM)]]&gt;1, "High", IF(AllData[[#This Row],[Nitrate (PPM)]]&gt;0.5, "Some evidence", IF(AllData[[#This Row],[Nitrate (PPM)]]&gt;=0, "No evidence"))))</f>
        <v>Some evidence</v>
      </c>
      <c r="S347" s="139">
        <v>0.78</v>
      </c>
      <c r="T347" s="7" t="str">
        <f>IF(AllData[[#This Row],[Phosphate (PPM)]]&gt;0.5, "Very high", IF(AllData[[#This Row],[Phosphate (PPM)]]&gt;0.1, "High", IF(AllData[[#This Row],[Phosphate (PPM)]]&gt;0.05, "Some evidence", IF(AllData[[#This Row],[Phosphate (PPM)]]&lt;=0.05, "No Evidence", ""))))</f>
        <v>Very high</v>
      </c>
      <c r="U347" s="139">
        <v>0.04</v>
      </c>
      <c r="V347" s="139"/>
    </row>
    <row r="348" spans="1:22" x14ac:dyDescent="0.35">
      <c r="A348" s="139" t="s">
        <v>3017</v>
      </c>
      <c r="B348" s="146">
        <v>45694</v>
      </c>
      <c r="C348" s="2" t="str" cm="1">
        <f t="array" ref="C3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8">
        <v>2024</v>
      </c>
      <c r="E348" s="147">
        <v>0.41666666666666669</v>
      </c>
      <c r="F348" t="str">
        <f>IF(AND(AllData[[#This Row],[Time]]&lt;0.5, AllData[[#This Row],[Time]]&gt;0.17)=TRUE, "Morning", IF(AND(AllData[[#This Row],[Time]]&lt;0.75, AllData[[#This Row],[Time]]&gt;=0.5)=TRUE, "Afternoon", IF(AND(AllData[[#This Row],[Time]]&lt;1, AllData[[#This Row],[Time]]&gt;=0.75)=TRUE, "Evening", "Night")))</f>
        <v>Morning</v>
      </c>
      <c r="G348" t="str">
        <f>_xlfn.XLOOKUP(AllData[[#This Row],[Location Name]], Locations[Location Name],Locations[Group As])</f>
        <v>Swilgate</v>
      </c>
      <c r="H348" t="e" vm="4">
        <f>_xlfn.XLOOKUP(AllData[[#This Row],[Site Name]],LocationsKey[Site Name],LocationsKey[District])</f>
        <v>#VALUE!</v>
      </c>
      <c r="I348" t="e" vm="4">
        <f>_xlfn.XLOOKUP(AllData[[#This Row],[Site Name]],LocationsKey[Site Name],LocationsKey[Town])</f>
        <v>#VALUE!</v>
      </c>
      <c r="J348" t="str">
        <f>_xlfn.XLOOKUP(AllData[[#This Row],[Site Name]],LocationsKey[Site Name], LocationsKey[Waterway])</f>
        <v>Swilgate</v>
      </c>
      <c r="K348" s="139" t="s">
        <v>415</v>
      </c>
      <c r="L348" s="139"/>
      <c r="M348" s="156"/>
      <c r="N348" s="139" t="s">
        <v>34</v>
      </c>
      <c r="O348" s="139">
        <v>921</v>
      </c>
      <c r="P348" s="139">
        <v>7</v>
      </c>
      <c r="Q348" s="139">
        <v>3</v>
      </c>
      <c r="R348" s="107" t="str">
        <f>IF(AllData[[#This Row],[Nitrate (PPM)]]&gt;2, "Very high", IF(AllData[[#This Row],[Nitrate (PPM)]]&gt;1, "High", IF(AllData[[#This Row],[Nitrate (PPM)]]&gt;0.5, "Some evidence", IF(AllData[[#This Row],[Nitrate (PPM)]]&gt;=0, "No evidence"))))</f>
        <v>Very high</v>
      </c>
      <c r="S348" s="139">
        <v>0.37</v>
      </c>
      <c r="T348" s="7" t="str">
        <f>IF(AllData[[#This Row],[Phosphate (PPM)]]&gt;0.5, "Very high", IF(AllData[[#This Row],[Phosphate (PPM)]]&gt;0.1, "High", IF(AllData[[#This Row],[Phosphate (PPM)]]&gt;0.05, "Some evidence", IF(AllData[[#This Row],[Phosphate (PPM)]]&lt;=0.05, "No Evidence", ""))))</f>
        <v>High</v>
      </c>
      <c r="U348" s="139">
        <v>0</v>
      </c>
      <c r="V348" s="139"/>
    </row>
    <row r="349" spans="1:22" x14ac:dyDescent="0.35">
      <c r="A349" s="139" t="s">
        <v>3015</v>
      </c>
      <c r="B349" s="146">
        <v>45694</v>
      </c>
      <c r="C349" s="2" t="str" cm="1">
        <f t="array" ref="C3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49">
        <v>2024</v>
      </c>
      <c r="E349" s="147">
        <v>0.4</v>
      </c>
      <c r="F349" t="str">
        <f>IF(AND(AllData[[#This Row],[Time]]&lt;0.5, AllData[[#This Row],[Time]]&gt;0.17)=TRUE, "Morning", IF(AND(AllData[[#This Row],[Time]]&lt;0.75, AllData[[#This Row],[Time]]&gt;=0.5)=TRUE, "Afternoon", IF(AND(AllData[[#This Row],[Time]]&lt;1, AllData[[#This Row],[Time]]&gt;=0.75)=TRUE, "Evening", "Night")))</f>
        <v>Morning</v>
      </c>
      <c r="G349" t="str">
        <f>_xlfn.XLOOKUP(AllData[[#This Row],[Location Name]], Locations[Location Name],Locations[Group As])</f>
        <v>Dock Lane Bredon</v>
      </c>
      <c r="H349" t="e" vm="6">
        <f>_xlfn.XLOOKUP(AllData[[#This Row],[Site Name]],LocationsKey[Site Name],LocationsKey[District])</f>
        <v>#VALUE!</v>
      </c>
      <c r="I349" t="e" vm="11">
        <f>_xlfn.XLOOKUP(AllData[[#This Row],[Site Name]],LocationsKey[Site Name],LocationsKey[Town])</f>
        <v>#VALUE!</v>
      </c>
      <c r="J349" t="str">
        <f>_xlfn.XLOOKUP(AllData[[#This Row],[Site Name]],LocationsKey[Site Name], LocationsKey[Waterway])</f>
        <v>Avon</v>
      </c>
      <c r="K349" s="139" t="s">
        <v>2374</v>
      </c>
      <c r="L349" s="139">
        <v>52.033583999999998</v>
      </c>
      <c r="M349" s="156">
        <v>-2.1162109999999998</v>
      </c>
      <c r="N349" s="139" t="s">
        <v>31</v>
      </c>
      <c r="O349" s="139">
        <v>7770</v>
      </c>
      <c r="P349" s="139">
        <v>7.5</v>
      </c>
      <c r="Q349" s="139">
        <v>2</v>
      </c>
      <c r="R349" s="107" t="str">
        <f>IF(AllData[[#This Row],[Nitrate (PPM)]]&gt;2, "Very high", IF(AllData[[#This Row],[Nitrate (PPM)]]&gt;1, "High", IF(AllData[[#This Row],[Nitrate (PPM)]]&gt;0.5, "Some evidence", IF(AllData[[#This Row],[Nitrate (PPM)]]&gt;=0, "No evidence"))))</f>
        <v>High</v>
      </c>
      <c r="S349" s="139">
        <v>0.32</v>
      </c>
      <c r="T349" s="7" t="str">
        <f>IF(AllData[[#This Row],[Phosphate (PPM)]]&gt;0.5, "Very high", IF(AllData[[#This Row],[Phosphate (PPM)]]&gt;0.1, "High", IF(AllData[[#This Row],[Phosphate (PPM)]]&gt;0.05, "Some evidence", IF(AllData[[#This Row],[Phosphate (PPM)]]&lt;=0.05, "No Evidence", ""))))</f>
        <v>High</v>
      </c>
      <c r="U349" s="139">
        <v>1</v>
      </c>
      <c r="V349" s="139"/>
    </row>
    <row r="350" spans="1:22" x14ac:dyDescent="0.35">
      <c r="A350" s="139" t="s">
        <v>3014</v>
      </c>
      <c r="B350" s="146">
        <v>45694</v>
      </c>
      <c r="C350" s="2" t="str" cm="1">
        <f t="array" ref="C3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0">
        <v>2024</v>
      </c>
      <c r="E350" s="147">
        <v>0.39930555555555558</v>
      </c>
      <c r="F350" t="str">
        <f>IF(AND(AllData[[#This Row],[Time]]&lt;0.5, AllData[[#This Row],[Time]]&gt;0.17)=TRUE, "Morning", IF(AND(AllData[[#This Row],[Time]]&lt;0.75, AllData[[#This Row],[Time]]&gt;=0.5)=TRUE, "Afternoon", IF(AND(AllData[[#This Row],[Time]]&lt;1, AllData[[#This Row],[Time]]&gt;=0.75)=TRUE, "Evening", "Night")))</f>
        <v>Morning</v>
      </c>
      <c r="G350" t="str">
        <f>_xlfn.XLOOKUP(AllData[[#This Row],[Location Name]], Locations[Location Name],Locations[Group As])</f>
        <v>School Lane</v>
      </c>
      <c r="H350" t="e" vm="1">
        <f>_xlfn.XLOOKUP(AllData[[#This Row],[Site Name]],LocationsKey[Site Name],LocationsKey[District])</f>
        <v>#VALUE!</v>
      </c>
      <c r="I350" t="e" vm="3">
        <f>_xlfn.XLOOKUP(AllData[[#This Row],[Site Name]],LocationsKey[Site Name],LocationsKey[Town])</f>
        <v>#VALUE!</v>
      </c>
      <c r="J350" t="str">
        <f>_xlfn.XLOOKUP(AllData[[#This Row],[Site Name]],LocationsKey[Site Name], LocationsKey[Waterway])</f>
        <v>Avon</v>
      </c>
      <c r="K350" s="139" t="s">
        <v>2252</v>
      </c>
      <c r="L350" s="139">
        <v>52.201867</v>
      </c>
      <c r="M350" s="156">
        <v>-1.6729290000000001</v>
      </c>
      <c r="N350" s="139" t="s">
        <v>68</v>
      </c>
      <c r="O350" s="139">
        <v>855</v>
      </c>
      <c r="P350" s="139">
        <v>5.5</v>
      </c>
      <c r="Q350" s="139">
        <v>0</v>
      </c>
      <c r="R350" s="107" t="str">
        <f>IF(AllData[[#This Row],[Nitrate (PPM)]]&gt;2, "Very high", IF(AllData[[#This Row],[Nitrate (PPM)]]&gt;1, "High", IF(AllData[[#This Row],[Nitrate (PPM)]]&gt;0.5, "Some evidence", IF(AllData[[#This Row],[Nitrate (PPM)]]&gt;=0, "No evidence"))))</f>
        <v>No evidence</v>
      </c>
      <c r="S350" s="139">
        <v>0.36</v>
      </c>
      <c r="T350" s="7" t="str">
        <f>IF(AllData[[#This Row],[Phosphate (PPM)]]&gt;0.5, "Very high", IF(AllData[[#This Row],[Phosphate (PPM)]]&gt;0.1, "High", IF(AllData[[#This Row],[Phosphate (PPM)]]&gt;0.05, "Some evidence", IF(AllData[[#This Row],[Phosphate (PPM)]]&lt;=0.05, "No Evidence", ""))))</f>
        <v>High</v>
      </c>
      <c r="U350" s="139">
        <v>0.62</v>
      </c>
      <c r="V350" s="139"/>
    </row>
    <row r="351" spans="1:22" x14ac:dyDescent="0.35">
      <c r="A351" s="139" t="s">
        <v>3016</v>
      </c>
      <c r="B351" s="146">
        <v>45694</v>
      </c>
      <c r="C351" s="2" t="str" cm="1">
        <f t="array" ref="C3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1">
        <v>2024</v>
      </c>
      <c r="E351" s="147">
        <v>0.40347222222222223</v>
      </c>
      <c r="F351" t="str">
        <f>IF(AND(AllData[[#This Row],[Time]]&lt;0.5, AllData[[#This Row],[Time]]&gt;0.17)=TRUE, "Morning", IF(AND(AllData[[#This Row],[Time]]&lt;0.75, AllData[[#This Row],[Time]]&gt;=0.5)=TRUE, "Afternoon", IF(AND(AllData[[#This Row],[Time]]&lt;1, AllData[[#This Row],[Time]]&gt;=0.75)=TRUE, "Evening", "Night")))</f>
        <v>Morning</v>
      </c>
      <c r="G351" t="str">
        <f>_xlfn.XLOOKUP(AllData[[#This Row],[Location Name]], Locations[Location Name],Locations[Group As])</f>
        <v>Carters Lane</v>
      </c>
      <c r="H351" t="e" vm="1">
        <f>_xlfn.XLOOKUP(AllData[[#This Row],[Site Name]],LocationsKey[Site Name],LocationsKey[District])</f>
        <v>#VALUE!</v>
      </c>
      <c r="I351" t="e" vm="3">
        <f>_xlfn.XLOOKUP(AllData[[#This Row],[Site Name]],LocationsKey[Site Name],LocationsKey[Town])</f>
        <v>#VALUE!</v>
      </c>
      <c r="J351" t="str">
        <f>_xlfn.XLOOKUP(AllData[[#This Row],[Site Name]],LocationsKey[Site Name], LocationsKey[Waterway])</f>
        <v>Avon</v>
      </c>
      <c r="K351" s="139" t="s">
        <v>2250</v>
      </c>
      <c r="L351" s="139">
        <v>52.201849000000003</v>
      </c>
      <c r="M351" s="156">
        <v>-1.6729609999999999</v>
      </c>
      <c r="N351" s="139" t="s">
        <v>68</v>
      </c>
      <c r="O351" s="139">
        <v>850</v>
      </c>
      <c r="P351" s="139">
        <v>6</v>
      </c>
      <c r="Q351" s="139">
        <v>0</v>
      </c>
      <c r="R351" s="107" t="str">
        <f>IF(AllData[[#This Row],[Nitrate (PPM)]]&gt;2, "Very high", IF(AllData[[#This Row],[Nitrate (PPM)]]&gt;1, "High", IF(AllData[[#This Row],[Nitrate (PPM)]]&gt;0.5, "Some evidence", IF(AllData[[#This Row],[Nitrate (PPM)]]&gt;=0, "No evidence"))))</f>
        <v>No evidence</v>
      </c>
      <c r="S351" s="139">
        <v>0.22</v>
      </c>
      <c r="T351" s="7" t="str">
        <f>IF(AllData[[#This Row],[Phosphate (PPM)]]&gt;0.5, "Very high", IF(AllData[[#This Row],[Phosphate (PPM)]]&gt;0.1, "High", IF(AllData[[#This Row],[Phosphate (PPM)]]&gt;0.05, "Some evidence", IF(AllData[[#This Row],[Phosphate (PPM)]]&lt;=0.05, "No Evidence", ""))))</f>
        <v>High</v>
      </c>
      <c r="U351" s="139">
        <v>0.63</v>
      </c>
      <c r="V351" s="139"/>
    </row>
    <row r="352" spans="1:22" x14ac:dyDescent="0.35">
      <c r="A352" s="139" t="s">
        <v>3012</v>
      </c>
      <c r="B352" s="146">
        <v>45693</v>
      </c>
      <c r="C352" s="2" t="str" cm="1">
        <f t="array" ref="C3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2">
        <v>2024</v>
      </c>
      <c r="E352" s="147">
        <v>0.61111111111111116</v>
      </c>
      <c r="F352" t="str">
        <f>IF(AND(AllData[[#This Row],[Time]]&lt;0.5, AllData[[#This Row],[Time]]&gt;0.17)=TRUE, "Morning", IF(AND(AllData[[#This Row],[Time]]&lt;0.75, AllData[[#This Row],[Time]]&gt;=0.5)=TRUE, "Afternoon", IF(AND(AllData[[#This Row],[Time]]&lt;1, AllData[[#This Row],[Time]]&gt;=0.75)=TRUE, "Evening", "Night")))</f>
        <v>Afternoon</v>
      </c>
      <c r="G352" t="str">
        <f>_xlfn.XLOOKUP(AllData[[#This Row],[Location Name]], Locations[Location Name],Locations[Group As])</f>
        <v>Twyning Fleet</v>
      </c>
      <c r="H352" t="e" vm="4">
        <f>_xlfn.XLOOKUP(AllData[[#This Row],[Site Name]],LocationsKey[Site Name],LocationsKey[District])</f>
        <v>#VALUE!</v>
      </c>
      <c r="I352" t="str">
        <f>_xlfn.XLOOKUP(AllData[[#This Row],[Site Name]],LocationsKey[Site Name],LocationsKey[Town])</f>
        <v>Twyning Green</v>
      </c>
      <c r="J352" t="str">
        <f>_xlfn.XLOOKUP(AllData[[#This Row],[Site Name]],LocationsKey[Site Name], LocationsKey[Waterway])</f>
        <v>Avon</v>
      </c>
      <c r="K352" s="139" t="s">
        <v>2117</v>
      </c>
      <c r="L352" s="139">
        <v>52.027214999999998</v>
      </c>
      <c r="M352" s="156">
        <v>-2.1412399999999998</v>
      </c>
      <c r="N352" s="139" t="s">
        <v>31</v>
      </c>
      <c r="O352" s="139">
        <v>730</v>
      </c>
      <c r="P352" s="139">
        <v>7.9</v>
      </c>
      <c r="Q352" s="139">
        <v>9</v>
      </c>
      <c r="R352" s="107" t="str">
        <f>IF(AllData[[#This Row],[Nitrate (PPM)]]&gt;2, "Very high", IF(AllData[[#This Row],[Nitrate (PPM)]]&gt;1, "High", IF(AllData[[#This Row],[Nitrate (PPM)]]&gt;0.5, "Some evidence", IF(AllData[[#This Row],[Nitrate (PPM)]]&gt;=0, "No evidence"))))</f>
        <v>Very high</v>
      </c>
      <c r="S352" s="139">
        <v>0.34</v>
      </c>
      <c r="T352" s="7" t="str">
        <f>IF(AllData[[#This Row],[Phosphate (PPM)]]&gt;0.5, "Very high", IF(AllData[[#This Row],[Phosphate (PPM)]]&gt;0.1, "High", IF(AllData[[#This Row],[Phosphate (PPM)]]&gt;0.05, "Some evidence", IF(AllData[[#This Row],[Phosphate (PPM)]]&lt;=0.05, "No Evidence", ""))))</f>
        <v>High</v>
      </c>
      <c r="U352" s="139">
        <v>0</v>
      </c>
      <c r="V352" s="139"/>
    </row>
    <row r="353" spans="1:22" x14ac:dyDescent="0.35">
      <c r="A353" s="139" t="s">
        <v>3013</v>
      </c>
      <c r="B353" s="146">
        <v>45693</v>
      </c>
      <c r="C353" s="2" t="str" cm="1">
        <f t="array" ref="C3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3">
        <v>2024</v>
      </c>
      <c r="E353" s="147">
        <v>0.6694444444444444</v>
      </c>
      <c r="F353" t="str">
        <f>IF(AND(AllData[[#This Row],[Time]]&lt;0.5, AllData[[#This Row],[Time]]&gt;0.17)=TRUE, "Morning", IF(AND(AllData[[#This Row],[Time]]&lt;0.75, AllData[[#This Row],[Time]]&gt;=0.5)=TRUE, "Afternoon", IF(AND(AllData[[#This Row],[Time]]&lt;1, AllData[[#This Row],[Time]]&gt;=0.75)=TRUE, "Evening", "Night")))</f>
        <v>Afternoon</v>
      </c>
      <c r="G353" t="str">
        <f>_xlfn.XLOOKUP(AllData[[#This Row],[Location Name]], Locations[Location Name],Locations[Group As])</f>
        <v>SSC Bredons Norton</v>
      </c>
      <c r="H353" t="e" vm="6">
        <f>_xlfn.XLOOKUP(AllData[[#This Row],[Site Name]],LocationsKey[Site Name],LocationsKey[District])</f>
        <v>#VALUE!</v>
      </c>
      <c r="I353" t="str">
        <f>_xlfn.XLOOKUP(AllData[[#This Row],[Site Name]],LocationsKey[Site Name],LocationsKey[Town])</f>
        <v>Bredon's Norton</v>
      </c>
      <c r="J353" t="str">
        <f>_xlfn.XLOOKUP(AllData[[#This Row],[Site Name]],LocationsKey[Site Name], LocationsKey[Waterway])</f>
        <v>Avon</v>
      </c>
      <c r="K353" s="139" t="s">
        <v>2121</v>
      </c>
      <c r="L353" s="139">
        <v>52.050697</v>
      </c>
      <c r="M353" s="156">
        <v>-2.1170369999999998</v>
      </c>
      <c r="N353" s="139" t="s">
        <v>25</v>
      </c>
      <c r="O353" s="139">
        <v>735</v>
      </c>
      <c r="P353" s="139">
        <v>7.3</v>
      </c>
      <c r="Q353" s="139">
        <v>5</v>
      </c>
      <c r="R353" s="107" t="str">
        <f>IF(AllData[[#This Row],[Nitrate (PPM)]]&gt;2, "Very high", IF(AllData[[#This Row],[Nitrate (PPM)]]&gt;1, "High", IF(AllData[[#This Row],[Nitrate (PPM)]]&gt;0.5, "Some evidence", IF(AllData[[#This Row],[Nitrate (PPM)]]&gt;=0, "No evidence"))))</f>
        <v>Very high</v>
      </c>
      <c r="S353" s="139">
        <v>0.44</v>
      </c>
      <c r="T353" s="7" t="str">
        <f>IF(AllData[[#This Row],[Phosphate (PPM)]]&gt;0.5, "Very high", IF(AllData[[#This Row],[Phosphate (PPM)]]&gt;0.1, "High", IF(AllData[[#This Row],[Phosphate (PPM)]]&gt;0.05, "Some evidence", IF(AllData[[#This Row],[Phosphate (PPM)]]&lt;=0.05, "No Evidence", ""))))</f>
        <v>High</v>
      </c>
      <c r="U353" s="139">
        <v>1</v>
      </c>
      <c r="V353" s="139"/>
    </row>
    <row r="354" spans="1:22" x14ac:dyDescent="0.35">
      <c r="A354" s="139" t="s">
        <v>3005</v>
      </c>
      <c r="B354" s="146">
        <v>45692</v>
      </c>
      <c r="C354" s="2" t="str" cm="1">
        <f t="array" ref="C3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4">
        <v>2024</v>
      </c>
      <c r="E354" s="147">
        <v>0.59305555555555556</v>
      </c>
      <c r="F354" t="str">
        <f>IF(AND(AllData[[#This Row],[Time]]&lt;0.5, AllData[[#This Row],[Time]]&gt;0.17)=TRUE, "Morning", IF(AND(AllData[[#This Row],[Time]]&lt;0.75, AllData[[#This Row],[Time]]&gt;=0.5)=TRUE, "Afternoon", IF(AND(AllData[[#This Row],[Time]]&lt;1, AllData[[#This Row],[Time]]&gt;=0.75)=TRUE, "Evening", "Night")))</f>
        <v>Afternoon</v>
      </c>
      <c r="G354" t="str">
        <f>_xlfn.XLOOKUP(AllData[[#This Row],[Location Name]], Locations[Location Name],Locations[Group As])</f>
        <v>Swiffen Bank</v>
      </c>
      <c r="H354" t="e" vm="1">
        <f>_xlfn.XLOOKUP(AllData[[#This Row],[Site Name]],LocationsKey[Site Name],LocationsKey[District])</f>
        <v>#VALUE!</v>
      </c>
      <c r="I354" t="e" vm="2">
        <f>_xlfn.XLOOKUP(AllData[[#This Row],[Site Name]],LocationsKey[Site Name],LocationsKey[Town])</f>
        <v>#VALUE!</v>
      </c>
      <c r="J354" t="str">
        <f>_xlfn.XLOOKUP(AllData[[#This Row],[Site Name]],LocationsKey[Site Name], LocationsKey[Waterway])</f>
        <v>Avon</v>
      </c>
      <c r="K354" s="139" t="s">
        <v>286</v>
      </c>
      <c r="L354" s="139">
        <v>52.206477999999997</v>
      </c>
      <c r="M354" s="156">
        <v>-1.653894</v>
      </c>
      <c r="N354" s="139" t="s">
        <v>31</v>
      </c>
      <c r="O354" s="139">
        <v>727</v>
      </c>
      <c r="P354" s="139">
        <v>8.1</v>
      </c>
      <c r="Q354" s="139">
        <v>5</v>
      </c>
      <c r="R354" s="107" t="str">
        <f>IF(AllData[[#This Row],[Nitrate (PPM)]]&gt;2, "Very high", IF(AllData[[#This Row],[Nitrate (PPM)]]&gt;1, "High", IF(AllData[[#This Row],[Nitrate (PPM)]]&gt;0.5, "Some evidence", IF(AllData[[#This Row],[Nitrate (PPM)]]&gt;=0, "No evidence"))))</f>
        <v>Very high</v>
      </c>
      <c r="S354" s="139">
        <v>0.3</v>
      </c>
      <c r="T354" s="7" t="str">
        <f>IF(AllData[[#This Row],[Phosphate (PPM)]]&gt;0.5, "Very high", IF(AllData[[#This Row],[Phosphate (PPM)]]&gt;0.1, "High", IF(AllData[[#This Row],[Phosphate (PPM)]]&gt;0.05, "Some evidence", IF(AllData[[#This Row],[Phosphate (PPM)]]&lt;=0.05, "No Evidence", ""))))</f>
        <v>High</v>
      </c>
      <c r="U354" s="139">
        <v>0</v>
      </c>
      <c r="V354" s="139" t="s">
        <v>3006</v>
      </c>
    </row>
    <row r="355" spans="1:22" x14ac:dyDescent="0.35">
      <c r="A355" s="139" t="s">
        <v>3008</v>
      </c>
      <c r="B355" s="146">
        <v>45692</v>
      </c>
      <c r="C355" s="2" t="str" cm="1">
        <f t="array" ref="C3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5">
        <v>2024</v>
      </c>
      <c r="E355" s="147">
        <v>0.61458333333333337</v>
      </c>
      <c r="F355" t="str">
        <f>IF(AND(AllData[[#This Row],[Time]]&lt;0.5, AllData[[#This Row],[Time]]&gt;0.17)=TRUE, "Morning", IF(AND(AllData[[#This Row],[Time]]&lt;0.75, AllData[[#This Row],[Time]]&gt;=0.5)=TRUE, "Afternoon", IF(AND(AllData[[#This Row],[Time]]&lt;1, AllData[[#This Row],[Time]]&gt;=0.75)=TRUE, "Evening", "Night")))</f>
        <v>Afternoon</v>
      </c>
      <c r="G355" t="str">
        <f>_xlfn.XLOOKUP(AllData[[#This Row],[Location Name]], Locations[Location Name],Locations[Group As])</f>
        <v>New Barn Farm Brailes</v>
      </c>
      <c r="H355" t="e" vm="1">
        <f>_xlfn.XLOOKUP(AllData[[#This Row],[Site Name]],LocationsKey[Site Name],LocationsKey[District])</f>
        <v>#VALUE!</v>
      </c>
      <c r="I355" t="e" vm="5">
        <f>_xlfn.XLOOKUP(AllData[[#This Row],[Site Name]],LocationsKey[Site Name],LocationsKey[Town])</f>
        <v>#VALUE!</v>
      </c>
      <c r="J355" t="str">
        <f>_xlfn.XLOOKUP(AllData[[#This Row],[Site Name]],LocationsKey[Site Name], LocationsKey[Waterway])</f>
        <v>Sutton Brook</v>
      </c>
      <c r="K355" s="139" t="s">
        <v>3009</v>
      </c>
      <c r="L355" s="139"/>
      <c r="M355" s="156"/>
      <c r="N355" s="139" t="s">
        <v>31</v>
      </c>
      <c r="O355" s="139">
        <v>557</v>
      </c>
      <c r="P355" s="139">
        <v>11.5</v>
      </c>
      <c r="Q355" s="139">
        <v>5</v>
      </c>
      <c r="R355" s="107" t="str">
        <f>IF(AllData[[#This Row],[Nitrate (PPM)]]&gt;2, "Very high", IF(AllData[[#This Row],[Nitrate (PPM)]]&gt;1, "High", IF(AllData[[#This Row],[Nitrate (PPM)]]&gt;0.5, "Some evidence", IF(AllData[[#This Row],[Nitrate (PPM)]]&gt;=0, "No evidence"))))</f>
        <v>Very high</v>
      </c>
      <c r="S355" s="139">
        <v>0.15</v>
      </c>
      <c r="T355" s="7" t="str">
        <f>IF(AllData[[#This Row],[Phosphate (PPM)]]&gt;0.5, "Very high", IF(AllData[[#This Row],[Phosphate (PPM)]]&gt;0.1, "High", IF(AllData[[#This Row],[Phosphate (PPM)]]&gt;0.05, "Some evidence", IF(AllData[[#This Row],[Phosphate (PPM)]]&lt;=0.05, "No Evidence", ""))))</f>
        <v>High</v>
      </c>
      <c r="U355" s="139">
        <v>0.3</v>
      </c>
      <c r="V355" s="139"/>
    </row>
    <row r="356" spans="1:22" x14ac:dyDescent="0.35">
      <c r="A356" s="139" t="s">
        <v>3010</v>
      </c>
      <c r="B356" s="146">
        <v>45692</v>
      </c>
      <c r="C356" s="2" t="str" cm="1">
        <f t="array" ref="C3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6">
        <v>2024</v>
      </c>
      <c r="E356" s="147">
        <v>0.63541666666666663</v>
      </c>
      <c r="F356" t="str">
        <f>IF(AND(AllData[[#This Row],[Time]]&lt;0.5, AllData[[#This Row],[Time]]&gt;0.17)=TRUE, "Morning", IF(AND(AllData[[#This Row],[Time]]&lt;0.75, AllData[[#This Row],[Time]]&gt;=0.5)=TRUE, "Afternoon", IF(AND(AllData[[#This Row],[Time]]&lt;1, AllData[[#This Row],[Time]]&gt;=0.75)=TRUE, "Evening", "Night")))</f>
        <v>Afternoon</v>
      </c>
      <c r="G356" t="str">
        <f>_xlfn.XLOOKUP(AllData[[#This Row],[Location Name]], Locations[Location Name],Locations[Group As])</f>
        <v>High Street Brailes</v>
      </c>
      <c r="H356" t="e" vm="1">
        <f>_xlfn.XLOOKUP(AllData[[#This Row],[Site Name]],LocationsKey[Site Name],LocationsKey[District])</f>
        <v>#VALUE!</v>
      </c>
      <c r="I356" t="e" vm="5">
        <f>_xlfn.XLOOKUP(AllData[[#This Row],[Site Name]],LocationsKey[Site Name],LocationsKey[Town])</f>
        <v>#VALUE!</v>
      </c>
      <c r="J356" t="str">
        <f>_xlfn.XLOOKUP(AllData[[#This Row],[Site Name]],LocationsKey[Site Name], LocationsKey[Waterway])</f>
        <v>Sutton Brook</v>
      </c>
      <c r="K356" s="139" t="s">
        <v>3011</v>
      </c>
      <c r="L356" s="139"/>
      <c r="M356" s="156"/>
      <c r="N356" s="139" t="s">
        <v>68</v>
      </c>
      <c r="O356" s="139">
        <v>536</v>
      </c>
      <c r="P356" s="139">
        <v>10.4</v>
      </c>
      <c r="Q356" s="139">
        <v>5</v>
      </c>
      <c r="R356" s="107" t="str">
        <f>IF(AllData[[#This Row],[Nitrate (PPM)]]&gt;2, "Very high", IF(AllData[[#This Row],[Nitrate (PPM)]]&gt;1, "High", IF(AllData[[#This Row],[Nitrate (PPM)]]&gt;0.5, "Some evidence", IF(AllData[[#This Row],[Nitrate (PPM)]]&gt;=0, "No evidence"))))</f>
        <v>Very high</v>
      </c>
      <c r="S356" s="139">
        <v>0.22</v>
      </c>
      <c r="T356" s="7" t="str">
        <f>IF(AllData[[#This Row],[Phosphate (PPM)]]&gt;0.5, "Very high", IF(AllData[[#This Row],[Phosphate (PPM)]]&gt;0.1, "High", IF(AllData[[#This Row],[Phosphate (PPM)]]&gt;0.05, "Some evidence", IF(AllData[[#This Row],[Phosphate (PPM)]]&lt;=0.05, "No Evidence", ""))))</f>
        <v>High</v>
      </c>
      <c r="U356" s="139">
        <v>0.3</v>
      </c>
      <c r="V356" s="139"/>
    </row>
    <row r="357" spans="1:22" x14ac:dyDescent="0.35">
      <c r="A357" s="139" t="s">
        <v>3007</v>
      </c>
      <c r="B357" s="146">
        <v>45692</v>
      </c>
      <c r="C357" s="2" t="str" cm="1">
        <f t="array" ref="C3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7">
        <v>2024</v>
      </c>
      <c r="E357" s="147">
        <v>0.59444444444444444</v>
      </c>
      <c r="F357" t="str">
        <f>IF(AND(AllData[[#This Row],[Time]]&lt;0.5, AllData[[#This Row],[Time]]&gt;0.17)=TRUE, "Morning", IF(AND(AllData[[#This Row],[Time]]&lt;0.75, AllData[[#This Row],[Time]]&gt;=0.5)=TRUE, "Afternoon", IF(AND(AllData[[#This Row],[Time]]&lt;1, AllData[[#This Row],[Time]]&gt;=0.75)=TRUE, "Evening", "Night")))</f>
        <v>Afternoon</v>
      </c>
      <c r="G357" t="str">
        <f>_xlfn.XLOOKUP(AllData[[#This Row],[Location Name]], Locations[Location Name],Locations[Group As])</f>
        <v>Abbey Mill</v>
      </c>
      <c r="H357" t="e" vm="4">
        <f>_xlfn.XLOOKUP(AllData[[#This Row],[Site Name]],LocationsKey[Site Name],LocationsKey[District])</f>
        <v>#VALUE!</v>
      </c>
      <c r="I357" t="e" vm="4">
        <f>_xlfn.XLOOKUP(AllData[[#This Row],[Site Name]],LocationsKey[Site Name],LocationsKey[Town])</f>
        <v>#VALUE!</v>
      </c>
      <c r="J357" t="str">
        <f>_xlfn.XLOOKUP(AllData[[#This Row],[Site Name]],LocationsKey[Site Name], LocationsKey[Waterway])</f>
        <v>Avon</v>
      </c>
      <c r="K357" s="139" t="s">
        <v>27</v>
      </c>
      <c r="L357" s="139">
        <v>51.991255000000002</v>
      </c>
      <c r="M357" s="156">
        <v>-2.162731</v>
      </c>
      <c r="N357" s="139" t="s">
        <v>31</v>
      </c>
      <c r="O357" s="139">
        <v>748</v>
      </c>
      <c r="P357" s="139">
        <v>9.3000000000000007</v>
      </c>
      <c r="Q357" s="139">
        <v>2</v>
      </c>
      <c r="R357" s="107" t="str">
        <f>IF(AllData[[#This Row],[Nitrate (PPM)]]&gt;2, "Very high", IF(AllData[[#This Row],[Nitrate (PPM)]]&gt;1, "High", IF(AllData[[#This Row],[Nitrate (PPM)]]&gt;0.5, "Some evidence", IF(AllData[[#This Row],[Nitrate (PPM)]]&gt;=0, "No evidence"))))</f>
        <v>High</v>
      </c>
      <c r="S357" s="139">
        <v>0.46</v>
      </c>
      <c r="T357" s="7" t="str">
        <f>IF(AllData[[#This Row],[Phosphate (PPM)]]&gt;0.5, "Very high", IF(AllData[[#This Row],[Phosphate (PPM)]]&gt;0.1, "High", IF(AllData[[#This Row],[Phosphate (PPM)]]&gt;0.05, "Some evidence", IF(AllData[[#This Row],[Phosphate (PPM)]]&lt;=0.05, "No Evidence", ""))))</f>
        <v>High</v>
      </c>
      <c r="U357" s="139">
        <v>0.8</v>
      </c>
      <c r="V357" s="139"/>
    </row>
    <row r="358" spans="1:22" x14ac:dyDescent="0.35">
      <c r="A358" s="139" t="s">
        <v>3001</v>
      </c>
      <c r="B358" s="146">
        <v>45691</v>
      </c>
      <c r="C358" s="2" t="str" cm="1">
        <f t="array" ref="C3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8">
        <v>2024</v>
      </c>
      <c r="E358" s="147">
        <v>0.34722222222222221</v>
      </c>
      <c r="F358" t="str">
        <f>IF(AND(AllData[[#This Row],[Time]]&lt;0.5, AllData[[#This Row],[Time]]&gt;0.17)=TRUE, "Morning", IF(AND(AllData[[#This Row],[Time]]&lt;0.75, AllData[[#This Row],[Time]]&gt;=0.5)=TRUE, "Afternoon", IF(AND(AllData[[#This Row],[Time]]&lt;1, AllData[[#This Row],[Time]]&gt;=0.75)=TRUE, "Evening", "Night")))</f>
        <v>Morning</v>
      </c>
      <c r="G358" t="str">
        <f>_xlfn.XLOOKUP(AllData[[#This Row],[Location Name]], Locations[Location Name],Locations[Group As])</f>
        <v>Chipping Campden Sewage Works</v>
      </c>
      <c r="H358" t="e" vm="9">
        <f>_xlfn.XLOOKUP(AllData[[#This Row],[Site Name]],LocationsKey[Site Name],LocationsKey[District])</f>
        <v>#VALUE!</v>
      </c>
      <c r="I358" t="e" vm="10">
        <f>_xlfn.XLOOKUP(AllData[[#This Row],[Site Name]],LocationsKey[Site Name],LocationsKey[Town])</f>
        <v>#VALUE!</v>
      </c>
      <c r="J358" t="str">
        <f>_xlfn.XLOOKUP(AllData[[#This Row],[Site Name]],LocationsKey[Site Name], LocationsKey[Waterway])</f>
        <v>Cam Brook</v>
      </c>
      <c r="K358" s="139" t="s">
        <v>1570</v>
      </c>
      <c r="L358" s="139"/>
      <c r="M358" s="156"/>
      <c r="N358" s="139" t="s">
        <v>31</v>
      </c>
      <c r="O358" s="139">
        <v>605</v>
      </c>
      <c r="P358" s="139">
        <v>8.9</v>
      </c>
      <c r="Q358" s="139">
        <v>5</v>
      </c>
      <c r="R358" s="107" t="str">
        <f>IF(AllData[[#This Row],[Nitrate (PPM)]]&gt;2, "Very high", IF(AllData[[#This Row],[Nitrate (PPM)]]&gt;1, "High", IF(AllData[[#This Row],[Nitrate (PPM)]]&gt;0.5, "Some evidence", IF(AllData[[#This Row],[Nitrate (PPM)]]&gt;=0, "No evidence"))))</f>
        <v>Very high</v>
      </c>
      <c r="S358" s="139">
        <v>0.08</v>
      </c>
      <c r="T358" s="7" t="str">
        <f>IF(AllData[[#This Row],[Phosphate (PPM)]]&gt;0.5, "Very high", IF(AllData[[#This Row],[Phosphate (PPM)]]&gt;0.1, "High", IF(AllData[[#This Row],[Phosphate (PPM)]]&gt;0.05, "Some evidence", IF(AllData[[#This Row],[Phosphate (PPM)]]&lt;=0.05, "No Evidence", ""))))</f>
        <v>Some evidence</v>
      </c>
      <c r="U358" s="139">
        <v>0.42</v>
      </c>
      <c r="V358" s="139"/>
    </row>
    <row r="359" spans="1:22" x14ac:dyDescent="0.35">
      <c r="A359" s="139" t="s">
        <v>3003</v>
      </c>
      <c r="B359" s="146">
        <v>45691</v>
      </c>
      <c r="C359" s="2" t="str" cm="1">
        <f t="array" ref="C3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59">
        <v>2024</v>
      </c>
      <c r="E359" s="147">
        <v>0.41666666666666669</v>
      </c>
      <c r="F359" t="str">
        <f>IF(AND(AllData[[#This Row],[Time]]&lt;0.5, AllData[[#This Row],[Time]]&gt;0.17)=TRUE, "Morning", IF(AND(AllData[[#This Row],[Time]]&lt;0.75, AllData[[#This Row],[Time]]&gt;=0.5)=TRUE, "Afternoon", IF(AND(AllData[[#This Row],[Time]]&lt;1, AllData[[#This Row],[Time]]&gt;=0.75)=TRUE, "Evening", "Night")))</f>
        <v>Morning</v>
      </c>
      <c r="G359" t="str">
        <f>_xlfn.XLOOKUP(AllData[[#This Row],[Location Name]], Locations[Location Name],Locations[Group As])</f>
        <v>Chipping Campden Craves</v>
      </c>
      <c r="H359" t="e" vm="9">
        <f>_xlfn.XLOOKUP(AllData[[#This Row],[Site Name]],LocationsKey[Site Name],LocationsKey[District])</f>
        <v>#VALUE!</v>
      </c>
      <c r="I359" t="e" vm="10">
        <f>_xlfn.XLOOKUP(AllData[[#This Row],[Site Name]],LocationsKey[Site Name],LocationsKey[Town])</f>
        <v>#VALUE!</v>
      </c>
      <c r="J359" t="str">
        <f>_xlfn.XLOOKUP(AllData[[#This Row],[Site Name]],LocationsKey[Site Name], LocationsKey[Waterway])</f>
        <v>Cam Brook</v>
      </c>
      <c r="K359" s="139" t="s">
        <v>2458</v>
      </c>
      <c r="L359" s="139">
        <v>52.048766000000001</v>
      </c>
      <c r="M359" s="156">
        <v>-1.786362</v>
      </c>
      <c r="N359" s="139" t="s">
        <v>68</v>
      </c>
      <c r="O359" s="139">
        <v>433</v>
      </c>
      <c r="P359" s="139">
        <v>10.3</v>
      </c>
      <c r="Q359" s="139">
        <v>5</v>
      </c>
      <c r="R359" s="107" t="str">
        <f>IF(AllData[[#This Row],[Nitrate (PPM)]]&gt;2, "Very high", IF(AllData[[#This Row],[Nitrate (PPM)]]&gt;1, "High", IF(AllData[[#This Row],[Nitrate (PPM)]]&gt;0.5, "Some evidence", IF(AllData[[#This Row],[Nitrate (PPM)]]&gt;=0, "No evidence"))))</f>
        <v>Very high</v>
      </c>
      <c r="S359" s="139">
        <v>0.9</v>
      </c>
      <c r="T359" s="7" t="str">
        <f>IF(AllData[[#This Row],[Phosphate (PPM)]]&gt;0.5, "Very high", IF(AllData[[#This Row],[Phosphate (PPM)]]&gt;0.1, "High", IF(AllData[[#This Row],[Phosphate (PPM)]]&gt;0.05, "Some evidence", IF(AllData[[#This Row],[Phosphate (PPM)]]&lt;=0.05, "No Evidence", ""))))</f>
        <v>Very high</v>
      </c>
      <c r="U359" s="139">
        <v>29</v>
      </c>
      <c r="V359" s="139"/>
    </row>
    <row r="360" spans="1:22" x14ac:dyDescent="0.35">
      <c r="A360" s="139" t="s">
        <v>3004</v>
      </c>
      <c r="B360" s="146">
        <v>45691</v>
      </c>
      <c r="C360" s="2" t="str" cm="1">
        <f t="array" ref="C3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0">
        <v>2024</v>
      </c>
      <c r="E360" s="147">
        <v>0.68125000000000002</v>
      </c>
      <c r="F360" t="str">
        <f>IF(AND(AllData[[#This Row],[Time]]&lt;0.5, AllData[[#This Row],[Time]]&gt;0.17)=TRUE, "Morning", IF(AND(AllData[[#This Row],[Time]]&lt;0.75, AllData[[#This Row],[Time]]&gt;=0.5)=TRUE, "Afternoon", IF(AND(AllData[[#This Row],[Time]]&lt;1, AllData[[#This Row],[Time]]&gt;=0.75)=TRUE, "Evening", "Night")))</f>
        <v>Afternoon</v>
      </c>
      <c r="G360" t="str">
        <f>_xlfn.XLOOKUP(AllData[[#This Row],[Location Name]], Locations[Location Name],Locations[Group As])</f>
        <v>Carrant Mitton Path</v>
      </c>
      <c r="H360" t="e" vm="4">
        <f>_xlfn.XLOOKUP(AllData[[#This Row],[Site Name]],LocationsKey[Site Name],LocationsKey[District])</f>
        <v>#VALUE!</v>
      </c>
      <c r="I360" t="e" vm="4">
        <f>_xlfn.XLOOKUP(AllData[[#This Row],[Site Name]],LocationsKey[Site Name],LocationsKey[Town])</f>
        <v>#VALUE!</v>
      </c>
      <c r="J360" t="str">
        <f>_xlfn.XLOOKUP(AllData[[#This Row],[Site Name]],LocationsKey[Site Name], LocationsKey[Waterway])</f>
        <v>Carrant</v>
      </c>
      <c r="K360" s="139" t="s">
        <v>1064</v>
      </c>
      <c r="L360" s="139">
        <v>51.999837999999997</v>
      </c>
      <c r="M360" s="156">
        <v>-2.1409039999999999</v>
      </c>
      <c r="N360" s="139" t="s">
        <v>31</v>
      </c>
      <c r="O360" s="139">
        <v>7380</v>
      </c>
      <c r="P360" s="139">
        <v>8.5</v>
      </c>
      <c r="Q360" s="139">
        <v>3</v>
      </c>
      <c r="R360" s="107" t="str">
        <f>IF(AllData[[#This Row],[Nitrate (PPM)]]&gt;2, "Very high", IF(AllData[[#This Row],[Nitrate (PPM)]]&gt;1, "High", IF(AllData[[#This Row],[Nitrate (PPM)]]&gt;0.5, "Some evidence", IF(AllData[[#This Row],[Nitrate (PPM)]]&gt;=0, "No evidence"))))</f>
        <v>Very high</v>
      </c>
      <c r="S360" s="139">
        <v>0.51</v>
      </c>
      <c r="T360" s="7" t="str">
        <f>IF(AllData[[#This Row],[Phosphate (PPM)]]&gt;0.5, "Very high", IF(AllData[[#This Row],[Phosphate (PPM)]]&gt;0.1, "High", IF(AllData[[#This Row],[Phosphate (PPM)]]&gt;0.05, "Some evidence", IF(AllData[[#This Row],[Phosphate (PPM)]]&lt;=0.05, "No Evidence", ""))))</f>
        <v>Very high</v>
      </c>
      <c r="U360" s="139">
        <v>0</v>
      </c>
      <c r="V360" s="139" t="s">
        <v>2873</v>
      </c>
    </row>
    <row r="361" spans="1:22" x14ac:dyDescent="0.35">
      <c r="A361" s="139" t="s">
        <v>3002</v>
      </c>
      <c r="B361" s="146">
        <v>45691</v>
      </c>
      <c r="C361" s="2" t="str" cm="1">
        <f t="array" ref="C3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1">
        <v>2024</v>
      </c>
      <c r="E361" s="147">
        <v>0.39166666666666666</v>
      </c>
      <c r="F361" t="str">
        <f>IF(AND(AllData[[#This Row],[Time]]&lt;0.5, AllData[[#This Row],[Time]]&gt;0.17)=TRUE, "Morning", IF(AND(AllData[[#This Row],[Time]]&lt;0.75, AllData[[#This Row],[Time]]&gt;=0.5)=TRUE, "Afternoon", IF(AND(AllData[[#This Row],[Time]]&lt;1, AllData[[#This Row],[Time]]&gt;=0.75)=TRUE, "Evening", "Night")))</f>
        <v>Morning</v>
      </c>
      <c r="G361" t="str">
        <f>_xlfn.XLOOKUP(AllData[[#This Row],[Location Name]], Locations[Location Name],Locations[Group As])</f>
        <v>Dock Lane Bredon</v>
      </c>
      <c r="H361" t="e" vm="6">
        <f>_xlfn.XLOOKUP(AllData[[#This Row],[Site Name]],LocationsKey[Site Name],LocationsKey[District])</f>
        <v>#VALUE!</v>
      </c>
      <c r="I361" t="e" vm="11">
        <f>_xlfn.XLOOKUP(AllData[[#This Row],[Site Name]],LocationsKey[Site Name],LocationsKey[Town])</f>
        <v>#VALUE!</v>
      </c>
      <c r="J361" t="str">
        <f>_xlfn.XLOOKUP(AllData[[#This Row],[Site Name]],LocationsKey[Site Name], LocationsKey[Waterway])</f>
        <v>Avon</v>
      </c>
      <c r="K361" s="139" t="s">
        <v>2374</v>
      </c>
      <c r="L361" s="139">
        <v>52.031199999999998</v>
      </c>
      <c r="M361" s="156">
        <v>-2.1140479999999999</v>
      </c>
      <c r="N361" s="139" t="s">
        <v>31</v>
      </c>
      <c r="O361" s="139">
        <v>7350</v>
      </c>
      <c r="P361" s="139">
        <v>8.3000000000000007</v>
      </c>
      <c r="Q361" s="139">
        <v>2</v>
      </c>
      <c r="R361" s="107" t="str">
        <f>IF(AllData[[#This Row],[Nitrate (PPM)]]&gt;2, "Very high", IF(AllData[[#This Row],[Nitrate (PPM)]]&gt;1, "High", IF(AllData[[#This Row],[Nitrate (PPM)]]&gt;0.5, "Some evidence", IF(AllData[[#This Row],[Nitrate (PPM)]]&gt;=0, "No evidence"))))</f>
        <v>High</v>
      </c>
      <c r="S361" s="139">
        <v>0.5</v>
      </c>
      <c r="T361" s="7" t="str">
        <f>IF(AllData[[#This Row],[Phosphate (PPM)]]&gt;0.5, "Very high", IF(AllData[[#This Row],[Phosphate (PPM)]]&gt;0.1, "High", IF(AllData[[#This Row],[Phosphate (PPM)]]&gt;0.05, "Some evidence", IF(AllData[[#This Row],[Phosphate (PPM)]]&lt;=0.05, "No Evidence", ""))))</f>
        <v>High</v>
      </c>
      <c r="U361" s="139">
        <v>1</v>
      </c>
      <c r="V361" s="139"/>
    </row>
    <row r="362" spans="1:22" x14ac:dyDescent="0.35">
      <c r="A362" s="139" t="s">
        <v>2997</v>
      </c>
      <c r="B362" s="146">
        <v>45690</v>
      </c>
      <c r="C362" s="2" t="str" cm="1">
        <f t="array" ref="C3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2">
        <v>2024</v>
      </c>
      <c r="E362" s="147">
        <v>0.58333333333333337</v>
      </c>
      <c r="F362" t="str">
        <f>IF(AND(AllData[[#This Row],[Time]]&lt;0.5, AllData[[#This Row],[Time]]&gt;0.17)=TRUE, "Morning", IF(AND(AllData[[#This Row],[Time]]&lt;0.75, AllData[[#This Row],[Time]]&gt;=0.5)=TRUE, "Afternoon", IF(AND(AllData[[#This Row],[Time]]&lt;1, AllData[[#This Row],[Time]]&gt;=0.75)=TRUE, "Evening", "Night")))</f>
        <v>Afternoon</v>
      </c>
      <c r="G362" t="str">
        <f>_xlfn.XLOOKUP(AllData[[#This Row],[Location Name]], Locations[Location Name],Locations[Group As])</f>
        <v>Clifford Chambers Mill Bridge</v>
      </c>
      <c r="H362" t="e" vm="1">
        <f>_xlfn.XLOOKUP(AllData[[#This Row],[Site Name]],LocationsKey[Site Name],LocationsKey[District])</f>
        <v>#VALUE!</v>
      </c>
      <c r="I362" t="e" vm="22">
        <f>_xlfn.XLOOKUP(AllData[[#This Row],[Site Name]],LocationsKey[Site Name],LocationsKey[Town])</f>
        <v>#VALUE!</v>
      </c>
      <c r="J362" t="str">
        <f>_xlfn.XLOOKUP(AllData[[#This Row],[Site Name]],LocationsKey[Site Name], LocationsKey[Waterway])</f>
        <v>Stour</v>
      </c>
      <c r="K362" s="139" t="s">
        <v>334</v>
      </c>
      <c r="L362" s="139">
        <v>52.166370000000001</v>
      </c>
      <c r="M362" s="156">
        <v>-1.708032</v>
      </c>
      <c r="N362" s="139" t="s">
        <v>68</v>
      </c>
      <c r="O362" s="139">
        <v>609</v>
      </c>
      <c r="P362" s="139">
        <v>7.7</v>
      </c>
      <c r="Q362" s="139">
        <v>8</v>
      </c>
      <c r="R362" s="107" t="str">
        <f>IF(AllData[[#This Row],[Nitrate (PPM)]]&gt;2, "Very high", IF(AllData[[#This Row],[Nitrate (PPM)]]&gt;1, "High", IF(AllData[[#This Row],[Nitrate (PPM)]]&gt;0.5, "Some evidence", IF(AllData[[#This Row],[Nitrate (PPM)]]&gt;=0, "No evidence"))))</f>
        <v>Very high</v>
      </c>
      <c r="S362" s="139">
        <v>0.22</v>
      </c>
      <c r="T362" s="7" t="str">
        <f>IF(AllData[[#This Row],[Phosphate (PPM)]]&gt;0.5, "Very high", IF(AllData[[#This Row],[Phosphate (PPM)]]&gt;0.1, "High", IF(AllData[[#This Row],[Phosphate (PPM)]]&gt;0.05, "Some evidence", IF(AllData[[#This Row],[Phosphate (PPM)]]&lt;=0.05, "No Evidence", ""))))</f>
        <v>High</v>
      </c>
      <c r="U362" s="139">
        <v>1.25</v>
      </c>
      <c r="V362" s="139"/>
    </row>
    <row r="363" spans="1:22" x14ac:dyDescent="0.35">
      <c r="A363" s="139" t="s">
        <v>2994</v>
      </c>
      <c r="B363" s="146">
        <v>45690</v>
      </c>
      <c r="C363" s="2" t="str" cm="1">
        <f t="array" ref="C3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3">
        <v>2024</v>
      </c>
      <c r="E363" s="147">
        <v>0.58333333333333337</v>
      </c>
      <c r="F363" t="str">
        <f>IF(AND(AllData[[#This Row],[Time]]&lt;0.5, AllData[[#This Row],[Time]]&gt;0.17)=TRUE, "Morning", IF(AND(AllData[[#This Row],[Time]]&lt;0.75, AllData[[#This Row],[Time]]&gt;=0.5)=TRUE, "Afternoon", IF(AND(AllData[[#This Row],[Time]]&lt;1, AllData[[#This Row],[Time]]&gt;=0.75)=TRUE, "Evening", "Night")))</f>
        <v>Afternoon</v>
      </c>
      <c r="G363" t="str">
        <f>_xlfn.XLOOKUP(AllData[[#This Row],[Location Name]], Locations[Location Name],Locations[Group As])</f>
        <v>Sherbourne Brook 2</v>
      </c>
      <c r="H363" t="e" vm="1">
        <f>_xlfn.XLOOKUP(AllData[[#This Row],[Site Name]],LocationsKey[Site Name],LocationsKey[District])</f>
        <v>#VALUE!</v>
      </c>
      <c r="I363" t="str">
        <f>_xlfn.XLOOKUP(AllData[[#This Row],[Site Name]],LocationsKey[Site Name],LocationsKey[Town])</f>
        <v>Unknown</v>
      </c>
      <c r="J363" t="str">
        <f>_xlfn.XLOOKUP(AllData[[#This Row],[Site Name]],LocationsKey[Site Name], LocationsKey[Waterway])</f>
        <v>Sherbourne Brook</v>
      </c>
      <c r="K363" s="139" t="s">
        <v>2995</v>
      </c>
      <c r="L363" s="139"/>
      <c r="M363" s="156"/>
      <c r="N363" s="139"/>
      <c r="O363" s="139">
        <v>960</v>
      </c>
      <c r="P363" s="139">
        <v>7.6</v>
      </c>
      <c r="Q363" s="139">
        <v>7</v>
      </c>
      <c r="R363" s="107" t="str">
        <f>IF(AllData[[#This Row],[Nitrate (PPM)]]&gt;2, "Very high", IF(AllData[[#This Row],[Nitrate (PPM)]]&gt;1, "High", IF(AllData[[#This Row],[Nitrate (PPM)]]&gt;0.5, "Some evidence", IF(AllData[[#This Row],[Nitrate (PPM)]]&gt;=0, "No evidence"))))</f>
        <v>Very high</v>
      </c>
      <c r="S363" s="139">
        <v>0.54</v>
      </c>
      <c r="T363" s="7" t="str">
        <f>IF(AllData[[#This Row],[Phosphate (PPM)]]&gt;0.5, "Very high", IF(AllData[[#This Row],[Phosphate (PPM)]]&gt;0.1, "High", IF(AllData[[#This Row],[Phosphate (PPM)]]&gt;0.05, "Some evidence", IF(AllData[[#This Row],[Phosphate (PPM)]]&lt;=0.05, "No Evidence", ""))))</f>
        <v>Very high</v>
      </c>
      <c r="U363" s="139">
        <v>0.15</v>
      </c>
      <c r="V363" s="139" t="s">
        <v>2996</v>
      </c>
    </row>
    <row r="364" spans="1:22" x14ac:dyDescent="0.35">
      <c r="A364" s="139" t="s">
        <v>2998</v>
      </c>
      <c r="B364" s="146">
        <v>45690</v>
      </c>
      <c r="C364" s="2" t="str" cm="1">
        <f t="array" ref="C3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4">
        <v>2024</v>
      </c>
      <c r="E364" s="147">
        <v>0.58472222222222225</v>
      </c>
      <c r="F364" t="str">
        <f>IF(AND(AllData[[#This Row],[Time]]&lt;0.5, AllData[[#This Row],[Time]]&gt;0.17)=TRUE, "Morning", IF(AND(AllData[[#This Row],[Time]]&lt;0.75, AllData[[#This Row],[Time]]&gt;=0.5)=TRUE, "Afternoon", IF(AND(AllData[[#This Row],[Time]]&lt;1, AllData[[#This Row],[Time]]&gt;=0.75)=TRUE, "Evening", "Night")))</f>
        <v>Afternoon</v>
      </c>
      <c r="G364" t="str">
        <f>_xlfn.XLOOKUP(AllData[[#This Row],[Location Name]], Locations[Location Name],Locations[Group As])</f>
        <v>Site 3  :  Severn Trent Water processing plant outflow</v>
      </c>
      <c r="H364" t="e" vm="1">
        <f>_xlfn.XLOOKUP(AllData[[#This Row],[Site Name]],LocationsKey[Site Name],LocationsKey[District])</f>
        <v>#VALUE!</v>
      </c>
      <c r="I364" t="e" vm="14">
        <f>_xlfn.XLOOKUP(AllData[[#This Row],[Site Name]],LocationsKey[Site Name],LocationsKey[Town])</f>
        <v>#VALUE!</v>
      </c>
      <c r="J364" t="str">
        <f>_xlfn.XLOOKUP(AllData[[#This Row],[Site Name]],LocationsKey[Site Name], LocationsKey[Waterway])</f>
        <v>Fosseway Brook</v>
      </c>
      <c r="K364" s="139" t="s">
        <v>2846</v>
      </c>
      <c r="L364" s="139">
        <v>52.094509000000002</v>
      </c>
      <c r="M364" s="156">
        <v>-1.675608</v>
      </c>
      <c r="N364" s="139" t="s">
        <v>31</v>
      </c>
      <c r="O364" s="139">
        <v>841</v>
      </c>
      <c r="P364" s="139">
        <v>7</v>
      </c>
      <c r="Q364" s="139">
        <v>5</v>
      </c>
      <c r="R364" s="107" t="str">
        <f>IF(AllData[[#This Row],[Nitrate (PPM)]]&gt;2, "Very high", IF(AllData[[#This Row],[Nitrate (PPM)]]&gt;1, "High", IF(AllData[[#This Row],[Nitrate (PPM)]]&gt;0.5, "Some evidence", IF(AllData[[#This Row],[Nitrate (PPM)]]&gt;=0, "No evidence"))))</f>
        <v>Very high</v>
      </c>
      <c r="S364" s="139">
        <v>5.0999999999999996</v>
      </c>
      <c r="T364" s="7" t="str">
        <f>IF(AllData[[#This Row],[Phosphate (PPM)]]&gt;0.5, "Very high", IF(AllData[[#This Row],[Phosphate (PPM)]]&gt;0.1, "High", IF(AllData[[#This Row],[Phosphate (PPM)]]&gt;0.05, "Some evidence", IF(AllData[[#This Row],[Phosphate (PPM)]]&lt;=0.05, "No Evidence", ""))))</f>
        <v>Very high</v>
      </c>
      <c r="U364" s="139">
        <v>0.3</v>
      </c>
      <c r="V364" s="139"/>
    </row>
    <row r="365" spans="1:22" x14ac:dyDescent="0.35">
      <c r="A365" s="139" t="s">
        <v>2988</v>
      </c>
      <c r="B365" s="146">
        <v>45690</v>
      </c>
      <c r="C365" s="2" t="str" cm="1">
        <f t="array" ref="C3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5">
        <v>2024</v>
      </c>
      <c r="E365" s="147">
        <v>0.44097222222222221</v>
      </c>
      <c r="F365" t="str">
        <f>IF(AND(AllData[[#This Row],[Time]]&lt;0.5, AllData[[#This Row],[Time]]&gt;0.17)=TRUE, "Morning", IF(AND(AllData[[#This Row],[Time]]&lt;0.75, AllData[[#This Row],[Time]]&gt;=0.5)=TRUE, "Afternoon", IF(AND(AllData[[#This Row],[Time]]&lt;1, AllData[[#This Row],[Time]]&gt;=0.75)=TRUE, "Evening", "Night")))</f>
        <v>Morning</v>
      </c>
      <c r="G365" t="str">
        <f>_xlfn.XLOOKUP(AllData[[#This Row],[Location Name]], Locations[Location Name],Locations[Group As])</f>
        <v>Avonbank Drive</v>
      </c>
      <c r="H365" t="e" vm="1">
        <f>_xlfn.XLOOKUP(AllData[[#This Row],[Site Name]],LocationsKey[Site Name],LocationsKey[District])</f>
        <v>#VALUE!</v>
      </c>
      <c r="I365" t="e" vm="12">
        <f>_xlfn.XLOOKUP(AllData[[#This Row],[Site Name]],LocationsKey[Site Name],LocationsKey[Town])</f>
        <v>#VALUE!</v>
      </c>
      <c r="J365" t="str">
        <f>_xlfn.XLOOKUP(AllData[[#This Row],[Site Name]],LocationsKey[Site Name], LocationsKey[Waterway])</f>
        <v>Avon</v>
      </c>
      <c r="K365" s="139" t="s">
        <v>2530</v>
      </c>
      <c r="L365" s="139">
        <v>52.177149</v>
      </c>
      <c r="M365" s="156">
        <v>-1.735752</v>
      </c>
      <c r="N365" s="139" t="s">
        <v>68</v>
      </c>
      <c r="O365" s="139">
        <v>779</v>
      </c>
      <c r="P365" s="139">
        <v>7.7</v>
      </c>
      <c r="Q365" s="139">
        <v>5</v>
      </c>
      <c r="R365" s="107" t="str">
        <f>IF(AllData[[#This Row],[Nitrate (PPM)]]&gt;2, "Very high", IF(AllData[[#This Row],[Nitrate (PPM)]]&gt;1, "High", IF(AllData[[#This Row],[Nitrate (PPM)]]&gt;0.5, "Some evidence", IF(AllData[[#This Row],[Nitrate (PPM)]]&gt;=0, "No evidence"))))</f>
        <v>Very high</v>
      </c>
      <c r="S365" s="139">
        <v>0.39</v>
      </c>
      <c r="T365" s="7" t="str">
        <f>IF(AllData[[#This Row],[Phosphate (PPM)]]&gt;0.5, "Very high", IF(AllData[[#This Row],[Phosphate (PPM)]]&gt;0.1, "High", IF(AllData[[#This Row],[Phosphate (PPM)]]&gt;0.05, "Some evidence", IF(AllData[[#This Row],[Phosphate (PPM)]]&lt;=0.05, "No Evidence", ""))))</f>
        <v>High</v>
      </c>
      <c r="U365" s="139">
        <v>0.8</v>
      </c>
      <c r="V365" s="139" t="s">
        <v>2986</v>
      </c>
    </row>
    <row r="366" spans="1:22" x14ac:dyDescent="0.35">
      <c r="A366" s="139" t="s">
        <v>2991</v>
      </c>
      <c r="B366" s="146">
        <v>45690</v>
      </c>
      <c r="C366" s="2" t="str" cm="1">
        <f t="array" ref="C3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6">
        <v>2024</v>
      </c>
      <c r="E366" s="147">
        <v>0.51388888888888884</v>
      </c>
      <c r="F366" t="str">
        <f>IF(AND(AllData[[#This Row],[Time]]&lt;0.5, AllData[[#This Row],[Time]]&gt;0.17)=TRUE, "Morning", IF(AND(AllData[[#This Row],[Time]]&lt;0.75, AllData[[#This Row],[Time]]&gt;=0.5)=TRUE, "Afternoon", IF(AND(AllData[[#This Row],[Time]]&lt;1, AllData[[#This Row],[Time]]&gt;=0.75)=TRUE, "Evening", "Night")))</f>
        <v>Afternoon</v>
      </c>
      <c r="G366" t="str">
        <f>_xlfn.XLOOKUP(AllData[[#This Row],[Location Name]], Locations[Location Name],Locations[Group As])</f>
        <v>SSC Bredons Norton</v>
      </c>
      <c r="H366" t="e" vm="6">
        <f>_xlfn.XLOOKUP(AllData[[#This Row],[Site Name]],LocationsKey[Site Name],LocationsKey[District])</f>
        <v>#VALUE!</v>
      </c>
      <c r="I366" t="str">
        <f>_xlfn.XLOOKUP(AllData[[#This Row],[Site Name]],LocationsKey[Site Name],LocationsKey[Town])</f>
        <v>Bredon's Norton</v>
      </c>
      <c r="J366" t="str">
        <f>_xlfn.XLOOKUP(AllData[[#This Row],[Site Name]],LocationsKey[Site Name], LocationsKey[Waterway])</f>
        <v>Avon</v>
      </c>
      <c r="K366" s="139" t="s">
        <v>2121</v>
      </c>
      <c r="L366" s="139">
        <v>52.050865000000002</v>
      </c>
      <c r="M366" s="156">
        <v>-2.1170789999999999</v>
      </c>
      <c r="N366" s="139" t="s">
        <v>25</v>
      </c>
      <c r="O366" s="139">
        <v>685</v>
      </c>
      <c r="P366" s="139">
        <v>7.7</v>
      </c>
      <c r="Q366" s="139">
        <v>5</v>
      </c>
      <c r="R366" s="107" t="str">
        <f>IF(AllData[[#This Row],[Nitrate (PPM)]]&gt;2, "Very high", IF(AllData[[#This Row],[Nitrate (PPM)]]&gt;1, "High", IF(AllData[[#This Row],[Nitrate (PPM)]]&gt;0.5, "Some evidence", IF(AllData[[#This Row],[Nitrate (PPM)]]&gt;=0, "No evidence"))))</f>
        <v>Very high</v>
      </c>
      <c r="S366" s="139">
        <v>0.42</v>
      </c>
      <c r="T366" s="7" t="str">
        <f>IF(AllData[[#This Row],[Phosphate (PPM)]]&gt;0.5, "Very high", IF(AllData[[#This Row],[Phosphate (PPM)]]&gt;0.1, "High", IF(AllData[[#This Row],[Phosphate (PPM)]]&gt;0.05, "Some evidence", IF(AllData[[#This Row],[Phosphate (PPM)]]&lt;=0.05, "No Evidence", ""))))</f>
        <v>High</v>
      </c>
      <c r="U366" s="139">
        <v>1</v>
      </c>
      <c r="V366" s="139"/>
    </row>
    <row r="367" spans="1:22" x14ac:dyDescent="0.35">
      <c r="A367" s="139" t="s">
        <v>2999</v>
      </c>
      <c r="B367" s="146">
        <v>45690</v>
      </c>
      <c r="C367" s="2" t="str" cm="1">
        <f t="array" ref="C3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7">
        <v>2024</v>
      </c>
      <c r="E367" s="147">
        <v>0.59375</v>
      </c>
      <c r="F367" t="str">
        <f>IF(AND(AllData[[#This Row],[Time]]&lt;0.5, AllData[[#This Row],[Time]]&gt;0.17)=TRUE, "Morning", IF(AND(AllData[[#This Row],[Time]]&lt;0.75, AllData[[#This Row],[Time]]&gt;=0.5)=TRUE, "Afternoon", IF(AND(AllData[[#This Row],[Time]]&lt;1, AllData[[#This Row],[Time]]&gt;=0.75)=TRUE, "Evening", "Night")))</f>
        <v>Afternoon</v>
      </c>
      <c r="G367" t="str">
        <f>_xlfn.XLOOKUP(AllData[[#This Row],[Location Name]], Locations[Location Name],Locations[Group As])</f>
        <v>Bell Brook 1</v>
      </c>
      <c r="H367" t="e" vm="1">
        <f>_xlfn.XLOOKUP(AllData[[#This Row],[Site Name]],LocationsKey[Site Name],LocationsKey[District])</f>
        <v>#VALUE!</v>
      </c>
      <c r="I367" t="e" vm="19">
        <f>_xlfn.XLOOKUP(AllData[[#This Row],[Site Name]],LocationsKey[Site Name],LocationsKey[Town])</f>
        <v>#VALUE!</v>
      </c>
      <c r="J367" t="str">
        <f>_xlfn.XLOOKUP(AllData[[#This Row],[Site Name]],LocationsKey[Site Name], LocationsKey[Waterway])</f>
        <v>Bell Brook</v>
      </c>
      <c r="K367" s="139" t="s">
        <v>3000</v>
      </c>
      <c r="L367" s="139"/>
      <c r="M367" s="156"/>
      <c r="N367" s="139"/>
      <c r="O367" s="139">
        <v>585</v>
      </c>
      <c r="P367" s="139">
        <v>8.8000000000000007</v>
      </c>
      <c r="Q367" s="139">
        <v>4</v>
      </c>
      <c r="R367" s="107" t="str">
        <f>IF(AllData[[#This Row],[Nitrate (PPM)]]&gt;2, "Very high", IF(AllData[[#This Row],[Nitrate (PPM)]]&gt;1, "High", IF(AllData[[#This Row],[Nitrate (PPM)]]&gt;0.5, "Some evidence", IF(AllData[[#This Row],[Nitrate (PPM)]]&gt;=0, "No evidence"))))</f>
        <v>Very high</v>
      </c>
      <c r="S367" s="139">
        <v>0.76</v>
      </c>
      <c r="T367" s="7" t="str">
        <f>IF(AllData[[#This Row],[Phosphate (PPM)]]&gt;0.5, "Very high", IF(AllData[[#This Row],[Phosphate (PPM)]]&gt;0.1, "High", IF(AllData[[#This Row],[Phosphate (PPM)]]&gt;0.05, "Some evidence", IF(AllData[[#This Row],[Phosphate (PPM)]]&lt;=0.05, "No Evidence", ""))))</f>
        <v>Very high</v>
      </c>
      <c r="U367" s="139">
        <v>0.15</v>
      </c>
      <c r="V367" s="139" t="s">
        <v>2996</v>
      </c>
    </row>
    <row r="368" spans="1:22" x14ac:dyDescent="0.35">
      <c r="A368" s="140" t="s">
        <v>2985</v>
      </c>
      <c r="B368" s="146">
        <v>45690</v>
      </c>
      <c r="C368" s="2" t="str" cm="1">
        <f t="array" ref="C3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8">
        <v>2024</v>
      </c>
      <c r="E368" s="147">
        <v>0.4236111111111111</v>
      </c>
      <c r="F368" t="str">
        <f>IF(AND(AllData[[#This Row],[Time]]&lt;0.5, AllData[[#This Row],[Time]]&gt;0.17)=TRUE, "Morning", IF(AND(AllData[[#This Row],[Time]]&lt;0.75, AllData[[#This Row],[Time]]&gt;=0.5)=TRUE, "Afternoon", IF(AND(AllData[[#This Row],[Time]]&lt;1, AllData[[#This Row],[Time]]&gt;=0.75)=TRUE, "Evening", "Night")))</f>
        <v>Morning</v>
      </c>
      <c r="G368" t="str">
        <f>_xlfn.XLOOKUP(AllData[[#This Row],[Location Name]], Locations[Location Name],Locations[Group As])</f>
        <v>Pitch 16</v>
      </c>
      <c r="H368" t="e" vm="1">
        <f>_xlfn.XLOOKUP(AllData[[#This Row],[Site Name]],LocationsKey[Site Name],LocationsKey[District])</f>
        <v>#VALUE!</v>
      </c>
      <c r="I368" t="e" vm="12">
        <f>_xlfn.XLOOKUP(AllData[[#This Row],[Site Name]],LocationsKey[Site Name],LocationsKey[Town])</f>
        <v>#VALUE!</v>
      </c>
      <c r="J368" t="str">
        <f>_xlfn.XLOOKUP(AllData[[#This Row],[Site Name]],LocationsKey[Site Name], LocationsKey[Waterway])</f>
        <v>Avon</v>
      </c>
      <c r="K368" s="139" t="s">
        <v>2532</v>
      </c>
      <c r="L368" s="139">
        <v>52.172628000000003</v>
      </c>
      <c r="M368" s="156">
        <v>-1.7454229999999999</v>
      </c>
      <c r="N368" s="139" t="s">
        <v>31</v>
      </c>
      <c r="O368" s="139">
        <v>762</v>
      </c>
      <c r="P368" s="139">
        <v>8.3000000000000007</v>
      </c>
      <c r="Q368" s="139">
        <v>3</v>
      </c>
      <c r="R368" s="107" t="str">
        <f>IF(AllData[[#This Row],[Nitrate (PPM)]]&gt;2, "Very high", IF(AllData[[#This Row],[Nitrate (PPM)]]&gt;1, "High", IF(AllData[[#This Row],[Nitrate (PPM)]]&gt;0.5, "Some evidence", IF(AllData[[#This Row],[Nitrate (PPM)]]&gt;=0, "No evidence"))))</f>
        <v>Very high</v>
      </c>
      <c r="S368" s="139">
        <v>0.33</v>
      </c>
      <c r="T368" s="7" t="str">
        <f>IF(AllData[[#This Row],[Phosphate (PPM)]]&gt;0.5, "Very high", IF(AllData[[#This Row],[Phosphate (PPM)]]&gt;0.1, "High", IF(AllData[[#This Row],[Phosphate (PPM)]]&gt;0.05, "Some evidence", IF(AllData[[#This Row],[Phosphate (PPM)]]&lt;=0.05, "No Evidence", ""))))</f>
        <v>High</v>
      </c>
      <c r="U368" s="139">
        <v>0.8</v>
      </c>
      <c r="V368" s="139" t="s">
        <v>2986</v>
      </c>
    </row>
    <row r="369" spans="1:22" x14ac:dyDescent="0.35">
      <c r="A369" s="139" t="s">
        <v>2984</v>
      </c>
      <c r="B369" s="146">
        <v>45690</v>
      </c>
      <c r="C369" s="2" t="str" cm="1">
        <f t="array" ref="C3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69">
        <v>2024</v>
      </c>
      <c r="E369" s="147">
        <v>0.36527777777777776</v>
      </c>
      <c r="F369" t="str">
        <f>IF(AND(AllData[[#This Row],[Time]]&lt;0.5, AllData[[#This Row],[Time]]&gt;0.17)=TRUE, "Morning", IF(AND(AllData[[#This Row],[Time]]&lt;0.75, AllData[[#This Row],[Time]]&gt;=0.5)=TRUE, "Afternoon", IF(AND(AllData[[#This Row],[Time]]&lt;1, AllData[[#This Row],[Time]]&gt;=0.75)=TRUE, "Evening", "Night")))</f>
        <v>Morning</v>
      </c>
      <c r="G369" t="str">
        <f>_xlfn.XLOOKUP(AllData[[#This Row],[Location Name]], Locations[Location Name],Locations[Group As])</f>
        <v>Lower Lode</v>
      </c>
      <c r="H369" t="e" vm="4">
        <f>_xlfn.XLOOKUP(AllData[[#This Row],[Site Name]],LocationsKey[Site Name],LocationsKey[District])</f>
        <v>#VALUE!</v>
      </c>
      <c r="I369" t="e" vm="4">
        <f>_xlfn.XLOOKUP(AllData[[#This Row],[Site Name]],LocationsKey[Site Name],LocationsKey[Town])</f>
        <v>#VALUE!</v>
      </c>
      <c r="J369" t="str">
        <f>_xlfn.XLOOKUP(AllData[[#This Row],[Site Name]],LocationsKey[Site Name], LocationsKey[Waterway])</f>
        <v>Avon</v>
      </c>
      <c r="K369" s="139" t="s">
        <v>595</v>
      </c>
      <c r="L369" s="139">
        <v>51.985100000000003</v>
      </c>
      <c r="M369" s="156">
        <v>-2.174137</v>
      </c>
      <c r="N369" s="139" t="s">
        <v>31</v>
      </c>
      <c r="O369" s="139">
        <v>6600</v>
      </c>
      <c r="P369" s="139">
        <v>7.4</v>
      </c>
      <c r="Q369" s="139">
        <v>2</v>
      </c>
      <c r="R369" s="107" t="str">
        <f>IF(AllData[[#This Row],[Nitrate (PPM)]]&gt;2, "Very high", IF(AllData[[#This Row],[Nitrate (PPM)]]&gt;1, "High", IF(AllData[[#This Row],[Nitrate (PPM)]]&gt;0.5, "Some evidence", IF(AllData[[#This Row],[Nitrate (PPM)]]&gt;=0, "No evidence"))))</f>
        <v>High</v>
      </c>
      <c r="S369" s="139">
        <v>0.49</v>
      </c>
      <c r="T369" s="7" t="str">
        <f>IF(AllData[[#This Row],[Phosphate (PPM)]]&gt;0.5, "Very high", IF(AllData[[#This Row],[Phosphate (PPM)]]&gt;0.1, "High", IF(AllData[[#This Row],[Phosphate (PPM)]]&gt;0.05, "Some evidence", IF(AllData[[#This Row],[Phosphate (PPM)]]&lt;=0.05, "No Evidence", ""))))</f>
        <v>High</v>
      </c>
      <c r="U369" s="139">
        <v>3</v>
      </c>
      <c r="V369" s="139"/>
    </row>
    <row r="370" spans="1:22" x14ac:dyDescent="0.35">
      <c r="A370" s="139" t="s">
        <v>2989</v>
      </c>
      <c r="B370" s="146">
        <v>45690</v>
      </c>
      <c r="C370" s="2" t="str" cm="1">
        <f t="array" ref="C3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0">
        <v>2024</v>
      </c>
      <c r="E370" s="147">
        <v>0.48819444444444443</v>
      </c>
      <c r="F370" t="str">
        <f>IF(AND(AllData[[#This Row],[Time]]&lt;0.5, AllData[[#This Row],[Time]]&gt;0.17)=TRUE, "Morning", IF(AND(AllData[[#This Row],[Time]]&lt;0.75, AllData[[#This Row],[Time]]&gt;=0.5)=TRUE, "Afternoon", IF(AND(AllData[[#This Row],[Time]]&lt;1, AllData[[#This Row],[Time]]&gt;=0.75)=TRUE, "Evening", "Night")))</f>
        <v>Morning</v>
      </c>
      <c r="G370" t="str">
        <f>_xlfn.XLOOKUP(AllData[[#This Row],[Location Name]], Locations[Location Name],Locations[Group As])</f>
        <v>Site 2  :  Cross Leys culvert</v>
      </c>
      <c r="H370" t="e" vm="1">
        <f>_xlfn.XLOOKUP(AllData[[#This Row],[Site Name]],LocationsKey[Site Name],LocationsKey[District])</f>
        <v>#VALUE!</v>
      </c>
      <c r="I370" t="e" vm="14">
        <f>_xlfn.XLOOKUP(AllData[[#This Row],[Site Name]],LocationsKey[Site Name],LocationsKey[Town])</f>
        <v>#VALUE!</v>
      </c>
      <c r="J370" t="str">
        <f>_xlfn.XLOOKUP(AllData[[#This Row],[Site Name]],LocationsKey[Site Name], LocationsKey[Waterway])</f>
        <v>Fosseway Brook</v>
      </c>
      <c r="K370" s="139" t="s">
        <v>2990</v>
      </c>
      <c r="L370" s="139">
        <v>52.092964000000002</v>
      </c>
      <c r="M370" s="156">
        <v>-1.6865589999999999</v>
      </c>
      <c r="N370" s="139" t="s">
        <v>68</v>
      </c>
      <c r="O370" s="139">
        <v>762</v>
      </c>
      <c r="P370" s="139">
        <v>5.0999999999999996</v>
      </c>
      <c r="Q370" s="139">
        <v>2</v>
      </c>
      <c r="R370" s="107" t="str">
        <f>IF(AllData[[#This Row],[Nitrate (PPM)]]&gt;2, "Very high", IF(AllData[[#This Row],[Nitrate (PPM)]]&gt;1, "High", IF(AllData[[#This Row],[Nitrate (PPM)]]&gt;0.5, "Some evidence", IF(AllData[[#This Row],[Nitrate (PPM)]]&gt;=0, "No evidence"))))</f>
        <v>High</v>
      </c>
      <c r="S370" s="139">
        <v>0.3</v>
      </c>
      <c r="T370" s="7" t="str">
        <f>IF(AllData[[#This Row],[Phosphate (PPM)]]&gt;0.5, "Very high", IF(AllData[[#This Row],[Phosphate (PPM)]]&gt;0.1, "High", IF(AllData[[#This Row],[Phosphate (PPM)]]&gt;0.05, "Some evidence", IF(AllData[[#This Row],[Phosphate (PPM)]]&lt;=0.05, "No Evidence", ""))))</f>
        <v>High</v>
      </c>
      <c r="U370" s="139">
        <v>0.3</v>
      </c>
      <c r="V370" s="139"/>
    </row>
    <row r="371" spans="1:22" x14ac:dyDescent="0.35">
      <c r="A371" s="139" t="s">
        <v>2992</v>
      </c>
      <c r="B371" s="146">
        <v>45690</v>
      </c>
      <c r="C371" s="2" t="str" cm="1">
        <f t="array" ref="C3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1">
        <v>2024</v>
      </c>
      <c r="E371" s="147">
        <v>0.56666666666666665</v>
      </c>
      <c r="F371" t="str">
        <f>IF(AND(AllData[[#This Row],[Time]]&lt;0.5, AllData[[#This Row],[Time]]&gt;0.17)=TRUE, "Morning", IF(AND(AllData[[#This Row],[Time]]&lt;0.75, AllData[[#This Row],[Time]]&gt;=0.5)=TRUE, "Afternoon", IF(AND(AllData[[#This Row],[Time]]&lt;1, AllData[[#This Row],[Time]]&gt;=0.75)=TRUE, "Evening", "Night")))</f>
        <v>Afternoon</v>
      </c>
      <c r="G371" t="str">
        <f>_xlfn.XLOOKUP(AllData[[#This Row],[Location Name]], Locations[Location Name],Locations[Group As])</f>
        <v>Site 1  :  Middle Street</v>
      </c>
      <c r="H371" t="e" vm="1">
        <f>_xlfn.XLOOKUP(AllData[[#This Row],[Site Name]],LocationsKey[Site Name],LocationsKey[District])</f>
        <v>#VALUE!</v>
      </c>
      <c r="I371" t="e" vm="14">
        <f>_xlfn.XLOOKUP(AllData[[#This Row],[Site Name]],LocationsKey[Site Name],LocationsKey[Town])</f>
        <v>#VALUE!</v>
      </c>
      <c r="J371" t="str">
        <f>_xlfn.XLOOKUP(AllData[[#This Row],[Site Name]],LocationsKey[Site Name], LocationsKey[Waterway])</f>
        <v>Fosseway Brook</v>
      </c>
      <c r="K371" s="139" t="s">
        <v>2993</v>
      </c>
      <c r="L371" s="139">
        <v>52.090094999999998</v>
      </c>
      <c r="M371" s="156">
        <v>-1.692607</v>
      </c>
      <c r="N371" s="139" t="s">
        <v>68</v>
      </c>
      <c r="O371" s="139">
        <v>680</v>
      </c>
      <c r="P371" s="139">
        <v>5.0999999999999996</v>
      </c>
      <c r="Q371" s="139">
        <v>2</v>
      </c>
      <c r="R371" s="107" t="str">
        <f>IF(AllData[[#This Row],[Nitrate (PPM)]]&gt;2, "Very high", IF(AllData[[#This Row],[Nitrate (PPM)]]&gt;1, "High", IF(AllData[[#This Row],[Nitrate (PPM)]]&gt;0.5, "Some evidence", IF(AllData[[#This Row],[Nitrate (PPM)]]&gt;=0, "No evidence"))))</f>
        <v>High</v>
      </c>
      <c r="S371" s="139">
        <v>0.21</v>
      </c>
      <c r="T371" s="7" t="str">
        <f>IF(AllData[[#This Row],[Phosphate (PPM)]]&gt;0.5, "Very high", IF(AllData[[#This Row],[Phosphate (PPM)]]&gt;0.1, "High", IF(AllData[[#This Row],[Phosphate (PPM)]]&gt;0.05, "Some evidence", IF(AllData[[#This Row],[Phosphate (PPM)]]&lt;=0.05, "No Evidence", ""))))</f>
        <v>High</v>
      </c>
      <c r="U371" s="139">
        <v>0.1</v>
      </c>
      <c r="V371" s="139"/>
    </row>
    <row r="372" spans="1:22" x14ac:dyDescent="0.35">
      <c r="A372" s="139" t="s">
        <v>2987</v>
      </c>
      <c r="B372" s="146">
        <v>45690</v>
      </c>
      <c r="C372" s="2" t="str" cm="1">
        <f t="array" ref="C3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2">
        <v>2024</v>
      </c>
      <c r="E372" s="147">
        <v>0.4375</v>
      </c>
      <c r="F372" t="str">
        <f>IF(AND(AllData[[#This Row],[Time]]&lt;0.5, AllData[[#This Row],[Time]]&gt;0.17)=TRUE, "Morning", IF(AND(AllData[[#This Row],[Time]]&lt;0.75, AllData[[#This Row],[Time]]&gt;=0.5)=TRUE, "Afternoon", IF(AND(AllData[[#This Row],[Time]]&lt;1, AllData[[#This Row],[Time]]&gt;=0.75)=TRUE, "Evening", "Night")))</f>
        <v>Morning</v>
      </c>
      <c r="G372" t="str">
        <f>_xlfn.XLOOKUP(AllData[[#This Row],[Location Name]], Locations[Location Name],Locations[Group As])</f>
        <v>Fell Mill Footbridge</v>
      </c>
      <c r="H372" t="e" vm="1">
        <f>_xlfn.XLOOKUP(AllData[[#This Row],[Site Name]],LocationsKey[Site Name],LocationsKey[District])</f>
        <v>#VALUE!</v>
      </c>
      <c r="I372" t="e" vm="15">
        <f>_xlfn.XLOOKUP(AllData[[#This Row],[Site Name]],LocationsKey[Site Name],LocationsKey[Town])</f>
        <v>#VALUE!</v>
      </c>
      <c r="J372" t="str">
        <f>_xlfn.XLOOKUP(AllData[[#This Row],[Site Name]],LocationsKey[Site Name], LocationsKey[Waterway])</f>
        <v>Stour</v>
      </c>
      <c r="K372" s="139" t="s">
        <v>1968</v>
      </c>
      <c r="L372" s="139">
        <v>52.070086000000003</v>
      </c>
      <c r="M372" s="156">
        <v>-1.61145</v>
      </c>
      <c r="N372" s="139" t="s">
        <v>31</v>
      </c>
      <c r="O372" s="139">
        <v>586</v>
      </c>
      <c r="P372" s="139">
        <v>6.6</v>
      </c>
      <c r="Q372" s="139">
        <v>0</v>
      </c>
      <c r="R372" s="107" t="str">
        <f>IF(AllData[[#This Row],[Nitrate (PPM)]]&gt;2, "Very high", IF(AllData[[#This Row],[Nitrate (PPM)]]&gt;1, "High", IF(AllData[[#This Row],[Nitrate (PPM)]]&gt;0.5, "Some evidence", IF(AllData[[#This Row],[Nitrate (PPM)]]&gt;=0, "No evidence"))))</f>
        <v>No evidence</v>
      </c>
      <c r="S372" s="139">
        <v>0.55000000000000004</v>
      </c>
      <c r="T372" s="7" t="str">
        <f>IF(AllData[[#This Row],[Phosphate (PPM)]]&gt;0.5, "Very high", IF(AllData[[#This Row],[Phosphate (PPM)]]&gt;0.1, "High", IF(AllData[[#This Row],[Phosphate (PPM)]]&gt;0.05, "Some evidence", IF(AllData[[#This Row],[Phosphate (PPM)]]&lt;=0.05, "No Evidence", ""))))</f>
        <v>Very high</v>
      </c>
      <c r="U372" s="139">
        <v>1.9</v>
      </c>
      <c r="V372" s="139"/>
    </row>
    <row r="373" spans="1:22" x14ac:dyDescent="0.35">
      <c r="A373" s="139" t="s">
        <v>2980</v>
      </c>
      <c r="B373" s="146">
        <v>45689</v>
      </c>
      <c r="C373" s="2" t="str" cm="1">
        <f t="array" ref="C3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3">
        <v>2024</v>
      </c>
      <c r="E373" s="147">
        <v>0.44791666666666669</v>
      </c>
      <c r="F373" t="str">
        <f>IF(AND(AllData[[#This Row],[Time]]&lt;0.5, AllData[[#This Row],[Time]]&gt;0.17)=TRUE, "Morning", IF(AND(AllData[[#This Row],[Time]]&lt;0.75, AllData[[#This Row],[Time]]&gt;=0.5)=TRUE, "Afternoon", IF(AND(AllData[[#This Row],[Time]]&lt;1, AllData[[#This Row],[Time]]&gt;=0.75)=TRUE, "Evening", "Night")))</f>
        <v>Morning</v>
      </c>
      <c r="G373" t="str">
        <f>_xlfn.XLOOKUP(AllData[[#This Row],[Location Name]], Locations[Location Name],Locations[Group As])</f>
        <v>Piddle Brook Wyre Piddle Bridge</v>
      </c>
      <c r="H373" t="e" vm="6">
        <f>_xlfn.XLOOKUP(AllData[[#This Row],[Site Name]],LocationsKey[Site Name],LocationsKey[District])</f>
        <v>#VALUE!</v>
      </c>
      <c r="I373" t="e" vm="13">
        <f>_xlfn.XLOOKUP(AllData[[#This Row],[Site Name]],LocationsKey[Site Name],LocationsKey[Town])</f>
        <v>#VALUE!</v>
      </c>
      <c r="J373" t="str">
        <f>_xlfn.XLOOKUP(AllData[[#This Row],[Site Name]],LocationsKey[Site Name], LocationsKey[Waterway])</f>
        <v>Piddle Brook</v>
      </c>
      <c r="K373" s="139" t="s">
        <v>787</v>
      </c>
      <c r="L373" s="139">
        <v>52.126451000000003</v>
      </c>
      <c r="M373" s="156">
        <v>-2.0564849999999999</v>
      </c>
      <c r="N373" s="139" t="s">
        <v>34</v>
      </c>
      <c r="O373" s="139">
        <v>865</v>
      </c>
      <c r="P373" s="139">
        <v>6.81</v>
      </c>
      <c r="Q373" s="139">
        <v>5</v>
      </c>
      <c r="R373" s="107" t="str">
        <f>IF(AllData[[#This Row],[Nitrate (PPM)]]&gt;2, "Very high", IF(AllData[[#This Row],[Nitrate (PPM)]]&gt;1, "High", IF(AllData[[#This Row],[Nitrate (PPM)]]&gt;0.5, "Some evidence", IF(AllData[[#This Row],[Nitrate (PPM)]]&gt;=0, "No evidence"))))</f>
        <v>Very high</v>
      </c>
      <c r="S373" s="139">
        <v>0.38</v>
      </c>
      <c r="T373" s="7" t="str">
        <f>IF(AllData[[#This Row],[Phosphate (PPM)]]&gt;0.5, "Very high", IF(AllData[[#This Row],[Phosphate (PPM)]]&gt;0.1, "High", IF(AllData[[#This Row],[Phosphate (PPM)]]&gt;0.05, "Some evidence", IF(AllData[[#This Row],[Phosphate (PPM)]]&lt;=0.05, "No Evidence", ""))))</f>
        <v>High</v>
      </c>
      <c r="U373" s="139">
        <v>0.42</v>
      </c>
      <c r="V373" s="139" t="s">
        <v>2981</v>
      </c>
    </row>
    <row r="374" spans="1:22" x14ac:dyDescent="0.35">
      <c r="A374" s="139" t="s">
        <v>2978</v>
      </c>
      <c r="B374" s="146">
        <v>45689</v>
      </c>
      <c r="C374" s="2" t="str" cm="1">
        <f t="array" ref="C3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4">
        <v>2024</v>
      </c>
      <c r="E374" s="147">
        <v>0.42499999999999999</v>
      </c>
      <c r="F374" t="str">
        <f>IF(AND(AllData[[#This Row],[Time]]&lt;0.5, AllData[[#This Row],[Time]]&gt;0.17)=TRUE, "Morning", IF(AND(AllData[[#This Row],[Time]]&lt;0.75, AllData[[#This Row],[Time]]&gt;=0.5)=TRUE, "Afternoon", IF(AND(AllData[[#This Row],[Time]]&lt;1, AllData[[#This Row],[Time]]&gt;=0.75)=TRUE, "Evening", "Night")))</f>
        <v>Morning</v>
      </c>
      <c r="G374" t="str">
        <f>_xlfn.XLOOKUP(AllData[[#This Row],[Location Name]], Locations[Location Name],Locations[Group As])</f>
        <v>Avon Smiths Meadow Wyre Piddle</v>
      </c>
      <c r="H374" t="e" vm="6">
        <f>_xlfn.XLOOKUP(AllData[[#This Row],[Site Name]],LocationsKey[Site Name],LocationsKey[District])</f>
        <v>#VALUE!</v>
      </c>
      <c r="I374" t="e" vm="13">
        <f>_xlfn.XLOOKUP(AllData[[#This Row],[Site Name]],LocationsKey[Site Name],LocationsKey[Town])</f>
        <v>#VALUE!</v>
      </c>
      <c r="J374" t="str">
        <f>_xlfn.XLOOKUP(AllData[[#This Row],[Site Name]],LocationsKey[Site Name], LocationsKey[Waterway])</f>
        <v>Avon</v>
      </c>
      <c r="K374" s="139" t="s">
        <v>784</v>
      </c>
      <c r="L374" s="139">
        <v>52.122858999999998</v>
      </c>
      <c r="M374" s="156">
        <v>-2.057461</v>
      </c>
      <c r="N374" s="139" t="s">
        <v>34</v>
      </c>
      <c r="O374" s="139">
        <v>681</v>
      </c>
      <c r="P374" s="139">
        <v>6.8</v>
      </c>
      <c r="Q374" s="139">
        <v>5</v>
      </c>
      <c r="R374" s="107" t="str">
        <f>IF(AllData[[#This Row],[Nitrate (PPM)]]&gt;2, "Very high", IF(AllData[[#This Row],[Nitrate (PPM)]]&gt;1, "High", IF(AllData[[#This Row],[Nitrate (PPM)]]&gt;0.5, "Some evidence", IF(AllData[[#This Row],[Nitrate (PPM)]]&gt;=0, "No evidence"))))</f>
        <v>Very high</v>
      </c>
      <c r="S374" s="139">
        <v>0.38</v>
      </c>
      <c r="T374" s="7" t="str">
        <f>IF(AllData[[#This Row],[Phosphate (PPM)]]&gt;0.5, "Very high", IF(AllData[[#This Row],[Phosphate (PPM)]]&gt;0.1, "High", IF(AllData[[#This Row],[Phosphate (PPM)]]&gt;0.05, "Some evidence", IF(AllData[[#This Row],[Phosphate (PPM)]]&lt;=0.05, "No Evidence", ""))))</f>
        <v>High</v>
      </c>
      <c r="U374" s="139">
        <v>1.1499999999999999</v>
      </c>
      <c r="V374" s="139" t="s">
        <v>2979</v>
      </c>
    </row>
    <row r="375" spans="1:22" x14ac:dyDescent="0.35">
      <c r="A375" s="139" t="s">
        <v>2982</v>
      </c>
      <c r="B375" s="146">
        <v>45689</v>
      </c>
      <c r="C375" s="2" t="str" cm="1">
        <f t="array" ref="C3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5">
        <v>2024</v>
      </c>
      <c r="E375" s="147">
        <v>0.45902777777777776</v>
      </c>
      <c r="F375" t="str">
        <f>IF(AND(AllData[[#This Row],[Time]]&lt;0.5, AllData[[#This Row],[Time]]&gt;0.17)=TRUE, "Morning", IF(AND(AllData[[#This Row],[Time]]&lt;0.75, AllData[[#This Row],[Time]]&gt;=0.5)=TRUE, "Afternoon", IF(AND(AllData[[#This Row],[Time]]&lt;1, AllData[[#This Row],[Time]]&gt;=0.75)=TRUE, "Evening", "Night")))</f>
        <v>Morning</v>
      </c>
      <c r="G375" t="str">
        <f>_xlfn.XLOOKUP(AllData[[#This Row],[Location Name]], Locations[Location Name],Locations[Group As])</f>
        <v>Black Bear</v>
      </c>
      <c r="H375" t="e" vm="4">
        <f>_xlfn.XLOOKUP(AllData[[#This Row],[Site Name]],LocationsKey[Site Name],LocationsKey[District])</f>
        <v>#VALUE!</v>
      </c>
      <c r="I375" t="e" vm="4">
        <f>_xlfn.XLOOKUP(AllData[[#This Row],[Site Name]],LocationsKey[Site Name],LocationsKey[Town])</f>
        <v>#VALUE!</v>
      </c>
      <c r="J375" t="str">
        <f>_xlfn.XLOOKUP(AllData[[#This Row],[Site Name]],LocationsKey[Site Name], LocationsKey[Waterway])</f>
        <v>Avon</v>
      </c>
      <c r="K375" s="139" t="s">
        <v>1175</v>
      </c>
      <c r="L375" s="139">
        <v>51.998137</v>
      </c>
      <c r="M375" s="156">
        <v>-2.1564839999999998</v>
      </c>
      <c r="N375" s="139" t="s">
        <v>34</v>
      </c>
      <c r="O375" s="139">
        <v>647</v>
      </c>
      <c r="P375" s="139">
        <v>8.1</v>
      </c>
      <c r="Q375" s="139">
        <v>5</v>
      </c>
      <c r="R375" s="107" t="str">
        <f>IF(AllData[[#This Row],[Nitrate (PPM)]]&gt;2, "Very high", IF(AllData[[#This Row],[Nitrate (PPM)]]&gt;1, "High", IF(AllData[[#This Row],[Nitrate (PPM)]]&gt;0.5, "Some evidence", IF(AllData[[#This Row],[Nitrate (PPM)]]&gt;=0, "No evidence"))))</f>
        <v>Very high</v>
      </c>
      <c r="S375" s="139">
        <v>0.09</v>
      </c>
      <c r="T375" s="7" t="str">
        <f>IF(AllData[[#This Row],[Phosphate (PPM)]]&gt;0.5, "Very high", IF(AllData[[#This Row],[Phosphate (PPM)]]&gt;0.1, "High", IF(AllData[[#This Row],[Phosphate (PPM)]]&gt;0.05, "Some evidence", IF(AllData[[#This Row],[Phosphate (PPM)]]&lt;=0.05, "No Evidence", ""))))</f>
        <v>Some evidence</v>
      </c>
      <c r="U375" s="139">
        <v>1.5</v>
      </c>
      <c r="V375" s="139"/>
    </row>
    <row r="376" spans="1:22" x14ac:dyDescent="0.35">
      <c r="A376" s="139" t="s">
        <v>2983</v>
      </c>
      <c r="B376" s="146">
        <v>45689</v>
      </c>
      <c r="C376" s="2" t="str" cm="1">
        <f t="array" ref="C3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6">
        <v>2024</v>
      </c>
      <c r="E376" s="147">
        <v>0.60416666666666663</v>
      </c>
      <c r="F376" t="str">
        <f>IF(AND(AllData[[#This Row],[Time]]&lt;0.5, AllData[[#This Row],[Time]]&gt;0.17)=TRUE, "Morning", IF(AND(AllData[[#This Row],[Time]]&lt;0.75, AllData[[#This Row],[Time]]&gt;=0.5)=TRUE, "Afternoon", IF(AND(AllData[[#This Row],[Time]]&lt;1, AllData[[#This Row],[Time]]&gt;=0.75)=TRUE, "Evening", "Night")))</f>
        <v>Afternoon</v>
      </c>
      <c r="G376" t="str">
        <f>_xlfn.XLOOKUP(AllData[[#This Row],[Location Name]], Locations[Location Name],Locations[Group As])</f>
        <v>Carrant Bredon Rd</v>
      </c>
      <c r="H376" t="e" vm="4">
        <f>_xlfn.XLOOKUP(AllData[[#This Row],[Site Name]],LocationsKey[Site Name],LocationsKey[District])</f>
        <v>#VALUE!</v>
      </c>
      <c r="I376" t="e" vm="4">
        <f>_xlfn.XLOOKUP(AllData[[#This Row],[Site Name]],LocationsKey[Site Name],LocationsKey[Town])</f>
        <v>#VALUE!</v>
      </c>
      <c r="J376" t="str">
        <f>_xlfn.XLOOKUP(AllData[[#This Row],[Site Name]],LocationsKey[Site Name], LocationsKey[Waterway])</f>
        <v>Carrant</v>
      </c>
      <c r="K376" s="139" t="s">
        <v>603</v>
      </c>
      <c r="L376" s="139">
        <v>51.996285</v>
      </c>
      <c r="M376" s="156">
        <v>-2.1561170000000001</v>
      </c>
      <c r="N376" s="139" t="s">
        <v>25</v>
      </c>
      <c r="O376" s="139">
        <v>735</v>
      </c>
      <c r="P376" s="139">
        <v>8.1</v>
      </c>
      <c r="Q376" s="139">
        <v>3</v>
      </c>
      <c r="R376" s="107" t="str">
        <f>IF(AllData[[#This Row],[Nitrate (PPM)]]&gt;2, "Very high", IF(AllData[[#This Row],[Nitrate (PPM)]]&gt;1, "High", IF(AllData[[#This Row],[Nitrate (PPM)]]&gt;0.5, "Some evidence", IF(AllData[[#This Row],[Nitrate (PPM)]]&gt;=0, "No evidence"))))</f>
        <v>Very high</v>
      </c>
      <c r="S376" s="139">
        <v>0.28000000000000003</v>
      </c>
      <c r="T376" s="7" t="str">
        <f>IF(AllData[[#This Row],[Phosphate (PPM)]]&gt;0.5, "Very high", IF(AllData[[#This Row],[Phosphate (PPM)]]&gt;0.1, "High", IF(AllData[[#This Row],[Phosphate (PPM)]]&gt;0.05, "Some evidence", IF(AllData[[#This Row],[Phosphate (PPM)]]&lt;=0.05, "No Evidence", ""))))</f>
        <v>High</v>
      </c>
      <c r="U376" s="139">
        <v>0.5</v>
      </c>
      <c r="V376" s="139"/>
    </row>
    <row r="377" spans="1:22" x14ac:dyDescent="0.35">
      <c r="A377" s="139" t="s">
        <v>2976</v>
      </c>
      <c r="B377" s="146">
        <v>45687</v>
      </c>
      <c r="C377" s="2" t="str" cm="1">
        <f t="array" ref="C3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7">
        <v>2024</v>
      </c>
      <c r="E377" s="147">
        <v>0.4</v>
      </c>
      <c r="F377" t="str">
        <f>IF(AND(AllData[[#This Row],[Time]]&lt;0.5, AllData[[#This Row],[Time]]&gt;0.17)=TRUE, "Morning", IF(AND(AllData[[#This Row],[Time]]&lt;0.75, AllData[[#This Row],[Time]]&gt;=0.5)=TRUE, "Afternoon", IF(AND(AllData[[#This Row],[Time]]&lt;1, AllData[[#This Row],[Time]]&gt;=0.75)=TRUE, "Evening", "Night")))</f>
        <v>Morning</v>
      </c>
      <c r="G377" t="str">
        <f>_xlfn.XLOOKUP(AllData[[#This Row],[Location Name]], Locations[Location Name],Locations[Group As])</f>
        <v>Carters Lane</v>
      </c>
      <c r="H377" t="e" vm="1">
        <f>_xlfn.XLOOKUP(AllData[[#This Row],[Site Name]],LocationsKey[Site Name],LocationsKey[District])</f>
        <v>#VALUE!</v>
      </c>
      <c r="I377" t="e" vm="3">
        <f>_xlfn.XLOOKUP(AllData[[#This Row],[Site Name]],LocationsKey[Site Name],LocationsKey[Town])</f>
        <v>#VALUE!</v>
      </c>
      <c r="J377" t="str">
        <f>_xlfn.XLOOKUP(AllData[[#This Row],[Site Name]],LocationsKey[Site Name], LocationsKey[Waterway])</f>
        <v>Avon</v>
      </c>
      <c r="K377" s="139" t="s">
        <v>2250</v>
      </c>
      <c r="L377" s="139">
        <v>52.202407000000001</v>
      </c>
      <c r="M377" s="156">
        <v>-1.67689</v>
      </c>
      <c r="N377" s="139" t="s">
        <v>68</v>
      </c>
      <c r="O377" s="139">
        <v>603</v>
      </c>
      <c r="P377" s="139">
        <v>6.8</v>
      </c>
      <c r="Q377" s="139">
        <v>3</v>
      </c>
      <c r="R377" s="107" t="str">
        <f>IF(AllData[[#This Row],[Nitrate (PPM)]]&gt;2, "Very high", IF(AllData[[#This Row],[Nitrate (PPM)]]&gt;1, "High", IF(AllData[[#This Row],[Nitrate (PPM)]]&gt;0.5, "Some evidence", IF(AllData[[#This Row],[Nitrate (PPM)]]&gt;=0, "No evidence"))))</f>
        <v>Very high</v>
      </c>
      <c r="S377" s="139">
        <v>0.49</v>
      </c>
      <c r="T377" s="7" t="str">
        <f>IF(AllData[[#This Row],[Phosphate (PPM)]]&gt;0.5, "Very high", IF(AllData[[#This Row],[Phosphate (PPM)]]&gt;0.1, "High", IF(AllData[[#This Row],[Phosphate (PPM)]]&gt;0.05, "Some evidence", IF(AllData[[#This Row],[Phosphate (PPM)]]&lt;=0.05, "No Evidence", ""))))</f>
        <v>High</v>
      </c>
      <c r="U377" s="139">
        <v>0.88</v>
      </c>
      <c r="V377" s="139"/>
    </row>
    <row r="378" spans="1:22" x14ac:dyDescent="0.35">
      <c r="A378" s="139" t="s">
        <v>2977</v>
      </c>
      <c r="B378" s="146">
        <v>45687</v>
      </c>
      <c r="C378" s="2" t="str" cm="1">
        <f t="array" ref="C3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8">
        <v>2024</v>
      </c>
      <c r="E378" s="147">
        <v>0.4375</v>
      </c>
      <c r="F378" t="str">
        <f>IF(AND(AllData[[#This Row],[Time]]&lt;0.5, AllData[[#This Row],[Time]]&gt;0.17)=TRUE, "Morning", IF(AND(AllData[[#This Row],[Time]]&lt;0.75, AllData[[#This Row],[Time]]&gt;=0.5)=TRUE, "Afternoon", IF(AND(AllData[[#This Row],[Time]]&lt;1, AllData[[#This Row],[Time]]&gt;=0.75)=TRUE, "Evening", "Night")))</f>
        <v>Morning</v>
      </c>
      <c r="G378" t="str">
        <f>_xlfn.XLOOKUP(AllData[[#This Row],[Location Name]], Locations[Location Name],Locations[Group As])</f>
        <v>Swilgate</v>
      </c>
      <c r="H378" t="e" vm="4">
        <f>_xlfn.XLOOKUP(AllData[[#This Row],[Site Name]],LocationsKey[Site Name],LocationsKey[District])</f>
        <v>#VALUE!</v>
      </c>
      <c r="I378" t="e" vm="4">
        <f>_xlfn.XLOOKUP(AllData[[#This Row],[Site Name]],LocationsKey[Site Name],LocationsKey[Town])</f>
        <v>#VALUE!</v>
      </c>
      <c r="J378" t="str">
        <f>_xlfn.XLOOKUP(AllData[[#This Row],[Site Name]],LocationsKey[Site Name], LocationsKey[Waterway])</f>
        <v>Swilgate</v>
      </c>
      <c r="K378" s="139" t="s">
        <v>85</v>
      </c>
      <c r="L378" s="139"/>
      <c r="M378" s="156"/>
      <c r="N378" s="139" t="s">
        <v>34</v>
      </c>
      <c r="O378" s="139">
        <v>686</v>
      </c>
      <c r="P378" s="139">
        <v>5.7</v>
      </c>
      <c r="Q378" s="139">
        <v>2</v>
      </c>
      <c r="R378" s="107" t="str">
        <f>IF(AllData[[#This Row],[Nitrate (PPM)]]&gt;2, "Very high", IF(AllData[[#This Row],[Nitrate (PPM)]]&gt;1, "High", IF(AllData[[#This Row],[Nitrate (PPM)]]&gt;0.5, "Some evidence", IF(AllData[[#This Row],[Nitrate (PPM)]]&gt;=0, "No evidence"))))</f>
        <v>High</v>
      </c>
      <c r="S378" s="139">
        <v>0.35</v>
      </c>
      <c r="T378" s="7" t="str">
        <f>IF(AllData[[#This Row],[Phosphate (PPM)]]&gt;0.5, "Very high", IF(AllData[[#This Row],[Phosphate (PPM)]]&gt;0.1, "High", IF(AllData[[#This Row],[Phosphate (PPM)]]&gt;0.05, "Some evidence", IF(AllData[[#This Row],[Phosphate (PPM)]]&lt;=0.05, "No Evidence", ""))))</f>
        <v>High</v>
      </c>
      <c r="U378" s="139">
        <v>1.5</v>
      </c>
      <c r="V378" s="139"/>
    </row>
    <row r="379" spans="1:22" x14ac:dyDescent="0.35">
      <c r="A379" s="140" t="s">
        <v>2974</v>
      </c>
      <c r="B379" s="146">
        <v>45686</v>
      </c>
      <c r="C379" s="2" t="str" cm="1">
        <f t="array" ref="C3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79">
        <v>2024</v>
      </c>
      <c r="E379" s="147">
        <v>0.58819444444444446</v>
      </c>
      <c r="F379" t="str">
        <f>IF(AND(AllData[[#This Row],[Time]]&lt;0.5, AllData[[#This Row],[Time]]&gt;0.17)=TRUE, "Morning", IF(AND(AllData[[#This Row],[Time]]&lt;0.75, AllData[[#This Row],[Time]]&gt;=0.5)=TRUE, "Afternoon", IF(AND(AllData[[#This Row],[Time]]&lt;1, AllData[[#This Row],[Time]]&gt;=0.75)=TRUE, "Evening", "Night")))</f>
        <v>Afternoon</v>
      </c>
      <c r="G379" t="str">
        <f>_xlfn.XLOOKUP(AllData[[#This Row],[Location Name]], Locations[Location Name],Locations[Group As])</f>
        <v>Alveston Weir</v>
      </c>
      <c r="H379" t="e" vm="1">
        <f>_xlfn.XLOOKUP(AllData[[#This Row],[Site Name]],LocationsKey[Site Name],LocationsKey[District])</f>
        <v>#VALUE!</v>
      </c>
      <c r="I379" t="e" vm="2">
        <f>_xlfn.XLOOKUP(AllData[[#This Row],[Site Name]],LocationsKey[Site Name],LocationsKey[Town])</f>
        <v>#VALUE!</v>
      </c>
      <c r="J379" t="str">
        <f>_xlfn.XLOOKUP(AllData[[#This Row],[Site Name]],LocationsKey[Site Name], LocationsKey[Waterway])</f>
        <v>Avon</v>
      </c>
      <c r="K379" s="139" t="s">
        <v>288</v>
      </c>
      <c r="L379" s="139">
        <v>52.212288999999998</v>
      </c>
      <c r="M379" s="156">
        <v>-1.660452</v>
      </c>
      <c r="N379" s="139" t="s">
        <v>31</v>
      </c>
      <c r="O379" s="139">
        <v>507</v>
      </c>
      <c r="P379" s="139">
        <v>8.3000000000000007</v>
      </c>
      <c r="Q379" s="139">
        <v>5</v>
      </c>
      <c r="R379" s="107" t="str">
        <f>IF(AllData[[#This Row],[Nitrate (PPM)]]&gt;2, "Very high", IF(AllData[[#This Row],[Nitrate (PPM)]]&gt;1, "High", IF(AllData[[#This Row],[Nitrate (PPM)]]&gt;0.5, "Some evidence", IF(AllData[[#This Row],[Nitrate (PPM)]]&gt;=0, "No evidence"))))</f>
        <v>Very high</v>
      </c>
      <c r="S379" s="139">
        <v>0.42</v>
      </c>
      <c r="T379" s="7" t="str">
        <f>IF(AllData[[#This Row],[Phosphate (PPM)]]&gt;0.5, "Very high", IF(AllData[[#This Row],[Phosphate (PPM)]]&gt;0.1, "High", IF(AllData[[#This Row],[Phosphate (PPM)]]&gt;0.05, "Some evidence", IF(AllData[[#This Row],[Phosphate (PPM)]]&lt;=0.05, "No Evidence", ""))))</f>
        <v>High</v>
      </c>
      <c r="U379" s="139">
        <v>1</v>
      </c>
      <c r="V379" s="139" t="s">
        <v>2975</v>
      </c>
    </row>
    <row r="380" spans="1:22" x14ac:dyDescent="0.35">
      <c r="A380" s="139" t="s">
        <v>2972</v>
      </c>
      <c r="B380" s="146">
        <v>45686</v>
      </c>
      <c r="C380" s="2" t="str" cm="1">
        <f t="array" ref="C3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0">
        <v>2024</v>
      </c>
      <c r="E380" s="147">
        <v>0.51249999999999996</v>
      </c>
      <c r="F380" t="str">
        <f>IF(AND(AllData[[#This Row],[Time]]&lt;0.5, AllData[[#This Row],[Time]]&gt;0.17)=TRUE, "Morning", IF(AND(AllData[[#This Row],[Time]]&lt;0.75, AllData[[#This Row],[Time]]&gt;=0.5)=TRUE, "Afternoon", IF(AND(AllData[[#This Row],[Time]]&lt;1, AllData[[#This Row],[Time]]&gt;=0.75)=TRUE, "Evening", "Night")))</f>
        <v>Afternoon</v>
      </c>
      <c r="G380" t="str">
        <f>_xlfn.XLOOKUP(AllData[[#This Row],[Location Name]], Locations[Location Name],Locations[Group As])</f>
        <v>Walcot Lane, Bow Brook Ford</v>
      </c>
      <c r="H380" t="e" vm="6">
        <f>_xlfn.XLOOKUP(AllData[[#This Row],[Site Name]],LocationsKey[Site Name],LocationsKey[District])</f>
        <v>#VALUE!</v>
      </c>
      <c r="I380" t="e" vm="7">
        <f>_xlfn.XLOOKUP(AllData[[#This Row],[Site Name]],LocationsKey[Site Name],LocationsKey[Town])</f>
        <v>#VALUE!</v>
      </c>
      <c r="J380" t="str">
        <f>_xlfn.XLOOKUP(AllData[[#This Row],[Site Name]],LocationsKey[Site Name], LocationsKey[Waterway])</f>
        <v>Bow Brook</v>
      </c>
      <c r="K380" s="139" t="s">
        <v>775</v>
      </c>
      <c r="L380" s="139">
        <v>52.130333999999998</v>
      </c>
      <c r="M380" s="156">
        <v>-2.0785999999999998</v>
      </c>
      <c r="N380" s="139" t="s">
        <v>798</v>
      </c>
      <c r="O380" s="139">
        <v>528</v>
      </c>
      <c r="P380" s="139">
        <v>7.2</v>
      </c>
      <c r="Q380" s="139">
        <v>2</v>
      </c>
      <c r="R380" s="107" t="str">
        <f>IF(AllData[[#This Row],[Nitrate (PPM)]]&gt;2, "Very high", IF(AllData[[#This Row],[Nitrate (PPM)]]&gt;1, "High", IF(AllData[[#This Row],[Nitrate (PPM)]]&gt;0.5, "Some evidence", IF(AllData[[#This Row],[Nitrate (PPM)]]&gt;=0, "No evidence"))))</f>
        <v>High</v>
      </c>
      <c r="S380" s="139">
        <v>0.51</v>
      </c>
      <c r="T380" s="7" t="str">
        <f>IF(AllData[[#This Row],[Phosphate (PPM)]]&gt;0.5, "Very high", IF(AllData[[#This Row],[Phosphate (PPM)]]&gt;0.1, "High", IF(AllData[[#This Row],[Phosphate (PPM)]]&gt;0.05, "Some evidence", IF(AllData[[#This Row],[Phosphate (PPM)]]&lt;=0.05, "No Evidence", ""))))</f>
        <v>Very high</v>
      </c>
      <c r="U380" s="139">
        <v>1.2</v>
      </c>
      <c r="V380" s="139" t="s">
        <v>2973</v>
      </c>
    </row>
    <row r="381" spans="1:22" x14ac:dyDescent="0.35">
      <c r="A381" s="139" t="s">
        <v>2969</v>
      </c>
      <c r="B381" s="146">
        <v>45685</v>
      </c>
      <c r="C381" s="2" t="str" cm="1">
        <f t="array" ref="C3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1">
        <v>2024</v>
      </c>
      <c r="E381" s="147">
        <v>0.6430555555555556</v>
      </c>
      <c r="F381" t="str">
        <f>IF(AND(AllData[[#This Row],[Time]]&lt;0.5, AllData[[#This Row],[Time]]&gt;0.17)=TRUE, "Morning", IF(AND(AllData[[#This Row],[Time]]&lt;0.75, AllData[[#This Row],[Time]]&gt;=0.5)=TRUE, "Afternoon", IF(AND(AllData[[#This Row],[Time]]&lt;1, AllData[[#This Row],[Time]]&gt;=0.75)=TRUE, "Evening", "Night")))</f>
        <v>Afternoon</v>
      </c>
      <c r="G381" t="str">
        <f>_xlfn.XLOOKUP(AllData[[#This Row],[Location Name]], Locations[Location Name],Locations[Group As])</f>
        <v>High Street Brailes</v>
      </c>
      <c r="H381" t="e" vm="1">
        <f>_xlfn.XLOOKUP(AllData[[#This Row],[Site Name]],LocationsKey[Site Name],LocationsKey[District])</f>
        <v>#VALUE!</v>
      </c>
      <c r="I381" t="e" vm="5">
        <f>_xlfn.XLOOKUP(AllData[[#This Row],[Site Name]],LocationsKey[Site Name],LocationsKey[Town])</f>
        <v>#VALUE!</v>
      </c>
      <c r="J381" t="str">
        <f>_xlfn.XLOOKUP(AllData[[#This Row],[Site Name]],LocationsKey[Site Name], LocationsKey[Waterway])</f>
        <v>Sutton Brook</v>
      </c>
      <c r="K381" s="139" t="s">
        <v>2970</v>
      </c>
      <c r="L381" s="139">
        <v>52.050961000000001</v>
      </c>
      <c r="M381" s="156">
        <v>-1.5457209999999999</v>
      </c>
      <c r="N381" s="139" t="s">
        <v>68</v>
      </c>
      <c r="O381" s="139">
        <v>354</v>
      </c>
      <c r="P381" s="139">
        <v>9</v>
      </c>
      <c r="Q381" s="139">
        <v>8</v>
      </c>
      <c r="R381" s="107" t="str">
        <f>IF(AllData[[#This Row],[Nitrate (PPM)]]&gt;2, "Very high", IF(AllData[[#This Row],[Nitrate (PPM)]]&gt;1, "High", IF(AllData[[#This Row],[Nitrate (PPM)]]&gt;0.5, "Some evidence", IF(AllData[[#This Row],[Nitrate (PPM)]]&gt;=0, "No evidence"))))</f>
        <v>Very high</v>
      </c>
      <c r="S381" s="139">
        <v>0.1</v>
      </c>
      <c r="T381" s="7" t="str">
        <f>IF(AllData[[#This Row],[Phosphate (PPM)]]&gt;0.5, "Very high", IF(AllData[[#This Row],[Phosphate (PPM)]]&gt;0.1, "High", IF(AllData[[#This Row],[Phosphate (PPM)]]&gt;0.05, "Some evidence", IF(AllData[[#This Row],[Phosphate (PPM)]]&lt;=0.05, "No Evidence", ""))))</f>
        <v>Some evidence</v>
      </c>
      <c r="U381" s="139">
        <v>0.7</v>
      </c>
      <c r="V381" s="139" t="s">
        <v>2971</v>
      </c>
    </row>
    <row r="382" spans="1:22" x14ac:dyDescent="0.35">
      <c r="A382" s="139" t="s">
        <v>2960</v>
      </c>
      <c r="B382" s="146">
        <v>45685</v>
      </c>
      <c r="C382" s="2" t="str" cm="1">
        <f t="array" ref="C3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2">
        <v>2024</v>
      </c>
      <c r="E382" s="147">
        <v>0.5625</v>
      </c>
      <c r="F382" t="str">
        <f>IF(AND(AllData[[#This Row],[Time]]&lt;0.5, AllData[[#This Row],[Time]]&gt;0.17)=TRUE, "Morning", IF(AND(AllData[[#This Row],[Time]]&lt;0.75, AllData[[#This Row],[Time]]&gt;=0.5)=TRUE, "Afternoon", IF(AND(AllData[[#This Row],[Time]]&lt;1, AllData[[#This Row],[Time]]&gt;=0.75)=TRUE, "Evening", "Night")))</f>
        <v>Afternoon</v>
      </c>
      <c r="G382" t="str">
        <f>_xlfn.XLOOKUP(AllData[[#This Row],[Location Name]], Locations[Location Name],Locations[Group As])</f>
        <v>Swiffen Bank</v>
      </c>
      <c r="H382" t="e" vm="1">
        <f>_xlfn.XLOOKUP(AllData[[#This Row],[Site Name]],LocationsKey[Site Name],LocationsKey[District])</f>
        <v>#VALUE!</v>
      </c>
      <c r="I382" t="e" vm="2">
        <f>_xlfn.XLOOKUP(AllData[[#This Row],[Site Name]],LocationsKey[Site Name],LocationsKey[Town])</f>
        <v>#VALUE!</v>
      </c>
      <c r="J382" t="str">
        <f>_xlfn.XLOOKUP(AllData[[#This Row],[Site Name]],LocationsKey[Site Name], LocationsKey[Waterway])</f>
        <v>Avon</v>
      </c>
      <c r="K382" s="139" t="s">
        <v>1448</v>
      </c>
      <c r="L382" s="139">
        <v>52.206477999999997</v>
      </c>
      <c r="M382" s="156">
        <v>-1.653894</v>
      </c>
      <c r="N382" s="139" t="s">
        <v>31</v>
      </c>
      <c r="O382" s="139">
        <v>44.5</v>
      </c>
      <c r="P382" s="139">
        <v>7.7</v>
      </c>
      <c r="Q382" s="139">
        <v>5</v>
      </c>
      <c r="R382" s="107" t="str">
        <f>IF(AllData[[#This Row],[Nitrate (PPM)]]&gt;2, "Very high", IF(AllData[[#This Row],[Nitrate (PPM)]]&gt;1, "High", IF(AllData[[#This Row],[Nitrate (PPM)]]&gt;0.5, "Some evidence", IF(AllData[[#This Row],[Nitrate (PPM)]]&gt;=0, "No evidence"))))</f>
        <v>Very high</v>
      </c>
      <c r="S382" s="139">
        <v>0.54</v>
      </c>
      <c r="T382" s="7" t="str">
        <f>IF(AllData[[#This Row],[Phosphate (PPM)]]&gt;0.5, "Very high", IF(AllData[[#This Row],[Phosphate (PPM)]]&gt;0.1, "High", IF(AllData[[#This Row],[Phosphate (PPM)]]&gt;0.05, "Some evidence", IF(AllData[[#This Row],[Phosphate (PPM)]]&lt;=0.05, "No Evidence", ""))))</f>
        <v>Very high</v>
      </c>
      <c r="U382" s="139">
        <v>1</v>
      </c>
      <c r="V382" s="139" t="s">
        <v>2961</v>
      </c>
    </row>
    <row r="383" spans="1:22" x14ac:dyDescent="0.35">
      <c r="A383" s="139" t="s">
        <v>2962</v>
      </c>
      <c r="B383" s="146">
        <v>45685</v>
      </c>
      <c r="C383" s="2" t="str" cm="1">
        <f t="array" ref="C3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3">
        <v>2024</v>
      </c>
      <c r="E383" s="147">
        <v>0.59444444444444444</v>
      </c>
      <c r="F383" t="str">
        <f>IF(AND(AllData[[#This Row],[Time]]&lt;0.5, AllData[[#This Row],[Time]]&gt;0.17)=TRUE, "Morning", IF(AND(AllData[[#This Row],[Time]]&lt;0.75, AllData[[#This Row],[Time]]&gt;=0.5)=TRUE, "Afternoon", IF(AND(AllData[[#This Row],[Time]]&lt;1, AllData[[#This Row],[Time]]&gt;=0.75)=TRUE, "Evening", "Night")))</f>
        <v>Afternoon</v>
      </c>
      <c r="G383" t="str">
        <f>_xlfn.XLOOKUP(AllData[[#This Row],[Location Name]], Locations[Location Name],Locations[Group As])</f>
        <v>Abbey Mill</v>
      </c>
      <c r="H383" t="e" vm="4">
        <f>_xlfn.XLOOKUP(AllData[[#This Row],[Site Name]],LocationsKey[Site Name],LocationsKey[District])</f>
        <v>#VALUE!</v>
      </c>
      <c r="I383" t="e" vm="4">
        <f>_xlfn.XLOOKUP(AllData[[#This Row],[Site Name]],LocationsKey[Site Name],LocationsKey[Town])</f>
        <v>#VALUE!</v>
      </c>
      <c r="J383" t="str">
        <f>_xlfn.XLOOKUP(AllData[[#This Row],[Site Name]],LocationsKey[Site Name], LocationsKey[Waterway])</f>
        <v>Avon</v>
      </c>
      <c r="K383" s="139" t="s">
        <v>27</v>
      </c>
      <c r="L383" s="139">
        <v>51.990985000000002</v>
      </c>
      <c r="M383" s="156">
        <v>-2.16215</v>
      </c>
      <c r="N383" s="139" t="s">
        <v>2855</v>
      </c>
      <c r="O383" s="139">
        <v>566</v>
      </c>
      <c r="P383" s="139">
        <v>7.7</v>
      </c>
      <c r="Q383" s="139">
        <v>4</v>
      </c>
      <c r="R383" s="107" t="str">
        <f>IF(AllData[[#This Row],[Nitrate (PPM)]]&gt;2, "Very high", IF(AllData[[#This Row],[Nitrate (PPM)]]&gt;1, "High", IF(AllData[[#This Row],[Nitrate (PPM)]]&gt;0.5, "Some evidence", IF(AllData[[#This Row],[Nitrate (PPM)]]&gt;=0, "No evidence"))))</f>
        <v>Very high</v>
      </c>
      <c r="S383" s="139">
        <v>0.39</v>
      </c>
      <c r="T383" s="7" t="str">
        <f>IF(AllData[[#This Row],[Phosphate (PPM)]]&gt;0.5, "Very high", IF(AllData[[#This Row],[Phosphate (PPM)]]&gt;0.1, "High", IF(AllData[[#This Row],[Phosphate (PPM)]]&gt;0.05, "Some evidence", IF(AllData[[#This Row],[Phosphate (PPM)]]&lt;=0.05, "No Evidence", ""))))</f>
        <v>High</v>
      </c>
      <c r="U383" s="139">
        <v>2.5</v>
      </c>
      <c r="V383" s="139" t="s">
        <v>2963</v>
      </c>
    </row>
    <row r="384" spans="1:22" x14ac:dyDescent="0.35">
      <c r="A384" s="139" t="s">
        <v>2964</v>
      </c>
      <c r="B384" s="146">
        <v>45685</v>
      </c>
      <c r="C384" s="2" t="str" cm="1">
        <f t="array" ref="C3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4">
        <v>2024</v>
      </c>
      <c r="E384" s="147">
        <v>0.625</v>
      </c>
      <c r="F384" t="str">
        <f>IF(AND(AllData[[#This Row],[Time]]&lt;0.5, AllData[[#This Row],[Time]]&gt;0.17)=TRUE, "Morning", IF(AND(AllData[[#This Row],[Time]]&lt;0.75, AllData[[#This Row],[Time]]&gt;=0.5)=TRUE, "Afternoon", IF(AND(AllData[[#This Row],[Time]]&lt;1, AllData[[#This Row],[Time]]&gt;=0.75)=TRUE, "Evening", "Night")))</f>
        <v>Afternoon</v>
      </c>
      <c r="G384" t="str">
        <f>_xlfn.XLOOKUP(AllData[[#This Row],[Location Name]], Locations[Location Name],Locations[Group As])</f>
        <v>New Barn Farm Brailes</v>
      </c>
      <c r="H384" t="e" vm="1">
        <f>_xlfn.XLOOKUP(AllData[[#This Row],[Site Name]],LocationsKey[Site Name],LocationsKey[District])</f>
        <v>#VALUE!</v>
      </c>
      <c r="I384" t="e" vm="5">
        <f>_xlfn.XLOOKUP(AllData[[#This Row],[Site Name]],LocationsKey[Site Name],LocationsKey[Town])</f>
        <v>#VALUE!</v>
      </c>
      <c r="J384" t="str">
        <f>_xlfn.XLOOKUP(AllData[[#This Row],[Site Name]],LocationsKey[Site Name], LocationsKey[Waterway])</f>
        <v>Sutton Brook</v>
      </c>
      <c r="K384" s="139" t="s">
        <v>2965</v>
      </c>
      <c r="L384" s="139">
        <v>52.049602999999998</v>
      </c>
      <c r="M384" s="156">
        <v>-1.550991</v>
      </c>
      <c r="N384" s="139" t="s">
        <v>31</v>
      </c>
      <c r="O384" s="139">
        <v>362</v>
      </c>
      <c r="P384" s="139">
        <v>8.6999999999999993</v>
      </c>
      <c r="Q384" s="139">
        <v>4</v>
      </c>
      <c r="R384" s="107" t="str">
        <f>IF(AllData[[#This Row],[Nitrate (PPM)]]&gt;2, "Very high", IF(AllData[[#This Row],[Nitrate (PPM)]]&gt;1, "High", IF(AllData[[#This Row],[Nitrate (PPM)]]&gt;0.5, "Some evidence", IF(AllData[[#This Row],[Nitrate (PPM)]]&gt;=0, "No evidence"))))</f>
        <v>Very high</v>
      </c>
      <c r="S384" s="139">
        <v>0.15</v>
      </c>
      <c r="T384" s="7" t="str">
        <f>IF(AllData[[#This Row],[Phosphate (PPM)]]&gt;0.5, "Very high", IF(AllData[[#This Row],[Phosphate (PPM)]]&gt;0.1, "High", IF(AllData[[#This Row],[Phosphate (PPM)]]&gt;0.05, "Some evidence", IF(AllData[[#This Row],[Phosphate (PPM)]]&lt;=0.05, "No Evidence", ""))))</f>
        <v>High</v>
      </c>
      <c r="U384" s="139">
        <v>0.7</v>
      </c>
      <c r="V384" s="139" t="s">
        <v>2966</v>
      </c>
    </row>
    <row r="385" spans="1:22" x14ac:dyDescent="0.35">
      <c r="A385" s="139" t="s">
        <v>2967</v>
      </c>
      <c r="B385" s="146">
        <v>45685</v>
      </c>
      <c r="C385" s="2" t="str" cm="1">
        <f t="array" ref="C3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5">
        <v>2024</v>
      </c>
      <c r="E385" s="147">
        <v>0.62569444444444444</v>
      </c>
      <c r="F385" t="str">
        <f>IF(AND(AllData[[#This Row],[Time]]&lt;0.5, AllData[[#This Row],[Time]]&gt;0.17)=TRUE, "Morning", IF(AND(AllData[[#This Row],[Time]]&lt;0.75, AllData[[#This Row],[Time]]&gt;=0.5)=TRUE, "Afternoon", IF(AND(AllData[[#This Row],[Time]]&lt;1, AllData[[#This Row],[Time]]&gt;=0.75)=TRUE, "Evening", "Night")))</f>
        <v>Afternoon</v>
      </c>
      <c r="G385" t="str">
        <f>_xlfn.XLOOKUP(AllData[[#This Row],[Location Name]], Locations[Location Name],Locations[Group As])</f>
        <v>Mill Bridge Peopleton</v>
      </c>
      <c r="H385" t="e" vm="6">
        <f>_xlfn.XLOOKUP(AllData[[#This Row],[Site Name]],LocationsKey[Site Name],LocationsKey[District])</f>
        <v>#VALUE!</v>
      </c>
      <c r="I385" t="str">
        <f>_xlfn.XLOOKUP(AllData[[#This Row],[Site Name]],LocationsKey[Site Name],LocationsKey[Town])</f>
        <v>Peopleton</v>
      </c>
      <c r="J385" t="str">
        <f>_xlfn.XLOOKUP(AllData[[#This Row],[Site Name]],LocationsKey[Site Name], LocationsKey[Waterway])</f>
        <v>Bow Brook</v>
      </c>
      <c r="K385" s="139" t="s">
        <v>1015</v>
      </c>
      <c r="L385" s="139">
        <v>52.151544999999999</v>
      </c>
      <c r="M385" s="156">
        <v>-2.096034</v>
      </c>
      <c r="N385" s="139" t="s">
        <v>31</v>
      </c>
      <c r="O385" s="139">
        <v>509</v>
      </c>
      <c r="P385" s="139">
        <v>8.1</v>
      </c>
      <c r="Q385" s="139">
        <v>2</v>
      </c>
      <c r="R385" s="107" t="str">
        <f>IF(AllData[[#This Row],[Nitrate (PPM)]]&gt;2, "Very high", IF(AllData[[#This Row],[Nitrate (PPM)]]&gt;1, "High", IF(AllData[[#This Row],[Nitrate (PPM)]]&gt;0.5, "Some evidence", IF(AllData[[#This Row],[Nitrate (PPM)]]&gt;=0, "No evidence"))))</f>
        <v>High</v>
      </c>
      <c r="S385" s="139">
        <v>0.27</v>
      </c>
      <c r="T385" s="7" t="str">
        <f>IF(AllData[[#This Row],[Phosphate (PPM)]]&gt;0.5, "Very high", IF(AllData[[#This Row],[Phosphate (PPM)]]&gt;0.1, "High", IF(AllData[[#This Row],[Phosphate (PPM)]]&gt;0.05, "Some evidence", IF(AllData[[#This Row],[Phosphate (PPM)]]&lt;=0.05, "No Evidence", ""))))</f>
        <v>High</v>
      </c>
      <c r="U385" s="139">
        <v>1.5</v>
      </c>
      <c r="V385" s="139" t="s">
        <v>2968</v>
      </c>
    </row>
    <row r="386" spans="1:22" x14ac:dyDescent="0.35">
      <c r="A386" s="139" t="s">
        <v>2956</v>
      </c>
      <c r="B386" s="146">
        <v>45684</v>
      </c>
      <c r="C386" s="2" t="str" cm="1">
        <f t="array" ref="C3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6">
        <v>2024</v>
      </c>
      <c r="E386" s="147">
        <v>0.34722222222222221</v>
      </c>
      <c r="F386" t="str">
        <f>IF(AND(AllData[[#This Row],[Time]]&lt;0.5, AllData[[#This Row],[Time]]&gt;0.17)=TRUE, "Morning", IF(AND(AllData[[#This Row],[Time]]&lt;0.75, AllData[[#This Row],[Time]]&gt;=0.5)=TRUE, "Afternoon", IF(AND(AllData[[#This Row],[Time]]&lt;1, AllData[[#This Row],[Time]]&gt;=0.75)=TRUE, "Evening", "Night")))</f>
        <v>Morning</v>
      </c>
      <c r="G386" t="str">
        <f>_xlfn.XLOOKUP(AllData[[#This Row],[Location Name]], Locations[Location Name],Locations[Group As])</f>
        <v>Chipping Campden Sewage Works</v>
      </c>
      <c r="H386" t="e" vm="9">
        <f>_xlfn.XLOOKUP(AllData[[#This Row],[Site Name]],LocationsKey[Site Name],LocationsKey[District])</f>
        <v>#VALUE!</v>
      </c>
      <c r="I386" t="e" vm="10">
        <f>_xlfn.XLOOKUP(AllData[[#This Row],[Site Name]],LocationsKey[Site Name],LocationsKey[Town])</f>
        <v>#VALUE!</v>
      </c>
      <c r="J386" t="str">
        <f>_xlfn.XLOOKUP(AllData[[#This Row],[Site Name]],LocationsKey[Site Name], LocationsKey[Waterway])</f>
        <v>Cam Brook</v>
      </c>
      <c r="K386" s="139" t="s">
        <v>1570</v>
      </c>
      <c r="L386" s="139"/>
      <c r="M386" s="156"/>
      <c r="N386" s="139" t="s">
        <v>31</v>
      </c>
      <c r="O386" s="139">
        <v>470</v>
      </c>
      <c r="P386" s="139">
        <v>6.6</v>
      </c>
      <c r="Q386" s="139">
        <v>5</v>
      </c>
      <c r="R386" s="107" t="str">
        <f>IF(AllData[[#This Row],[Nitrate (PPM)]]&gt;2, "Very high", IF(AllData[[#This Row],[Nitrate (PPM)]]&gt;1, "High", IF(AllData[[#This Row],[Nitrate (PPM)]]&gt;0.5, "Some evidence", IF(AllData[[#This Row],[Nitrate (PPM)]]&gt;=0, "No evidence"))))</f>
        <v>Very high</v>
      </c>
      <c r="S386" s="139">
        <v>0.27</v>
      </c>
      <c r="T386" s="7" t="str">
        <f>IF(AllData[[#This Row],[Phosphate (PPM)]]&gt;0.5, "Very high", IF(AllData[[#This Row],[Phosphate (PPM)]]&gt;0.1, "High", IF(AllData[[#This Row],[Phosphate (PPM)]]&gt;0.05, "Some evidence", IF(AllData[[#This Row],[Phosphate (PPM)]]&lt;=0.05, "No Evidence", ""))))</f>
        <v>High</v>
      </c>
      <c r="U386" s="139">
        <v>0.52</v>
      </c>
      <c r="V386" s="139"/>
    </row>
    <row r="387" spans="1:22" x14ac:dyDescent="0.35">
      <c r="A387" s="139" t="s">
        <v>2957</v>
      </c>
      <c r="B387" s="146">
        <v>45684</v>
      </c>
      <c r="C387" s="2" t="str" cm="1">
        <f t="array" ref="C3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7">
        <v>2024</v>
      </c>
      <c r="E387" s="147">
        <v>0.39583333333333331</v>
      </c>
      <c r="F387" t="str">
        <f>IF(AND(AllData[[#This Row],[Time]]&lt;0.5, AllData[[#This Row],[Time]]&gt;0.17)=TRUE, "Morning", IF(AND(AllData[[#This Row],[Time]]&lt;0.75, AllData[[#This Row],[Time]]&gt;=0.5)=TRUE, "Afternoon", IF(AND(AllData[[#This Row],[Time]]&lt;1, AllData[[#This Row],[Time]]&gt;=0.75)=TRUE, "Evening", "Night")))</f>
        <v>Morning</v>
      </c>
      <c r="G387" t="str">
        <f>_xlfn.XLOOKUP(AllData[[#This Row],[Location Name]], Locations[Location Name],Locations[Group As])</f>
        <v>Chipping Campden Lady J Gateway</v>
      </c>
      <c r="H387" t="e" vm="9">
        <f>_xlfn.XLOOKUP(AllData[[#This Row],[Site Name]],LocationsKey[Site Name],LocationsKey[District])</f>
        <v>#VALUE!</v>
      </c>
      <c r="I387" t="e" vm="10">
        <f>_xlfn.XLOOKUP(AllData[[#This Row],[Site Name]],LocationsKey[Site Name],LocationsKey[Town])</f>
        <v>#VALUE!</v>
      </c>
      <c r="J387" t="str">
        <f>_xlfn.XLOOKUP(AllData[[#This Row],[Site Name]],LocationsKey[Site Name], LocationsKey[Waterway])</f>
        <v>Cam Brook</v>
      </c>
      <c r="K387" s="139" t="s">
        <v>1573</v>
      </c>
      <c r="L387" s="139"/>
      <c r="M387" s="156"/>
      <c r="N387" s="139" t="s">
        <v>68</v>
      </c>
      <c r="O387" s="139">
        <v>441</v>
      </c>
      <c r="P387" s="139">
        <v>5.7</v>
      </c>
      <c r="Q387" s="139">
        <v>2</v>
      </c>
      <c r="R387" s="107" t="str">
        <f>IF(AllData[[#This Row],[Nitrate (PPM)]]&gt;2, "Very high", IF(AllData[[#This Row],[Nitrate (PPM)]]&gt;1, "High", IF(AllData[[#This Row],[Nitrate (PPM)]]&gt;0.5, "Some evidence", IF(AllData[[#This Row],[Nitrate (PPM)]]&gt;=0, "No evidence"))))</f>
        <v>High</v>
      </c>
      <c r="S387" s="139">
        <v>0.16</v>
      </c>
      <c r="T387" s="7" t="str">
        <f>IF(AllData[[#This Row],[Phosphate (PPM)]]&gt;0.5, "Very high", IF(AllData[[#This Row],[Phosphate (PPM)]]&gt;0.1, "High", IF(AllData[[#This Row],[Phosphate (PPM)]]&gt;0.05, "Some evidence", IF(AllData[[#This Row],[Phosphate (PPM)]]&lt;=0.05, "No Evidence", ""))))</f>
        <v>High</v>
      </c>
      <c r="U387" s="139">
        <v>0.24</v>
      </c>
      <c r="V387" s="139" t="s">
        <v>2958</v>
      </c>
    </row>
    <row r="388" spans="1:22" x14ac:dyDescent="0.35">
      <c r="A388" s="139" t="s">
        <v>2959</v>
      </c>
      <c r="B388" s="146">
        <v>45684</v>
      </c>
      <c r="C388" s="2" t="str" cm="1">
        <f t="array" ref="C3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8">
        <v>2024</v>
      </c>
      <c r="E388" s="147">
        <v>0.45833333333333331</v>
      </c>
      <c r="F388" t="str">
        <f>IF(AND(AllData[[#This Row],[Time]]&lt;0.5, AllData[[#This Row],[Time]]&gt;0.17)=TRUE, "Morning", IF(AND(AllData[[#This Row],[Time]]&lt;0.75, AllData[[#This Row],[Time]]&gt;=0.5)=TRUE, "Afternoon", IF(AND(AllData[[#This Row],[Time]]&lt;1, AllData[[#This Row],[Time]]&gt;=0.75)=TRUE, "Evening", "Night")))</f>
        <v>Morning</v>
      </c>
      <c r="G388" t="str">
        <f>_xlfn.XLOOKUP(AllData[[#This Row],[Location Name]], Locations[Location Name],Locations[Group As])</f>
        <v>Chipping Campden Craves</v>
      </c>
      <c r="H388" t="e" vm="9">
        <f>_xlfn.XLOOKUP(AllData[[#This Row],[Site Name]],LocationsKey[Site Name],LocationsKey[District])</f>
        <v>#VALUE!</v>
      </c>
      <c r="I388" t="e" vm="10">
        <f>_xlfn.XLOOKUP(AllData[[#This Row],[Site Name]],LocationsKey[Site Name],LocationsKey[Town])</f>
        <v>#VALUE!</v>
      </c>
      <c r="J388" t="str">
        <f>_xlfn.XLOOKUP(AllData[[#This Row],[Site Name]],LocationsKey[Site Name], LocationsKey[Waterway])</f>
        <v>Cam Brook</v>
      </c>
      <c r="K388" s="139" t="s">
        <v>2458</v>
      </c>
      <c r="L388" s="139">
        <v>52.048766000000001</v>
      </c>
      <c r="M388" s="156">
        <v>-1.7863610000000001</v>
      </c>
      <c r="N388" s="139" t="s">
        <v>68</v>
      </c>
      <c r="O388" s="139">
        <v>414</v>
      </c>
      <c r="P388" s="139">
        <v>8.5</v>
      </c>
      <c r="Q388" s="139">
        <v>2</v>
      </c>
      <c r="R388" s="107" t="str">
        <f>IF(AllData[[#This Row],[Nitrate (PPM)]]&gt;2, "Very high", IF(AllData[[#This Row],[Nitrate (PPM)]]&gt;1, "High", IF(AllData[[#This Row],[Nitrate (PPM)]]&gt;0.5, "Some evidence", IF(AllData[[#This Row],[Nitrate (PPM)]]&gt;=0, "No evidence"))))</f>
        <v>High</v>
      </c>
      <c r="S388" s="139">
        <v>0.2</v>
      </c>
      <c r="T388" s="7" t="str">
        <f>IF(AllData[[#This Row],[Phosphate (PPM)]]&gt;0.5, "Very high", IF(AllData[[#This Row],[Phosphate (PPM)]]&gt;0.1, "High", IF(AllData[[#This Row],[Phosphate (PPM)]]&gt;0.05, "Some evidence", IF(AllData[[#This Row],[Phosphate (PPM)]]&lt;=0.05, "No Evidence", ""))))</f>
        <v>High</v>
      </c>
      <c r="U388" s="139">
        <v>34</v>
      </c>
      <c r="V388" s="139"/>
    </row>
    <row r="389" spans="1:22" x14ac:dyDescent="0.35">
      <c r="A389" s="139" t="s">
        <v>2950</v>
      </c>
      <c r="B389" s="146">
        <v>45683</v>
      </c>
      <c r="C389" s="2" t="str" cm="1">
        <f t="array" ref="C3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89">
        <v>2024</v>
      </c>
      <c r="E389" s="147">
        <v>0.5180555555555556</v>
      </c>
      <c r="F389" t="str">
        <f>IF(AND(AllData[[#This Row],[Time]]&lt;0.5, AllData[[#This Row],[Time]]&gt;0.17)=TRUE, "Morning", IF(AND(AllData[[#This Row],[Time]]&lt;0.75, AllData[[#This Row],[Time]]&gt;=0.5)=TRUE, "Afternoon", IF(AND(AllData[[#This Row],[Time]]&lt;1, AllData[[#This Row],[Time]]&gt;=0.75)=TRUE, "Evening", "Night")))</f>
        <v>Afternoon</v>
      </c>
      <c r="G389" t="str">
        <f>_xlfn.XLOOKUP(AllData[[#This Row],[Location Name]], Locations[Location Name],Locations[Group As])</f>
        <v>Pitch 16</v>
      </c>
      <c r="H389" t="e" vm="1">
        <f>_xlfn.XLOOKUP(AllData[[#This Row],[Site Name]],LocationsKey[Site Name],LocationsKey[District])</f>
        <v>#VALUE!</v>
      </c>
      <c r="I389" t="e" vm="12">
        <f>_xlfn.XLOOKUP(AllData[[#This Row],[Site Name]],LocationsKey[Site Name],LocationsKey[Town])</f>
        <v>#VALUE!</v>
      </c>
      <c r="J389" t="str">
        <f>_xlfn.XLOOKUP(AllData[[#This Row],[Site Name]],LocationsKey[Site Name], LocationsKey[Waterway])</f>
        <v>Avon</v>
      </c>
      <c r="K389" s="139" t="s">
        <v>2532</v>
      </c>
      <c r="L389" s="139">
        <v>52.175722</v>
      </c>
      <c r="M389" s="156">
        <v>-1.7431160000000001</v>
      </c>
      <c r="N389" s="139" t="s">
        <v>68</v>
      </c>
      <c r="O389" s="139">
        <v>933</v>
      </c>
      <c r="P389" s="139">
        <v>9.4</v>
      </c>
      <c r="Q389" s="139">
        <v>10</v>
      </c>
      <c r="R389" s="107" t="str">
        <f>IF(AllData[[#This Row],[Nitrate (PPM)]]&gt;2, "Very high", IF(AllData[[#This Row],[Nitrate (PPM)]]&gt;1, "High", IF(AllData[[#This Row],[Nitrate (PPM)]]&gt;0.5, "Some evidence", IF(AllData[[#This Row],[Nitrate (PPM)]]&gt;=0, "No evidence"))))</f>
        <v>Very high</v>
      </c>
      <c r="S389" s="139">
        <v>0.56000000000000005</v>
      </c>
      <c r="T389" s="7" t="str">
        <f>IF(AllData[[#This Row],[Phosphate (PPM)]]&gt;0.5, "Very high", IF(AllData[[#This Row],[Phosphate (PPM)]]&gt;0.1, "High", IF(AllData[[#This Row],[Phosphate (PPM)]]&gt;0.05, "Some evidence", IF(AllData[[#This Row],[Phosphate (PPM)]]&lt;=0.05, "No Evidence", ""))))</f>
        <v>Very high</v>
      </c>
      <c r="U389" s="139">
        <v>0.6</v>
      </c>
      <c r="V389" s="139" t="s">
        <v>2951</v>
      </c>
    </row>
    <row r="390" spans="1:22" x14ac:dyDescent="0.35">
      <c r="A390" s="139" t="s">
        <v>2955</v>
      </c>
      <c r="B390" s="146">
        <v>45683</v>
      </c>
      <c r="C390" s="2" t="str" cm="1">
        <f t="array" ref="C3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0">
        <v>2024</v>
      </c>
      <c r="E390" s="147">
        <v>0.56666666666666665</v>
      </c>
      <c r="F390" t="str">
        <f>IF(AND(AllData[[#This Row],[Time]]&lt;0.5, AllData[[#This Row],[Time]]&gt;0.17)=TRUE, "Morning", IF(AND(AllData[[#This Row],[Time]]&lt;0.75, AllData[[#This Row],[Time]]&gt;=0.5)=TRUE, "Afternoon", IF(AND(AllData[[#This Row],[Time]]&lt;1, AllData[[#This Row],[Time]]&gt;=0.75)=TRUE, "Evening", "Night")))</f>
        <v>Afternoon</v>
      </c>
      <c r="G390" t="str">
        <f>_xlfn.XLOOKUP(AllData[[#This Row],[Location Name]], Locations[Location Name],Locations[Group As])</f>
        <v>Black Bear</v>
      </c>
      <c r="H390" t="e" vm="4">
        <f>_xlfn.XLOOKUP(AllData[[#This Row],[Site Name]],LocationsKey[Site Name],LocationsKey[District])</f>
        <v>#VALUE!</v>
      </c>
      <c r="I390" t="e" vm="4">
        <f>_xlfn.XLOOKUP(AllData[[#This Row],[Site Name]],LocationsKey[Site Name],LocationsKey[Town])</f>
        <v>#VALUE!</v>
      </c>
      <c r="J390" t="str">
        <f>_xlfn.XLOOKUP(AllData[[#This Row],[Site Name]],LocationsKey[Site Name], LocationsKey[Waterway])</f>
        <v>Avon</v>
      </c>
      <c r="K390" s="139" t="s">
        <v>1175</v>
      </c>
      <c r="L390" s="139">
        <v>51.997396000000002</v>
      </c>
      <c r="M390" s="156">
        <v>-2.1560260000000002</v>
      </c>
      <c r="N390" s="139" t="s">
        <v>34</v>
      </c>
      <c r="O390" s="139">
        <v>825</v>
      </c>
      <c r="P390" s="139">
        <v>8.1</v>
      </c>
      <c r="Q390" s="139">
        <v>10</v>
      </c>
      <c r="R390" s="107" t="str">
        <f>IF(AllData[[#This Row],[Nitrate (PPM)]]&gt;2, "Very high", IF(AllData[[#This Row],[Nitrate (PPM)]]&gt;1, "High", IF(AllData[[#This Row],[Nitrate (PPM)]]&gt;0.5, "Some evidence", IF(AllData[[#This Row],[Nitrate (PPM)]]&gt;=0, "No evidence"))))</f>
        <v>Very high</v>
      </c>
      <c r="S390" s="139">
        <v>1.86</v>
      </c>
      <c r="T390" s="7" t="str">
        <f>IF(AllData[[#This Row],[Phosphate (PPM)]]&gt;0.5, "Very high", IF(AllData[[#This Row],[Phosphate (PPM)]]&gt;0.1, "High", IF(AllData[[#This Row],[Phosphate (PPM)]]&gt;0.05, "Some evidence", IF(AllData[[#This Row],[Phosphate (PPM)]]&lt;=0.05, "No Evidence", ""))))</f>
        <v>Very high</v>
      </c>
      <c r="U390" s="139">
        <v>0</v>
      </c>
      <c r="V390" s="139"/>
    </row>
    <row r="391" spans="1:22" x14ac:dyDescent="0.35">
      <c r="A391" s="139" t="s">
        <v>2946</v>
      </c>
      <c r="B391" s="146">
        <v>45683</v>
      </c>
      <c r="C391" s="2" t="str" cm="1">
        <f t="array" ref="C3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1">
        <v>2024</v>
      </c>
      <c r="E391" s="147">
        <v>0.49305555555555558</v>
      </c>
      <c r="F391" t="str">
        <f>IF(AND(AllData[[#This Row],[Time]]&lt;0.5, AllData[[#This Row],[Time]]&gt;0.17)=TRUE, "Morning", IF(AND(AllData[[#This Row],[Time]]&lt;0.75, AllData[[#This Row],[Time]]&gt;=0.5)=TRUE, "Afternoon", IF(AND(AllData[[#This Row],[Time]]&lt;1, AllData[[#This Row],[Time]]&gt;=0.75)=TRUE, "Evening", "Night")))</f>
        <v>Morning</v>
      </c>
      <c r="G391" t="str">
        <f>_xlfn.XLOOKUP(AllData[[#This Row],[Location Name]], Locations[Location Name],Locations[Group As])</f>
        <v>Sherbourne Brook 1</v>
      </c>
      <c r="H391" t="e" vm="1">
        <f>_xlfn.XLOOKUP(AllData[[#This Row],[Site Name]],LocationsKey[Site Name],LocationsKey[District])</f>
        <v>#VALUE!</v>
      </c>
      <c r="I391" t="e" vm="23">
        <f>_xlfn.XLOOKUP(AllData[[#This Row],[Site Name]],LocationsKey[Site Name],LocationsKey[Town])</f>
        <v>#VALUE!</v>
      </c>
      <c r="J391" t="str">
        <f>_xlfn.XLOOKUP(AllData[[#This Row],[Site Name]],LocationsKey[Site Name], LocationsKey[Waterway])</f>
        <v>Sherbourne Brook</v>
      </c>
      <c r="K391" s="139" t="s">
        <v>541</v>
      </c>
      <c r="L391" s="139"/>
      <c r="M391" s="156"/>
      <c r="N391" s="139"/>
      <c r="O391" s="139">
        <v>1030</v>
      </c>
      <c r="P391" s="139">
        <v>7.7</v>
      </c>
      <c r="Q391" s="139">
        <v>6</v>
      </c>
      <c r="R391" s="107" t="str">
        <f>IF(AllData[[#This Row],[Nitrate (PPM)]]&gt;2, "Very high", IF(AllData[[#This Row],[Nitrate (PPM)]]&gt;1, "High", IF(AllData[[#This Row],[Nitrate (PPM)]]&gt;0.5, "Some evidence", IF(AllData[[#This Row],[Nitrate (PPM)]]&gt;=0, "No evidence"))))</f>
        <v>Very high</v>
      </c>
      <c r="S391" s="139">
        <v>0.41</v>
      </c>
      <c r="T391" s="7" t="str">
        <f>IF(AllData[[#This Row],[Phosphate (PPM)]]&gt;0.5, "Very high", IF(AllData[[#This Row],[Phosphate (PPM)]]&gt;0.1, "High", IF(AllData[[#This Row],[Phosphate (PPM)]]&gt;0.05, "Some evidence", IF(AllData[[#This Row],[Phosphate (PPM)]]&lt;=0.05, "No Evidence", ""))))</f>
        <v>High</v>
      </c>
      <c r="U391" s="139">
        <v>0.2</v>
      </c>
      <c r="V391" s="139" t="s">
        <v>2947</v>
      </c>
    </row>
    <row r="392" spans="1:22" x14ac:dyDescent="0.35">
      <c r="A392" s="139" t="s">
        <v>2952</v>
      </c>
      <c r="B392" s="146">
        <v>45683</v>
      </c>
      <c r="C392" s="2" t="str" cm="1">
        <f t="array" ref="C3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2">
        <v>2024</v>
      </c>
      <c r="E392" s="147">
        <v>0.56388888888888888</v>
      </c>
      <c r="F392" t="str">
        <f>IF(AND(AllData[[#This Row],[Time]]&lt;0.5, AllData[[#This Row],[Time]]&gt;0.17)=TRUE, "Morning", IF(AND(AllData[[#This Row],[Time]]&lt;0.75, AllData[[#This Row],[Time]]&gt;=0.5)=TRUE, "Afternoon", IF(AND(AllData[[#This Row],[Time]]&lt;1, AllData[[#This Row],[Time]]&gt;=0.75)=TRUE, "Evening", "Night")))</f>
        <v>Afternoon</v>
      </c>
      <c r="G392" t="str">
        <f>_xlfn.XLOOKUP(AllData[[#This Row],[Location Name]], Locations[Location Name],Locations[Group As])</f>
        <v>Avonbank Drive</v>
      </c>
      <c r="H392" t="e" vm="1">
        <f>_xlfn.XLOOKUP(AllData[[#This Row],[Site Name]],LocationsKey[Site Name],LocationsKey[District])</f>
        <v>#VALUE!</v>
      </c>
      <c r="I392" t="e" vm="12">
        <f>_xlfn.XLOOKUP(AllData[[#This Row],[Site Name]],LocationsKey[Site Name],LocationsKey[Town])</f>
        <v>#VALUE!</v>
      </c>
      <c r="J392" t="str">
        <f>_xlfn.XLOOKUP(AllData[[#This Row],[Site Name]],LocationsKey[Site Name], LocationsKey[Waterway])</f>
        <v>Avon</v>
      </c>
      <c r="K392" s="139" t="s">
        <v>2953</v>
      </c>
      <c r="L392" s="139">
        <v>52.17756</v>
      </c>
      <c r="M392" s="156">
        <v>-1.7361150000000001</v>
      </c>
      <c r="N392" s="139" t="s">
        <v>31</v>
      </c>
      <c r="O392" s="139">
        <v>969</v>
      </c>
      <c r="P392" s="139">
        <v>8.6</v>
      </c>
      <c r="Q392" s="139">
        <v>5</v>
      </c>
      <c r="R392" s="107" t="str">
        <f>IF(AllData[[#This Row],[Nitrate (PPM)]]&gt;2, "Very high", IF(AllData[[#This Row],[Nitrate (PPM)]]&gt;1, "High", IF(AllData[[#This Row],[Nitrate (PPM)]]&gt;0.5, "Some evidence", IF(AllData[[#This Row],[Nitrate (PPM)]]&gt;=0, "No evidence"))))</f>
        <v>Very high</v>
      </c>
      <c r="S392" s="139">
        <v>1.42</v>
      </c>
      <c r="T392" s="7" t="str">
        <f>IF(AllData[[#This Row],[Phosphate (PPM)]]&gt;0.5, "Very high", IF(AllData[[#This Row],[Phosphate (PPM)]]&gt;0.1, "High", IF(AllData[[#This Row],[Phosphate (PPM)]]&gt;0.05, "Some evidence", IF(AllData[[#This Row],[Phosphate (PPM)]]&lt;=0.05, "No Evidence", ""))))</f>
        <v>Very high</v>
      </c>
      <c r="U392" s="139">
        <v>0.6</v>
      </c>
      <c r="V392" s="139" t="s">
        <v>2954</v>
      </c>
    </row>
    <row r="393" spans="1:22" x14ac:dyDescent="0.35">
      <c r="A393" s="139" t="s">
        <v>2948</v>
      </c>
      <c r="B393" s="146">
        <v>45683</v>
      </c>
      <c r="C393" s="2" t="str" cm="1">
        <f t="array" ref="C3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3">
        <v>2024</v>
      </c>
      <c r="E393" s="147">
        <v>0.50347222222222221</v>
      </c>
      <c r="F393" t="str">
        <f>IF(AND(AllData[[#This Row],[Time]]&lt;0.5, AllData[[#This Row],[Time]]&gt;0.17)=TRUE, "Morning", IF(AND(AllData[[#This Row],[Time]]&lt;0.75, AllData[[#This Row],[Time]]&gt;=0.5)=TRUE, "Afternoon", IF(AND(AllData[[#This Row],[Time]]&lt;1, AllData[[#This Row],[Time]]&gt;=0.75)=TRUE, "Evening", "Night")))</f>
        <v>Afternoon</v>
      </c>
      <c r="G393" t="str">
        <f>_xlfn.XLOOKUP(AllData[[#This Row],[Location Name]], Locations[Location Name],Locations[Group As])</f>
        <v>Bell Brook 1</v>
      </c>
      <c r="H393" t="e" vm="1">
        <f>_xlfn.XLOOKUP(AllData[[#This Row],[Site Name]],LocationsKey[Site Name],LocationsKey[District])</f>
        <v>#VALUE!</v>
      </c>
      <c r="I393" t="e" vm="19">
        <f>_xlfn.XLOOKUP(AllData[[#This Row],[Site Name]],LocationsKey[Site Name],LocationsKey[Town])</f>
        <v>#VALUE!</v>
      </c>
      <c r="J393" t="str">
        <f>_xlfn.XLOOKUP(AllData[[#This Row],[Site Name]],LocationsKey[Site Name], LocationsKey[Waterway])</f>
        <v>Bell Brook</v>
      </c>
      <c r="K393" s="139" t="s">
        <v>538</v>
      </c>
      <c r="L393" s="139"/>
      <c r="M393" s="156"/>
      <c r="N393" s="139"/>
      <c r="O393" s="139">
        <v>744</v>
      </c>
      <c r="P393" s="139">
        <v>5.9</v>
      </c>
      <c r="Q393" s="139">
        <v>5</v>
      </c>
      <c r="R393" s="107" t="str">
        <f>IF(AllData[[#This Row],[Nitrate (PPM)]]&gt;2, "Very high", IF(AllData[[#This Row],[Nitrate (PPM)]]&gt;1, "High", IF(AllData[[#This Row],[Nitrate (PPM)]]&gt;0.5, "Some evidence", IF(AllData[[#This Row],[Nitrate (PPM)]]&gt;=0, "No evidence"))))</f>
        <v>Very high</v>
      </c>
      <c r="S393" s="139">
        <v>0.25</v>
      </c>
      <c r="T393" s="7" t="str">
        <f>IF(AllData[[#This Row],[Phosphate (PPM)]]&gt;0.5, "Very high", IF(AllData[[#This Row],[Phosphate (PPM)]]&gt;0.1, "High", IF(AllData[[#This Row],[Phosphate (PPM)]]&gt;0.05, "Some evidence", IF(AllData[[#This Row],[Phosphate (PPM)]]&lt;=0.05, "No Evidence", ""))))</f>
        <v>High</v>
      </c>
      <c r="U393" s="139">
        <v>0.2</v>
      </c>
      <c r="V393" s="139" t="s">
        <v>2949</v>
      </c>
    </row>
    <row r="394" spans="1:22" x14ac:dyDescent="0.35">
      <c r="A394" s="139" t="s">
        <v>2937</v>
      </c>
      <c r="B394" s="146">
        <v>45682</v>
      </c>
      <c r="C394" s="2" t="str" cm="1">
        <f t="array" ref="C3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4">
        <v>2024</v>
      </c>
      <c r="E394" s="147">
        <v>0.46736111111111112</v>
      </c>
      <c r="F394" t="str">
        <f>IF(AND(AllData[[#This Row],[Time]]&lt;0.5, AllData[[#This Row],[Time]]&gt;0.17)=TRUE, "Morning", IF(AND(AllData[[#This Row],[Time]]&lt;0.75, AllData[[#This Row],[Time]]&gt;=0.5)=TRUE, "Afternoon", IF(AND(AllData[[#This Row],[Time]]&lt;1, AllData[[#This Row],[Time]]&gt;=0.75)=TRUE, "Evening", "Night")))</f>
        <v>Morning</v>
      </c>
      <c r="G394" t="str">
        <f>_xlfn.XLOOKUP(AllData[[#This Row],[Location Name]], Locations[Location Name],Locations[Group As])</f>
        <v>Lower Lode</v>
      </c>
      <c r="H394" t="e" vm="4">
        <f>_xlfn.XLOOKUP(AllData[[#This Row],[Site Name]],LocationsKey[Site Name],LocationsKey[District])</f>
        <v>#VALUE!</v>
      </c>
      <c r="I394" t="e" vm="4">
        <f>_xlfn.XLOOKUP(AllData[[#This Row],[Site Name]],LocationsKey[Site Name],LocationsKey[Town])</f>
        <v>#VALUE!</v>
      </c>
      <c r="J394" t="str">
        <f>_xlfn.XLOOKUP(AllData[[#This Row],[Site Name]],LocationsKey[Site Name], LocationsKey[Waterway])</f>
        <v>Avon</v>
      </c>
      <c r="K394" s="139" t="s">
        <v>595</v>
      </c>
      <c r="L394" s="139">
        <v>51.984946999999998</v>
      </c>
      <c r="M394" s="156">
        <v>-2.1740379999999999</v>
      </c>
      <c r="N394" s="139" t="s">
        <v>31</v>
      </c>
      <c r="O394" s="139">
        <v>9450</v>
      </c>
      <c r="P394" s="139">
        <v>11.1</v>
      </c>
      <c r="Q394" s="139">
        <v>10</v>
      </c>
      <c r="R394" s="107" t="str">
        <f>IF(AllData[[#This Row],[Nitrate (PPM)]]&gt;2, "Very high", IF(AllData[[#This Row],[Nitrate (PPM)]]&gt;1, "High", IF(AllData[[#This Row],[Nitrate (PPM)]]&gt;0.5, "Some evidence", IF(AllData[[#This Row],[Nitrate (PPM)]]&gt;=0, "No evidence"))))</f>
        <v>Very high</v>
      </c>
      <c r="S394" s="139">
        <v>0.56000000000000005</v>
      </c>
      <c r="T394" s="7" t="str">
        <f>IF(AllData[[#This Row],[Phosphate (PPM)]]&gt;0.5, "Very high", IF(AllData[[#This Row],[Phosphate (PPM)]]&gt;0.1, "High", IF(AllData[[#This Row],[Phosphate (PPM)]]&gt;0.05, "Some evidence", IF(AllData[[#This Row],[Phosphate (PPM)]]&lt;=0.05, "No Evidence", ""))))</f>
        <v>Very high</v>
      </c>
      <c r="U394" s="139">
        <v>2</v>
      </c>
      <c r="V394" s="139" t="s">
        <v>2938</v>
      </c>
    </row>
    <row r="395" spans="1:22" x14ac:dyDescent="0.35">
      <c r="A395" s="139" t="s">
        <v>2939</v>
      </c>
      <c r="B395" s="146">
        <v>45682</v>
      </c>
      <c r="C395" s="2" t="str" cm="1">
        <f t="array" ref="C3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5">
        <v>2024</v>
      </c>
      <c r="E395" s="147">
        <v>0.47013888888888888</v>
      </c>
      <c r="F395" t="str">
        <f>IF(AND(AllData[[#This Row],[Time]]&lt;0.5, AllData[[#This Row],[Time]]&gt;0.17)=TRUE, "Morning", IF(AND(AllData[[#This Row],[Time]]&lt;0.75, AllData[[#This Row],[Time]]&gt;=0.5)=TRUE, "Afternoon", IF(AND(AllData[[#This Row],[Time]]&lt;1, AllData[[#This Row],[Time]]&gt;=0.75)=TRUE, "Evening", "Night")))</f>
        <v>Morning</v>
      </c>
      <c r="G395" t="str">
        <f>_xlfn.XLOOKUP(AllData[[#This Row],[Location Name]], Locations[Location Name],Locations[Group As])</f>
        <v>Piddle Brook Wyre Piddle Bridge</v>
      </c>
      <c r="H395" t="e" vm="6">
        <f>_xlfn.XLOOKUP(AllData[[#This Row],[Site Name]],LocationsKey[Site Name],LocationsKey[District])</f>
        <v>#VALUE!</v>
      </c>
      <c r="I395" t="e" vm="13">
        <f>_xlfn.XLOOKUP(AllData[[#This Row],[Site Name]],LocationsKey[Site Name],LocationsKey[Town])</f>
        <v>#VALUE!</v>
      </c>
      <c r="J395" t="str">
        <f>_xlfn.XLOOKUP(AllData[[#This Row],[Site Name]],LocationsKey[Site Name], LocationsKey[Waterway])</f>
        <v>Piddle Brook</v>
      </c>
      <c r="K395" s="139" t="s">
        <v>787</v>
      </c>
      <c r="L395" s="139">
        <v>52.126435999999998</v>
      </c>
      <c r="M395" s="156">
        <v>-2.056467</v>
      </c>
      <c r="N395" s="139" t="s">
        <v>34</v>
      </c>
      <c r="O395" s="139">
        <v>931</v>
      </c>
      <c r="P395" s="139">
        <v>5.6</v>
      </c>
      <c r="Q395" s="139">
        <v>5</v>
      </c>
      <c r="R395" s="107" t="str">
        <f>IF(AllData[[#This Row],[Nitrate (PPM)]]&gt;2, "Very high", IF(AllData[[#This Row],[Nitrate (PPM)]]&gt;1, "High", IF(AllData[[#This Row],[Nitrate (PPM)]]&gt;0.5, "Some evidence", IF(AllData[[#This Row],[Nitrate (PPM)]]&gt;=0, "No evidence"))))</f>
        <v>Very high</v>
      </c>
      <c r="S395" s="139">
        <v>0.54</v>
      </c>
      <c r="T395" s="7" t="str">
        <f>IF(AllData[[#This Row],[Phosphate (PPM)]]&gt;0.5, "Very high", IF(AllData[[#This Row],[Phosphate (PPM)]]&gt;0.1, "High", IF(AllData[[#This Row],[Phosphate (PPM)]]&gt;0.05, "Some evidence", IF(AllData[[#This Row],[Phosphate (PPM)]]&lt;=0.05, "No Evidence", ""))))</f>
        <v>Very high</v>
      </c>
      <c r="U395" s="139">
        <v>0.39</v>
      </c>
      <c r="V395" s="139" t="s">
        <v>2940</v>
      </c>
    </row>
    <row r="396" spans="1:22" x14ac:dyDescent="0.35">
      <c r="A396" s="139" t="s">
        <v>2935</v>
      </c>
      <c r="B396" s="146">
        <v>45682</v>
      </c>
      <c r="C396" s="2" t="str" cm="1">
        <f t="array" ref="C3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6">
        <v>2024</v>
      </c>
      <c r="E396" s="147">
        <v>0.45624999999999999</v>
      </c>
      <c r="F396" t="str">
        <f>IF(AND(AllData[[#This Row],[Time]]&lt;0.5, AllData[[#This Row],[Time]]&gt;0.17)=TRUE, "Morning", IF(AND(AllData[[#This Row],[Time]]&lt;0.75, AllData[[#This Row],[Time]]&gt;=0.5)=TRUE, "Afternoon", IF(AND(AllData[[#This Row],[Time]]&lt;1, AllData[[#This Row],[Time]]&gt;=0.75)=TRUE, "Evening", "Night")))</f>
        <v>Morning</v>
      </c>
      <c r="G396" t="str">
        <f>_xlfn.XLOOKUP(AllData[[#This Row],[Location Name]], Locations[Location Name],Locations[Group As])</f>
        <v>Site 3  :  Severn Trent Water processing plant outflow</v>
      </c>
      <c r="H396" t="e" vm="1">
        <f>_xlfn.XLOOKUP(AllData[[#This Row],[Site Name]],LocationsKey[Site Name],LocationsKey[District])</f>
        <v>#VALUE!</v>
      </c>
      <c r="I396" t="e" vm="14">
        <f>_xlfn.XLOOKUP(AllData[[#This Row],[Site Name]],LocationsKey[Site Name],LocationsKey[Town])</f>
        <v>#VALUE!</v>
      </c>
      <c r="J396" t="str">
        <f>_xlfn.XLOOKUP(AllData[[#This Row],[Site Name]],LocationsKey[Site Name], LocationsKey[Waterway])</f>
        <v>Fosseway Brook</v>
      </c>
      <c r="K396" s="139" t="s">
        <v>2936</v>
      </c>
      <c r="L396" s="139">
        <v>52.094583999999998</v>
      </c>
      <c r="M396" s="156">
        <v>-1.6759029999999999</v>
      </c>
      <c r="N396" s="139" t="s">
        <v>31</v>
      </c>
      <c r="O396" s="139">
        <v>898</v>
      </c>
      <c r="P396" s="139">
        <v>7.1</v>
      </c>
      <c r="Q396" s="139">
        <v>5</v>
      </c>
      <c r="R396" s="107" t="str">
        <f>IF(AllData[[#This Row],[Nitrate (PPM)]]&gt;2, "Very high", IF(AllData[[#This Row],[Nitrate (PPM)]]&gt;1, "High", IF(AllData[[#This Row],[Nitrate (PPM)]]&gt;0.5, "Some evidence", IF(AllData[[#This Row],[Nitrate (PPM)]]&gt;=0, "No evidence"))))</f>
        <v>Very high</v>
      </c>
      <c r="S396" s="139">
        <v>3.7</v>
      </c>
      <c r="T396" s="7" t="str">
        <f>IF(AllData[[#This Row],[Phosphate (PPM)]]&gt;0.5, "Very high", IF(AllData[[#This Row],[Phosphate (PPM)]]&gt;0.1, "High", IF(AllData[[#This Row],[Phosphate (PPM)]]&gt;0.05, "Some evidence", IF(AllData[[#This Row],[Phosphate (PPM)]]&lt;=0.05, "No Evidence", ""))))</f>
        <v>Very high</v>
      </c>
      <c r="U396" s="139">
        <v>0.35</v>
      </c>
      <c r="V396" s="139"/>
    </row>
    <row r="397" spans="1:22" x14ac:dyDescent="0.35">
      <c r="A397" s="139" t="s">
        <v>2931</v>
      </c>
      <c r="B397" s="146">
        <v>45682</v>
      </c>
      <c r="C397" s="2" t="str" cm="1">
        <f t="array" ref="C3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7">
        <v>2024</v>
      </c>
      <c r="E397" s="147">
        <v>0.43125000000000002</v>
      </c>
      <c r="F397" t="str">
        <f>IF(AND(AllData[[#This Row],[Time]]&lt;0.5, AllData[[#This Row],[Time]]&gt;0.17)=TRUE, "Morning", IF(AND(AllData[[#This Row],[Time]]&lt;0.75, AllData[[#This Row],[Time]]&gt;=0.5)=TRUE, "Afternoon", IF(AND(AllData[[#This Row],[Time]]&lt;1, AllData[[#This Row],[Time]]&gt;=0.75)=TRUE, "Evening", "Night")))</f>
        <v>Morning</v>
      </c>
      <c r="G397" t="str">
        <f>_xlfn.XLOOKUP(AllData[[#This Row],[Location Name]], Locations[Location Name],Locations[Group As])</f>
        <v>Avon Smiths Meadow Wyre Piddle</v>
      </c>
      <c r="H397" t="e" vm="6">
        <f>_xlfn.XLOOKUP(AllData[[#This Row],[Site Name]],LocationsKey[Site Name],LocationsKey[District])</f>
        <v>#VALUE!</v>
      </c>
      <c r="I397" t="e" vm="13">
        <f>_xlfn.XLOOKUP(AllData[[#This Row],[Site Name]],LocationsKey[Site Name],LocationsKey[Town])</f>
        <v>#VALUE!</v>
      </c>
      <c r="J397" t="str">
        <f>_xlfn.XLOOKUP(AllData[[#This Row],[Site Name]],LocationsKey[Site Name], LocationsKey[Waterway])</f>
        <v>Avon</v>
      </c>
      <c r="K397" s="139" t="s">
        <v>784</v>
      </c>
      <c r="L397" s="139">
        <v>52.122884999999997</v>
      </c>
      <c r="M397" s="156">
        <v>-2.0575450000000002</v>
      </c>
      <c r="N397" s="139" t="s">
        <v>34</v>
      </c>
      <c r="O397" s="139">
        <v>865</v>
      </c>
      <c r="P397" s="139">
        <v>6.8</v>
      </c>
      <c r="Q397" s="139">
        <v>5</v>
      </c>
      <c r="R397" s="107" t="str">
        <f>IF(AllData[[#This Row],[Nitrate (PPM)]]&gt;2, "Very high", IF(AllData[[#This Row],[Nitrate (PPM)]]&gt;1, "High", IF(AllData[[#This Row],[Nitrate (PPM)]]&gt;0.5, "Some evidence", IF(AllData[[#This Row],[Nitrate (PPM)]]&gt;=0, "No evidence"))))</f>
        <v>Very high</v>
      </c>
      <c r="S397" s="139">
        <v>0.54</v>
      </c>
      <c r="T397" s="7" t="str">
        <f>IF(AllData[[#This Row],[Phosphate (PPM)]]&gt;0.5, "Very high", IF(AllData[[#This Row],[Phosphate (PPM)]]&gt;0.1, "High", IF(AllData[[#This Row],[Phosphate (PPM)]]&gt;0.05, "Some evidence", IF(AllData[[#This Row],[Phosphate (PPM)]]&lt;=0.05, "No Evidence", ""))))</f>
        <v>Very high</v>
      </c>
      <c r="U397" s="139">
        <v>0.85</v>
      </c>
      <c r="V397" s="139" t="s">
        <v>2932</v>
      </c>
    </row>
    <row r="398" spans="1:22" x14ac:dyDescent="0.35">
      <c r="A398" s="139" t="s">
        <v>2945</v>
      </c>
      <c r="B398" s="146">
        <v>45682</v>
      </c>
      <c r="C398" s="2" t="str" cm="1">
        <f t="array" ref="C3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8">
        <v>2024</v>
      </c>
      <c r="E398" s="147">
        <v>0.58333333333333337</v>
      </c>
      <c r="F398" t="str">
        <f>IF(AND(AllData[[#This Row],[Time]]&lt;0.5, AllData[[#This Row],[Time]]&gt;0.17)=TRUE, "Morning", IF(AND(AllData[[#This Row],[Time]]&lt;0.75, AllData[[#This Row],[Time]]&gt;=0.5)=TRUE, "Afternoon", IF(AND(AllData[[#This Row],[Time]]&lt;1, AllData[[#This Row],[Time]]&gt;=0.75)=TRUE, "Evening", "Night")))</f>
        <v>Afternoon</v>
      </c>
      <c r="G398" t="str">
        <f>_xlfn.XLOOKUP(AllData[[#This Row],[Location Name]], Locations[Location Name],Locations[Group As])</f>
        <v>Carrant Bredon Rd</v>
      </c>
      <c r="H398" t="e" vm="4">
        <f>_xlfn.XLOOKUP(AllData[[#This Row],[Site Name]],LocationsKey[Site Name],LocationsKey[District])</f>
        <v>#VALUE!</v>
      </c>
      <c r="I398" t="e" vm="4">
        <f>_xlfn.XLOOKUP(AllData[[#This Row],[Site Name]],LocationsKey[Site Name],LocationsKey[Town])</f>
        <v>#VALUE!</v>
      </c>
      <c r="J398" t="str">
        <f>_xlfn.XLOOKUP(AllData[[#This Row],[Site Name]],LocationsKey[Site Name], LocationsKey[Waterway])</f>
        <v>Carrant</v>
      </c>
      <c r="K398" s="139" t="s">
        <v>603</v>
      </c>
      <c r="L398" s="139">
        <v>51.996144000000001</v>
      </c>
      <c r="M398" s="156">
        <v>-2.1562239999999999</v>
      </c>
      <c r="N398" s="139" t="s">
        <v>25</v>
      </c>
      <c r="O398" s="139">
        <v>725</v>
      </c>
      <c r="P398" s="139">
        <v>8.4</v>
      </c>
      <c r="Q398" s="139">
        <v>4</v>
      </c>
      <c r="R398" s="107" t="str">
        <f>IF(AllData[[#This Row],[Nitrate (PPM)]]&gt;2, "Very high", IF(AllData[[#This Row],[Nitrate (PPM)]]&gt;1, "High", IF(AllData[[#This Row],[Nitrate (PPM)]]&gt;0.5, "Some evidence", IF(AllData[[#This Row],[Nitrate (PPM)]]&gt;=0, "No evidence"))))</f>
        <v>Very high</v>
      </c>
      <c r="S398" s="139">
        <v>0.36</v>
      </c>
      <c r="T398" s="7" t="str">
        <f>IF(AllData[[#This Row],[Phosphate (PPM)]]&gt;0.5, "Very high", IF(AllData[[#This Row],[Phosphate (PPM)]]&gt;0.1, "High", IF(AllData[[#This Row],[Phosphate (PPM)]]&gt;0.05, "Some evidence", IF(AllData[[#This Row],[Phosphate (PPM)]]&lt;=0.05, "No Evidence", ""))))</f>
        <v>High</v>
      </c>
      <c r="U398" s="139">
        <v>0.3</v>
      </c>
      <c r="V398" s="139"/>
    </row>
    <row r="399" spans="1:22" x14ac:dyDescent="0.35">
      <c r="A399" s="139" t="s">
        <v>2934</v>
      </c>
      <c r="B399" s="146">
        <v>45682</v>
      </c>
      <c r="C399" s="2" t="str" cm="1">
        <f t="array" ref="C3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399">
        <v>2024</v>
      </c>
      <c r="E399" s="147">
        <v>0.44861111111111113</v>
      </c>
      <c r="F399" t="str">
        <f>IF(AND(AllData[[#This Row],[Time]]&lt;0.5, AllData[[#This Row],[Time]]&gt;0.17)=TRUE, "Morning", IF(AND(AllData[[#This Row],[Time]]&lt;0.75, AllData[[#This Row],[Time]]&gt;=0.5)=TRUE, "Afternoon", IF(AND(AllData[[#This Row],[Time]]&lt;1, AllData[[#This Row],[Time]]&gt;=0.75)=TRUE, "Evening", "Night")))</f>
        <v>Morning</v>
      </c>
      <c r="G399" t="str">
        <f>_xlfn.XLOOKUP(AllData[[#This Row],[Location Name]], Locations[Location Name],Locations[Group As])</f>
        <v>Site 2  :  Cross Leys culvert</v>
      </c>
      <c r="H399" t="e" vm="1">
        <f>_xlfn.XLOOKUP(AllData[[#This Row],[Site Name]],LocationsKey[Site Name],LocationsKey[District])</f>
        <v>#VALUE!</v>
      </c>
      <c r="I399" t="e" vm="14">
        <f>_xlfn.XLOOKUP(AllData[[#This Row],[Site Name]],LocationsKey[Site Name],LocationsKey[Town])</f>
        <v>#VALUE!</v>
      </c>
      <c r="J399" t="str">
        <f>_xlfn.XLOOKUP(AllData[[#This Row],[Site Name]],LocationsKey[Site Name], LocationsKey[Waterway])</f>
        <v>Fosseway Brook</v>
      </c>
      <c r="K399" s="139" t="s">
        <v>1915</v>
      </c>
      <c r="L399" s="139">
        <v>52.093072999999997</v>
      </c>
      <c r="M399" s="156">
        <v>-1.6862999999999999</v>
      </c>
      <c r="N399" s="139" t="s">
        <v>68</v>
      </c>
      <c r="O399" s="139">
        <v>769</v>
      </c>
      <c r="P399" s="139">
        <v>5.7</v>
      </c>
      <c r="Q399" s="139">
        <v>2</v>
      </c>
      <c r="R399" s="107" t="str">
        <f>IF(AllData[[#This Row],[Nitrate (PPM)]]&gt;2, "Very high", IF(AllData[[#This Row],[Nitrate (PPM)]]&gt;1, "High", IF(AllData[[#This Row],[Nitrate (PPM)]]&gt;0.5, "Some evidence", IF(AllData[[#This Row],[Nitrate (PPM)]]&gt;=0, "No evidence"))))</f>
        <v>High</v>
      </c>
      <c r="S399" s="139">
        <v>0.64</v>
      </c>
      <c r="T399" s="7" t="str">
        <f>IF(AllData[[#This Row],[Phosphate (PPM)]]&gt;0.5, "Very high", IF(AllData[[#This Row],[Phosphate (PPM)]]&gt;0.1, "High", IF(AllData[[#This Row],[Phosphate (PPM)]]&gt;0.05, "Some evidence", IF(AllData[[#This Row],[Phosphate (PPM)]]&lt;=0.05, "No Evidence", ""))))</f>
        <v>Very high</v>
      </c>
      <c r="U399" s="139">
        <v>0.15</v>
      </c>
      <c r="V399" s="139"/>
    </row>
    <row r="400" spans="1:22" x14ac:dyDescent="0.35">
      <c r="A400" s="139" t="s">
        <v>2942</v>
      </c>
      <c r="B400" s="146">
        <v>45682</v>
      </c>
      <c r="C400" s="2" t="str" cm="1">
        <f t="array" ref="C4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0">
        <v>2024</v>
      </c>
      <c r="E400" s="147">
        <v>0.55000000000000004</v>
      </c>
      <c r="F400" t="str">
        <f>IF(AND(AllData[[#This Row],[Time]]&lt;0.5, AllData[[#This Row],[Time]]&gt;0.17)=TRUE, "Morning", IF(AND(AllData[[#This Row],[Time]]&lt;0.75, AllData[[#This Row],[Time]]&gt;=0.5)=TRUE, "Afternoon", IF(AND(AllData[[#This Row],[Time]]&lt;1, AllData[[#This Row],[Time]]&gt;=0.75)=TRUE, "Evening", "Night")))</f>
        <v>Afternoon</v>
      </c>
      <c r="G400" t="str">
        <f>_xlfn.XLOOKUP(AllData[[#This Row],[Location Name]], Locations[Location Name],Locations[Group As])</f>
        <v>R.Stowe - Lower Fields Farm, Old Brickyard Lane</v>
      </c>
      <c r="H400" t="e" vm="1">
        <f>_xlfn.XLOOKUP(AllData[[#This Row],[Site Name]],LocationsKey[Site Name],LocationsKey[District])</f>
        <v>#VALUE!</v>
      </c>
      <c r="I400" t="e" vm="17">
        <f>_xlfn.XLOOKUP(AllData[[#This Row],[Site Name]],LocationsKey[Site Name],LocationsKey[Town])</f>
        <v>#VALUE!</v>
      </c>
      <c r="J400" t="str">
        <f>_xlfn.XLOOKUP(AllData[[#This Row],[Site Name]],LocationsKey[Site Name], LocationsKey[Waterway])</f>
        <v>Stowe</v>
      </c>
      <c r="K400" s="139" t="s">
        <v>2943</v>
      </c>
      <c r="L400" s="139">
        <v>52.244028</v>
      </c>
      <c r="M400" s="156">
        <v>-1.3477760000000001</v>
      </c>
      <c r="N400" s="139" t="s">
        <v>31</v>
      </c>
      <c r="O400" s="139">
        <v>744</v>
      </c>
      <c r="P400" s="139">
        <v>7.1</v>
      </c>
      <c r="Q400" s="139">
        <v>2</v>
      </c>
      <c r="R400" s="107" t="str">
        <f>IF(AllData[[#This Row],[Nitrate (PPM)]]&gt;2, "Very high", IF(AllData[[#This Row],[Nitrate (PPM)]]&gt;1, "High", IF(AllData[[#This Row],[Nitrate (PPM)]]&gt;0.5, "Some evidence", IF(AllData[[#This Row],[Nitrate (PPM)]]&gt;=0, "No evidence"))))</f>
        <v>High</v>
      </c>
      <c r="S400" s="139">
        <v>0.41</v>
      </c>
      <c r="T400" s="7" t="str">
        <f>IF(AllData[[#This Row],[Phosphate (PPM)]]&gt;0.5, "Very high", IF(AllData[[#This Row],[Phosphate (PPM)]]&gt;0.1, "High", IF(AllData[[#This Row],[Phosphate (PPM)]]&gt;0.05, "Some evidence", IF(AllData[[#This Row],[Phosphate (PPM)]]&lt;=0.05, "No Evidence", ""))))</f>
        <v>High</v>
      </c>
      <c r="U400" s="139">
        <v>1</v>
      </c>
      <c r="V400" s="139" t="s">
        <v>2944</v>
      </c>
    </row>
    <row r="401" spans="1:22" x14ac:dyDescent="0.35">
      <c r="A401" s="139" t="s">
        <v>2933</v>
      </c>
      <c r="B401" s="146">
        <v>45682</v>
      </c>
      <c r="C401" s="2" t="str" cm="1">
        <f t="array" ref="C4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1">
        <v>2024</v>
      </c>
      <c r="E401" s="147">
        <v>0.44027777777777777</v>
      </c>
      <c r="F401" t="str">
        <f>IF(AND(AllData[[#This Row],[Time]]&lt;0.5, AllData[[#This Row],[Time]]&gt;0.17)=TRUE, "Morning", IF(AND(AllData[[#This Row],[Time]]&lt;0.75, AllData[[#This Row],[Time]]&gt;=0.5)=TRUE, "Afternoon", IF(AND(AllData[[#This Row],[Time]]&lt;1, AllData[[#This Row],[Time]]&gt;=0.75)=TRUE, "Evening", "Night")))</f>
        <v>Morning</v>
      </c>
      <c r="G401" t="str">
        <f>_xlfn.XLOOKUP(AllData[[#This Row],[Location Name]], Locations[Location Name],Locations[Group As])</f>
        <v>Site 1  :  Middle Street</v>
      </c>
      <c r="H401" t="e" vm="1">
        <f>_xlfn.XLOOKUP(AllData[[#This Row],[Site Name]],LocationsKey[Site Name],LocationsKey[District])</f>
        <v>#VALUE!</v>
      </c>
      <c r="I401" t="e" vm="14">
        <f>_xlfn.XLOOKUP(AllData[[#This Row],[Site Name]],LocationsKey[Site Name],LocationsKey[Town])</f>
        <v>#VALUE!</v>
      </c>
      <c r="J401" t="str">
        <f>_xlfn.XLOOKUP(AllData[[#This Row],[Site Name]],LocationsKey[Site Name], LocationsKey[Waterway])</f>
        <v>Fosseway Brook</v>
      </c>
      <c r="K401" s="139" t="s">
        <v>670</v>
      </c>
      <c r="L401" s="139">
        <v>52.090031000000003</v>
      </c>
      <c r="M401" s="156">
        <v>-1.69259</v>
      </c>
      <c r="N401" s="139" t="s">
        <v>68</v>
      </c>
      <c r="O401" s="139">
        <v>688</v>
      </c>
      <c r="P401" s="139">
        <v>5.9</v>
      </c>
      <c r="Q401" s="139">
        <v>2</v>
      </c>
      <c r="R401" s="107" t="str">
        <f>IF(AllData[[#This Row],[Nitrate (PPM)]]&gt;2, "Very high", IF(AllData[[#This Row],[Nitrate (PPM)]]&gt;1, "High", IF(AllData[[#This Row],[Nitrate (PPM)]]&gt;0.5, "Some evidence", IF(AllData[[#This Row],[Nitrate (PPM)]]&gt;=0, "No evidence"))))</f>
        <v>High</v>
      </c>
      <c r="S401" s="139">
        <v>0.11</v>
      </c>
      <c r="T401" s="7" t="str">
        <f>IF(AllData[[#This Row],[Phosphate (PPM)]]&gt;0.5, "Very high", IF(AllData[[#This Row],[Phosphate (PPM)]]&gt;0.1, "High", IF(AllData[[#This Row],[Phosphate (PPM)]]&gt;0.05, "Some evidence", IF(AllData[[#This Row],[Phosphate (PPM)]]&lt;=0.05, "No Evidence", ""))))</f>
        <v>High</v>
      </c>
      <c r="U401" s="139">
        <v>0.15</v>
      </c>
      <c r="V401" s="139"/>
    </row>
    <row r="402" spans="1:22" x14ac:dyDescent="0.35">
      <c r="A402" s="139" t="s">
        <v>2941</v>
      </c>
      <c r="B402" s="146">
        <v>45682</v>
      </c>
      <c r="C402" s="2" t="str" cm="1">
        <f t="array" ref="C4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2">
        <v>2024</v>
      </c>
      <c r="E402" s="147">
        <v>0.52083333333333337</v>
      </c>
      <c r="F402" t="str">
        <f>IF(AND(AllData[[#This Row],[Time]]&lt;0.5, AllData[[#This Row],[Time]]&gt;0.17)=TRUE, "Morning", IF(AND(AllData[[#This Row],[Time]]&lt;0.75, AllData[[#This Row],[Time]]&gt;=0.5)=TRUE, "Afternoon", IF(AND(AllData[[#This Row],[Time]]&lt;1, AllData[[#This Row],[Time]]&gt;=0.75)=TRUE, "Evening", "Night")))</f>
        <v>Afternoon</v>
      </c>
      <c r="G402" t="str">
        <f>_xlfn.XLOOKUP(AllData[[#This Row],[Location Name]], Locations[Location Name],Locations[Group As])</f>
        <v>Fell Mill Footbridge</v>
      </c>
      <c r="H402" t="e" vm="1">
        <f>_xlfn.XLOOKUP(AllData[[#This Row],[Site Name]],LocationsKey[Site Name],LocationsKey[District])</f>
        <v>#VALUE!</v>
      </c>
      <c r="I402" t="e" vm="15">
        <f>_xlfn.XLOOKUP(AllData[[#This Row],[Site Name]],LocationsKey[Site Name],LocationsKey[Town])</f>
        <v>#VALUE!</v>
      </c>
      <c r="J402" t="str">
        <f>_xlfn.XLOOKUP(AllData[[#This Row],[Site Name]],LocationsKey[Site Name], LocationsKey[Waterway])</f>
        <v>Stour</v>
      </c>
      <c r="K402" s="139" t="s">
        <v>1968</v>
      </c>
      <c r="L402" s="139">
        <v>52.070086000000003</v>
      </c>
      <c r="M402" s="156">
        <v>-1.61145</v>
      </c>
      <c r="N402" s="139" t="s">
        <v>31</v>
      </c>
      <c r="O402" s="139">
        <v>507</v>
      </c>
      <c r="P402" s="139">
        <v>8.4</v>
      </c>
      <c r="Q402" s="139">
        <v>0.5</v>
      </c>
      <c r="R402" s="107" t="str">
        <f>IF(AllData[[#This Row],[Nitrate (PPM)]]&gt;2, "Very high", IF(AllData[[#This Row],[Nitrate (PPM)]]&gt;1, "High", IF(AllData[[#This Row],[Nitrate (PPM)]]&gt;0.5, "Some evidence", IF(AllData[[#This Row],[Nitrate (PPM)]]&gt;=0, "No evidence"))))</f>
        <v>No evidence</v>
      </c>
      <c r="S402" s="139">
        <v>0.59</v>
      </c>
      <c r="T402" s="7" t="str">
        <f>IF(AllData[[#This Row],[Phosphate (PPM)]]&gt;0.5, "Very high", IF(AllData[[#This Row],[Phosphate (PPM)]]&gt;0.1, "High", IF(AllData[[#This Row],[Phosphate (PPM)]]&gt;0.05, "Some evidence", IF(AllData[[#This Row],[Phosphate (PPM)]]&lt;=0.05, "No Evidence", ""))))</f>
        <v>Very high</v>
      </c>
      <c r="U402" s="139">
        <v>2.2000000000000002</v>
      </c>
      <c r="V402" s="139"/>
    </row>
    <row r="403" spans="1:22" x14ac:dyDescent="0.35">
      <c r="A403" s="139" t="s">
        <v>2929</v>
      </c>
      <c r="B403" s="146">
        <v>45681</v>
      </c>
      <c r="C403" s="2" t="str" cm="1">
        <f t="array" ref="C4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3">
        <v>2024</v>
      </c>
      <c r="E403" s="147">
        <v>0.6875</v>
      </c>
      <c r="F403" t="str">
        <f>IF(AND(AllData[[#This Row],[Time]]&lt;0.5, AllData[[#This Row],[Time]]&gt;0.17)=TRUE, "Morning", IF(AND(AllData[[#This Row],[Time]]&lt;0.75, AllData[[#This Row],[Time]]&gt;=0.5)=TRUE, "Afternoon", IF(AND(AllData[[#This Row],[Time]]&lt;1, AllData[[#This Row],[Time]]&gt;=0.75)=TRUE, "Evening", "Night")))</f>
        <v>Afternoon</v>
      </c>
      <c r="G403" t="str">
        <f>_xlfn.XLOOKUP(AllData[[#This Row],[Location Name]], Locations[Location Name],Locations[Group As])</f>
        <v>Preston-on-Stour River Bridge</v>
      </c>
      <c r="H403" t="e" vm="1">
        <f>_xlfn.XLOOKUP(AllData[[#This Row],[Site Name]],LocationsKey[Site Name],LocationsKey[District])</f>
        <v>#VALUE!</v>
      </c>
      <c r="I403" t="e" vm="20">
        <f>_xlfn.XLOOKUP(AllData[[#This Row],[Site Name]],LocationsKey[Site Name],LocationsKey[Town])</f>
        <v>#VALUE!</v>
      </c>
      <c r="J403" t="str">
        <f>_xlfn.XLOOKUP(AllData[[#This Row],[Site Name]],LocationsKey[Site Name], LocationsKey[Waterway])</f>
        <v>Stour</v>
      </c>
      <c r="K403" s="139" t="s">
        <v>164</v>
      </c>
      <c r="L403" s="139">
        <v>52.146476999999997</v>
      </c>
      <c r="M403" s="156">
        <v>-1.699686</v>
      </c>
      <c r="N403" s="139" t="s">
        <v>31</v>
      </c>
      <c r="O403" s="139">
        <v>682</v>
      </c>
      <c r="P403" s="139">
        <v>6.6</v>
      </c>
      <c r="Q403" s="139">
        <v>6</v>
      </c>
      <c r="R403" s="107" t="str">
        <f>IF(AllData[[#This Row],[Nitrate (PPM)]]&gt;2, "Very high", IF(AllData[[#This Row],[Nitrate (PPM)]]&gt;1, "High", IF(AllData[[#This Row],[Nitrate (PPM)]]&gt;0.5, "Some evidence", IF(AllData[[#This Row],[Nitrate (PPM)]]&gt;=0, "No evidence"))))</f>
        <v>Very high</v>
      </c>
      <c r="S403" s="139">
        <v>0.2</v>
      </c>
      <c r="T403" s="7" t="str">
        <f>IF(AllData[[#This Row],[Phosphate (PPM)]]&gt;0.5, "Very high", IF(AllData[[#This Row],[Phosphate (PPM)]]&gt;0.1, "High", IF(AllData[[#This Row],[Phosphate (PPM)]]&gt;0.05, "Some evidence", IF(AllData[[#This Row],[Phosphate (PPM)]]&lt;=0.05, "No Evidence", ""))))</f>
        <v>High</v>
      </c>
      <c r="U403" s="139">
        <v>2</v>
      </c>
      <c r="V403" s="139" t="s">
        <v>2930</v>
      </c>
    </row>
    <row r="404" spans="1:22" x14ac:dyDescent="0.35">
      <c r="A404" s="139" t="s">
        <v>2926</v>
      </c>
      <c r="B404" s="146">
        <v>45681</v>
      </c>
      <c r="C404" s="2" t="str" cm="1">
        <f t="array" ref="C4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4">
        <v>2024</v>
      </c>
      <c r="E404" s="147">
        <v>0.35972222222222222</v>
      </c>
      <c r="F404" t="str">
        <f>IF(AND(AllData[[#This Row],[Time]]&lt;0.5, AllData[[#This Row],[Time]]&gt;0.17)=TRUE, "Morning", IF(AND(AllData[[#This Row],[Time]]&lt;0.75, AllData[[#This Row],[Time]]&gt;=0.5)=TRUE, "Afternoon", IF(AND(AllData[[#This Row],[Time]]&lt;1, AllData[[#This Row],[Time]]&gt;=0.75)=TRUE, "Evening", "Night")))</f>
        <v>Morning</v>
      </c>
      <c r="G404" t="str">
        <f>_xlfn.XLOOKUP(AllData[[#This Row],[Location Name]], Locations[Location Name],Locations[Group As])</f>
        <v>The Ford, Langley</v>
      </c>
      <c r="H404" t="e" vm="1">
        <f>_xlfn.XLOOKUP(AllData[[#This Row],[Site Name]],LocationsKey[Site Name],LocationsKey[District])</f>
        <v>#VALUE!</v>
      </c>
      <c r="I404" t="str">
        <f>_xlfn.XLOOKUP(AllData[[#This Row],[Site Name]],LocationsKey[Site Name],LocationsKey[Town])</f>
        <v>Langley</v>
      </c>
      <c r="J404" t="str">
        <f>_xlfn.XLOOKUP(AllData[[#This Row],[Site Name]],LocationsKey[Site Name], LocationsKey[Waterway])</f>
        <v>Langley Ford</v>
      </c>
      <c r="K404" s="139" t="s">
        <v>561</v>
      </c>
      <c r="L404" s="139">
        <v>52.259791999999997</v>
      </c>
      <c r="M404" s="156">
        <v>-1.718515</v>
      </c>
      <c r="N404" s="139" t="s">
        <v>31</v>
      </c>
      <c r="O404" s="139">
        <v>871</v>
      </c>
      <c r="P404" s="139">
        <v>6.2</v>
      </c>
      <c r="Q404" s="139">
        <v>5</v>
      </c>
      <c r="R404" s="107" t="str">
        <f>IF(AllData[[#This Row],[Nitrate (PPM)]]&gt;2, "Very high", IF(AllData[[#This Row],[Nitrate (PPM)]]&gt;1, "High", IF(AllData[[#This Row],[Nitrate (PPM)]]&gt;0.5, "Some evidence", IF(AllData[[#This Row],[Nitrate (PPM)]]&gt;=0, "No evidence"))))</f>
        <v>Very high</v>
      </c>
      <c r="S404" s="139">
        <v>0.96</v>
      </c>
      <c r="T404" s="7" t="str">
        <f>IF(AllData[[#This Row],[Phosphate (PPM)]]&gt;0.5, "Very high", IF(AllData[[#This Row],[Phosphate (PPM)]]&gt;0.1, "High", IF(AllData[[#This Row],[Phosphate (PPM)]]&gt;0.05, "Some evidence", IF(AllData[[#This Row],[Phosphate (PPM)]]&lt;=0.05, "No Evidence", ""))))</f>
        <v>Very high</v>
      </c>
      <c r="U404" s="139">
        <v>35</v>
      </c>
      <c r="V404" s="139" t="s">
        <v>2927</v>
      </c>
    </row>
    <row r="405" spans="1:22" x14ac:dyDescent="0.35">
      <c r="A405" s="139" t="s">
        <v>2928</v>
      </c>
      <c r="B405" s="146">
        <v>45681</v>
      </c>
      <c r="C405" s="2" t="str" cm="1">
        <f t="array" ref="C4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5">
        <v>2024</v>
      </c>
      <c r="E405" s="147">
        <v>0.66527777777777775</v>
      </c>
      <c r="F405" t="str">
        <f>IF(AND(AllData[[#This Row],[Time]]&lt;0.5, AllData[[#This Row],[Time]]&gt;0.17)=TRUE, "Morning", IF(AND(AllData[[#This Row],[Time]]&lt;0.75, AllData[[#This Row],[Time]]&gt;=0.5)=TRUE, "Afternoon", IF(AND(AllData[[#This Row],[Time]]&lt;1, AllData[[#This Row],[Time]]&gt;=0.75)=TRUE, "Evening", "Night")))</f>
        <v>Afternoon</v>
      </c>
      <c r="G405" t="str">
        <f>_xlfn.XLOOKUP(AllData[[#This Row],[Location Name]], Locations[Location Name],Locations[Group As])</f>
        <v>Stour Shipston Mill Bridge</v>
      </c>
      <c r="H405" t="e" vm="1">
        <f>_xlfn.XLOOKUP(AllData[[#This Row],[Site Name]],LocationsKey[Site Name],LocationsKey[District])</f>
        <v>#VALUE!</v>
      </c>
      <c r="I405" t="e" vm="15">
        <f>_xlfn.XLOOKUP(AllData[[#This Row],[Site Name]],LocationsKey[Site Name],LocationsKey[Town])</f>
        <v>#VALUE!</v>
      </c>
      <c r="J405" t="str">
        <f>_xlfn.XLOOKUP(AllData[[#This Row],[Site Name]],LocationsKey[Site Name], LocationsKey[Waterway])</f>
        <v>Stour</v>
      </c>
      <c r="K405" s="139" t="s">
        <v>2006</v>
      </c>
      <c r="L405" s="139"/>
      <c r="M405" s="156"/>
      <c r="N405" s="139"/>
      <c r="O405" s="139">
        <v>4.96</v>
      </c>
      <c r="P405" s="139">
        <v>7.2</v>
      </c>
      <c r="Q405" s="139">
        <v>1.5</v>
      </c>
      <c r="R405" s="107" t="str">
        <f>IF(AllData[[#This Row],[Nitrate (PPM)]]&gt;2, "Very high", IF(AllData[[#This Row],[Nitrate (PPM)]]&gt;1, "High", IF(AllData[[#This Row],[Nitrate (PPM)]]&gt;0.5, "Some evidence", IF(AllData[[#This Row],[Nitrate (PPM)]]&gt;=0, "No evidence"))))</f>
        <v>High</v>
      </c>
      <c r="S405" s="139">
        <v>0.33</v>
      </c>
      <c r="T405" s="7" t="str">
        <f>IF(AllData[[#This Row],[Phosphate (PPM)]]&gt;0.5, "Very high", IF(AllData[[#This Row],[Phosphate (PPM)]]&gt;0.1, "High", IF(AllData[[#This Row],[Phosphate (PPM)]]&gt;0.05, "Some evidence", IF(AllData[[#This Row],[Phosphate (PPM)]]&lt;=0.05, "No Evidence", ""))))</f>
        <v>High</v>
      </c>
      <c r="U405" s="139">
        <v>1.45</v>
      </c>
      <c r="V405" s="139"/>
    </row>
    <row r="406" spans="1:22" x14ac:dyDescent="0.35">
      <c r="A406" s="139" t="s">
        <v>2924</v>
      </c>
      <c r="B406" s="146">
        <v>45680</v>
      </c>
      <c r="C406" s="2" t="str" cm="1">
        <f t="array" ref="C4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6">
        <v>2024</v>
      </c>
      <c r="E406" s="147">
        <v>0.59097222222222223</v>
      </c>
      <c r="F406" t="str">
        <f>IF(AND(AllData[[#This Row],[Time]]&lt;0.5, AllData[[#This Row],[Time]]&gt;0.17)=TRUE, "Morning", IF(AND(AllData[[#This Row],[Time]]&lt;0.75, AllData[[#This Row],[Time]]&gt;=0.5)=TRUE, "Afternoon", IF(AND(AllData[[#This Row],[Time]]&lt;1, AllData[[#This Row],[Time]]&gt;=0.75)=TRUE, "Evening", "Night")))</f>
        <v>Afternoon</v>
      </c>
      <c r="G406" t="str">
        <f>_xlfn.XLOOKUP(AllData[[#This Row],[Location Name]], Locations[Location Name],Locations[Group As])</f>
        <v>Carrant Back Lane Beckford</v>
      </c>
      <c r="H406" t="e" vm="4">
        <f>_xlfn.XLOOKUP(AllData[[#This Row],[Site Name]],LocationsKey[Site Name],LocationsKey[District])</f>
        <v>#VALUE!</v>
      </c>
      <c r="I406" t="str">
        <f>_xlfn.XLOOKUP(AllData[[#This Row],[Site Name]],LocationsKey[Site Name],LocationsKey[Town])</f>
        <v>Beckford</v>
      </c>
      <c r="J406" t="str">
        <f>_xlfn.XLOOKUP(AllData[[#This Row],[Site Name]],LocationsKey[Site Name], LocationsKey[Waterway])</f>
        <v>Carrant</v>
      </c>
      <c r="K406" s="139" t="s">
        <v>1736</v>
      </c>
      <c r="L406" s="139">
        <v>52.018329000000001</v>
      </c>
      <c r="M406" s="156">
        <v>-2.0387550000000001</v>
      </c>
      <c r="N406" s="139" t="s">
        <v>68</v>
      </c>
      <c r="O406" s="139">
        <v>803</v>
      </c>
      <c r="P406" s="139">
        <v>8.1</v>
      </c>
      <c r="Q406" s="139">
        <v>10</v>
      </c>
      <c r="R406" s="107" t="str">
        <f>IF(AllData[[#This Row],[Nitrate (PPM)]]&gt;2, "Very high", IF(AllData[[#This Row],[Nitrate (PPM)]]&gt;1, "High", IF(AllData[[#This Row],[Nitrate (PPM)]]&gt;0.5, "Some evidence", IF(AllData[[#This Row],[Nitrate (PPM)]]&gt;=0, "No evidence"))))</f>
        <v>Very high</v>
      </c>
      <c r="S406" s="139">
        <v>0</v>
      </c>
      <c r="T406" s="7" t="str">
        <f>IF(AllData[[#This Row],[Phosphate (PPM)]]&gt;0.5, "Very high", IF(AllData[[#This Row],[Phosphate (PPM)]]&gt;0.1, "High", IF(AllData[[#This Row],[Phosphate (PPM)]]&gt;0.05, "Some evidence", IF(AllData[[#This Row],[Phosphate (PPM)]]&lt;=0.05, "No Evidence", ""))))</f>
        <v>No Evidence</v>
      </c>
      <c r="U406" s="139">
        <v>1.4</v>
      </c>
      <c r="V406" s="139" t="s">
        <v>2925</v>
      </c>
    </row>
    <row r="407" spans="1:22" x14ac:dyDescent="0.35">
      <c r="A407" s="139" t="s">
        <v>2923</v>
      </c>
      <c r="B407" s="146">
        <v>45680</v>
      </c>
      <c r="C407" s="2" t="str" cm="1">
        <f t="array" ref="C4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7">
        <v>2024</v>
      </c>
      <c r="E407" s="147">
        <v>0.47916666666666669</v>
      </c>
      <c r="F407" t="str">
        <f>IF(AND(AllData[[#This Row],[Time]]&lt;0.5, AllData[[#This Row],[Time]]&gt;0.17)=TRUE, "Morning", IF(AND(AllData[[#This Row],[Time]]&lt;0.75, AllData[[#This Row],[Time]]&gt;=0.5)=TRUE, "Afternoon", IF(AND(AllData[[#This Row],[Time]]&lt;1, AllData[[#This Row],[Time]]&gt;=0.75)=TRUE, "Evening", "Night")))</f>
        <v>Morning</v>
      </c>
      <c r="G407" t="str">
        <f>_xlfn.XLOOKUP(AllData[[#This Row],[Location Name]], Locations[Location Name],Locations[Group As])</f>
        <v>Swilgate</v>
      </c>
      <c r="H407" t="e" vm="4">
        <f>_xlfn.XLOOKUP(AllData[[#This Row],[Site Name]],LocationsKey[Site Name],LocationsKey[District])</f>
        <v>#VALUE!</v>
      </c>
      <c r="I407" t="e" vm="4">
        <f>_xlfn.XLOOKUP(AllData[[#This Row],[Site Name]],LocationsKey[Site Name],LocationsKey[Town])</f>
        <v>#VALUE!</v>
      </c>
      <c r="J407" t="str">
        <f>_xlfn.XLOOKUP(AllData[[#This Row],[Site Name]],LocationsKey[Site Name], LocationsKey[Waterway])</f>
        <v>Swilgate</v>
      </c>
      <c r="K407" s="139" t="s">
        <v>85</v>
      </c>
      <c r="L407" s="139"/>
      <c r="M407" s="156"/>
      <c r="N407" s="139" t="s">
        <v>34</v>
      </c>
      <c r="O407" s="139">
        <v>996</v>
      </c>
      <c r="P407" s="139">
        <v>6.4</v>
      </c>
      <c r="Q407" s="139">
        <v>3</v>
      </c>
      <c r="R407" s="107" t="str">
        <f>IF(AllData[[#This Row],[Nitrate (PPM)]]&gt;2, "Very high", IF(AllData[[#This Row],[Nitrate (PPM)]]&gt;1, "High", IF(AllData[[#This Row],[Nitrate (PPM)]]&gt;0.5, "Some evidence", IF(AllData[[#This Row],[Nitrate (PPM)]]&gt;=0, "No evidence"))))</f>
        <v>Very high</v>
      </c>
      <c r="S407" s="139">
        <v>0.43</v>
      </c>
      <c r="T407" s="7" t="str">
        <f>IF(AllData[[#This Row],[Phosphate (PPM)]]&gt;0.5, "Very high", IF(AllData[[#This Row],[Phosphate (PPM)]]&gt;0.1, "High", IF(AllData[[#This Row],[Phosphate (PPM)]]&gt;0.05, "Some evidence", IF(AllData[[#This Row],[Phosphate (PPM)]]&lt;=0.05, "No Evidence", ""))))</f>
        <v>High</v>
      </c>
      <c r="U407" s="139">
        <v>0</v>
      </c>
      <c r="V407" s="139"/>
    </row>
    <row r="408" spans="1:22" x14ac:dyDescent="0.35">
      <c r="A408" s="139" t="s">
        <v>2922</v>
      </c>
      <c r="B408" s="146">
        <v>45679</v>
      </c>
      <c r="C408" s="2" t="str" cm="1">
        <f t="array" ref="C4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8">
        <v>2024</v>
      </c>
      <c r="E408" s="147">
        <v>0.63263888888888886</v>
      </c>
      <c r="F408" t="str">
        <f>IF(AND(AllData[[#This Row],[Time]]&lt;0.5, AllData[[#This Row],[Time]]&gt;0.17)=TRUE, "Morning", IF(AND(AllData[[#This Row],[Time]]&lt;0.75, AllData[[#This Row],[Time]]&gt;=0.5)=TRUE, "Afternoon", IF(AND(AllData[[#This Row],[Time]]&lt;1, AllData[[#This Row],[Time]]&gt;=0.75)=TRUE, "Evening", "Night")))</f>
        <v>Afternoon</v>
      </c>
      <c r="G408" t="str">
        <f>_xlfn.XLOOKUP(AllData[[#This Row],[Location Name]], Locations[Location Name],Locations[Group As])</f>
        <v>SSC Bredons Norton</v>
      </c>
      <c r="H408" t="e" vm="6">
        <f>_xlfn.XLOOKUP(AllData[[#This Row],[Site Name]],LocationsKey[Site Name],LocationsKey[District])</f>
        <v>#VALUE!</v>
      </c>
      <c r="I408" t="str">
        <f>_xlfn.XLOOKUP(AllData[[#This Row],[Site Name]],LocationsKey[Site Name],LocationsKey[Town])</f>
        <v>Bredon's Norton</v>
      </c>
      <c r="J408" t="str">
        <f>_xlfn.XLOOKUP(AllData[[#This Row],[Site Name]],LocationsKey[Site Name], LocationsKey[Waterway])</f>
        <v>Avon</v>
      </c>
      <c r="K408" s="139" t="s">
        <v>2121</v>
      </c>
      <c r="L408" s="139">
        <v>52.050818</v>
      </c>
      <c r="M408" s="156">
        <v>-2.1169790000000002</v>
      </c>
      <c r="N408" s="139" t="s">
        <v>25</v>
      </c>
      <c r="O408" s="139">
        <v>852</v>
      </c>
      <c r="P408" s="139">
        <v>7.2</v>
      </c>
      <c r="Q408" s="139">
        <v>5</v>
      </c>
      <c r="R408" s="107" t="str">
        <f>IF(AllData[[#This Row],[Nitrate (PPM)]]&gt;2, "Very high", IF(AllData[[#This Row],[Nitrate (PPM)]]&gt;1, "High", IF(AllData[[#This Row],[Nitrate (PPM)]]&gt;0.5, "Some evidence", IF(AllData[[#This Row],[Nitrate (PPM)]]&gt;=0, "No evidence"))))</f>
        <v>Very high</v>
      </c>
      <c r="S408" s="139">
        <v>0.14000000000000001</v>
      </c>
      <c r="T408" s="7" t="str">
        <f>IF(AllData[[#This Row],[Phosphate (PPM)]]&gt;0.5, "Very high", IF(AllData[[#This Row],[Phosphate (PPM)]]&gt;0.1, "High", IF(AllData[[#This Row],[Phosphate (PPM)]]&gt;0.05, "Some evidence", IF(AllData[[#This Row],[Phosphate (PPM)]]&lt;=0.05, "No Evidence", ""))))</f>
        <v>High</v>
      </c>
      <c r="U408" s="139">
        <v>1</v>
      </c>
      <c r="V408" s="139"/>
    </row>
    <row r="409" spans="1:22" x14ac:dyDescent="0.35">
      <c r="A409" s="139" t="s">
        <v>2919</v>
      </c>
      <c r="B409" s="146">
        <v>45679</v>
      </c>
      <c r="C409" s="2" t="str" cm="1">
        <f t="array" ref="C4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09">
        <v>2024</v>
      </c>
      <c r="E409" s="147">
        <v>0.40694444444444444</v>
      </c>
      <c r="F409" t="str">
        <f>IF(AND(AllData[[#This Row],[Time]]&lt;0.5, AllData[[#This Row],[Time]]&gt;0.17)=TRUE, "Morning", IF(AND(AllData[[#This Row],[Time]]&lt;0.75, AllData[[#This Row],[Time]]&gt;=0.5)=TRUE, "Afternoon", IF(AND(AllData[[#This Row],[Time]]&lt;1, AllData[[#This Row],[Time]]&gt;=0.75)=TRUE, "Evening", "Night")))</f>
        <v>Morning</v>
      </c>
      <c r="G409" t="str">
        <f>_xlfn.XLOOKUP(AllData[[#This Row],[Location Name]], Locations[Location Name],Locations[Group As])</f>
        <v>Carters Lane</v>
      </c>
      <c r="H409" t="e" vm="1">
        <f>_xlfn.XLOOKUP(AllData[[#This Row],[Site Name]],LocationsKey[Site Name],LocationsKey[District])</f>
        <v>#VALUE!</v>
      </c>
      <c r="I409" t="e" vm="3">
        <f>_xlfn.XLOOKUP(AllData[[#This Row],[Site Name]],LocationsKey[Site Name],LocationsKey[Town])</f>
        <v>#VALUE!</v>
      </c>
      <c r="J409" t="str">
        <f>_xlfn.XLOOKUP(AllData[[#This Row],[Site Name]],LocationsKey[Site Name], LocationsKey[Waterway])</f>
        <v>Avon</v>
      </c>
      <c r="K409" s="139" t="s">
        <v>2250</v>
      </c>
      <c r="L409" s="139">
        <v>52.202399999999997</v>
      </c>
      <c r="M409" s="156">
        <v>-1.676871</v>
      </c>
      <c r="N409" s="139" t="s">
        <v>68</v>
      </c>
      <c r="O409" s="139">
        <v>305</v>
      </c>
      <c r="P409" s="139">
        <v>6.2</v>
      </c>
      <c r="Q409" s="139">
        <v>5</v>
      </c>
      <c r="R409" s="107" t="str">
        <f>IF(AllData[[#This Row],[Nitrate (PPM)]]&gt;2, "Very high", IF(AllData[[#This Row],[Nitrate (PPM)]]&gt;1, "High", IF(AllData[[#This Row],[Nitrate (PPM)]]&gt;0.5, "Some evidence", IF(AllData[[#This Row],[Nitrate (PPM)]]&gt;=0, "No evidence"))))</f>
        <v>Very high</v>
      </c>
      <c r="S409" s="139">
        <v>0.62</v>
      </c>
      <c r="T409" s="7" t="str">
        <f>IF(AllData[[#This Row],[Phosphate (PPM)]]&gt;0.5, "Very high", IF(AllData[[#This Row],[Phosphate (PPM)]]&gt;0.1, "High", IF(AllData[[#This Row],[Phosphate (PPM)]]&gt;0.05, "Some evidence", IF(AllData[[#This Row],[Phosphate (PPM)]]&lt;=0.05, "No Evidence", ""))))</f>
        <v>Very high</v>
      </c>
      <c r="U409" s="139">
        <v>0.69</v>
      </c>
      <c r="V409" s="139"/>
    </row>
    <row r="410" spans="1:22" x14ac:dyDescent="0.35">
      <c r="A410" s="139" t="s">
        <v>2918</v>
      </c>
      <c r="B410" s="146">
        <v>45679</v>
      </c>
      <c r="C410" s="2" t="str" cm="1">
        <f t="array" ref="C4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0">
        <v>2024</v>
      </c>
      <c r="E410" s="147">
        <v>0.40277777777777779</v>
      </c>
      <c r="F410" t="str">
        <f>IF(AND(AllData[[#This Row],[Time]]&lt;0.5, AllData[[#This Row],[Time]]&gt;0.17)=TRUE, "Morning", IF(AND(AllData[[#This Row],[Time]]&lt;0.75, AllData[[#This Row],[Time]]&gt;=0.5)=TRUE, "Afternoon", IF(AND(AllData[[#This Row],[Time]]&lt;1, AllData[[#This Row],[Time]]&gt;=0.75)=TRUE, "Evening", "Night")))</f>
        <v>Morning</v>
      </c>
      <c r="G410" t="str">
        <f>_xlfn.XLOOKUP(AllData[[#This Row],[Location Name]], Locations[Location Name],Locations[Group As])</f>
        <v>School Lane</v>
      </c>
      <c r="H410" t="e" vm="1">
        <f>_xlfn.XLOOKUP(AllData[[#This Row],[Site Name]],LocationsKey[Site Name],LocationsKey[District])</f>
        <v>#VALUE!</v>
      </c>
      <c r="I410" t="e" vm="3">
        <f>_xlfn.XLOOKUP(AllData[[#This Row],[Site Name]],LocationsKey[Site Name],LocationsKey[Town])</f>
        <v>#VALUE!</v>
      </c>
      <c r="J410" t="str">
        <f>_xlfn.XLOOKUP(AllData[[#This Row],[Site Name]],LocationsKey[Site Name], LocationsKey[Waterway])</f>
        <v>Avon</v>
      </c>
      <c r="K410" s="139" t="s">
        <v>2252</v>
      </c>
      <c r="L410" s="139">
        <v>52.201622999999998</v>
      </c>
      <c r="M410" s="156">
        <v>-1.676714</v>
      </c>
      <c r="N410" s="139" t="s">
        <v>31</v>
      </c>
      <c r="O410" s="139">
        <v>305</v>
      </c>
      <c r="P410" s="139">
        <v>6.7</v>
      </c>
      <c r="Q410" s="139">
        <v>5</v>
      </c>
      <c r="R410" s="107" t="str">
        <f>IF(AllData[[#This Row],[Nitrate (PPM)]]&gt;2, "Very high", IF(AllData[[#This Row],[Nitrate (PPM)]]&gt;1, "High", IF(AllData[[#This Row],[Nitrate (PPM)]]&gt;0.5, "Some evidence", IF(AllData[[#This Row],[Nitrate (PPM)]]&gt;=0, "No evidence"))))</f>
        <v>Very high</v>
      </c>
      <c r="S410" s="139">
        <v>0.53</v>
      </c>
      <c r="T410" s="7" t="str">
        <f>IF(AllData[[#This Row],[Phosphate (PPM)]]&gt;0.5, "Very high", IF(AllData[[#This Row],[Phosphate (PPM)]]&gt;0.1, "High", IF(AllData[[#This Row],[Phosphate (PPM)]]&gt;0.05, "Some evidence", IF(AllData[[#This Row],[Phosphate (PPM)]]&lt;=0.05, "No Evidence", ""))))</f>
        <v>Very high</v>
      </c>
      <c r="U410" s="139">
        <v>0.69</v>
      </c>
      <c r="V410" s="139"/>
    </row>
    <row r="411" spans="1:22" x14ac:dyDescent="0.35">
      <c r="A411" s="139" t="s">
        <v>2907</v>
      </c>
      <c r="B411" s="146">
        <v>45678</v>
      </c>
      <c r="C411" s="2" t="str" cm="1">
        <f t="array" ref="C4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1">
        <v>2024</v>
      </c>
      <c r="E411" s="147">
        <v>0.54305555555555551</v>
      </c>
      <c r="F411" t="str">
        <f>IF(AND(AllData[[#This Row],[Time]]&lt;0.5, AllData[[#This Row],[Time]]&gt;0.17)=TRUE, "Morning", IF(AND(AllData[[#This Row],[Time]]&lt;0.75, AllData[[#This Row],[Time]]&gt;=0.5)=TRUE, "Afternoon", IF(AND(AllData[[#This Row],[Time]]&lt;1, AllData[[#This Row],[Time]]&gt;=0.75)=TRUE, "Evening", "Night")))</f>
        <v>Afternoon</v>
      </c>
      <c r="G411" t="str">
        <f>_xlfn.XLOOKUP(AllData[[#This Row],[Location Name]], Locations[Location Name],Locations[Group As])</f>
        <v>Twyning Fleet</v>
      </c>
      <c r="H411" t="e" vm="4">
        <f>_xlfn.XLOOKUP(AllData[[#This Row],[Site Name]],LocationsKey[Site Name],LocationsKey[District])</f>
        <v>#VALUE!</v>
      </c>
      <c r="I411" t="str">
        <f>_xlfn.XLOOKUP(AllData[[#This Row],[Site Name]],LocationsKey[Site Name],LocationsKey[Town])</f>
        <v>Twyning Green</v>
      </c>
      <c r="J411" t="str">
        <f>_xlfn.XLOOKUP(AllData[[#This Row],[Site Name]],LocationsKey[Site Name], LocationsKey[Waterway])</f>
        <v>Avon</v>
      </c>
      <c r="K411" s="139" t="s">
        <v>2117</v>
      </c>
      <c r="L411" s="139">
        <v>52.027071999999997</v>
      </c>
      <c r="M411" s="156">
        <v>-2.1410990000000001</v>
      </c>
      <c r="N411" s="139"/>
      <c r="O411" s="139">
        <v>850</v>
      </c>
      <c r="P411" s="139">
        <v>6.8</v>
      </c>
      <c r="Q411" s="139">
        <v>11</v>
      </c>
      <c r="R411" s="107" t="str">
        <f>IF(AllData[[#This Row],[Nitrate (PPM)]]&gt;2, "Very high", IF(AllData[[#This Row],[Nitrate (PPM)]]&gt;1, "High", IF(AllData[[#This Row],[Nitrate (PPM)]]&gt;0.5, "Some evidence", IF(AllData[[#This Row],[Nitrate (PPM)]]&gt;=0, "No evidence"))))</f>
        <v>Very high</v>
      </c>
      <c r="S411" s="139">
        <v>0.54</v>
      </c>
      <c r="T411" s="7" t="str">
        <f>IF(AllData[[#This Row],[Phosphate (PPM)]]&gt;0.5, "Very high", IF(AllData[[#This Row],[Phosphate (PPM)]]&gt;0.1, "High", IF(AllData[[#This Row],[Phosphate (PPM)]]&gt;0.05, "Some evidence", IF(AllData[[#This Row],[Phosphate (PPM)]]&lt;=0.05, "No Evidence", ""))))</f>
        <v>Very high</v>
      </c>
      <c r="U411" s="139">
        <v>0</v>
      </c>
      <c r="V411" s="139"/>
    </row>
    <row r="412" spans="1:22" x14ac:dyDescent="0.35">
      <c r="A412" s="139" t="s">
        <v>2910</v>
      </c>
      <c r="B412" s="146">
        <v>45678</v>
      </c>
      <c r="C412" s="2" t="str" cm="1">
        <f t="array" ref="C4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2">
        <v>2024</v>
      </c>
      <c r="E412" s="147">
        <v>0.60763888888888884</v>
      </c>
      <c r="F412" t="str">
        <f>IF(AND(AllData[[#This Row],[Time]]&lt;0.5, AllData[[#This Row],[Time]]&gt;0.17)=TRUE, "Morning", IF(AND(AllData[[#This Row],[Time]]&lt;0.75, AllData[[#This Row],[Time]]&gt;=0.5)=TRUE, "Afternoon", IF(AND(AllData[[#This Row],[Time]]&lt;1, AllData[[#This Row],[Time]]&gt;=0.75)=TRUE, "Evening", "Night")))</f>
        <v>Afternoon</v>
      </c>
      <c r="G412" t="str">
        <f>_xlfn.XLOOKUP(AllData[[#This Row],[Location Name]], Locations[Location Name],Locations[Group As])</f>
        <v>Abbey Mill</v>
      </c>
      <c r="H412" t="e" vm="4">
        <f>_xlfn.XLOOKUP(AllData[[#This Row],[Site Name]],LocationsKey[Site Name],LocationsKey[District])</f>
        <v>#VALUE!</v>
      </c>
      <c r="I412" t="e" vm="4">
        <f>_xlfn.XLOOKUP(AllData[[#This Row],[Site Name]],LocationsKey[Site Name],LocationsKey[Town])</f>
        <v>#VALUE!</v>
      </c>
      <c r="J412" t="str">
        <f>_xlfn.XLOOKUP(AllData[[#This Row],[Site Name]],LocationsKey[Site Name], LocationsKey[Waterway])</f>
        <v>Avon</v>
      </c>
      <c r="K412" s="139" t="s">
        <v>27</v>
      </c>
      <c r="L412" s="139"/>
      <c r="M412" s="156"/>
      <c r="N412" s="139" t="s">
        <v>2855</v>
      </c>
      <c r="O412" s="139">
        <v>758</v>
      </c>
      <c r="P412" s="139">
        <v>7.8</v>
      </c>
      <c r="Q412" s="139">
        <v>6</v>
      </c>
      <c r="R412" s="107" t="str">
        <f>IF(AllData[[#This Row],[Nitrate (PPM)]]&gt;2, "Very high", IF(AllData[[#This Row],[Nitrate (PPM)]]&gt;1, "High", IF(AllData[[#This Row],[Nitrate (PPM)]]&gt;0.5, "Some evidence", IF(AllData[[#This Row],[Nitrate (PPM)]]&gt;=0, "No evidence"))))</f>
        <v>Very high</v>
      </c>
      <c r="S412" s="139">
        <v>0.51</v>
      </c>
      <c r="T412" s="7" t="str">
        <f>IF(AllData[[#This Row],[Phosphate (PPM)]]&gt;0.5, "Very high", IF(AllData[[#This Row],[Phosphate (PPM)]]&gt;0.1, "High", IF(AllData[[#This Row],[Phosphate (PPM)]]&gt;0.05, "Some evidence", IF(AllData[[#This Row],[Phosphate (PPM)]]&lt;=0.05, "No Evidence", ""))))</f>
        <v>Very high</v>
      </c>
      <c r="U412" s="139">
        <v>0.6</v>
      </c>
      <c r="V412" s="139" t="s">
        <v>2911</v>
      </c>
    </row>
    <row r="413" spans="1:22" x14ac:dyDescent="0.35">
      <c r="A413" s="139" t="s">
        <v>2912</v>
      </c>
      <c r="B413" s="146">
        <v>45678</v>
      </c>
      <c r="C413" s="2" t="str" cm="1">
        <f t="array" ref="C4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3">
        <v>2024</v>
      </c>
      <c r="E413" s="147">
        <v>0.62569444444444444</v>
      </c>
      <c r="F413" t="str">
        <f>IF(AND(AllData[[#This Row],[Time]]&lt;0.5, AllData[[#This Row],[Time]]&gt;0.17)=TRUE, "Morning", IF(AND(AllData[[#This Row],[Time]]&lt;0.75, AllData[[#This Row],[Time]]&gt;=0.5)=TRUE, "Afternoon", IF(AND(AllData[[#This Row],[Time]]&lt;1, AllData[[#This Row],[Time]]&gt;=0.75)=TRUE, "Evening", "Night")))</f>
        <v>Afternoon</v>
      </c>
      <c r="G413" t="str">
        <f>_xlfn.XLOOKUP(AllData[[#This Row],[Location Name]], Locations[Location Name],Locations[Group As])</f>
        <v>High Street Brailes</v>
      </c>
      <c r="H413" t="e" vm="1">
        <f>_xlfn.XLOOKUP(AllData[[#This Row],[Site Name]],LocationsKey[Site Name],LocationsKey[District])</f>
        <v>#VALUE!</v>
      </c>
      <c r="I413" t="e" vm="5">
        <f>_xlfn.XLOOKUP(AllData[[#This Row],[Site Name]],LocationsKey[Site Name],LocationsKey[Town])</f>
        <v>#VALUE!</v>
      </c>
      <c r="J413" t="str">
        <f>_xlfn.XLOOKUP(AllData[[#This Row],[Site Name]],LocationsKey[Site Name], LocationsKey[Waterway])</f>
        <v>Sutton Brook</v>
      </c>
      <c r="K413" s="139" t="s">
        <v>2913</v>
      </c>
      <c r="L413" s="139"/>
      <c r="M413" s="156"/>
      <c r="N413" s="139" t="s">
        <v>68</v>
      </c>
      <c r="O413" s="139"/>
      <c r="P413" s="139">
        <v>6.6</v>
      </c>
      <c r="Q413" s="139">
        <v>5</v>
      </c>
      <c r="R413" s="107" t="str">
        <f>IF(AllData[[#This Row],[Nitrate (PPM)]]&gt;2, "Very high", IF(AllData[[#This Row],[Nitrate (PPM)]]&gt;1, "High", IF(AllData[[#This Row],[Nitrate (PPM)]]&gt;0.5, "Some evidence", IF(AllData[[#This Row],[Nitrate (PPM)]]&gt;=0, "No evidence"))))</f>
        <v>Very high</v>
      </c>
      <c r="S413" s="139">
        <v>0.13</v>
      </c>
      <c r="T413" s="7" t="str">
        <f>IF(AllData[[#This Row],[Phosphate (PPM)]]&gt;0.5, "Very high", IF(AllData[[#This Row],[Phosphate (PPM)]]&gt;0.1, "High", IF(AllData[[#This Row],[Phosphate (PPM)]]&gt;0.05, "Some evidence", IF(AllData[[#This Row],[Phosphate (PPM)]]&lt;=0.05, "No Evidence", ""))))</f>
        <v>High</v>
      </c>
      <c r="U413" s="139">
        <v>0.3</v>
      </c>
      <c r="V413" s="139" t="s">
        <v>2914</v>
      </c>
    </row>
    <row r="414" spans="1:22" x14ac:dyDescent="0.35">
      <c r="A414" s="139" t="s">
        <v>2915</v>
      </c>
      <c r="B414" s="146">
        <v>45678</v>
      </c>
      <c r="C414" s="2" t="str" cm="1">
        <f t="array" ref="C4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4">
        <v>2024</v>
      </c>
      <c r="E414" s="147">
        <v>0.64097222222222228</v>
      </c>
      <c r="F414" t="str">
        <f>IF(AND(AllData[[#This Row],[Time]]&lt;0.5, AllData[[#This Row],[Time]]&gt;0.17)=TRUE, "Morning", IF(AND(AllData[[#This Row],[Time]]&lt;0.75, AllData[[#This Row],[Time]]&gt;=0.5)=TRUE, "Afternoon", IF(AND(AllData[[#This Row],[Time]]&lt;1, AllData[[#This Row],[Time]]&gt;=0.75)=TRUE, "Evening", "Night")))</f>
        <v>Afternoon</v>
      </c>
      <c r="G414" t="str">
        <f>_xlfn.XLOOKUP(AllData[[#This Row],[Location Name]], Locations[Location Name],Locations[Group As])</f>
        <v>New Barn Farm Brailes</v>
      </c>
      <c r="H414" t="e" vm="1">
        <f>_xlfn.XLOOKUP(AllData[[#This Row],[Site Name]],LocationsKey[Site Name],LocationsKey[District])</f>
        <v>#VALUE!</v>
      </c>
      <c r="I414" t="e" vm="5">
        <f>_xlfn.XLOOKUP(AllData[[#This Row],[Site Name]],LocationsKey[Site Name],LocationsKey[Town])</f>
        <v>#VALUE!</v>
      </c>
      <c r="J414" t="str">
        <f>_xlfn.XLOOKUP(AllData[[#This Row],[Site Name]],LocationsKey[Site Name], LocationsKey[Waterway])</f>
        <v>Sutton Brook</v>
      </c>
      <c r="K414" s="139" t="s">
        <v>2916</v>
      </c>
      <c r="L414" s="139"/>
      <c r="M414" s="156"/>
      <c r="N414" s="139" t="s">
        <v>31</v>
      </c>
      <c r="O414" s="139"/>
      <c r="P414" s="139">
        <v>6.6</v>
      </c>
      <c r="Q414" s="139">
        <v>0.12</v>
      </c>
      <c r="R414" s="107" t="str">
        <f>IF(AllData[[#This Row],[Nitrate (PPM)]]&gt;2, "Very high", IF(AllData[[#This Row],[Nitrate (PPM)]]&gt;1, "High", IF(AllData[[#This Row],[Nitrate (PPM)]]&gt;0.5, "Some evidence", IF(AllData[[#This Row],[Nitrate (PPM)]]&gt;=0, "No evidence"))))</f>
        <v>No evidence</v>
      </c>
      <c r="S414" s="139">
        <v>0.12</v>
      </c>
      <c r="T414" s="7" t="str">
        <f>IF(AllData[[#This Row],[Phosphate (PPM)]]&gt;0.5, "Very high", IF(AllData[[#This Row],[Phosphate (PPM)]]&gt;0.1, "High", IF(AllData[[#This Row],[Phosphate (PPM)]]&gt;0.05, "Some evidence", IF(AllData[[#This Row],[Phosphate (PPM)]]&lt;=0.05, "No Evidence", ""))))</f>
        <v>High</v>
      </c>
      <c r="U414" s="139">
        <v>0.6</v>
      </c>
      <c r="V414" s="139" t="s">
        <v>2917</v>
      </c>
    </row>
    <row r="415" spans="1:22" x14ac:dyDescent="0.35">
      <c r="A415" s="139" t="s">
        <v>2908</v>
      </c>
      <c r="B415" s="146">
        <v>45678</v>
      </c>
      <c r="C415" s="2" t="str" cm="1">
        <f t="array" ref="C4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5">
        <v>2024</v>
      </c>
      <c r="E415" s="147">
        <v>0.60416666666666663</v>
      </c>
      <c r="F415" t="str">
        <f>IF(AND(AllData[[#This Row],[Time]]&lt;0.5, AllData[[#This Row],[Time]]&gt;0.17)=TRUE, "Morning", IF(AND(AllData[[#This Row],[Time]]&lt;0.75, AllData[[#This Row],[Time]]&gt;=0.5)=TRUE, "Afternoon", IF(AND(AllData[[#This Row],[Time]]&lt;1, AllData[[#This Row],[Time]]&gt;=0.75)=TRUE, "Evening", "Night")))</f>
        <v>Afternoon</v>
      </c>
      <c r="G415" t="str">
        <f>_xlfn.XLOOKUP(AllData[[#This Row],[Location Name]], Locations[Location Name],Locations[Group As])</f>
        <v>Fell Mill Footbridge</v>
      </c>
      <c r="H415" t="e" vm="1">
        <f>_xlfn.XLOOKUP(AllData[[#This Row],[Site Name]],LocationsKey[Site Name],LocationsKey[District])</f>
        <v>#VALUE!</v>
      </c>
      <c r="I415" t="e" vm="15">
        <f>_xlfn.XLOOKUP(AllData[[#This Row],[Site Name]],LocationsKey[Site Name],LocationsKey[Town])</f>
        <v>#VALUE!</v>
      </c>
      <c r="J415" t="str">
        <f>_xlfn.XLOOKUP(AllData[[#This Row],[Site Name]],LocationsKey[Site Name], LocationsKey[Waterway])</f>
        <v>Stour</v>
      </c>
      <c r="K415" s="139" t="s">
        <v>1968</v>
      </c>
      <c r="L415" s="139">
        <v>52.070086000000003</v>
      </c>
      <c r="M415" s="156">
        <v>-1.61145</v>
      </c>
      <c r="N415" s="139" t="s">
        <v>31</v>
      </c>
      <c r="O415" s="139"/>
      <c r="P415" s="139">
        <v>8.1999999999999993</v>
      </c>
      <c r="Q415" s="139">
        <v>0</v>
      </c>
      <c r="R415" s="107" t="str">
        <f>IF(AllData[[#This Row],[Nitrate (PPM)]]&gt;2, "Very high", IF(AllData[[#This Row],[Nitrate (PPM)]]&gt;1, "High", IF(AllData[[#This Row],[Nitrate (PPM)]]&gt;0.5, "Some evidence", IF(AllData[[#This Row],[Nitrate (PPM)]]&gt;=0, "No evidence"))))</f>
        <v>No evidence</v>
      </c>
      <c r="S415" s="139">
        <v>0.43</v>
      </c>
      <c r="T415" s="7" t="str">
        <f>IF(AllData[[#This Row],[Phosphate (PPM)]]&gt;0.5, "Very high", IF(AllData[[#This Row],[Phosphate (PPM)]]&gt;0.1, "High", IF(AllData[[#This Row],[Phosphate (PPM)]]&gt;0.05, "Some evidence", IF(AllData[[#This Row],[Phosphate (PPM)]]&lt;=0.05, "No Evidence", ""))))</f>
        <v>High</v>
      </c>
      <c r="U415" s="139">
        <v>2</v>
      </c>
      <c r="V415" s="139" t="s">
        <v>2909</v>
      </c>
    </row>
    <row r="416" spans="1:22" x14ac:dyDescent="0.35">
      <c r="A416" s="139" t="s">
        <v>2905</v>
      </c>
      <c r="B416" s="146">
        <v>45677</v>
      </c>
      <c r="C416" s="2" t="str" cm="1">
        <f t="array" ref="C4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6">
        <v>2024</v>
      </c>
      <c r="E416" s="147">
        <v>0.60416666666666663</v>
      </c>
      <c r="F416" t="str">
        <f>IF(AND(AllData[[#This Row],[Time]]&lt;0.5, AllData[[#This Row],[Time]]&gt;0.17)=TRUE, "Morning", IF(AND(AllData[[#This Row],[Time]]&lt;0.75, AllData[[#This Row],[Time]]&gt;=0.5)=TRUE, "Afternoon", IF(AND(AllData[[#This Row],[Time]]&lt;1, AllData[[#This Row],[Time]]&gt;=0.75)=TRUE, "Evening", "Night")))</f>
        <v>Afternoon</v>
      </c>
      <c r="G416" t="str">
        <f>_xlfn.XLOOKUP(AllData[[#This Row],[Location Name]], Locations[Location Name],Locations[Group As])</f>
        <v>Alveston Weir</v>
      </c>
      <c r="H416" t="e" vm="1">
        <f>_xlfn.XLOOKUP(AllData[[#This Row],[Site Name]],LocationsKey[Site Name],LocationsKey[District])</f>
        <v>#VALUE!</v>
      </c>
      <c r="I416" t="e" vm="2">
        <f>_xlfn.XLOOKUP(AllData[[#This Row],[Site Name]],LocationsKey[Site Name],LocationsKey[Town])</f>
        <v>#VALUE!</v>
      </c>
      <c r="J416" t="str">
        <f>_xlfn.XLOOKUP(AllData[[#This Row],[Site Name]],LocationsKey[Site Name], LocationsKey[Waterway])</f>
        <v>Avon</v>
      </c>
      <c r="K416" s="139" t="s">
        <v>288</v>
      </c>
      <c r="L416" s="139">
        <v>52.212288999999998</v>
      </c>
      <c r="M416" s="156">
        <v>-1.660452</v>
      </c>
      <c r="N416" s="139" t="s">
        <v>31</v>
      </c>
      <c r="O416" s="139">
        <v>699</v>
      </c>
      <c r="P416" s="139">
        <v>8</v>
      </c>
      <c r="Q416" s="139">
        <v>10</v>
      </c>
      <c r="R416" s="107" t="str">
        <f>IF(AllData[[#This Row],[Nitrate (PPM)]]&gt;2, "Very high", IF(AllData[[#This Row],[Nitrate (PPM)]]&gt;1, "High", IF(AllData[[#This Row],[Nitrate (PPM)]]&gt;0.5, "Some evidence", IF(AllData[[#This Row],[Nitrate (PPM)]]&gt;=0, "No evidence"))))</f>
        <v>Very high</v>
      </c>
      <c r="S416" s="139">
        <v>0.54</v>
      </c>
      <c r="T416" s="7" t="str">
        <f>IF(AllData[[#This Row],[Phosphate (PPM)]]&gt;0.5, "Very high", IF(AllData[[#This Row],[Phosphate (PPM)]]&gt;0.1, "High", IF(AllData[[#This Row],[Phosphate (PPM)]]&gt;0.05, "Some evidence", IF(AllData[[#This Row],[Phosphate (PPM)]]&lt;=0.05, "No Evidence", ""))))</f>
        <v>Very high</v>
      </c>
      <c r="U416" s="139">
        <v>0</v>
      </c>
      <c r="V416" s="139" t="s">
        <v>2906</v>
      </c>
    </row>
    <row r="417" spans="1:22" x14ac:dyDescent="0.35">
      <c r="A417" s="139" t="s">
        <v>2900</v>
      </c>
      <c r="B417" s="146">
        <v>45677</v>
      </c>
      <c r="C417" s="2" t="str" cm="1">
        <f t="array" ref="C4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7">
        <v>2024</v>
      </c>
      <c r="E417" s="147">
        <v>0.59027777777777779</v>
      </c>
      <c r="F417" t="str">
        <f>IF(AND(AllData[[#This Row],[Time]]&lt;0.5, AllData[[#This Row],[Time]]&gt;0.17)=TRUE, "Morning", IF(AND(AllData[[#This Row],[Time]]&lt;0.75, AllData[[#This Row],[Time]]&gt;=0.5)=TRUE, "Afternoon", IF(AND(AllData[[#This Row],[Time]]&lt;1, AllData[[#This Row],[Time]]&gt;=0.75)=TRUE, "Evening", "Night")))</f>
        <v>Afternoon</v>
      </c>
      <c r="G417" t="str">
        <f>_xlfn.XLOOKUP(AllData[[#This Row],[Location Name]], Locations[Location Name],Locations[Group As])</f>
        <v>Alveston Weir</v>
      </c>
      <c r="H417" t="e" vm="1">
        <f>_xlfn.XLOOKUP(AllData[[#This Row],[Site Name]],LocationsKey[Site Name],LocationsKey[District])</f>
        <v>#VALUE!</v>
      </c>
      <c r="I417" t="e" vm="2">
        <f>_xlfn.XLOOKUP(AllData[[#This Row],[Site Name]],LocationsKey[Site Name],LocationsKey[Town])</f>
        <v>#VALUE!</v>
      </c>
      <c r="J417" t="str">
        <f>_xlfn.XLOOKUP(AllData[[#This Row],[Site Name]],LocationsKey[Site Name], LocationsKey[Waterway])</f>
        <v>Avon</v>
      </c>
      <c r="K417" s="139" t="s">
        <v>288</v>
      </c>
      <c r="L417" s="139">
        <v>52.212189000000002</v>
      </c>
      <c r="M417" s="156">
        <v>-1.660452</v>
      </c>
      <c r="N417" s="139" t="s">
        <v>2901</v>
      </c>
      <c r="O417" s="139">
        <v>699</v>
      </c>
      <c r="P417" s="139">
        <v>8</v>
      </c>
      <c r="Q417" s="139">
        <v>10</v>
      </c>
      <c r="R417" s="107" t="str">
        <f>IF(AllData[[#This Row],[Nitrate (PPM)]]&gt;2, "Very high", IF(AllData[[#This Row],[Nitrate (PPM)]]&gt;1, "High", IF(AllData[[#This Row],[Nitrate (PPM)]]&gt;0.5, "Some evidence", IF(AllData[[#This Row],[Nitrate (PPM)]]&gt;=0, "No evidence"))))</f>
        <v>Very high</v>
      </c>
      <c r="S417" s="139">
        <v>0.54</v>
      </c>
      <c r="T417" s="7" t="str">
        <f>IF(AllData[[#This Row],[Phosphate (PPM)]]&gt;0.5, "Very high", IF(AllData[[#This Row],[Phosphate (PPM)]]&gt;0.1, "High", IF(AllData[[#This Row],[Phosphate (PPM)]]&gt;0.05, "Some evidence", IF(AllData[[#This Row],[Phosphate (PPM)]]&lt;=0.05, "No Evidence", ""))))</f>
        <v>Very high</v>
      </c>
      <c r="U417" s="139">
        <v>0</v>
      </c>
      <c r="V417" s="139" t="s">
        <v>2902</v>
      </c>
    </row>
    <row r="418" spans="1:22" x14ac:dyDescent="0.35">
      <c r="A418" s="139" t="s">
        <v>2903</v>
      </c>
      <c r="B418" s="146">
        <v>45677</v>
      </c>
      <c r="C418" s="2" t="str" cm="1">
        <f t="array" ref="C4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8">
        <v>2024</v>
      </c>
      <c r="E418" s="147">
        <v>0.60416666666666663</v>
      </c>
      <c r="F418" t="str">
        <f>IF(AND(AllData[[#This Row],[Time]]&lt;0.5, AllData[[#This Row],[Time]]&gt;0.17)=TRUE, "Morning", IF(AND(AllData[[#This Row],[Time]]&lt;0.75, AllData[[#This Row],[Time]]&gt;=0.5)=TRUE, "Afternoon", IF(AND(AllData[[#This Row],[Time]]&lt;1, AllData[[#This Row],[Time]]&gt;=0.75)=TRUE, "Evening", "Night")))</f>
        <v>Afternoon</v>
      </c>
      <c r="G418" t="str">
        <f>_xlfn.XLOOKUP(AllData[[#This Row],[Location Name]], Locations[Location Name],Locations[Group As])</f>
        <v>Swiffen Bank</v>
      </c>
      <c r="H418" t="e" vm="1">
        <f>_xlfn.XLOOKUP(AllData[[#This Row],[Site Name]],LocationsKey[Site Name],LocationsKey[District])</f>
        <v>#VALUE!</v>
      </c>
      <c r="I418" t="e" vm="2">
        <f>_xlfn.XLOOKUP(AllData[[#This Row],[Site Name]],LocationsKey[Site Name],LocationsKey[Town])</f>
        <v>#VALUE!</v>
      </c>
      <c r="J418" t="str">
        <f>_xlfn.XLOOKUP(AllData[[#This Row],[Site Name]],LocationsKey[Site Name], LocationsKey[Waterway])</f>
        <v>Avon</v>
      </c>
      <c r="K418" s="139" t="s">
        <v>286</v>
      </c>
      <c r="L418" s="139">
        <v>52.206477999999997</v>
      </c>
      <c r="M418" s="156">
        <v>-1.653894</v>
      </c>
      <c r="N418" s="139" t="s">
        <v>31</v>
      </c>
      <c r="O418" s="139">
        <v>691</v>
      </c>
      <c r="P418" s="139">
        <v>7.7</v>
      </c>
      <c r="Q418" s="139">
        <v>5</v>
      </c>
      <c r="R418" s="107" t="str">
        <f>IF(AllData[[#This Row],[Nitrate (PPM)]]&gt;2, "Very high", IF(AllData[[#This Row],[Nitrate (PPM)]]&gt;1, "High", IF(AllData[[#This Row],[Nitrate (PPM)]]&gt;0.5, "Some evidence", IF(AllData[[#This Row],[Nitrate (PPM)]]&gt;=0, "No evidence"))))</f>
        <v>Very high</v>
      </c>
      <c r="S418" s="139">
        <v>0.48</v>
      </c>
      <c r="T418" s="7" t="str">
        <f>IF(AllData[[#This Row],[Phosphate (PPM)]]&gt;0.5, "Very high", IF(AllData[[#This Row],[Phosphate (PPM)]]&gt;0.1, "High", IF(AllData[[#This Row],[Phosphate (PPM)]]&gt;0.05, "Some evidence", IF(AllData[[#This Row],[Phosphate (PPM)]]&lt;=0.05, "No Evidence", ""))))</f>
        <v>High</v>
      </c>
      <c r="U418" s="139">
        <v>0</v>
      </c>
      <c r="V418" s="139" t="s">
        <v>2904</v>
      </c>
    </row>
    <row r="419" spans="1:22" x14ac:dyDescent="0.35">
      <c r="A419" s="139" t="s">
        <v>2895</v>
      </c>
      <c r="B419" s="146">
        <v>45677</v>
      </c>
      <c r="C419" s="2" t="str" cm="1">
        <f t="array" ref="C4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19">
        <v>2024</v>
      </c>
      <c r="E419" s="147">
        <v>0.34722222222222221</v>
      </c>
      <c r="F419" t="str">
        <f>IF(AND(AllData[[#This Row],[Time]]&lt;0.5, AllData[[#This Row],[Time]]&gt;0.17)=TRUE, "Morning", IF(AND(AllData[[#This Row],[Time]]&lt;0.75, AllData[[#This Row],[Time]]&gt;=0.5)=TRUE, "Afternoon", IF(AND(AllData[[#This Row],[Time]]&lt;1, AllData[[#This Row],[Time]]&gt;=0.75)=TRUE, "Evening", "Night")))</f>
        <v>Morning</v>
      </c>
      <c r="G419" t="str">
        <f>_xlfn.XLOOKUP(AllData[[#This Row],[Location Name]], Locations[Location Name],Locations[Group As])</f>
        <v>Chipping Campden Lady J Gateway</v>
      </c>
      <c r="H419" t="e" vm="9">
        <f>_xlfn.XLOOKUP(AllData[[#This Row],[Site Name]],LocationsKey[Site Name],LocationsKey[District])</f>
        <v>#VALUE!</v>
      </c>
      <c r="I419" t="e" vm="10">
        <f>_xlfn.XLOOKUP(AllData[[#This Row],[Site Name]],LocationsKey[Site Name],LocationsKey[Town])</f>
        <v>#VALUE!</v>
      </c>
      <c r="J419" t="str">
        <f>_xlfn.XLOOKUP(AllData[[#This Row],[Site Name]],LocationsKey[Site Name], LocationsKey[Waterway])</f>
        <v>Cam Brook</v>
      </c>
      <c r="K419" s="139" t="s">
        <v>1573</v>
      </c>
      <c r="L419" s="139"/>
      <c r="M419" s="156"/>
      <c r="N419" s="139" t="s">
        <v>68</v>
      </c>
      <c r="O419" s="139">
        <v>547</v>
      </c>
      <c r="P419" s="139">
        <v>5.2</v>
      </c>
      <c r="Q419" s="139">
        <v>5</v>
      </c>
      <c r="R419" s="107" t="str">
        <f>IF(AllData[[#This Row],[Nitrate (PPM)]]&gt;2, "Very high", IF(AllData[[#This Row],[Nitrate (PPM)]]&gt;1, "High", IF(AllData[[#This Row],[Nitrate (PPM)]]&gt;0.5, "Some evidence", IF(AllData[[#This Row],[Nitrate (PPM)]]&gt;=0, "No evidence"))))</f>
        <v>Very high</v>
      </c>
      <c r="S419" s="139">
        <v>0.16</v>
      </c>
      <c r="T419" s="7" t="str">
        <f>IF(AllData[[#This Row],[Phosphate (PPM)]]&gt;0.5, "Very high", IF(AllData[[#This Row],[Phosphate (PPM)]]&gt;0.1, "High", IF(AllData[[#This Row],[Phosphate (PPM)]]&gt;0.05, "Some evidence", IF(AllData[[#This Row],[Phosphate (PPM)]]&lt;=0.05, "No Evidence", ""))))</f>
        <v>High</v>
      </c>
      <c r="U419" s="139">
        <v>0.18</v>
      </c>
      <c r="V419" s="139"/>
    </row>
    <row r="420" spans="1:22" x14ac:dyDescent="0.35">
      <c r="A420" s="139" t="s">
        <v>2899</v>
      </c>
      <c r="B420" s="146">
        <v>45677</v>
      </c>
      <c r="C420" s="2" t="str" cm="1">
        <f t="array" ref="C4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0">
        <v>2024</v>
      </c>
      <c r="E420" s="147">
        <v>0.48958333333333331</v>
      </c>
      <c r="F420" t="str">
        <f>IF(AND(AllData[[#This Row],[Time]]&lt;0.5, AllData[[#This Row],[Time]]&gt;0.17)=TRUE, "Morning", IF(AND(AllData[[#This Row],[Time]]&lt;0.75, AllData[[#This Row],[Time]]&gt;=0.5)=TRUE, "Afternoon", IF(AND(AllData[[#This Row],[Time]]&lt;1, AllData[[#This Row],[Time]]&gt;=0.75)=TRUE, "Evening", "Night")))</f>
        <v>Morning</v>
      </c>
      <c r="G420" t="str">
        <f>_xlfn.XLOOKUP(AllData[[#This Row],[Location Name]], Locations[Location Name],Locations[Group As])</f>
        <v>Chipping Campden Craves</v>
      </c>
      <c r="H420" t="e" vm="9">
        <f>_xlfn.XLOOKUP(AllData[[#This Row],[Site Name]],LocationsKey[Site Name],LocationsKey[District])</f>
        <v>#VALUE!</v>
      </c>
      <c r="I420" t="e" vm="10">
        <f>_xlfn.XLOOKUP(AllData[[#This Row],[Site Name]],LocationsKey[Site Name],LocationsKey[Town])</f>
        <v>#VALUE!</v>
      </c>
      <c r="J420" t="str">
        <f>_xlfn.XLOOKUP(AllData[[#This Row],[Site Name]],LocationsKey[Site Name], LocationsKey[Waterway])</f>
        <v>Cam Brook</v>
      </c>
      <c r="K420" s="139" t="s">
        <v>2458</v>
      </c>
      <c r="L420" s="139">
        <v>52.048730999999997</v>
      </c>
      <c r="M420" s="156">
        <v>-1.7863119999999999</v>
      </c>
      <c r="N420" s="139" t="s">
        <v>68</v>
      </c>
      <c r="O420" s="139">
        <v>483</v>
      </c>
      <c r="P420" s="139">
        <v>9.6999999999999993</v>
      </c>
      <c r="Q420" s="139">
        <v>5</v>
      </c>
      <c r="R420" s="107" t="str">
        <f>IF(AllData[[#This Row],[Nitrate (PPM)]]&gt;2, "Very high", IF(AllData[[#This Row],[Nitrate (PPM)]]&gt;1, "High", IF(AllData[[#This Row],[Nitrate (PPM)]]&gt;0.5, "Some evidence", IF(AllData[[#This Row],[Nitrate (PPM)]]&gt;=0, "No evidence"))))</f>
        <v>Very high</v>
      </c>
      <c r="S420" s="139">
        <v>0.1</v>
      </c>
      <c r="T420" s="7" t="str">
        <f>IF(AllData[[#This Row],[Phosphate (PPM)]]&gt;0.5, "Very high", IF(AllData[[#This Row],[Phosphate (PPM)]]&gt;0.1, "High", IF(AllData[[#This Row],[Phosphate (PPM)]]&gt;0.05, "Some evidence", IF(AllData[[#This Row],[Phosphate (PPM)]]&lt;=0.05, "No Evidence", ""))))</f>
        <v>Some evidence</v>
      </c>
      <c r="U420" s="139">
        <v>25</v>
      </c>
      <c r="V420" s="139"/>
    </row>
    <row r="421" spans="1:22" x14ac:dyDescent="0.35">
      <c r="A421" s="139" t="s">
        <v>2898</v>
      </c>
      <c r="B421" s="146">
        <v>45677</v>
      </c>
      <c r="C421" s="2" t="str" cm="1">
        <f t="array" ref="C4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1">
        <v>2024</v>
      </c>
      <c r="E421" s="147">
        <v>0.4777777777777778</v>
      </c>
      <c r="F421" t="str">
        <f>IF(AND(AllData[[#This Row],[Time]]&lt;0.5, AllData[[#This Row],[Time]]&gt;0.17)=TRUE, "Morning", IF(AND(AllData[[#This Row],[Time]]&lt;0.75, AllData[[#This Row],[Time]]&gt;=0.5)=TRUE, "Afternoon", IF(AND(AllData[[#This Row],[Time]]&lt;1, AllData[[#This Row],[Time]]&gt;=0.75)=TRUE, "Evening", "Night")))</f>
        <v>Morning</v>
      </c>
      <c r="G421" t="str">
        <f>_xlfn.XLOOKUP(AllData[[#This Row],[Location Name]], Locations[Location Name],Locations[Group As])</f>
        <v>Site 3  :  Severn Trent Water processing plant outflow</v>
      </c>
      <c r="H421" t="e" vm="1">
        <f>_xlfn.XLOOKUP(AllData[[#This Row],[Site Name]],LocationsKey[Site Name],LocationsKey[District])</f>
        <v>#VALUE!</v>
      </c>
      <c r="I421" t="e" vm="14">
        <f>_xlfn.XLOOKUP(AllData[[#This Row],[Site Name]],LocationsKey[Site Name],LocationsKey[Town])</f>
        <v>#VALUE!</v>
      </c>
      <c r="J421" t="str">
        <f>_xlfn.XLOOKUP(AllData[[#This Row],[Site Name]],LocationsKey[Site Name], LocationsKey[Waterway])</f>
        <v>Fosseway Brook</v>
      </c>
      <c r="K421" s="139" t="s">
        <v>2041</v>
      </c>
      <c r="L421" s="139">
        <v>52.094616000000002</v>
      </c>
      <c r="M421" s="156">
        <v>-1.675681</v>
      </c>
      <c r="N421" s="139" t="s">
        <v>31</v>
      </c>
      <c r="O421" s="139">
        <v>819</v>
      </c>
      <c r="P421" s="139">
        <v>6.2</v>
      </c>
      <c r="Q421" s="139">
        <v>3</v>
      </c>
      <c r="R421" s="107" t="str">
        <f>IF(AllData[[#This Row],[Nitrate (PPM)]]&gt;2, "Very high", IF(AllData[[#This Row],[Nitrate (PPM)]]&gt;1, "High", IF(AllData[[#This Row],[Nitrate (PPM)]]&gt;0.5, "Some evidence", IF(AllData[[#This Row],[Nitrate (PPM)]]&gt;=0, "No evidence"))))</f>
        <v>Very high</v>
      </c>
      <c r="S421" s="139">
        <v>2.2999999999999998</v>
      </c>
      <c r="T421" s="7" t="str">
        <f>IF(AllData[[#This Row],[Phosphate (PPM)]]&gt;0.5, "Very high", IF(AllData[[#This Row],[Phosphate (PPM)]]&gt;0.1, "High", IF(AllData[[#This Row],[Phosphate (PPM)]]&gt;0.05, "Some evidence", IF(AllData[[#This Row],[Phosphate (PPM)]]&lt;=0.05, "No Evidence", ""))))</f>
        <v>Very high</v>
      </c>
      <c r="U421" s="139">
        <v>0.2</v>
      </c>
      <c r="V421" s="139" t="s">
        <v>533</v>
      </c>
    </row>
    <row r="422" spans="1:22" x14ac:dyDescent="0.35">
      <c r="A422" s="139" t="s">
        <v>2897</v>
      </c>
      <c r="B422" s="146">
        <v>45677</v>
      </c>
      <c r="C422" s="2" t="str" cm="1">
        <f t="array" ref="C4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2">
        <v>2024</v>
      </c>
      <c r="E422" s="147">
        <v>0.46875</v>
      </c>
      <c r="F422" t="str">
        <f>IF(AND(AllData[[#This Row],[Time]]&lt;0.5, AllData[[#This Row],[Time]]&gt;0.17)=TRUE, "Morning", IF(AND(AllData[[#This Row],[Time]]&lt;0.75, AllData[[#This Row],[Time]]&gt;=0.5)=TRUE, "Afternoon", IF(AND(AllData[[#This Row],[Time]]&lt;1, AllData[[#This Row],[Time]]&gt;=0.75)=TRUE, "Evening", "Night")))</f>
        <v>Morning</v>
      </c>
      <c r="G422" t="str">
        <f>_xlfn.XLOOKUP(AllData[[#This Row],[Location Name]], Locations[Location Name],Locations[Group As])</f>
        <v>Site 2  :  Cross Leys culvert</v>
      </c>
      <c r="H422" t="e" vm="1">
        <f>_xlfn.XLOOKUP(AllData[[#This Row],[Site Name]],LocationsKey[Site Name],LocationsKey[District])</f>
        <v>#VALUE!</v>
      </c>
      <c r="I422" t="e" vm="14">
        <f>_xlfn.XLOOKUP(AllData[[#This Row],[Site Name]],LocationsKey[Site Name],LocationsKey[Town])</f>
        <v>#VALUE!</v>
      </c>
      <c r="J422" t="str">
        <f>_xlfn.XLOOKUP(AllData[[#This Row],[Site Name]],LocationsKey[Site Name], LocationsKey[Waterway])</f>
        <v>Fosseway Brook</v>
      </c>
      <c r="K422" s="139" t="s">
        <v>1780</v>
      </c>
      <c r="L422" s="139">
        <v>52.093091999999999</v>
      </c>
      <c r="M422" s="156">
        <v>-1.686285</v>
      </c>
      <c r="N422" s="139" t="s">
        <v>68</v>
      </c>
      <c r="O422" s="139">
        <v>705</v>
      </c>
      <c r="P422" s="139">
        <v>5.8</v>
      </c>
      <c r="Q422" s="139">
        <v>2</v>
      </c>
      <c r="R422" s="107" t="str">
        <f>IF(AllData[[#This Row],[Nitrate (PPM)]]&gt;2, "Very high", IF(AllData[[#This Row],[Nitrate (PPM)]]&gt;1, "High", IF(AllData[[#This Row],[Nitrate (PPM)]]&gt;0.5, "Some evidence", IF(AllData[[#This Row],[Nitrate (PPM)]]&gt;=0, "No evidence"))))</f>
        <v>High</v>
      </c>
      <c r="S422" s="139">
        <v>0.3</v>
      </c>
      <c r="T422" s="7" t="str">
        <f>IF(AllData[[#This Row],[Phosphate (PPM)]]&gt;0.5, "Very high", IF(AllData[[#This Row],[Phosphate (PPM)]]&gt;0.1, "High", IF(AllData[[#This Row],[Phosphate (PPM)]]&gt;0.05, "Some evidence", IF(AllData[[#This Row],[Phosphate (PPM)]]&lt;=0.05, "No Evidence", ""))))</f>
        <v>High</v>
      </c>
      <c r="U422" s="139">
        <v>0.15</v>
      </c>
      <c r="V422" s="139" t="s">
        <v>533</v>
      </c>
    </row>
    <row r="423" spans="1:22" x14ac:dyDescent="0.35">
      <c r="A423" s="139" t="s">
        <v>2896</v>
      </c>
      <c r="B423" s="146">
        <v>45677</v>
      </c>
      <c r="C423" s="2" t="str" cm="1">
        <f t="array" ref="C4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3">
        <v>2024</v>
      </c>
      <c r="E423" s="147">
        <v>0.45347222222222222</v>
      </c>
      <c r="F423" t="str">
        <f>IF(AND(AllData[[#This Row],[Time]]&lt;0.5, AllData[[#This Row],[Time]]&gt;0.17)=TRUE, "Morning", IF(AND(AllData[[#This Row],[Time]]&lt;0.75, AllData[[#This Row],[Time]]&gt;=0.5)=TRUE, "Afternoon", IF(AND(AllData[[#This Row],[Time]]&lt;1, AllData[[#This Row],[Time]]&gt;=0.75)=TRUE, "Evening", "Night")))</f>
        <v>Morning</v>
      </c>
      <c r="G423" t="str">
        <f>_xlfn.XLOOKUP(AllData[[#This Row],[Location Name]], Locations[Location Name],Locations[Group As])</f>
        <v>Site 1  :  Middle Street</v>
      </c>
      <c r="H423" t="e" vm="1">
        <f>_xlfn.XLOOKUP(AllData[[#This Row],[Site Name]],LocationsKey[Site Name],LocationsKey[District])</f>
        <v>#VALUE!</v>
      </c>
      <c r="I423" t="e" vm="14">
        <f>_xlfn.XLOOKUP(AllData[[#This Row],[Site Name]],LocationsKey[Site Name],LocationsKey[Town])</f>
        <v>#VALUE!</v>
      </c>
      <c r="J423" t="str">
        <f>_xlfn.XLOOKUP(AllData[[#This Row],[Site Name]],LocationsKey[Site Name], LocationsKey[Waterway])</f>
        <v>Fosseway Brook</v>
      </c>
      <c r="K423" s="139" t="s">
        <v>1777</v>
      </c>
      <c r="L423" s="139">
        <v>52.090204999999997</v>
      </c>
      <c r="M423" s="156">
        <v>-1.6926049999999999</v>
      </c>
      <c r="N423" s="139" t="s">
        <v>68</v>
      </c>
      <c r="O423" s="139">
        <v>620</v>
      </c>
      <c r="P423" s="139">
        <v>4.2</v>
      </c>
      <c r="Q423" s="139">
        <v>1.5</v>
      </c>
      <c r="R423" s="107" t="str">
        <f>IF(AllData[[#This Row],[Nitrate (PPM)]]&gt;2, "Very high", IF(AllData[[#This Row],[Nitrate (PPM)]]&gt;1, "High", IF(AllData[[#This Row],[Nitrate (PPM)]]&gt;0.5, "Some evidence", IF(AllData[[#This Row],[Nitrate (PPM)]]&gt;=0, "No evidence"))))</f>
        <v>High</v>
      </c>
      <c r="S423" s="139">
        <v>0</v>
      </c>
      <c r="T423" s="7" t="str">
        <f>IF(AllData[[#This Row],[Phosphate (PPM)]]&gt;0.5, "Very high", IF(AllData[[#This Row],[Phosphate (PPM)]]&gt;0.1, "High", IF(AllData[[#This Row],[Phosphate (PPM)]]&gt;0.05, "Some evidence", IF(AllData[[#This Row],[Phosphate (PPM)]]&lt;=0.05, "No Evidence", ""))))</f>
        <v>No Evidence</v>
      </c>
      <c r="U423" s="139">
        <v>0.3</v>
      </c>
      <c r="V423" s="139" t="s">
        <v>533</v>
      </c>
    </row>
    <row r="424" spans="1:22" x14ac:dyDescent="0.35">
      <c r="A424" s="139" t="s">
        <v>2894</v>
      </c>
      <c r="B424" s="146">
        <v>45676</v>
      </c>
      <c r="C424" s="2" t="str" cm="1">
        <f t="array" ref="C4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4">
        <v>2024</v>
      </c>
      <c r="E424" s="147">
        <v>0.66041666666666665</v>
      </c>
      <c r="F424" t="str">
        <f>IF(AND(AllData[[#This Row],[Time]]&lt;0.5, AllData[[#This Row],[Time]]&gt;0.17)=TRUE, "Morning", IF(AND(AllData[[#This Row],[Time]]&lt;0.75, AllData[[#This Row],[Time]]&gt;=0.5)=TRUE, "Afternoon", IF(AND(AllData[[#This Row],[Time]]&lt;1, AllData[[#This Row],[Time]]&gt;=0.75)=TRUE, "Evening", "Night")))</f>
        <v>Afternoon</v>
      </c>
      <c r="G424" t="str">
        <f>_xlfn.XLOOKUP(AllData[[#This Row],[Location Name]], Locations[Location Name],Locations[Group As])</f>
        <v>Lower Lode</v>
      </c>
      <c r="H424" t="e" vm="4">
        <f>_xlfn.XLOOKUP(AllData[[#This Row],[Site Name]],LocationsKey[Site Name],LocationsKey[District])</f>
        <v>#VALUE!</v>
      </c>
      <c r="I424" t="e" vm="4">
        <f>_xlfn.XLOOKUP(AllData[[#This Row],[Site Name]],LocationsKey[Site Name],LocationsKey[Town])</f>
        <v>#VALUE!</v>
      </c>
      <c r="J424" t="str">
        <f>_xlfn.XLOOKUP(AllData[[#This Row],[Site Name]],LocationsKey[Site Name], LocationsKey[Waterway])</f>
        <v>Avon</v>
      </c>
      <c r="K424" s="139" t="s">
        <v>595</v>
      </c>
      <c r="L424" s="139">
        <v>51.985115999999998</v>
      </c>
      <c r="M424" s="156">
        <v>-2.1740819999999998</v>
      </c>
      <c r="N424" s="139" t="s">
        <v>31</v>
      </c>
      <c r="O424" s="139">
        <v>8500</v>
      </c>
      <c r="P424" s="139">
        <v>7</v>
      </c>
      <c r="Q424" s="139">
        <v>10</v>
      </c>
      <c r="R424" s="107" t="str">
        <f>IF(AllData[[#This Row],[Nitrate (PPM)]]&gt;2, "Very high", IF(AllData[[#This Row],[Nitrate (PPM)]]&gt;1, "High", IF(AllData[[#This Row],[Nitrate (PPM)]]&gt;0.5, "Some evidence", IF(AllData[[#This Row],[Nitrate (PPM)]]&gt;=0, "No evidence"))))</f>
        <v>Very high</v>
      </c>
      <c r="S424" s="139">
        <v>0.4</v>
      </c>
      <c r="T424" s="7" t="str">
        <f>IF(AllData[[#This Row],[Phosphate (PPM)]]&gt;0.5, "Very high", IF(AllData[[#This Row],[Phosphate (PPM)]]&gt;0.1, "High", IF(AllData[[#This Row],[Phosphate (PPM)]]&gt;0.05, "Some evidence", IF(AllData[[#This Row],[Phosphate (PPM)]]&lt;=0.05, "No Evidence", ""))))</f>
        <v>High</v>
      </c>
      <c r="U424" s="139">
        <v>2</v>
      </c>
      <c r="V424" s="139"/>
    </row>
    <row r="425" spans="1:22" x14ac:dyDescent="0.35">
      <c r="A425" s="139" t="s">
        <v>2885</v>
      </c>
      <c r="B425" s="146">
        <v>45676</v>
      </c>
      <c r="C425" s="2" t="str" cm="1">
        <f t="array" ref="C4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5">
        <v>2024</v>
      </c>
      <c r="E425" s="147">
        <v>0.4236111111111111</v>
      </c>
      <c r="F425" t="str">
        <f>IF(AND(AllData[[#This Row],[Time]]&lt;0.5, AllData[[#This Row],[Time]]&gt;0.17)=TRUE, "Morning", IF(AND(AllData[[#This Row],[Time]]&lt;0.75, AllData[[#This Row],[Time]]&gt;=0.5)=TRUE, "Afternoon", IF(AND(AllData[[#This Row],[Time]]&lt;1, AllData[[#This Row],[Time]]&gt;=0.75)=TRUE, "Evening", "Night")))</f>
        <v>Morning</v>
      </c>
      <c r="G425" t="str">
        <f>_xlfn.XLOOKUP(AllData[[#This Row],[Location Name]], Locations[Location Name],Locations[Group As])</f>
        <v>Avonbank Drive</v>
      </c>
      <c r="H425" t="e" vm="1">
        <f>_xlfn.XLOOKUP(AllData[[#This Row],[Site Name]],LocationsKey[Site Name],LocationsKey[District])</f>
        <v>#VALUE!</v>
      </c>
      <c r="I425" t="e" vm="12">
        <f>_xlfn.XLOOKUP(AllData[[#This Row],[Site Name]],LocationsKey[Site Name],LocationsKey[Town])</f>
        <v>#VALUE!</v>
      </c>
      <c r="J425" t="str">
        <f>_xlfn.XLOOKUP(AllData[[#This Row],[Site Name]],LocationsKey[Site Name], LocationsKey[Waterway])</f>
        <v>Avon</v>
      </c>
      <c r="K425" s="139" t="s">
        <v>2530</v>
      </c>
      <c r="L425" s="139">
        <v>52.178001000000002</v>
      </c>
      <c r="M425" s="156">
        <v>-1.7365029999999999</v>
      </c>
      <c r="N425" s="139" t="s">
        <v>68</v>
      </c>
      <c r="O425" s="139">
        <v>881</v>
      </c>
      <c r="P425" s="139">
        <v>8.6999999999999993</v>
      </c>
      <c r="Q425" s="139">
        <v>10</v>
      </c>
      <c r="R425" s="107" t="str">
        <f>IF(AllData[[#This Row],[Nitrate (PPM)]]&gt;2, "Very high", IF(AllData[[#This Row],[Nitrate (PPM)]]&gt;1, "High", IF(AllData[[#This Row],[Nitrate (PPM)]]&gt;0.5, "Some evidence", IF(AllData[[#This Row],[Nitrate (PPM)]]&gt;=0, "No evidence"))))</f>
        <v>Very high</v>
      </c>
      <c r="S425" s="139">
        <v>0.43</v>
      </c>
      <c r="T425" s="7" t="str">
        <f>IF(AllData[[#This Row],[Phosphate (PPM)]]&gt;0.5, "Very high", IF(AllData[[#This Row],[Phosphate (PPM)]]&gt;0.1, "High", IF(AllData[[#This Row],[Phosphate (PPM)]]&gt;0.05, "Some evidence", IF(AllData[[#This Row],[Phosphate (PPM)]]&lt;=0.05, "No Evidence", ""))))</f>
        <v>High</v>
      </c>
      <c r="U425" s="139">
        <v>0.79</v>
      </c>
      <c r="V425" s="139"/>
    </row>
    <row r="426" spans="1:22" x14ac:dyDescent="0.35">
      <c r="A426" s="139" t="s">
        <v>2887</v>
      </c>
      <c r="B426" s="146">
        <v>45676</v>
      </c>
      <c r="C426" s="2" t="str" cm="1">
        <f t="array" ref="C4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6">
        <v>2024</v>
      </c>
      <c r="E426" s="147">
        <v>0.5</v>
      </c>
      <c r="F426" t="str">
        <f>IF(AND(AllData[[#This Row],[Time]]&lt;0.5, AllData[[#This Row],[Time]]&gt;0.17)=TRUE, "Morning", IF(AND(AllData[[#This Row],[Time]]&lt;0.75, AllData[[#This Row],[Time]]&gt;=0.5)=TRUE, "Afternoon", IF(AND(AllData[[#This Row],[Time]]&lt;1, AllData[[#This Row],[Time]]&gt;=0.75)=TRUE, "Evening", "Night")))</f>
        <v>Afternoon</v>
      </c>
      <c r="G426" t="str">
        <f>_xlfn.XLOOKUP(AllData[[#This Row],[Location Name]], Locations[Location Name],Locations[Group As])</f>
        <v>Clifford Chambers Mill Bridge</v>
      </c>
      <c r="H426" t="e" vm="1">
        <f>_xlfn.XLOOKUP(AllData[[#This Row],[Site Name]],LocationsKey[Site Name],LocationsKey[District])</f>
        <v>#VALUE!</v>
      </c>
      <c r="I426" t="e" vm="22">
        <f>_xlfn.XLOOKUP(AllData[[#This Row],[Site Name]],LocationsKey[Site Name],LocationsKey[Town])</f>
        <v>#VALUE!</v>
      </c>
      <c r="J426" t="str">
        <f>_xlfn.XLOOKUP(AllData[[#This Row],[Site Name]],LocationsKey[Site Name], LocationsKey[Waterway])</f>
        <v>Stour</v>
      </c>
      <c r="K426" s="139" t="s">
        <v>334</v>
      </c>
      <c r="L426" s="139">
        <v>52.166370000000001</v>
      </c>
      <c r="M426" s="156">
        <v>-1.708032</v>
      </c>
      <c r="N426" s="139" t="s">
        <v>68</v>
      </c>
      <c r="O426" s="139">
        <v>666</v>
      </c>
      <c r="P426" s="139">
        <v>5.2</v>
      </c>
      <c r="Q426" s="139">
        <v>8</v>
      </c>
      <c r="R426" s="107" t="str">
        <f>IF(AllData[[#This Row],[Nitrate (PPM)]]&gt;2, "Very high", IF(AllData[[#This Row],[Nitrate (PPM)]]&gt;1, "High", IF(AllData[[#This Row],[Nitrate (PPM)]]&gt;0.5, "Some evidence", IF(AllData[[#This Row],[Nitrate (PPM)]]&gt;=0, "No evidence"))))</f>
        <v>Very high</v>
      </c>
      <c r="S426" s="139">
        <v>0.28000000000000003</v>
      </c>
      <c r="T426" s="7" t="str">
        <f>IF(AllData[[#This Row],[Phosphate (PPM)]]&gt;0.5, "Very high", IF(AllData[[#This Row],[Phosphate (PPM)]]&gt;0.1, "High", IF(AllData[[#This Row],[Phosphate (PPM)]]&gt;0.05, "Some evidence", IF(AllData[[#This Row],[Phosphate (PPM)]]&lt;=0.05, "No Evidence", ""))))</f>
        <v>High</v>
      </c>
      <c r="U426" s="139">
        <v>1</v>
      </c>
      <c r="V426" s="139"/>
    </row>
    <row r="427" spans="1:22" x14ac:dyDescent="0.35">
      <c r="A427" s="139" t="s">
        <v>2888</v>
      </c>
      <c r="B427" s="146">
        <v>45676</v>
      </c>
      <c r="C427" s="2" t="str" cm="1">
        <f t="array" ref="C4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7">
        <v>2024</v>
      </c>
      <c r="E427" s="147">
        <v>0.55555555555555558</v>
      </c>
      <c r="F427" t="str">
        <f>IF(AND(AllData[[#This Row],[Time]]&lt;0.5, AllData[[#This Row],[Time]]&gt;0.17)=TRUE, "Morning", IF(AND(AllData[[#This Row],[Time]]&lt;0.75, AllData[[#This Row],[Time]]&gt;=0.5)=TRUE, "Afternoon", IF(AND(AllData[[#This Row],[Time]]&lt;1, AllData[[#This Row],[Time]]&gt;=0.75)=TRUE, "Evening", "Night")))</f>
        <v>Afternoon</v>
      </c>
      <c r="G427" t="str">
        <f>_xlfn.XLOOKUP(AllData[[#This Row],[Location Name]], Locations[Location Name],Locations[Group As])</f>
        <v>Carrant M5 Bridge</v>
      </c>
      <c r="H427" t="e" vm="4">
        <f>_xlfn.XLOOKUP(AllData[[#This Row],[Site Name]],LocationsKey[Site Name],LocationsKey[District])</f>
        <v>#VALUE!</v>
      </c>
      <c r="I427" t="e" vm="4">
        <f>_xlfn.XLOOKUP(AllData[[#This Row],[Site Name]],LocationsKey[Site Name],LocationsKey[Town])</f>
        <v>#VALUE!</v>
      </c>
      <c r="J427" t="str">
        <f>_xlfn.XLOOKUP(AllData[[#This Row],[Site Name]],LocationsKey[Site Name], LocationsKey[Waterway])</f>
        <v>Carrant</v>
      </c>
      <c r="K427" s="139" t="s">
        <v>1066</v>
      </c>
      <c r="L427" s="139"/>
      <c r="M427" s="156"/>
      <c r="N427" s="139" t="s">
        <v>34</v>
      </c>
      <c r="O427" s="139">
        <v>713</v>
      </c>
      <c r="P427" s="139">
        <v>6.4</v>
      </c>
      <c r="Q427" s="139">
        <v>7</v>
      </c>
      <c r="R427" s="107" t="str">
        <f>IF(AllData[[#This Row],[Nitrate (PPM)]]&gt;2, "Very high", IF(AllData[[#This Row],[Nitrate (PPM)]]&gt;1, "High", IF(AllData[[#This Row],[Nitrate (PPM)]]&gt;0.5, "Some evidence", IF(AllData[[#This Row],[Nitrate (PPM)]]&gt;=0, "No evidence"))))</f>
        <v>Very high</v>
      </c>
      <c r="S427" s="139">
        <v>0.39</v>
      </c>
      <c r="T427" s="7" t="str">
        <f>IF(AllData[[#This Row],[Phosphate (PPM)]]&gt;0.5, "Very high", IF(AllData[[#This Row],[Phosphate (PPM)]]&gt;0.1, "High", IF(AllData[[#This Row],[Phosphate (PPM)]]&gt;0.05, "Some evidence", IF(AllData[[#This Row],[Phosphate (PPM)]]&lt;=0.05, "No Evidence", ""))))</f>
        <v>High</v>
      </c>
      <c r="U427" s="139">
        <v>0</v>
      </c>
      <c r="V427" s="139"/>
    </row>
    <row r="428" spans="1:22" x14ac:dyDescent="0.35">
      <c r="A428" s="139" t="s">
        <v>2889</v>
      </c>
      <c r="B428" s="146">
        <v>45676</v>
      </c>
      <c r="C428" s="2" t="str" cm="1">
        <f t="array" ref="C4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8">
        <v>2024</v>
      </c>
      <c r="E428" s="147">
        <v>0.5625</v>
      </c>
      <c r="F428" t="str">
        <f>IF(AND(AllData[[#This Row],[Time]]&lt;0.5, AllData[[#This Row],[Time]]&gt;0.17)=TRUE, "Morning", IF(AND(AllData[[#This Row],[Time]]&lt;0.75, AllData[[#This Row],[Time]]&gt;=0.5)=TRUE, "Afternoon", IF(AND(AllData[[#This Row],[Time]]&lt;1, AllData[[#This Row],[Time]]&gt;=0.75)=TRUE, "Evening", "Night")))</f>
        <v>Afternoon</v>
      </c>
      <c r="G428" t="str">
        <f>_xlfn.XLOOKUP(AllData[[#This Row],[Location Name]], Locations[Location Name],Locations[Group As])</f>
        <v>Sherbourne Brook 1</v>
      </c>
      <c r="H428" t="e" vm="1">
        <f>_xlfn.XLOOKUP(AllData[[#This Row],[Site Name]],LocationsKey[Site Name],LocationsKey[District])</f>
        <v>#VALUE!</v>
      </c>
      <c r="I428" t="e" vm="23">
        <f>_xlfn.XLOOKUP(AllData[[#This Row],[Site Name]],LocationsKey[Site Name],LocationsKey[Town])</f>
        <v>#VALUE!</v>
      </c>
      <c r="J428" t="str">
        <f>_xlfn.XLOOKUP(AllData[[#This Row],[Site Name]],LocationsKey[Site Name], LocationsKey[Waterway])</f>
        <v>Sherbourne Brook</v>
      </c>
      <c r="K428" s="139" t="s">
        <v>541</v>
      </c>
      <c r="L428" s="139"/>
      <c r="M428" s="156"/>
      <c r="N428" s="139"/>
      <c r="O428" s="139">
        <v>1030</v>
      </c>
      <c r="P428" s="139">
        <v>7.1</v>
      </c>
      <c r="Q428" s="139">
        <v>6</v>
      </c>
      <c r="R428" s="107" t="str">
        <f>IF(AllData[[#This Row],[Nitrate (PPM)]]&gt;2, "Very high", IF(AllData[[#This Row],[Nitrate (PPM)]]&gt;1, "High", IF(AllData[[#This Row],[Nitrate (PPM)]]&gt;0.5, "Some evidence", IF(AllData[[#This Row],[Nitrate (PPM)]]&gt;=0, "No evidence"))))</f>
        <v>Very high</v>
      </c>
      <c r="S428" s="139">
        <v>0.35</v>
      </c>
      <c r="T428" s="7" t="str">
        <f>IF(AllData[[#This Row],[Phosphate (PPM)]]&gt;0.5, "Very high", IF(AllData[[#This Row],[Phosphate (PPM)]]&gt;0.1, "High", IF(AllData[[#This Row],[Phosphate (PPM)]]&gt;0.05, "Some evidence", IF(AllData[[#This Row],[Phosphate (PPM)]]&lt;=0.05, "No Evidence", ""))))</f>
        <v>High</v>
      </c>
      <c r="U428" s="139">
        <v>0.1</v>
      </c>
      <c r="V428" s="139" t="s">
        <v>2848</v>
      </c>
    </row>
    <row r="429" spans="1:22" x14ac:dyDescent="0.35">
      <c r="A429" s="139" t="s">
        <v>2890</v>
      </c>
      <c r="B429" s="146">
        <v>45676</v>
      </c>
      <c r="C429" s="2" t="str" cm="1">
        <f t="array" ref="C4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29">
        <v>2024</v>
      </c>
      <c r="E429" s="147">
        <v>0.57291666666666663</v>
      </c>
      <c r="F429" t="str">
        <f>IF(AND(AllData[[#This Row],[Time]]&lt;0.5, AllData[[#This Row],[Time]]&gt;0.17)=TRUE, "Morning", IF(AND(AllData[[#This Row],[Time]]&lt;0.75, AllData[[#This Row],[Time]]&gt;=0.5)=TRUE, "Afternoon", IF(AND(AllData[[#This Row],[Time]]&lt;1, AllData[[#This Row],[Time]]&gt;=0.75)=TRUE, "Evening", "Night")))</f>
        <v>Afternoon</v>
      </c>
      <c r="G429" t="str">
        <f>_xlfn.XLOOKUP(AllData[[#This Row],[Location Name]], Locations[Location Name],Locations[Group As])</f>
        <v>Bell Brook 1</v>
      </c>
      <c r="H429" t="e" vm="1">
        <f>_xlfn.XLOOKUP(AllData[[#This Row],[Site Name]],LocationsKey[Site Name],LocationsKey[District])</f>
        <v>#VALUE!</v>
      </c>
      <c r="I429" t="e" vm="19">
        <f>_xlfn.XLOOKUP(AllData[[#This Row],[Site Name]],LocationsKey[Site Name],LocationsKey[Town])</f>
        <v>#VALUE!</v>
      </c>
      <c r="J429" t="str">
        <f>_xlfn.XLOOKUP(AllData[[#This Row],[Site Name]],LocationsKey[Site Name], LocationsKey[Waterway])</f>
        <v>Bell Brook</v>
      </c>
      <c r="K429" s="139" t="s">
        <v>538</v>
      </c>
      <c r="L429" s="139"/>
      <c r="M429" s="156"/>
      <c r="N429" s="139"/>
      <c r="O429" s="139">
        <v>737</v>
      </c>
      <c r="P429" s="139">
        <v>5.2</v>
      </c>
      <c r="Q429" s="139">
        <v>5</v>
      </c>
      <c r="R429" s="107" t="str">
        <f>IF(AllData[[#This Row],[Nitrate (PPM)]]&gt;2, "Very high", IF(AllData[[#This Row],[Nitrate (PPM)]]&gt;1, "High", IF(AllData[[#This Row],[Nitrate (PPM)]]&gt;0.5, "Some evidence", IF(AllData[[#This Row],[Nitrate (PPM)]]&gt;=0, "No evidence"))))</f>
        <v>Very high</v>
      </c>
      <c r="S429" s="139">
        <v>0.34</v>
      </c>
      <c r="T429" s="7" t="str">
        <f>IF(AllData[[#This Row],[Phosphate (PPM)]]&gt;0.5, "Very high", IF(AllData[[#This Row],[Phosphate (PPM)]]&gt;0.1, "High", IF(AllData[[#This Row],[Phosphate (PPM)]]&gt;0.05, "Some evidence", IF(AllData[[#This Row],[Phosphate (PPM)]]&lt;=0.05, "No Evidence", ""))))</f>
        <v>High</v>
      </c>
      <c r="U429" s="139">
        <v>0.1</v>
      </c>
      <c r="V429" s="139" t="s">
        <v>2848</v>
      </c>
    </row>
    <row r="430" spans="1:22" x14ac:dyDescent="0.35">
      <c r="A430" s="139" t="s">
        <v>2891</v>
      </c>
      <c r="B430" s="146">
        <v>45676</v>
      </c>
      <c r="C430" s="2" t="str" cm="1">
        <f t="array" ref="C4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0">
        <v>2024</v>
      </c>
      <c r="E430" s="147">
        <v>0.60347222222222219</v>
      </c>
      <c r="F430" t="str">
        <f>IF(AND(AllData[[#This Row],[Time]]&lt;0.5, AllData[[#This Row],[Time]]&gt;0.17)=TRUE, "Morning", IF(AND(AllData[[#This Row],[Time]]&lt;0.75, AllData[[#This Row],[Time]]&gt;=0.5)=TRUE, "Afternoon", IF(AND(AllData[[#This Row],[Time]]&lt;1, AllData[[#This Row],[Time]]&gt;=0.75)=TRUE, "Evening", "Night")))</f>
        <v>Afternoon</v>
      </c>
      <c r="G430" t="str">
        <f>_xlfn.XLOOKUP(AllData[[#This Row],[Location Name]], Locations[Location Name],Locations[Group As])</f>
        <v>R.Stowe - Lower Fields Farm, Old Brickyard Lane</v>
      </c>
      <c r="H430" t="e" vm="1">
        <f>_xlfn.XLOOKUP(AllData[[#This Row],[Site Name]],LocationsKey[Site Name],LocationsKey[District])</f>
        <v>#VALUE!</v>
      </c>
      <c r="I430" t="e" vm="17">
        <f>_xlfn.XLOOKUP(AllData[[#This Row],[Site Name]],LocationsKey[Site Name],LocationsKey[Town])</f>
        <v>#VALUE!</v>
      </c>
      <c r="J430" t="str">
        <f>_xlfn.XLOOKUP(AllData[[#This Row],[Site Name]],LocationsKey[Site Name], LocationsKey[Waterway])</f>
        <v>Stowe</v>
      </c>
      <c r="K430" s="139" t="s">
        <v>2892</v>
      </c>
      <c r="L430" s="139">
        <v>52.244070999999998</v>
      </c>
      <c r="M430" s="156">
        <v>-1.347736</v>
      </c>
      <c r="N430" s="139" t="s">
        <v>31</v>
      </c>
      <c r="O430" s="139">
        <v>801</v>
      </c>
      <c r="P430" s="139">
        <v>3.9</v>
      </c>
      <c r="Q430" s="139">
        <v>2</v>
      </c>
      <c r="R430" s="107" t="str">
        <f>IF(AllData[[#This Row],[Nitrate (PPM)]]&gt;2, "Very high", IF(AllData[[#This Row],[Nitrate (PPM)]]&gt;1, "High", IF(AllData[[#This Row],[Nitrate (PPM)]]&gt;0.5, "Some evidence", IF(AllData[[#This Row],[Nitrate (PPM)]]&gt;=0, "No evidence"))))</f>
        <v>High</v>
      </c>
      <c r="S430" s="139">
        <v>0.26</v>
      </c>
      <c r="T430" s="7" t="str">
        <f>IF(AllData[[#This Row],[Phosphate (PPM)]]&gt;0.5, "Very high", IF(AllData[[#This Row],[Phosphate (PPM)]]&gt;0.1, "High", IF(AllData[[#This Row],[Phosphate (PPM)]]&gt;0.05, "Some evidence", IF(AllData[[#This Row],[Phosphate (PPM)]]&lt;=0.05, "No Evidence", ""))))</f>
        <v>High</v>
      </c>
      <c r="U430" s="139">
        <v>0</v>
      </c>
      <c r="V430" s="139" t="s">
        <v>2893</v>
      </c>
    </row>
    <row r="431" spans="1:22" x14ac:dyDescent="0.35">
      <c r="A431" s="139" t="s">
        <v>2879</v>
      </c>
      <c r="B431" s="146">
        <v>45675</v>
      </c>
      <c r="C431" s="2" t="str" cm="1">
        <f t="array" ref="C4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1">
        <v>2024</v>
      </c>
      <c r="E431" s="147">
        <v>0.42916666666666664</v>
      </c>
      <c r="F431" t="str">
        <f>IF(AND(AllData[[#This Row],[Time]]&lt;0.5, AllData[[#This Row],[Time]]&gt;0.17)=TRUE, "Morning", IF(AND(AllData[[#This Row],[Time]]&lt;0.75, AllData[[#This Row],[Time]]&gt;=0.5)=TRUE, "Afternoon", IF(AND(AllData[[#This Row],[Time]]&lt;1, AllData[[#This Row],[Time]]&gt;=0.75)=TRUE, "Evening", "Night")))</f>
        <v>Morning</v>
      </c>
      <c r="G431" t="str">
        <f>_xlfn.XLOOKUP(AllData[[#This Row],[Location Name]], Locations[Location Name],Locations[Group As])</f>
        <v>Avon Smiths Meadow Wyre Piddle</v>
      </c>
      <c r="H431" t="e" vm="6">
        <f>_xlfn.XLOOKUP(AllData[[#This Row],[Site Name]],LocationsKey[Site Name],LocationsKey[District])</f>
        <v>#VALUE!</v>
      </c>
      <c r="I431" t="e" vm="13">
        <f>_xlfn.XLOOKUP(AllData[[#This Row],[Site Name]],LocationsKey[Site Name],LocationsKey[Town])</f>
        <v>#VALUE!</v>
      </c>
      <c r="J431" t="str">
        <f>_xlfn.XLOOKUP(AllData[[#This Row],[Site Name]],LocationsKey[Site Name], LocationsKey[Waterway])</f>
        <v>Avon</v>
      </c>
      <c r="K431" s="139" t="s">
        <v>784</v>
      </c>
      <c r="L431" s="139">
        <v>52.122846000000003</v>
      </c>
      <c r="M431" s="156">
        <v>-2.0575549999999998</v>
      </c>
      <c r="N431" s="139" t="s">
        <v>34</v>
      </c>
      <c r="O431" s="139">
        <v>847</v>
      </c>
      <c r="P431" s="139">
        <v>6.9</v>
      </c>
      <c r="Q431" s="139">
        <v>10</v>
      </c>
      <c r="R431" s="107" t="str">
        <f>IF(AllData[[#This Row],[Nitrate (PPM)]]&gt;2, "Very high", IF(AllData[[#This Row],[Nitrate (PPM)]]&gt;1, "High", IF(AllData[[#This Row],[Nitrate (PPM)]]&gt;0.5, "Some evidence", IF(AllData[[#This Row],[Nitrate (PPM)]]&gt;=0, "No evidence"))))</f>
        <v>Very high</v>
      </c>
      <c r="S431" s="139">
        <v>0.48</v>
      </c>
      <c r="T431" s="7" t="str">
        <f>IF(AllData[[#This Row],[Phosphate (PPM)]]&gt;0.5, "Very high", IF(AllData[[#This Row],[Phosphate (PPM)]]&gt;0.1, "High", IF(AllData[[#This Row],[Phosphate (PPM)]]&gt;0.05, "Some evidence", IF(AllData[[#This Row],[Phosphate (PPM)]]&lt;=0.05, "No Evidence", ""))))</f>
        <v>High</v>
      </c>
      <c r="U431" s="139">
        <v>0.71</v>
      </c>
      <c r="V431" s="139" t="s">
        <v>2880</v>
      </c>
    </row>
    <row r="432" spans="1:22" x14ac:dyDescent="0.35">
      <c r="A432" s="139" t="s">
        <v>2881</v>
      </c>
      <c r="B432" s="146">
        <v>45675</v>
      </c>
      <c r="C432" s="2" t="str" cm="1">
        <f t="array" ref="C4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2">
        <v>2024</v>
      </c>
      <c r="E432" s="147">
        <v>0.44930555555555557</v>
      </c>
      <c r="F432" t="str">
        <f>IF(AND(AllData[[#This Row],[Time]]&lt;0.5, AllData[[#This Row],[Time]]&gt;0.17)=TRUE, "Morning", IF(AND(AllData[[#This Row],[Time]]&lt;0.75, AllData[[#This Row],[Time]]&gt;=0.5)=TRUE, "Afternoon", IF(AND(AllData[[#This Row],[Time]]&lt;1, AllData[[#This Row],[Time]]&gt;=0.75)=TRUE, "Evening", "Night")))</f>
        <v>Morning</v>
      </c>
      <c r="G432" t="str">
        <f>_xlfn.XLOOKUP(AllData[[#This Row],[Location Name]], Locations[Location Name],Locations[Group As])</f>
        <v>Piddle Brook Wyre Piddle Bridge</v>
      </c>
      <c r="H432" t="e" vm="6">
        <f>_xlfn.XLOOKUP(AllData[[#This Row],[Site Name]],LocationsKey[Site Name],LocationsKey[District])</f>
        <v>#VALUE!</v>
      </c>
      <c r="I432" t="e" vm="13">
        <f>_xlfn.XLOOKUP(AllData[[#This Row],[Site Name]],LocationsKey[Site Name],LocationsKey[Town])</f>
        <v>#VALUE!</v>
      </c>
      <c r="J432" t="str">
        <f>_xlfn.XLOOKUP(AllData[[#This Row],[Site Name]],LocationsKey[Site Name], LocationsKey[Waterway])</f>
        <v>Piddle Brook</v>
      </c>
      <c r="K432" s="139" t="s">
        <v>787</v>
      </c>
      <c r="L432" s="139">
        <v>52.126483999999998</v>
      </c>
      <c r="M432" s="156">
        <v>-2.0564719999999999</v>
      </c>
      <c r="N432" s="139" t="s">
        <v>34</v>
      </c>
      <c r="O432" s="139">
        <v>1190</v>
      </c>
      <c r="P432" s="139">
        <v>6</v>
      </c>
      <c r="Q432" s="139">
        <v>5</v>
      </c>
      <c r="R432" s="107" t="str">
        <f>IF(AllData[[#This Row],[Nitrate (PPM)]]&gt;2, "Very high", IF(AllData[[#This Row],[Nitrate (PPM)]]&gt;1, "High", IF(AllData[[#This Row],[Nitrate (PPM)]]&gt;0.5, "Some evidence", IF(AllData[[#This Row],[Nitrate (PPM)]]&gt;=0, "No evidence"))))</f>
        <v>Very high</v>
      </c>
      <c r="S432" s="139">
        <v>0.53</v>
      </c>
      <c r="T432" s="7" t="str">
        <f>IF(AllData[[#This Row],[Phosphate (PPM)]]&gt;0.5, "Very high", IF(AllData[[#This Row],[Phosphate (PPM)]]&gt;0.1, "High", IF(AllData[[#This Row],[Phosphate (PPM)]]&gt;0.05, "Some evidence", IF(AllData[[#This Row],[Phosphate (PPM)]]&lt;=0.05, "No Evidence", ""))))</f>
        <v>Very high</v>
      </c>
      <c r="U432" s="139">
        <v>0.27</v>
      </c>
      <c r="V432" s="139" t="s">
        <v>2882</v>
      </c>
    </row>
    <row r="433" spans="1:22" x14ac:dyDescent="0.35">
      <c r="A433" s="139" t="s">
        <v>2884</v>
      </c>
      <c r="B433" s="146">
        <v>45675</v>
      </c>
      <c r="C433" s="2" t="str" cm="1">
        <f t="array" ref="C4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3">
        <v>2024</v>
      </c>
      <c r="E433" s="147">
        <v>0.60555555555555551</v>
      </c>
      <c r="F433" t="str">
        <f>IF(AND(AllData[[#This Row],[Time]]&lt;0.5, AllData[[#This Row],[Time]]&gt;0.17)=TRUE, "Morning", IF(AND(AllData[[#This Row],[Time]]&lt;0.75, AllData[[#This Row],[Time]]&gt;=0.5)=TRUE, "Afternoon", IF(AND(AllData[[#This Row],[Time]]&lt;1, AllData[[#This Row],[Time]]&gt;=0.75)=TRUE, "Evening", "Night")))</f>
        <v>Afternoon</v>
      </c>
      <c r="G433" t="str">
        <f>_xlfn.XLOOKUP(AllData[[#This Row],[Location Name]], Locations[Location Name],Locations[Group As])</f>
        <v>Black Bear</v>
      </c>
      <c r="H433" t="e" vm="4">
        <f>_xlfn.XLOOKUP(AllData[[#This Row],[Site Name]],LocationsKey[Site Name],LocationsKey[District])</f>
        <v>#VALUE!</v>
      </c>
      <c r="I433" t="e" vm="4">
        <f>_xlfn.XLOOKUP(AllData[[#This Row],[Site Name]],LocationsKey[Site Name],LocationsKey[Town])</f>
        <v>#VALUE!</v>
      </c>
      <c r="J433" t="str">
        <f>_xlfn.XLOOKUP(AllData[[#This Row],[Site Name]],LocationsKey[Site Name], LocationsKey[Waterway])</f>
        <v>Avon</v>
      </c>
      <c r="K433" s="139" t="s">
        <v>1175</v>
      </c>
      <c r="L433" s="139">
        <v>51.997312000000001</v>
      </c>
      <c r="M433" s="156">
        <v>-2.1559439999999999</v>
      </c>
      <c r="N433" s="139" t="s">
        <v>34</v>
      </c>
      <c r="O433" s="139">
        <v>817</v>
      </c>
      <c r="P433" s="139">
        <v>7.4</v>
      </c>
      <c r="Q433" s="139">
        <v>5</v>
      </c>
      <c r="R433" s="107" t="str">
        <f>IF(AllData[[#This Row],[Nitrate (PPM)]]&gt;2, "Very high", IF(AllData[[#This Row],[Nitrate (PPM)]]&gt;1, "High", IF(AllData[[#This Row],[Nitrate (PPM)]]&gt;0.5, "Some evidence", IF(AllData[[#This Row],[Nitrate (PPM)]]&gt;=0, "No evidence"))))</f>
        <v>Very high</v>
      </c>
      <c r="S433" s="139">
        <v>0.7</v>
      </c>
      <c r="T433" s="7" t="str">
        <f>IF(AllData[[#This Row],[Phosphate (PPM)]]&gt;0.5, "Very high", IF(AllData[[#This Row],[Phosphate (PPM)]]&gt;0.1, "High", IF(AllData[[#This Row],[Phosphate (PPM)]]&gt;0.05, "Some evidence", IF(AllData[[#This Row],[Phosphate (PPM)]]&lt;=0.05, "No Evidence", ""))))</f>
        <v>Very high</v>
      </c>
      <c r="U433" s="139">
        <v>0</v>
      </c>
      <c r="V433" s="139"/>
    </row>
    <row r="434" spans="1:22" x14ac:dyDescent="0.35">
      <c r="A434" s="139" t="s">
        <v>2883</v>
      </c>
      <c r="B434" s="146">
        <v>45675</v>
      </c>
      <c r="C434" s="2" t="str" cm="1">
        <f t="array" ref="C4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4">
        <v>2024</v>
      </c>
      <c r="E434" s="147">
        <v>0.54166666666666663</v>
      </c>
      <c r="F434" t="str">
        <f>IF(AND(AllData[[#This Row],[Time]]&lt;0.5, AllData[[#This Row],[Time]]&gt;0.17)=TRUE, "Morning", IF(AND(AllData[[#This Row],[Time]]&lt;0.75, AllData[[#This Row],[Time]]&gt;=0.5)=TRUE, "Afternoon", IF(AND(AllData[[#This Row],[Time]]&lt;1, AllData[[#This Row],[Time]]&gt;=0.75)=TRUE, "Evening", "Night")))</f>
        <v>Afternoon</v>
      </c>
      <c r="G434" t="str">
        <f>_xlfn.XLOOKUP(AllData[[#This Row],[Location Name]], Locations[Location Name],Locations[Group As])</f>
        <v>Carrant Bredon Rd</v>
      </c>
      <c r="H434" t="e" vm="4">
        <f>_xlfn.XLOOKUP(AllData[[#This Row],[Site Name]],LocationsKey[Site Name],LocationsKey[District])</f>
        <v>#VALUE!</v>
      </c>
      <c r="I434" t="e" vm="4">
        <f>_xlfn.XLOOKUP(AllData[[#This Row],[Site Name]],LocationsKey[Site Name],LocationsKey[Town])</f>
        <v>#VALUE!</v>
      </c>
      <c r="J434" t="str">
        <f>_xlfn.XLOOKUP(AllData[[#This Row],[Site Name]],LocationsKey[Site Name], LocationsKey[Waterway])</f>
        <v>Carrant</v>
      </c>
      <c r="K434" s="139" t="s">
        <v>603</v>
      </c>
      <c r="L434" s="139">
        <v>51.996322999999997</v>
      </c>
      <c r="M434" s="156">
        <v>-2.1560899999999998</v>
      </c>
      <c r="N434" s="139" t="s">
        <v>25</v>
      </c>
      <c r="O434" s="139">
        <v>788</v>
      </c>
      <c r="P434" s="139">
        <v>7.3</v>
      </c>
      <c r="Q434" s="139">
        <v>4</v>
      </c>
      <c r="R434" s="107" t="str">
        <f>IF(AllData[[#This Row],[Nitrate (PPM)]]&gt;2, "Very high", IF(AllData[[#This Row],[Nitrate (PPM)]]&gt;1, "High", IF(AllData[[#This Row],[Nitrate (PPM)]]&gt;0.5, "Some evidence", IF(AllData[[#This Row],[Nitrate (PPM)]]&gt;=0, "No evidence"))))</f>
        <v>Very high</v>
      </c>
      <c r="S434" s="139">
        <v>0.27</v>
      </c>
      <c r="T434" s="7" t="str">
        <f>IF(AllData[[#This Row],[Phosphate (PPM)]]&gt;0.5, "Very high", IF(AllData[[#This Row],[Phosphate (PPM)]]&gt;0.1, "High", IF(AllData[[#This Row],[Phosphate (PPM)]]&gt;0.05, "Some evidence", IF(AllData[[#This Row],[Phosphate (PPM)]]&lt;=0.05, "No Evidence", ""))))</f>
        <v>High</v>
      </c>
      <c r="U434" s="139">
        <v>0.12</v>
      </c>
      <c r="V434" s="139"/>
    </row>
    <row r="435" spans="1:22" x14ac:dyDescent="0.35">
      <c r="A435" s="139" t="s">
        <v>2878</v>
      </c>
      <c r="B435" s="146">
        <v>45675</v>
      </c>
      <c r="C435" s="2" t="str" cm="1">
        <f t="array" ref="C4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5">
        <v>2024</v>
      </c>
      <c r="E435" s="147">
        <v>0.36458333333333331</v>
      </c>
      <c r="F435" t="str">
        <f>IF(AND(AllData[[#This Row],[Time]]&lt;0.5, AllData[[#This Row],[Time]]&gt;0.17)=TRUE, "Morning", IF(AND(AllData[[#This Row],[Time]]&lt;0.75, AllData[[#This Row],[Time]]&gt;=0.5)=TRUE, "Afternoon", IF(AND(AllData[[#This Row],[Time]]&lt;1, AllData[[#This Row],[Time]]&gt;=0.75)=TRUE, "Evening", "Night")))</f>
        <v>Morning</v>
      </c>
      <c r="G435" t="str">
        <f>_xlfn.XLOOKUP(AllData[[#This Row],[Location Name]], Locations[Location Name],Locations[Group As])</f>
        <v>Dock Lane Bredon</v>
      </c>
      <c r="H435" t="e" vm="6">
        <f>_xlfn.XLOOKUP(AllData[[#This Row],[Site Name]],LocationsKey[Site Name],LocationsKey[District])</f>
        <v>#VALUE!</v>
      </c>
      <c r="I435" t="e" vm="11">
        <f>_xlfn.XLOOKUP(AllData[[#This Row],[Site Name]],LocationsKey[Site Name],LocationsKey[Town])</f>
        <v>#VALUE!</v>
      </c>
      <c r="J435" t="str">
        <f>_xlfn.XLOOKUP(AllData[[#This Row],[Site Name]],LocationsKey[Site Name], LocationsKey[Waterway])</f>
        <v>Avon</v>
      </c>
      <c r="K435" s="139" t="s">
        <v>2470</v>
      </c>
      <c r="L435" s="139"/>
      <c r="M435" s="156"/>
      <c r="N435" s="139" t="s">
        <v>31</v>
      </c>
      <c r="O435" s="139">
        <v>7960</v>
      </c>
      <c r="P435" s="139">
        <v>8.3000000000000007</v>
      </c>
      <c r="Q435" s="139">
        <v>3</v>
      </c>
      <c r="R435" s="107" t="str">
        <f>IF(AllData[[#This Row],[Nitrate (PPM)]]&gt;2, "Very high", IF(AllData[[#This Row],[Nitrate (PPM)]]&gt;1, "High", IF(AllData[[#This Row],[Nitrate (PPM)]]&gt;0.5, "Some evidence", IF(AllData[[#This Row],[Nitrate (PPM)]]&gt;=0, "No evidence"))))</f>
        <v>Very high</v>
      </c>
      <c r="S435" s="139">
        <v>0.42</v>
      </c>
      <c r="T435" s="7" t="str">
        <f>IF(AllData[[#This Row],[Phosphate (PPM)]]&gt;0.5, "Very high", IF(AllData[[#This Row],[Phosphate (PPM)]]&gt;0.1, "High", IF(AllData[[#This Row],[Phosphate (PPM)]]&gt;0.05, "Some evidence", IF(AllData[[#This Row],[Phosphate (PPM)]]&lt;=0.05, "No Evidence", ""))))</f>
        <v>High</v>
      </c>
      <c r="U435" s="139">
        <v>1</v>
      </c>
      <c r="V435" s="139"/>
    </row>
    <row r="436" spans="1:22" x14ac:dyDescent="0.35">
      <c r="A436" s="139" t="s">
        <v>2877</v>
      </c>
      <c r="B436" s="146">
        <v>45674</v>
      </c>
      <c r="C436" s="2" t="str" cm="1">
        <f t="array" ref="C4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6">
        <v>2024</v>
      </c>
      <c r="E436" s="147">
        <v>0.66736111111111107</v>
      </c>
      <c r="F436" t="str">
        <f>IF(AND(AllData[[#This Row],[Time]]&lt;0.5, AllData[[#This Row],[Time]]&gt;0.17)=TRUE, "Morning", IF(AND(AllData[[#This Row],[Time]]&lt;0.75, AllData[[#This Row],[Time]]&gt;=0.5)=TRUE, "Afternoon", IF(AND(AllData[[#This Row],[Time]]&lt;1, AllData[[#This Row],[Time]]&gt;=0.75)=TRUE, "Evening", "Night")))</f>
        <v>Afternoon</v>
      </c>
      <c r="G436" t="str">
        <f>_xlfn.XLOOKUP(AllData[[#This Row],[Location Name]], Locations[Location Name],Locations[Group As])</f>
        <v>Preston-on-Stour River Bridge</v>
      </c>
      <c r="H436" t="e" vm="1">
        <f>_xlfn.XLOOKUP(AllData[[#This Row],[Site Name]],LocationsKey[Site Name],LocationsKey[District])</f>
        <v>#VALUE!</v>
      </c>
      <c r="I436" t="e" vm="20">
        <f>_xlfn.XLOOKUP(AllData[[#This Row],[Site Name]],LocationsKey[Site Name],LocationsKey[Town])</f>
        <v>#VALUE!</v>
      </c>
      <c r="J436" t="str">
        <f>_xlfn.XLOOKUP(AllData[[#This Row],[Site Name]],LocationsKey[Site Name], LocationsKey[Waterway])</f>
        <v>Stour</v>
      </c>
      <c r="K436" s="139" t="s">
        <v>164</v>
      </c>
      <c r="L436" s="139">
        <v>52.146481000000001</v>
      </c>
      <c r="M436" s="156">
        <v>-1.6998310000000001</v>
      </c>
      <c r="N436" s="139" t="s">
        <v>31</v>
      </c>
      <c r="O436" s="139">
        <v>659</v>
      </c>
      <c r="P436" s="139">
        <v>6.7</v>
      </c>
      <c r="Q436" s="139">
        <v>4</v>
      </c>
      <c r="R436" s="107" t="str">
        <f>IF(AllData[[#This Row],[Nitrate (PPM)]]&gt;2, "Very high", IF(AllData[[#This Row],[Nitrate (PPM)]]&gt;1, "High", IF(AllData[[#This Row],[Nitrate (PPM)]]&gt;0.5, "Some evidence", IF(AllData[[#This Row],[Nitrate (PPM)]]&gt;=0, "No evidence"))))</f>
        <v>Very high</v>
      </c>
      <c r="S436" s="139">
        <v>0.13</v>
      </c>
      <c r="T436" s="7" t="str">
        <f>IF(AllData[[#This Row],[Phosphate (PPM)]]&gt;0.5, "Very high", IF(AllData[[#This Row],[Phosphate (PPM)]]&gt;0.1, "High", IF(AllData[[#This Row],[Phosphate (PPM)]]&gt;0.05, "Some evidence", IF(AllData[[#This Row],[Phosphate (PPM)]]&lt;=0.05, "No Evidence", ""))))</f>
        <v>High</v>
      </c>
      <c r="U436" s="139">
        <v>1.5</v>
      </c>
      <c r="V436" s="139"/>
    </row>
    <row r="437" spans="1:22" x14ac:dyDescent="0.35">
      <c r="A437" s="139" t="s">
        <v>2874</v>
      </c>
      <c r="B437" s="146">
        <v>45674</v>
      </c>
      <c r="C437" s="2" t="str" cm="1">
        <f t="array" ref="C4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7">
        <v>2024</v>
      </c>
      <c r="E437" s="147">
        <v>0.66041666666666665</v>
      </c>
      <c r="F437" t="str">
        <f>IF(AND(AllData[[#This Row],[Time]]&lt;0.5, AllData[[#This Row],[Time]]&gt;0.17)=TRUE, "Morning", IF(AND(AllData[[#This Row],[Time]]&lt;0.75, AllData[[#This Row],[Time]]&gt;=0.5)=TRUE, "Afternoon", IF(AND(AllData[[#This Row],[Time]]&lt;1, AllData[[#This Row],[Time]]&gt;=0.75)=TRUE, "Evening", "Night")))</f>
        <v>Afternoon</v>
      </c>
      <c r="G437" t="str">
        <f>_xlfn.XLOOKUP(AllData[[#This Row],[Location Name]], Locations[Location Name],Locations[Group As])</f>
        <v>Stour Shipston Mill Bridge</v>
      </c>
      <c r="H437" t="e" vm="1">
        <f>_xlfn.XLOOKUP(AllData[[#This Row],[Site Name]],LocationsKey[Site Name],LocationsKey[District])</f>
        <v>#VALUE!</v>
      </c>
      <c r="I437" t="e" vm="15">
        <f>_xlfn.XLOOKUP(AllData[[#This Row],[Site Name]],LocationsKey[Site Name],LocationsKey[Town])</f>
        <v>#VALUE!</v>
      </c>
      <c r="J437" t="str">
        <f>_xlfn.XLOOKUP(AllData[[#This Row],[Site Name]],LocationsKey[Site Name], LocationsKey[Waterway])</f>
        <v>Stour</v>
      </c>
      <c r="K437" s="139" t="s">
        <v>2875</v>
      </c>
      <c r="L437" s="139">
        <v>52.062341000000004</v>
      </c>
      <c r="M437" s="156">
        <v>-1.622949</v>
      </c>
      <c r="N437" s="139" t="s">
        <v>25</v>
      </c>
      <c r="O437" s="139">
        <v>6.01</v>
      </c>
      <c r="P437" s="139">
        <v>8.5</v>
      </c>
      <c r="Q437" s="139">
        <v>4</v>
      </c>
      <c r="R437" s="107" t="str">
        <f>IF(AllData[[#This Row],[Nitrate (PPM)]]&gt;2, "Very high", IF(AllData[[#This Row],[Nitrate (PPM)]]&gt;1, "High", IF(AllData[[#This Row],[Nitrate (PPM)]]&gt;0.5, "Some evidence", IF(AllData[[#This Row],[Nitrate (PPM)]]&gt;=0, "No evidence"))))</f>
        <v>Very high</v>
      </c>
      <c r="S437" s="139">
        <v>0.18</v>
      </c>
      <c r="T437" s="7" t="str">
        <f>IF(AllData[[#This Row],[Phosphate (PPM)]]&gt;0.5, "Very high", IF(AllData[[#This Row],[Phosphate (PPM)]]&gt;0.1, "High", IF(AllData[[#This Row],[Phosphate (PPM)]]&gt;0.05, "Some evidence", IF(AllData[[#This Row],[Phosphate (PPM)]]&lt;=0.05, "No Evidence", ""))))</f>
        <v>High</v>
      </c>
      <c r="U437" s="139">
        <v>0.62</v>
      </c>
      <c r="V437" s="139" t="s">
        <v>703</v>
      </c>
    </row>
    <row r="438" spans="1:22" x14ac:dyDescent="0.35">
      <c r="A438" s="139" t="s">
        <v>2876</v>
      </c>
      <c r="B438" s="146">
        <v>45674</v>
      </c>
      <c r="C438" s="2" t="str" cm="1">
        <f t="array" ref="C4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8">
        <v>2024</v>
      </c>
      <c r="E438" s="147">
        <v>0.6645833333333333</v>
      </c>
      <c r="F438" t="str">
        <f>IF(AND(AllData[[#This Row],[Time]]&lt;0.5, AllData[[#This Row],[Time]]&gt;0.17)=TRUE, "Morning", IF(AND(AllData[[#This Row],[Time]]&lt;0.75, AllData[[#This Row],[Time]]&gt;=0.5)=TRUE, "Afternoon", IF(AND(AllData[[#This Row],[Time]]&lt;1, AllData[[#This Row],[Time]]&gt;=0.75)=TRUE, "Evening", "Night")))</f>
        <v>Afternoon</v>
      </c>
      <c r="G438" t="str">
        <f>_xlfn.XLOOKUP(AllData[[#This Row],[Location Name]], Locations[Location Name],Locations[Group As])</f>
        <v>Stour Shipston Mill Bridge</v>
      </c>
      <c r="H438" t="e" vm="1">
        <f>_xlfn.XLOOKUP(AllData[[#This Row],[Site Name]],LocationsKey[Site Name],LocationsKey[District])</f>
        <v>#VALUE!</v>
      </c>
      <c r="I438" t="e" vm="15">
        <f>_xlfn.XLOOKUP(AllData[[#This Row],[Site Name]],LocationsKey[Site Name],LocationsKey[Town])</f>
        <v>#VALUE!</v>
      </c>
      <c r="J438" t="str">
        <f>_xlfn.XLOOKUP(AllData[[#This Row],[Site Name]],LocationsKey[Site Name], LocationsKey[Waterway])</f>
        <v>Stour</v>
      </c>
      <c r="K438" s="139" t="s">
        <v>2006</v>
      </c>
      <c r="L438" s="139"/>
      <c r="M438" s="156"/>
      <c r="N438" s="139"/>
      <c r="O438" s="139">
        <v>6.01</v>
      </c>
      <c r="P438" s="139">
        <v>8.5</v>
      </c>
      <c r="Q438" s="139">
        <v>4</v>
      </c>
      <c r="R438" s="107" t="str">
        <f>IF(AllData[[#This Row],[Nitrate (PPM)]]&gt;2, "Very high", IF(AllData[[#This Row],[Nitrate (PPM)]]&gt;1, "High", IF(AllData[[#This Row],[Nitrate (PPM)]]&gt;0.5, "Some evidence", IF(AllData[[#This Row],[Nitrate (PPM)]]&gt;=0, "No evidence"))))</f>
        <v>Very high</v>
      </c>
      <c r="S438" s="139">
        <v>0.18</v>
      </c>
      <c r="T438" s="7" t="str">
        <f>IF(AllData[[#This Row],[Phosphate (PPM)]]&gt;0.5, "Very high", IF(AllData[[#This Row],[Phosphate (PPM)]]&gt;0.1, "High", IF(AllData[[#This Row],[Phosphate (PPM)]]&gt;0.05, "Some evidence", IF(AllData[[#This Row],[Phosphate (PPM)]]&lt;=0.05, "No Evidence", ""))))</f>
        <v>High</v>
      </c>
      <c r="U438" s="139">
        <v>0.62</v>
      </c>
      <c r="V438" s="139"/>
    </row>
    <row r="439" spans="1:22" x14ac:dyDescent="0.35">
      <c r="A439" s="139" t="s">
        <v>2868</v>
      </c>
      <c r="B439" s="146">
        <v>45673</v>
      </c>
      <c r="C439" s="2" t="str" cm="1">
        <f t="array" ref="C4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39">
        <v>2024</v>
      </c>
      <c r="E439" s="147">
        <v>0.46527777777777779</v>
      </c>
      <c r="F439" t="str">
        <f>IF(AND(AllData[[#This Row],[Time]]&lt;0.5, AllData[[#This Row],[Time]]&gt;0.17)=TRUE, "Morning", IF(AND(AllData[[#This Row],[Time]]&lt;0.75, AllData[[#This Row],[Time]]&gt;=0.5)=TRUE, "Afternoon", IF(AND(AllData[[#This Row],[Time]]&lt;1, AllData[[#This Row],[Time]]&gt;=0.75)=TRUE, "Evening", "Night")))</f>
        <v>Morning</v>
      </c>
      <c r="G439" t="str">
        <f>_xlfn.XLOOKUP(AllData[[#This Row],[Location Name]], Locations[Location Name],Locations[Group As])</f>
        <v>Alveston Weir</v>
      </c>
      <c r="H439" t="e" vm="1">
        <f>_xlfn.XLOOKUP(AllData[[#This Row],[Site Name]],LocationsKey[Site Name],LocationsKey[District])</f>
        <v>#VALUE!</v>
      </c>
      <c r="I439" t="e" vm="2">
        <f>_xlfn.XLOOKUP(AllData[[#This Row],[Site Name]],LocationsKey[Site Name],LocationsKey[Town])</f>
        <v>#VALUE!</v>
      </c>
      <c r="J439" t="str">
        <f>_xlfn.XLOOKUP(AllData[[#This Row],[Site Name]],LocationsKey[Site Name], LocationsKey[Waterway])</f>
        <v>Avon</v>
      </c>
      <c r="K439" s="139" t="s">
        <v>288</v>
      </c>
      <c r="L439" s="139">
        <v>52.212288999999998</v>
      </c>
      <c r="M439" s="156">
        <v>-1.660452</v>
      </c>
      <c r="N439" s="139" t="s">
        <v>31</v>
      </c>
      <c r="O439" s="139">
        <v>678</v>
      </c>
      <c r="P439" s="139">
        <v>8</v>
      </c>
      <c r="Q439" s="139">
        <v>5</v>
      </c>
      <c r="R439" s="107" t="str">
        <f>IF(AllData[[#This Row],[Nitrate (PPM)]]&gt;2, "Very high", IF(AllData[[#This Row],[Nitrate (PPM)]]&gt;1, "High", IF(AllData[[#This Row],[Nitrate (PPM)]]&gt;0.5, "Some evidence", IF(AllData[[#This Row],[Nitrate (PPM)]]&gt;=0, "No evidence"))))</f>
        <v>Very high</v>
      </c>
      <c r="S439" s="139">
        <v>0.52</v>
      </c>
      <c r="T439" s="7" t="str">
        <f>IF(AllData[[#This Row],[Phosphate (PPM)]]&gt;0.5, "Very high", IF(AllData[[#This Row],[Phosphate (PPM)]]&gt;0.1, "High", IF(AllData[[#This Row],[Phosphate (PPM)]]&gt;0.05, "Some evidence", IF(AllData[[#This Row],[Phosphate (PPM)]]&lt;=0.05, "No Evidence", ""))))</f>
        <v>Very high</v>
      </c>
      <c r="U439" s="139">
        <v>0</v>
      </c>
      <c r="V439" s="139" t="s">
        <v>2869</v>
      </c>
    </row>
    <row r="440" spans="1:22" x14ac:dyDescent="0.35">
      <c r="A440" s="139" t="s">
        <v>2870</v>
      </c>
      <c r="B440" s="146">
        <v>45673</v>
      </c>
      <c r="C440" s="2" t="str" cm="1">
        <f t="array" ref="C4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0">
        <v>2024</v>
      </c>
      <c r="E440" s="147">
        <v>0.48819444444444443</v>
      </c>
      <c r="F440" t="str">
        <f>IF(AND(AllData[[#This Row],[Time]]&lt;0.5, AllData[[#This Row],[Time]]&gt;0.17)=TRUE, "Morning", IF(AND(AllData[[#This Row],[Time]]&lt;0.75, AllData[[#This Row],[Time]]&gt;=0.5)=TRUE, "Afternoon", IF(AND(AllData[[#This Row],[Time]]&lt;1, AllData[[#This Row],[Time]]&gt;=0.75)=TRUE, "Evening", "Night")))</f>
        <v>Morning</v>
      </c>
      <c r="G440" t="str">
        <f>_xlfn.XLOOKUP(AllData[[#This Row],[Location Name]], Locations[Location Name],Locations[Group As])</f>
        <v>Swiffen Bank</v>
      </c>
      <c r="H440" t="e" vm="1">
        <f>_xlfn.XLOOKUP(AllData[[#This Row],[Site Name]],LocationsKey[Site Name],LocationsKey[District])</f>
        <v>#VALUE!</v>
      </c>
      <c r="I440" t="e" vm="2">
        <f>_xlfn.XLOOKUP(AllData[[#This Row],[Site Name]],LocationsKey[Site Name],LocationsKey[Town])</f>
        <v>#VALUE!</v>
      </c>
      <c r="J440" t="str">
        <f>_xlfn.XLOOKUP(AllData[[#This Row],[Site Name]],LocationsKey[Site Name], LocationsKey[Waterway])</f>
        <v>Avon</v>
      </c>
      <c r="K440" s="139" t="s">
        <v>286</v>
      </c>
      <c r="L440" s="139">
        <v>52.206477999999997</v>
      </c>
      <c r="M440" s="156">
        <v>-1.6548940000000001</v>
      </c>
      <c r="N440" s="139" t="s">
        <v>31</v>
      </c>
      <c r="O440" s="139">
        <v>674</v>
      </c>
      <c r="P440" s="139">
        <v>8.5</v>
      </c>
      <c r="Q440" s="139">
        <v>5</v>
      </c>
      <c r="R440" s="107" t="str">
        <f>IF(AllData[[#This Row],[Nitrate (PPM)]]&gt;2, "Very high", IF(AllData[[#This Row],[Nitrate (PPM)]]&gt;1, "High", IF(AllData[[#This Row],[Nitrate (PPM)]]&gt;0.5, "Some evidence", IF(AllData[[#This Row],[Nitrate (PPM)]]&gt;=0, "No evidence"))))</f>
        <v>Very high</v>
      </c>
      <c r="S440" s="139">
        <v>0.41</v>
      </c>
      <c r="T440" s="7" t="str">
        <f>IF(AllData[[#This Row],[Phosphate (PPM)]]&gt;0.5, "Very high", IF(AllData[[#This Row],[Phosphate (PPM)]]&gt;0.1, "High", IF(AllData[[#This Row],[Phosphate (PPM)]]&gt;0.05, "Some evidence", IF(AllData[[#This Row],[Phosphate (PPM)]]&lt;=0.05, "No Evidence", ""))))</f>
        <v>High</v>
      </c>
      <c r="U440" s="139">
        <v>0</v>
      </c>
      <c r="V440" s="139" t="s">
        <v>2871</v>
      </c>
    </row>
    <row r="441" spans="1:22" x14ac:dyDescent="0.35">
      <c r="A441" s="139" t="s">
        <v>2867</v>
      </c>
      <c r="B441" s="146">
        <v>45673</v>
      </c>
      <c r="C441" s="2" t="str" cm="1">
        <f t="array" ref="C4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1">
        <v>2024</v>
      </c>
      <c r="E441" s="147">
        <v>0.45833333333333331</v>
      </c>
      <c r="F441" t="str">
        <f>IF(AND(AllData[[#This Row],[Time]]&lt;0.5, AllData[[#This Row],[Time]]&gt;0.17)=TRUE, "Morning", IF(AND(AllData[[#This Row],[Time]]&lt;0.75, AllData[[#This Row],[Time]]&gt;=0.5)=TRUE, "Afternoon", IF(AND(AllData[[#This Row],[Time]]&lt;1, AllData[[#This Row],[Time]]&gt;=0.75)=TRUE, "Evening", "Night")))</f>
        <v>Morning</v>
      </c>
      <c r="G441" t="str">
        <f>_xlfn.XLOOKUP(AllData[[#This Row],[Location Name]], Locations[Location Name],Locations[Group As])</f>
        <v>Swilgate</v>
      </c>
      <c r="H441" t="e" vm="4">
        <f>_xlfn.XLOOKUP(AllData[[#This Row],[Site Name]],LocationsKey[Site Name],LocationsKey[District])</f>
        <v>#VALUE!</v>
      </c>
      <c r="I441" t="e" vm="4">
        <f>_xlfn.XLOOKUP(AllData[[#This Row],[Site Name]],LocationsKey[Site Name],LocationsKey[Town])</f>
        <v>#VALUE!</v>
      </c>
      <c r="J441" t="str">
        <f>_xlfn.XLOOKUP(AllData[[#This Row],[Site Name]],LocationsKey[Site Name], LocationsKey[Waterway])</f>
        <v>Swilgate</v>
      </c>
      <c r="K441" s="139" t="s">
        <v>415</v>
      </c>
      <c r="L441" s="139"/>
      <c r="M441" s="156"/>
      <c r="N441" s="139" t="s">
        <v>34</v>
      </c>
      <c r="O441" s="139">
        <v>958</v>
      </c>
      <c r="P441" s="139">
        <v>7.5</v>
      </c>
      <c r="Q441" s="139">
        <v>3</v>
      </c>
      <c r="R441" s="107" t="str">
        <f>IF(AllData[[#This Row],[Nitrate (PPM)]]&gt;2, "Very high", IF(AllData[[#This Row],[Nitrate (PPM)]]&gt;1, "High", IF(AllData[[#This Row],[Nitrate (PPM)]]&gt;0.5, "Some evidence", IF(AllData[[#This Row],[Nitrate (PPM)]]&gt;=0, "No evidence"))))</f>
        <v>Very high</v>
      </c>
      <c r="S441" s="139">
        <v>0.39</v>
      </c>
      <c r="T441" s="7" t="str">
        <f>IF(AllData[[#This Row],[Phosphate (PPM)]]&gt;0.5, "Very high", IF(AllData[[#This Row],[Phosphate (PPM)]]&gt;0.1, "High", IF(AllData[[#This Row],[Phosphate (PPM)]]&gt;0.05, "Some evidence", IF(AllData[[#This Row],[Phosphate (PPM)]]&lt;=0.05, "No Evidence", ""))))</f>
        <v>High</v>
      </c>
      <c r="U441" s="139">
        <v>0</v>
      </c>
      <c r="V441" s="139"/>
    </row>
    <row r="442" spans="1:22" x14ac:dyDescent="0.35">
      <c r="A442" s="139" t="s">
        <v>2872</v>
      </c>
      <c r="B442" s="146">
        <v>45673</v>
      </c>
      <c r="C442" s="2" t="str" cm="1">
        <f t="array" ref="C4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2">
        <v>2024</v>
      </c>
      <c r="E442" s="147">
        <v>0.57499999999999996</v>
      </c>
      <c r="F442" t="str">
        <f>IF(AND(AllData[[#This Row],[Time]]&lt;0.5, AllData[[#This Row],[Time]]&gt;0.17)=TRUE, "Morning", IF(AND(AllData[[#This Row],[Time]]&lt;0.75, AllData[[#This Row],[Time]]&gt;=0.5)=TRUE, "Afternoon", IF(AND(AllData[[#This Row],[Time]]&lt;1, AllData[[#This Row],[Time]]&gt;=0.75)=TRUE, "Evening", "Night")))</f>
        <v>Afternoon</v>
      </c>
      <c r="G442" t="str">
        <f>_xlfn.XLOOKUP(AllData[[#This Row],[Location Name]], Locations[Location Name],Locations[Group As])</f>
        <v>Carrant Mitton Path</v>
      </c>
      <c r="H442" t="e" vm="4">
        <f>_xlfn.XLOOKUP(AllData[[#This Row],[Site Name]],LocationsKey[Site Name],LocationsKey[District])</f>
        <v>#VALUE!</v>
      </c>
      <c r="I442" t="e" vm="4">
        <f>_xlfn.XLOOKUP(AllData[[#This Row],[Site Name]],LocationsKey[Site Name],LocationsKey[Town])</f>
        <v>#VALUE!</v>
      </c>
      <c r="J442" t="str">
        <f>_xlfn.XLOOKUP(AllData[[#This Row],[Site Name]],LocationsKey[Site Name], LocationsKey[Waterway])</f>
        <v>Carrant</v>
      </c>
      <c r="K442" s="139" t="s">
        <v>1064</v>
      </c>
      <c r="L442" s="139">
        <v>51.999654</v>
      </c>
      <c r="M442" s="156">
        <v>-2.1412230000000001</v>
      </c>
      <c r="N442" s="139" t="s">
        <v>31</v>
      </c>
      <c r="O442" s="139">
        <v>7430</v>
      </c>
      <c r="P442" s="139">
        <v>8.1</v>
      </c>
      <c r="Q442" s="139">
        <v>2</v>
      </c>
      <c r="R442" s="107" t="str">
        <f>IF(AllData[[#This Row],[Nitrate (PPM)]]&gt;2, "Very high", IF(AllData[[#This Row],[Nitrate (PPM)]]&gt;1, "High", IF(AllData[[#This Row],[Nitrate (PPM)]]&gt;0.5, "Some evidence", IF(AllData[[#This Row],[Nitrate (PPM)]]&gt;=0, "No evidence"))))</f>
        <v>High</v>
      </c>
      <c r="S442" s="139">
        <v>0.37</v>
      </c>
      <c r="T442" s="7" t="str">
        <f>IF(AllData[[#This Row],[Phosphate (PPM)]]&gt;0.5, "Very high", IF(AllData[[#This Row],[Phosphate (PPM)]]&gt;0.1, "High", IF(AllData[[#This Row],[Phosphate (PPM)]]&gt;0.05, "Some evidence", IF(AllData[[#This Row],[Phosphate (PPM)]]&lt;=0.05, "No Evidence", ""))))</f>
        <v>High</v>
      </c>
      <c r="U442" s="139">
        <v>0</v>
      </c>
      <c r="V442" s="139" t="s">
        <v>2873</v>
      </c>
    </row>
    <row r="443" spans="1:22" x14ac:dyDescent="0.35">
      <c r="A443" s="139" t="s">
        <v>2866</v>
      </c>
      <c r="B443" s="146">
        <v>45672</v>
      </c>
      <c r="C443" s="2" t="str" cm="1">
        <f t="array" ref="C4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3">
        <v>2024</v>
      </c>
      <c r="E443" s="147">
        <v>0.5</v>
      </c>
      <c r="F443" t="str">
        <f>IF(AND(AllData[[#This Row],[Time]]&lt;0.5, AllData[[#This Row],[Time]]&gt;0.17)=TRUE, "Morning", IF(AND(AllData[[#This Row],[Time]]&lt;0.75, AllData[[#This Row],[Time]]&gt;=0.5)=TRUE, "Afternoon", IF(AND(AllData[[#This Row],[Time]]&lt;1, AllData[[#This Row],[Time]]&gt;=0.75)=TRUE, "Evening", "Night")))</f>
        <v>Afternoon</v>
      </c>
      <c r="G443" t="str">
        <f>_xlfn.XLOOKUP(AllData[[#This Row],[Location Name]], Locations[Location Name],Locations[Group As])</f>
        <v>SSC Bredons Norton</v>
      </c>
      <c r="H443" t="e" vm="6">
        <f>_xlfn.XLOOKUP(AllData[[#This Row],[Site Name]],LocationsKey[Site Name],LocationsKey[District])</f>
        <v>#VALUE!</v>
      </c>
      <c r="I443" t="str">
        <f>_xlfn.XLOOKUP(AllData[[#This Row],[Site Name]],LocationsKey[Site Name],LocationsKey[Town])</f>
        <v>Bredon's Norton</v>
      </c>
      <c r="J443" t="str">
        <f>_xlfn.XLOOKUP(AllData[[#This Row],[Site Name]],LocationsKey[Site Name], LocationsKey[Waterway])</f>
        <v>Avon</v>
      </c>
      <c r="K443" s="139" t="s">
        <v>2121</v>
      </c>
      <c r="L443" s="139">
        <v>52.050809000000001</v>
      </c>
      <c r="M443" s="156">
        <v>-2.1170429999999998</v>
      </c>
      <c r="N443" s="139" t="s">
        <v>25</v>
      </c>
      <c r="O443" s="139">
        <v>750</v>
      </c>
      <c r="P443" s="139">
        <v>7.4</v>
      </c>
      <c r="Q443" s="139">
        <v>5</v>
      </c>
      <c r="R443" s="107" t="str">
        <f>IF(AllData[[#This Row],[Nitrate (PPM)]]&gt;2, "Very high", IF(AllData[[#This Row],[Nitrate (PPM)]]&gt;1, "High", IF(AllData[[#This Row],[Nitrate (PPM)]]&gt;0.5, "Some evidence", IF(AllData[[#This Row],[Nitrate (PPM)]]&gt;=0, "No evidence"))))</f>
        <v>Very high</v>
      </c>
      <c r="S443" s="139">
        <v>0.22</v>
      </c>
      <c r="T443" s="7" t="str">
        <f>IF(AllData[[#This Row],[Phosphate (PPM)]]&gt;0.5, "Very high", IF(AllData[[#This Row],[Phosphate (PPM)]]&gt;0.1, "High", IF(AllData[[#This Row],[Phosphate (PPM)]]&gt;0.05, "Some evidence", IF(AllData[[#This Row],[Phosphate (PPM)]]&lt;=0.05, "No Evidence", ""))))</f>
        <v>High</v>
      </c>
      <c r="U443" s="139">
        <v>1</v>
      </c>
      <c r="V443" s="139"/>
    </row>
    <row r="444" spans="1:22" x14ac:dyDescent="0.35">
      <c r="A444" s="139" t="s">
        <v>2859</v>
      </c>
      <c r="B444" s="146">
        <v>45671</v>
      </c>
      <c r="C444" s="2" t="str" cm="1">
        <f t="array" ref="C4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4">
        <v>2024</v>
      </c>
      <c r="E444" s="147">
        <v>0.43055555555555558</v>
      </c>
      <c r="F444" t="str">
        <f>IF(AND(AllData[[#This Row],[Time]]&lt;0.5, AllData[[#This Row],[Time]]&gt;0.17)=TRUE, "Morning", IF(AND(AllData[[#This Row],[Time]]&lt;0.75, AllData[[#This Row],[Time]]&gt;=0.5)=TRUE, "Afternoon", IF(AND(AllData[[#This Row],[Time]]&lt;1, AllData[[#This Row],[Time]]&gt;=0.75)=TRUE, "Evening", "Night")))</f>
        <v>Morning</v>
      </c>
      <c r="G444" t="str">
        <f>_xlfn.XLOOKUP(AllData[[#This Row],[Location Name]], Locations[Location Name],Locations[Group As])</f>
        <v>Carters Lane</v>
      </c>
      <c r="H444" t="e" vm="1">
        <f>_xlfn.XLOOKUP(AllData[[#This Row],[Site Name]],LocationsKey[Site Name],LocationsKey[District])</f>
        <v>#VALUE!</v>
      </c>
      <c r="I444" t="e" vm="3">
        <f>_xlfn.XLOOKUP(AllData[[#This Row],[Site Name]],LocationsKey[Site Name],LocationsKey[Town])</f>
        <v>#VALUE!</v>
      </c>
      <c r="J444" t="str">
        <f>_xlfn.XLOOKUP(AllData[[#This Row],[Site Name]],LocationsKey[Site Name], LocationsKey[Waterway])</f>
        <v>Avon</v>
      </c>
      <c r="K444" s="139" t="s">
        <v>2520</v>
      </c>
      <c r="L444" s="139">
        <v>52.202480000000001</v>
      </c>
      <c r="M444" s="156">
        <v>-1.678714</v>
      </c>
      <c r="N444" s="139" t="s">
        <v>68</v>
      </c>
      <c r="O444" s="139">
        <v>839</v>
      </c>
      <c r="P444" s="139">
        <v>5.7</v>
      </c>
      <c r="Q444" s="139">
        <v>10</v>
      </c>
      <c r="R444" s="107" t="str">
        <f>IF(AllData[[#This Row],[Nitrate (PPM)]]&gt;2, "Very high", IF(AllData[[#This Row],[Nitrate (PPM)]]&gt;1, "High", IF(AllData[[#This Row],[Nitrate (PPM)]]&gt;0.5, "Some evidence", IF(AllData[[#This Row],[Nitrate (PPM)]]&gt;=0, "No evidence"))))</f>
        <v>Very high</v>
      </c>
      <c r="S444" s="139">
        <v>0.44</v>
      </c>
      <c r="T444" s="7" t="str">
        <f>IF(AllData[[#This Row],[Phosphate (PPM)]]&gt;0.5, "Very high", IF(AllData[[#This Row],[Phosphate (PPM)]]&gt;0.1, "High", IF(AllData[[#This Row],[Phosphate (PPM)]]&gt;0.05, "Some evidence", IF(AllData[[#This Row],[Phosphate (PPM)]]&lt;=0.05, "No Evidence", ""))))</f>
        <v>High</v>
      </c>
      <c r="U444" s="139">
        <v>0.79</v>
      </c>
      <c r="V444" s="139"/>
    </row>
    <row r="445" spans="1:22" x14ac:dyDescent="0.35">
      <c r="A445" s="139" t="s">
        <v>2858</v>
      </c>
      <c r="B445" s="146">
        <v>45671</v>
      </c>
      <c r="C445" s="2" t="str" cm="1">
        <f t="array" ref="C4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5">
        <v>2024</v>
      </c>
      <c r="E445" s="147">
        <v>0.42430555555555555</v>
      </c>
      <c r="F445" t="str">
        <f>IF(AND(AllData[[#This Row],[Time]]&lt;0.5, AllData[[#This Row],[Time]]&gt;0.17)=TRUE, "Morning", IF(AND(AllData[[#This Row],[Time]]&lt;0.75, AllData[[#This Row],[Time]]&gt;=0.5)=TRUE, "Afternoon", IF(AND(AllData[[#This Row],[Time]]&lt;1, AllData[[#This Row],[Time]]&gt;=0.75)=TRUE, "Evening", "Night")))</f>
        <v>Morning</v>
      </c>
      <c r="G445" t="str">
        <f>_xlfn.XLOOKUP(AllData[[#This Row],[Location Name]], Locations[Location Name],Locations[Group As])</f>
        <v>School Lane</v>
      </c>
      <c r="H445" t="e" vm="1">
        <f>_xlfn.XLOOKUP(AllData[[#This Row],[Site Name]],LocationsKey[Site Name],LocationsKey[District])</f>
        <v>#VALUE!</v>
      </c>
      <c r="I445" t="e" vm="3">
        <f>_xlfn.XLOOKUP(AllData[[#This Row],[Site Name]],LocationsKey[Site Name],LocationsKey[Town])</f>
        <v>#VALUE!</v>
      </c>
      <c r="J445" t="str">
        <f>_xlfn.XLOOKUP(AllData[[#This Row],[Site Name]],LocationsKey[Site Name], LocationsKey[Waterway])</f>
        <v>Avon</v>
      </c>
      <c r="K445" s="139" t="s">
        <v>2212</v>
      </c>
      <c r="L445" s="139">
        <v>52.202274000000003</v>
      </c>
      <c r="M445" s="156">
        <v>-1.679057</v>
      </c>
      <c r="N445" s="139" t="s">
        <v>31</v>
      </c>
      <c r="O445" s="139">
        <v>836</v>
      </c>
      <c r="P445" s="139">
        <v>5.8</v>
      </c>
      <c r="Q445" s="139">
        <v>10</v>
      </c>
      <c r="R445" s="107" t="str">
        <f>IF(AllData[[#This Row],[Nitrate (PPM)]]&gt;2, "Very high", IF(AllData[[#This Row],[Nitrate (PPM)]]&gt;1, "High", IF(AllData[[#This Row],[Nitrate (PPM)]]&gt;0.5, "Some evidence", IF(AllData[[#This Row],[Nitrate (PPM)]]&gt;=0, "No evidence"))))</f>
        <v>Very high</v>
      </c>
      <c r="S445" s="139">
        <v>0.54</v>
      </c>
      <c r="T445" s="7" t="str">
        <f>IF(AllData[[#This Row],[Phosphate (PPM)]]&gt;0.5, "Very high", IF(AllData[[#This Row],[Phosphate (PPM)]]&gt;0.1, "High", IF(AllData[[#This Row],[Phosphate (PPM)]]&gt;0.05, "Some evidence", IF(AllData[[#This Row],[Phosphate (PPM)]]&lt;=0.05, "No Evidence", ""))))</f>
        <v>Very high</v>
      </c>
      <c r="U445" s="139">
        <v>0.79</v>
      </c>
      <c r="V445" s="139"/>
    </row>
    <row r="446" spans="1:22" x14ac:dyDescent="0.35">
      <c r="A446" s="139" t="s">
        <v>2860</v>
      </c>
      <c r="B446" s="146">
        <v>45671</v>
      </c>
      <c r="C446" s="2" t="str" cm="1">
        <f t="array" ref="C4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6">
        <v>2024</v>
      </c>
      <c r="E446" s="147">
        <v>0.56041666666666667</v>
      </c>
      <c r="F446" t="str">
        <f>IF(AND(AllData[[#This Row],[Time]]&lt;0.5, AllData[[#This Row],[Time]]&gt;0.17)=TRUE, "Morning", IF(AND(AllData[[#This Row],[Time]]&lt;0.75, AllData[[#This Row],[Time]]&gt;=0.5)=TRUE, "Afternoon", IF(AND(AllData[[#This Row],[Time]]&lt;1, AllData[[#This Row],[Time]]&gt;=0.75)=TRUE, "Evening", "Night")))</f>
        <v>Afternoon</v>
      </c>
      <c r="G446" t="str">
        <f>_xlfn.XLOOKUP(AllData[[#This Row],[Location Name]], Locations[Location Name],Locations[Group As])</f>
        <v>Walcot Lane, Bow Brook Ford</v>
      </c>
      <c r="H446" t="e" vm="6">
        <f>_xlfn.XLOOKUP(AllData[[#This Row],[Site Name]],LocationsKey[Site Name],LocationsKey[District])</f>
        <v>#VALUE!</v>
      </c>
      <c r="I446" t="e" vm="7">
        <f>_xlfn.XLOOKUP(AllData[[#This Row],[Site Name]],LocationsKey[Site Name],LocationsKey[Town])</f>
        <v>#VALUE!</v>
      </c>
      <c r="J446" t="str">
        <f>_xlfn.XLOOKUP(AllData[[#This Row],[Site Name]],LocationsKey[Site Name], LocationsKey[Waterway])</f>
        <v>Bow Brook</v>
      </c>
      <c r="K446" s="139" t="s">
        <v>775</v>
      </c>
      <c r="L446" s="139">
        <v>52.130333999999998</v>
      </c>
      <c r="M446" s="156">
        <v>-2.0785999999999998</v>
      </c>
      <c r="N446" s="139" t="s">
        <v>798</v>
      </c>
      <c r="O446" s="139">
        <v>998</v>
      </c>
      <c r="P446" s="139">
        <v>7.6</v>
      </c>
      <c r="Q446" s="139">
        <v>5</v>
      </c>
      <c r="R446" s="107" t="str">
        <f>IF(AllData[[#This Row],[Nitrate (PPM)]]&gt;2, "Very high", IF(AllData[[#This Row],[Nitrate (PPM)]]&gt;1, "High", IF(AllData[[#This Row],[Nitrate (PPM)]]&gt;0.5, "Some evidence", IF(AllData[[#This Row],[Nitrate (PPM)]]&gt;=0, "No evidence"))))</f>
        <v>Very high</v>
      </c>
      <c r="S446" s="139">
        <v>0.52</v>
      </c>
      <c r="T446" s="7" t="str">
        <f>IF(AllData[[#This Row],[Phosphate (PPM)]]&gt;0.5, "Very high", IF(AllData[[#This Row],[Phosphate (PPM)]]&gt;0.1, "High", IF(AllData[[#This Row],[Phosphate (PPM)]]&gt;0.05, "Some evidence", IF(AllData[[#This Row],[Phosphate (PPM)]]&lt;=0.05, "No Evidence", ""))))</f>
        <v>Very high</v>
      </c>
      <c r="U446" s="139">
        <v>1.5</v>
      </c>
      <c r="V446" s="139" t="s">
        <v>2861</v>
      </c>
    </row>
    <row r="447" spans="1:22" x14ac:dyDescent="0.35">
      <c r="A447" s="139" t="s">
        <v>2857</v>
      </c>
      <c r="B447" s="146">
        <v>45671</v>
      </c>
      <c r="C447" s="2" t="str" cm="1">
        <f t="array" ref="C4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7">
        <v>2024</v>
      </c>
      <c r="E447" s="147">
        <v>0.39652777777777776</v>
      </c>
      <c r="F447" t="str">
        <f>IF(AND(AllData[[#This Row],[Time]]&lt;0.5, AllData[[#This Row],[Time]]&gt;0.17)=TRUE, "Morning", IF(AND(AllData[[#This Row],[Time]]&lt;0.75, AllData[[#This Row],[Time]]&gt;=0.5)=TRUE, "Afternoon", IF(AND(AllData[[#This Row],[Time]]&lt;1, AllData[[#This Row],[Time]]&gt;=0.75)=TRUE, "Evening", "Night")))</f>
        <v>Morning</v>
      </c>
      <c r="G447" t="str">
        <f>_xlfn.XLOOKUP(AllData[[#This Row],[Location Name]], Locations[Location Name],Locations[Group As])</f>
        <v>Twyning Fleet</v>
      </c>
      <c r="H447" t="e" vm="4">
        <f>_xlfn.XLOOKUP(AllData[[#This Row],[Site Name]],LocationsKey[Site Name],LocationsKey[District])</f>
        <v>#VALUE!</v>
      </c>
      <c r="I447" t="str">
        <f>_xlfn.XLOOKUP(AllData[[#This Row],[Site Name]],LocationsKey[Site Name],LocationsKey[Town])</f>
        <v>Twyning Green</v>
      </c>
      <c r="J447" t="str">
        <f>_xlfn.XLOOKUP(AllData[[#This Row],[Site Name]],LocationsKey[Site Name], LocationsKey[Waterway])</f>
        <v>Avon</v>
      </c>
      <c r="K447" s="139" t="s">
        <v>2117</v>
      </c>
      <c r="L447" s="139">
        <v>52.027264000000002</v>
      </c>
      <c r="M447" s="156">
        <v>-2.1412949999999999</v>
      </c>
      <c r="N447" s="139"/>
      <c r="O447" s="139">
        <v>730</v>
      </c>
      <c r="P447" s="139">
        <v>5.3</v>
      </c>
      <c r="Q447" s="139">
        <v>5</v>
      </c>
      <c r="R447" s="107" t="str">
        <f>IF(AllData[[#This Row],[Nitrate (PPM)]]&gt;2, "Very high", IF(AllData[[#This Row],[Nitrate (PPM)]]&gt;1, "High", IF(AllData[[#This Row],[Nitrate (PPM)]]&gt;0.5, "Some evidence", IF(AllData[[#This Row],[Nitrate (PPM)]]&gt;=0, "No evidence"))))</f>
        <v>Very high</v>
      </c>
      <c r="S447" s="139">
        <v>0.43</v>
      </c>
      <c r="T447" s="7" t="str">
        <f>IF(AllData[[#This Row],[Phosphate (PPM)]]&gt;0.5, "Very high", IF(AllData[[#This Row],[Phosphate (PPM)]]&gt;0.1, "High", IF(AllData[[#This Row],[Phosphate (PPM)]]&gt;0.05, "Some evidence", IF(AllData[[#This Row],[Phosphate (PPM)]]&lt;=0.05, "No Evidence", ""))))</f>
        <v>High</v>
      </c>
      <c r="U447" s="139">
        <v>0</v>
      </c>
      <c r="V447" s="139"/>
    </row>
    <row r="448" spans="1:22" x14ac:dyDescent="0.35">
      <c r="A448" s="140" t="s">
        <v>2865</v>
      </c>
      <c r="B448" s="146">
        <v>45671</v>
      </c>
      <c r="C448" s="2" t="str" cm="1">
        <f t="array" ref="C4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8">
        <v>2024</v>
      </c>
      <c r="E448" s="147">
        <v>0.63541666666666663</v>
      </c>
      <c r="F448" t="str">
        <f>IF(AND(AllData[[#This Row],[Time]]&lt;0.5, AllData[[#This Row],[Time]]&gt;0.17)=TRUE, "Morning", IF(AND(AllData[[#This Row],[Time]]&lt;0.75, AllData[[#This Row],[Time]]&gt;=0.5)=TRUE, "Afternoon", IF(AND(AllData[[#This Row],[Time]]&lt;1, AllData[[#This Row],[Time]]&gt;=0.75)=TRUE, "Evening", "Night")))</f>
        <v>Afternoon</v>
      </c>
      <c r="G448" t="str">
        <f>_xlfn.XLOOKUP(AllData[[#This Row],[Location Name]], Locations[Location Name],Locations[Group As])</f>
        <v>New Barn Farm Brailes</v>
      </c>
      <c r="H448" t="e" vm="1">
        <f>_xlfn.XLOOKUP(AllData[[#This Row],[Site Name]],LocationsKey[Site Name],LocationsKey[District])</f>
        <v>#VALUE!</v>
      </c>
      <c r="I448" t="e" vm="5">
        <f>_xlfn.XLOOKUP(AllData[[#This Row],[Site Name]],LocationsKey[Site Name],LocationsKey[Town])</f>
        <v>#VALUE!</v>
      </c>
      <c r="J448" t="str">
        <f>_xlfn.XLOOKUP(AllData[[#This Row],[Site Name]],LocationsKey[Site Name], LocationsKey[Waterway])</f>
        <v>Sutton Brook</v>
      </c>
      <c r="K448" s="139" t="s">
        <v>2813</v>
      </c>
      <c r="L448" s="139">
        <v>52.044091999999999</v>
      </c>
      <c r="M448" s="156">
        <v>-1.5489729999999999</v>
      </c>
      <c r="N448" s="139" t="s">
        <v>31</v>
      </c>
      <c r="O448" s="139">
        <v>594</v>
      </c>
      <c r="P448" s="139">
        <v>7.5</v>
      </c>
      <c r="Q448" s="139">
        <v>4</v>
      </c>
      <c r="R448" s="107" t="str">
        <f>IF(AllData[[#This Row],[Nitrate (PPM)]]&gt;2, "Very high", IF(AllData[[#This Row],[Nitrate (PPM)]]&gt;1, "High", IF(AllData[[#This Row],[Nitrate (PPM)]]&gt;0.5, "Some evidence", IF(AllData[[#This Row],[Nitrate (PPM)]]&gt;=0, "No evidence"))))</f>
        <v>Very high</v>
      </c>
      <c r="S448" s="139">
        <v>0.28000000000000003</v>
      </c>
      <c r="T448" s="7" t="str">
        <f>IF(AllData[[#This Row],[Phosphate (PPM)]]&gt;0.5, "Very high", IF(AllData[[#This Row],[Phosphate (PPM)]]&gt;0.1, "High", IF(AllData[[#This Row],[Phosphate (PPM)]]&gt;0.05, "Some evidence", IF(AllData[[#This Row],[Phosphate (PPM)]]&lt;=0.05, "No Evidence", ""))))</f>
        <v>High</v>
      </c>
      <c r="U448" s="139">
        <v>0.05</v>
      </c>
      <c r="V448" s="139"/>
    </row>
    <row r="449" spans="1:22" x14ac:dyDescent="0.35">
      <c r="A449" s="139" t="s">
        <v>2863</v>
      </c>
      <c r="B449" s="146">
        <v>45671</v>
      </c>
      <c r="C449" s="2" t="str" cm="1">
        <f t="array" ref="C4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49">
        <v>2024</v>
      </c>
      <c r="E449" s="147">
        <v>0.62847222222222221</v>
      </c>
      <c r="F449" t="str">
        <f>IF(AND(AllData[[#This Row],[Time]]&lt;0.5, AllData[[#This Row],[Time]]&gt;0.17)=TRUE, "Morning", IF(AND(AllData[[#This Row],[Time]]&lt;0.75, AllData[[#This Row],[Time]]&gt;=0.5)=TRUE, "Afternoon", IF(AND(AllData[[#This Row],[Time]]&lt;1, AllData[[#This Row],[Time]]&gt;=0.75)=TRUE, "Evening", "Night")))</f>
        <v>Afternoon</v>
      </c>
      <c r="G449" t="str">
        <f>_xlfn.XLOOKUP(AllData[[#This Row],[Location Name]], Locations[Location Name],Locations[Group As])</f>
        <v>High Street Brailes</v>
      </c>
      <c r="H449" t="e" vm="1">
        <f>_xlfn.XLOOKUP(AllData[[#This Row],[Site Name]],LocationsKey[Site Name],LocationsKey[District])</f>
        <v>#VALUE!</v>
      </c>
      <c r="I449" t="e" vm="5">
        <f>_xlfn.XLOOKUP(AllData[[#This Row],[Site Name]],LocationsKey[Site Name],LocationsKey[Town])</f>
        <v>#VALUE!</v>
      </c>
      <c r="J449" t="str">
        <f>_xlfn.XLOOKUP(AllData[[#This Row],[Site Name]],LocationsKey[Site Name], LocationsKey[Waterway])</f>
        <v>Sutton Brook</v>
      </c>
      <c r="K449" s="139" t="s">
        <v>2864</v>
      </c>
      <c r="L449" s="139">
        <v>52.050502999999999</v>
      </c>
      <c r="M449" s="156">
        <v>-1.5459510000000001</v>
      </c>
      <c r="N449" s="139" t="s">
        <v>68</v>
      </c>
      <c r="O449" s="139">
        <v>579</v>
      </c>
      <c r="P449" s="139">
        <v>8.1</v>
      </c>
      <c r="Q449" s="139">
        <v>4</v>
      </c>
      <c r="R449" s="107" t="str">
        <f>IF(AllData[[#This Row],[Nitrate (PPM)]]&gt;2, "Very high", IF(AllData[[#This Row],[Nitrate (PPM)]]&gt;1, "High", IF(AllData[[#This Row],[Nitrate (PPM)]]&gt;0.5, "Some evidence", IF(AllData[[#This Row],[Nitrate (PPM)]]&gt;=0, "No evidence"))))</f>
        <v>Very high</v>
      </c>
      <c r="S449" s="139">
        <v>0.23</v>
      </c>
      <c r="T449" s="7" t="str">
        <f>IF(AllData[[#This Row],[Phosphate (PPM)]]&gt;0.5, "Very high", IF(AllData[[#This Row],[Phosphate (PPM)]]&gt;0.1, "High", IF(AllData[[#This Row],[Phosphate (PPM)]]&gt;0.05, "Some evidence", IF(AllData[[#This Row],[Phosphate (PPM)]]&lt;=0.05, "No Evidence", ""))))</f>
        <v>High</v>
      </c>
      <c r="U449" s="139">
        <v>0.3</v>
      </c>
      <c r="V449" s="139"/>
    </row>
    <row r="450" spans="1:22" x14ac:dyDescent="0.35">
      <c r="A450" s="139" t="s">
        <v>2862</v>
      </c>
      <c r="B450" s="146">
        <v>45671</v>
      </c>
      <c r="C450" s="2" t="str" cm="1">
        <f t="array" ref="C4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0">
        <v>2024</v>
      </c>
      <c r="E450" s="147">
        <v>0.60416666666666663</v>
      </c>
      <c r="F450" t="str">
        <f>IF(AND(AllData[[#This Row],[Time]]&lt;0.5, AllData[[#This Row],[Time]]&gt;0.17)=TRUE, "Morning", IF(AND(AllData[[#This Row],[Time]]&lt;0.75, AllData[[#This Row],[Time]]&gt;=0.5)=TRUE, "Afternoon", IF(AND(AllData[[#This Row],[Time]]&lt;1, AllData[[#This Row],[Time]]&gt;=0.75)=TRUE, "Evening", "Night")))</f>
        <v>Afternoon</v>
      </c>
      <c r="G450" t="str">
        <f>_xlfn.XLOOKUP(AllData[[#This Row],[Location Name]], Locations[Location Name],Locations[Group As])</f>
        <v>Fell Mill Footbridge</v>
      </c>
      <c r="H450" t="e" vm="1">
        <f>_xlfn.XLOOKUP(AllData[[#This Row],[Site Name]],LocationsKey[Site Name],LocationsKey[District])</f>
        <v>#VALUE!</v>
      </c>
      <c r="I450" t="e" vm="15">
        <f>_xlfn.XLOOKUP(AllData[[#This Row],[Site Name]],LocationsKey[Site Name],LocationsKey[Town])</f>
        <v>#VALUE!</v>
      </c>
      <c r="J450" t="str">
        <f>_xlfn.XLOOKUP(AllData[[#This Row],[Site Name]],LocationsKey[Site Name], LocationsKey[Waterway])</f>
        <v>Stour</v>
      </c>
      <c r="K450" s="139" t="s">
        <v>1968</v>
      </c>
      <c r="L450" s="139">
        <v>52.070086000000003</v>
      </c>
      <c r="M450" s="156">
        <v>-1.61145</v>
      </c>
      <c r="N450" s="139" t="s">
        <v>31</v>
      </c>
      <c r="O450" s="139">
        <v>568</v>
      </c>
      <c r="P450" s="139">
        <v>8.8000000000000007</v>
      </c>
      <c r="Q450" s="139">
        <v>2</v>
      </c>
      <c r="R450" s="107" t="str">
        <f>IF(AllData[[#This Row],[Nitrate (PPM)]]&gt;2, "Very high", IF(AllData[[#This Row],[Nitrate (PPM)]]&gt;1, "High", IF(AllData[[#This Row],[Nitrate (PPM)]]&gt;0.5, "Some evidence", IF(AllData[[#This Row],[Nitrate (PPM)]]&gt;=0, "No evidence"))))</f>
        <v>High</v>
      </c>
      <c r="S450" s="139">
        <v>0.53</v>
      </c>
      <c r="T450" s="7" t="str">
        <f>IF(AllData[[#This Row],[Phosphate (PPM)]]&gt;0.5, "Very high", IF(AllData[[#This Row],[Phosphate (PPM)]]&gt;0.1, "High", IF(AllData[[#This Row],[Phosphate (PPM)]]&gt;0.05, "Some evidence", IF(AllData[[#This Row],[Phosphate (PPM)]]&lt;=0.05, "No Evidence", ""))))</f>
        <v>Very high</v>
      </c>
      <c r="U450" s="139">
        <v>1.87</v>
      </c>
      <c r="V450" s="139"/>
    </row>
    <row r="451" spans="1:22" x14ac:dyDescent="0.35">
      <c r="A451" s="139" t="s">
        <v>2851</v>
      </c>
      <c r="B451" s="146">
        <v>45670</v>
      </c>
      <c r="C451" s="2" t="str" cm="1">
        <f t="array" ref="C4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1">
        <v>2024</v>
      </c>
      <c r="E451" s="147">
        <v>0.35069444444444442</v>
      </c>
      <c r="F451" t="str">
        <f>IF(AND(AllData[[#This Row],[Time]]&lt;0.5, AllData[[#This Row],[Time]]&gt;0.17)=TRUE, "Morning", IF(AND(AllData[[#This Row],[Time]]&lt;0.75, AllData[[#This Row],[Time]]&gt;=0.5)=TRUE, "Afternoon", IF(AND(AllData[[#This Row],[Time]]&lt;1, AllData[[#This Row],[Time]]&gt;=0.75)=TRUE, "Evening", "Night")))</f>
        <v>Morning</v>
      </c>
      <c r="G451" t="str">
        <f>_xlfn.XLOOKUP(AllData[[#This Row],[Location Name]], Locations[Location Name],Locations[Group As])</f>
        <v>Chipping Campden Sewage Works</v>
      </c>
      <c r="H451" t="e" vm="9">
        <f>_xlfn.XLOOKUP(AllData[[#This Row],[Site Name]],LocationsKey[Site Name],LocationsKey[District])</f>
        <v>#VALUE!</v>
      </c>
      <c r="I451" t="e" vm="10">
        <f>_xlfn.XLOOKUP(AllData[[#This Row],[Site Name]],LocationsKey[Site Name],LocationsKey[Town])</f>
        <v>#VALUE!</v>
      </c>
      <c r="J451" t="str">
        <f>_xlfn.XLOOKUP(AllData[[#This Row],[Site Name]],LocationsKey[Site Name], LocationsKey[Waterway])</f>
        <v>Cam Brook</v>
      </c>
      <c r="K451" s="139" t="s">
        <v>1570</v>
      </c>
      <c r="L451" s="139"/>
      <c r="M451" s="156"/>
      <c r="N451" s="139" t="s">
        <v>31</v>
      </c>
      <c r="O451" s="139">
        <v>610</v>
      </c>
      <c r="P451" s="139">
        <v>7.3</v>
      </c>
      <c r="Q451" s="139">
        <v>5</v>
      </c>
      <c r="R451" s="107" t="str">
        <f>IF(AllData[[#This Row],[Nitrate (PPM)]]&gt;2, "Very high", IF(AllData[[#This Row],[Nitrate (PPM)]]&gt;1, "High", IF(AllData[[#This Row],[Nitrate (PPM)]]&gt;0.5, "Some evidence", IF(AllData[[#This Row],[Nitrate (PPM)]]&gt;=0, "No evidence"))))</f>
        <v>Very high</v>
      </c>
      <c r="S451" s="139">
        <v>0.06</v>
      </c>
      <c r="T451" s="7" t="str">
        <f>IF(AllData[[#This Row],[Phosphate (PPM)]]&gt;0.5, "Very high", IF(AllData[[#This Row],[Phosphate (PPM)]]&gt;0.1, "High", IF(AllData[[#This Row],[Phosphate (PPM)]]&gt;0.05, "Some evidence", IF(AllData[[#This Row],[Phosphate (PPM)]]&lt;=0.05, "No Evidence", ""))))</f>
        <v>Some evidence</v>
      </c>
      <c r="U451" s="139">
        <v>0.42</v>
      </c>
      <c r="V451" s="139"/>
    </row>
    <row r="452" spans="1:22" x14ac:dyDescent="0.35">
      <c r="A452" s="139" t="s">
        <v>2853</v>
      </c>
      <c r="B452" s="146">
        <v>45670</v>
      </c>
      <c r="C452" s="2" t="str" cm="1">
        <f t="array" ref="C4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2">
        <v>2024</v>
      </c>
      <c r="E452" s="147">
        <v>0.59722222222222221</v>
      </c>
      <c r="F452" t="str">
        <f>IF(AND(AllData[[#This Row],[Time]]&lt;0.5, AllData[[#This Row],[Time]]&gt;0.17)=TRUE, "Morning", IF(AND(AllData[[#This Row],[Time]]&lt;0.75, AllData[[#This Row],[Time]]&gt;=0.5)=TRUE, "Afternoon", IF(AND(AllData[[#This Row],[Time]]&lt;1, AllData[[#This Row],[Time]]&gt;=0.75)=TRUE, "Evening", "Night")))</f>
        <v>Afternoon</v>
      </c>
      <c r="G452" t="str">
        <f>_xlfn.XLOOKUP(AllData[[#This Row],[Location Name]], Locations[Location Name],Locations[Group As])</f>
        <v>Chipping Campden Lady J Gateway</v>
      </c>
      <c r="H452" t="e" vm="9">
        <f>_xlfn.XLOOKUP(AllData[[#This Row],[Site Name]],LocationsKey[Site Name],LocationsKey[District])</f>
        <v>#VALUE!</v>
      </c>
      <c r="I452" t="e" vm="10">
        <f>_xlfn.XLOOKUP(AllData[[#This Row],[Site Name]],LocationsKey[Site Name],LocationsKey[Town])</f>
        <v>#VALUE!</v>
      </c>
      <c r="J452" t="str">
        <f>_xlfn.XLOOKUP(AllData[[#This Row],[Site Name]],LocationsKey[Site Name], LocationsKey[Waterway])</f>
        <v>Cam Brook</v>
      </c>
      <c r="K452" s="139" t="s">
        <v>1573</v>
      </c>
      <c r="L452" s="139"/>
      <c r="M452" s="156"/>
      <c r="N452" s="139" t="s">
        <v>68</v>
      </c>
      <c r="O452" s="139">
        <v>545</v>
      </c>
      <c r="P452" s="139">
        <v>6.3</v>
      </c>
      <c r="Q452" s="139">
        <v>5</v>
      </c>
      <c r="R452" s="107" t="str">
        <f>IF(AllData[[#This Row],[Nitrate (PPM)]]&gt;2, "Very high", IF(AllData[[#This Row],[Nitrate (PPM)]]&gt;1, "High", IF(AllData[[#This Row],[Nitrate (PPM)]]&gt;0.5, "Some evidence", IF(AllData[[#This Row],[Nitrate (PPM)]]&gt;=0, "No evidence"))))</f>
        <v>Very high</v>
      </c>
      <c r="S452" s="139">
        <v>0.03</v>
      </c>
      <c r="T452" s="7" t="str">
        <f>IF(AllData[[#This Row],[Phosphate (PPM)]]&gt;0.5, "Very high", IF(AllData[[#This Row],[Phosphate (PPM)]]&gt;0.1, "High", IF(AllData[[#This Row],[Phosphate (PPM)]]&gt;0.05, "Some evidence", IF(AllData[[#This Row],[Phosphate (PPM)]]&lt;=0.05, "No Evidence", ""))))</f>
        <v>No Evidence</v>
      </c>
      <c r="U452" s="139">
        <v>0.22</v>
      </c>
      <c r="V452" s="139"/>
    </row>
    <row r="453" spans="1:22" x14ac:dyDescent="0.35">
      <c r="A453" s="139" t="s">
        <v>2852</v>
      </c>
      <c r="B453" s="146">
        <v>45670</v>
      </c>
      <c r="C453" s="2" t="str" cm="1">
        <f t="array" ref="C4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3">
        <v>2024</v>
      </c>
      <c r="E453" s="147">
        <v>0.40625</v>
      </c>
      <c r="F453" t="str">
        <f>IF(AND(AllData[[#This Row],[Time]]&lt;0.5, AllData[[#This Row],[Time]]&gt;0.17)=TRUE, "Morning", IF(AND(AllData[[#This Row],[Time]]&lt;0.75, AllData[[#This Row],[Time]]&gt;=0.5)=TRUE, "Afternoon", IF(AND(AllData[[#This Row],[Time]]&lt;1, AllData[[#This Row],[Time]]&gt;=0.75)=TRUE, "Evening", "Night")))</f>
        <v>Morning</v>
      </c>
      <c r="G453" t="str">
        <f>_xlfn.XLOOKUP(AllData[[#This Row],[Location Name]], Locations[Location Name],Locations[Group As])</f>
        <v>Chipping Campden Craves</v>
      </c>
      <c r="H453" t="e" vm="9">
        <f>_xlfn.XLOOKUP(AllData[[#This Row],[Site Name]],LocationsKey[Site Name],LocationsKey[District])</f>
        <v>#VALUE!</v>
      </c>
      <c r="I453" t="e" vm="10">
        <f>_xlfn.XLOOKUP(AllData[[#This Row],[Site Name]],LocationsKey[Site Name],LocationsKey[Town])</f>
        <v>#VALUE!</v>
      </c>
      <c r="J453" t="str">
        <f>_xlfn.XLOOKUP(AllData[[#This Row],[Site Name]],LocationsKey[Site Name], LocationsKey[Waterway])</f>
        <v>Cam Brook</v>
      </c>
      <c r="K453" s="139" t="s">
        <v>2458</v>
      </c>
      <c r="L453" s="139">
        <v>52.048757999999999</v>
      </c>
      <c r="M453" s="156">
        <v>-1.7863720000000001</v>
      </c>
      <c r="N453" s="139" t="s">
        <v>68</v>
      </c>
      <c r="O453" s="139">
        <v>489</v>
      </c>
      <c r="P453" s="139">
        <v>9.1999999999999993</v>
      </c>
      <c r="Q453" s="139">
        <v>5</v>
      </c>
      <c r="R453" s="107" t="str">
        <f>IF(AllData[[#This Row],[Nitrate (PPM)]]&gt;2, "Very high", IF(AllData[[#This Row],[Nitrate (PPM)]]&gt;1, "High", IF(AllData[[#This Row],[Nitrate (PPM)]]&gt;0.5, "Some evidence", IF(AllData[[#This Row],[Nitrate (PPM)]]&gt;=0, "No evidence"))))</f>
        <v>Very high</v>
      </c>
      <c r="S453" s="139">
        <v>0.22</v>
      </c>
      <c r="T453" s="7" t="str">
        <f>IF(AllData[[#This Row],[Phosphate (PPM)]]&gt;0.5, "Very high", IF(AllData[[#This Row],[Phosphate (PPM)]]&gt;0.1, "High", IF(AllData[[#This Row],[Phosphate (PPM)]]&gt;0.05, "Some evidence", IF(AllData[[#This Row],[Phosphate (PPM)]]&lt;=0.05, "No Evidence", ""))))</f>
        <v>High</v>
      </c>
      <c r="U453" s="139">
        <v>29</v>
      </c>
      <c r="V453" s="139"/>
    </row>
    <row r="454" spans="1:22" x14ac:dyDescent="0.35">
      <c r="A454" s="139" t="s">
        <v>2854</v>
      </c>
      <c r="B454" s="146">
        <v>45670</v>
      </c>
      <c r="C454" s="2" t="str" cm="1">
        <f t="array" ref="C4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4">
        <v>2024</v>
      </c>
      <c r="E454" s="147">
        <v>0.60902777777777772</v>
      </c>
      <c r="F454" t="str">
        <f>IF(AND(AllData[[#This Row],[Time]]&lt;0.5, AllData[[#This Row],[Time]]&gt;0.17)=TRUE, "Morning", IF(AND(AllData[[#This Row],[Time]]&lt;0.75, AllData[[#This Row],[Time]]&gt;=0.5)=TRUE, "Afternoon", IF(AND(AllData[[#This Row],[Time]]&lt;1, AllData[[#This Row],[Time]]&gt;=0.75)=TRUE, "Evening", "Night")))</f>
        <v>Afternoon</v>
      </c>
      <c r="G454" t="str">
        <f>_xlfn.XLOOKUP(AllData[[#This Row],[Location Name]], Locations[Location Name],Locations[Group As])</f>
        <v>Abbey Mill</v>
      </c>
      <c r="H454" t="e" vm="4">
        <f>_xlfn.XLOOKUP(AllData[[#This Row],[Site Name]],LocationsKey[Site Name],LocationsKey[District])</f>
        <v>#VALUE!</v>
      </c>
      <c r="I454" t="e" vm="4">
        <f>_xlfn.XLOOKUP(AllData[[#This Row],[Site Name]],LocationsKey[Site Name],LocationsKey[Town])</f>
        <v>#VALUE!</v>
      </c>
      <c r="J454" t="str">
        <f>_xlfn.XLOOKUP(AllData[[#This Row],[Site Name]],LocationsKey[Site Name], LocationsKey[Waterway])</f>
        <v>Avon</v>
      </c>
      <c r="K454" s="139" t="s">
        <v>27</v>
      </c>
      <c r="L454" s="139">
        <v>51.991264999999999</v>
      </c>
      <c r="M454" s="156">
        <v>-2.1626379999999998</v>
      </c>
      <c r="N454" s="139" t="s">
        <v>2855</v>
      </c>
      <c r="O454" s="139">
        <v>745</v>
      </c>
      <c r="P454" s="139">
        <v>4.8</v>
      </c>
      <c r="Q454" s="139">
        <v>3</v>
      </c>
      <c r="R454" s="107" t="str">
        <f>IF(AllData[[#This Row],[Nitrate (PPM)]]&gt;2, "Very high", IF(AllData[[#This Row],[Nitrate (PPM)]]&gt;1, "High", IF(AllData[[#This Row],[Nitrate (PPM)]]&gt;0.5, "Some evidence", IF(AllData[[#This Row],[Nitrate (PPM)]]&gt;=0, "No evidence"))))</f>
        <v>Very high</v>
      </c>
      <c r="S454" s="139">
        <v>0.66</v>
      </c>
      <c r="T454" s="7" t="str">
        <f>IF(AllData[[#This Row],[Phosphate (PPM)]]&gt;0.5, "Very high", IF(AllData[[#This Row],[Phosphate (PPM)]]&gt;0.1, "High", IF(AllData[[#This Row],[Phosphate (PPM)]]&gt;0.05, "Some evidence", IF(AllData[[#This Row],[Phosphate (PPM)]]&lt;=0.05, "No Evidence", ""))))</f>
        <v>Very high</v>
      </c>
      <c r="U454" s="139">
        <v>1.7</v>
      </c>
      <c r="V454" s="139" t="s">
        <v>2856</v>
      </c>
    </row>
    <row r="455" spans="1:22" x14ac:dyDescent="0.35">
      <c r="A455" s="139" t="s">
        <v>2850</v>
      </c>
      <c r="B455" s="146">
        <v>45669</v>
      </c>
      <c r="C455" s="2" t="str" cm="1">
        <f t="array" ref="C4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5">
        <v>2024</v>
      </c>
      <c r="E455" s="147">
        <v>0.68958333333333333</v>
      </c>
      <c r="F455" t="str">
        <f>IF(AND(AllData[[#This Row],[Time]]&lt;0.5, AllData[[#This Row],[Time]]&gt;0.17)=TRUE, "Morning", IF(AND(AllData[[#This Row],[Time]]&lt;0.75, AllData[[#This Row],[Time]]&gt;=0.5)=TRUE, "Afternoon", IF(AND(AllData[[#This Row],[Time]]&lt;1, AllData[[#This Row],[Time]]&gt;=0.75)=TRUE, "Evening", "Night")))</f>
        <v>Afternoon</v>
      </c>
      <c r="G455" t="str">
        <f>_xlfn.XLOOKUP(AllData[[#This Row],[Location Name]], Locations[Location Name],Locations[Group As])</f>
        <v>Black Bear</v>
      </c>
      <c r="H455" t="e" vm="4">
        <f>_xlfn.XLOOKUP(AllData[[#This Row],[Site Name]],LocationsKey[Site Name],LocationsKey[District])</f>
        <v>#VALUE!</v>
      </c>
      <c r="I455" t="e" vm="4">
        <f>_xlfn.XLOOKUP(AllData[[#This Row],[Site Name]],LocationsKey[Site Name],LocationsKey[Town])</f>
        <v>#VALUE!</v>
      </c>
      <c r="J455" t="str">
        <f>_xlfn.XLOOKUP(AllData[[#This Row],[Site Name]],LocationsKey[Site Name], LocationsKey[Waterway])</f>
        <v>Avon</v>
      </c>
      <c r="K455" s="139" t="s">
        <v>1175</v>
      </c>
      <c r="L455" s="139"/>
      <c r="M455" s="156"/>
      <c r="N455" s="139" t="s">
        <v>34</v>
      </c>
      <c r="O455" s="139">
        <v>680</v>
      </c>
      <c r="P455" s="139">
        <v>5.5</v>
      </c>
      <c r="Q455" s="139">
        <v>10</v>
      </c>
      <c r="R455" s="107" t="str">
        <f>IF(AllData[[#This Row],[Nitrate (PPM)]]&gt;2, "Very high", IF(AllData[[#This Row],[Nitrate (PPM)]]&gt;1, "High", IF(AllData[[#This Row],[Nitrate (PPM)]]&gt;0.5, "Some evidence", IF(AllData[[#This Row],[Nitrate (PPM)]]&gt;=0, "No evidence"))))</f>
        <v>Very high</v>
      </c>
      <c r="S455" s="139">
        <v>0.55000000000000004</v>
      </c>
      <c r="T455" s="7" t="str">
        <f>IF(AllData[[#This Row],[Phosphate (PPM)]]&gt;0.5, "Very high", IF(AllData[[#This Row],[Phosphate (PPM)]]&gt;0.1, "High", IF(AllData[[#This Row],[Phosphate (PPM)]]&gt;0.05, "Some evidence", IF(AllData[[#This Row],[Phosphate (PPM)]]&lt;=0.05, "No Evidence", ""))))</f>
        <v>Very high</v>
      </c>
      <c r="U455" s="139">
        <v>0</v>
      </c>
      <c r="V455" s="139"/>
    </row>
    <row r="456" spans="1:22" x14ac:dyDescent="0.35">
      <c r="A456" s="140" t="s">
        <v>2847</v>
      </c>
      <c r="B456" s="146">
        <v>45669</v>
      </c>
      <c r="C456" s="2" t="str" cm="1">
        <f t="array" ref="C4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6">
        <v>2024</v>
      </c>
      <c r="E456" s="147">
        <v>0.59027777777777779</v>
      </c>
      <c r="F456" t="str">
        <f>IF(AND(AllData[[#This Row],[Time]]&lt;0.5, AllData[[#This Row],[Time]]&gt;0.17)=TRUE, "Morning", IF(AND(AllData[[#This Row],[Time]]&lt;0.75, AllData[[#This Row],[Time]]&gt;=0.5)=TRUE, "Afternoon", IF(AND(AllData[[#This Row],[Time]]&lt;1, AllData[[#This Row],[Time]]&gt;=0.75)=TRUE, "Evening", "Night")))</f>
        <v>Afternoon</v>
      </c>
      <c r="G456" t="str">
        <f>_xlfn.XLOOKUP(AllData[[#This Row],[Location Name]], Locations[Location Name],Locations[Group As])</f>
        <v>Sherbourne Brook 1</v>
      </c>
      <c r="H456" t="e" vm="1">
        <f>_xlfn.XLOOKUP(AllData[[#This Row],[Site Name]],LocationsKey[Site Name],LocationsKey[District])</f>
        <v>#VALUE!</v>
      </c>
      <c r="I456" t="e" vm="23">
        <f>_xlfn.XLOOKUP(AllData[[#This Row],[Site Name]],LocationsKey[Site Name],LocationsKey[Town])</f>
        <v>#VALUE!</v>
      </c>
      <c r="J456" t="str">
        <f>_xlfn.XLOOKUP(AllData[[#This Row],[Site Name]],LocationsKey[Site Name], LocationsKey[Waterway])</f>
        <v>Sherbourne Brook</v>
      </c>
      <c r="K456" s="139" t="s">
        <v>541</v>
      </c>
      <c r="L456" s="139"/>
      <c r="M456" s="156"/>
      <c r="N456" s="139"/>
      <c r="O456" s="139">
        <v>1010</v>
      </c>
      <c r="P456" s="139">
        <v>6.9</v>
      </c>
      <c r="Q456" s="139">
        <v>7</v>
      </c>
      <c r="R456" s="107" t="str">
        <f>IF(AllData[[#This Row],[Nitrate (PPM)]]&gt;2, "Very high", IF(AllData[[#This Row],[Nitrate (PPM)]]&gt;1, "High", IF(AllData[[#This Row],[Nitrate (PPM)]]&gt;0.5, "Some evidence", IF(AllData[[#This Row],[Nitrate (PPM)]]&gt;=0, "No evidence"))))</f>
        <v>Very high</v>
      </c>
      <c r="S456" s="139">
        <v>0.49</v>
      </c>
      <c r="T456" s="7" t="str">
        <f>IF(AllData[[#This Row],[Phosphate (PPM)]]&gt;0.5, "Very high", IF(AllData[[#This Row],[Phosphate (PPM)]]&gt;0.1, "High", IF(AllData[[#This Row],[Phosphate (PPM)]]&gt;0.05, "Some evidence", IF(AllData[[#This Row],[Phosphate (PPM)]]&lt;=0.05, "No Evidence", ""))))</f>
        <v>High</v>
      </c>
      <c r="U456" s="139">
        <v>0.1</v>
      </c>
      <c r="V456" s="139" t="s">
        <v>2848</v>
      </c>
    </row>
    <row r="457" spans="1:22" x14ac:dyDescent="0.35">
      <c r="A457" s="139" t="s">
        <v>2849</v>
      </c>
      <c r="B457" s="146">
        <v>45669</v>
      </c>
      <c r="C457" s="2" t="str" cm="1">
        <f t="array" ref="C4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7">
        <v>2024</v>
      </c>
      <c r="E457" s="147">
        <v>0.60069444444444442</v>
      </c>
      <c r="F457" t="str">
        <f>IF(AND(AllData[[#This Row],[Time]]&lt;0.5, AllData[[#This Row],[Time]]&gt;0.17)=TRUE, "Morning", IF(AND(AllData[[#This Row],[Time]]&lt;0.75, AllData[[#This Row],[Time]]&gt;=0.5)=TRUE, "Afternoon", IF(AND(AllData[[#This Row],[Time]]&lt;1, AllData[[#This Row],[Time]]&gt;=0.75)=TRUE, "Evening", "Night")))</f>
        <v>Afternoon</v>
      </c>
      <c r="G457" t="str">
        <f>_xlfn.XLOOKUP(AllData[[#This Row],[Location Name]], Locations[Location Name],Locations[Group As])</f>
        <v>Bell Brook 1</v>
      </c>
      <c r="H457" t="e" vm="1">
        <f>_xlfn.XLOOKUP(AllData[[#This Row],[Site Name]],LocationsKey[Site Name],LocationsKey[District])</f>
        <v>#VALUE!</v>
      </c>
      <c r="I457" t="e" vm="19">
        <f>_xlfn.XLOOKUP(AllData[[#This Row],[Site Name]],LocationsKey[Site Name],LocationsKey[Town])</f>
        <v>#VALUE!</v>
      </c>
      <c r="J457" t="str">
        <f>_xlfn.XLOOKUP(AllData[[#This Row],[Site Name]],LocationsKey[Site Name], LocationsKey[Waterway])</f>
        <v>Bell Brook</v>
      </c>
      <c r="K457" s="139" t="s">
        <v>538</v>
      </c>
      <c r="L457" s="139"/>
      <c r="M457" s="156"/>
      <c r="N457" s="139"/>
      <c r="O457" s="139">
        <v>673</v>
      </c>
      <c r="P457" s="139">
        <v>6.2</v>
      </c>
      <c r="Q457" s="139">
        <v>6</v>
      </c>
      <c r="R457" s="107" t="str">
        <f>IF(AllData[[#This Row],[Nitrate (PPM)]]&gt;2, "Very high", IF(AllData[[#This Row],[Nitrate (PPM)]]&gt;1, "High", IF(AllData[[#This Row],[Nitrate (PPM)]]&gt;0.5, "Some evidence", IF(AllData[[#This Row],[Nitrate (PPM)]]&gt;=0, "No evidence"))))</f>
        <v>Very high</v>
      </c>
      <c r="S457" s="139">
        <v>0.41</v>
      </c>
      <c r="T457" s="7" t="str">
        <f>IF(AllData[[#This Row],[Phosphate (PPM)]]&gt;0.5, "Very high", IF(AllData[[#This Row],[Phosphate (PPM)]]&gt;0.1, "High", IF(AllData[[#This Row],[Phosphate (PPM)]]&gt;0.05, "Some evidence", IF(AllData[[#This Row],[Phosphate (PPM)]]&lt;=0.05, "No Evidence", ""))))</f>
        <v>High</v>
      </c>
      <c r="U457" s="139">
        <v>0.1</v>
      </c>
      <c r="V457" s="139" t="s">
        <v>2848</v>
      </c>
    </row>
    <row r="458" spans="1:22" x14ac:dyDescent="0.35">
      <c r="A458" s="139" t="s">
        <v>2845</v>
      </c>
      <c r="B458" s="146">
        <v>45669</v>
      </c>
      <c r="C458" s="2" t="str" cm="1">
        <f t="array" ref="C4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8">
        <v>2024</v>
      </c>
      <c r="E458" s="147">
        <v>0.58402777777777781</v>
      </c>
      <c r="F458" t="str">
        <f>IF(AND(AllData[[#This Row],[Time]]&lt;0.5, AllData[[#This Row],[Time]]&gt;0.17)=TRUE, "Morning", IF(AND(AllData[[#This Row],[Time]]&lt;0.75, AllData[[#This Row],[Time]]&gt;=0.5)=TRUE, "Afternoon", IF(AND(AllData[[#This Row],[Time]]&lt;1, AllData[[#This Row],[Time]]&gt;=0.75)=TRUE, "Evening", "Night")))</f>
        <v>Afternoon</v>
      </c>
      <c r="G458" t="str">
        <f>_xlfn.XLOOKUP(AllData[[#This Row],[Location Name]], Locations[Location Name],Locations[Group As])</f>
        <v>Site 3  :  Severn Trent Water processing plant outflow</v>
      </c>
      <c r="H458" t="e" vm="1">
        <f>_xlfn.XLOOKUP(AllData[[#This Row],[Site Name]],LocationsKey[Site Name],LocationsKey[District])</f>
        <v>#VALUE!</v>
      </c>
      <c r="I458" t="e" vm="14">
        <f>_xlfn.XLOOKUP(AllData[[#This Row],[Site Name]],LocationsKey[Site Name],LocationsKey[Town])</f>
        <v>#VALUE!</v>
      </c>
      <c r="J458" t="str">
        <f>_xlfn.XLOOKUP(AllData[[#This Row],[Site Name]],LocationsKey[Site Name], LocationsKey[Waterway])</f>
        <v>Fosseway Brook</v>
      </c>
      <c r="K458" s="139" t="s">
        <v>2846</v>
      </c>
      <c r="L458" s="139">
        <v>52.094509000000002</v>
      </c>
      <c r="M458" s="156">
        <v>-1.675608</v>
      </c>
      <c r="N458" s="139" t="s">
        <v>31</v>
      </c>
      <c r="O458" s="139">
        <v>780</v>
      </c>
      <c r="P458" s="139">
        <v>8</v>
      </c>
      <c r="Q458" s="139">
        <v>5</v>
      </c>
      <c r="R458" s="107" t="str">
        <f>IF(AllData[[#This Row],[Nitrate (PPM)]]&gt;2, "Very high", IF(AllData[[#This Row],[Nitrate (PPM)]]&gt;1, "High", IF(AllData[[#This Row],[Nitrate (PPM)]]&gt;0.5, "Some evidence", IF(AllData[[#This Row],[Nitrate (PPM)]]&gt;=0, "No evidence"))))</f>
        <v>Very high</v>
      </c>
      <c r="S458" s="139">
        <v>5.3</v>
      </c>
      <c r="T458" s="7" t="str">
        <f>IF(AllData[[#This Row],[Phosphate (PPM)]]&gt;0.5, "Very high", IF(AllData[[#This Row],[Phosphate (PPM)]]&gt;0.1, "High", IF(AllData[[#This Row],[Phosphate (PPM)]]&gt;0.05, "Some evidence", IF(AllData[[#This Row],[Phosphate (PPM)]]&lt;=0.05, "No Evidence", ""))))</f>
        <v>Very high</v>
      </c>
      <c r="U458" s="139">
        <v>0.3</v>
      </c>
      <c r="V458" s="139"/>
    </row>
    <row r="459" spans="1:22" x14ac:dyDescent="0.35">
      <c r="A459" s="139" t="s">
        <v>2844</v>
      </c>
      <c r="B459" s="146">
        <v>45669</v>
      </c>
      <c r="C459" s="2" t="str" cm="1">
        <f t="array" ref="C4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59">
        <v>2024</v>
      </c>
      <c r="E459" s="147">
        <v>0.58333333333333337</v>
      </c>
      <c r="F459" t="str">
        <f>IF(AND(AllData[[#This Row],[Time]]&lt;0.5, AllData[[#This Row],[Time]]&gt;0.17)=TRUE, "Morning", IF(AND(AllData[[#This Row],[Time]]&lt;0.75, AllData[[#This Row],[Time]]&gt;=0.5)=TRUE, "Afternoon", IF(AND(AllData[[#This Row],[Time]]&lt;1, AllData[[#This Row],[Time]]&gt;=0.75)=TRUE, "Evening", "Night")))</f>
        <v>Afternoon</v>
      </c>
      <c r="G459" t="str">
        <f>_xlfn.XLOOKUP(AllData[[#This Row],[Location Name]], Locations[Location Name],Locations[Group As])</f>
        <v>Carrant Bredon Rd</v>
      </c>
      <c r="H459" t="e" vm="4">
        <f>_xlfn.XLOOKUP(AllData[[#This Row],[Site Name]],LocationsKey[Site Name],LocationsKey[District])</f>
        <v>#VALUE!</v>
      </c>
      <c r="I459" t="e" vm="4">
        <f>_xlfn.XLOOKUP(AllData[[#This Row],[Site Name]],LocationsKey[Site Name],LocationsKey[Town])</f>
        <v>#VALUE!</v>
      </c>
      <c r="J459" t="str">
        <f>_xlfn.XLOOKUP(AllData[[#This Row],[Site Name]],LocationsKey[Site Name], LocationsKey[Waterway])</f>
        <v>Carrant</v>
      </c>
      <c r="K459" s="139" t="s">
        <v>603</v>
      </c>
      <c r="L459" s="139">
        <v>51.996150999999998</v>
      </c>
      <c r="M459" s="156">
        <v>-2.156199</v>
      </c>
      <c r="N459" s="139" t="s">
        <v>25</v>
      </c>
      <c r="O459" s="139">
        <v>760</v>
      </c>
      <c r="P459" s="139">
        <v>7.5</v>
      </c>
      <c r="Q459" s="139">
        <v>4</v>
      </c>
      <c r="R459" s="107" t="str">
        <f>IF(AllData[[#This Row],[Nitrate (PPM)]]&gt;2, "Very high", IF(AllData[[#This Row],[Nitrate (PPM)]]&gt;1, "High", IF(AllData[[#This Row],[Nitrate (PPM)]]&gt;0.5, "Some evidence", IF(AllData[[#This Row],[Nitrate (PPM)]]&gt;=0, "No evidence"))))</f>
        <v>Very high</v>
      </c>
      <c r="S459" s="139">
        <v>0.36</v>
      </c>
      <c r="T459" s="7" t="str">
        <f>IF(AllData[[#This Row],[Phosphate (PPM)]]&gt;0.5, "Very high", IF(AllData[[#This Row],[Phosphate (PPM)]]&gt;0.1, "High", IF(AllData[[#This Row],[Phosphate (PPM)]]&gt;0.05, "Some evidence", IF(AllData[[#This Row],[Phosphate (PPM)]]&lt;=0.05, "No Evidence", ""))))</f>
        <v>High</v>
      </c>
      <c r="U459" s="139">
        <v>0.6</v>
      </c>
      <c r="V459" s="139"/>
    </row>
    <row r="460" spans="1:22" x14ac:dyDescent="0.35">
      <c r="A460" s="139" t="s">
        <v>2832</v>
      </c>
      <c r="B460" s="146">
        <v>45669</v>
      </c>
      <c r="C460" s="2" t="str" cm="1">
        <f t="array" ref="C4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0">
        <v>2024</v>
      </c>
      <c r="E460" s="147">
        <v>0.3972222222222222</v>
      </c>
      <c r="F460" t="str">
        <f>IF(AND(AllData[[#This Row],[Time]]&lt;0.5, AllData[[#This Row],[Time]]&gt;0.17)=TRUE, "Morning", IF(AND(AllData[[#This Row],[Time]]&lt;0.75, AllData[[#This Row],[Time]]&gt;=0.5)=TRUE, "Afternoon", IF(AND(AllData[[#This Row],[Time]]&lt;1, AllData[[#This Row],[Time]]&gt;=0.75)=TRUE, "Evening", "Night")))</f>
        <v>Morning</v>
      </c>
      <c r="G460" t="str">
        <f>_xlfn.XLOOKUP(AllData[[#This Row],[Location Name]], Locations[Location Name],Locations[Group As])</f>
        <v>Dock Lane Bredon</v>
      </c>
      <c r="H460" t="e" vm="6">
        <f>_xlfn.XLOOKUP(AllData[[#This Row],[Site Name]],LocationsKey[Site Name],LocationsKey[District])</f>
        <v>#VALUE!</v>
      </c>
      <c r="I460" t="e" vm="11">
        <f>_xlfn.XLOOKUP(AllData[[#This Row],[Site Name]],LocationsKey[Site Name],LocationsKey[Town])</f>
        <v>#VALUE!</v>
      </c>
      <c r="J460" t="str">
        <f>_xlfn.XLOOKUP(AllData[[#This Row],[Site Name]],LocationsKey[Site Name], LocationsKey[Waterway])</f>
        <v>Avon</v>
      </c>
      <c r="K460" s="139" t="s">
        <v>2470</v>
      </c>
      <c r="L460" s="139">
        <v>52.033619000000002</v>
      </c>
      <c r="M460" s="156">
        <v>-2.1161750000000001</v>
      </c>
      <c r="N460" s="139" t="s">
        <v>31</v>
      </c>
      <c r="O460" s="139">
        <v>6540</v>
      </c>
      <c r="P460" s="139">
        <v>4.7</v>
      </c>
      <c r="Q460" s="139">
        <v>3</v>
      </c>
      <c r="R460" s="107" t="str">
        <f>IF(AllData[[#This Row],[Nitrate (PPM)]]&gt;2, "Very high", IF(AllData[[#This Row],[Nitrate (PPM)]]&gt;1, "High", IF(AllData[[#This Row],[Nitrate (PPM)]]&gt;0.5, "Some evidence", IF(AllData[[#This Row],[Nitrate (PPM)]]&gt;=0, "No evidence"))))</f>
        <v>Very high</v>
      </c>
      <c r="S460" s="139">
        <v>0.57999999999999996</v>
      </c>
      <c r="T460" s="7" t="str">
        <f>IF(AllData[[#This Row],[Phosphate (PPM)]]&gt;0.5, "Very high", IF(AllData[[#This Row],[Phosphate (PPM)]]&gt;0.1, "High", IF(AllData[[#This Row],[Phosphate (PPM)]]&gt;0.05, "Some evidence", IF(AllData[[#This Row],[Phosphate (PPM)]]&lt;=0.05, "No Evidence", ""))))</f>
        <v>Very high</v>
      </c>
      <c r="U460" s="139">
        <v>1</v>
      </c>
      <c r="V460" s="139" t="s">
        <v>2833</v>
      </c>
    </row>
    <row r="461" spans="1:22" x14ac:dyDescent="0.35">
      <c r="A461" s="139" t="s">
        <v>2837</v>
      </c>
      <c r="B461" s="146">
        <v>45669</v>
      </c>
      <c r="C461" s="2" t="str" cm="1">
        <f t="array" ref="C4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1">
        <v>2024</v>
      </c>
      <c r="E461" s="147">
        <v>0.45347222222222222</v>
      </c>
      <c r="F461" t="str">
        <f>IF(AND(AllData[[#This Row],[Time]]&lt;0.5, AllData[[#This Row],[Time]]&gt;0.17)=TRUE, "Morning", IF(AND(AllData[[#This Row],[Time]]&lt;0.75, AllData[[#This Row],[Time]]&gt;=0.5)=TRUE, "Afternoon", IF(AND(AllData[[#This Row],[Time]]&lt;1, AllData[[#This Row],[Time]]&gt;=0.75)=TRUE, "Evening", "Night")))</f>
        <v>Morning</v>
      </c>
      <c r="G461" t="str">
        <f>_xlfn.XLOOKUP(AllData[[#This Row],[Location Name]], Locations[Location Name],Locations[Group As])</f>
        <v>R.Stowe - New Zealand Spinney, off Napton Rd</v>
      </c>
      <c r="H461" t="e" vm="1">
        <f>_xlfn.XLOOKUP(AllData[[#This Row],[Site Name]],LocationsKey[Site Name],LocationsKey[District])</f>
        <v>#VALUE!</v>
      </c>
      <c r="I461" t="e" vm="18">
        <f>_xlfn.XLOOKUP(AllData[[#This Row],[Site Name]],LocationsKey[Site Name],LocationsKey[Town])</f>
        <v>#VALUE!</v>
      </c>
      <c r="J461" t="str">
        <f>_xlfn.XLOOKUP(AllData[[#This Row],[Site Name]],LocationsKey[Site Name], LocationsKey[Waterway])</f>
        <v>Stowe</v>
      </c>
      <c r="K461" s="139" t="s">
        <v>2838</v>
      </c>
      <c r="L461" s="139">
        <v>52.261693999999999</v>
      </c>
      <c r="M461" s="156">
        <v>-1.3524529999999999</v>
      </c>
      <c r="N461" s="139" t="s">
        <v>31</v>
      </c>
      <c r="O461" s="139">
        <v>880</v>
      </c>
      <c r="P461" s="139">
        <v>3.6</v>
      </c>
      <c r="Q461" s="139">
        <v>2</v>
      </c>
      <c r="R461" s="107" t="str">
        <f>IF(AllData[[#This Row],[Nitrate (PPM)]]&gt;2, "Very high", IF(AllData[[#This Row],[Nitrate (PPM)]]&gt;1, "High", IF(AllData[[#This Row],[Nitrate (PPM)]]&gt;0.5, "Some evidence", IF(AllData[[#This Row],[Nitrate (PPM)]]&gt;=0, "No evidence"))))</f>
        <v>High</v>
      </c>
      <c r="S461" s="139">
        <v>0</v>
      </c>
      <c r="T461" s="7" t="str">
        <f>IF(AllData[[#This Row],[Phosphate (PPM)]]&gt;0.5, "Very high", IF(AllData[[#This Row],[Phosphate (PPM)]]&gt;0.1, "High", IF(AllData[[#This Row],[Phosphate (PPM)]]&gt;0.05, "Some evidence", IF(AllData[[#This Row],[Phosphate (PPM)]]&lt;=0.05, "No Evidence", ""))))</f>
        <v>No Evidence</v>
      </c>
      <c r="U461" s="139">
        <v>0</v>
      </c>
      <c r="V461" s="139" t="s">
        <v>2839</v>
      </c>
    </row>
    <row r="462" spans="1:22" x14ac:dyDescent="0.35">
      <c r="A462" s="139" t="s">
        <v>2834</v>
      </c>
      <c r="B462" s="146">
        <v>45669</v>
      </c>
      <c r="C462" s="2" t="str" cm="1">
        <f t="array" ref="C4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2">
        <v>2024</v>
      </c>
      <c r="E462" s="147">
        <v>0.41666666666666669</v>
      </c>
      <c r="F462" t="str">
        <f>IF(AND(AllData[[#This Row],[Time]]&lt;0.5, AllData[[#This Row],[Time]]&gt;0.17)=TRUE, "Morning", IF(AND(AllData[[#This Row],[Time]]&lt;0.75, AllData[[#This Row],[Time]]&gt;=0.5)=TRUE, "Afternoon", IF(AND(AllData[[#This Row],[Time]]&lt;1, AllData[[#This Row],[Time]]&gt;=0.75)=TRUE, "Evening", "Night")))</f>
        <v>Morning</v>
      </c>
      <c r="G462" t="str">
        <f>_xlfn.XLOOKUP(AllData[[#This Row],[Location Name]], Locations[Location Name],Locations[Group As])</f>
        <v>R.Stowe - Lower Fields Farm, Old Brickyard Lane</v>
      </c>
      <c r="H462" t="e" vm="1">
        <f>_xlfn.XLOOKUP(AllData[[#This Row],[Site Name]],LocationsKey[Site Name],LocationsKey[District])</f>
        <v>#VALUE!</v>
      </c>
      <c r="I462" t="e" vm="17">
        <f>_xlfn.XLOOKUP(AllData[[#This Row],[Site Name]],LocationsKey[Site Name],LocationsKey[Town])</f>
        <v>#VALUE!</v>
      </c>
      <c r="J462" t="str">
        <f>_xlfn.XLOOKUP(AllData[[#This Row],[Site Name]],LocationsKey[Site Name], LocationsKey[Waterway])</f>
        <v>Stowe</v>
      </c>
      <c r="K462" s="139" t="s">
        <v>2835</v>
      </c>
      <c r="L462" s="139">
        <v>52.244052000000003</v>
      </c>
      <c r="M462" s="156">
        <v>-1.347801</v>
      </c>
      <c r="N462" s="139" t="s">
        <v>31</v>
      </c>
      <c r="O462" s="139">
        <v>721</v>
      </c>
      <c r="P462" s="139">
        <v>4.5</v>
      </c>
      <c r="Q462" s="139">
        <v>2</v>
      </c>
      <c r="R462" s="107" t="str">
        <f>IF(AllData[[#This Row],[Nitrate (PPM)]]&gt;2, "Very high", IF(AllData[[#This Row],[Nitrate (PPM)]]&gt;1, "High", IF(AllData[[#This Row],[Nitrate (PPM)]]&gt;0.5, "Some evidence", IF(AllData[[#This Row],[Nitrate (PPM)]]&gt;=0, "No evidence"))))</f>
        <v>High</v>
      </c>
      <c r="S462" s="139">
        <v>0.28000000000000003</v>
      </c>
      <c r="T462" s="7" t="str">
        <f>IF(AllData[[#This Row],[Phosphate (PPM)]]&gt;0.5, "Very high", IF(AllData[[#This Row],[Phosphate (PPM)]]&gt;0.1, "High", IF(AllData[[#This Row],[Phosphate (PPM)]]&gt;0.05, "Some evidence", IF(AllData[[#This Row],[Phosphate (PPM)]]&lt;=0.05, "No Evidence", ""))))</f>
        <v>High</v>
      </c>
      <c r="U462" s="139">
        <v>0</v>
      </c>
      <c r="V462" s="139" t="s">
        <v>2836</v>
      </c>
    </row>
    <row r="463" spans="1:22" x14ac:dyDescent="0.35">
      <c r="A463" s="139" t="s">
        <v>2840</v>
      </c>
      <c r="B463" s="146">
        <v>45669</v>
      </c>
      <c r="C463" s="2" t="str" cm="1">
        <f t="array" ref="C4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3">
        <v>2024</v>
      </c>
      <c r="E463" s="147">
        <v>0.48680555555555555</v>
      </c>
      <c r="F463" t="str">
        <f>IF(AND(AllData[[#This Row],[Time]]&lt;0.5, AllData[[#This Row],[Time]]&gt;0.17)=TRUE, "Morning", IF(AND(AllData[[#This Row],[Time]]&lt;0.75, AllData[[#This Row],[Time]]&gt;=0.5)=TRUE, "Afternoon", IF(AND(AllData[[#This Row],[Time]]&lt;1, AllData[[#This Row],[Time]]&gt;=0.75)=TRUE, "Evening", "Night")))</f>
        <v>Morning</v>
      </c>
      <c r="G463" t="str">
        <f>_xlfn.XLOOKUP(AllData[[#This Row],[Location Name]], Locations[Location Name],Locations[Group As])</f>
        <v>Site 2  :  Cross Leys culvert</v>
      </c>
      <c r="H463" t="e" vm="1">
        <f>_xlfn.XLOOKUP(AllData[[#This Row],[Site Name]],LocationsKey[Site Name],LocationsKey[District])</f>
        <v>#VALUE!</v>
      </c>
      <c r="I463" t="e" vm="14">
        <f>_xlfn.XLOOKUP(AllData[[#This Row],[Site Name]],LocationsKey[Site Name],LocationsKey[Town])</f>
        <v>#VALUE!</v>
      </c>
      <c r="J463" t="str">
        <f>_xlfn.XLOOKUP(AllData[[#This Row],[Site Name]],LocationsKey[Site Name], LocationsKey[Waterway])</f>
        <v>Fosseway Brook</v>
      </c>
      <c r="K463" s="139" t="s">
        <v>2841</v>
      </c>
      <c r="L463" s="139">
        <v>52.092964000000002</v>
      </c>
      <c r="M463" s="156">
        <v>-1.6865589999999999</v>
      </c>
      <c r="N463" s="139" t="s">
        <v>68</v>
      </c>
      <c r="O463" s="139">
        <v>605</v>
      </c>
      <c r="P463" s="139">
        <v>6.9</v>
      </c>
      <c r="Q463" s="139">
        <v>2</v>
      </c>
      <c r="R463" s="107" t="str">
        <f>IF(AllData[[#This Row],[Nitrate (PPM)]]&gt;2, "Very high", IF(AllData[[#This Row],[Nitrate (PPM)]]&gt;1, "High", IF(AllData[[#This Row],[Nitrate (PPM)]]&gt;0.5, "Some evidence", IF(AllData[[#This Row],[Nitrate (PPM)]]&gt;=0, "No evidence"))))</f>
        <v>High</v>
      </c>
      <c r="S463" s="139">
        <v>0.31</v>
      </c>
      <c r="T463" s="7" t="str">
        <f>IF(AllData[[#This Row],[Phosphate (PPM)]]&gt;0.5, "Very high", IF(AllData[[#This Row],[Phosphate (PPM)]]&gt;0.1, "High", IF(AllData[[#This Row],[Phosphate (PPM)]]&gt;0.05, "Some evidence", IF(AllData[[#This Row],[Phosphate (PPM)]]&lt;=0.05, "No Evidence", ""))))</f>
        <v>High</v>
      </c>
      <c r="U463" s="139">
        <v>0.2</v>
      </c>
      <c r="V463" s="139"/>
    </row>
    <row r="464" spans="1:22" x14ac:dyDescent="0.35">
      <c r="A464" s="139" t="s">
        <v>2842</v>
      </c>
      <c r="B464" s="146">
        <v>45669</v>
      </c>
      <c r="C464" s="2" t="str" cm="1">
        <f t="array" ref="C4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4">
        <v>2024</v>
      </c>
      <c r="E464" s="147">
        <v>0.56597222222222221</v>
      </c>
      <c r="F464" t="str">
        <f>IF(AND(AllData[[#This Row],[Time]]&lt;0.5, AllData[[#This Row],[Time]]&gt;0.17)=TRUE, "Morning", IF(AND(AllData[[#This Row],[Time]]&lt;0.75, AllData[[#This Row],[Time]]&gt;=0.5)=TRUE, "Afternoon", IF(AND(AllData[[#This Row],[Time]]&lt;1, AllData[[#This Row],[Time]]&gt;=0.75)=TRUE, "Evening", "Night")))</f>
        <v>Afternoon</v>
      </c>
      <c r="G464" t="str">
        <f>_xlfn.XLOOKUP(AllData[[#This Row],[Location Name]], Locations[Location Name],Locations[Group As])</f>
        <v>Site 1  :  Middle Street</v>
      </c>
      <c r="H464" t="e" vm="1">
        <f>_xlfn.XLOOKUP(AllData[[#This Row],[Site Name]],LocationsKey[Site Name],LocationsKey[District])</f>
        <v>#VALUE!</v>
      </c>
      <c r="I464" t="e" vm="14">
        <f>_xlfn.XLOOKUP(AllData[[#This Row],[Site Name]],LocationsKey[Site Name],LocationsKey[Town])</f>
        <v>#VALUE!</v>
      </c>
      <c r="J464" t="str">
        <f>_xlfn.XLOOKUP(AllData[[#This Row],[Site Name]],LocationsKey[Site Name], LocationsKey[Waterway])</f>
        <v>Fosseway Brook</v>
      </c>
      <c r="K464" s="139" t="s">
        <v>2843</v>
      </c>
      <c r="L464" s="139">
        <v>52.090094999999998</v>
      </c>
      <c r="M464" s="156">
        <v>-1.692607</v>
      </c>
      <c r="N464" s="139" t="s">
        <v>68</v>
      </c>
      <c r="O464" s="139">
        <v>590</v>
      </c>
      <c r="P464" s="139">
        <v>6.9</v>
      </c>
      <c r="Q464" s="139">
        <v>2</v>
      </c>
      <c r="R464" s="107" t="str">
        <f>IF(AllData[[#This Row],[Nitrate (PPM)]]&gt;2, "Very high", IF(AllData[[#This Row],[Nitrate (PPM)]]&gt;1, "High", IF(AllData[[#This Row],[Nitrate (PPM)]]&gt;0.5, "Some evidence", IF(AllData[[#This Row],[Nitrate (PPM)]]&gt;=0, "No evidence"))))</f>
        <v>High</v>
      </c>
      <c r="S464" s="139">
        <v>0.24</v>
      </c>
      <c r="T464" s="7" t="str">
        <f>IF(AllData[[#This Row],[Phosphate (PPM)]]&gt;0.5, "Very high", IF(AllData[[#This Row],[Phosphate (PPM)]]&gt;0.1, "High", IF(AllData[[#This Row],[Phosphate (PPM)]]&gt;0.05, "Some evidence", IF(AllData[[#This Row],[Phosphate (PPM)]]&lt;=0.05, "No Evidence", ""))))</f>
        <v>High</v>
      </c>
      <c r="U464" s="139">
        <v>0.1</v>
      </c>
      <c r="V464" s="139"/>
    </row>
    <row r="465" spans="1:22" x14ac:dyDescent="0.35">
      <c r="A465" s="139" t="s">
        <v>2828</v>
      </c>
      <c r="B465" s="146">
        <v>45668</v>
      </c>
      <c r="C465" s="2" t="str" cm="1">
        <f t="array" ref="C4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5">
        <v>2024</v>
      </c>
      <c r="E465" s="147">
        <v>0.46875</v>
      </c>
      <c r="F465" t="str">
        <f>IF(AND(AllData[[#This Row],[Time]]&lt;0.5, AllData[[#This Row],[Time]]&gt;0.17)=TRUE, "Morning", IF(AND(AllData[[#This Row],[Time]]&lt;0.75, AllData[[#This Row],[Time]]&gt;=0.5)=TRUE, "Afternoon", IF(AND(AllData[[#This Row],[Time]]&lt;1, AllData[[#This Row],[Time]]&gt;=0.75)=TRUE, "Evening", "Night")))</f>
        <v>Morning</v>
      </c>
      <c r="G465" t="str">
        <f>_xlfn.XLOOKUP(AllData[[#This Row],[Location Name]], Locations[Location Name],Locations[Group As])</f>
        <v>Piddle Brook Wyre Piddle Bridge</v>
      </c>
      <c r="H465" t="e" vm="6">
        <f>_xlfn.XLOOKUP(AllData[[#This Row],[Site Name]],LocationsKey[Site Name],LocationsKey[District])</f>
        <v>#VALUE!</v>
      </c>
      <c r="I465" t="e" vm="13">
        <f>_xlfn.XLOOKUP(AllData[[#This Row],[Site Name]],LocationsKey[Site Name],LocationsKey[Town])</f>
        <v>#VALUE!</v>
      </c>
      <c r="J465" t="str">
        <f>_xlfn.XLOOKUP(AllData[[#This Row],[Site Name]],LocationsKey[Site Name], LocationsKey[Waterway])</f>
        <v>Piddle Brook</v>
      </c>
      <c r="K465" s="139" t="s">
        <v>787</v>
      </c>
      <c r="L465" s="139">
        <v>52.126404000000001</v>
      </c>
      <c r="M465" s="156">
        <v>-2.0565410000000002</v>
      </c>
      <c r="N465" s="139" t="s">
        <v>34</v>
      </c>
      <c r="O465" s="139">
        <v>1010</v>
      </c>
      <c r="P465" s="139">
        <v>2.2999999999999998</v>
      </c>
      <c r="Q465" s="139">
        <v>5</v>
      </c>
      <c r="R465" s="107" t="str">
        <f>IF(AllData[[#This Row],[Nitrate (PPM)]]&gt;2, "Very high", IF(AllData[[#This Row],[Nitrate (PPM)]]&gt;1, "High", IF(AllData[[#This Row],[Nitrate (PPM)]]&gt;0.5, "Some evidence", IF(AllData[[#This Row],[Nitrate (PPM)]]&gt;=0, "No evidence"))))</f>
        <v>Very high</v>
      </c>
      <c r="S465" s="139">
        <v>0.61</v>
      </c>
      <c r="T465" s="7" t="str">
        <f>IF(AllData[[#This Row],[Phosphate (PPM)]]&gt;0.5, "Very high", IF(AllData[[#This Row],[Phosphate (PPM)]]&gt;0.1, "High", IF(AllData[[#This Row],[Phosphate (PPM)]]&gt;0.05, "Some evidence", IF(AllData[[#This Row],[Phosphate (PPM)]]&lt;=0.05, "No Evidence", ""))))</f>
        <v>Very high</v>
      </c>
      <c r="U465" s="139">
        <v>0.31</v>
      </c>
      <c r="V465" s="139" t="s">
        <v>2829</v>
      </c>
    </row>
    <row r="466" spans="1:22" x14ac:dyDescent="0.35">
      <c r="A466" s="139" t="s">
        <v>2826</v>
      </c>
      <c r="B466" s="146">
        <v>45668</v>
      </c>
      <c r="C466" s="2" t="str" cm="1">
        <f t="array" ref="C4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6">
        <v>2024</v>
      </c>
      <c r="E466" s="147">
        <v>0.4375</v>
      </c>
      <c r="F466" t="str">
        <f>IF(AND(AllData[[#This Row],[Time]]&lt;0.5, AllData[[#This Row],[Time]]&gt;0.17)=TRUE, "Morning", IF(AND(AllData[[#This Row],[Time]]&lt;0.75, AllData[[#This Row],[Time]]&gt;=0.5)=TRUE, "Afternoon", IF(AND(AllData[[#This Row],[Time]]&lt;1, AllData[[#This Row],[Time]]&gt;=0.75)=TRUE, "Evening", "Night")))</f>
        <v>Morning</v>
      </c>
      <c r="G466" t="str">
        <f>_xlfn.XLOOKUP(AllData[[#This Row],[Location Name]], Locations[Location Name],Locations[Group As])</f>
        <v>Avon Smiths Meadow Wyre Piddle</v>
      </c>
      <c r="H466" t="e" vm="6">
        <f>_xlfn.XLOOKUP(AllData[[#This Row],[Site Name]],LocationsKey[Site Name],LocationsKey[District])</f>
        <v>#VALUE!</v>
      </c>
      <c r="I466" t="e" vm="13">
        <f>_xlfn.XLOOKUP(AllData[[#This Row],[Site Name]],LocationsKey[Site Name],LocationsKey[Town])</f>
        <v>#VALUE!</v>
      </c>
      <c r="J466" t="str">
        <f>_xlfn.XLOOKUP(AllData[[#This Row],[Site Name]],LocationsKey[Site Name], LocationsKey[Waterway])</f>
        <v>Avon</v>
      </c>
      <c r="K466" s="139" t="s">
        <v>784</v>
      </c>
      <c r="L466" s="139">
        <v>52.122858999999998</v>
      </c>
      <c r="M466" s="156">
        <v>-2.0575389999999998</v>
      </c>
      <c r="N466" s="139" t="s">
        <v>34</v>
      </c>
      <c r="O466" s="139">
        <v>679</v>
      </c>
      <c r="P466" s="139">
        <v>2.6</v>
      </c>
      <c r="Q466" s="139">
        <v>5</v>
      </c>
      <c r="R466" s="107" t="str">
        <f>IF(AllData[[#This Row],[Nitrate (PPM)]]&gt;2, "Very high", IF(AllData[[#This Row],[Nitrate (PPM)]]&gt;1, "High", IF(AllData[[#This Row],[Nitrate (PPM)]]&gt;0.5, "Some evidence", IF(AllData[[#This Row],[Nitrate (PPM)]]&gt;=0, "No evidence"))))</f>
        <v>Very high</v>
      </c>
      <c r="S466" s="139">
        <v>0.54</v>
      </c>
      <c r="T466" s="7" t="str">
        <f>IF(AllData[[#This Row],[Phosphate (PPM)]]&gt;0.5, "Very high", IF(AllData[[#This Row],[Phosphate (PPM)]]&gt;0.1, "High", IF(AllData[[#This Row],[Phosphate (PPM)]]&gt;0.05, "Some evidence", IF(AllData[[#This Row],[Phosphate (PPM)]]&lt;=0.05, "No Evidence", ""))))</f>
        <v>Very high</v>
      </c>
      <c r="U466" s="139">
        <v>0.92</v>
      </c>
      <c r="V466" s="139" t="s">
        <v>2827</v>
      </c>
    </row>
    <row r="467" spans="1:22" x14ac:dyDescent="0.35">
      <c r="A467" s="139" t="s">
        <v>2830</v>
      </c>
      <c r="B467" s="146">
        <v>45668</v>
      </c>
      <c r="C467" s="2" t="str" cm="1">
        <f t="array" ref="C4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7">
        <v>2024</v>
      </c>
      <c r="E467" s="147">
        <v>0.59722222222222221</v>
      </c>
      <c r="F467" t="str">
        <f>IF(AND(AllData[[#This Row],[Time]]&lt;0.5, AllData[[#This Row],[Time]]&gt;0.17)=TRUE, "Morning", IF(AND(AllData[[#This Row],[Time]]&lt;0.75, AllData[[#This Row],[Time]]&gt;=0.5)=TRUE, "Afternoon", IF(AND(AllData[[#This Row],[Time]]&lt;1, AllData[[#This Row],[Time]]&gt;=0.75)=TRUE, "Evening", "Night")))</f>
        <v>Afternoon</v>
      </c>
      <c r="G467" t="str">
        <f>_xlfn.XLOOKUP(AllData[[#This Row],[Location Name]], Locations[Location Name],Locations[Group As])</f>
        <v>Pitch 16</v>
      </c>
      <c r="H467" t="e" vm="1">
        <f>_xlfn.XLOOKUP(AllData[[#This Row],[Site Name]],LocationsKey[Site Name],LocationsKey[District])</f>
        <v>#VALUE!</v>
      </c>
      <c r="I467" t="e" vm="12">
        <f>_xlfn.XLOOKUP(AllData[[#This Row],[Site Name]],LocationsKey[Site Name],LocationsKey[Town])</f>
        <v>#VALUE!</v>
      </c>
      <c r="J467" t="str">
        <f>_xlfn.XLOOKUP(AllData[[#This Row],[Site Name]],LocationsKey[Site Name], LocationsKey[Waterway])</f>
        <v>Avon</v>
      </c>
      <c r="K467" s="139" t="s">
        <v>2532</v>
      </c>
      <c r="L467" s="139">
        <v>52.173000000000002</v>
      </c>
      <c r="M467" s="156">
        <v>-1.7450000000000001</v>
      </c>
      <c r="N467" s="139" t="s">
        <v>31</v>
      </c>
      <c r="O467" s="139">
        <v>768</v>
      </c>
      <c r="P467" s="139">
        <v>4.5</v>
      </c>
      <c r="Q467" s="139">
        <v>3</v>
      </c>
      <c r="R467" s="107" t="str">
        <f>IF(AllData[[#This Row],[Nitrate (PPM)]]&gt;2, "Very high", IF(AllData[[#This Row],[Nitrate (PPM)]]&gt;1, "High", IF(AllData[[#This Row],[Nitrate (PPM)]]&gt;0.5, "Some evidence", IF(AllData[[#This Row],[Nitrate (PPM)]]&gt;=0, "No evidence"))))</f>
        <v>Very high</v>
      </c>
      <c r="S467" s="139">
        <v>0.19</v>
      </c>
      <c r="T467" s="7" t="str">
        <f>IF(AllData[[#This Row],[Phosphate (PPM)]]&gt;0.5, "Very high", IF(AllData[[#This Row],[Phosphate (PPM)]]&gt;0.1, "High", IF(AllData[[#This Row],[Phosphate (PPM)]]&gt;0.05, "Some evidence", IF(AllData[[#This Row],[Phosphate (PPM)]]&lt;=0.05, "No Evidence", ""))))</f>
        <v>High</v>
      </c>
      <c r="U467" s="139">
        <v>0.85</v>
      </c>
      <c r="V467" s="139"/>
    </row>
    <row r="468" spans="1:22" x14ac:dyDescent="0.35">
      <c r="A468" s="139" t="s">
        <v>2831</v>
      </c>
      <c r="B468" s="146">
        <v>45668</v>
      </c>
      <c r="C468" s="2" t="str" cm="1">
        <f t="array" ref="C4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8">
        <v>2024</v>
      </c>
      <c r="E468" s="147">
        <v>0.61458333333333337</v>
      </c>
      <c r="F468" t="str">
        <f>IF(AND(AllData[[#This Row],[Time]]&lt;0.5, AllData[[#This Row],[Time]]&gt;0.17)=TRUE, "Morning", IF(AND(AllData[[#This Row],[Time]]&lt;0.75, AllData[[#This Row],[Time]]&gt;=0.5)=TRUE, "Afternoon", IF(AND(AllData[[#This Row],[Time]]&lt;1, AllData[[#This Row],[Time]]&gt;=0.75)=TRUE, "Evening", "Night")))</f>
        <v>Afternoon</v>
      </c>
      <c r="G468" t="str">
        <f>_xlfn.XLOOKUP(AllData[[#This Row],[Location Name]], Locations[Location Name],Locations[Group As])</f>
        <v>Avonbank Drive</v>
      </c>
      <c r="H468" t="e" vm="1">
        <f>_xlfn.XLOOKUP(AllData[[#This Row],[Site Name]],LocationsKey[Site Name],LocationsKey[District])</f>
        <v>#VALUE!</v>
      </c>
      <c r="I468" t="e" vm="12">
        <f>_xlfn.XLOOKUP(AllData[[#This Row],[Site Name]],LocationsKey[Site Name],LocationsKey[Town])</f>
        <v>#VALUE!</v>
      </c>
      <c r="J468" t="str">
        <f>_xlfn.XLOOKUP(AllData[[#This Row],[Site Name]],LocationsKey[Site Name], LocationsKey[Waterway])</f>
        <v>Avon</v>
      </c>
      <c r="K468" s="139" t="s">
        <v>2530</v>
      </c>
      <c r="L468" s="139">
        <v>52.177</v>
      </c>
      <c r="M468" s="156">
        <v>-1.736</v>
      </c>
      <c r="N468" s="139" t="s">
        <v>68</v>
      </c>
      <c r="O468" s="139">
        <v>765</v>
      </c>
      <c r="P468" s="139">
        <v>4.5999999999999996</v>
      </c>
      <c r="Q468" s="139">
        <v>3</v>
      </c>
      <c r="R468" s="107" t="str">
        <f>IF(AllData[[#This Row],[Nitrate (PPM)]]&gt;2, "Very high", IF(AllData[[#This Row],[Nitrate (PPM)]]&gt;1, "High", IF(AllData[[#This Row],[Nitrate (PPM)]]&gt;0.5, "Some evidence", IF(AllData[[#This Row],[Nitrate (PPM)]]&gt;=0, "No evidence"))))</f>
        <v>Very high</v>
      </c>
      <c r="S468" s="139">
        <v>0.24</v>
      </c>
      <c r="T468" s="7" t="str">
        <f>IF(AllData[[#This Row],[Phosphate (PPM)]]&gt;0.5, "Very high", IF(AllData[[#This Row],[Phosphate (PPM)]]&gt;0.1, "High", IF(AllData[[#This Row],[Phosphate (PPM)]]&gt;0.05, "Some evidence", IF(AllData[[#This Row],[Phosphate (PPM)]]&lt;=0.05, "No Evidence", ""))))</f>
        <v>High</v>
      </c>
      <c r="U468" s="139">
        <v>0.85</v>
      </c>
      <c r="V468" s="139"/>
    </row>
    <row r="469" spans="1:22" x14ac:dyDescent="0.35">
      <c r="A469" t="s">
        <v>2823</v>
      </c>
      <c r="B469" s="143">
        <v>45667</v>
      </c>
      <c r="C469" s="2" t="str" cm="1">
        <f t="array" ref="C4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69">
        <v>2024</v>
      </c>
      <c r="E469" s="1">
        <v>0.57708333333333328</v>
      </c>
      <c r="F469" t="str">
        <f>IF(AND(AllData[[#This Row],[Time]]&lt;0.5, AllData[[#This Row],[Time]]&gt;0.17)=TRUE, "Morning", IF(AND(AllData[[#This Row],[Time]]&lt;0.75, AllData[[#This Row],[Time]]&gt;=0.5)=TRUE, "Afternoon", IF(AND(AllData[[#This Row],[Time]]&lt;1, AllData[[#This Row],[Time]]&gt;=0.75)=TRUE, "Evening", "Night")))</f>
        <v>Afternoon</v>
      </c>
      <c r="G469" t="str">
        <f>_xlfn.XLOOKUP(AllData[[#This Row],[Location Name]], Locations[Location Name],Locations[Group As])</f>
        <v>Carrant Back Lane Beckford</v>
      </c>
      <c r="H469" t="e" vm="4">
        <f>_xlfn.XLOOKUP(AllData[[#This Row],[Site Name]],LocationsKey[Site Name],LocationsKey[District])</f>
        <v>#VALUE!</v>
      </c>
      <c r="I469" t="str">
        <f>_xlfn.XLOOKUP(AllData[[#This Row],[Site Name]],LocationsKey[Site Name],LocationsKey[Town])</f>
        <v>Beckford</v>
      </c>
      <c r="J469" t="str">
        <f>_xlfn.XLOOKUP(AllData[[#This Row],[Site Name]],LocationsKey[Site Name], LocationsKey[Waterway])</f>
        <v>Carrant</v>
      </c>
      <c r="K469" t="s">
        <v>1736</v>
      </c>
      <c r="L469">
        <v>52.018455000000003</v>
      </c>
      <c r="M469">
        <v>-2.0387390000000001</v>
      </c>
      <c r="N469" t="s">
        <v>68</v>
      </c>
      <c r="O469">
        <v>698</v>
      </c>
      <c r="P469">
        <v>5.8</v>
      </c>
      <c r="Q469">
        <v>7</v>
      </c>
      <c r="R469" s="107" t="str">
        <f>IF(AllData[[#This Row],[Nitrate (PPM)]]&gt;2, "Very high", IF(AllData[[#This Row],[Nitrate (PPM)]]&gt;1, "High", IF(AllData[[#This Row],[Nitrate (PPM)]]&gt;0.5, "Some evidence", IF(AllData[[#This Row],[Nitrate (PPM)]]&gt;=0, "No evidence"))))</f>
        <v>Very high</v>
      </c>
      <c r="S469">
        <v>0.1</v>
      </c>
      <c r="T469" s="7" t="str">
        <f>IF(AllData[[#This Row],[Phosphate (PPM)]]&gt;0.5, "Very high", IF(AllData[[#This Row],[Phosphate (PPM)]]&gt;0.1, "High", IF(AllData[[#This Row],[Phosphate (PPM)]]&gt;0.05, "Some evidence", IF(AllData[[#This Row],[Phosphate (PPM)]]&lt;=0.05, "No Evidence", ""))))</f>
        <v>Some evidence</v>
      </c>
      <c r="U469">
        <v>0.28999999999999998</v>
      </c>
      <c r="V469" t="s">
        <v>2824</v>
      </c>
    </row>
    <row r="470" spans="1:22" x14ac:dyDescent="0.35">
      <c r="A470" s="139" t="s">
        <v>2825</v>
      </c>
      <c r="B470" s="146">
        <v>45667</v>
      </c>
      <c r="C470" s="2" t="str" cm="1">
        <f t="array" ref="C4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0">
        <v>2024</v>
      </c>
      <c r="E470" s="147">
        <v>0.66319444444444442</v>
      </c>
      <c r="F470" t="str">
        <f>IF(AND(AllData[[#This Row],[Time]]&lt;0.5, AllData[[#This Row],[Time]]&gt;0.17)=TRUE, "Morning", IF(AND(AllData[[#This Row],[Time]]&lt;0.75, AllData[[#This Row],[Time]]&gt;=0.5)=TRUE, "Afternoon", IF(AND(AllData[[#This Row],[Time]]&lt;1, AllData[[#This Row],[Time]]&gt;=0.75)=TRUE, "Evening", "Night")))</f>
        <v>Afternoon</v>
      </c>
      <c r="G470" t="str">
        <f>_xlfn.XLOOKUP(AllData[[#This Row],[Location Name]], Locations[Location Name],Locations[Group As])</f>
        <v>Stour Shipston Mill Bridge</v>
      </c>
      <c r="H470" t="e" vm="1">
        <f>_xlfn.XLOOKUP(AllData[[#This Row],[Site Name]],LocationsKey[Site Name],LocationsKey[District])</f>
        <v>#VALUE!</v>
      </c>
      <c r="I470" t="e" vm="15">
        <f>_xlfn.XLOOKUP(AllData[[#This Row],[Site Name]],LocationsKey[Site Name],LocationsKey[Town])</f>
        <v>#VALUE!</v>
      </c>
      <c r="J470" t="str">
        <f>_xlfn.XLOOKUP(AllData[[#This Row],[Site Name]],LocationsKey[Site Name], LocationsKey[Waterway])</f>
        <v>Stour</v>
      </c>
      <c r="K470" s="139" t="s">
        <v>2006</v>
      </c>
      <c r="L470" s="139">
        <v>52.062387999999999</v>
      </c>
      <c r="M470" s="156">
        <v>-1.623116</v>
      </c>
      <c r="N470" s="139"/>
      <c r="O470" s="139">
        <v>6.5</v>
      </c>
      <c r="P470" s="139">
        <v>1</v>
      </c>
      <c r="Q470" s="139">
        <v>2</v>
      </c>
      <c r="R470" s="107" t="str">
        <f>IF(AllData[[#This Row],[Nitrate (PPM)]]&gt;2, "Very high", IF(AllData[[#This Row],[Nitrate (PPM)]]&gt;1, "High", IF(AllData[[#This Row],[Nitrate (PPM)]]&gt;0.5, "Some evidence", IF(AllData[[#This Row],[Nitrate (PPM)]]&gt;=0, "No evidence"))))</f>
        <v>High</v>
      </c>
      <c r="S470" s="139">
        <v>0.18</v>
      </c>
      <c r="T470" s="7" t="str">
        <f>IF(AllData[[#This Row],[Phosphate (PPM)]]&gt;0.5, "Very high", IF(AllData[[#This Row],[Phosphate (PPM)]]&gt;0.1, "High", IF(AllData[[#This Row],[Phosphate (PPM)]]&gt;0.05, "Some evidence", IF(AllData[[#This Row],[Phosphate (PPM)]]&lt;=0.05, "No Evidence", ""))))</f>
        <v>High</v>
      </c>
      <c r="U470" s="139">
        <v>0.75</v>
      </c>
      <c r="V470" s="139"/>
    </row>
    <row r="471" spans="1:22" x14ac:dyDescent="0.35">
      <c r="A471" t="s">
        <v>2821</v>
      </c>
      <c r="B471" s="143">
        <v>45667</v>
      </c>
      <c r="C471" s="2" t="str" cm="1">
        <f t="array" ref="C4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1">
        <v>2024</v>
      </c>
      <c r="E471" s="1">
        <v>0.48125000000000001</v>
      </c>
      <c r="F471" t="str">
        <f>IF(AND(AllData[[#This Row],[Time]]&lt;0.5, AllData[[#This Row],[Time]]&gt;0.17)=TRUE, "Morning", IF(AND(AllData[[#This Row],[Time]]&lt;0.75, AllData[[#This Row],[Time]]&gt;=0.5)=TRUE, "Afternoon", IF(AND(AllData[[#This Row],[Time]]&lt;1, AllData[[#This Row],[Time]]&gt;=0.75)=TRUE, "Evening", "Night")))</f>
        <v>Morning</v>
      </c>
      <c r="G471" t="str">
        <f>_xlfn.XLOOKUP(AllData[[#This Row],[Location Name]], Locations[Location Name],Locations[Group As])</f>
        <v>Mill Bridge Peopleton</v>
      </c>
      <c r="H471" t="e" vm="6">
        <f>_xlfn.XLOOKUP(AllData[[#This Row],[Site Name]],LocationsKey[Site Name],LocationsKey[District])</f>
        <v>#VALUE!</v>
      </c>
      <c r="I471" t="str">
        <f>_xlfn.XLOOKUP(AllData[[#This Row],[Site Name]],LocationsKey[Site Name],LocationsKey[Town])</f>
        <v>Peopleton</v>
      </c>
      <c r="J471" t="str">
        <f>_xlfn.XLOOKUP(AllData[[#This Row],[Site Name]],LocationsKey[Site Name], LocationsKey[Waterway])</f>
        <v>Bow Brook</v>
      </c>
      <c r="K471" t="s">
        <v>1015</v>
      </c>
      <c r="L471">
        <v>52.151510999999999</v>
      </c>
      <c r="M471">
        <v>-2.0960540000000001</v>
      </c>
      <c r="N471" t="s">
        <v>31</v>
      </c>
      <c r="O471">
        <v>785</v>
      </c>
      <c r="P471">
        <v>3.9</v>
      </c>
      <c r="Q471">
        <v>1.5</v>
      </c>
      <c r="R471" s="107" t="str">
        <f>IF(AllData[[#This Row],[Nitrate (PPM)]]&gt;2, "Very high", IF(AllData[[#This Row],[Nitrate (PPM)]]&gt;1, "High", IF(AllData[[#This Row],[Nitrate (PPM)]]&gt;0.5, "Some evidence", IF(AllData[[#This Row],[Nitrate (PPM)]]&gt;=0, "No evidence"))))</f>
        <v>High</v>
      </c>
      <c r="S471">
        <v>0.44</v>
      </c>
      <c r="T471" s="7" t="str">
        <f>IF(AllData[[#This Row],[Phosphate (PPM)]]&gt;0.5, "Very high", IF(AllData[[#This Row],[Phosphate (PPM)]]&gt;0.1, "High", IF(AllData[[#This Row],[Phosphate (PPM)]]&gt;0.05, "Some evidence", IF(AllData[[#This Row],[Phosphate (PPM)]]&lt;=0.05, "No Evidence", ""))))</f>
        <v>High</v>
      </c>
      <c r="U471">
        <v>0.85</v>
      </c>
      <c r="V471" t="s">
        <v>2822</v>
      </c>
    </row>
    <row r="472" spans="1:22" x14ac:dyDescent="0.35">
      <c r="A472" t="s">
        <v>2818</v>
      </c>
      <c r="B472" s="143">
        <v>45666</v>
      </c>
      <c r="C472" s="2" t="str" cm="1">
        <f t="array" ref="C4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2">
        <v>2024</v>
      </c>
      <c r="E472" s="1">
        <v>0.54861111111111116</v>
      </c>
      <c r="F472" t="str">
        <f>IF(AND(AllData[[#This Row],[Time]]&lt;0.5, AllData[[#This Row],[Time]]&gt;0.17)=TRUE, "Morning", IF(AND(AllData[[#This Row],[Time]]&lt;0.75, AllData[[#This Row],[Time]]&gt;=0.5)=TRUE, "Afternoon", IF(AND(AllData[[#This Row],[Time]]&lt;1, AllData[[#This Row],[Time]]&gt;=0.75)=TRUE, "Evening", "Night")))</f>
        <v>Afternoon</v>
      </c>
      <c r="G472" t="str">
        <f>_xlfn.XLOOKUP(AllData[[#This Row],[Location Name]], Locations[Location Name],Locations[Group As])</f>
        <v>The Ford, Langley</v>
      </c>
      <c r="H472" t="e" vm="1">
        <f>_xlfn.XLOOKUP(AllData[[#This Row],[Site Name]],LocationsKey[Site Name],LocationsKey[District])</f>
        <v>#VALUE!</v>
      </c>
      <c r="I472" t="str">
        <f>_xlfn.XLOOKUP(AllData[[#This Row],[Site Name]],LocationsKey[Site Name],LocationsKey[Town])</f>
        <v>Langley</v>
      </c>
      <c r="J472" t="str">
        <f>_xlfn.XLOOKUP(AllData[[#This Row],[Site Name]],LocationsKey[Site Name], LocationsKey[Waterway])</f>
        <v>Langley Ford</v>
      </c>
      <c r="K472" t="s">
        <v>561</v>
      </c>
      <c r="L472">
        <v>52.25985</v>
      </c>
      <c r="M472">
        <v>-1.7184999999999999</v>
      </c>
      <c r="N472" t="s">
        <v>31</v>
      </c>
      <c r="O472">
        <v>539</v>
      </c>
      <c r="P472">
        <v>5.3</v>
      </c>
      <c r="Q472">
        <v>5</v>
      </c>
      <c r="R472" s="107" t="str">
        <f>IF(AllData[[#This Row],[Nitrate (PPM)]]&gt;2, "Very high", IF(AllData[[#This Row],[Nitrate (PPM)]]&gt;1, "High", IF(AllData[[#This Row],[Nitrate (PPM)]]&gt;0.5, "Some evidence", IF(AllData[[#This Row],[Nitrate (PPM)]]&gt;=0, "No evidence"))))</f>
        <v>Very high</v>
      </c>
      <c r="S472">
        <v>0.69</v>
      </c>
      <c r="T472" s="7" t="str">
        <f>IF(AllData[[#This Row],[Phosphate (PPM)]]&gt;0.5, "Very high", IF(AllData[[#This Row],[Phosphate (PPM)]]&gt;0.1, "High", IF(AllData[[#This Row],[Phosphate (PPM)]]&gt;0.05, "Some evidence", IF(AllData[[#This Row],[Phosphate (PPM)]]&lt;=0.05, "No Evidence", ""))))</f>
        <v>Very high</v>
      </c>
      <c r="U472">
        <v>0.65</v>
      </c>
      <c r="V472" t="s">
        <v>2819</v>
      </c>
    </row>
    <row r="473" spans="1:22" x14ac:dyDescent="0.35">
      <c r="A473" t="s">
        <v>2820</v>
      </c>
      <c r="B473" s="143">
        <v>45666</v>
      </c>
      <c r="C473" s="2" t="str" cm="1">
        <f t="array" ref="C4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3">
        <v>2024</v>
      </c>
      <c r="E473" s="1">
        <v>0.49444444444444446</v>
      </c>
      <c r="F473" t="str">
        <f>IF(AND(AllData[[#This Row],[Time]]&lt;0.5, AllData[[#This Row],[Time]]&gt;0.17)=TRUE, "Morning", IF(AND(AllData[[#This Row],[Time]]&lt;0.75, AllData[[#This Row],[Time]]&gt;=0.5)=TRUE, "Afternoon", IF(AND(AllData[[#This Row],[Time]]&lt;1, AllData[[#This Row],[Time]]&gt;=0.75)=TRUE, "Evening", "Night")))</f>
        <v>Morning</v>
      </c>
      <c r="G473" t="str">
        <f>_xlfn.XLOOKUP(AllData[[#This Row],[Location Name]], Locations[Location Name],Locations[Group As])</f>
        <v>Preston-on-Stour River Bridge</v>
      </c>
      <c r="H473" t="e" vm="1">
        <f>_xlfn.XLOOKUP(AllData[[#This Row],[Site Name]],LocationsKey[Site Name],LocationsKey[District])</f>
        <v>#VALUE!</v>
      </c>
      <c r="I473" t="e" vm="20">
        <f>_xlfn.XLOOKUP(AllData[[#This Row],[Site Name]],LocationsKey[Site Name],LocationsKey[Town])</f>
        <v>#VALUE!</v>
      </c>
      <c r="J473" t="str">
        <f>_xlfn.XLOOKUP(AllData[[#This Row],[Site Name]],LocationsKey[Site Name], LocationsKey[Waterway])</f>
        <v>Stour</v>
      </c>
      <c r="K473" t="s">
        <v>164</v>
      </c>
      <c r="L473">
        <v>52.146362000000003</v>
      </c>
      <c r="M473">
        <v>-1.699757</v>
      </c>
      <c r="N473" t="s">
        <v>31</v>
      </c>
      <c r="O473">
        <v>626</v>
      </c>
      <c r="P473">
        <v>4.4000000000000004</v>
      </c>
      <c r="Q473">
        <v>4</v>
      </c>
      <c r="R473" s="107" t="str">
        <f>IF(AllData[[#This Row],[Nitrate (PPM)]]&gt;2, "Very high", IF(AllData[[#This Row],[Nitrate (PPM)]]&gt;1, "High", IF(AllData[[#This Row],[Nitrate (PPM)]]&gt;0.5, "Some evidence", IF(AllData[[#This Row],[Nitrate (PPM)]]&gt;=0, "No evidence"))))</f>
        <v>Very high</v>
      </c>
      <c r="S473">
        <v>0.15</v>
      </c>
      <c r="T473" s="7" t="str">
        <f>IF(AllData[[#This Row],[Phosphate (PPM)]]&gt;0.5, "Very high", IF(AllData[[#This Row],[Phosphate (PPM)]]&gt;0.1, "High", IF(AllData[[#This Row],[Phosphate (PPM)]]&gt;0.05, "Some evidence", IF(AllData[[#This Row],[Phosphate (PPM)]]&lt;=0.05, "No Evidence", ""))))</f>
        <v>High</v>
      </c>
      <c r="U473">
        <v>2</v>
      </c>
    </row>
    <row r="474" spans="1:22" x14ac:dyDescent="0.35">
      <c r="A474" t="s">
        <v>2816</v>
      </c>
      <c r="B474" s="143">
        <v>45665</v>
      </c>
      <c r="C474" s="2" t="str" cm="1">
        <f t="array" ref="C4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4">
        <v>2024</v>
      </c>
      <c r="E474" s="1">
        <v>0.39652777777777776</v>
      </c>
      <c r="F474" t="str">
        <f>IF(AND(AllData[[#This Row],[Time]]&lt;0.5, AllData[[#This Row],[Time]]&gt;0.17)=TRUE, "Morning", IF(AND(AllData[[#This Row],[Time]]&lt;0.75, AllData[[#This Row],[Time]]&gt;=0.5)=TRUE, "Afternoon", IF(AND(AllData[[#This Row],[Time]]&lt;1, AllData[[#This Row],[Time]]&gt;=0.75)=TRUE, "Evening", "Night")))</f>
        <v>Morning</v>
      </c>
      <c r="G474" t="str">
        <f>_xlfn.XLOOKUP(AllData[[#This Row],[Location Name]], Locations[Location Name],Locations[Group As])</f>
        <v>Twyning Fleet</v>
      </c>
      <c r="H474" t="e" vm="4">
        <f>_xlfn.XLOOKUP(AllData[[#This Row],[Site Name]],LocationsKey[Site Name],LocationsKey[District])</f>
        <v>#VALUE!</v>
      </c>
      <c r="I474" t="str">
        <f>_xlfn.XLOOKUP(AllData[[#This Row],[Site Name]],LocationsKey[Site Name],LocationsKey[Town])</f>
        <v>Twyning Green</v>
      </c>
      <c r="J474" t="str">
        <f>_xlfn.XLOOKUP(AllData[[#This Row],[Site Name]],LocationsKey[Site Name], LocationsKey[Waterway])</f>
        <v>Avon</v>
      </c>
      <c r="K474" t="s">
        <v>2117</v>
      </c>
      <c r="L474">
        <v>52.027473999999998</v>
      </c>
      <c r="M474">
        <v>-2.141464</v>
      </c>
      <c r="O474">
        <v>372</v>
      </c>
      <c r="P474">
        <v>4.4000000000000004</v>
      </c>
      <c r="Q474">
        <v>5</v>
      </c>
      <c r="R474" s="107" t="str">
        <f>IF(AllData[[#This Row],[Nitrate (PPM)]]&gt;2, "Very high", IF(AllData[[#This Row],[Nitrate (PPM)]]&gt;1, "High", IF(AllData[[#This Row],[Nitrate (PPM)]]&gt;0.5, "Some evidence", IF(AllData[[#This Row],[Nitrate (PPM)]]&gt;=0, "No evidence"))))</f>
        <v>Very high</v>
      </c>
      <c r="S474">
        <v>0.62</v>
      </c>
      <c r="T474" s="7" t="str">
        <f>IF(AllData[[#This Row],[Phosphate (PPM)]]&gt;0.5, "Very high", IF(AllData[[#This Row],[Phosphate (PPM)]]&gt;0.1, "High", IF(AllData[[#This Row],[Phosphate (PPM)]]&gt;0.05, "Some evidence", IF(AllData[[#This Row],[Phosphate (PPM)]]&lt;=0.05, "No Evidence", ""))))</f>
        <v>Very high</v>
      </c>
      <c r="U474">
        <v>3</v>
      </c>
      <c r="V474" t="s">
        <v>2817</v>
      </c>
    </row>
    <row r="475" spans="1:22" x14ac:dyDescent="0.35">
      <c r="A475" t="s">
        <v>2812</v>
      </c>
      <c r="B475" s="143">
        <v>45664</v>
      </c>
      <c r="C475" s="2" t="str" cm="1">
        <f t="array" ref="C4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5">
        <v>2024</v>
      </c>
      <c r="E475" s="1">
        <v>0.62847222222222221</v>
      </c>
      <c r="F475" t="str">
        <f>IF(AND(AllData[[#This Row],[Time]]&lt;0.5, AllData[[#This Row],[Time]]&gt;0.17)=TRUE, "Morning", IF(AND(AllData[[#This Row],[Time]]&lt;0.75, AllData[[#This Row],[Time]]&gt;=0.5)=TRUE, "Afternoon", IF(AND(AllData[[#This Row],[Time]]&lt;1, AllData[[#This Row],[Time]]&gt;=0.75)=TRUE, "Evening", "Night")))</f>
        <v>Afternoon</v>
      </c>
      <c r="G475" t="str">
        <f>_xlfn.XLOOKUP(AllData[[#This Row],[Location Name]], Locations[Location Name],Locations[Group As])</f>
        <v>New Barn Farm Brailes</v>
      </c>
      <c r="H475" t="e" vm="1">
        <f>_xlfn.XLOOKUP(AllData[[#This Row],[Site Name]],LocationsKey[Site Name],LocationsKey[District])</f>
        <v>#VALUE!</v>
      </c>
      <c r="I475" t="e" vm="5">
        <f>_xlfn.XLOOKUP(AllData[[#This Row],[Site Name]],LocationsKey[Site Name],LocationsKey[Town])</f>
        <v>#VALUE!</v>
      </c>
      <c r="J475" t="str">
        <f>_xlfn.XLOOKUP(AllData[[#This Row],[Site Name]],LocationsKey[Site Name], LocationsKey[Waterway])</f>
        <v>Sutton Brook</v>
      </c>
      <c r="K475" t="s">
        <v>2813</v>
      </c>
      <c r="N475" t="s">
        <v>31</v>
      </c>
      <c r="O475">
        <v>488</v>
      </c>
      <c r="P475">
        <v>8.3000000000000007</v>
      </c>
      <c r="Q475">
        <v>5</v>
      </c>
      <c r="R475" s="107" t="str">
        <f>IF(AllData[[#This Row],[Nitrate (PPM)]]&gt;2, "Very high", IF(AllData[[#This Row],[Nitrate (PPM)]]&gt;1, "High", IF(AllData[[#This Row],[Nitrate (PPM)]]&gt;0.5, "Some evidence", IF(AllData[[#This Row],[Nitrate (PPM)]]&gt;=0, "No evidence"))))</f>
        <v>Very high</v>
      </c>
      <c r="S475">
        <v>0.3</v>
      </c>
      <c r="T475" s="7" t="str">
        <f>IF(AllData[[#This Row],[Phosphate (PPM)]]&gt;0.5, "Very high", IF(AllData[[#This Row],[Phosphate (PPM)]]&gt;0.1, "High", IF(AllData[[#This Row],[Phosphate (PPM)]]&gt;0.05, "Some evidence", IF(AllData[[#This Row],[Phosphate (PPM)]]&lt;=0.05, "No Evidence", ""))))</f>
        <v>High</v>
      </c>
      <c r="U475">
        <v>0.5</v>
      </c>
      <c r="V475" t="s">
        <v>2814</v>
      </c>
    </row>
    <row r="476" spans="1:22" x14ac:dyDescent="0.35">
      <c r="A476" t="s">
        <v>2810</v>
      </c>
      <c r="B476" s="143">
        <v>45664</v>
      </c>
      <c r="C476" s="2" t="str" cm="1">
        <f t="array" ref="C4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6">
        <v>2024</v>
      </c>
      <c r="E476" s="1">
        <v>0.63541666666666663</v>
      </c>
      <c r="F476" t="str">
        <f>IF(AND(AllData[[#This Row],[Time]]&lt;0.5, AllData[[#This Row],[Time]]&gt;0.17)=TRUE, "Morning", IF(AND(AllData[[#This Row],[Time]]&lt;0.75, AllData[[#This Row],[Time]]&gt;=0.5)=TRUE, "Afternoon", IF(AND(AllData[[#This Row],[Time]]&lt;1, AllData[[#This Row],[Time]]&gt;=0.75)=TRUE, "Evening", "Night")))</f>
        <v>Afternoon</v>
      </c>
      <c r="G476" t="str">
        <f>_xlfn.XLOOKUP(AllData[[#This Row],[Location Name]], Locations[Location Name],Locations[Group As])</f>
        <v>High Street Brailes</v>
      </c>
      <c r="H476" t="e" vm="1">
        <f>_xlfn.XLOOKUP(AllData[[#This Row],[Site Name]],LocationsKey[Site Name],LocationsKey[District])</f>
        <v>#VALUE!</v>
      </c>
      <c r="I476" t="e" vm="5">
        <f>_xlfn.XLOOKUP(AllData[[#This Row],[Site Name]],LocationsKey[Site Name],LocationsKey[Town])</f>
        <v>#VALUE!</v>
      </c>
      <c r="J476" t="str">
        <f>_xlfn.XLOOKUP(AllData[[#This Row],[Site Name]],LocationsKey[Site Name], LocationsKey[Waterway])</f>
        <v>Sutton Brook</v>
      </c>
      <c r="K476" t="s">
        <v>2811</v>
      </c>
      <c r="N476" t="s">
        <v>68</v>
      </c>
      <c r="O476">
        <v>484</v>
      </c>
      <c r="P476">
        <v>7.3</v>
      </c>
      <c r="Q476">
        <v>5</v>
      </c>
      <c r="R476" s="107" t="str">
        <f>IF(AllData[[#This Row],[Nitrate (PPM)]]&gt;2, "Very high", IF(AllData[[#This Row],[Nitrate (PPM)]]&gt;1, "High", IF(AllData[[#This Row],[Nitrate (PPM)]]&gt;0.5, "Some evidence", IF(AllData[[#This Row],[Nitrate (PPM)]]&gt;=0, "No evidence"))))</f>
        <v>Very high</v>
      </c>
      <c r="S476">
        <v>0.15</v>
      </c>
      <c r="T476" s="7" t="str">
        <f>IF(AllData[[#This Row],[Phosphate (PPM)]]&gt;0.5, "Very high", IF(AllData[[#This Row],[Phosphate (PPM)]]&gt;0.1, "High", IF(AllData[[#This Row],[Phosphate (PPM)]]&gt;0.05, "Some evidence", IF(AllData[[#This Row],[Phosphate (PPM)]]&lt;=0.05, "No Evidence", ""))))</f>
        <v>High</v>
      </c>
      <c r="U476">
        <v>0.5</v>
      </c>
    </row>
    <row r="477" spans="1:22" x14ac:dyDescent="0.35">
      <c r="A477" t="s">
        <v>2815</v>
      </c>
      <c r="B477" s="143">
        <v>45664</v>
      </c>
      <c r="C477" s="2" t="str" cm="1">
        <f t="array" ref="C4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7">
        <v>2024</v>
      </c>
      <c r="E477" s="1">
        <v>0.59305555555555556</v>
      </c>
      <c r="F477" t="str">
        <f>IF(AND(AllData[[#This Row],[Time]]&lt;0.5, AllData[[#This Row],[Time]]&gt;0.17)=TRUE, "Morning", IF(AND(AllData[[#This Row],[Time]]&lt;0.75, AllData[[#This Row],[Time]]&gt;=0.5)=TRUE, "Afternoon", IF(AND(AllData[[#This Row],[Time]]&lt;1, AllData[[#This Row],[Time]]&gt;=0.75)=TRUE, "Evening", "Night")))</f>
        <v>Afternoon</v>
      </c>
      <c r="G477" t="str">
        <f>_xlfn.XLOOKUP(AllData[[#This Row],[Location Name]], Locations[Location Name],Locations[Group As])</f>
        <v>Abbey Mill</v>
      </c>
      <c r="H477" t="e" vm="4">
        <f>_xlfn.XLOOKUP(AllData[[#This Row],[Site Name]],LocationsKey[Site Name],LocationsKey[District])</f>
        <v>#VALUE!</v>
      </c>
      <c r="I477" t="e" vm="4">
        <f>_xlfn.XLOOKUP(AllData[[#This Row],[Site Name]],LocationsKey[Site Name],LocationsKey[Town])</f>
        <v>#VALUE!</v>
      </c>
      <c r="J477" t="str">
        <f>_xlfn.XLOOKUP(AllData[[#This Row],[Site Name]],LocationsKey[Site Name], LocationsKey[Waterway])</f>
        <v>Avon</v>
      </c>
      <c r="K477" t="s">
        <v>27</v>
      </c>
      <c r="L477">
        <v>51.989902999999998</v>
      </c>
      <c r="M477">
        <v>-2.1616360000000001</v>
      </c>
      <c r="N477" t="s">
        <v>31</v>
      </c>
      <c r="O477">
        <v>464</v>
      </c>
      <c r="P477">
        <v>6.3</v>
      </c>
      <c r="Q477">
        <v>2</v>
      </c>
      <c r="R477" s="107" t="str">
        <f>IF(AllData[[#This Row],[Nitrate (PPM)]]&gt;2, "Very high", IF(AllData[[#This Row],[Nitrate (PPM)]]&gt;1, "High", IF(AllData[[#This Row],[Nitrate (PPM)]]&gt;0.5, "Some evidence", IF(AllData[[#This Row],[Nitrate (PPM)]]&gt;=0, "No evidence"))))</f>
        <v>High</v>
      </c>
      <c r="S477">
        <v>0.35</v>
      </c>
      <c r="T477" s="7" t="str">
        <f>IF(AllData[[#This Row],[Phosphate (PPM)]]&gt;0.5, "Very high", IF(AllData[[#This Row],[Phosphate (PPM)]]&gt;0.1, "High", IF(AllData[[#This Row],[Phosphate (PPM)]]&gt;0.05, "Some evidence", IF(AllData[[#This Row],[Phosphate (PPM)]]&lt;=0.05, "No Evidence", ""))))</f>
        <v>High</v>
      </c>
      <c r="U477">
        <v>2.5</v>
      </c>
      <c r="V477" t="s">
        <v>882</v>
      </c>
    </row>
    <row r="478" spans="1:22" x14ac:dyDescent="0.35">
      <c r="A478" t="s">
        <v>2805</v>
      </c>
      <c r="B478" s="143">
        <v>45663</v>
      </c>
      <c r="C478" s="2" t="str" cm="1">
        <f t="array" ref="C4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8">
        <v>2024</v>
      </c>
      <c r="E478" s="1">
        <v>0.4861111111111111</v>
      </c>
      <c r="F478" t="str">
        <f>IF(AND(AllData[[#This Row],[Time]]&lt;0.5, AllData[[#This Row],[Time]]&gt;0.17)=TRUE, "Morning", IF(AND(AllData[[#This Row],[Time]]&lt;0.75, AllData[[#This Row],[Time]]&gt;=0.5)=TRUE, "Afternoon", IF(AND(AllData[[#This Row],[Time]]&lt;1, AllData[[#This Row],[Time]]&gt;=0.75)=TRUE, "Evening", "Night")))</f>
        <v>Morning</v>
      </c>
      <c r="G478" t="str">
        <f>_xlfn.XLOOKUP(AllData[[#This Row],[Location Name]], Locations[Location Name],Locations[Group As])</f>
        <v>Swiffen Bank</v>
      </c>
      <c r="H478" t="e" vm="1">
        <f>_xlfn.XLOOKUP(AllData[[#This Row],[Site Name]],LocationsKey[Site Name],LocationsKey[District])</f>
        <v>#VALUE!</v>
      </c>
      <c r="I478" t="e" vm="2">
        <f>_xlfn.XLOOKUP(AllData[[#This Row],[Site Name]],LocationsKey[Site Name],LocationsKey[Town])</f>
        <v>#VALUE!</v>
      </c>
      <c r="J478" t="str">
        <f>_xlfn.XLOOKUP(AllData[[#This Row],[Site Name]],LocationsKey[Site Name], LocationsKey[Waterway])</f>
        <v>Avon</v>
      </c>
      <c r="K478" t="s">
        <v>286</v>
      </c>
      <c r="L478">
        <v>52.206477999999997</v>
      </c>
      <c r="M478">
        <v>-1.653894</v>
      </c>
      <c r="N478" t="s">
        <v>31</v>
      </c>
      <c r="O478">
        <v>566</v>
      </c>
      <c r="P478">
        <v>10.3</v>
      </c>
      <c r="Q478">
        <v>5</v>
      </c>
      <c r="R478" s="107" t="str">
        <f>IF(AllData[[#This Row],[Nitrate (PPM)]]&gt;2, "Very high", IF(AllData[[#This Row],[Nitrate (PPM)]]&gt;1, "High", IF(AllData[[#This Row],[Nitrate (PPM)]]&gt;0.5, "Some evidence", IF(AllData[[#This Row],[Nitrate (PPM)]]&gt;=0, "No evidence"))))</f>
        <v>Very high</v>
      </c>
      <c r="S478">
        <v>0.63</v>
      </c>
      <c r="T478" s="7" t="str">
        <f>IF(AllData[[#This Row],[Phosphate (PPM)]]&gt;0.5, "Very high", IF(AllData[[#This Row],[Phosphate (PPM)]]&gt;0.1, "High", IF(AllData[[#This Row],[Phosphate (PPM)]]&gt;0.05, "Some evidence", IF(AllData[[#This Row],[Phosphate (PPM)]]&lt;=0.05, "No Evidence", ""))))</f>
        <v>Very high</v>
      </c>
      <c r="U478">
        <v>1.5</v>
      </c>
      <c r="V478" t="s">
        <v>2806</v>
      </c>
    </row>
    <row r="479" spans="1:22" x14ac:dyDescent="0.35">
      <c r="A479" t="s">
        <v>2801</v>
      </c>
      <c r="B479" s="143">
        <v>45663</v>
      </c>
      <c r="C479" s="2" t="str" cm="1">
        <f t="array" ref="C4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79">
        <v>2024</v>
      </c>
      <c r="E479" s="1">
        <v>0.49930555555555556</v>
      </c>
      <c r="F479" t="str">
        <f>IF(AND(AllData[[#This Row],[Time]]&lt;0.5, AllData[[#This Row],[Time]]&gt;0.17)=TRUE, "Morning", IF(AND(AllData[[#This Row],[Time]]&lt;0.75, AllData[[#This Row],[Time]]&gt;=0.5)=TRUE, "Afternoon", IF(AND(AllData[[#This Row],[Time]]&lt;1, AllData[[#This Row],[Time]]&gt;=0.75)=TRUE, "Evening", "Night")))</f>
        <v>Morning</v>
      </c>
      <c r="G479" t="str">
        <f>_xlfn.XLOOKUP(AllData[[#This Row],[Location Name]], Locations[Location Name],Locations[Group As])</f>
        <v>Alveston Weir</v>
      </c>
      <c r="H479" t="e" vm="1">
        <f>_xlfn.XLOOKUP(AllData[[#This Row],[Site Name]],LocationsKey[Site Name],LocationsKey[District])</f>
        <v>#VALUE!</v>
      </c>
      <c r="I479" t="e" vm="2">
        <f>_xlfn.XLOOKUP(AllData[[#This Row],[Site Name]],LocationsKey[Site Name],LocationsKey[Town])</f>
        <v>#VALUE!</v>
      </c>
      <c r="J479" t="str">
        <f>_xlfn.XLOOKUP(AllData[[#This Row],[Site Name]],LocationsKey[Site Name], LocationsKey[Waterway])</f>
        <v>Avon</v>
      </c>
      <c r="K479" t="s">
        <v>288</v>
      </c>
      <c r="L479">
        <v>52.212288999999998</v>
      </c>
      <c r="M479">
        <v>-1.660452</v>
      </c>
      <c r="N479" t="s">
        <v>31</v>
      </c>
      <c r="O479">
        <v>560</v>
      </c>
      <c r="P479">
        <v>7.3</v>
      </c>
      <c r="Q479">
        <v>5</v>
      </c>
      <c r="R479" s="107" t="str">
        <f>IF(AllData[[#This Row],[Nitrate (PPM)]]&gt;2, "Very high", IF(AllData[[#This Row],[Nitrate (PPM)]]&gt;1, "High", IF(AllData[[#This Row],[Nitrate (PPM)]]&gt;0.5, "Some evidence", IF(AllData[[#This Row],[Nitrate (PPM)]]&gt;=0, "No evidence"))))</f>
        <v>Very high</v>
      </c>
      <c r="S479">
        <v>0.53</v>
      </c>
      <c r="T479" s="7" t="str">
        <f>IF(AllData[[#This Row],[Phosphate (PPM)]]&gt;0.5, "Very high", IF(AllData[[#This Row],[Phosphate (PPM)]]&gt;0.1, "High", IF(AllData[[#This Row],[Phosphate (PPM)]]&gt;0.05, "Some evidence", IF(AllData[[#This Row],[Phosphate (PPM)]]&lt;=0.05, "No Evidence", ""))))</f>
        <v>Very high</v>
      </c>
      <c r="U479">
        <v>1.5</v>
      </c>
      <c r="V479" t="s">
        <v>2802</v>
      </c>
    </row>
    <row r="480" spans="1:22" x14ac:dyDescent="0.35">
      <c r="A480" t="s">
        <v>2803</v>
      </c>
      <c r="B480" s="143">
        <v>45663</v>
      </c>
      <c r="C480" s="2" t="str" cm="1">
        <f t="array" ref="C4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0">
        <v>2024</v>
      </c>
      <c r="E480" s="1">
        <v>0.46527777777777779</v>
      </c>
      <c r="F480" t="str">
        <f>IF(AND(AllData[[#This Row],[Time]]&lt;0.5, AllData[[#This Row],[Time]]&gt;0.17)=TRUE, "Morning", IF(AND(AllData[[#This Row],[Time]]&lt;0.75, AllData[[#This Row],[Time]]&gt;=0.5)=TRUE, "Afternoon", IF(AND(AllData[[#This Row],[Time]]&lt;1, AllData[[#This Row],[Time]]&gt;=0.75)=TRUE, "Evening", "Night")))</f>
        <v>Morning</v>
      </c>
      <c r="G480" t="str">
        <f>_xlfn.XLOOKUP(AllData[[#This Row],[Location Name]], Locations[Location Name],Locations[Group As])</f>
        <v>Chipping Campden Lady J Gateway</v>
      </c>
      <c r="H480" t="e" vm="9">
        <f>_xlfn.XLOOKUP(AllData[[#This Row],[Site Name]],LocationsKey[Site Name],LocationsKey[District])</f>
        <v>#VALUE!</v>
      </c>
      <c r="I480" t="e" vm="10">
        <f>_xlfn.XLOOKUP(AllData[[#This Row],[Site Name]],LocationsKey[Site Name],LocationsKey[Town])</f>
        <v>#VALUE!</v>
      </c>
      <c r="J480" t="str">
        <f>_xlfn.XLOOKUP(AllData[[#This Row],[Site Name]],LocationsKey[Site Name], LocationsKey[Waterway])</f>
        <v>Cam Brook</v>
      </c>
      <c r="K480" t="s">
        <v>1573</v>
      </c>
      <c r="N480" t="s">
        <v>68</v>
      </c>
      <c r="O480">
        <v>362</v>
      </c>
      <c r="P480">
        <v>6</v>
      </c>
      <c r="Q480">
        <v>2</v>
      </c>
      <c r="R480" s="107" t="str">
        <f>IF(AllData[[#This Row],[Nitrate (PPM)]]&gt;2, "Very high", IF(AllData[[#This Row],[Nitrate (PPM)]]&gt;1, "High", IF(AllData[[#This Row],[Nitrate (PPM)]]&gt;0.5, "Some evidence", IF(AllData[[#This Row],[Nitrate (PPM)]]&gt;=0, "No evidence"))))</f>
        <v>High</v>
      </c>
      <c r="S480">
        <v>0.23</v>
      </c>
      <c r="T480" s="7" t="str">
        <f>IF(AllData[[#This Row],[Phosphate (PPM)]]&gt;0.5, "Very high", IF(AllData[[#This Row],[Phosphate (PPM)]]&gt;0.1, "High", IF(AllData[[#This Row],[Phosphate (PPM)]]&gt;0.05, "Some evidence", IF(AllData[[#This Row],[Phosphate (PPM)]]&lt;=0.05, "No Evidence", ""))))</f>
        <v>High</v>
      </c>
      <c r="U480">
        <v>0.46</v>
      </c>
      <c r="V480" t="s">
        <v>2804</v>
      </c>
    </row>
    <row r="481" spans="1:22" x14ac:dyDescent="0.35">
      <c r="A481" t="s">
        <v>2809</v>
      </c>
      <c r="B481" s="143">
        <v>45663</v>
      </c>
      <c r="C481" s="2" t="str" cm="1">
        <f t="array" ref="C4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1">
        <v>2024</v>
      </c>
      <c r="E481" s="1">
        <v>0.44791666666666669</v>
      </c>
      <c r="F481" t="str">
        <f>IF(AND(AllData[[#This Row],[Time]]&lt;0.5, AllData[[#This Row],[Time]]&gt;0.17)=TRUE, "Morning", IF(AND(AllData[[#This Row],[Time]]&lt;0.75, AllData[[#This Row],[Time]]&gt;=0.5)=TRUE, "Afternoon", IF(AND(AllData[[#This Row],[Time]]&lt;1, AllData[[#This Row],[Time]]&gt;=0.75)=TRUE, "Evening", "Night")))</f>
        <v>Morning</v>
      </c>
      <c r="G481" t="str">
        <f>_xlfn.XLOOKUP(AllData[[#This Row],[Location Name]], Locations[Location Name],Locations[Group As])</f>
        <v>Chipping Campden Craves</v>
      </c>
      <c r="H481" t="e" vm="9">
        <f>_xlfn.XLOOKUP(AllData[[#This Row],[Site Name]],LocationsKey[Site Name],LocationsKey[District])</f>
        <v>#VALUE!</v>
      </c>
      <c r="I481" t="e" vm="10">
        <f>_xlfn.XLOOKUP(AllData[[#This Row],[Site Name]],LocationsKey[Site Name],LocationsKey[Town])</f>
        <v>#VALUE!</v>
      </c>
      <c r="J481" t="str">
        <f>_xlfn.XLOOKUP(AllData[[#This Row],[Site Name]],LocationsKey[Site Name], LocationsKey[Waterway])</f>
        <v>Cam Brook</v>
      </c>
      <c r="K481" t="s">
        <v>2458</v>
      </c>
      <c r="L481">
        <v>52.048766000000001</v>
      </c>
      <c r="M481">
        <v>-1.786359</v>
      </c>
      <c r="N481" t="s">
        <v>68</v>
      </c>
      <c r="O481">
        <v>302</v>
      </c>
      <c r="P481">
        <v>9.1999999999999993</v>
      </c>
      <c r="Q481">
        <v>2</v>
      </c>
      <c r="R481" s="107" t="str">
        <f>IF(AllData[[#This Row],[Nitrate (PPM)]]&gt;2, "Very high", IF(AllData[[#This Row],[Nitrate (PPM)]]&gt;1, "High", IF(AllData[[#This Row],[Nitrate (PPM)]]&gt;0.5, "Some evidence", IF(AllData[[#This Row],[Nitrate (PPM)]]&gt;=0, "No evidence"))))</f>
        <v>High</v>
      </c>
      <c r="S481">
        <v>0.12</v>
      </c>
      <c r="T481" s="7" t="str">
        <f>IF(AllData[[#This Row],[Phosphate (PPM)]]&gt;0.5, "Very high", IF(AllData[[#This Row],[Phosphate (PPM)]]&gt;0.1, "High", IF(AllData[[#This Row],[Phosphate (PPM)]]&gt;0.05, "Some evidence", IF(AllData[[#This Row],[Phosphate (PPM)]]&lt;=0.05, "No Evidence", ""))))</f>
        <v>High</v>
      </c>
      <c r="U481">
        <v>68</v>
      </c>
    </row>
    <row r="482" spans="1:22" x14ac:dyDescent="0.35">
      <c r="A482" t="s">
        <v>2807</v>
      </c>
      <c r="B482" s="143">
        <v>45663</v>
      </c>
      <c r="C482" s="2" t="str" cm="1">
        <f t="array" ref="C4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2">
        <v>2024</v>
      </c>
      <c r="E482" s="1">
        <v>0.36458333333333331</v>
      </c>
      <c r="F482" t="str">
        <f>IF(AND(AllData[[#This Row],[Time]]&lt;0.5, AllData[[#This Row],[Time]]&gt;0.17)=TRUE, "Morning", IF(AND(AllData[[#This Row],[Time]]&lt;0.75, AllData[[#This Row],[Time]]&gt;=0.5)=TRUE, "Afternoon", IF(AND(AllData[[#This Row],[Time]]&lt;1, AllData[[#This Row],[Time]]&gt;=0.75)=TRUE, "Evening", "Night")))</f>
        <v>Morning</v>
      </c>
      <c r="G482" t="str">
        <f>_xlfn.XLOOKUP(AllData[[#This Row],[Location Name]], Locations[Location Name],Locations[Group As])</f>
        <v>Chipping Campden Sewage Works</v>
      </c>
      <c r="H482" t="e" vm="9">
        <f>_xlfn.XLOOKUP(AllData[[#This Row],[Site Name]],LocationsKey[Site Name],LocationsKey[District])</f>
        <v>#VALUE!</v>
      </c>
      <c r="I482" t="e" vm="10">
        <f>_xlfn.XLOOKUP(AllData[[#This Row],[Site Name]],LocationsKey[Site Name],LocationsKey[Town])</f>
        <v>#VALUE!</v>
      </c>
      <c r="J482" t="str">
        <f>_xlfn.XLOOKUP(AllData[[#This Row],[Site Name]],LocationsKey[Site Name], LocationsKey[Waterway])</f>
        <v>Cam Brook</v>
      </c>
      <c r="K482" t="s">
        <v>1570</v>
      </c>
      <c r="N482" t="s">
        <v>31</v>
      </c>
      <c r="O482">
        <v>311</v>
      </c>
      <c r="P482">
        <v>7.9</v>
      </c>
      <c r="Q482">
        <v>0.5</v>
      </c>
      <c r="R482" s="107" t="str">
        <f>IF(AllData[[#This Row],[Nitrate (PPM)]]&gt;2, "Very high", IF(AllData[[#This Row],[Nitrate (PPM)]]&gt;1, "High", IF(AllData[[#This Row],[Nitrate (PPM)]]&gt;0.5, "Some evidence", IF(AllData[[#This Row],[Nitrate (PPM)]]&gt;=0, "No evidence"))))</f>
        <v>No evidence</v>
      </c>
      <c r="S482">
        <v>0.6</v>
      </c>
      <c r="T482" s="7" t="str">
        <f>IF(AllData[[#This Row],[Phosphate (PPM)]]&gt;0.5, "Very high", IF(AllData[[#This Row],[Phosphate (PPM)]]&gt;0.1, "High", IF(AllData[[#This Row],[Phosphate (PPM)]]&gt;0.05, "Some evidence", IF(AllData[[#This Row],[Phosphate (PPM)]]&lt;=0.05, "No Evidence", ""))))</f>
        <v>Very high</v>
      </c>
      <c r="U482">
        <v>0.53</v>
      </c>
      <c r="V482" t="s">
        <v>2808</v>
      </c>
    </row>
    <row r="483" spans="1:22" x14ac:dyDescent="0.35">
      <c r="A483" t="s">
        <v>2796</v>
      </c>
      <c r="B483" s="143">
        <v>45661</v>
      </c>
      <c r="C483" s="2" t="str" cm="1">
        <f t="array" ref="C4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3">
        <v>2024</v>
      </c>
      <c r="E483" s="1">
        <v>0.48194444444444445</v>
      </c>
      <c r="F483" t="str">
        <f>IF(AND(AllData[[#This Row],[Time]]&lt;0.5, AllData[[#This Row],[Time]]&gt;0.17)=TRUE, "Morning", IF(AND(AllData[[#This Row],[Time]]&lt;0.75, AllData[[#This Row],[Time]]&gt;=0.5)=TRUE, "Afternoon", IF(AND(AllData[[#This Row],[Time]]&lt;1, AllData[[#This Row],[Time]]&gt;=0.75)=TRUE, "Evening", "Night")))</f>
        <v>Morning</v>
      </c>
      <c r="G483" t="str">
        <f>_xlfn.XLOOKUP(AllData[[#This Row],[Location Name]], Locations[Location Name],Locations[Group As])</f>
        <v>Site 3  :  Severn Trent Water processing plant outflow</v>
      </c>
      <c r="H483" t="e" vm="1">
        <f>_xlfn.XLOOKUP(AllData[[#This Row],[Site Name]],LocationsKey[Site Name],LocationsKey[District])</f>
        <v>#VALUE!</v>
      </c>
      <c r="I483" t="e" vm="14">
        <f>_xlfn.XLOOKUP(AllData[[#This Row],[Site Name]],LocationsKey[Site Name],LocationsKey[Town])</f>
        <v>#VALUE!</v>
      </c>
      <c r="J483" t="str">
        <f>_xlfn.XLOOKUP(AllData[[#This Row],[Site Name]],LocationsKey[Site Name], LocationsKey[Waterway])</f>
        <v>Fosseway Brook</v>
      </c>
      <c r="K483" t="s">
        <v>1826</v>
      </c>
      <c r="L483">
        <v>52.094448</v>
      </c>
      <c r="M483">
        <v>-1.675937</v>
      </c>
      <c r="N483" t="s">
        <v>31</v>
      </c>
      <c r="O483">
        <v>906</v>
      </c>
      <c r="P483">
        <v>6.5</v>
      </c>
      <c r="Q483">
        <v>5</v>
      </c>
      <c r="R483" s="107" t="str">
        <f>IF(AllData[[#This Row],[Nitrate (PPM)]]&gt;2, "Very high", IF(AllData[[#This Row],[Nitrate (PPM)]]&gt;1, "High", IF(AllData[[#This Row],[Nitrate (PPM)]]&gt;0.5, "Some evidence", IF(AllData[[#This Row],[Nitrate (PPM)]]&gt;=0, "No evidence"))))</f>
        <v>Very high</v>
      </c>
      <c r="S483">
        <v>5.4</v>
      </c>
      <c r="T483" s="7" t="str">
        <f>IF(AllData[[#This Row],[Phosphate (PPM)]]&gt;0.5, "Very high", IF(AllData[[#This Row],[Phosphate (PPM)]]&gt;0.1, "High", IF(AllData[[#This Row],[Phosphate (PPM)]]&gt;0.05, "Some evidence", IF(AllData[[#This Row],[Phosphate (PPM)]]&lt;=0.05, "No Evidence", ""))))</f>
        <v>Very high</v>
      </c>
      <c r="U483">
        <v>0.1</v>
      </c>
    </row>
    <row r="484" spans="1:22" x14ac:dyDescent="0.35">
      <c r="A484" t="s">
        <v>2795</v>
      </c>
      <c r="B484" s="143">
        <v>45661</v>
      </c>
      <c r="C484" s="2" t="str" cm="1">
        <f t="array" ref="C4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4">
        <v>2024</v>
      </c>
      <c r="E484" s="1">
        <v>0.56666666666666665</v>
      </c>
      <c r="F484" t="str">
        <f>IF(AND(AllData[[#This Row],[Time]]&lt;0.5, AllData[[#This Row],[Time]]&gt;0.17)=TRUE, "Morning", IF(AND(AllData[[#This Row],[Time]]&lt;0.75, AllData[[#This Row],[Time]]&gt;=0.5)=TRUE, "Afternoon", IF(AND(AllData[[#This Row],[Time]]&lt;1, AllData[[#This Row],[Time]]&gt;=0.75)=TRUE, "Evening", "Night")))</f>
        <v>Afternoon</v>
      </c>
      <c r="G484" t="str">
        <f>_xlfn.XLOOKUP(AllData[[#This Row],[Location Name]], Locations[Location Name],Locations[Group As])</f>
        <v>Black Bear</v>
      </c>
      <c r="H484" t="e" vm="4">
        <f>_xlfn.XLOOKUP(AllData[[#This Row],[Site Name]],LocationsKey[Site Name],LocationsKey[District])</f>
        <v>#VALUE!</v>
      </c>
      <c r="I484" t="e" vm="4">
        <f>_xlfn.XLOOKUP(AllData[[#This Row],[Site Name]],LocationsKey[Site Name],LocationsKey[Town])</f>
        <v>#VALUE!</v>
      </c>
      <c r="J484" t="str">
        <f>_xlfn.XLOOKUP(AllData[[#This Row],[Site Name]],LocationsKey[Site Name], LocationsKey[Waterway])</f>
        <v>Avon</v>
      </c>
      <c r="K484" t="s">
        <v>1175</v>
      </c>
      <c r="L484">
        <v>51.997326000000001</v>
      </c>
      <c r="M484">
        <v>-2.156075</v>
      </c>
      <c r="N484" t="s">
        <v>25</v>
      </c>
      <c r="O484">
        <v>748</v>
      </c>
      <c r="P484">
        <v>7.3</v>
      </c>
      <c r="Q484">
        <v>5</v>
      </c>
      <c r="R484" s="107" t="str">
        <f>IF(AllData[[#This Row],[Nitrate (PPM)]]&gt;2, "Very high", IF(AllData[[#This Row],[Nitrate (PPM)]]&gt;1, "High", IF(AllData[[#This Row],[Nitrate (PPM)]]&gt;0.5, "Some evidence", IF(AllData[[#This Row],[Nitrate (PPM)]]&gt;=0, "No evidence"))))</f>
        <v>Very high</v>
      </c>
      <c r="S484">
        <v>0.33</v>
      </c>
      <c r="T484" s="7" t="str">
        <f>IF(AllData[[#This Row],[Phosphate (PPM)]]&gt;0.5, "Very high", IF(AllData[[#This Row],[Phosphate (PPM)]]&gt;0.1, "High", IF(AllData[[#This Row],[Phosphate (PPM)]]&gt;0.05, "Some evidence", IF(AllData[[#This Row],[Phosphate (PPM)]]&lt;=0.05, "No Evidence", ""))))</f>
        <v>High</v>
      </c>
      <c r="U484">
        <v>0</v>
      </c>
    </row>
    <row r="485" spans="1:22" x14ac:dyDescent="0.35">
      <c r="A485" t="s">
        <v>2799</v>
      </c>
      <c r="B485" s="143">
        <v>45661</v>
      </c>
      <c r="C485" s="2" t="str" cm="1">
        <f t="array" ref="C4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5">
        <v>2024</v>
      </c>
      <c r="E485" s="1">
        <v>0.51180555555555551</v>
      </c>
      <c r="F485" t="str">
        <f>IF(AND(AllData[[#This Row],[Time]]&lt;0.5, AllData[[#This Row],[Time]]&gt;0.17)=TRUE, "Morning", IF(AND(AllData[[#This Row],[Time]]&lt;0.75, AllData[[#This Row],[Time]]&gt;=0.5)=TRUE, "Afternoon", IF(AND(AllData[[#This Row],[Time]]&lt;1, AllData[[#This Row],[Time]]&gt;=0.75)=TRUE, "Evening", "Night")))</f>
        <v>Afternoon</v>
      </c>
      <c r="G485" t="str">
        <f>_xlfn.XLOOKUP(AllData[[#This Row],[Location Name]], Locations[Location Name],Locations[Group As])</f>
        <v>Piddle Brook Wyre Piddle Bridge</v>
      </c>
      <c r="H485" t="e" vm="6">
        <f>_xlfn.XLOOKUP(AllData[[#This Row],[Site Name]],LocationsKey[Site Name],LocationsKey[District])</f>
        <v>#VALUE!</v>
      </c>
      <c r="I485" t="e" vm="13">
        <f>_xlfn.XLOOKUP(AllData[[#This Row],[Site Name]],LocationsKey[Site Name],LocationsKey[Town])</f>
        <v>#VALUE!</v>
      </c>
      <c r="J485" t="str">
        <f>_xlfn.XLOOKUP(AllData[[#This Row],[Site Name]],LocationsKey[Site Name], LocationsKey[Waterway])</f>
        <v>Piddle Brook</v>
      </c>
      <c r="K485" t="s">
        <v>2755</v>
      </c>
      <c r="L485">
        <v>52.126210999999998</v>
      </c>
      <c r="M485">
        <v>-2.0548829999999998</v>
      </c>
      <c r="N485" t="s">
        <v>25</v>
      </c>
      <c r="O485">
        <v>1001</v>
      </c>
      <c r="P485">
        <v>4.2</v>
      </c>
      <c r="Q485">
        <v>4</v>
      </c>
      <c r="R485" s="107" t="str">
        <f>IF(AllData[[#This Row],[Nitrate (PPM)]]&gt;2, "Very high", IF(AllData[[#This Row],[Nitrate (PPM)]]&gt;1, "High", IF(AllData[[#This Row],[Nitrate (PPM)]]&gt;0.5, "Some evidence", IF(AllData[[#This Row],[Nitrate (PPM)]]&gt;=0, "No evidence"))))</f>
        <v>Very high</v>
      </c>
      <c r="S485">
        <v>0.53</v>
      </c>
      <c r="T485" s="7" t="str">
        <f>IF(AllData[[#This Row],[Phosphate (PPM)]]&gt;0.5, "Very high", IF(AllData[[#This Row],[Phosphate (PPM)]]&gt;0.1, "High", IF(AllData[[#This Row],[Phosphate (PPM)]]&gt;0.05, "Some evidence", IF(AllData[[#This Row],[Phosphate (PPM)]]&lt;=0.05, "No Evidence", ""))))</f>
        <v>Very high</v>
      </c>
      <c r="U485">
        <v>0.31</v>
      </c>
      <c r="V485" t="s">
        <v>2800</v>
      </c>
    </row>
    <row r="486" spans="1:22" x14ac:dyDescent="0.35">
      <c r="A486" t="s">
        <v>2791</v>
      </c>
      <c r="B486" s="143">
        <v>45661</v>
      </c>
      <c r="C486" s="2" t="str" cm="1">
        <f t="array" ref="C4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6">
        <v>2024</v>
      </c>
      <c r="E486" s="1">
        <v>0.44861111111111113</v>
      </c>
      <c r="F486" t="str">
        <f>IF(AND(AllData[[#This Row],[Time]]&lt;0.5, AllData[[#This Row],[Time]]&gt;0.17)=TRUE, "Morning", IF(AND(AllData[[#This Row],[Time]]&lt;0.75, AllData[[#This Row],[Time]]&gt;=0.5)=TRUE, "Afternoon", IF(AND(AllData[[#This Row],[Time]]&lt;1, AllData[[#This Row],[Time]]&gt;=0.75)=TRUE, "Evening", "Night")))</f>
        <v>Morning</v>
      </c>
      <c r="G486" t="str">
        <f>_xlfn.XLOOKUP(AllData[[#This Row],[Location Name]], Locations[Location Name],Locations[Group As])</f>
        <v>Avon Smiths Meadow Wyre Piddle</v>
      </c>
      <c r="H486" t="e" vm="6">
        <f>_xlfn.XLOOKUP(AllData[[#This Row],[Site Name]],LocationsKey[Site Name],LocationsKey[District])</f>
        <v>#VALUE!</v>
      </c>
      <c r="I486" t="e" vm="13">
        <f>_xlfn.XLOOKUP(AllData[[#This Row],[Site Name]],LocationsKey[Site Name],LocationsKey[Town])</f>
        <v>#VALUE!</v>
      </c>
      <c r="J486" t="str">
        <f>_xlfn.XLOOKUP(AllData[[#This Row],[Site Name]],LocationsKey[Site Name], LocationsKey[Waterway])</f>
        <v>Avon</v>
      </c>
      <c r="K486" t="s">
        <v>2792</v>
      </c>
      <c r="L486">
        <v>52.122982</v>
      </c>
      <c r="M486">
        <v>-2.0574669999999999</v>
      </c>
      <c r="N486" t="s">
        <v>25</v>
      </c>
      <c r="O486">
        <v>777</v>
      </c>
      <c r="P486">
        <v>6.1</v>
      </c>
      <c r="Q486">
        <v>4</v>
      </c>
      <c r="R486" s="107" t="str">
        <f>IF(AllData[[#This Row],[Nitrate (PPM)]]&gt;2, "Very high", IF(AllData[[#This Row],[Nitrate (PPM)]]&gt;1, "High", IF(AllData[[#This Row],[Nitrate (PPM)]]&gt;0.5, "Some evidence", IF(AllData[[#This Row],[Nitrate (PPM)]]&gt;=0, "No evidence"))))</f>
        <v>Very high</v>
      </c>
      <c r="S486">
        <v>0.51</v>
      </c>
      <c r="T486" s="7" t="str">
        <f>IF(AllData[[#This Row],[Phosphate (PPM)]]&gt;0.5, "Very high", IF(AllData[[#This Row],[Phosphate (PPM)]]&gt;0.1, "High", IF(AllData[[#This Row],[Phosphate (PPM)]]&gt;0.05, "Some evidence", IF(AllData[[#This Row],[Phosphate (PPM)]]&lt;=0.05, "No Evidence", ""))))</f>
        <v>Very high</v>
      </c>
      <c r="U486">
        <v>0.79</v>
      </c>
      <c r="V486" t="s">
        <v>2793</v>
      </c>
    </row>
    <row r="487" spans="1:22" x14ac:dyDescent="0.35">
      <c r="A487" t="s">
        <v>2794</v>
      </c>
      <c r="B487" s="143">
        <v>45661</v>
      </c>
      <c r="C487" s="2" t="str" cm="1">
        <f t="array" ref="C4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7">
        <v>2024</v>
      </c>
      <c r="E487" s="1">
        <v>0.58333333333333337</v>
      </c>
      <c r="F487" t="str">
        <f>IF(AND(AllData[[#This Row],[Time]]&lt;0.5, AllData[[#This Row],[Time]]&gt;0.17)=TRUE, "Morning", IF(AND(AllData[[#This Row],[Time]]&lt;0.75, AllData[[#This Row],[Time]]&gt;=0.5)=TRUE, "Afternoon", IF(AND(AllData[[#This Row],[Time]]&lt;1, AllData[[#This Row],[Time]]&gt;=0.75)=TRUE, "Evening", "Night")))</f>
        <v>Afternoon</v>
      </c>
      <c r="G487" t="str">
        <f>_xlfn.XLOOKUP(AllData[[#This Row],[Location Name]], Locations[Location Name],Locations[Group As])</f>
        <v>Carrant Bredon Rd</v>
      </c>
      <c r="H487" t="e" vm="4">
        <f>_xlfn.XLOOKUP(AllData[[#This Row],[Site Name]],LocationsKey[Site Name],LocationsKey[District])</f>
        <v>#VALUE!</v>
      </c>
      <c r="I487" t="e" vm="4">
        <f>_xlfn.XLOOKUP(AllData[[#This Row],[Site Name]],LocationsKey[Site Name],LocationsKey[Town])</f>
        <v>#VALUE!</v>
      </c>
      <c r="J487" t="str">
        <f>_xlfn.XLOOKUP(AllData[[#This Row],[Site Name]],LocationsKey[Site Name], LocationsKey[Waterway])</f>
        <v>Carrant</v>
      </c>
      <c r="K487" t="s">
        <v>603</v>
      </c>
      <c r="L487">
        <v>51.996158000000001</v>
      </c>
      <c r="M487">
        <v>-2.1561849999999998</v>
      </c>
      <c r="N487" t="s">
        <v>25</v>
      </c>
      <c r="O487">
        <v>793</v>
      </c>
      <c r="P487">
        <v>6.5</v>
      </c>
      <c r="Q487">
        <v>3</v>
      </c>
      <c r="R487" s="107" t="str">
        <f>IF(AllData[[#This Row],[Nitrate (PPM)]]&gt;2, "Very high", IF(AllData[[#This Row],[Nitrate (PPM)]]&gt;1, "High", IF(AllData[[#This Row],[Nitrate (PPM)]]&gt;0.5, "Some evidence", IF(AllData[[#This Row],[Nitrate (PPM)]]&gt;=0, "No evidence"))))</f>
        <v>Very high</v>
      </c>
      <c r="S487">
        <v>0.2</v>
      </c>
      <c r="T487" s="7" t="str">
        <f>IF(AllData[[#This Row],[Phosphate (PPM)]]&gt;0.5, "Very high", IF(AllData[[#This Row],[Phosphate (PPM)]]&gt;0.1, "High", IF(AllData[[#This Row],[Phosphate (PPM)]]&gt;0.05, "Some evidence", IF(AllData[[#This Row],[Phosphate (PPM)]]&lt;=0.05, "No Evidence", ""))))</f>
        <v>High</v>
      </c>
      <c r="U487">
        <v>0.5</v>
      </c>
    </row>
    <row r="488" spans="1:22" x14ac:dyDescent="0.35">
      <c r="A488" t="s">
        <v>2797</v>
      </c>
      <c r="B488" s="143">
        <v>45661</v>
      </c>
      <c r="C488" s="2" t="str" cm="1">
        <f t="array" ref="C4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8">
        <v>2024</v>
      </c>
      <c r="E488" s="1">
        <v>0.47291666666666665</v>
      </c>
      <c r="F488" t="str">
        <f>IF(AND(AllData[[#This Row],[Time]]&lt;0.5, AllData[[#This Row],[Time]]&gt;0.17)=TRUE, "Morning", IF(AND(AllData[[#This Row],[Time]]&lt;0.75, AllData[[#This Row],[Time]]&gt;=0.5)=TRUE, "Afternoon", IF(AND(AllData[[#This Row],[Time]]&lt;1, AllData[[#This Row],[Time]]&gt;=0.75)=TRUE, "Evening", "Night")))</f>
        <v>Morning</v>
      </c>
      <c r="G488" t="str">
        <f>_xlfn.XLOOKUP(AllData[[#This Row],[Location Name]], Locations[Location Name],Locations[Group As])</f>
        <v>Site 2  :  Cross Leys culvert</v>
      </c>
      <c r="H488" t="e" vm="1">
        <f>_xlfn.XLOOKUP(AllData[[#This Row],[Site Name]],LocationsKey[Site Name],LocationsKey[District])</f>
        <v>#VALUE!</v>
      </c>
      <c r="I488" t="e" vm="14">
        <f>_xlfn.XLOOKUP(AllData[[#This Row],[Site Name]],LocationsKey[Site Name],LocationsKey[Town])</f>
        <v>#VALUE!</v>
      </c>
      <c r="J488" t="str">
        <f>_xlfn.XLOOKUP(AllData[[#This Row],[Site Name]],LocationsKey[Site Name], LocationsKey[Waterway])</f>
        <v>Fosseway Brook</v>
      </c>
      <c r="K488" t="s">
        <v>1951</v>
      </c>
      <c r="L488">
        <v>52.093012999999999</v>
      </c>
      <c r="M488">
        <v>-1.6862600000000001</v>
      </c>
      <c r="N488" t="s">
        <v>68</v>
      </c>
      <c r="O488">
        <v>732</v>
      </c>
      <c r="P488">
        <v>5.3</v>
      </c>
      <c r="Q488">
        <v>2</v>
      </c>
      <c r="R488" s="107" t="str">
        <f>IF(AllData[[#This Row],[Nitrate (PPM)]]&gt;2, "Very high", IF(AllData[[#This Row],[Nitrate (PPM)]]&gt;1, "High", IF(AllData[[#This Row],[Nitrate (PPM)]]&gt;0.5, "Some evidence", IF(AllData[[#This Row],[Nitrate (PPM)]]&gt;=0, "No evidence"))))</f>
        <v>High</v>
      </c>
      <c r="S488">
        <v>0.14000000000000001</v>
      </c>
      <c r="T488" s="7" t="str">
        <f>IF(AllData[[#This Row],[Phosphate (PPM)]]&gt;0.5, "Very high", IF(AllData[[#This Row],[Phosphate (PPM)]]&gt;0.1, "High", IF(AllData[[#This Row],[Phosphate (PPM)]]&gt;0.05, "Some evidence", IF(AllData[[#This Row],[Phosphate (PPM)]]&lt;=0.05, "No Evidence", ""))))</f>
        <v>High</v>
      </c>
      <c r="U488">
        <v>0.2</v>
      </c>
    </row>
    <row r="489" spans="1:22" x14ac:dyDescent="0.35">
      <c r="A489" t="s">
        <v>2798</v>
      </c>
      <c r="B489" s="143">
        <v>45661</v>
      </c>
      <c r="C489" s="2" t="str" cm="1">
        <f t="array" ref="C4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89">
        <v>2024</v>
      </c>
      <c r="E489" s="1">
        <v>0.46666666666666667</v>
      </c>
      <c r="F489" t="str">
        <f>IF(AND(AllData[[#This Row],[Time]]&lt;0.5, AllData[[#This Row],[Time]]&gt;0.17)=TRUE, "Morning", IF(AND(AllData[[#This Row],[Time]]&lt;0.75, AllData[[#This Row],[Time]]&gt;=0.5)=TRUE, "Afternoon", IF(AND(AllData[[#This Row],[Time]]&lt;1, AllData[[#This Row],[Time]]&gt;=0.75)=TRUE, "Evening", "Night")))</f>
        <v>Morning</v>
      </c>
      <c r="G489" t="str">
        <f>_xlfn.XLOOKUP(AllData[[#This Row],[Location Name]], Locations[Location Name],Locations[Group As])</f>
        <v>Site 1  :  Middle Street</v>
      </c>
      <c r="H489" t="e" vm="1">
        <f>_xlfn.XLOOKUP(AllData[[#This Row],[Site Name]],LocationsKey[Site Name],LocationsKey[District])</f>
        <v>#VALUE!</v>
      </c>
      <c r="I489" t="e" vm="14">
        <f>_xlfn.XLOOKUP(AllData[[#This Row],[Site Name]],LocationsKey[Site Name],LocationsKey[Town])</f>
        <v>#VALUE!</v>
      </c>
      <c r="J489" t="str">
        <f>_xlfn.XLOOKUP(AllData[[#This Row],[Site Name]],LocationsKey[Site Name], LocationsKey[Waterway])</f>
        <v>Fosseway Brook</v>
      </c>
      <c r="K489" t="s">
        <v>678</v>
      </c>
      <c r="L489">
        <v>52.090003000000003</v>
      </c>
      <c r="M489">
        <v>-1.6926220000000001</v>
      </c>
      <c r="N489" t="s">
        <v>68</v>
      </c>
      <c r="O489">
        <v>652</v>
      </c>
      <c r="P489">
        <v>5.3</v>
      </c>
      <c r="Q489">
        <v>2</v>
      </c>
      <c r="R489" s="107" t="str">
        <f>IF(AllData[[#This Row],[Nitrate (PPM)]]&gt;2, "Very high", IF(AllData[[#This Row],[Nitrate (PPM)]]&gt;1, "High", IF(AllData[[#This Row],[Nitrate (PPM)]]&gt;0.5, "Some evidence", IF(AllData[[#This Row],[Nitrate (PPM)]]&gt;=0, "No evidence"))))</f>
        <v>High</v>
      </c>
      <c r="S489">
        <v>0.11</v>
      </c>
      <c r="T489" s="7" t="str">
        <f>IF(AllData[[#This Row],[Phosphate (PPM)]]&gt;0.5, "Very high", IF(AllData[[#This Row],[Phosphate (PPM)]]&gt;0.1, "High", IF(AllData[[#This Row],[Phosphate (PPM)]]&gt;0.05, "Some evidence", IF(AllData[[#This Row],[Phosphate (PPM)]]&lt;=0.05, "No Evidence", ""))))</f>
        <v>High</v>
      </c>
      <c r="U489">
        <v>0.1</v>
      </c>
    </row>
    <row r="490" spans="1:22" x14ac:dyDescent="0.35">
      <c r="A490" t="s">
        <v>2790</v>
      </c>
      <c r="B490" s="143">
        <v>45660</v>
      </c>
      <c r="C490" s="2" t="str" cm="1">
        <f t="array" ref="C4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0">
        <v>2024</v>
      </c>
      <c r="E490" s="1">
        <v>0.41875000000000001</v>
      </c>
      <c r="F490" t="str">
        <f>IF(AND(AllData[[#This Row],[Time]]&lt;0.5, AllData[[#This Row],[Time]]&gt;0.17)=TRUE, "Morning", IF(AND(AllData[[#This Row],[Time]]&lt;0.75, AllData[[#This Row],[Time]]&gt;=0.5)=TRUE, "Afternoon", IF(AND(AllData[[#This Row],[Time]]&lt;1, AllData[[#This Row],[Time]]&gt;=0.75)=TRUE, "Evening", "Night")))</f>
        <v>Morning</v>
      </c>
      <c r="G490" t="str">
        <f>_xlfn.XLOOKUP(AllData[[#This Row],[Location Name]], Locations[Location Name],Locations[Group As])</f>
        <v>Lower Lode</v>
      </c>
      <c r="H490" t="e" vm="4">
        <f>_xlfn.XLOOKUP(AllData[[#This Row],[Site Name]],LocationsKey[Site Name],LocationsKey[District])</f>
        <v>#VALUE!</v>
      </c>
      <c r="I490" t="e" vm="4">
        <f>_xlfn.XLOOKUP(AllData[[#This Row],[Site Name]],LocationsKey[Site Name],LocationsKey[Town])</f>
        <v>#VALUE!</v>
      </c>
      <c r="J490" t="str">
        <f>_xlfn.XLOOKUP(AllData[[#This Row],[Site Name]],LocationsKey[Site Name], LocationsKey[Waterway])</f>
        <v>Avon</v>
      </c>
      <c r="K490" t="s">
        <v>595</v>
      </c>
      <c r="L490">
        <v>51.985092999999999</v>
      </c>
      <c r="M490">
        <v>-2.1740550000000001</v>
      </c>
      <c r="N490" t="s">
        <v>31</v>
      </c>
      <c r="O490">
        <v>8410</v>
      </c>
      <c r="P490">
        <v>7.4</v>
      </c>
      <c r="Q490">
        <v>10</v>
      </c>
      <c r="R490" s="107" t="str">
        <f>IF(AllData[[#This Row],[Nitrate (PPM)]]&gt;2, "Very high", IF(AllData[[#This Row],[Nitrate (PPM)]]&gt;1, "High", IF(AllData[[#This Row],[Nitrate (PPM)]]&gt;0.5, "Some evidence", IF(AllData[[#This Row],[Nitrate (PPM)]]&gt;=0, "No evidence"))))</f>
        <v>Very high</v>
      </c>
      <c r="S490">
        <v>0.46</v>
      </c>
      <c r="T490" s="7" t="str">
        <f>IF(AllData[[#This Row],[Phosphate (PPM)]]&gt;0.5, "Very high", IF(AllData[[#This Row],[Phosphate (PPM)]]&gt;0.1, "High", IF(AllData[[#This Row],[Phosphate (PPM)]]&gt;0.05, "Some evidence", IF(AllData[[#This Row],[Phosphate (PPM)]]&lt;=0.05, "No Evidence", ""))))</f>
        <v>High</v>
      </c>
      <c r="U490">
        <v>2</v>
      </c>
    </row>
    <row r="491" spans="1:22" x14ac:dyDescent="0.35">
      <c r="A491" t="s">
        <v>2783</v>
      </c>
      <c r="B491" s="143">
        <v>45660</v>
      </c>
      <c r="C491" s="2" t="str" cm="1">
        <f t="array" ref="C4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1">
        <v>2024</v>
      </c>
      <c r="E491" s="1">
        <v>0.68055555555555558</v>
      </c>
      <c r="F491" t="str">
        <f>IF(AND(AllData[[#This Row],[Time]]&lt;0.5, AllData[[#This Row],[Time]]&gt;0.17)=TRUE, "Morning", IF(AND(AllData[[#This Row],[Time]]&lt;0.75, AllData[[#This Row],[Time]]&gt;=0.5)=TRUE, "Afternoon", IF(AND(AllData[[#This Row],[Time]]&lt;1, AllData[[#This Row],[Time]]&gt;=0.75)=TRUE, "Evening", "Night")))</f>
        <v>Afternoon</v>
      </c>
      <c r="G491" t="str">
        <f>_xlfn.XLOOKUP(AllData[[#This Row],[Location Name]], Locations[Location Name],Locations[Group As])</f>
        <v>The Ford, Langley</v>
      </c>
      <c r="H491" t="e" vm="1">
        <f>_xlfn.XLOOKUP(AllData[[#This Row],[Site Name]],LocationsKey[Site Name],LocationsKey[District])</f>
        <v>#VALUE!</v>
      </c>
      <c r="I491" t="str">
        <f>_xlfn.XLOOKUP(AllData[[#This Row],[Site Name]],LocationsKey[Site Name],LocationsKey[Town])</f>
        <v>Langley</v>
      </c>
      <c r="J491" t="str">
        <f>_xlfn.XLOOKUP(AllData[[#This Row],[Site Name]],LocationsKey[Site Name], LocationsKey[Waterway])</f>
        <v>Langley Ford</v>
      </c>
      <c r="K491" t="s">
        <v>561</v>
      </c>
      <c r="L491">
        <v>52.259909999999998</v>
      </c>
      <c r="M491">
        <v>-1.7182599999999999</v>
      </c>
      <c r="N491" t="s">
        <v>31</v>
      </c>
      <c r="O491">
        <v>659</v>
      </c>
      <c r="P491">
        <v>5.0999999999999996</v>
      </c>
      <c r="Q491">
        <v>10</v>
      </c>
      <c r="R491" s="107" t="str">
        <f>IF(AllData[[#This Row],[Nitrate (PPM)]]&gt;2, "Very high", IF(AllData[[#This Row],[Nitrate (PPM)]]&gt;1, "High", IF(AllData[[#This Row],[Nitrate (PPM)]]&gt;0.5, "Some evidence", IF(AllData[[#This Row],[Nitrate (PPM)]]&gt;=0, "No evidence"))))</f>
        <v>Very high</v>
      </c>
      <c r="S491">
        <v>0.86</v>
      </c>
      <c r="T491" s="7" t="str">
        <f>IF(AllData[[#This Row],[Phosphate (PPM)]]&gt;0.5, "Very high", IF(AllData[[#This Row],[Phosphate (PPM)]]&gt;0.1, "High", IF(AllData[[#This Row],[Phosphate (PPM)]]&gt;0.05, "Some evidence", IF(AllData[[#This Row],[Phosphate (PPM)]]&lt;=0.05, "No Evidence", ""))))</f>
        <v>Very high</v>
      </c>
      <c r="U491">
        <v>0.55000000000000004</v>
      </c>
      <c r="V491" t="s">
        <v>2784</v>
      </c>
    </row>
    <row r="492" spans="1:22" x14ac:dyDescent="0.35">
      <c r="A492" t="s">
        <v>2781</v>
      </c>
      <c r="B492" s="143">
        <v>45660</v>
      </c>
      <c r="C492" s="2" t="str" cm="1">
        <f t="array" ref="C4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2">
        <v>2024</v>
      </c>
      <c r="E492" s="1">
        <v>0.67361111111111116</v>
      </c>
      <c r="F492" t="str">
        <f>IF(AND(AllData[[#This Row],[Time]]&lt;0.5, AllData[[#This Row],[Time]]&gt;0.17)=TRUE, "Morning", IF(AND(AllData[[#This Row],[Time]]&lt;0.75, AllData[[#This Row],[Time]]&gt;=0.5)=TRUE, "Afternoon", IF(AND(AllData[[#This Row],[Time]]&lt;1, AllData[[#This Row],[Time]]&gt;=0.75)=TRUE, "Evening", "Night")))</f>
        <v>Afternoon</v>
      </c>
      <c r="G492" t="str">
        <f>_xlfn.XLOOKUP(AllData[[#This Row],[Location Name]], Locations[Location Name],Locations[Group As])</f>
        <v>SSC Bredons Norton</v>
      </c>
      <c r="H492" t="e" vm="6">
        <f>_xlfn.XLOOKUP(AllData[[#This Row],[Site Name]],LocationsKey[Site Name],LocationsKey[District])</f>
        <v>#VALUE!</v>
      </c>
      <c r="I492" t="str">
        <f>_xlfn.XLOOKUP(AllData[[#This Row],[Site Name]],LocationsKey[Site Name],LocationsKey[Town])</f>
        <v>Bredon's Norton</v>
      </c>
      <c r="J492" t="str">
        <f>_xlfn.XLOOKUP(AllData[[#This Row],[Site Name]],LocationsKey[Site Name], LocationsKey[Waterway])</f>
        <v>Avon</v>
      </c>
      <c r="K492" t="s">
        <v>2121</v>
      </c>
      <c r="L492">
        <v>52.050874</v>
      </c>
      <c r="M492">
        <v>-2.117111</v>
      </c>
      <c r="N492" t="s">
        <v>25</v>
      </c>
      <c r="O492">
        <v>814</v>
      </c>
      <c r="P492">
        <v>6.4</v>
      </c>
      <c r="Q492">
        <v>5</v>
      </c>
      <c r="R492" s="107" t="str">
        <f>IF(AllData[[#This Row],[Nitrate (PPM)]]&gt;2, "Very high", IF(AllData[[#This Row],[Nitrate (PPM)]]&gt;1, "High", IF(AllData[[#This Row],[Nitrate (PPM)]]&gt;0.5, "Some evidence", IF(AllData[[#This Row],[Nitrate (PPM)]]&gt;=0, "No evidence"))))</f>
        <v>Very high</v>
      </c>
      <c r="S492">
        <v>0.45</v>
      </c>
      <c r="T492" s="7" t="str">
        <f>IF(AllData[[#This Row],[Phosphate (PPM)]]&gt;0.5, "Very high", IF(AllData[[#This Row],[Phosphate (PPM)]]&gt;0.1, "High", IF(AllData[[#This Row],[Phosphate (PPM)]]&gt;0.05, "Some evidence", IF(AllData[[#This Row],[Phosphate (PPM)]]&lt;=0.05, "No Evidence", ""))))</f>
        <v>High</v>
      </c>
      <c r="U492">
        <v>1</v>
      </c>
    </row>
    <row r="493" spans="1:22" x14ac:dyDescent="0.35">
      <c r="A493" t="s">
        <v>2782</v>
      </c>
      <c r="B493" s="143">
        <v>45660</v>
      </c>
      <c r="C493" s="2" t="str" cm="1">
        <f t="array" ref="C4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3">
        <v>2024</v>
      </c>
      <c r="E493" s="1">
        <v>0.5</v>
      </c>
      <c r="F493" t="str">
        <f>IF(AND(AllData[[#This Row],[Time]]&lt;0.5, AllData[[#This Row],[Time]]&gt;0.17)=TRUE, "Morning", IF(AND(AllData[[#This Row],[Time]]&lt;0.75, AllData[[#This Row],[Time]]&gt;=0.5)=TRUE, "Afternoon", IF(AND(AllData[[#This Row],[Time]]&lt;1, AllData[[#This Row],[Time]]&gt;=0.75)=TRUE, "Evening", "Night")))</f>
        <v>Afternoon</v>
      </c>
      <c r="G493" t="str">
        <f>_xlfn.XLOOKUP(AllData[[#This Row],[Location Name]], Locations[Location Name],Locations[Group As])</f>
        <v>Swilgate</v>
      </c>
      <c r="H493" t="e" vm="4">
        <f>_xlfn.XLOOKUP(AllData[[#This Row],[Site Name]],LocationsKey[Site Name],LocationsKey[District])</f>
        <v>#VALUE!</v>
      </c>
      <c r="I493" t="e" vm="4">
        <f>_xlfn.XLOOKUP(AllData[[#This Row],[Site Name]],LocationsKey[Site Name],LocationsKey[Town])</f>
        <v>#VALUE!</v>
      </c>
      <c r="J493" t="str">
        <f>_xlfn.XLOOKUP(AllData[[#This Row],[Site Name]],LocationsKey[Site Name], LocationsKey[Waterway])</f>
        <v>Swilgate</v>
      </c>
      <c r="K493" t="s">
        <v>85</v>
      </c>
      <c r="N493" t="s">
        <v>25</v>
      </c>
      <c r="O493">
        <v>875</v>
      </c>
      <c r="P493">
        <v>7.8</v>
      </c>
      <c r="Q493">
        <v>4</v>
      </c>
      <c r="R493" s="107" t="str">
        <f>IF(AllData[[#This Row],[Nitrate (PPM)]]&gt;2, "Very high", IF(AllData[[#This Row],[Nitrate (PPM)]]&gt;1, "High", IF(AllData[[#This Row],[Nitrate (PPM)]]&gt;0.5, "Some evidence", IF(AllData[[#This Row],[Nitrate (PPM)]]&gt;=0, "No evidence"))))</f>
        <v>Very high</v>
      </c>
      <c r="S493">
        <v>0.43</v>
      </c>
      <c r="T493" s="7" t="str">
        <f>IF(AllData[[#This Row],[Phosphate (PPM)]]&gt;0.5, "Very high", IF(AllData[[#This Row],[Phosphate (PPM)]]&gt;0.1, "High", IF(AllData[[#This Row],[Phosphate (PPM)]]&gt;0.05, "Some evidence", IF(AllData[[#This Row],[Phosphate (PPM)]]&lt;=0.05, "No Evidence", ""))))</f>
        <v>High</v>
      </c>
      <c r="U493">
        <v>0</v>
      </c>
    </row>
    <row r="494" spans="1:22" x14ac:dyDescent="0.35">
      <c r="A494" t="s">
        <v>2789</v>
      </c>
      <c r="B494" s="143">
        <v>45660</v>
      </c>
      <c r="C494" s="2" t="str" cm="1">
        <f t="array" ref="C4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4">
        <v>2024</v>
      </c>
      <c r="E494" s="1">
        <v>0.62013888888888891</v>
      </c>
      <c r="F494" t="str">
        <f>IF(AND(AllData[[#This Row],[Time]]&lt;0.5, AllData[[#This Row],[Time]]&gt;0.17)=TRUE, "Morning", IF(AND(AllData[[#This Row],[Time]]&lt;0.75, AllData[[#This Row],[Time]]&gt;=0.5)=TRUE, "Afternoon", IF(AND(AllData[[#This Row],[Time]]&lt;1, AllData[[#This Row],[Time]]&gt;=0.75)=TRUE, "Evening", "Night")))</f>
        <v>Afternoon</v>
      </c>
      <c r="G494" t="str">
        <f>_xlfn.XLOOKUP(AllData[[#This Row],[Location Name]], Locations[Location Name],Locations[Group As])</f>
        <v>Preston-on-Stour River Bridge</v>
      </c>
      <c r="H494" t="e" vm="1">
        <f>_xlfn.XLOOKUP(AllData[[#This Row],[Site Name]],LocationsKey[Site Name],LocationsKey[District])</f>
        <v>#VALUE!</v>
      </c>
      <c r="I494" t="e" vm="20">
        <f>_xlfn.XLOOKUP(AllData[[#This Row],[Site Name]],LocationsKey[Site Name],LocationsKey[Town])</f>
        <v>#VALUE!</v>
      </c>
      <c r="J494" t="str">
        <f>_xlfn.XLOOKUP(AllData[[#This Row],[Site Name]],LocationsKey[Site Name], LocationsKey[Waterway])</f>
        <v>Stour</v>
      </c>
      <c r="K494" t="s">
        <v>164</v>
      </c>
      <c r="L494">
        <v>52.146459999999998</v>
      </c>
      <c r="M494">
        <v>-1.69981</v>
      </c>
      <c r="N494" t="s">
        <v>31</v>
      </c>
      <c r="O494">
        <v>605</v>
      </c>
      <c r="P494">
        <v>4.5</v>
      </c>
      <c r="Q494">
        <v>4</v>
      </c>
      <c r="R494" s="107" t="str">
        <f>IF(AllData[[#This Row],[Nitrate (PPM)]]&gt;2, "Very high", IF(AllData[[#This Row],[Nitrate (PPM)]]&gt;1, "High", IF(AllData[[#This Row],[Nitrate (PPM)]]&gt;0.5, "Some evidence", IF(AllData[[#This Row],[Nitrate (PPM)]]&gt;=0, "No evidence"))))</f>
        <v>Very high</v>
      </c>
      <c r="S494">
        <v>0.18</v>
      </c>
      <c r="T494" s="7" t="str">
        <f>IF(AllData[[#This Row],[Phosphate (PPM)]]&gt;0.5, "Very high", IF(AllData[[#This Row],[Phosphate (PPM)]]&gt;0.1, "High", IF(AllData[[#This Row],[Phosphate (PPM)]]&gt;0.05, "Some evidence", IF(AllData[[#This Row],[Phosphate (PPM)]]&lt;=0.05, "No Evidence", ""))))</f>
        <v>High</v>
      </c>
      <c r="U494">
        <v>1.5</v>
      </c>
    </row>
    <row r="495" spans="1:22" x14ac:dyDescent="0.35">
      <c r="A495" t="s">
        <v>2785</v>
      </c>
      <c r="B495" s="143">
        <v>45660</v>
      </c>
      <c r="C495" s="2" t="str" cm="1">
        <f t="array" ref="C4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5">
        <v>2024</v>
      </c>
      <c r="E495" s="1">
        <v>0.63194444444444442</v>
      </c>
      <c r="F495" t="str">
        <f>IF(AND(AllData[[#This Row],[Time]]&lt;0.5, AllData[[#This Row],[Time]]&gt;0.17)=TRUE, "Morning", IF(AND(AllData[[#This Row],[Time]]&lt;0.75, AllData[[#This Row],[Time]]&gt;=0.5)=TRUE, "Afternoon", IF(AND(AllData[[#This Row],[Time]]&lt;1, AllData[[#This Row],[Time]]&gt;=0.75)=TRUE, "Evening", "Night")))</f>
        <v>Afternoon</v>
      </c>
      <c r="G495" t="str">
        <f>_xlfn.XLOOKUP(AllData[[#This Row],[Location Name]], Locations[Location Name],Locations[Group As])</f>
        <v>Carrant Mitton Path</v>
      </c>
      <c r="H495" t="e" vm="4">
        <f>_xlfn.XLOOKUP(AllData[[#This Row],[Site Name]],LocationsKey[Site Name],LocationsKey[District])</f>
        <v>#VALUE!</v>
      </c>
      <c r="I495" t="e" vm="4">
        <f>_xlfn.XLOOKUP(AllData[[#This Row],[Site Name]],LocationsKey[Site Name],LocationsKey[Town])</f>
        <v>#VALUE!</v>
      </c>
      <c r="J495" t="str">
        <f>_xlfn.XLOOKUP(AllData[[#This Row],[Site Name]],LocationsKey[Site Name], LocationsKey[Waterway])</f>
        <v>Carrant</v>
      </c>
      <c r="K495" t="s">
        <v>1064</v>
      </c>
      <c r="L495">
        <v>51.999766000000001</v>
      </c>
      <c r="M495">
        <v>-2.140825</v>
      </c>
      <c r="N495" t="s">
        <v>31</v>
      </c>
      <c r="O495">
        <v>6420</v>
      </c>
      <c r="P495">
        <v>7</v>
      </c>
      <c r="Q495">
        <v>3</v>
      </c>
      <c r="R495" s="107" t="str">
        <f>IF(AllData[[#This Row],[Nitrate (PPM)]]&gt;2, "Very high", IF(AllData[[#This Row],[Nitrate (PPM)]]&gt;1, "High", IF(AllData[[#This Row],[Nitrate (PPM)]]&gt;0.5, "Some evidence", IF(AllData[[#This Row],[Nitrate (PPM)]]&gt;=0, "No evidence"))))</f>
        <v>Very high</v>
      </c>
      <c r="S495">
        <v>0.43</v>
      </c>
      <c r="T495" s="7" t="str">
        <f>IF(AllData[[#This Row],[Phosphate (PPM)]]&gt;0.5, "Very high", IF(AllData[[#This Row],[Phosphate (PPM)]]&gt;0.1, "High", IF(AllData[[#This Row],[Phosphate (PPM)]]&gt;0.05, "Some evidence", IF(AllData[[#This Row],[Phosphate (PPM)]]&lt;=0.05, "No Evidence", ""))))</f>
        <v>High</v>
      </c>
      <c r="U495">
        <v>0</v>
      </c>
      <c r="V495" t="s">
        <v>2786</v>
      </c>
    </row>
    <row r="496" spans="1:22" x14ac:dyDescent="0.35">
      <c r="A496" t="s">
        <v>2787</v>
      </c>
      <c r="B496" s="143">
        <v>45660</v>
      </c>
      <c r="C496" s="2" t="str" cm="1">
        <f t="array" ref="C4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6">
        <v>2024</v>
      </c>
      <c r="E496" s="1">
        <v>0.63194444444444442</v>
      </c>
      <c r="F496" t="str">
        <f>IF(AND(AllData[[#This Row],[Time]]&lt;0.5, AllData[[#This Row],[Time]]&gt;0.17)=TRUE, "Morning", IF(AND(AllData[[#This Row],[Time]]&lt;0.75, AllData[[#This Row],[Time]]&gt;=0.5)=TRUE, "Afternoon", IF(AND(AllData[[#This Row],[Time]]&lt;1, AllData[[#This Row],[Time]]&gt;=0.75)=TRUE, "Evening", "Night")))</f>
        <v>Afternoon</v>
      </c>
      <c r="G496" t="str">
        <f>_xlfn.XLOOKUP(AllData[[#This Row],[Location Name]], Locations[Location Name],Locations[Group As])</f>
        <v>Stour Shipston Mill Bridge</v>
      </c>
      <c r="H496" t="e" vm="1">
        <f>_xlfn.XLOOKUP(AllData[[#This Row],[Site Name]],LocationsKey[Site Name],LocationsKey[District])</f>
        <v>#VALUE!</v>
      </c>
      <c r="I496" t="e" vm="15">
        <f>_xlfn.XLOOKUP(AllData[[#This Row],[Site Name]],LocationsKey[Site Name],LocationsKey[Town])</f>
        <v>#VALUE!</v>
      </c>
      <c r="J496" t="str">
        <f>_xlfn.XLOOKUP(AllData[[#This Row],[Site Name]],LocationsKey[Site Name], LocationsKey[Waterway])</f>
        <v>Stour</v>
      </c>
      <c r="K496" t="s">
        <v>2006</v>
      </c>
      <c r="O496">
        <v>5.91</v>
      </c>
      <c r="P496">
        <v>7.1</v>
      </c>
      <c r="Q496">
        <v>3</v>
      </c>
      <c r="R496" s="107" t="str">
        <f>IF(AllData[[#This Row],[Nitrate (PPM)]]&gt;2, "Very high", IF(AllData[[#This Row],[Nitrate (PPM)]]&gt;1, "High", IF(AllData[[#This Row],[Nitrate (PPM)]]&gt;0.5, "Some evidence", IF(AllData[[#This Row],[Nitrate (PPM)]]&gt;=0, "No evidence"))))</f>
        <v>Very high</v>
      </c>
      <c r="S496">
        <v>0.41</v>
      </c>
      <c r="T496" s="7" t="str">
        <f>IF(AllData[[#This Row],[Phosphate (PPM)]]&gt;0.5, "Very high", IF(AllData[[#This Row],[Phosphate (PPM)]]&gt;0.1, "High", IF(AllData[[#This Row],[Phosphate (PPM)]]&gt;0.05, "Some evidence", IF(AllData[[#This Row],[Phosphate (PPM)]]&lt;=0.05, "No Evidence", ""))))</f>
        <v>High</v>
      </c>
      <c r="U496">
        <v>0.65</v>
      </c>
      <c r="V496" t="s">
        <v>2788</v>
      </c>
    </row>
    <row r="497" spans="1:22" x14ac:dyDescent="0.35">
      <c r="A497" t="s">
        <v>2775</v>
      </c>
      <c r="B497" s="143">
        <v>45659</v>
      </c>
      <c r="C497" s="2" t="str" cm="1">
        <f t="array" ref="C4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7">
        <v>2024</v>
      </c>
      <c r="E497" s="1">
        <v>0.46111111111111114</v>
      </c>
      <c r="F497" t="str">
        <f>IF(AND(AllData[[#This Row],[Time]]&lt;0.5, AllData[[#This Row],[Time]]&gt;0.17)=TRUE, "Morning", IF(AND(AllData[[#This Row],[Time]]&lt;0.75, AllData[[#This Row],[Time]]&gt;=0.5)=TRUE, "Afternoon", IF(AND(AllData[[#This Row],[Time]]&lt;1, AllData[[#This Row],[Time]]&gt;=0.75)=TRUE, "Evening", "Night")))</f>
        <v>Morning</v>
      </c>
      <c r="G497" t="str">
        <f>_xlfn.XLOOKUP(AllData[[#This Row],[Location Name]], Locations[Location Name],Locations[Group As])</f>
        <v>Carters Lane</v>
      </c>
      <c r="H497" t="e" vm="1">
        <f>_xlfn.XLOOKUP(AllData[[#This Row],[Site Name]],LocationsKey[Site Name],LocationsKey[District])</f>
        <v>#VALUE!</v>
      </c>
      <c r="I497" t="e" vm="3">
        <f>_xlfn.XLOOKUP(AllData[[#This Row],[Site Name]],LocationsKey[Site Name],LocationsKey[Town])</f>
        <v>#VALUE!</v>
      </c>
      <c r="J497" t="str">
        <f>_xlfn.XLOOKUP(AllData[[#This Row],[Site Name]],LocationsKey[Site Name], LocationsKey[Waterway])</f>
        <v>Avon</v>
      </c>
      <c r="K497" t="s">
        <v>2520</v>
      </c>
      <c r="L497">
        <v>52.202421999999999</v>
      </c>
      <c r="M497">
        <v>-1.6787209999999999</v>
      </c>
      <c r="N497" t="s">
        <v>68</v>
      </c>
      <c r="O497">
        <v>823</v>
      </c>
      <c r="P497">
        <v>6.1</v>
      </c>
      <c r="Q497">
        <v>10</v>
      </c>
      <c r="R497" s="107" t="str">
        <f>IF(AllData[[#This Row],[Nitrate (PPM)]]&gt;2, "Very high", IF(AllData[[#This Row],[Nitrate (PPM)]]&gt;1, "High", IF(AllData[[#This Row],[Nitrate (PPM)]]&gt;0.5, "Some evidence", IF(AllData[[#This Row],[Nitrate (PPM)]]&gt;=0, "No evidence"))))</f>
        <v>Very high</v>
      </c>
      <c r="S497">
        <v>0.4</v>
      </c>
      <c r="T497" s="7" t="str">
        <f>IF(AllData[[#This Row],[Phosphate (PPM)]]&gt;0.5, "Very high", IF(AllData[[#This Row],[Phosphate (PPM)]]&gt;0.1, "High", IF(AllData[[#This Row],[Phosphate (PPM)]]&gt;0.05, "Some evidence", IF(AllData[[#This Row],[Phosphate (PPM)]]&lt;=0.05, "No Evidence", ""))))</f>
        <v>High</v>
      </c>
      <c r="U497">
        <v>0.82</v>
      </c>
    </row>
    <row r="498" spans="1:22" x14ac:dyDescent="0.35">
      <c r="A498" t="s">
        <v>2776</v>
      </c>
      <c r="B498" s="143">
        <v>45659</v>
      </c>
      <c r="C498" s="2" t="str" cm="1">
        <f t="array" ref="C4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8">
        <v>2024</v>
      </c>
      <c r="E498" s="1">
        <v>0.45833333333333331</v>
      </c>
      <c r="F498" t="str">
        <f>IF(AND(AllData[[#This Row],[Time]]&lt;0.5, AllData[[#This Row],[Time]]&gt;0.17)=TRUE, "Morning", IF(AND(AllData[[#This Row],[Time]]&lt;0.75, AllData[[#This Row],[Time]]&gt;=0.5)=TRUE, "Afternoon", IF(AND(AllData[[#This Row],[Time]]&lt;1, AllData[[#This Row],[Time]]&gt;=0.75)=TRUE, "Evening", "Night")))</f>
        <v>Morning</v>
      </c>
      <c r="G498" t="str">
        <f>_xlfn.XLOOKUP(AllData[[#This Row],[Location Name]], Locations[Location Name],Locations[Group As])</f>
        <v>School Lane</v>
      </c>
      <c r="H498" t="e" vm="1">
        <f>_xlfn.XLOOKUP(AllData[[#This Row],[Site Name]],LocationsKey[Site Name],LocationsKey[District])</f>
        <v>#VALUE!</v>
      </c>
      <c r="I498" t="e" vm="3">
        <f>_xlfn.XLOOKUP(AllData[[#This Row],[Site Name]],LocationsKey[Site Name],LocationsKey[Town])</f>
        <v>#VALUE!</v>
      </c>
      <c r="J498" t="str">
        <f>_xlfn.XLOOKUP(AllData[[#This Row],[Site Name]],LocationsKey[Site Name], LocationsKey[Waterway])</f>
        <v>Avon</v>
      </c>
      <c r="K498" t="s">
        <v>2212</v>
      </c>
      <c r="L498">
        <v>52.202427999999998</v>
      </c>
      <c r="M498">
        <v>-1.6787380000000001</v>
      </c>
      <c r="N498" t="s">
        <v>31</v>
      </c>
      <c r="O498">
        <v>823</v>
      </c>
      <c r="P498">
        <v>7.1</v>
      </c>
      <c r="Q498">
        <v>10</v>
      </c>
      <c r="R498" s="107" t="str">
        <f>IF(AllData[[#This Row],[Nitrate (PPM)]]&gt;2, "Very high", IF(AllData[[#This Row],[Nitrate (PPM)]]&gt;1, "High", IF(AllData[[#This Row],[Nitrate (PPM)]]&gt;0.5, "Some evidence", IF(AllData[[#This Row],[Nitrate (PPM)]]&gt;=0, "No evidence"))))</f>
        <v>Very high</v>
      </c>
      <c r="S498">
        <v>0.4</v>
      </c>
      <c r="T498" s="7" t="str">
        <f>IF(AllData[[#This Row],[Phosphate (PPM)]]&gt;0.5, "Very high", IF(AllData[[#This Row],[Phosphate (PPM)]]&gt;0.1, "High", IF(AllData[[#This Row],[Phosphate (PPM)]]&gt;0.05, "Some evidence", IF(AllData[[#This Row],[Phosphate (PPM)]]&lt;=0.05, "No Evidence", ""))))</f>
        <v>High</v>
      </c>
      <c r="U498">
        <v>0.82</v>
      </c>
    </row>
    <row r="499" spans="1:22" x14ac:dyDescent="0.35">
      <c r="A499" t="s">
        <v>2779</v>
      </c>
      <c r="B499" s="143">
        <v>45659</v>
      </c>
      <c r="C499" s="2" t="str" cm="1">
        <f t="array" ref="C4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499">
        <v>2024</v>
      </c>
      <c r="E499" s="1">
        <v>0.62291666666666667</v>
      </c>
      <c r="F499" t="str">
        <f>IF(AND(AllData[[#This Row],[Time]]&lt;0.5, AllData[[#This Row],[Time]]&gt;0.17)=TRUE, "Morning", IF(AND(AllData[[#This Row],[Time]]&lt;0.75, AllData[[#This Row],[Time]]&gt;=0.5)=TRUE, "Afternoon", IF(AND(AllData[[#This Row],[Time]]&lt;1, AllData[[#This Row],[Time]]&gt;=0.75)=TRUE, "Evening", "Night")))</f>
        <v>Afternoon</v>
      </c>
      <c r="G499" t="str">
        <f>_xlfn.XLOOKUP(AllData[[#This Row],[Location Name]], Locations[Location Name],Locations[Group As])</f>
        <v>Swiffen Bank</v>
      </c>
      <c r="H499" t="e" vm="1">
        <f>_xlfn.XLOOKUP(AllData[[#This Row],[Site Name]],LocationsKey[Site Name],LocationsKey[District])</f>
        <v>#VALUE!</v>
      </c>
      <c r="I499" t="e" vm="2">
        <f>_xlfn.XLOOKUP(AllData[[#This Row],[Site Name]],LocationsKey[Site Name],LocationsKey[Town])</f>
        <v>#VALUE!</v>
      </c>
      <c r="J499" t="str">
        <f>_xlfn.XLOOKUP(AllData[[#This Row],[Site Name]],LocationsKey[Site Name], LocationsKey[Waterway])</f>
        <v>Avon</v>
      </c>
      <c r="K499" t="s">
        <v>1448</v>
      </c>
      <c r="L499">
        <v>52.206477999999997</v>
      </c>
      <c r="M499">
        <v>-1.653894</v>
      </c>
      <c r="N499" t="s">
        <v>31</v>
      </c>
      <c r="O499">
        <v>664</v>
      </c>
      <c r="P499">
        <v>8.1999999999999993</v>
      </c>
      <c r="Q499">
        <v>5</v>
      </c>
      <c r="R499" s="107" t="str">
        <f>IF(AllData[[#This Row],[Nitrate (PPM)]]&gt;2, "Very high", IF(AllData[[#This Row],[Nitrate (PPM)]]&gt;1, "High", IF(AllData[[#This Row],[Nitrate (PPM)]]&gt;0.5, "Some evidence", IF(AllData[[#This Row],[Nitrate (PPM)]]&gt;=0, "No evidence"))))</f>
        <v>Very high</v>
      </c>
      <c r="S499">
        <v>0.41</v>
      </c>
      <c r="T499" s="7" t="str">
        <f>IF(AllData[[#This Row],[Phosphate (PPM)]]&gt;0.5, "Very high", IF(AllData[[#This Row],[Phosphate (PPM)]]&gt;0.1, "High", IF(AllData[[#This Row],[Phosphate (PPM)]]&gt;0.05, "Some evidence", IF(AllData[[#This Row],[Phosphate (PPM)]]&lt;=0.05, "No Evidence", ""))))</f>
        <v>High</v>
      </c>
      <c r="U499">
        <v>0.3</v>
      </c>
      <c r="V499" t="s">
        <v>2780</v>
      </c>
    </row>
    <row r="500" spans="1:22" x14ac:dyDescent="0.35">
      <c r="A500" t="s">
        <v>2777</v>
      </c>
      <c r="B500" s="143">
        <v>45659</v>
      </c>
      <c r="C500" s="2" t="str" cm="1">
        <f t="array" ref="C5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0">
        <v>2024</v>
      </c>
      <c r="E500" s="1">
        <v>0.64583333333333337</v>
      </c>
      <c r="F500" t="str">
        <f>IF(AND(AllData[[#This Row],[Time]]&lt;0.5, AllData[[#This Row],[Time]]&gt;0.17)=TRUE, "Morning", IF(AND(AllData[[#This Row],[Time]]&lt;0.75, AllData[[#This Row],[Time]]&gt;=0.5)=TRUE, "Afternoon", IF(AND(AllData[[#This Row],[Time]]&lt;1, AllData[[#This Row],[Time]]&gt;=0.75)=TRUE, "Evening", "Night")))</f>
        <v>Afternoon</v>
      </c>
      <c r="G500" t="str">
        <f>_xlfn.XLOOKUP(AllData[[#This Row],[Location Name]], Locations[Location Name],Locations[Group As])</f>
        <v>Alveston Weir</v>
      </c>
      <c r="H500" t="e" vm="1">
        <f>_xlfn.XLOOKUP(AllData[[#This Row],[Site Name]],LocationsKey[Site Name],LocationsKey[District])</f>
        <v>#VALUE!</v>
      </c>
      <c r="I500" t="e" vm="2">
        <f>_xlfn.XLOOKUP(AllData[[#This Row],[Site Name]],LocationsKey[Site Name],LocationsKey[Town])</f>
        <v>#VALUE!</v>
      </c>
      <c r="J500" t="str">
        <f>_xlfn.XLOOKUP(AllData[[#This Row],[Site Name]],LocationsKey[Site Name], LocationsKey[Waterway])</f>
        <v>Avon</v>
      </c>
      <c r="K500" t="s">
        <v>288</v>
      </c>
      <c r="L500">
        <v>52.212288999999998</v>
      </c>
      <c r="M500">
        <v>-1.660452</v>
      </c>
      <c r="N500" t="s">
        <v>31</v>
      </c>
      <c r="O500">
        <v>651</v>
      </c>
      <c r="P500">
        <v>9.1999999999999993</v>
      </c>
      <c r="Q500">
        <v>5</v>
      </c>
      <c r="R500" s="107" t="str">
        <f>IF(AllData[[#This Row],[Nitrate (PPM)]]&gt;2, "Very high", IF(AllData[[#This Row],[Nitrate (PPM)]]&gt;1, "High", IF(AllData[[#This Row],[Nitrate (PPM)]]&gt;0.5, "Some evidence", IF(AllData[[#This Row],[Nitrate (PPM)]]&gt;=0, "No evidence"))))</f>
        <v>Very high</v>
      </c>
      <c r="S500">
        <v>0.45</v>
      </c>
      <c r="T500" s="7" t="str">
        <f>IF(AllData[[#This Row],[Phosphate (PPM)]]&gt;0.5, "Very high", IF(AllData[[#This Row],[Phosphate (PPM)]]&gt;0.1, "High", IF(AllData[[#This Row],[Phosphate (PPM)]]&gt;0.05, "Some evidence", IF(AllData[[#This Row],[Phosphate (PPM)]]&lt;=0.05, "No Evidence", ""))))</f>
        <v>High</v>
      </c>
      <c r="U500">
        <v>0.3</v>
      </c>
      <c r="V500" t="s">
        <v>2778</v>
      </c>
    </row>
    <row r="501" spans="1:22" x14ac:dyDescent="0.35">
      <c r="A501" t="s">
        <v>2773</v>
      </c>
      <c r="B501" s="143">
        <v>45657</v>
      </c>
      <c r="C501" s="2" t="str" cm="1">
        <f t="array" ref="C5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1">
        <f>YEAR(AllData[[#This Row],[Date]])</f>
        <v>2024</v>
      </c>
      <c r="E501" s="1">
        <v>0.6694444444444444</v>
      </c>
      <c r="F501" t="str">
        <f>IF(AND(AllData[[#This Row],[Time]]&lt;0.5, AllData[[#This Row],[Time]]&gt;0.17)=TRUE, "Morning", IF(AND(AllData[[#This Row],[Time]]&lt;0.75, AllData[[#This Row],[Time]]&gt;=0.5)=TRUE, "Afternoon", IF(AND(AllData[[#This Row],[Time]]&lt;1, AllData[[#This Row],[Time]]&gt;=0.75)=TRUE, "Evening", "Night")))</f>
        <v>Afternoon</v>
      </c>
      <c r="G501" t="str">
        <f>_xlfn.XLOOKUP(AllData[[#This Row],[Location Name]], Locations[Location Name],Locations[Group As])</f>
        <v>Carrant Back Lane Beckford</v>
      </c>
      <c r="H501" t="e" vm="4">
        <f>_xlfn.XLOOKUP(AllData[[#This Row],[Site Name]],LocationsKey[Site Name],LocationsKey[District])</f>
        <v>#VALUE!</v>
      </c>
      <c r="I501" t="str">
        <f>_xlfn.XLOOKUP(AllData[[#This Row],[Site Name]],LocationsKey[Site Name],LocationsKey[Town])</f>
        <v>Beckford</v>
      </c>
      <c r="J501" t="str">
        <f>_xlfn.XLOOKUP(AllData[[#This Row],[Site Name]],LocationsKey[Site Name], LocationsKey[Waterway])</f>
        <v>Carrant</v>
      </c>
      <c r="K501" t="s">
        <v>1736</v>
      </c>
      <c r="L501">
        <v>52.018509000000002</v>
      </c>
      <c r="M501">
        <v>-2.038859</v>
      </c>
      <c r="N501" t="s">
        <v>68</v>
      </c>
      <c r="O501">
        <v>714</v>
      </c>
      <c r="P501">
        <v>10.3</v>
      </c>
      <c r="Q501">
        <v>7</v>
      </c>
      <c r="R501" s="107" t="str">
        <f>IF(AllData[[#This Row],[Nitrate (PPM)]]&gt;2, "Very high", IF(AllData[[#This Row],[Nitrate (PPM)]]&gt;1, "High", IF(AllData[[#This Row],[Nitrate (PPM)]]&gt;0.5, "Some evidence", IF(AllData[[#This Row],[Nitrate (PPM)]]&gt;=0, "No evidence"))))</f>
        <v>Very high</v>
      </c>
      <c r="S501">
        <v>0</v>
      </c>
      <c r="T501" s="7" t="str">
        <f>IF(AllData[[#This Row],[Phosphate (PPM)]]&gt;0.5, "Very high", IF(AllData[[#This Row],[Phosphate (PPM)]]&gt;0.1, "High", IF(AllData[[#This Row],[Phosphate (PPM)]]&gt;0.05, "Some evidence", IF(AllData[[#This Row],[Phosphate (PPM)]]&lt;=0.05, "No Evidence", ""))))</f>
        <v>No Evidence</v>
      </c>
      <c r="U501">
        <v>0.16</v>
      </c>
      <c r="V501" t="s">
        <v>2774</v>
      </c>
    </row>
    <row r="502" spans="1:22" x14ac:dyDescent="0.35">
      <c r="A502" t="s">
        <v>2771</v>
      </c>
      <c r="B502" s="143">
        <v>45657</v>
      </c>
      <c r="C502" s="2" t="str" cm="1">
        <f t="array" ref="C5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2">
        <f>YEAR(AllData[[#This Row],[Date]])</f>
        <v>2024</v>
      </c>
      <c r="E502" s="1">
        <v>0.64930555555555558</v>
      </c>
      <c r="F502" t="str">
        <f>IF(AND(AllData[[#This Row],[Time]]&lt;0.5, AllData[[#This Row],[Time]]&gt;0.17)=TRUE, "Morning", IF(AND(AllData[[#This Row],[Time]]&lt;0.75, AllData[[#This Row],[Time]]&gt;=0.5)=TRUE, "Afternoon", IF(AND(AllData[[#This Row],[Time]]&lt;1, AllData[[#This Row],[Time]]&gt;=0.75)=TRUE, "Evening", "Night")))</f>
        <v>Afternoon</v>
      </c>
      <c r="G502" t="str">
        <f>_xlfn.XLOOKUP(AllData[[#This Row],[Location Name]], Locations[Location Name],Locations[Group As])</f>
        <v>New Barn Farm Brailes</v>
      </c>
      <c r="H502" t="e" vm="1">
        <f>_xlfn.XLOOKUP(AllData[[#This Row],[Site Name]],LocationsKey[Site Name],LocationsKey[District])</f>
        <v>#VALUE!</v>
      </c>
      <c r="I502" t="e" vm="5">
        <f>_xlfn.XLOOKUP(AllData[[#This Row],[Site Name]],LocationsKey[Site Name],LocationsKey[Town])</f>
        <v>#VALUE!</v>
      </c>
      <c r="J502" t="str">
        <f>_xlfn.XLOOKUP(AllData[[#This Row],[Site Name]],LocationsKey[Site Name], LocationsKey[Waterway])</f>
        <v>Sutton Brook</v>
      </c>
      <c r="K502" t="s">
        <v>2772</v>
      </c>
      <c r="N502" t="s">
        <v>31</v>
      </c>
      <c r="O502">
        <v>609</v>
      </c>
      <c r="P502">
        <v>10.6</v>
      </c>
      <c r="Q502">
        <v>5</v>
      </c>
      <c r="R502" s="107" t="str">
        <f>IF(AllData[[#This Row],[Nitrate (PPM)]]&gt;2, "Very high", IF(AllData[[#This Row],[Nitrate (PPM)]]&gt;1, "High", IF(AllData[[#This Row],[Nitrate (PPM)]]&gt;0.5, "Some evidence", IF(AllData[[#This Row],[Nitrate (PPM)]]&gt;=0, "No evidence"))))</f>
        <v>Very high</v>
      </c>
      <c r="S502">
        <v>0.15</v>
      </c>
      <c r="T502" s="7" t="str">
        <f>IF(AllData[[#This Row],[Phosphate (PPM)]]&gt;0.5, "Very high", IF(AllData[[#This Row],[Phosphate (PPM)]]&gt;0.1, "High", IF(AllData[[#This Row],[Phosphate (PPM)]]&gt;0.05, "Some evidence", IF(AllData[[#This Row],[Phosphate (PPM)]]&lt;=0.05, "No Evidence", ""))))</f>
        <v>High</v>
      </c>
      <c r="U502">
        <v>0.3</v>
      </c>
    </row>
    <row r="503" spans="1:22" x14ac:dyDescent="0.35">
      <c r="A503" t="s">
        <v>2770</v>
      </c>
      <c r="B503" s="143">
        <v>45657</v>
      </c>
      <c r="C503" s="2" t="str" cm="1">
        <f t="array" ref="C5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3">
        <f>YEAR(AllData[[#This Row],[Date]])</f>
        <v>2024</v>
      </c>
      <c r="E503" s="1">
        <v>0.63541666666666663</v>
      </c>
      <c r="F503" t="str">
        <f>IF(AND(AllData[[#This Row],[Time]]&lt;0.5, AllData[[#This Row],[Time]]&gt;0.17)=TRUE, "Morning", IF(AND(AllData[[#This Row],[Time]]&lt;0.75, AllData[[#This Row],[Time]]&gt;=0.5)=TRUE, "Afternoon", IF(AND(AllData[[#This Row],[Time]]&lt;1, AllData[[#This Row],[Time]]&gt;=0.75)=TRUE, "Evening", "Night")))</f>
        <v>Afternoon</v>
      </c>
      <c r="G503" t="str">
        <f>_xlfn.XLOOKUP(AllData[[#This Row],[Location Name]], Locations[Location Name],Locations[Group As])</f>
        <v>High Street Brailes</v>
      </c>
      <c r="H503" t="e" vm="1">
        <f>_xlfn.XLOOKUP(AllData[[#This Row],[Site Name]],LocationsKey[Site Name],LocationsKey[District])</f>
        <v>#VALUE!</v>
      </c>
      <c r="I503" t="e" vm="5">
        <f>_xlfn.XLOOKUP(AllData[[#This Row],[Site Name]],LocationsKey[Site Name],LocationsKey[Town])</f>
        <v>#VALUE!</v>
      </c>
      <c r="J503" t="str">
        <f>_xlfn.XLOOKUP(AllData[[#This Row],[Site Name]],LocationsKey[Site Name], LocationsKey[Waterway])</f>
        <v>Sutton Brook</v>
      </c>
      <c r="K503" t="s">
        <v>2561</v>
      </c>
      <c r="N503" t="s">
        <v>68</v>
      </c>
      <c r="O503">
        <v>589</v>
      </c>
      <c r="P503">
        <v>10</v>
      </c>
      <c r="Q503">
        <v>5</v>
      </c>
      <c r="R503" s="107" t="str">
        <f>IF(AllData[[#This Row],[Nitrate (PPM)]]&gt;2, "Very high", IF(AllData[[#This Row],[Nitrate (PPM)]]&gt;1, "High", IF(AllData[[#This Row],[Nitrate (PPM)]]&gt;0.5, "Some evidence", IF(AllData[[#This Row],[Nitrate (PPM)]]&gt;=0, "No evidence"))))</f>
        <v>Very high</v>
      </c>
      <c r="S503">
        <v>0.15</v>
      </c>
      <c r="T503" s="7" t="str">
        <f>IF(AllData[[#This Row],[Phosphate (PPM)]]&gt;0.5, "Very high", IF(AllData[[#This Row],[Phosphate (PPM)]]&gt;0.1, "High", IF(AllData[[#This Row],[Phosphate (PPM)]]&gt;0.05, "Some evidence", IF(AllData[[#This Row],[Phosphate (PPM)]]&lt;=0.05, "No Evidence", ""))))</f>
        <v>High</v>
      </c>
      <c r="U503">
        <v>0.3</v>
      </c>
    </row>
    <row r="504" spans="1:22" x14ac:dyDescent="0.35">
      <c r="A504" t="s">
        <v>2764</v>
      </c>
      <c r="B504" s="143">
        <v>45656</v>
      </c>
      <c r="C504" s="2" t="str" cm="1">
        <f t="array" ref="C5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4">
        <f>YEAR(AllData[[#This Row],[Date]])</f>
        <v>2024</v>
      </c>
      <c r="E504" s="1">
        <v>0.50486111111111109</v>
      </c>
      <c r="F504" t="str">
        <f>IF(AND(AllData[[#This Row],[Time]]&lt;0.5, AllData[[#This Row],[Time]]&gt;0.17)=TRUE, "Morning", IF(AND(AllData[[#This Row],[Time]]&lt;0.75, AllData[[#This Row],[Time]]&gt;=0.5)=TRUE, "Afternoon", IF(AND(AllData[[#This Row],[Time]]&lt;1, AllData[[#This Row],[Time]]&gt;=0.75)=TRUE, "Evening", "Night")))</f>
        <v>Afternoon</v>
      </c>
      <c r="G504" t="str">
        <f>_xlfn.XLOOKUP(AllData[[#This Row],[Location Name]], Locations[Location Name],Locations[Group As])</f>
        <v>Site 3  :  Severn Trent Water processing plant outflow</v>
      </c>
      <c r="H504" t="e" vm="1">
        <f>_xlfn.XLOOKUP(AllData[[#This Row],[Site Name]],LocationsKey[Site Name],LocationsKey[District])</f>
        <v>#VALUE!</v>
      </c>
      <c r="I504" t="e" vm="14">
        <f>_xlfn.XLOOKUP(AllData[[#This Row],[Site Name]],LocationsKey[Site Name],LocationsKey[Town])</f>
        <v>#VALUE!</v>
      </c>
      <c r="J504" t="str">
        <f>_xlfn.XLOOKUP(AllData[[#This Row],[Site Name]],LocationsKey[Site Name], LocationsKey[Waterway])</f>
        <v>Fosseway Brook</v>
      </c>
      <c r="K504" t="s">
        <v>2041</v>
      </c>
      <c r="L504">
        <v>52.094481999999999</v>
      </c>
      <c r="M504">
        <v>-1.6757040000000001</v>
      </c>
      <c r="N504" t="s">
        <v>31</v>
      </c>
      <c r="O504">
        <v>847</v>
      </c>
      <c r="P504">
        <v>10.3</v>
      </c>
      <c r="Q504">
        <v>5</v>
      </c>
      <c r="R504" s="107" t="str">
        <f>IF(AllData[[#This Row],[Nitrate (PPM)]]&gt;2, "Very high", IF(AllData[[#This Row],[Nitrate (PPM)]]&gt;1, "High", IF(AllData[[#This Row],[Nitrate (PPM)]]&gt;0.5, "Some evidence", IF(AllData[[#This Row],[Nitrate (PPM)]]&gt;=0, "No evidence"))))</f>
        <v>Very high</v>
      </c>
      <c r="S504">
        <v>7.9</v>
      </c>
      <c r="T504" s="7" t="str">
        <f>IF(AllData[[#This Row],[Phosphate (PPM)]]&gt;0.5, "Very high", IF(AllData[[#This Row],[Phosphate (PPM)]]&gt;0.1, "High", IF(AllData[[#This Row],[Phosphate (PPM)]]&gt;0.05, "Some evidence", IF(AllData[[#This Row],[Phosphate (PPM)]]&lt;=0.05, "No Evidence", ""))))</f>
        <v>Very high</v>
      </c>
      <c r="U504">
        <v>0.3</v>
      </c>
      <c r="V504" t="s">
        <v>2765</v>
      </c>
    </row>
    <row r="505" spans="1:22" x14ac:dyDescent="0.35">
      <c r="A505" t="s">
        <v>2760</v>
      </c>
      <c r="B505" s="143">
        <v>45656</v>
      </c>
      <c r="C505" s="2" t="str" cm="1">
        <f t="array" ref="C5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5">
        <f>YEAR(AllData[[#This Row],[Date]])</f>
        <v>2024</v>
      </c>
      <c r="E505" s="1">
        <v>0.33958333333333335</v>
      </c>
      <c r="F505" t="str">
        <f>IF(AND(AllData[[#This Row],[Time]]&lt;0.5, AllData[[#This Row],[Time]]&gt;0.17)=TRUE, "Morning", IF(AND(AllData[[#This Row],[Time]]&lt;0.75, AllData[[#This Row],[Time]]&gt;=0.5)=TRUE, "Afternoon", IF(AND(AllData[[#This Row],[Time]]&lt;1, AllData[[#This Row],[Time]]&gt;=0.75)=TRUE, "Evening", "Night")))</f>
        <v>Morning</v>
      </c>
      <c r="G505" t="str">
        <f>_xlfn.XLOOKUP(AllData[[#This Row],[Location Name]], Locations[Location Name],Locations[Group As])</f>
        <v>Chipping Campden Sewage Works</v>
      </c>
      <c r="H505" t="e" vm="9">
        <f>_xlfn.XLOOKUP(AllData[[#This Row],[Site Name]],LocationsKey[Site Name],LocationsKey[District])</f>
        <v>#VALUE!</v>
      </c>
      <c r="I505" t="e" vm="10">
        <f>_xlfn.XLOOKUP(AllData[[#This Row],[Site Name]],LocationsKey[Site Name],LocationsKey[Town])</f>
        <v>#VALUE!</v>
      </c>
      <c r="J505" t="str">
        <f>_xlfn.XLOOKUP(AllData[[#This Row],[Site Name]],LocationsKey[Site Name], LocationsKey[Waterway])</f>
        <v>Cam Brook</v>
      </c>
      <c r="K505" t="s">
        <v>1570</v>
      </c>
      <c r="N505" t="s">
        <v>31</v>
      </c>
      <c r="O505">
        <v>625</v>
      </c>
      <c r="P505">
        <v>10.1</v>
      </c>
      <c r="Q505">
        <v>5</v>
      </c>
      <c r="R505" s="107" t="str">
        <f>IF(AllData[[#This Row],[Nitrate (PPM)]]&gt;2, "Very high", IF(AllData[[#This Row],[Nitrate (PPM)]]&gt;1, "High", IF(AllData[[#This Row],[Nitrate (PPM)]]&gt;0.5, "Some evidence", IF(AllData[[#This Row],[Nitrate (PPM)]]&gt;=0, "No evidence"))))</f>
        <v>Very high</v>
      </c>
      <c r="S505">
        <v>0.14000000000000001</v>
      </c>
      <c r="T505" s="7" t="str">
        <f>IF(AllData[[#This Row],[Phosphate (PPM)]]&gt;0.5, "Very high", IF(AllData[[#This Row],[Phosphate (PPM)]]&gt;0.1, "High", IF(AllData[[#This Row],[Phosphate (PPM)]]&gt;0.05, "Some evidence", IF(AllData[[#This Row],[Phosphate (PPM)]]&lt;=0.05, "No Evidence", ""))))</f>
        <v>High</v>
      </c>
      <c r="U505">
        <v>0.34</v>
      </c>
    </row>
    <row r="506" spans="1:22" x14ac:dyDescent="0.35">
      <c r="A506" t="s">
        <v>2769</v>
      </c>
      <c r="B506" s="143">
        <v>45656</v>
      </c>
      <c r="C506" s="2" t="str" cm="1">
        <f t="array" ref="C5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6">
        <f>YEAR(AllData[[#This Row],[Date]])</f>
        <v>2024</v>
      </c>
      <c r="E506" s="1">
        <v>0.37152777777777779</v>
      </c>
      <c r="F506" t="str">
        <f>IF(AND(AllData[[#This Row],[Time]]&lt;0.5, AllData[[#This Row],[Time]]&gt;0.17)=TRUE, "Morning", IF(AND(AllData[[#This Row],[Time]]&lt;0.75, AllData[[#This Row],[Time]]&gt;=0.5)=TRUE, "Afternoon", IF(AND(AllData[[#This Row],[Time]]&lt;1, AllData[[#This Row],[Time]]&gt;=0.75)=TRUE, "Evening", "Night")))</f>
        <v>Morning</v>
      </c>
      <c r="G506" t="str">
        <f>_xlfn.XLOOKUP(AllData[[#This Row],[Location Name]], Locations[Location Name],Locations[Group As])</f>
        <v>Chipping Campden Lady J Gateway</v>
      </c>
      <c r="H506" t="e" vm="9">
        <f>_xlfn.XLOOKUP(AllData[[#This Row],[Site Name]],LocationsKey[Site Name],LocationsKey[District])</f>
        <v>#VALUE!</v>
      </c>
      <c r="I506" t="e" vm="10">
        <f>_xlfn.XLOOKUP(AllData[[#This Row],[Site Name]],LocationsKey[Site Name],LocationsKey[Town])</f>
        <v>#VALUE!</v>
      </c>
      <c r="J506" t="str">
        <f>_xlfn.XLOOKUP(AllData[[#This Row],[Site Name]],LocationsKey[Site Name], LocationsKey[Waterway])</f>
        <v>Cam Brook</v>
      </c>
      <c r="K506" t="s">
        <v>1573</v>
      </c>
      <c r="N506" t="s">
        <v>68</v>
      </c>
      <c r="O506">
        <v>546</v>
      </c>
      <c r="P506">
        <v>7.4</v>
      </c>
      <c r="Q506">
        <v>5</v>
      </c>
      <c r="R506" s="107" t="str">
        <f>IF(AllData[[#This Row],[Nitrate (PPM)]]&gt;2, "Very high", IF(AllData[[#This Row],[Nitrate (PPM)]]&gt;1, "High", IF(AllData[[#This Row],[Nitrate (PPM)]]&gt;0.5, "Some evidence", IF(AllData[[#This Row],[Nitrate (PPM)]]&gt;=0, "No evidence"))))</f>
        <v>Very high</v>
      </c>
      <c r="S506">
        <v>7.0000000000000007E-2</v>
      </c>
      <c r="T506" s="7" t="str">
        <f>IF(AllData[[#This Row],[Phosphate (PPM)]]&gt;0.5, "Very high", IF(AllData[[#This Row],[Phosphate (PPM)]]&gt;0.1, "High", IF(AllData[[#This Row],[Phosphate (PPM)]]&gt;0.05, "Some evidence", IF(AllData[[#This Row],[Phosphate (PPM)]]&lt;=0.05, "No Evidence", ""))))</f>
        <v>Some evidence</v>
      </c>
      <c r="U506">
        <v>0.17</v>
      </c>
    </row>
    <row r="507" spans="1:22" x14ac:dyDescent="0.35">
      <c r="A507" t="s">
        <v>2762</v>
      </c>
      <c r="B507" s="143">
        <v>45656</v>
      </c>
      <c r="C507" s="2" t="str" cm="1">
        <f t="array" ref="C5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7">
        <f>YEAR(AllData[[#This Row],[Date]])</f>
        <v>2024</v>
      </c>
      <c r="E507" s="1">
        <v>0.41666666666666669</v>
      </c>
      <c r="F507" t="str">
        <f>IF(AND(AllData[[#This Row],[Time]]&lt;0.5, AllData[[#This Row],[Time]]&gt;0.17)=TRUE, "Morning", IF(AND(AllData[[#This Row],[Time]]&lt;0.75, AllData[[#This Row],[Time]]&gt;=0.5)=TRUE, "Afternoon", IF(AND(AllData[[#This Row],[Time]]&lt;1, AllData[[#This Row],[Time]]&gt;=0.75)=TRUE, "Evening", "Night")))</f>
        <v>Morning</v>
      </c>
      <c r="G507" t="str">
        <f>_xlfn.XLOOKUP(AllData[[#This Row],[Location Name]], Locations[Location Name],Locations[Group As])</f>
        <v>Chipping Campden Craves</v>
      </c>
      <c r="H507" t="e" vm="9">
        <f>_xlfn.XLOOKUP(AllData[[#This Row],[Site Name]],LocationsKey[Site Name],LocationsKey[District])</f>
        <v>#VALUE!</v>
      </c>
      <c r="I507" t="e" vm="10">
        <f>_xlfn.XLOOKUP(AllData[[#This Row],[Site Name]],LocationsKey[Site Name],LocationsKey[Town])</f>
        <v>#VALUE!</v>
      </c>
      <c r="J507" t="str">
        <f>_xlfn.XLOOKUP(AllData[[#This Row],[Site Name]],LocationsKey[Site Name], LocationsKey[Waterway])</f>
        <v>Cam Brook</v>
      </c>
      <c r="K507" t="s">
        <v>2558</v>
      </c>
      <c r="L507">
        <v>52.048735000000001</v>
      </c>
      <c r="M507">
        <v>-1.7863420000000001</v>
      </c>
      <c r="N507" t="s">
        <v>68</v>
      </c>
      <c r="O507">
        <v>502</v>
      </c>
      <c r="P507">
        <v>11</v>
      </c>
      <c r="Q507">
        <v>5</v>
      </c>
      <c r="R507" s="107" t="str">
        <f>IF(AllData[[#This Row],[Nitrate (PPM)]]&gt;2, "Very high", IF(AllData[[#This Row],[Nitrate (PPM)]]&gt;1, "High", IF(AllData[[#This Row],[Nitrate (PPM)]]&gt;0.5, "Some evidence", IF(AllData[[#This Row],[Nitrate (PPM)]]&gt;=0, "No evidence"))))</f>
        <v>Very high</v>
      </c>
      <c r="T507" s="7" t="str">
        <f>IF(AllData[[#This Row],[Phosphate (PPM)]]&gt;0.5, "Very high", IF(AllData[[#This Row],[Phosphate (PPM)]]&gt;0.1, "High", IF(AllData[[#This Row],[Phosphate (PPM)]]&gt;0.05, "Some evidence", IF(AllData[[#This Row],[Phosphate (PPM)]]&lt;=0.05, "No Evidence", ""))))</f>
        <v>No Evidence</v>
      </c>
      <c r="U507">
        <v>28</v>
      </c>
      <c r="V507" t="s">
        <v>2763</v>
      </c>
    </row>
    <row r="508" spans="1:22" x14ac:dyDescent="0.35">
      <c r="A508" t="s">
        <v>2761</v>
      </c>
      <c r="B508" s="143">
        <v>45656</v>
      </c>
      <c r="C508" s="2" t="str" cm="1">
        <f t="array" ref="C5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8">
        <f>YEAR(AllData[[#This Row],[Date]])</f>
        <v>2024</v>
      </c>
      <c r="E508" s="1">
        <v>0.35416666666666669</v>
      </c>
      <c r="F508" t="str">
        <f>IF(AND(AllData[[#This Row],[Time]]&lt;0.5, AllData[[#This Row],[Time]]&gt;0.17)=TRUE, "Morning", IF(AND(AllData[[#This Row],[Time]]&lt;0.75, AllData[[#This Row],[Time]]&gt;=0.5)=TRUE, "Afternoon", IF(AND(AllData[[#This Row],[Time]]&lt;1, AllData[[#This Row],[Time]]&gt;=0.75)=TRUE, "Evening", "Night")))</f>
        <v>Morning</v>
      </c>
      <c r="G508" t="str">
        <f>_xlfn.XLOOKUP(AllData[[#This Row],[Location Name]], Locations[Location Name],Locations[Group As])</f>
        <v>Carrant M5 Bridge</v>
      </c>
      <c r="H508" t="e" vm="4">
        <f>_xlfn.XLOOKUP(AllData[[#This Row],[Site Name]],LocationsKey[Site Name],LocationsKey[District])</f>
        <v>#VALUE!</v>
      </c>
      <c r="I508" t="e" vm="4">
        <f>_xlfn.XLOOKUP(AllData[[#This Row],[Site Name]],LocationsKey[Site Name],LocationsKey[Town])</f>
        <v>#VALUE!</v>
      </c>
      <c r="J508" t="str">
        <f>_xlfn.XLOOKUP(AllData[[#This Row],[Site Name]],LocationsKey[Site Name], LocationsKey[Waterway])</f>
        <v>Carrant</v>
      </c>
      <c r="K508" t="s">
        <v>1066</v>
      </c>
      <c r="N508" t="s">
        <v>25</v>
      </c>
      <c r="O508">
        <v>748</v>
      </c>
      <c r="P508">
        <v>8.8000000000000007</v>
      </c>
      <c r="Q508">
        <v>3</v>
      </c>
      <c r="R508" s="107" t="str">
        <f>IF(AllData[[#This Row],[Nitrate (PPM)]]&gt;2, "Very high", IF(AllData[[#This Row],[Nitrate (PPM)]]&gt;1, "High", IF(AllData[[#This Row],[Nitrate (PPM)]]&gt;0.5, "Some evidence", IF(AllData[[#This Row],[Nitrate (PPM)]]&gt;=0, "No evidence"))))</f>
        <v>Very high</v>
      </c>
      <c r="S508">
        <v>0.48</v>
      </c>
      <c r="T508" s="7" t="str">
        <f>IF(AllData[[#This Row],[Phosphate (PPM)]]&gt;0.5, "Very high", IF(AllData[[#This Row],[Phosphate (PPM)]]&gt;0.1, "High", IF(AllData[[#This Row],[Phosphate (PPM)]]&gt;0.05, "Some evidence", IF(AllData[[#This Row],[Phosphate (PPM)]]&lt;=0.05, "No Evidence", ""))))</f>
        <v>High</v>
      </c>
      <c r="U508">
        <v>0</v>
      </c>
    </row>
    <row r="509" spans="1:22" x14ac:dyDescent="0.35">
      <c r="A509" t="s">
        <v>2766</v>
      </c>
      <c r="B509" s="143">
        <v>45656</v>
      </c>
      <c r="C509" s="2" t="str" cm="1">
        <f t="array" ref="C5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09">
        <f>YEAR(AllData[[#This Row],[Date]])</f>
        <v>2024</v>
      </c>
      <c r="E509" s="1">
        <v>0.48888888888888887</v>
      </c>
      <c r="F509" t="str">
        <f>IF(AND(AllData[[#This Row],[Time]]&lt;0.5, AllData[[#This Row],[Time]]&gt;0.17)=TRUE, "Morning", IF(AND(AllData[[#This Row],[Time]]&lt;0.75, AllData[[#This Row],[Time]]&gt;=0.5)=TRUE, "Afternoon", IF(AND(AllData[[#This Row],[Time]]&lt;1, AllData[[#This Row],[Time]]&gt;=0.75)=TRUE, "Evening", "Night")))</f>
        <v>Morning</v>
      </c>
      <c r="G509" t="str">
        <f>_xlfn.XLOOKUP(AllData[[#This Row],[Location Name]], Locations[Location Name],Locations[Group As])</f>
        <v>Site 2  :  Cross Leys culvert</v>
      </c>
      <c r="H509" t="e" vm="1">
        <f>_xlfn.XLOOKUP(AllData[[#This Row],[Site Name]],LocationsKey[Site Name],LocationsKey[District])</f>
        <v>#VALUE!</v>
      </c>
      <c r="I509" t="e" vm="14">
        <f>_xlfn.XLOOKUP(AllData[[#This Row],[Site Name]],LocationsKey[Site Name],LocationsKey[Town])</f>
        <v>#VALUE!</v>
      </c>
      <c r="J509" t="str">
        <f>_xlfn.XLOOKUP(AllData[[#This Row],[Site Name]],LocationsKey[Site Name], LocationsKey[Waterway])</f>
        <v>Fosseway Brook</v>
      </c>
      <c r="K509" t="s">
        <v>1915</v>
      </c>
      <c r="L509">
        <v>52.092976</v>
      </c>
      <c r="M509">
        <v>-1.6862999999999999</v>
      </c>
      <c r="N509" t="s">
        <v>68</v>
      </c>
      <c r="O509">
        <v>612</v>
      </c>
      <c r="P509">
        <v>8.1</v>
      </c>
      <c r="Q509">
        <v>2</v>
      </c>
      <c r="R509" s="107" t="str">
        <f>IF(AllData[[#This Row],[Nitrate (PPM)]]&gt;2, "Very high", IF(AllData[[#This Row],[Nitrate (PPM)]]&gt;1, "High", IF(AllData[[#This Row],[Nitrate (PPM)]]&gt;0.5, "Some evidence", IF(AllData[[#This Row],[Nitrate (PPM)]]&gt;=0, "No evidence"))))</f>
        <v>High</v>
      </c>
      <c r="S509">
        <v>0.31</v>
      </c>
      <c r="T509" s="7" t="str">
        <f>IF(AllData[[#This Row],[Phosphate (PPM)]]&gt;0.5, "Very high", IF(AllData[[#This Row],[Phosphate (PPM)]]&gt;0.1, "High", IF(AllData[[#This Row],[Phosphate (PPM)]]&gt;0.05, "Some evidence", IF(AllData[[#This Row],[Phosphate (PPM)]]&lt;=0.05, "No Evidence", ""))))</f>
        <v>High</v>
      </c>
      <c r="U509">
        <v>0.3</v>
      </c>
      <c r="V509" t="s">
        <v>2765</v>
      </c>
    </row>
    <row r="510" spans="1:22" x14ac:dyDescent="0.35">
      <c r="A510" t="s">
        <v>2767</v>
      </c>
      <c r="B510" s="143">
        <v>45656</v>
      </c>
      <c r="C510" s="2" t="str" cm="1">
        <f t="array" ref="C5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0">
        <f>YEAR(AllData[[#This Row],[Date]])</f>
        <v>2024</v>
      </c>
      <c r="E510" s="1">
        <v>0.4777777777777778</v>
      </c>
      <c r="F510" t="str">
        <f>IF(AND(AllData[[#This Row],[Time]]&lt;0.5, AllData[[#This Row],[Time]]&gt;0.17)=TRUE, "Morning", IF(AND(AllData[[#This Row],[Time]]&lt;0.75, AllData[[#This Row],[Time]]&gt;=0.5)=TRUE, "Afternoon", IF(AND(AllData[[#This Row],[Time]]&lt;1, AllData[[#This Row],[Time]]&gt;=0.75)=TRUE, "Evening", "Night")))</f>
        <v>Morning</v>
      </c>
      <c r="G510" t="str">
        <f>_xlfn.XLOOKUP(AllData[[#This Row],[Location Name]], Locations[Location Name],Locations[Group As])</f>
        <v>Site 1  :  Middle Street</v>
      </c>
      <c r="H510" t="e" vm="1">
        <f>_xlfn.XLOOKUP(AllData[[#This Row],[Site Name]],LocationsKey[Site Name],LocationsKey[District])</f>
        <v>#VALUE!</v>
      </c>
      <c r="I510" t="e" vm="14">
        <f>_xlfn.XLOOKUP(AllData[[#This Row],[Site Name]],LocationsKey[Site Name],LocationsKey[Town])</f>
        <v>#VALUE!</v>
      </c>
      <c r="J510" t="str">
        <f>_xlfn.XLOOKUP(AllData[[#This Row],[Site Name]],LocationsKey[Site Name], LocationsKey[Waterway])</f>
        <v>Fosseway Brook</v>
      </c>
      <c r="K510" t="s">
        <v>670</v>
      </c>
      <c r="L510">
        <v>52.090121000000003</v>
      </c>
      <c r="M510">
        <v>-1.69252</v>
      </c>
      <c r="N510" t="s">
        <v>68</v>
      </c>
      <c r="O510">
        <v>526</v>
      </c>
      <c r="P510">
        <v>7.2</v>
      </c>
      <c r="Q510">
        <v>2</v>
      </c>
      <c r="R510" s="107" t="str">
        <f>IF(AllData[[#This Row],[Nitrate (PPM)]]&gt;2, "Very high", IF(AllData[[#This Row],[Nitrate (PPM)]]&gt;1, "High", IF(AllData[[#This Row],[Nitrate (PPM)]]&gt;0.5, "Some evidence", IF(AllData[[#This Row],[Nitrate (PPM)]]&gt;=0, "No evidence"))))</f>
        <v>High</v>
      </c>
      <c r="S510">
        <v>0.11</v>
      </c>
      <c r="T510" s="7" t="str">
        <f>IF(AllData[[#This Row],[Phosphate (PPM)]]&gt;0.5, "Very high", IF(AllData[[#This Row],[Phosphate (PPM)]]&gt;0.1, "High", IF(AllData[[#This Row],[Phosphate (PPM)]]&gt;0.05, "Some evidence", IF(AllData[[#This Row],[Phosphate (PPM)]]&lt;=0.05, "No Evidence", ""))))</f>
        <v>High</v>
      </c>
      <c r="U510">
        <v>0.05</v>
      </c>
      <c r="V510" t="s">
        <v>2768</v>
      </c>
    </row>
    <row r="511" spans="1:22" x14ac:dyDescent="0.35">
      <c r="A511" t="s">
        <v>2758</v>
      </c>
      <c r="B511" s="143">
        <v>45655</v>
      </c>
      <c r="C511" s="2" t="str" cm="1">
        <f t="array" ref="C5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1">
        <f>YEAR(AllData[[#This Row],[Date]])</f>
        <v>2024</v>
      </c>
      <c r="E511" s="1">
        <v>0.46250000000000002</v>
      </c>
      <c r="F511" t="str">
        <f>IF(AND(AllData[[#This Row],[Time]]&lt;0.5, AllData[[#This Row],[Time]]&gt;0.17)=TRUE, "Morning", IF(AND(AllData[[#This Row],[Time]]&lt;0.75, AllData[[#This Row],[Time]]&gt;=0.5)=TRUE, "Afternoon", IF(AND(AllData[[#This Row],[Time]]&lt;1, AllData[[#This Row],[Time]]&gt;=0.75)=TRUE, "Evening", "Night")))</f>
        <v>Morning</v>
      </c>
      <c r="G511" t="str">
        <f>_xlfn.XLOOKUP(AllData[[#This Row],[Location Name]], Locations[Location Name],Locations[Group As])</f>
        <v>Mill Bridge Peopleton</v>
      </c>
      <c r="H511" t="e" vm="6">
        <f>_xlfn.XLOOKUP(AllData[[#This Row],[Site Name]],LocationsKey[Site Name],LocationsKey[District])</f>
        <v>#VALUE!</v>
      </c>
      <c r="I511" t="str">
        <f>_xlfn.XLOOKUP(AllData[[#This Row],[Site Name]],LocationsKey[Site Name],LocationsKey[Town])</f>
        <v>Peopleton</v>
      </c>
      <c r="J511" t="str">
        <f>_xlfn.XLOOKUP(AllData[[#This Row],[Site Name]],LocationsKey[Site Name], LocationsKey[Waterway])</f>
        <v>Bow Brook</v>
      </c>
      <c r="K511" t="s">
        <v>1015</v>
      </c>
      <c r="L511">
        <v>52.151629999999997</v>
      </c>
      <c r="M511">
        <v>-2.0962719999999999</v>
      </c>
      <c r="N511" t="s">
        <v>31</v>
      </c>
      <c r="O511">
        <v>972</v>
      </c>
      <c r="P511">
        <v>9</v>
      </c>
      <c r="Q511">
        <v>2</v>
      </c>
      <c r="R511" s="107" t="str">
        <f>IF(AllData[[#This Row],[Nitrate (PPM)]]&gt;2, "Very high", IF(AllData[[#This Row],[Nitrate (PPM)]]&gt;1, "High", IF(AllData[[#This Row],[Nitrate (PPM)]]&gt;0.5, "Some evidence", IF(AllData[[#This Row],[Nitrate (PPM)]]&gt;=0, "No evidence"))))</f>
        <v>High</v>
      </c>
      <c r="S511">
        <v>0.11</v>
      </c>
      <c r="T511" s="7" t="str">
        <f>IF(AllData[[#This Row],[Phosphate (PPM)]]&gt;0.5, "Very high", IF(AllData[[#This Row],[Phosphate (PPM)]]&gt;0.1, "High", IF(AllData[[#This Row],[Phosphate (PPM)]]&gt;0.05, "Some evidence", IF(AllData[[#This Row],[Phosphate (PPM)]]&lt;=0.05, "No Evidence", ""))))</f>
        <v>High</v>
      </c>
      <c r="U511">
        <v>0.6</v>
      </c>
      <c r="V511" t="s">
        <v>2759</v>
      </c>
    </row>
    <row r="512" spans="1:22" x14ac:dyDescent="0.35">
      <c r="A512" t="s">
        <v>2757</v>
      </c>
      <c r="B512" s="143">
        <v>45655</v>
      </c>
      <c r="C512" s="2" t="str" cm="1">
        <f t="array" ref="C5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2">
        <f>YEAR(AllData[[#This Row],[Date]])</f>
        <v>2024</v>
      </c>
      <c r="E512" s="1">
        <v>0.53263888888888888</v>
      </c>
      <c r="F512" t="str">
        <f>IF(AND(AllData[[#This Row],[Time]]&lt;0.5, AllData[[#This Row],[Time]]&gt;0.17)=TRUE, "Morning", IF(AND(AllData[[#This Row],[Time]]&lt;0.75, AllData[[#This Row],[Time]]&gt;=0.5)=TRUE, "Afternoon", IF(AND(AllData[[#This Row],[Time]]&lt;1, AllData[[#This Row],[Time]]&gt;=0.75)=TRUE, "Evening", "Night")))</f>
        <v>Afternoon</v>
      </c>
      <c r="G512" t="str">
        <f>_xlfn.XLOOKUP(AllData[[#This Row],[Location Name]], Locations[Location Name],Locations[Group As])</f>
        <v>Fell Mill Footbridge</v>
      </c>
      <c r="H512" t="e" vm="1">
        <f>_xlfn.XLOOKUP(AllData[[#This Row],[Site Name]],LocationsKey[Site Name],LocationsKey[District])</f>
        <v>#VALUE!</v>
      </c>
      <c r="I512" t="e" vm="15">
        <f>_xlfn.XLOOKUP(AllData[[#This Row],[Site Name]],LocationsKey[Site Name],LocationsKey[Town])</f>
        <v>#VALUE!</v>
      </c>
      <c r="J512" t="str">
        <f>_xlfn.XLOOKUP(AllData[[#This Row],[Site Name]],LocationsKey[Site Name], LocationsKey[Waterway])</f>
        <v>Stour</v>
      </c>
      <c r="K512" t="s">
        <v>1968</v>
      </c>
      <c r="L512">
        <v>52.070086000000003</v>
      </c>
      <c r="M512">
        <v>-1.61145</v>
      </c>
      <c r="N512" t="s">
        <v>31</v>
      </c>
      <c r="O512">
        <v>617</v>
      </c>
      <c r="P512">
        <v>8.3000000000000007</v>
      </c>
      <c r="Q512">
        <v>0.5</v>
      </c>
      <c r="R512" s="107" t="str">
        <f>IF(AllData[[#This Row],[Nitrate (PPM)]]&gt;2, "Very high", IF(AllData[[#This Row],[Nitrate (PPM)]]&gt;1, "High", IF(AllData[[#This Row],[Nitrate (PPM)]]&gt;0.5, "Some evidence", IF(AllData[[#This Row],[Nitrate (PPM)]]&gt;=0, "No evidence"))))</f>
        <v>No evidence</v>
      </c>
      <c r="S512">
        <v>0.43</v>
      </c>
      <c r="T512" s="7" t="str">
        <f>IF(AllData[[#This Row],[Phosphate (PPM)]]&gt;0.5, "Very high", IF(AllData[[#This Row],[Phosphate (PPM)]]&gt;0.1, "High", IF(AllData[[#This Row],[Phosphate (PPM)]]&gt;0.05, "Some evidence", IF(AllData[[#This Row],[Phosphate (PPM)]]&lt;=0.05, "No Evidence", ""))))</f>
        <v>High</v>
      </c>
      <c r="U512">
        <v>1.7</v>
      </c>
    </row>
    <row r="513" spans="1:22" x14ac:dyDescent="0.35">
      <c r="A513" t="s">
        <v>2751</v>
      </c>
      <c r="B513" s="143">
        <v>45654</v>
      </c>
      <c r="C513" s="2" t="str" cm="1">
        <f t="array" ref="C5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3">
        <f>YEAR(AllData[[#This Row],[Date]])</f>
        <v>2024</v>
      </c>
      <c r="E513" s="1">
        <v>0.62916666666666665</v>
      </c>
      <c r="F513" t="str">
        <f>IF(AND(AllData[[#This Row],[Time]]&lt;0.5, AllData[[#This Row],[Time]]&gt;0.17)=TRUE, "Morning", IF(AND(AllData[[#This Row],[Time]]&lt;0.75, AllData[[#This Row],[Time]]&gt;=0.5)=TRUE, "Afternoon", IF(AND(AllData[[#This Row],[Time]]&lt;1, AllData[[#This Row],[Time]]&gt;=0.75)=TRUE, "Evening", "Night")))</f>
        <v>Afternoon</v>
      </c>
      <c r="G513" t="str">
        <f>_xlfn.XLOOKUP(AllData[[#This Row],[Location Name]], Locations[Location Name],Locations[Group As])</f>
        <v>Black Bear</v>
      </c>
      <c r="H513" t="e" vm="4">
        <f>_xlfn.XLOOKUP(AllData[[#This Row],[Site Name]],LocationsKey[Site Name],LocationsKey[District])</f>
        <v>#VALUE!</v>
      </c>
      <c r="I513" t="e" vm="4">
        <f>_xlfn.XLOOKUP(AllData[[#This Row],[Site Name]],LocationsKey[Site Name],LocationsKey[Town])</f>
        <v>#VALUE!</v>
      </c>
      <c r="J513" t="str">
        <f>_xlfn.XLOOKUP(AllData[[#This Row],[Site Name]],LocationsKey[Site Name], LocationsKey[Waterway])</f>
        <v>Avon</v>
      </c>
      <c r="K513" t="s">
        <v>1175</v>
      </c>
      <c r="L513">
        <v>51.997363</v>
      </c>
      <c r="M513">
        <v>-2.1560440000000001</v>
      </c>
      <c r="N513" t="s">
        <v>25</v>
      </c>
      <c r="O513">
        <v>730</v>
      </c>
      <c r="P513">
        <v>9.5</v>
      </c>
      <c r="Q513">
        <v>10</v>
      </c>
      <c r="R513" s="107" t="str">
        <f>IF(AllData[[#This Row],[Nitrate (PPM)]]&gt;2, "Very high", IF(AllData[[#This Row],[Nitrate (PPM)]]&gt;1, "High", IF(AllData[[#This Row],[Nitrate (PPM)]]&gt;0.5, "Some evidence", IF(AllData[[#This Row],[Nitrate (PPM)]]&gt;=0, "No evidence"))))</f>
        <v>Very high</v>
      </c>
      <c r="S513">
        <v>0.55000000000000004</v>
      </c>
      <c r="T513" s="7" t="str">
        <f>IF(AllData[[#This Row],[Phosphate (PPM)]]&gt;0.5, "Very high", IF(AllData[[#This Row],[Phosphate (PPM)]]&gt;0.1, "High", IF(AllData[[#This Row],[Phosphate (PPM)]]&gt;0.05, "Some evidence", IF(AllData[[#This Row],[Phosphate (PPM)]]&lt;=0.05, "No Evidence", ""))))</f>
        <v>Very high</v>
      </c>
      <c r="U513">
        <v>0</v>
      </c>
    </row>
    <row r="514" spans="1:22" x14ac:dyDescent="0.35">
      <c r="A514" t="s">
        <v>2754</v>
      </c>
      <c r="B514" s="143">
        <v>45654</v>
      </c>
      <c r="C514" s="2" t="str" cm="1">
        <f t="array" ref="C5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4">
        <f>YEAR(AllData[[#This Row],[Date]])</f>
        <v>2024</v>
      </c>
      <c r="E514" s="1">
        <v>0.46805555555555556</v>
      </c>
      <c r="F514" t="str">
        <f>IF(AND(AllData[[#This Row],[Time]]&lt;0.5, AllData[[#This Row],[Time]]&gt;0.17)=TRUE, "Morning", IF(AND(AllData[[#This Row],[Time]]&lt;0.75, AllData[[#This Row],[Time]]&gt;=0.5)=TRUE, "Afternoon", IF(AND(AllData[[#This Row],[Time]]&lt;1, AllData[[#This Row],[Time]]&gt;=0.75)=TRUE, "Evening", "Night")))</f>
        <v>Morning</v>
      </c>
      <c r="G514" t="str">
        <f>_xlfn.XLOOKUP(AllData[[#This Row],[Location Name]], Locations[Location Name],Locations[Group As])</f>
        <v>Piddle Brook Wyre Piddle Bridge</v>
      </c>
      <c r="H514" t="e" vm="6">
        <f>_xlfn.XLOOKUP(AllData[[#This Row],[Site Name]],LocationsKey[Site Name],LocationsKey[District])</f>
        <v>#VALUE!</v>
      </c>
      <c r="I514" t="e" vm="13">
        <f>_xlfn.XLOOKUP(AllData[[#This Row],[Site Name]],LocationsKey[Site Name],LocationsKey[Town])</f>
        <v>#VALUE!</v>
      </c>
      <c r="J514" t="str">
        <f>_xlfn.XLOOKUP(AllData[[#This Row],[Site Name]],LocationsKey[Site Name], LocationsKey[Waterway])</f>
        <v>Piddle Brook</v>
      </c>
      <c r="K514" t="s">
        <v>2755</v>
      </c>
      <c r="L514">
        <v>52.126373999999998</v>
      </c>
      <c r="M514">
        <v>-2.0564650000000002</v>
      </c>
      <c r="N514" t="s">
        <v>25</v>
      </c>
      <c r="O514">
        <v>1090</v>
      </c>
      <c r="P514">
        <v>6.9</v>
      </c>
      <c r="Q514">
        <v>5</v>
      </c>
      <c r="R514" s="107" t="str">
        <f>IF(AllData[[#This Row],[Nitrate (PPM)]]&gt;2, "Very high", IF(AllData[[#This Row],[Nitrate (PPM)]]&gt;1, "High", IF(AllData[[#This Row],[Nitrate (PPM)]]&gt;0.5, "Some evidence", IF(AllData[[#This Row],[Nitrate (PPM)]]&gt;=0, "No evidence"))))</f>
        <v>Very high</v>
      </c>
      <c r="S514">
        <v>0.56999999999999995</v>
      </c>
      <c r="T514" s="7" t="str">
        <f>IF(AllData[[#This Row],[Phosphate (PPM)]]&gt;0.5, "Very high", IF(AllData[[#This Row],[Phosphate (PPM)]]&gt;0.1, "High", IF(AllData[[#This Row],[Phosphate (PPM)]]&gt;0.05, "Some evidence", IF(AllData[[#This Row],[Phosphate (PPM)]]&lt;=0.05, "No Evidence", ""))))</f>
        <v>Very high</v>
      </c>
      <c r="U514">
        <v>0.3</v>
      </c>
      <c r="V514" t="s">
        <v>2756</v>
      </c>
    </row>
    <row r="515" spans="1:22" x14ac:dyDescent="0.35">
      <c r="A515" t="s">
        <v>2746</v>
      </c>
      <c r="B515" s="143">
        <v>45654</v>
      </c>
      <c r="C515" s="2" t="str" cm="1">
        <f t="array" ref="C5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5">
        <f>YEAR(AllData[[#This Row],[Date]])</f>
        <v>2024</v>
      </c>
      <c r="E515" s="1">
        <v>0.44513888888888886</v>
      </c>
      <c r="F515" t="str">
        <f>IF(AND(AllData[[#This Row],[Time]]&lt;0.5, AllData[[#This Row],[Time]]&gt;0.17)=TRUE, "Morning", IF(AND(AllData[[#This Row],[Time]]&lt;0.75, AllData[[#This Row],[Time]]&gt;=0.5)=TRUE, "Afternoon", IF(AND(AllData[[#This Row],[Time]]&lt;1, AllData[[#This Row],[Time]]&gt;=0.75)=TRUE, "Evening", "Night")))</f>
        <v>Morning</v>
      </c>
      <c r="G515" t="str">
        <f>_xlfn.XLOOKUP(AllData[[#This Row],[Location Name]], Locations[Location Name],Locations[Group As])</f>
        <v>Avon Smiths Meadow Wyre Piddle</v>
      </c>
      <c r="H515" t="e" vm="6">
        <f>_xlfn.XLOOKUP(AllData[[#This Row],[Site Name]],LocationsKey[Site Name],LocationsKey[District])</f>
        <v>#VALUE!</v>
      </c>
      <c r="I515" t="e" vm="13">
        <f>_xlfn.XLOOKUP(AllData[[#This Row],[Site Name]],LocationsKey[Site Name],LocationsKey[Town])</f>
        <v>#VALUE!</v>
      </c>
      <c r="J515" t="str">
        <f>_xlfn.XLOOKUP(AllData[[#This Row],[Site Name]],LocationsKey[Site Name], LocationsKey[Waterway])</f>
        <v>Avon</v>
      </c>
      <c r="K515" t="s">
        <v>2329</v>
      </c>
      <c r="L515">
        <v>52.122982999999998</v>
      </c>
      <c r="M515">
        <v>-2.0574499999999998</v>
      </c>
      <c r="N515" t="s">
        <v>25</v>
      </c>
      <c r="O515">
        <v>800</v>
      </c>
      <c r="P515">
        <v>8.1999999999999993</v>
      </c>
      <c r="Q515">
        <v>5</v>
      </c>
      <c r="R515" s="107" t="str">
        <f>IF(AllData[[#This Row],[Nitrate (PPM)]]&gt;2, "Very high", IF(AllData[[#This Row],[Nitrate (PPM)]]&gt;1, "High", IF(AllData[[#This Row],[Nitrate (PPM)]]&gt;0.5, "Some evidence", IF(AllData[[#This Row],[Nitrate (PPM)]]&gt;=0, "No evidence"))))</f>
        <v>Very high</v>
      </c>
      <c r="S515">
        <v>0.59</v>
      </c>
      <c r="T515" s="7" t="str">
        <f>IF(AllData[[#This Row],[Phosphate (PPM)]]&gt;0.5, "Very high", IF(AllData[[#This Row],[Phosphate (PPM)]]&gt;0.1, "High", IF(AllData[[#This Row],[Phosphate (PPM)]]&gt;0.05, "Some evidence", IF(AllData[[#This Row],[Phosphate (PPM)]]&lt;=0.05, "No Evidence", ""))))</f>
        <v>Very high</v>
      </c>
      <c r="U515">
        <v>0.74</v>
      </c>
      <c r="V515" t="s">
        <v>2747</v>
      </c>
    </row>
    <row r="516" spans="1:22" x14ac:dyDescent="0.35">
      <c r="A516" t="s">
        <v>2748</v>
      </c>
      <c r="B516" s="143">
        <v>45654</v>
      </c>
      <c r="C516" s="2" t="str" cm="1">
        <f t="array" ref="C5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6">
        <f>YEAR(AllData[[#This Row],[Date]])</f>
        <v>2024</v>
      </c>
      <c r="E516" s="1">
        <v>0.44027777777777777</v>
      </c>
      <c r="F516" t="str">
        <f>IF(AND(AllData[[#This Row],[Time]]&lt;0.5, AllData[[#This Row],[Time]]&gt;0.17)=TRUE, "Morning", IF(AND(AllData[[#This Row],[Time]]&lt;0.75, AllData[[#This Row],[Time]]&gt;=0.5)=TRUE, "Afternoon", IF(AND(AllData[[#This Row],[Time]]&lt;1, AllData[[#This Row],[Time]]&gt;=0.75)=TRUE, "Evening", "Night")))</f>
        <v>Morning</v>
      </c>
      <c r="G516" t="str">
        <f>_xlfn.XLOOKUP(AllData[[#This Row],[Location Name]], Locations[Location Name],Locations[Group As])</f>
        <v>Avonbank Drive</v>
      </c>
      <c r="H516" t="e" vm="1">
        <f>_xlfn.XLOOKUP(AllData[[#This Row],[Site Name]],LocationsKey[Site Name],LocationsKey[District])</f>
        <v>#VALUE!</v>
      </c>
      <c r="I516" t="e" vm="12">
        <f>_xlfn.XLOOKUP(AllData[[#This Row],[Site Name]],LocationsKey[Site Name],LocationsKey[Town])</f>
        <v>#VALUE!</v>
      </c>
      <c r="J516" t="str">
        <f>_xlfn.XLOOKUP(AllData[[#This Row],[Site Name]],LocationsKey[Site Name], LocationsKey[Waterway])</f>
        <v>Avon</v>
      </c>
      <c r="K516" t="s">
        <v>2587</v>
      </c>
      <c r="L516">
        <v>52.176746999999999</v>
      </c>
      <c r="M516">
        <v>-1.7349680000000001</v>
      </c>
      <c r="N516" t="s">
        <v>68</v>
      </c>
      <c r="O516">
        <v>873</v>
      </c>
      <c r="P516">
        <v>8.1</v>
      </c>
      <c r="Q516">
        <v>4</v>
      </c>
      <c r="R516" s="107" t="str">
        <f>IF(AllData[[#This Row],[Nitrate (PPM)]]&gt;2, "Very high", IF(AllData[[#This Row],[Nitrate (PPM)]]&gt;1, "High", IF(AllData[[#This Row],[Nitrate (PPM)]]&gt;0.5, "Some evidence", IF(AllData[[#This Row],[Nitrate (PPM)]]&gt;=0, "No evidence"))))</f>
        <v>Very high</v>
      </c>
      <c r="S516">
        <v>0.54</v>
      </c>
      <c r="T516" s="7" t="str">
        <f>IF(AllData[[#This Row],[Phosphate (PPM)]]&gt;0.5, "Very high", IF(AllData[[#This Row],[Phosphate (PPM)]]&gt;0.1, "High", IF(AllData[[#This Row],[Phosphate (PPM)]]&gt;0.05, "Some evidence", IF(AllData[[#This Row],[Phosphate (PPM)]]&lt;=0.05, "No Evidence", ""))))</f>
        <v>Very high</v>
      </c>
      <c r="U516">
        <v>0.75</v>
      </c>
    </row>
    <row r="517" spans="1:22" x14ac:dyDescent="0.35">
      <c r="A517" t="s">
        <v>2752</v>
      </c>
      <c r="B517" s="143">
        <v>45654</v>
      </c>
      <c r="C517" s="2" t="str" cm="1">
        <f t="array" ref="C5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7">
        <f>YEAR(AllData[[#This Row],[Date]])</f>
        <v>2024</v>
      </c>
      <c r="E517" s="1">
        <v>0.43958333333333333</v>
      </c>
      <c r="F517" t="str">
        <f>IF(AND(AllData[[#This Row],[Time]]&lt;0.5, AllData[[#This Row],[Time]]&gt;0.17)=TRUE, "Morning", IF(AND(AllData[[#This Row],[Time]]&lt;0.75, AllData[[#This Row],[Time]]&gt;=0.5)=TRUE, "Afternoon", IF(AND(AllData[[#This Row],[Time]]&lt;1, AllData[[#This Row],[Time]]&gt;=0.75)=TRUE, "Evening", "Night")))</f>
        <v>Morning</v>
      </c>
      <c r="G517" t="str">
        <f>_xlfn.XLOOKUP(AllData[[#This Row],[Location Name]], Locations[Location Name],Locations[Group As])</f>
        <v>Abbey Mill</v>
      </c>
      <c r="H517" t="e" vm="4">
        <f>_xlfn.XLOOKUP(AllData[[#This Row],[Site Name]],LocationsKey[Site Name],LocationsKey[District])</f>
        <v>#VALUE!</v>
      </c>
      <c r="I517" t="e" vm="4">
        <f>_xlfn.XLOOKUP(AllData[[#This Row],[Site Name]],LocationsKey[Site Name],LocationsKey[Town])</f>
        <v>#VALUE!</v>
      </c>
      <c r="J517" t="str">
        <f>_xlfn.XLOOKUP(AllData[[#This Row],[Site Name]],LocationsKey[Site Name], LocationsKey[Waterway])</f>
        <v>Avon</v>
      </c>
      <c r="K517" t="s">
        <v>27</v>
      </c>
      <c r="L517">
        <v>51.991438000000002</v>
      </c>
      <c r="M517">
        <v>-2.162938</v>
      </c>
      <c r="N517" t="s">
        <v>31</v>
      </c>
      <c r="O517">
        <v>783</v>
      </c>
      <c r="P517">
        <v>7.8</v>
      </c>
      <c r="Q517">
        <v>4</v>
      </c>
      <c r="R517" s="107" t="str">
        <f>IF(AllData[[#This Row],[Nitrate (PPM)]]&gt;2, "Very high", IF(AllData[[#This Row],[Nitrate (PPM)]]&gt;1, "High", IF(AllData[[#This Row],[Nitrate (PPM)]]&gt;0.5, "Some evidence", IF(AllData[[#This Row],[Nitrate (PPM)]]&gt;=0, "No evidence"))))</f>
        <v>Very high</v>
      </c>
      <c r="S517">
        <v>0.49</v>
      </c>
      <c r="T517" s="7" t="str">
        <f>IF(AllData[[#This Row],[Phosphate (PPM)]]&gt;0.5, "Very high", IF(AllData[[#This Row],[Phosphate (PPM)]]&gt;0.1, "High", IF(AllData[[#This Row],[Phosphate (PPM)]]&gt;0.05, "Some evidence", IF(AllData[[#This Row],[Phosphate (PPM)]]&lt;=0.05, "No Evidence", ""))))</f>
        <v>High</v>
      </c>
      <c r="U517">
        <v>0.7</v>
      </c>
      <c r="V517" t="s">
        <v>2753</v>
      </c>
    </row>
    <row r="518" spans="1:22" x14ac:dyDescent="0.35">
      <c r="A518" t="s">
        <v>2749</v>
      </c>
      <c r="B518" s="143">
        <v>45654</v>
      </c>
      <c r="C518" s="2" t="str" cm="1">
        <f t="array" ref="C5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8">
        <f>YEAR(AllData[[#This Row],[Date]])</f>
        <v>2024</v>
      </c>
      <c r="E518" s="1">
        <v>0.42708333333333331</v>
      </c>
      <c r="F518" t="str">
        <f>IF(AND(AllData[[#This Row],[Time]]&lt;0.5, AllData[[#This Row],[Time]]&gt;0.17)=TRUE, "Morning", IF(AND(AllData[[#This Row],[Time]]&lt;0.75, AllData[[#This Row],[Time]]&gt;=0.5)=TRUE, "Afternoon", IF(AND(AllData[[#This Row],[Time]]&lt;1, AllData[[#This Row],[Time]]&gt;=0.75)=TRUE, "Evening", "Night")))</f>
        <v>Morning</v>
      </c>
      <c r="G518" t="str">
        <f>_xlfn.XLOOKUP(AllData[[#This Row],[Location Name]], Locations[Location Name],Locations[Group As])</f>
        <v>Pitch 16</v>
      </c>
      <c r="H518" t="e" vm="1">
        <f>_xlfn.XLOOKUP(AllData[[#This Row],[Site Name]],LocationsKey[Site Name],LocationsKey[District])</f>
        <v>#VALUE!</v>
      </c>
      <c r="I518" t="e" vm="12">
        <f>_xlfn.XLOOKUP(AllData[[#This Row],[Site Name]],LocationsKey[Site Name],LocationsKey[Town])</f>
        <v>#VALUE!</v>
      </c>
      <c r="J518" t="str">
        <f>_xlfn.XLOOKUP(AllData[[#This Row],[Site Name]],LocationsKey[Site Name], LocationsKey[Waterway])</f>
        <v>Avon</v>
      </c>
      <c r="K518" t="s">
        <v>2681</v>
      </c>
      <c r="L518">
        <v>52.167048999999999</v>
      </c>
      <c r="M518">
        <v>-1.7580709999999999</v>
      </c>
      <c r="N518" t="s">
        <v>31</v>
      </c>
      <c r="O518">
        <v>846</v>
      </c>
      <c r="P518">
        <v>8.8000000000000007</v>
      </c>
      <c r="Q518">
        <v>3</v>
      </c>
      <c r="R518" s="107" t="str">
        <f>IF(AllData[[#This Row],[Nitrate (PPM)]]&gt;2, "Very high", IF(AllData[[#This Row],[Nitrate (PPM)]]&gt;1, "High", IF(AllData[[#This Row],[Nitrate (PPM)]]&gt;0.5, "Some evidence", IF(AllData[[#This Row],[Nitrate (PPM)]]&gt;=0, "No evidence"))))</f>
        <v>Very high</v>
      </c>
      <c r="S518">
        <v>0.51</v>
      </c>
      <c r="T518" s="7" t="str">
        <f>IF(AllData[[#This Row],[Phosphate (PPM)]]&gt;0.5, "Very high", IF(AllData[[#This Row],[Phosphate (PPM)]]&gt;0.1, "High", IF(AllData[[#This Row],[Phosphate (PPM)]]&gt;0.05, "Some evidence", IF(AllData[[#This Row],[Phosphate (PPM)]]&lt;=0.05, "No Evidence", ""))))</f>
        <v>Very high</v>
      </c>
      <c r="U518">
        <v>0.75</v>
      </c>
    </row>
    <row r="519" spans="1:22" x14ac:dyDescent="0.35">
      <c r="A519" t="s">
        <v>2750</v>
      </c>
      <c r="B519" s="143">
        <v>45654</v>
      </c>
      <c r="C519" s="2" t="str" cm="1">
        <f t="array" ref="C5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19">
        <f>YEAR(AllData[[#This Row],[Date]])</f>
        <v>2024</v>
      </c>
      <c r="E519" s="1">
        <v>0.5</v>
      </c>
      <c r="F519" t="str">
        <f>IF(AND(AllData[[#This Row],[Time]]&lt;0.5, AllData[[#This Row],[Time]]&gt;0.17)=TRUE, "Morning", IF(AND(AllData[[#This Row],[Time]]&lt;0.75, AllData[[#This Row],[Time]]&gt;=0.5)=TRUE, "Afternoon", IF(AND(AllData[[#This Row],[Time]]&lt;1, AllData[[#This Row],[Time]]&gt;=0.75)=TRUE, "Evening", "Night")))</f>
        <v>Afternoon</v>
      </c>
      <c r="G519" t="str">
        <f>_xlfn.XLOOKUP(AllData[[#This Row],[Location Name]], Locations[Location Name],Locations[Group As])</f>
        <v>Carrant Bredon Rd</v>
      </c>
      <c r="H519" t="e" vm="4">
        <f>_xlfn.XLOOKUP(AllData[[#This Row],[Site Name]],LocationsKey[Site Name],LocationsKey[District])</f>
        <v>#VALUE!</v>
      </c>
      <c r="I519" t="e" vm="4">
        <f>_xlfn.XLOOKUP(AllData[[#This Row],[Site Name]],LocationsKey[Site Name],LocationsKey[Town])</f>
        <v>#VALUE!</v>
      </c>
      <c r="J519" t="str">
        <f>_xlfn.XLOOKUP(AllData[[#This Row],[Site Name]],LocationsKey[Site Name], LocationsKey[Waterway])</f>
        <v>Carrant</v>
      </c>
      <c r="K519" t="s">
        <v>603</v>
      </c>
      <c r="L519">
        <v>51.996164999999998</v>
      </c>
      <c r="M519">
        <v>-2.15618</v>
      </c>
      <c r="N519" t="s">
        <v>25</v>
      </c>
      <c r="O519">
        <v>797</v>
      </c>
      <c r="P519">
        <v>8.5</v>
      </c>
      <c r="Q519">
        <v>3</v>
      </c>
      <c r="R519" s="107" t="str">
        <f>IF(AllData[[#This Row],[Nitrate (PPM)]]&gt;2, "Very high", IF(AllData[[#This Row],[Nitrate (PPM)]]&gt;1, "High", IF(AllData[[#This Row],[Nitrate (PPM)]]&gt;0.5, "Some evidence", IF(AllData[[#This Row],[Nitrate (PPM)]]&gt;=0, "No evidence"))))</f>
        <v>Very high</v>
      </c>
      <c r="S519">
        <v>0.28000000000000003</v>
      </c>
      <c r="T519" s="7" t="str">
        <f>IF(AllData[[#This Row],[Phosphate (PPM)]]&gt;0.5, "Very high", IF(AllData[[#This Row],[Phosphate (PPM)]]&gt;0.1, "High", IF(AllData[[#This Row],[Phosphate (PPM)]]&gt;0.05, "Some evidence", IF(AllData[[#This Row],[Phosphate (PPM)]]&lt;=0.05, "No Evidence", ""))))</f>
        <v>High</v>
      </c>
      <c r="U519">
        <v>0.2</v>
      </c>
    </row>
    <row r="520" spans="1:22" x14ac:dyDescent="0.35">
      <c r="A520" t="s">
        <v>2744</v>
      </c>
      <c r="B520" s="143">
        <v>45653</v>
      </c>
      <c r="C520" s="2" t="str" cm="1">
        <f t="array" ref="C5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0">
        <f>YEAR(AllData[[#This Row],[Date]])</f>
        <v>2024</v>
      </c>
      <c r="E520" s="1">
        <v>0.5625</v>
      </c>
      <c r="F520" t="str">
        <f>IF(AND(AllData[[#This Row],[Time]]&lt;0.5, AllData[[#This Row],[Time]]&gt;0.17)=TRUE, "Morning", IF(AND(AllData[[#This Row],[Time]]&lt;0.75, AllData[[#This Row],[Time]]&gt;=0.5)=TRUE, "Afternoon", IF(AND(AllData[[#This Row],[Time]]&lt;1, AllData[[#This Row],[Time]]&gt;=0.75)=TRUE, "Evening", "Night")))</f>
        <v>Afternoon</v>
      </c>
      <c r="G520" t="str">
        <f>_xlfn.XLOOKUP(AllData[[#This Row],[Location Name]], Locations[Location Name],Locations[Group As])</f>
        <v>Swilgate</v>
      </c>
      <c r="H520" t="e" vm="4">
        <f>_xlfn.XLOOKUP(AllData[[#This Row],[Site Name]],LocationsKey[Site Name],LocationsKey[District])</f>
        <v>#VALUE!</v>
      </c>
      <c r="I520" t="e" vm="4">
        <f>_xlfn.XLOOKUP(AllData[[#This Row],[Site Name]],LocationsKey[Site Name],LocationsKey[Town])</f>
        <v>#VALUE!</v>
      </c>
      <c r="J520" t="str">
        <f>_xlfn.XLOOKUP(AllData[[#This Row],[Site Name]],LocationsKey[Site Name], LocationsKey[Waterway])</f>
        <v>Swilgate</v>
      </c>
      <c r="K520" t="s">
        <v>85</v>
      </c>
      <c r="N520" t="s">
        <v>25</v>
      </c>
      <c r="O520">
        <v>969</v>
      </c>
      <c r="P520">
        <v>8.6</v>
      </c>
      <c r="Q520">
        <v>3</v>
      </c>
      <c r="R520" s="107" t="str">
        <f>IF(AllData[[#This Row],[Nitrate (PPM)]]&gt;2, "Very high", IF(AllData[[#This Row],[Nitrate (PPM)]]&gt;1, "High", IF(AllData[[#This Row],[Nitrate (PPM)]]&gt;0.5, "Some evidence", IF(AllData[[#This Row],[Nitrate (PPM)]]&gt;=0, "No evidence"))))</f>
        <v>Very high</v>
      </c>
      <c r="S520">
        <v>0.47</v>
      </c>
      <c r="T520" s="7" t="str">
        <f>IF(AllData[[#This Row],[Phosphate (PPM)]]&gt;0.5, "Very high", IF(AllData[[#This Row],[Phosphate (PPM)]]&gt;0.1, "High", IF(AllData[[#This Row],[Phosphate (PPM)]]&gt;0.05, "Some evidence", IF(AllData[[#This Row],[Phosphate (PPM)]]&lt;=0.05, "No Evidence", ""))))</f>
        <v>High</v>
      </c>
      <c r="U520">
        <v>0</v>
      </c>
    </row>
    <row r="521" spans="1:22" x14ac:dyDescent="0.35">
      <c r="A521" t="s">
        <v>2745</v>
      </c>
      <c r="B521" s="143">
        <v>45653</v>
      </c>
      <c r="C521" s="2" t="str" cm="1">
        <f t="array" ref="C5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1">
        <f>YEAR(AllData[[#This Row],[Date]])</f>
        <v>2024</v>
      </c>
      <c r="E521" s="1">
        <v>0.63749999999999996</v>
      </c>
      <c r="F521" t="str">
        <f>IF(AND(AllData[[#This Row],[Time]]&lt;0.5, AllData[[#This Row],[Time]]&gt;0.17)=TRUE, "Morning", IF(AND(AllData[[#This Row],[Time]]&lt;0.75, AllData[[#This Row],[Time]]&gt;=0.5)=TRUE, "Afternoon", IF(AND(AllData[[#This Row],[Time]]&lt;1, AllData[[#This Row],[Time]]&gt;=0.75)=TRUE, "Evening", "Night")))</f>
        <v>Afternoon</v>
      </c>
      <c r="G521" t="str">
        <f>_xlfn.XLOOKUP(AllData[[#This Row],[Location Name]], Locations[Location Name],Locations[Group As])</f>
        <v>Stour Shipston Mill Bridge</v>
      </c>
      <c r="H521" t="e" vm="1">
        <f>_xlfn.XLOOKUP(AllData[[#This Row],[Site Name]],LocationsKey[Site Name],LocationsKey[District])</f>
        <v>#VALUE!</v>
      </c>
      <c r="I521" t="e" vm="15">
        <f>_xlfn.XLOOKUP(AllData[[#This Row],[Site Name]],LocationsKey[Site Name],LocationsKey[Town])</f>
        <v>#VALUE!</v>
      </c>
      <c r="J521" t="str">
        <f>_xlfn.XLOOKUP(AllData[[#This Row],[Site Name]],LocationsKey[Site Name], LocationsKey[Waterway])</f>
        <v>Stour</v>
      </c>
      <c r="K521" t="s">
        <v>2006</v>
      </c>
      <c r="L521">
        <v>52.062255</v>
      </c>
      <c r="M521">
        <v>-1.621918</v>
      </c>
      <c r="N521" t="s">
        <v>25</v>
      </c>
      <c r="O521">
        <v>2</v>
      </c>
      <c r="P521">
        <v>7.8</v>
      </c>
      <c r="Q521">
        <v>2</v>
      </c>
      <c r="R521" s="107" t="str">
        <f>IF(AllData[[#This Row],[Nitrate (PPM)]]&gt;2, "Very high", IF(AllData[[#This Row],[Nitrate (PPM)]]&gt;1, "High", IF(AllData[[#This Row],[Nitrate (PPM)]]&gt;0.5, "Some evidence", IF(AllData[[#This Row],[Nitrate (PPM)]]&gt;=0, "No evidence"))))</f>
        <v>High</v>
      </c>
      <c r="S521">
        <v>7.37</v>
      </c>
      <c r="T521" s="7" t="str">
        <f>IF(AllData[[#This Row],[Phosphate (PPM)]]&gt;0.5, "Very high", IF(AllData[[#This Row],[Phosphate (PPM)]]&gt;0.1, "High", IF(AllData[[#This Row],[Phosphate (PPM)]]&gt;0.05, "Some evidence", IF(AllData[[#This Row],[Phosphate (PPM)]]&lt;=0.05, "No Evidence", ""))))</f>
        <v>Very high</v>
      </c>
      <c r="U521">
        <v>0.62</v>
      </c>
    </row>
    <row r="522" spans="1:22" x14ac:dyDescent="0.35">
      <c r="A522" t="s">
        <v>2741</v>
      </c>
      <c r="B522" s="143">
        <v>45652</v>
      </c>
      <c r="C522" s="2" t="str" cm="1">
        <f t="array" ref="C5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2">
        <f>YEAR(AllData[[#This Row],[Date]])</f>
        <v>2024</v>
      </c>
      <c r="E522" s="1">
        <v>0.47361111111111109</v>
      </c>
      <c r="F522" t="str">
        <f>IF(AND(AllData[[#This Row],[Time]]&lt;0.5, AllData[[#This Row],[Time]]&gt;0.17)=TRUE, "Morning", IF(AND(AllData[[#This Row],[Time]]&lt;0.75, AllData[[#This Row],[Time]]&gt;=0.5)=TRUE, "Afternoon", IF(AND(AllData[[#This Row],[Time]]&lt;1, AllData[[#This Row],[Time]]&gt;=0.75)=TRUE, "Evening", "Night")))</f>
        <v>Morning</v>
      </c>
      <c r="G522" t="str">
        <f>_xlfn.XLOOKUP(AllData[[#This Row],[Location Name]], Locations[Location Name],Locations[Group As])</f>
        <v>School Lane</v>
      </c>
      <c r="H522" t="e" vm="1">
        <f>_xlfn.XLOOKUP(AllData[[#This Row],[Site Name]],LocationsKey[Site Name],LocationsKey[District])</f>
        <v>#VALUE!</v>
      </c>
      <c r="I522" t="e" vm="3">
        <f>_xlfn.XLOOKUP(AllData[[#This Row],[Site Name]],LocationsKey[Site Name],LocationsKey[Town])</f>
        <v>#VALUE!</v>
      </c>
      <c r="J522" t="str">
        <f>_xlfn.XLOOKUP(AllData[[#This Row],[Site Name]],LocationsKey[Site Name], LocationsKey[Waterway])</f>
        <v>Avon</v>
      </c>
      <c r="K522" t="s">
        <v>2522</v>
      </c>
      <c r="L522">
        <v>52.202441999999998</v>
      </c>
      <c r="M522">
        <v>-1.6787259999999999</v>
      </c>
      <c r="N522" t="s">
        <v>31</v>
      </c>
      <c r="O522">
        <v>768</v>
      </c>
      <c r="P522">
        <v>9.1</v>
      </c>
      <c r="Q522">
        <v>10</v>
      </c>
      <c r="R522" s="107" t="str">
        <f>IF(AllData[[#This Row],[Nitrate (PPM)]]&gt;2, "Very high", IF(AllData[[#This Row],[Nitrate (PPM)]]&gt;1, "High", IF(AllData[[#This Row],[Nitrate (PPM)]]&gt;0.5, "Some evidence", IF(AllData[[#This Row],[Nitrate (PPM)]]&gt;=0, "No evidence"))))</f>
        <v>Very high</v>
      </c>
      <c r="S522">
        <v>0.43</v>
      </c>
      <c r="T522" s="7" t="str">
        <f>IF(AllData[[#This Row],[Phosphate (PPM)]]&gt;0.5, "Very high", IF(AllData[[#This Row],[Phosphate (PPM)]]&gt;0.1, "High", IF(AllData[[#This Row],[Phosphate (PPM)]]&gt;0.05, "Some evidence", IF(AllData[[#This Row],[Phosphate (PPM)]]&lt;=0.05, "No Evidence", ""))))</f>
        <v>High</v>
      </c>
      <c r="U522">
        <v>0.79</v>
      </c>
    </row>
    <row r="523" spans="1:22" x14ac:dyDescent="0.35">
      <c r="A523" t="s">
        <v>2740</v>
      </c>
      <c r="B523" s="143">
        <v>45652</v>
      </c>
      <c r="C523" s="2" t="str" cm="1">
        <f t="array" ref="C5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3">
        <f>YEAR(AllData[[#This Row],[Date]])</f>
        <v>2024</v>
      </c>
      <c r="E523" s="1">
        <v>0.47499999999999998</v>
      </c>
      <c r="F523" t="str">
        <f>IF(AND(AllData[[#This Row],[Time]]&lt;0.5, AllData[[#This Row],[Time]]&gt;0.17)=TRUE, "Morning", IF(AND(AllData[[#This Row],[Time]]&lt;0.75, AllData[[#This Row],[Time]]&gt;=0.5)=TRUE, "Afternoon", IF(AND(AllData[[#This Row],[Time]]&lt;1, AllData[[#This Row],[Time]]&gt;=0.75)=TRUE, "Evening", "Night")))</f>
        <v>Morning</v>
      </c>
      <c r="G523" t="str">
        <f>_xlfn.XLOOKUP(AllData[[#This Row],[Location Name]], Locations[Location Name],Locations[Group As])</f>
        <v>Carters Lane</v>
      </c>
      <c r="H523" t="e" vm="1">
        <f>_xlfn.XLOOKUP(AllData[[#This Row],[Site Name]],LocationsKey[Site Name],LocationsKey[District])</f>
        <v>#VALUE!</v>
      </c>
      <c r="I523" t="e" vm="3">
        <f>_xlfn.XLOOKUP(AllData[[#This Row],[Site Name]],LocationsKey[Site Name],LocationsKey[Town])</f>
        <v>#VALUE!</v>
      </c>
      <c r="J523" t="str">
        <f>_xlfn.XLOOKUP(AllData[[#This Row],[Site Name]],LocationsKey[Site Name], LocationsKey[Waterway])</f>
        <v>Avon</v>
      </c>
      <c r="K523" t="s">
        <v>2520</v>
      </c>
      <c r="L523">
        <v>52.202466000000001</v>
      </c>
      <c r="M523">
        <v>-1.678803</v>
      </c>
      <c r="N523" t="s">
        <v>68</v>
      </c>
      <c r="O523">
        <v>767</v>
      </c>
      <c r="P523">
        <v>9.1</v>
      </c>
      <c r="Q523">
        <v>10</v>
      </c>
      <c r="R523" s="107" t="str">
        <f>IF(AllData[[#This Row],[Nitrate (PPM)]]&gt;2, "Very high", IF(AllData[[#This Row],[Nitrate (PPM)]]&gt;1, "High", IF(AllData[[#This Row],[Nitrate (PPM)]]&gt;0.5, "Some evidence", IF(AllData[[#This Row],[Nitrate (PPM)]]&gt;=0, "No evidence"))))</f>
        <v>Very high</v>
      </c>
      <c r="S523">
        <v>0.39</v>
      </c>
      <c r="T523" s="7" t="str">
        <f>IF(AllData[[#This Row],[Phosphate (PPM)]]&gt;0.5, "Very high", IF(AllData[[#This Row],[Phosphate (PPM)]]&gt;0.1, "High", IF(AllData[[#This Row],[Phosphate (PPM)]]&gt;0.05, "Some evidence", IF(AllData[[#This Row],[Phosphate (PPM)]]&lt;=0.05, "No Evidence", ""))))</f>
        <v>High</v>
      </c>
      <c r="U523">
        <v>0.79</v>
      </c>
    </row>
    <row r="524" spans="1:22" x14ac:dyDescent="0.35">
      <c r="A524" t="s">
        <v>2743</v>
      </c>
      <c r="B524" s="143">
        <v>45652</v>
      </c>
      <c r="C524" s="2" t="str" cm="1">
        <f t="array" ref="C5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4">
        <f>YEAR(AllData[[#This Row],[Date]])</f>
        <v>2024</v>
      </c>
      <c r="E524" s="1">
        <v>0.50694444444444442</v>
      </c>
      <c r="F524" t="str">
        <f>IF(AND(AllData[[#This Row],[Time]]&lt;0.5, AllData[[#This Row],[Time]]&gt;0.17)=TRUE, "Morning", IF(AND(AllData[[#This Row],[Time]]&lt;0.75, AllData[[#This Row],[Time]]&gt;=0.5)=TRUE, "Afternoon", IF(AND(AllData[[#This Row],[Time]]&lt;1, AllData[[#This Row],[Time]]&gt;=0.75)=TRUE, "Evening", "Night")))</f>
        <v>Afternoon</v>
      </c>
      <c r="G524" t="str">
        <f>_xlfn.XLOOKUP(AllData[[#This Row],[Location Name]], Locations[Location Name],Locations[Group As])</f>
        <v>SSC Bredons Norton</v>
      </c>
      <c r="H524" t="e" vm="6">
        <f>_xlfn.XLOOKUP(AllData[[#This Row],[Site Name]],LocationsKey[Site Name],LocationsKey[District])</f>
        <v>#VALUE!</v>
      </c>
      <c r="I524" t="str">
        <f>_xlfn.XLOOKUP(AllData[[#This Row],[Site Name]],LocationsKey[Site Name],LocationsKey[Town])</f>
        <v>Bredon's Norton</v>
      </c>
      <c r="J524" t="str">
        <f>_xlfn.XLOOKUP(AllData[[#This Row],[Site Name]],LocationsKey[Site Name], LocationsKey[Waterway])</f>
        <v>Avon</v>
      </c>
      <c r="K524" t="s">
        <v>2121</v>
      </c>
      <c r="L524">
        <v>52.050809000000001</v>
      </c>
      <c r="M524">
        <v>-2.1170309999999999</v>
      </c>
      <c r="N524" t="s">
        <v>25</v>
      </c>
      <c r="O524">
        <v>724</v>
      </c>
      <c r="P524">
        <v>8.4</v>
      </c>
      <c r="Q524">
        <v>5</v>
      </c>
      <c r="R524" s="107" t="str">
        <f>IF(AllData[[#This Row],[Nitrate (PPM)]]&gt;2, "Very high", IF(AllData[[#This Row],[Nitrate (PPM)]]&gt;1, "High", IF(AllData[[#This Row],[Nitrate (PPM)]]&gt;0.5, "Some evidence", IF(AllData[[#This Row],[Nitrate (PPM)]]&gt;=0, "No evidence"))))</f>
        <v>Very high</v>
      </c>
      <c r="S524">
        <v>0.54</v>
      </c>
      <c r="T524" s="7" t="str">
        <f>IF(AllData[[#This Row],[Phosphate (PPM)]]&gt;0.5, "Very high", IF(AllData[[#This Row],[Phosphate (PPM)]]&gt;0.1, "High", IF(AllData[[#This Row],[Phosphate (PPM)]]&gt;0.05, "Some evidence", IF(AllData[[#This Row],[Phosphate (PPM)]]&lt;=0.05, "No Evidence", ""))))</f>
        <v>Very high</v>
      </c>
      <c r="U524">
        <v>1</v>
      </c>
    </row>
    <row r="525" spans="1:22" x14ac:dyDescent="0.35">
      <c r="A525" t="s">
        <v>2742</v>
      </c>
      <c r="B525" s="143">
        <v>45652</v>
      </c>
      <c r="C525" s="2" t="str" cm="1">
        <f t="array" ref="C5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5">
        <f>YEAR(AllData[[#This Row],[Date]])</f>
        <v>2024</v>
      </c>
      <c r="E525" s="1">
        <v>0.57777777777777772</v>
      </c>
      <c r="F525" t="str">
        <f>IF(AND(AllData[[#This Row],[Time]]&lt;0.5, AllData[[#This Row],[Time]]&gt;0.17)=TRUE, "Morning", IF(AND(AllData[[#This Row],[Time]]&lt;0.75, AllData[[#This Row],[Time]]&gt;=0.5)=TRUE, "Afternoon", IF(AND(AllData[[#This Row],[Time]]&lt;1, AllData[[#This Row],[Time]]&gt;=0.75)=TRUE, "Evening", "Night")))</f>
        <v>Afternoon</v>
      </c>
      <c r="G525" t="str">
        <f>_xlfn.XLOOKUP(AllData[[#This Row],[Location Name]], Locations[Location Name],Locations[Group As])</f>
        <v>Preston-on-Stour River Bridge</v>
      </c>
      <c r="H525" t="e" vm="1">
        <f>_xlfn.XLOOKUP(AllData[[#This Row],[Site Name]],LocationsKey[Site Name],LocationsKey[District])</f>
        <v>#VALUE!</v>
      </c>
      <c r="I525" t="e" vm="20">
        <f>_xlfn.XLOOKUP(AllData[[#This Row],[Site Name]],LocationsKey[Site Name],LocationsKey[Town])</f>
        <v>#VALUE!</v>
      </c>
      <c r="J525" t="str">
        <f>_xlfn.XLOOKUP(AllData[[#This Row],[Site Name]],LocationsKey[Site Name], LocationsKey[Waterway])</f>
        <v>Stour</v>
      </c>
      <c r="K525" t="s">
        <v>164</v>
      </c>
      <c r="L525">
        <v>52.146368000000002</v>
      </c>
      <c r="M525">
        <v>-1.699565</v>
      </c>
      <c r="N525" t="s">
        <v>31</v>
      </c>
      <c r="O525">
        <v>652</v>
      </c>
      <c r="P525">
        <v>9.5</v>
      </c>
      <c r="Q525">
        <v>5</v>
      </c>
      <c r="R525" s="107" t="str">
        <f>IF(AllData[[#This Row],[Nitrate (PPM)]]&gt;2, "Very high", IF(AllData[[#This Row],[Nitrate (PPM)]]&gt;1, "High", IF(AllData[[#This Row],[Nitrate (PPM)]]&gt;0.5, "Some evidence", IF(AllData[[#This Row],[Nitrate (PPM)]]&gt;=0, "No evidence"))))</f>
        <v>Very high</v>
      </c>
      <c r="S525">
        <v>0.21</v>
      </c>
      <c r="T525" s="7" t="str">
        <f>IF(AllData[[#This Row],[Phosphate (PPM)]]&gt;0.5, "Very high", IF(AllData[[#This Row],[Phosphate (PPM)]]&gt;0.1, "High", IF(AllData[[#This Row],[Phosphate (PPM)]]&gt;0.05, "Some evidence", IF(AllData[[#This Row],[Phosphate (PPM)]]&lt;=0.05, "No Evidence", ""))))</f>
        <v>High</v>
      </c>
      <c r="U525">
        <v>1.5</v>
      </c>
    </row>
    <row r="526" spans="1:22" x14ac:dyDescent="0.35">
      <c r="A526" t="s">
        <v>2739</v>
      </c>
      <c r="B526" s="143">
        <v>45650</v>
      </c>
      <c r="C526" s="2" t="str" cm="1">
        <f t="array" ref="C5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6">
        <f>YEAR(AllData[[#This Row],[Date]])</f>
        <v>2024</v>
      </c>
      <c r="E526" s="1">
        <v>0.47708333333333336</v>
      </c>
      <c r="F526" t="str">
        <f>IF(AND(AllData[[#This Row],[Time]]&lt;0.5, AllData[[#This Row],[Time]]&gt;0.17)=TRUE, "Morning", IF(AND(AllData[[#This Row],[Time]]&lt;0.75, AllData[[#This Row],[Time]]&gt;=0.5)=TRUE, "Afternoon", IF(AND(AllData[[#This Row],[Time]]&lt;1, AllData[[#This Row],[Time]]&gt;=0.75)=TRUE, "Evening", "Night")))</f>
        <v>Morning</v>
      </c>
      <c r="G526" t="str">
        <f>_xlfn.XLOOKUP(AllData[[#This Row],[Location Name]], Locations[Location Name],Locations[Group As])</f>
        <v>Twyning Fleet</v>
      </c>
      <c r="H526" t="e" vm="4">
        <f>_xlfn.XLOOKUP(AllData[[#This Row],[Site Name]],LocationsKey[Site Name],LocationsKey[District])</f>
        <v>#VALUE!</v>
      </c>
      <c r="I526" t="str">
        <f>_xlfn.XLOOKUP(AllData[[#This Row],[Site Name]],LocationsKey[Site Name],LocationsKey[Town])</f>
        <v>Twyning Green</v>
      </c>
      <c r="J526" t="str">
        <f>_xlfn.XLOOKUP(AllData[[#This Row],[Site Name]],LocationsKey[Site Name], LocationsKey[Waterway])</f>
        <v>Avon</v>
      </c>
      <c r="K526" t="s">
        <v>2181</v>
      </c>
      <c r="L526">
        <v>52.027109000000003</v>
      </c>
      <c r="M526">
        <v>-2.1405180000000001</v>
      </c>
      <c r="O526">
        <v>650</v>
      </c>
      <c r="P526">
        <v>8.6</v>
      </c>
      <c r="Q526">
        <v>7</v>
      </c>
      <c r="R526" s="107" t="str">
        <f>IF(AllData[[#This Row],[Nitrate (PPM)]]&gt;2, "Very high", IF(AllData[[#This Row],[Nitrate (PPM)]]&gt;1, "High", IF(AllData[[#This Row],[Nitrate (PPM)]]&gt;0.5, "Some evidence", IF(AllData[[#This Row],[Nitrate (PPM)]]&gt;=0, "No evidence"))))</f>
        <v>Very high</v>
      </c>
      <c r="S526">
        <v>0.34</v>
      </c>
      <c r="T526" s="7" t="str">
        <f>IF(AllData[[#This Row],[Phosphate (PPM)]]&gt;0.5, "Very high", IF(AllData[[#This Row],[Phosphate (PPM)]]&gt;0.1, "High", IF(AllData[[#This Row],[Phosphate (PPM)]]&gt;0.05, "Some evidence", IF(AllData[[#This Row],[Phosphate (PPM)]]&lt;=0.05, "No Evidence", ""))))</f>
        <v>High</v>
      </c>
      <c r="U526">
        <v>0</v>
      </c>
    </row>
    <row r="527" spans="1:22" x14ac:dyDescent="0.35">
      <c r="A527" t="s">
        <v>2737</v>
      </c>
      <c r="B527" s="143">
        <v>45650</v>
      </c>
      <c r="C527" s="2" t="str" cm="1">
        <f t="array" ref="C5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7">
        <f>YEAR(AllData[[#This Row],[Date]])</f>
        <v>2024</v>
      </c>
      <c r="E527" s="1">
        <v>0.55347222222222225</v>
      </c>
      <c r="F527" t="str">
        <f>IF(AND(AllData[[#This Row],[Time]]&lt;0.5, AllData[[#This Row],[Time]]&gt;0.17)=TRUE, "Morning", IF(AND(AllData[[#This Row],[Time]]&lt;0.75, AllData[[#This Row],[Time]]&gt;=0.5)=TRUE, "Afternoon", IF(AND(AllData[[#This Row],[Time]]&lt;1, AllData[[#This Row],[Time]]&gt;=0.75)=TRUE, "Evening", "Night")))</f>
        <v>Afternoon</v>
      </c>
      <c r="G527" t="str">
        <f>_xlfn.XLOOKUP(AllData[[#This Row],[Location Name]], Locations[Location Name],Locations[Group As])</f>
        <v>New Barn Farm Brailes</v>
      </c>
      <c r="H527" t="e" vm="1">
        <f>_xlfn.XLOOKUP(AllData[[#This Row],[Site Name]],LocationsKey[Site Name],LocationsKey[District])</f>
        <v>#VALUE!</v>
      </c>
      <c r="I527" t="e" vm="5">
        <f>_xlfn.XLOOKUP(AllData[[#This Row],[Site Name]],LocationsKey[Site Name],LocationsKey[Town])</f>
        <v>#VALUE!</v>
      </c>
      <c r="J527" t="str">
        <f>_xlfn.XLOOKUP(AllData[[#This Row],[Site Name]],LocationsKey[Site Name], LocationsKey[Waterway])</f>
        <v>Sutton Brook</v>
      </c>
      <c r="K527" t="s">
        <v>2738</v>
      </c>
      <c r="L527">
        <v>52.044091999999999</v>
      </c>
      <c r="M527">
        <v>-1.5489729999999999</v>
      </c>
      <c r="N527" t="s">
        <v>31</v>
      </c>
      <c r="O527">
        <v>581</v>
      </c>
      <c r="P527">
        <v>11</v>
      </c>
      <c r="Q527">
        <v>4</v>
      </c>
      <c r="R527" s="107" t="str">
        <f>IF(AllData[[#This Row],[Nitrate (PPM)]]&gt;2, "Very high", IF(AllData[[#This Row],[Nitrate (PPM)]]&gt;1, "High", IF(AllData[[#This Row],[Nitrate (PPM)]]&gt;0.5, "Some evidence", IF(AllData[[#This Row],[Nitrate (PPM)]]&gt;=0, "No evidence"))))</f>
        <v>Very high</v>
      </c>
      <c r="S527">
        <v>0.14000000000000001</v>
      </c>
      <c r="T527" s="7" t="str">
        <f>IF(AllData[[#This Row],[Phosphate (PPM)]]&gt;0.5, "Very high", IF(AllData[[#This Row],[Phosphate (PPM)]]&gt;0.1, "High", IF(AllData[[#This Row],[Phosphate (PPM)]]&gt;0.05, "Some evidence", IF(AllData[[#This Row],[Phosphate (PPM)]]&lt;=0.05, "No Evidence", ""))))</f>
        <v>High</v>
      </c>
      <c r="U527">
        <v>0.5</v>
      </c>
      <c r="V527" t="s">
        <v>1404</v>
      </c>
    </row>
    <row r="528" spans="1:22" x14ac:dyDescent="0.35">
      <c r="A528" t="s">
        <v>2735</v>
      </c>
      <c r="B528" s="143">
        <v>45650</v>
      </c>
      <c r="C528" s="2" t="str" cm="1">
        <f t="array" ref="C5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8">
        <f>YEAR(AllData[[#This Row],[Date]])</f>
        <v>2024</v>
      </c>
      <c r="E528" s="1">
        <v>0.57013888888888886</v>
      </c>
      <c r="F528" t="str">
        <f>IF(AND(AllData[[#This Row],[Time]]&lt;0.5, AllData[[#This Row],[Time]]&gt;0.17)=TRUE, "Morning", IF(AND(AllData[[#This Row],[Time]]&lt;0.75, AllData[[#This Row],[Time]]&gt;=0.5)=TRUE, "Afternoon", IF(AND(AllData[[#This Row],[Time]]&lt;1, AllData[[#This Row],[Time]]&gt;=0.75)=TRUE, "Evening", "Night")))</f>
        <v>Afternoon</v>
      </c>
      <c r="G528" t="str">
        <f>_xlfn.XLOOKUP(AllData[[#This Row],[Location Name]], Locations[Location Name],Locations[Group As])</f>
        <v>High Street Brailes</v>
      </c>
      <c r="H528" t="e" vm="1">
        <f>_xlfn.XLOOKUP(AllData[[#This Row],[Site Name]],LocationsKey[Site Name],LocationsKey[District])</f>
        <v>#VALUE!</v>
      </c>
      <c r="I528" t="e" vm="5">
        <f>_xlfn.XLOOKUP(AllData[[#This Row],[Site Name]],LocationsKey[Site Name],LocationsKey[Town])</f>
        <v>#VALUE!</v>
      </c>
      <c r="J528" t="str">
        <f>_xlfn.XLOOKUP(AllData[[#This Row],[Site Name]],LocationsKey[Site Name], LocationsKey[Waterway])</f>
        <v>Sutton Brook</v>
      </c>
      <c r="K528" t="s">
        <v>2736</v>
      </c>
      <c r="L528">
        <v>52.050502999999999</v>
      </c>
      <c r="M528">
        <v>-1.5459510000000001</v>
      </c>
      <c r="N528" t="s">
        <v>68</v>
      </c>
      <c r="O528">
        <v>553</v>
      </c>
      <c r="P528">
        <v>11</v>
      </c>
      <c r="Q528">
        <v>4</v>
      </c>
      <c r="R528" s="107" t="str">
        <f>IF(AllData[[#This Row],[Nitrate (PPM)]]&gt;2, "Very high", IF(AllData[[#This Row],[Nitrate (PPM)]]&gt;1, "High", IF(AllData[[#This Row],[Nitrate (PPM)]]&gt;0.5, "Some evidence", IF(AllData[[#This Row],[Nitrate (PPM)]]&gt;=0, "No evidence"))))</f>
        <v>Very high</v>
      </c>
      <c r="S528">
        <v>0.05</v>
      </c>
      <c r="T528" s="7" t="str">
        <f>IF(AllData[[#This Row],[Phosphate (PPM)]]&gt;0.5, "Very high", IF(AllData[[#This Row],[Phosphate (PPM)]]&gt;0.1, "High", IF(AllData[[#This Row],[Phosphate (PPM)]]&gt;0.05, "Some evidence", IF(AllData[[#This Row],[Phosphate (PPM)]]&lt;=0.05, "No Evidence", ""))))</f>
        <v>No Evidence</v>
      </c>
      <c r="U528">
        <v>0.5</v>
      </c>
      <c r="V528" t="s">
        <v>1404</v>
      </c>
    </row>
    <row r="529" spans="1:22" x14ac:dyDescent="0.35">
      <c r="A529" t="s">
        <v>2730</v>
      </c>
      <c r="B529" s="143">
        <v>45649</v>
      </c>
      <c r="C529" s="2" t="str" cm="1">
        <f t="array" ref="C5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29">
        <f>YEAR(AllData[[#This Row],[Date]])</f>
        <v>2024</v>
      </c>
      <c r="E529" s="1">
        <v>0.55763888888888891</v>
      </c>
      <c r="F529" t="str">
        <f>IF(AND(AllData[[#This Row],[Time]]&lt;0.5, AllData[[#This Row],[Time]]&gt;0.17)=TRUE, "Morning", IF(AND(AllData[[#This Row],[Time]]&lt;0.75, AllData[[#This Row],[Time]]&gt;=0.5)=TRUE, "Afternoon", IF(AND(AllData[[#This Row],[Time]]&lt;1, AllData[[#This Row],[Time]]&gt;=0.75)=TRUE, "Evening", "Night")))</f>
        <v>Afternoon</v>
      </c>
      <c r="G529" t="str">
        <f>_xlfn.XLOOKUP(AllData[[#This Row],[Location Name]], Locations[Location Name],Locations[Group As])</f>
        <v>Lower Lode</v>
      </c>
      <c r="H529" t="e" vm="4">
        <f>_xlfn.XLOOKUP(AllData[[#This Row],[Site Name]],LocationsKey[Site Name],LocationsKey[District])</f>
        <v>#VALUE!</v>
      </c>
      <c r="I529" t="e" vm="4">
        <f>_xlfn.XLOOKUP(AllData[[#This Row],[Site Name]],LocationsKey[Site Name],LocationsKey[Town])</f>
        <v>#VALUE!</v>
      </c>
      <c r="J529" t="str">
        <f>_xlfn.XLOOKUP(AllData[[#This Row],[Site Name]],LocationsKey[Site Name], LocationsKey[Waterway])</f>
        <v>Avon</v>
      </c>
      <c r="K529" t="s">
        <v>595</v>
      </c>
      <c r="L529">
        <v>51.985069000000003</v>
      </c>
      <c r="M529">
        <v>-2.1743329999999998</v>
      </c>
      <c r="N529" t="s">
        <v>31</v>
      </c>
      <c r="O529">
        <v>6100</v>
      </c>
      <c r="P529">
        <v>8.1</v>
      </c>
      <c r="Q529">
        <v>5</v>
      </c>
      <c r="R529" s="107" t="str">
        <f>IF(AllData[[#This Row],[Nitrate (PPM)]]&gt;2, "Very high", IF(AllData[[#This Row],[Nitrate (PPM)]]&gt;1, "High", IF(AllData[[#This Row],[Nitrate (PPM)]]&gt;0.5, "Some evidence", IF(AllData[[#This Row],[Nitrate (PPM)]]&gt;=0, "No evidence"))))</f>
        <v>Very high</v>
      </c>
      <c r="S529">
        <v>0.52</v>
      </c>
      <c r="T529" s="7" t="str">
        <f>IF(AllData[[#This Row],[Phosphate (PPM)]]&gt;0.5, "Very high", IF(AllData[[#This Row],[Phosphate (PPM)]]&gt;0.1, "High", IF(AllData[[#This Row],[Phosphate (PPM)]]&gt;0.05, "Some evidence", IF(AllData[[#This Row],[Phosphate (PPM)]]&lt;=0.05, "No Evidence", ""))))</f>
        <v>Very high</v>
      </c>
      <c r="U529">
        <v>2</v>
      </c>
    </row>
    <row r="530" spans="1:22" x14ac:dyDescent="0.35">
      <c r="A530" t="s">
        <v>2729</v>
      </c>
      <c r="B530" s="143">
        <v>45649</v>
      </c>
      <c r="C530" s="2" t="str" cm="1">
        <f t="array" ref="C5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0">
        <f>YEAR(AllData[[#This Row],[Date]])</f>
        <v>2024</v>
      </c>
      <c r="E530" s="1">
        <v>0.36458333333333331</v>
      </c>
      <c r="F530" t="str">
        <f>IF(AND(AllData[[#This Row],[Time]]&lt;0.5, AllData[[#This Row],[Time]]&gt;0.17)=TRUE, "Morning", IF(AND(AllData[[#This Row],[Time]]&lt;0.75, AllData[[#This Row],[Time]]&gt;=0.5)=TRUE, "Afternoon", IF(AND(AllData[[#This Row],[Time]]&lt;1, AllData[[#This Row],[Time]]&gt;=0.75)=TRUE, "Evening", "Night")))</f>
        <v>Morning</v>
      </c>
      <c r="G530" t="str">
        <f>_xlfn.XLOOKUP(AllData[[#This Row],[Location Name]], Locations[Location Name],Locations[Group As])</f>
        <v>Chipping Campden Sewage Works</v>
      </c>
      <c r="H530" t="e" vm="9">
        <f>_xlfn.XLOOKUP(AllData[[#This Row],[Site Name]],LocationsKey[Site Name],LocationsKey[District])</f>
        <v>#VALUE!</v>
      </c>
      <c r="I530" t="e" vm="10">
        <f>_xlfn.XLOOKUP(AllData[[#This Row],[Site Name]],LocationsKey[Site Name],LocationsKey[Town])</f>
        <v>#VALUE!</v>
      </c>
      <c r="J530" t="str">
        <f>_xlfn.XLOOKUP(AllData[[#This Row],[Site Name]],LocationsKey[Site Name], LocationsKey[Waterway])</f>
        <v>Cam Brook</v>
      </c>
      <c r="K530" t="s">
        <v>1570</v>
      </c>
      <c r="N530" t="s">
        <v>31</v>
      </c>
      <c r="O530">
        <v>616</v>
      </c>
      <c r="P530">
        <v>8.1999999999999993</v>
      </c>
      <c r="Q530">
        <v>5</v>
      </c>
      <c r="R530" s="107" t="str">
        <f>IF(AllData[[#This Row],[Nitrate (PPM)]]&gt;2, "Very high", IF(AllData[[#This Row],[Nitrate (PPM)]]&gt;1, "High", IF(AllData[[#This Row],[Nitrate (PPM)]]&gt;0.5, "Some evidence", IF(AllData[[#This Row],[Nitrate (PPM)]]&gt;=0, "No evidence"))))</f>
        <v>Very high</v>
      </c>
      <c r="S530">
        <v>0.05</v>
      </c>
      <c r="T530" s="7" t="str">
        <f>IF(AllData[[#This Row],[Phosphate (PPM)]]&gt;0.5, "Very high", IF(AllData[[#This Row],[Phosphate (PPM)]]&gt;0.1, "High", IF(AllData[[#This Row],[Phosphate (PPM)]]&gt;0.05, "Some evidence", IF(AllData[[#This Row],[Phosphate (PPM)]]&lt;=0.05, "No Evidence", ""))))</f>
        <v>No Evidence</v>
      </c>
      <c r="U530">
        <v>0.43</v>
      </c>
    </row>
    <row r="531" spans="1:22" x14ac:dyDescent="0.35">
      <c r="A531" t="s">
        <v>2733</v>
      </c>
      <c r="B531" s="143">
        <v>45649</v>
      </c>
      <c r="C531" s="2" t="str" cm="1">
        <f t="array" ref="C5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1">
        <f>YEAR(AllData[[#This Row],[Date]])</f>
        <v>2024</v>
      </c>
      <c r="E531" s="1">
        <v>0.46180555555555558</v>
      </c>
      <c r="F531" t="str">
        <f>IF(AND(AllData[[#This Row],[Time]]&lt;0.5, AllData[[#This Row],[Time]]&gt;0.17)=TRUE, "Morning", IF(AND(AllData[[#This Row],[Time]]&lt;0.75, AllData[[#This Row],[Time]]&gt;=0.5)=TRUE, "Afternoon", IF(AND(AllData[[#This Row],[Time]]&lt;1, AllData[[#This Row],[Time]]&gt;=0.75)=TRUE, "Evening", "Night")))</f>
        <v>Morning</v>
      </c>
      <c r="G531" t="str">
        <f>_xlfn.XLOOKUP(AllData[[#This Row],[Location Name]], Locations[Location Name],Locations[Group As])</f>
        <v>Swiffen Bank</v>
      </c>
      <c r="H531" t="e" vm="1">
        <f>_xlfn.XLOOKUP(AllData[[#This Row],[Site Name]],LocationsKey[Site Name],LocationsKey[District])</f>
        <v>#VALUE!</v>
      </c>
      <c r="I531" t="e" vm="2">
        <f>_xlfn.XLOOKUP(AllData[[#This Row],[Site Name]],LocationsKey[Site Name],LocationsKey[Town])</f>
        <v>#VALUE!</v>
      </c>
      <c r="J531" t="str">
        <f>_xlfn.XLOOKUP(AllData[[#This Row],[Site Name]],LocationsKey[Site Name], LocationsKey[Waterway])</f>
        <v>Avon</v>
      </c>
      <c r="K531" t="s">
        <v>286</v>
      </c>
      <c r="L531">
        <v>52.206477999999997</v>
      </c>
      <c r="M531">
        <v>-1.653894</v>
      </c>
      <c r="N531" t="s">
        <v>31</v>
      </c>
      <c r="O531">
        <v>558</v>
      </c>
      <c r="P531">
        <v>8.5</v>
      </c>
      <c r="Q531">
        <v>5</v>
      </c>
      <c r="R531" s="107" t="str">
        <f>IF(AllData[[#This Row],[Nitrate (PPM)]]&gt;2, "Very high", IF(AllData[[#This Row],[Nitrate (PPM)]]&gt;1, "High", IF(AllData[[#This Row],[Nitrate (PPM)]]&gt;0.5, "Some evidence", IF(AllData[[#This Row],[Nitrate (PPM)]]&gt;=0, "No evidence"))))</f>
        <v>Very high</v>
      </c>
      <c r="S531">
        <v>0.42</v>
      </c>
      <c r="T531" s="7" t="str">
        <f>IF(AllData[[#This Row],[Phosphate (PPM)]]&gt;0.5, "Very high", IF(AllData[[#This Row],[Phosphate (PPM)]]&gt;0.1, "High", IF(AllData[[#This Row],[Phosphate (PPM)]]&gt;0.05, "Some evidence", IF(AllData[[#This Row],[Phosphate (PPM)]]&lt;=0.05, "No Evidence", ""))))</f>
        <v>High</v>
      </c>
      <c r="U531">
        <v>0.5</v>
      </c>
      <c r="V531" t="s">
        <v>2734</v>
      </c>
    </row>
    <row r="532" spans="1:22" x14ac:dyDescent="0.35">
      <c r="A532" t="s">
        <v>2731</v>
      </c>
      <c r="B532" s="143">
        <v>45649</v>
      </c>
      <c r="C532" s="2" t="str" cm="1">
        <f t="array" ref="C5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2">
        <f>YEAR(AllData[[#This Row],[Date]])</f>
        <v>2024</v>
      </c>
      <c r="E532" s="1">
        <v>0.45208333333333334</v>
      </c>
      <c r="F532" t="str">
        <f>IF(AND(AllData[[#This Row],[Time]]&lt;0.5, AllData[[#This Row],[Time]]&gt;0.17)=TRUE, "Morning", IF(AND(AllData[[#This Row],[Time]]&lt;0.75, AllData[[#This Row],[Time]]&gt;=0.5)=TRUE, "Afternoon", IF(AND(AllData[[#This Row],[Time]]&lt;1, AllData[[#This Row],[Time]]&gt;=0.75)=TRUE, "Evening", "Night")))</f>
        <v>Morning</v>
      </c>
      <c r="G532" t="str">
        <f>_xlfn.XLOOKUP(AllData[[#This Row],[Location Name]], Locations[Location Name],Locations[Group As])</f>
        <v>Alveston Weir</v>
      </c>
      <c r="H532" t="e" vm="1">
        <f>_xlfn.XLOOKUP(AllData[[#This Row],[Site Name]],LocationsKey[Site Name],LocationsKey[District])</f>
        <v>#VALUE!</v>
      </c>
      <c r="I532" t="e" vm="2">
        <f>_xlfn.XLOOKUP(AllData[[#This Row],[Site Name]],LocationsKey[Site Name],LocationsKey[Town])</f>
        <v>#VALUE!</v>
      </c>
      <c r="J532" t="str">
        <f>_xlfn.XLOOKUP(AllData[[#This Row],[Site Name]],LocationsKey[Site Name], LocationsKey[Waterway])</f>
        <v>Avon</v>
      </c>
      <c r="K532" t="s">
        <v>288</v>
      </c>
      <c r="L532">
        <v>52.214199000000001</v>
      </c>
      <c r="M532">
        <v>-1.6633389999999999</v>
      </c>
      <c r="N532" t="s">
        <v>31</v>
      </c>
      <c r="O532">
        <v>550</v>
      </c>
      <c r="P532">
        <v>7.3</v>
      </c>
      <c r="Q532">
        <v>5</v>
      </c>
      <c r="R532" s="107" t="str">
        <f>IF(AllData[[#This Row],[Nitrate (PPM)]]&gt;2, "Very high", IF(AllData[[#This Row],[Nitrate (PPM)]]&gt;1, "High", IF(AllData[[#This Row],[Nitrate (PPM)]]&gt;0.5, "Some evidence", IF(AllData[[#This Row],[Nitrate (PPM)]]&gt;=0, "No evidence"))))</f>
        <v>Very high</v>
      </c>
      <c r="S532">
        <v>0.59</v>
      </c>
      <c r="T532" s="7" t="str">
        <f>IF(AllData[[#This Row],[Phosphate (PPM)]]&gt;0.5, "Very high", IF(AllData[[#This Row],[Phosphate (PPM)]]&gt;0.1, "High", IF(AllData[[#This Row],[Phosphate (PPM)]]&gt;0.05, "Some evidence", IF(AllData[[#This Row],[Phosphate (PPM)]]&lt;=0.05, "No Evidence", ""))))</f>
        <v>Very high</v>
      </c>
      <c r="U532">
        <v>0.5</v>
      </c>
      <c r="V532" t="s">
        <v>2732</v>
      </c>
    </row>
    <row r="533" spans="1:22" x14ac:dyDescent="0.35">
      <c r="A533" t="s">
        <v>2728</v>
      </c>
      <c r="B533" s="143">
        <v>45649</v>
      </c>
      <c r="C533" s="2" t="str" cm="1">
        <f t="array" ref="C5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3">
        <f>YEAR(AllData[[#This Row],[Date]])</f>
        <v>2024</v>
      </c>
      <c r="E533" s="1">
        <v>0.48958333333333331</v>
      </c>
      <c r="F533" t="str">
        <f>IF(AND(AllData[[#This Row],[Time]]&lt;0.5, AllData[[#This Row],[Time]]&gt;0.17)=TRUE, "Morning", IF(AND(AllData[[#This Row],[Time]]&lt;0.75, AllData[[#This Row],[Time]]&gt;=0.5)=TRUE, "Afternoon", IF(AND(AllData[[#This Row],[Time]]&lt;1, AllData[[#This Row],[Time]]&gt;=0.75)=TRUE, "Evening", "Night")))</f>
        <v>Morning</v>
      </c>
      <c r="G533" t="str">
        <f>_xlfn.XLOOKUP(AllData[[#This Row],[Location Name]], Locations[Location Name],Locations[Group As])</f>
        <v>Chipping Campden Craves</v>
      </c>
      <c r="H533" t="e" vm="9">
        <f>_xlfn.XLOOKUP(AllData[[#This Row],[Site Name]],LocationsKey[Site Name],LocationsKey[District])</f>
        <v>#VALUE!</v>
      </c>
      <c r="I533" t="e" vm="10">
        <f>_xlfn.XLOOKUP(AllData[[#This Row],[Site Name]],LocationsKey[Site Name],LocationsKey[Town])</f>
        <v>#VALUE!</v>
      </c>
      <c r="J533" t="str">
        <f>_xlfn.XLOOKUP(AllData[[#This Row],[Site Name]],LocationsKey[Site Name], LocationsKey[Waterway])</f>
        <v>Cam Brook</v>
      </c>
      <c r="K533" t="s">
        <v>2558</v>
      </c>
      <c r="L533">
        <v>52.048765000000003</v>
      </c>
      <c r="M533">
        <v>-1.7863560000000001</v>
      </c>
      <c r="N533" t="s">
        <v>68</v>
      </c>
      <c r="O533">
        <v>467</v>
      </c>
      <c r="P533">
        <v>9.5</v>
      </c>
      <c r="Q533">
        <v>5</v>
      </c>
      <c r="R533" s="107" t="str">
        <f>IF(AllData[[#This Row],[Nitrate (PPM)]]&gt;2, "Very high", IF(AllData[[#This Row],[Nitrate (PPM)]]&gt;1, "High", IF(AllData[[#This Row],[Nitrate (PPM)]]&gt;0.5, "Some evidence", IF(AllData[[#This Row],[Nitrate (PPM)]]&gt;=0, "No evidence"))))</f>
        <v>Very high</v>
      </c>
      <c r="S533">
        <v>0.41</v>
      </c>
      <c r="T533" s="7" t="str">
        <f>IF(AllData[[#This Row],[Phosphate (PPM)]]&gt;0.5, "Very high", IF(AllData[[#This Row],[Phosphate (PPM)]]&gt;0.1, "High", IF(AllData[[#This Row],[Phosphate (PPM)]]&gt;0.05, "Some evidence", IF(AllData[[#This Row],[Phosphate (PPM)]]&lt;=0.05, "No Evidence", ""))))</f>
        <v>High</v>
      </c>
      <c r="U533">
        <v>30</v>
      </c>
    </row>
    <row r="534" spans="1:22" x14ac:dyDescent="0.35">
      <c r="A534" t="s">
        <v>2727</v>
      </c>
      <c r="B534" s="143">
        <v>45648</v>
      </c>
      <c r="C534" s="2" t="str" cm="1">
        <f t="array" ref="C5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4">
        <f>YEAR(AllData[[#This Row],[Date]])</f>
        <v>2024</v>
      </c>
      <c r="E534" s="1">
        <v>0.59236111111111112</v>
      </c>
      <c r="F534" t="str">
        <f>IF(AND(AllData[[#This Row],[Time]]&lt;0.5, AllData[[#This Row],[Time]]&gt;0.17)=TRUE, "Morning", IF(AND(AllData[[#This Row],[Time]]&lt;0.75, AllData[[#This Row],[Time]]&gt;=0.5)=TRUE, "Afternoon", IF(AND(AllData[[#This Row],[Time]]&lt;1, AllData[[#This Row],[Time]]&gt;=0.75)=TRUE, "Evening", "Night")))</f>
        <v>Afternoon</v>
      </c>
      <c r="G534" t="str">
        <f>_xlfn.XLOOKUP(AllData[[#This Row],[Location Name]], Locations[Location Name],Locations[Group As])</f>
        <v>Black Bear</v>
      </c>
      <c r="H534" t="e" vm="4">
        <f>_xlfn.XLOOKUP(AllData[[#This Row],[Site Name]],LocationsKey[Site Name],LocationsKey[District])</f>
        <v>#VALUE!</v>
      </c>
      <c r="I534" t="e" vm="4">
        <f>_xlfn.XLOOKUP(AllData[[#This Row],[Site Name]],LocationsKey[Site Name],LocationsKey[Town])</f>
        <v>#VALUE!</v>
      </c>
      <c r="J534" t="str">
        <f>_xlfn.XLOOKUP(AllData[[#This Row],[Site Name]],LocationsKey[Site Name], LocationsKey[Waterway])</f>
        <v>Avon</v>
      </c>
      <c r="K534" t="s">
        <v>1175</v>
      </c>
      <c r="L534">
        <v>51.997376000000003</v>
      </c>
      <c r="M534">
        <v>-2.15605</v>
      </c>
      <c r="N534" t="s">
        <v>25</v>
      </c>
      <c r="O534">
        <v>562</v>
      </c>
      <c r="P534">
        <v>8.6</v>
      </c>
      <c r="Q534">
        <v>5</v>
      </c>
      <c r="R534" s="107" t="str">
        <f>IF(AllData[[#This Row],[Nitrate (PPM)]]&gt;2, "Very high", IF(AllData[[#This Row],[Nitrate (PPM)]]&gt;1, "High", IF(AllData[[#This Row],[Nitrate (PPM)]]&gt;0.5, "Some evidence", IF(AllData[[#This Row],[Nitrate (PPM)]]&gt;=0, "No evidence"))))</f>
        <v>Very high</v>
      </c>
      <c r="S534">
        <v>1.1599999999999999</v>
      </c>
      <c r="T534" s="7" t="str">
        <f>IF(AllData[[#This Row],[Phosphate (PPM)]]&gt;0.5, "Very high", IF(AllData[[#This Row],[Phosphate (PPM)]]&gt;0.1, "High", IF(AllData[[#This Row],[Phosphate (PPM)]]&gt;0.05, "Some evidence", IF(AllData[[#This Row],[Phosphate (PPM)]]&lt;=0.05, "No Evidence", ""))))</f>
        <v>Very high</v>
      </c>
      <c r="U534">
        <v>0.5</v>
      </c>
    </row>
    <row r="535" spans="1:22" x14ac:dyDescent="0.35">
      <c r="A535" t="s">
        <v>2726</v>
      </c>
      <c r="B535" s="143">
        <v>45648</v>
      </c>
      <c r="C535" s="2" t="str" cm="1">
        <f t="array" ref="C5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5">
        <f>YEAR(AllData[[#This Row],[Date]])</f>
        <v>2024</v>
      </c>
      <c r="E535" s="1">
        <v>0.47916666666666669</v>
      </c>
      <c r="F535" t="str">
        <f>IF(AND(AllData[[#This Row],[Time]]&lt;0.5, AllData[[#This Row],[Time]]&gt;0.17)=TRUE, "Morning", IF(AND(AllData[[#This Row],[Time]]&lt;0.75, AllData[[#This Row],[Time]]&gt;=0.5)=TRUE, "Afternoon", IF(AND(AllData[[#This Row],[Time]]&lt;1, AllData[[#This Row],[Time]]&gt;=0.75)=TRUE, "Evening", "Night")))</f>
        <v>Morning</v>
      </c>
      <c r="G535" t="str">
        <f>_xlfn.XLOOKUP(AllData[[#This Row],[Location Name]], Locations[Location Name],Locations[Group As])</f>
        <v>Carrant M5 Bridge</v>
      </c>
      <c r="H535" t="e" vm="4">
        <f>_xlfn.XLOOKUP(AllData[[#This Row],[Site Name]],LocationsKey[Site Name],LocationsKey[District])</f>
        <v>#VALUE!</v>
      </c>
      <c r="I535" t="e" vm="4">
        <f>_xlfn.XLOOKUP(AllData[[#This Row],[Site Name]],LocationsKey[Site Name],LocationsKey[Town])</f>
        <v>#VALUE!</v>
      </c>
      <c r="J535" t="str">
        <f>_xlfn.XLOOKUP(AllData[[#This Row],[Site Name]],LocationsKey[Site Name], LocationsKey[Waterway])</f>
        <v>Carrant</v>
      </c>
      <c r="K535" t="s">
        <v>1066</v>
      </c>
      <c r="N535" t="s">
        <v>25</v>
      </c>
      <c r="O535">
        <v>693</v>
      </c>
      <c r="P535">
        <v>9.3000000000000007</v>
      </c>
      <c r="Q535">
        <v>3</v>
      </c>
      <c r="R535" s="107" t="str">
        <f>IF(AllData[[#This Row],[Nitrate (PPM)]]&gt;2, "Very high", IF(AllData[[#This Row],[Nitrate (PPM)]]&gt;1, "High", IF(AllData[[#This Row],[Nitrate (PPM)]]&gt;0.5, "Some evidence", IF(AllData[[#This Row],[Nitrate (PPM)]]&gt;=0, "No evidence"))))</f>
        <v>Very high</v>
      </c>
      <c r="S535">
        <v>0.68</v>
      </c>
      <c r="T535" s="7" t="str">
        <f>IF(AllData[[#This Row],[Phosphate (PPM)]]&gt;0.5, "Very high", IF(AllData[[#This Row],[Phosphate (PPM)]]&gt;0.1, "High", IF(AllData[[#This Row],[Phosphate (PPM)]]&gt;0.05, "Some evidence", IF(AllData[[#This Row],[Phosphate (PPM)]]&lt;=0.05, "No Evidence", ""))))</f>
        <v>Very high</v>
      </c>
      <c r="U535">
        <v>0.3</v>
      </c>
    </row>
    <row r="536" spans="1:22" x14ac:dyDescent="0.35">
      <c r="A536" t="s">
        <v>2725</v>
      </c>
      <c r="B536" s="143">
        <v>45648</v>
      </c>
      <c r="C536" s="2" t="str" cm="1">
        <f t="array" ref="C5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6">
        <f>YEAR(AllData[[#This Row],[Date]])</f>
        <v>2024</v>
      </c>
      <c r="E536" s="1">
        <v>0.61111111111111116</v>
      </c>
      <c r="F536" t="str">
        <f>IF(AND(AllData[[#This Row],[Time]]&lt;0.5, AllData[[#This Row],[Time]]&gt;0.17)=TRUE, "Morning", IF(AND(AllData[[#This Row],[Time]]&lt;0.75, AllData[[#This Row],[Time]]&gt;=0.5)=TRUE, "Afternoon", IF(AND(AllData[[#This Row],[Time]]&lt;1, AllData[[#This Row],[Time]]&gt;=0.75)=TRUE, "Evening", "Night")))</f>
        <v>Afternoon</v>
      </c>
      <c r="G536" t="str">
        <f>_xlfn.XLOOKUP(AllData[[#This Row],[Location Name]], Locations[Location Name],Locations[Group As])</f>
        <v>Fell Mill Footbridge</v>
      </c>
      <c r="H536" t="e" vm="1">
        <f>_xlfn.XLOOKUP(AllData[[#This Row],[Site Name]],LocationsKey[Site Name],LocationsKey[District])</f>
        <v>#VALUE!</v>
      </c>
      <c r="I536" t="e" vm="15">
        <f>_xlfn.XLOOKUP(AllData[[#This Row],[Site Name]],LocationsKey[Site Name],LocationsKey[Town])</f>
        <v>#VALUE!</v>
      </c>
      <c r="J536" t="str">
        <f>_xlfn.XLOOKUP(AllData[[#This Row],[Site Name]],LocationsKey[Site Name], LocationsKey[Waterway])</f>
        <v>Stour</v>
      </c>
      <c r="K536" t="s">
        <v>1968</v>
      </c>
      <c r="L536">
        <v>52.070086000000003</v>
      </c>
      <c r="M536">
        <v>-1.61145</v>
      </c>
      <c r="N536" t="s">
        <v>31</v>
      </c>
      <c r="O536">
        <v>575</v>
      </c>
      <c r="P536">
        <v>7.8</v>
      </c>
      <c r="Q536">
        <v>2</v>
      </c>
      <c r="R536" s="107" t="str">
        <f>IF(AllData[[#This Row],[Nitrate (PPM)]]&gt;2, "Very high", IF(AllData[[#This Row],[Nitrate (PPM)]]&gt;1, "High", IF(AllData[[#This Row],[Nitrate (PPM)]]&gt;0.5, "Some evidence", IF(AllData[[#This Row],[Nitrate (PPM)]]&gt;=0, "No evidence"))))</f>
        <v>High</v>
      </c>
      <c r="S536">
        <v>0.28000000000000003</v>
      </c>
      <c r="T536" s="7" t="str">
        <f>IF(AllData[[#This Row],[Phosphate (PPM)]]&gt;0.5, "Very high", IF(AllData[[#This Row],[Phosphate (PPM)]]&gt;0.1, "High", IF(AllData[[#This Row],[Phosphate (PPM)]]&gt;0.05, "Some evidence", IF(AllData[[#This Row],[Phosphate (PPM)]]&lt;=0.05, "No Evidence", ""))))</f>
        <v>High</v>
      </c>
      <c r="U536">
        <v>1.75</v>
      </c>
    </row>
    <row r="537" spans="1:22" x14ac:dyDescent="0.35">
      <c r="A537" t="s">
        <v>2718</v>
      </c>
      <c r="B537" s="143">
        <v>45647</v>
      </c>
      <c r="C537" s="2" t="str" cm="1">
        <f t="array" ref="C5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7">
        <f>YEAR(AllData[[#This Row],[Date]])</f>
        <v>2024</v>
      </c>
      <c r="E537" s="1">
        <v>0.51388888888888884</v>
      </c>
      <c r="F537" t="str">
        <f>IF(AND(AllData[[#This Row],[Time]]&lt;0.5, AllData[[#This Row],[Time]]&gt;0.17)=TRUE, "Morning", IF(AND(AllData[[#This Row],[Time]]&lt;0.75, AllData[[#This Row],[Time]]&gt;=0.5)=TRUE, "Afternoon", IF(AND(AllData[[#This Row],[Time]]&lt;1, AllData[[#This Row],[Time]]&gt;=0.75)=TRUE, "Evening", "Night")))</f>
        <v>Afternoon</v>
      </c>
      <c r="G537" t="str">
        <f>_xlfn.XLOOKUP(AllData[[#This Row],[Location Name]], Locations[Location Name],Locations[Group As])</f>
        <v>Site 3  :  Severn Trent Water processing plant outflow</v>
      </c>
      <c r="H537" t="e" vm="1">
        <f>_xlfn.XLOOKUP(AllData[[#This Row],[Site Name]],LocationsKey[Site Name],LocationsKey[District])</f>
        <v>#VALUE!</v>
      </c>
      <c r="I537" t="e" vm="14">
        <f>_xlfn.XLOOKUP(AllData[[#This Row],[Site Name]],LocationsKey[Site Name],LocationsKey[Town])</f>
        <v>#VALUE!</v>
      </c>
      <c r="J537" t="str">
        <f>_xlfn.XLOOKUP(AllData[[#This Row],[Site Name]],LocationsKey[Site Name], LocationsKey[Waterway])</f>
        <v>Fosseway Brook</v>
      </c>
      <c r="K537" t="s">
        <v>1826</v>
      </c>
      <c r="L537">
        <v>52.094315000000002</v>
      </c>
      <c r="M537">
        <v>-1.6758679999999999</v>
      </c>
      <c r="N537" t="s">
        <v>31</v>
      </c>
      <c r="O537">
        <v>842</v>
      </c>
      <c r="P537">
        <v>11.1</v>
      </c>
      <c r="Q537">
        <v>5</v>
      </c>
      <c r="R537" s="107" t="str">
        <f>IF(AllData[[#This Row],[Nitrate (PPM)]]&gt;2, "Very high", IF(AllData[[#This Row],[Nitrate (PPM)]]&gt;1, "High", IF(AllData[[#This Row],[Nitrate (PPM)]]&gt;0.5, "Some evidence", IF(AllData[[#This Row],[Nitrate (PPM)]]&gt;=0, "No evidence"))))</f>
        <v>Very high</v>
      </c>
      <c r="S537">
        <v>5.3</v>
      </c>
      <c r="T537" s="7" t="str">
        <f>IF(AllData[[#This Row],[Phosphate (PPM)]]&gt;0.5, "Very high", IF(AllData[[#This Row],[Phosphate (PPM)]]&gt;0.1, "High", IF(AllData[[#This Row],[Phosphate (PPM)]]&gt;0.05, "Some evidence", IF(AllData[[#This Row],[Phosphate (PPM)]]&lt;=0.05, "No Evidence", ""))))</f>
        <v>Very high</v>
      </c>
      <c r="U537">
        <v>0.25</v>
      </c>
    </row>
    <row r="538" spans="1:22" x14ac:dyDescent="0.35">
      <c r="A538" t="s">
        <v>2716</v>
      </c>
      <c r="B538" s="143">
        <v>45647</v>
      </c>
      <c r="C538" s="2" t="str" cm="1">
        <f t="array" ref="C5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8">
        <f>YEAR(AllData[[#This Row],[Date]])</f>
        <v>2024</v>
      </c>
      <c r="E538" s="1">
        <v>0.47222222222222221</v>
      </c>
      <c r="F538" t="str">
        <f>IF(AND(AllData[[#This Row],[Time]]&lt;0.5, AllData[[#This Row],[Time]]&gt;0.17)=TRUE, "Morning", IF(AND(AllData[[#This Row],[Time]]&lt;0.75, AllData[[#This Row],[Time]]&gt;=0.5)=TRUE, "Afternoon", IF(AND(AllData[[#This Row],[Time]]&lt;1, AllData[[#This Row],[Time]]&gt;=0.75)=TRUE, "Evening", "Night")))</f>
        <v>Morning</v>
      </c>
      <c r="G538" t="str">
        <f>_xlfn.XLOOKUP(AllData[[#This Row],[Location Name]], Locations[Location Name],Locations[Group As])</f>
        <v>Piddle Brook Wyre Piddle Bridge</v>
      </c>
      <c r="H538" t="e" vm="6">
        <f>_xlfn.XLOOKUP(AllData[[#This Row],[Site Name]],LocationsKey[Site Name],LocationsKey[District])</f>
        <v>#VALUE!</v>
      </c>
      <c r="I538" t="e" vm="13">
        <f>_xlfn.XLOOKUP(AllData[[#This Row],[Site Name]],LocationsKey[Site Name],LocationsKey[Town])</f>
        <v>#VALUE!</v>
      </c>
      <c r="J538" t="str">
        <f>_xlfn.XLOOKUP(AllData[[#This Row],[Site Name]],LocationsKey[Site Name], LocationsKey[Waterway])</f>
        <v>Piddle Brook</v>
      </c>
      <c r="K538" t="s">
        <v>2496</v>
      </c>
      <c r="L538">
        <v>52.12621</v>
      </c>
      <c r="M538">
        <v>-2.054881</v>
      </c>
      <c r="N538" t="s">
        <v>25</v>
      </c>
      <c r="O538">
        <v>771</v>
      </c>
      <c r="P538">
        <v>8.3000000000000007</v>
      </c>
      <c r="Q538">
        <v>5</v>
      </c>
      <c r="R538" s="107" t="str">
        <f>IF(AllData[[#This Row],[Nitrate (PPM)]]&gt;2, "Very high", IF(AllData[[#This Row],[Nitrate (PPM)]]&gt;1, "High", IF(AllData[[#This Row],[Nitrate (PPM)]]&gt;0.5, "Some evidence", IF(AllData[[#This Row],[Nitrate (PPM)]]&gt;=0, "No evidence"))))</f>
        <v>Very high</v>
      </c>
      <c r="S538">
        <v>0.36</v>
      </c>
      <c r="T538" s="7" t="str">
        <f>IF(AllData[[#This Row],[Phosphate (PPM)]]&gt;0.5, "Very high", IF(AllData[[#This Row],[Phosphate (PPM)]]&gt;0.1, "High", IF(AllData[[#This Row],[Phosphate (PPM)]]&gt;0.05, "Some evidence", IF(AllData[[#This Row],[Phosphate (PPM)]]&lt;=0.05, "No Evidence", ""))))</f>
        <v>High</v>
      </c>
      <c r="U538">
        <v>0.47</v>
      </c>
      <c r="V538" t="s">
        <v>2717</v>
      </c>
    </row>
    <row r="539" spans="1:22" x14ac:dyDescent="0.35">
      <c r="A539" t="s">
        <v>2714</v>
      </c>
      <c r="B539" s="143">
        <v>45647</v>
      </c>
      <c r="C539" s="2" t="str" cm="1">
        <f t="array" ref="C5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39">
        <f>YEAR(AllData[[#This Row],[Date]])</f>
        <v>2024</v>
      </c>
      <c r="E539" s="1">
        <v>0.44027777777777777</v>
      </c>
      <c r="F539" t="str">
        <f>IF(AND(AllData[[#This Row],[Time]]&lt;0.5, AllData[[#This Row],[Time]]&gt;0.17)=TRUE, "Morning", IF(AND(AllData[[#This Row],[Time]]&lt;0.75, AllData[[#This Row],[Time]]&gt;=0.5)=TRUE, "Afternoon", IF(AND(AllData[[#This Row],[Time]]&lt;1, AllData[[#This Row],[Time]]&gt;=0.75)=TRUE, "Evening", "Night")))</f>
        <v>Morning</v>
      </c>
      <c r="G539" t="str">
        <f>_xlfn.XLOOKUP(AllData[[#This Row],[Location Name]], Locations[Location Name],Locations[Group As])</f>
        <v>Avon Smiths Meadow Wyre Piddle</v>
      </c>
      <c r="H539" t="e" vm="6">
        <f>_xlfn.XLOOKUP(AllData[[#This Row],[Site Name]],LocationsKey[Site Name],LocationsKey[District])</f>
        <v>#VALUE!</v>
      </c>
      <c r="I539" t="e" vm="13">
        <f>_xlfn.XLOOKUP(AllData[[#This Row],[Site Name]],LocationsKey[Site Name],LocationsKey[Town])</f>
        <v>#VALUE!</v>
      </c>
      <c r="J539" t="str">
        <f>_xlfn.XLOOKUP(AllData[[#This Row],[Site Name]],LocationsKey[Site Name], LocationsKey[Waterway])</f>
        <v>Avon</v>
      </c>
      <c r="K539" t="s">
        <v>2329</v>
      </c>
      <c r="L539">
        <v>52.122968999999998</v>
      </c>
      <c r="M539">
        <v>-2.0574690000000002</v>
      </c>
      <c r="N539" t="s">
        <v>25</v>
      </c>
      <c r="O539">
        <v>511</v>
      </c>
      <c r="P539">
        <v>8.8000000000000007</v>
      </c>
      <c r="Q539">
        <v>5</v>
      </c>
      <c r="R539" s="107" t="str">
        <f>IF(AllData[[#This Row],[Nitrate (PPM)]]&gt;2, "Very high", IF(AllData[[#This Row],[Nitrate (PPM)]]&gt;1, "High", IF(AllData[[#This Row],[Nitrate (PPM)]]&gt;0.5, "Some evidence", IF(AllData[[#This Row],[Nitrate (PPM)]]&gt;=0, "No evidence"))))</f>
        <v>Very high</v>
      </c>
      <c r="S539">
        <v>0.44</v>
      </c>
      <c r="T539" s="7" t="str">
        <f>IF(AllData[[#This Row],[Phosphate (PPM)]]&gt;0.5, "Very high", IF(AllData[[#This Row],[Phosphate (PPM)]]&gt;0.1, "High", IF(AllData[[#This Row],[Phosphate (PPM)]]&gt;0.05, "Some evidence", IF(AllData[[#This Row],[Phosphate (PPM)]]&lt;=0.05, "No Evidence", ""))))</f>
        <v>High</v>
      </c>
      <c r="U539">
        <v>1.58</v>
      </c>
      <c r="V539" t="s">
        <v>2715</v>
      </c>
    </row>
    <row r="540" spans="1:22" x14ac:dyDescent="0.35">
      <c r="A540" t="s">
        <v>2722</v>
      </c>
      <c r="B540" s="143">
        <v>45647</v>
      </c>
      <c r="C540" s="2" t="str" cm="1">
        <f t="array" ref="C5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0">
        <f>YEAR(AllData[[#This Row],[Date]])</f>
        <v>2024</v>
      </c>
      <c r="E540" s="1">
        <v>0.52083333333333337</v>
      </c>
      <c r="F540" t="str">
        <f>IF(AND(AllData[[#This Row],[Time]]&lt;0.5, AllData[[#This Row],[Time]]&gt;0.17)=TRUE, "Morning", IF(AND(AllData[[#This Row],[Time]]&lt;0.75, AllData[[#This Row],[Time]]&gt;=0.5)=TRUE, "Afternoon", IF(AND(AllData[[#This Row],[Time]]&lt;1, AllData[[#This Row],[Time]]&gt;=0.75)=TRUE, "Evening", "Night")))</f>
        <v>Afternoon</v>
      </c>
      <c r="G540" t="str">
        <f>_xlfn.XLOOKUP(AllData[[#This Row],[Location Name]], Locations[Location Name],Locations[Group As])</f>
        <v>Carrant Bredon Rd</v>
      </c>
      <c r="H540" t="e" vm="4">
        <f>_xlfn.XLOOKUP(AllData[[#This Row],[Site Name]],LocationsKey[Site Name],LocationsKey[District])</f>
        <v>#VALUE!</v>
      </c>
      <c r="I540" t="e" vm="4">
        <f>_xlfn.XLOOKUP(AllData[[#This Row],[Site Name]],LocationsKey[Site Name],LocationsKey[Town])</f>
        <v>#VALUE!</v>
      </c>
      <c r="J540" t="str">
        <f>_xlfn.XLOOKUP(AllData[[#This Row],[Site Name]],LocationsKey[Site Name], LocationsKey[Waterway])</f>
        <v>Carrant</v>
      </c>
      <c r="K540" t="s">
        <v>603</v>
      </c>
      <c r="L540">
        <v>51.996296999999998</v>
      </c>
      <c r="M540">
        <v>-2.15598</v>
      </c>
      <c r="N540" t="s">
        <v>25</v>
      </c>
      <c r="O540">
        <v>725</v>
      </c>
      <c r="P540">
        <v>10.1</v>
      </c>
      <c r="Q540">
        <v>3</v>
      </c>
      <c r="R540" s="107" t="str">
        <f>IF(AllData[[#This Row],[Nitrate (PPM)]]&gt;2, "Very high", IF(AllData[[#This Row],[Nitrate (PPM)]]&gt;1, "High", IF(AllData[[#This Row],[Nitrate (PPM)]]&gt;0.5, "Some evidence", IF(AllData[[#This Row],[Nitrate (PPM)]]&gt;=0, "No evidence"))))</f>
        <v>Very high</v>
      </c>
      <c r="S540">
        <v>0.28000000000000003</v>
      </c>
      <c r="T540" s="7" t="str">
        <f>IF(AllData[[#This Row],[Phosphate (PPM)]]&gt;0.5, "Very high", IF(AllData[[#This Row],[Phosphate (PPM)]]&gt;0.1, "High", IF(AllData[[#This Row],[Phosphate (PPM)]]&gt;0.05, "Some evidence", IF(AllData[[#This Row],[Phosphate (PPM)]]&lt;=0.05, "No Evidence", ""))))</f>
        <v>High</v>
      </c>
      <c r="U540">
        <v>1.1499999999999999</v>
      </c>
    </row>
    <row r="541" spans="1:22" x14ac:dyDescent="0.35">
      <c r="A541" t="s">
        <v>2719</v>
      </c>
      <c r="B541" s="143">
        <v>45647</v>
      </c>
      <c r="C541" s="2" t="str" cm="1">
        <f t="array" ref="C5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1">
        <f>YEAR(AllData[[#This Row],[Date]])</f>
        <v>2024</v>
      </c>
      <c r="E541" s="1">
        <v>0.50694444444444442</v>
      </c>
      <c r="F541" t="str">
        <f>IF(AND(AllData[[#This Row],[Time]]&lt;0.5, AllData[[#This Row],[Time]]&gt;0.17)=TRUE, "Morning", IF(AND(AllData[[#This Row],[Time]]&lt;0.75, AllData[[#This Row],[Time]]&gt;=0.5)=TRUE, "Afternoon", IF(AND(AllData[[#This Row],[Time]]&lt;1, AllData[[#This Row],[Time]]&gt;=0.75)=TRUE, "Evening", "Night")))</f>
        <v>Afternoon</v>
      </c>
      <c r="G541" t="str">
        <f>_xlfn.XLOOKUP(AllData[[#This Row],[Location Name]], Locations[Location Name],Locations[Group As])</f>
        <v>Site 2  :  Cross Leys culvert</v>
      </c>
      <c r="H541" t="e" vm="1">
        <f>_xlfn.XLOOKUP(AllData[[#This Row],[Site Name]],LocationsKey[Site Name],LocationsKey[District])</f>
        <v>#VALUE!</v>
      </c>
      <c r="I541" t="e" vm="14">
        <f>_xlfn.XLOOKUP(AllData[[#This Row],[Site Name]],LocationsKey[Site Name],LocationsKey[Town])</f>
        <v>#VALUE!</v>
      </c>
      <c r="J541" t="str">
        <f>_xlfn.XLOOKUP(AllData[[#This Row],[Site Name]],LocationsKey[Site Name], LocationsKey[Waterway])</f>
        <v>Fosseway Brook</v>
      </c>
      <c r="K541" t="s">
        <v>1951</v>
      </c>
      <c r="L541">
        <v>52.092967999999999</v>
      </c>
      <c r="M541">
        <v>-1.6862710000000001</v>
      </c>
      <c r="N541" t="s">
        <v>68</v>
      </c>
      <c r="O541">
        <v>650</v>
      </c>
      <c r="P541">
        <v>10</v>
      </c>
      <c r="Q541">
        <v>2</v>
      </c>
      <c r="R541" s="107" t="str">
        <f>IF(AllData[[#This Row],[Nitrate (PPM)]]&gt;2, "Very high", IF(AllData[[#This Row],[Nitrate (PPM)]]&gt;1, "High", IF(AllData[[#This Row],[Nitrate (PPM)]]&gt;0.5, "Some evidence", IF(AllData[[#This Row],[Nitrate (PPM)]]&gt;=0, "No evidence"))))</f>
        <v>High</v>
      </c>
      <c r="S541">
        <v>0.26</v>
      </c>
      <c r="T541" s="7" t="str">
        <f>IF(AllData[[#This Row],[Phosphate (PPM)]]&gt;0.5, "Very high", IF(AllData[[#This Row],[Phosphate (PPM)]]&gt;0.1, "High", IF(AllData[[#This Row],[Phosphate (PPM)]]&gt;0.05, "Some evidence", IF(AllData[[#This Row],[Phosphate (PPM)]]&lt;=0.05, "No Evidence", ""))))</f>
        <v>High</v>
      </c>
      <c r="U541">
        <v>0.2</v>
      </c>
    </row>
    <row r="542" spans="1:22" x14ac:dyDescent="0.35">
      <c r="A542" t="s">
        <v>2720</v>
      </c>
      <c r="B542" s="143">
        <v>45647</v>
      </c>
      <c r="C542" s="2" t="str" cm="1">
        <f t="array" ref="C5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2">
        <f>YEAR(AllData[[#This Row],[Date]])</f>
        <v>2024</v>
      </c>
      <c r="E542" s="1">
        <v>0.5</v>
      </c>
      <c r="F542" t="str">
        <f>IF(AND(AllData[[#This Row],[Time]]&lt;0.5, AllData[[#This Row],[Time]]&gt;0.17)=TRUE, "Morning", IF(AND(AllData[[#This Row],[Time]]&lt;0.75, AllData[[#This Row],[Time]]&gt;=0.5)=TRUE, "Afternoon", IF(AND(AllData[[#This Row],[Time]]&lt;1, AllData[[#This Row],[Time]]&gt;=0.75)=TRUE, "Evening", "Night")))</f>
        <v>Afternoon</v>
      </c>
      <c r="G542" t="str">
        <f>_xlfn.XLOOKUP(AllData[[#This Row],[Location Name]], Locations[Location Name],Locations[Group As])</f>
        <v>Site 1  :  Middle Street</v>
      </c>
      <c r="H542" t="e" vm="1">
        <f>_xlfn.XLOOKUP(AllData[[#This Row],[Site Name]],LocationsKey[Site Name],LocationsKey[District])</f>
        <v>#VALUE!</v>
      </c>
      <c r="I542" t="e" vm="14">
        <f>_xlfn.XLOOKUP(AllData[[#This Row],[Site Name]],LocationsKey[Site Name],LocationsKey[Town])</f>
        <v>#VALUE!</v>
      </c>
      <c r="J542" t="str">
        <f>_xlfn.XLOOKUP(AllData[[#This Row],[Site Name]],LocationsKey[Site Name], LocationsKey[Waterway])</f>
        <v>Fosseway Brook</v>
      </c>
      <c r="K542" t="s">
        <v>678</v>
      </c>
      <c r="L542">
        <v>52.090015999999999</v>
      </c>
      <c r="M542">
        <v>-1.692671</v>
      </c>
      <c r="N542" t="s">
        <v>68</v>
      </c>
      <c r="O542">
        <v>595</v>
      </c>
      <c r="P542">
        <v>8.6999999999999993</v>
      </c>
      <c r="Q542">
        <v>2</v>
      </c>
      <c r="R542" s="107" t="str">
        <f>IF(AllData[[#This Row],[Nitrate (PPM)]]&gt;2, "Very high", IF(AllData[[#This Row],[Nitrate (PPM)]]&gt;1, "High", IF(AllData[[#This Row],[Nitrate (PPM)]]&gt;0.5, "Some evidence", IF(AllData[[#This Row],[Nitrate (PPM)]]&gt;=0, "No evidence"))))</f>
        <v>High</v>
      </c>
      <c r="S542">
        <v>0.24</v>
      </c>
      <c r="T542" s="7" t="str">
        <f>IF(AllData[[#This Row],[Phosphate (PPM)]]&gt;0.5, "Very high", IF(AllData[[#This Row],[Phosphate (PPM)]]&gt;0.1, "High", IF(AllData[[#This Row],[Phosphate (PPM)]]&gt;0.05, "Some evidence", IF(AllData[[#This Row],[Phosphate (PPM)]]&lt;=0.05, "No Evidence", ""))))</f>
        <v>High</v>
      </c>
      <c r="U542">
        <v>0.05</v>
      </c>
      <c r="V542" t="s">
        <v>2721</v>
      </c>
    </row>
    <row r="543" spans="1:22" x14ac:dyDescent="0.35">
      <c r="A543" t="s">
        <v>2723</v>
      </c>
      <c r="B543" s="143">
        <v>45647</v>
      </c>
      <c r="C543" s="2" t="str" cm="1">
        <f t="array" ref="C5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3">
        <f>YEAR(AllData[[#This Row],[Date]])</f>
        <v>2024</v>
      </c>
      <c r="E543" s="1">
        <v>0.44583333333333336</v>
      </c>
      <c r="F543" t="str">
        <f>IF(AND(AllData[[#This Row],[Time]]&lt;0.5, AllData[[#This Row],[Time]]&gt;0.17)=TRUE, "Morning", IF(AND(AllData[[#This Row],[Time]]&lt;0.75, AllData[[#This Row],[Time]]&gt;=0.5)=TRUE, "Afternoon", IF(AND(AllData[[#This Row],[Time]]&lt;1, AllData[[#This Row],[Time]]&gt;=0.75)=TRUE, "Evening", "Night")))</f>
        <v>Morning</v>
      </c>
      <c r="G543" t="str">
        <f>_xlfn.XLOOKUP(AllData[[#This Row],[Location Name]], Locations[Location Name],Locations[Group As])</f>
        <v>Stour Shipston Mill Bridge</v>
      </c>
      <c r="H543" t="e" vm="1">
        <f>_xlfn.XLOOKUP(AllData[[#This Row],[Site Name]],LocationsKey[Site Name],LocationsKey[District])</f>
        <v>#VALUE!</v>
      </c>
      <c r="I543" t="e" vm="15">
        <f>_xlfn.XLOOKUP(AllData[[#This Row],[Site Name]],LocationsKey[Site Name],LocationsKey[Town])</f>
        <v>#VALUE!</v>
      </c>
      <c r="J543" t="str">
        <f>_xlfn.XLOOKUP(AllData[[#This Row],[Site Name]],LocationsKey[Site Name], LocationsKey[Waterway])</f>
        <v>Stour</v>
      </c>
      <c r="K543" t="s">
        <v>2006</v>
      </c>
      <c r="L543">
        <v>52.062333000000002</v>
      </c>
      <c r="M543">
        <v>-1.6228579999999999</v>
      </c>
      <c r="O543">
        <v>50.3</v>
      </c>
      <c r="P543">
        <v>10.1</v>
      </c>
      <c r="Q543">
        <v>2</v>
      </c>
      <c r="R543" s="107" t="str">
        <f>IF(AllData[[#This Row],[Nitrate (PPM)]]&gt;2, "Very high", IF(AllData[[#This Row],[Nitrate (PPM)]]&gt;1, "High", IF(AllData[[#This Row],[Nitrate (PPM)]]&gt;0.5, "Some evidence", IF(AllData[[#This Row],[Nitrate (PPM)]]&gt;=0, "No evidence"))))</f>
        <v>High</v>
      </c>
      <c r="S543">
        <v>0.31</v>
      </c>
      <c r="T543" s="7" t="str">
        <f>IF(AllData[[#This Row],[Phosphate (PPM)]]&gt;0.5, "Very high", IF(AllData[[#This Row],[Phosphate (PPM)]]&gt;0.1, "High", IF(AllData[[#This Row],[Phosphate (PPM)]]&gt;0.05, "Some evidence", IF(AllData[[#This Row],[Phosphate (PPM)]]&lt;=0.05, "No Evidence", ""))))</f>
        <v>High</v>
      </c>
      <c r="U543">
        <v>0.85</v>
      </c>
      <c r="V543" t="s">
        <v>2724</v>
      </c>
    </row>
    <row r="544" spans="1:22" x14ac:dyDescent="0.35">
      <c r="A544" t="s">
        <v>2712</v>
      </c>
      <c r="B544" s="143">
        <v>45646</v>
      </c>
      <c r="C544" s="2" t="str" cm="1">
        <f t="array" ref="C5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4">
        <f>YEAR(AllData[[#This Row],[Date]])</f>
        <v>2024</v>
      </c>
      <c r="E544" s="1">
        <v>0.6</v>
      </c>
      <c r="F544" t="str">
        <f>IF(AND(AllData[[#This Row],[Time]]&lt;0.5, AllData[[#This Row],[Time]]&gt;0.17)=TRUE, "Morning", IF(AND(AllData[[#This Row],[Time]]&lt;0.75, AllData[[#This Row],[Time]]&gt;=0.5)=TRUE, "Afternoon", IF(AND(AllData[[#This Row],[Time]]&lt;1, AllData[[#This Row],[Time]]&gt;=0.75)=TRUE, "Evening", "Night")))</f>
        <v>Afternoon</v>
      </c>
      <c r="G544" t="str">
        <f>_xlfn.XLOOKUP(AllData[[#This Row],[Location Name]], Locations[Location Name],Locations[Group As])</f>
        <v>Carrant Back Lane Beckford</v>
      </c>
      <c r="H544" t="e" vm="4">
        <f>_xlfn.XLOOKUP(AllData[[#This Row],[Site Name]],LocationsKey[Site Name],LocationsKey[District])</f>
        <v>#VALUE!</v>
      </c>
      <c r="I544" t="str">
        <f>_xlfn.XLOOKUP(AllData[[#This Row],[Site Name]],LocationsKey[Site Name],LocationsKey[Town])</f>
        <v>Beckford</v>
      </c>
      <c r="J544" t="str">
        <f>_xlfn.XLOOKUP(AllData[[#This Row],[Site Name]],LocationsKey[Site Name], LocationsKey[Waterway])</f>
        <v>Carrant</v>
      </c>
      <c r="K544" t="s">
        <v>1736</v>
      </c>
      <c r="L544">
        <v>52.018428999999998</v>
      </c>
      <c r="M544">
        <v>-2.0387759999999999</v>
      </c>
      <c r="N544" t="s">
        <v>68</v>
      </c>
      <c r="O544">
        <v>619</v>
      </c>
      <c r="P544">
        <v>9.5</v>
      </c>
      <c r="Q544">
        <v>7</v>
      </c>
      <c r="R544" s="107" t="str">
        <f>IF(AllData[[#This Row],[Nitrate (PPM)]]&gt;2, "Very high", IF(AllData[[#This Row],[Nitrate (PPM)]]&gt;1, "High", IF(AllData[[#This Row],[Nitrate (PPM)]]&gt;0.5, "Some evidence", IF(AllData[[#This Row],[Nitrate (PPM)]]&gt;=0, "No evidence"))))</f>
        <v>Very high</v>
      </c>
      <c r="S544">
        <v>0.15</v>
      </c>
      <c r="T544" s="7" t="str">
        <f>IF(AllData[[#This Row],[Phosphate (PPM)]]&gt;0.5, "Very high", IF(AllData[[#This Row],[Phosphate (PPM)]]&gt;0.1, "High", IF(AllData[[#This Row],[Phosphate (PPM)]]&gt;0.05, "Some evidence", IF(AllData[[#This Row],[Phosphate (PPM)]]&lt;=0.05, "No Evidence", ""))))</f>
        <v>High</v>
      </c>
      <c r="U544">
        <v>0.52</v>
      </c>
      <c r="V544" t="s">
        <v>2713</v>
      </c>
    </row>
    <row r="545" spans="1:22" x14ac:dyDescent="0.35">
      <c r="A545" t="s">
        <v>2711</v>
      </c>
      <c r="B545" s="143">
        <v>45645</v>
      </c>
      <c r="C545" s="2" t="str" cm="1">
        <f t="array" ref="C5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5">
        <f>YEAR(AllData[[#This Row],[Date]])</f>
        <v>2024</v>
      </c>
      <c r="E545" s="1">
        <v>0.48472222222222222</v>
      </c>
      <c r="F545" t="str">
        <f>IF(AND(AllData[[#This Row],[Time]]&lt;0.5, AllData[[#This Row],[Time]]&gt;0.17)=TRUE, "Morning", IF(AND(AllData[[#This Row],[Time]]&lt;0.75, AllData[[#This Row],[Time]]&gt;=0.5)=TRUE, "Afternoon", IF(AND(AllData[[#This Row],[Time]]&lt;1, AllData[[#This Row],[Time]]&gt;=0.75)=TRUE, "Evening", "Night")))</f>
        <v>Morning</v>
      </c>
      <c r="G545" t="str">
        <f>_xlfn.XLOOKUP(AllData[[#This Row],[Location Name]], Locations[Location Name],Locations[Group As])</f>
        <v>Twyning Fleet</v>
      </c>
      <c r="H545" t="e" vm="4">
        <f>_xlfn.XLOOKUP(AllData[[#This Row],[Site Name]],LocationsKey[Site Name],LocationsKey[District])</f>
        <v>#VALUE!</v>
      </c>
      <c r="I545" t="str">
        <f>_xlfn.XLOOKUP(AllData[[#This Row],[Site Name]],LocationsKey[Site Name],LocationsKey[Town])</f>
        <v>Twyning Green</v>
      </c>
      <c r="J545" t="str">
        <f>_xlfn.XLOOKUP(AllData[[#This Row],[Site Name]],LocationsKey[Site Name], LocationsKey[Waterway])</f>
        <v>Avon</v>
      </c>
      <c r="K545" t="s">
        <v>2181</v>
      </c>
      <c r="L545">
        <v>52.027115000000002</v>
      </c>
      <c r="M545">
        <v>-2.1406179999999999</v>
      </c>
      <c r="O545">
        <v>766</v>
      </c>
      <c r="P545">
        <v>9.4</v>
      </c>
      <c r="Q545">
        <v>9</v>
      </c>
      <c r="R545" s="107" t="str">
        <f>IF(AllData[[#This Row],[Nitrate (PPM)]]&gt;2, "Very high", IF(AllData[[#This Row],[Nitrate (PPM)]]&gt;1, "High", IF(AllData[[#This Row],[Nitrate (PPM)]]&gt;0.5, "Some evidence", IF(AllData[[#This Row],[Nitrate (PPM)]]&gt;=0, "No evidence"))))</f>
        <v>Very high</v>
      </c>
      <c r="S545">
        <v>0.14000000000000001</v>
      </c>
      <c r="T545" s="7" t="str">
        <f>IF(AllData[[#This Row],[Phosphate (PPM)]]&gt;0.5, "Very high", IF(AllData[[#This Row],[Phosphate (PPM)]]&gt;0.1, "High", IF(AllData[[#This Row],[Phosphate (PPM)]]&gt;0.05, "Some evidence", IF(AllData[[#This Row],[Phosphate (PPM)]]&lt;=0.05, "No Evidence", ""))))</f>
        <v>High</v>
      </c>
      <c r="U545">
        <v>0.5</v>
      </c>
    </row>
    <row r="546" spans="1:22" x14ac:dyDescent="0.35">
      <c r="A546" t="s">
        <v>2710</v>
      </c>
      <c r="B546" s="143">
        <v>45645</v>
      </c>
      <c r="C546" s="2" t="str" cm="1">
        <f t="array" ref="C5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6">
        <f>YEAR(AllData[[#This Row],[Date]])</f>
        <v>2024</v>
      </c>
      <c r="E546" s="1">
        <v>0.41666666666666669</v>
      </c>
      <c r="F546" t="str">
        <f>IF(AND(AllData[[#This Row],[Time]]&lt;0.5, AllData[[#This Row],[Time]]&gt;0.17)=TRUE, "Morning", IF(AND(AllData[[#This Row],[Time]]&lt;0.75, AllData[[#This Row],[Time]]&gt;=0.5)=TRUE, "Afternoon", IF(AND(AllData[[#This Row],[Time]]&lt;1, AllData[[#This Row],[Time]]&gt;=0.75)=TRUE, "Evening", "Night")))</f>
        <v>Morning</v>
      </c>
      <c r="G546" t="str">
        <f>_xlfn.XLOOKUP(AllData[[#This Row],[Location Name]], Locations[Location Name],Locations[Group As])</f>
        <v>Swilgate</v>
      </c>
      <c r="H546" t="e" vm="4">
        <f>_xlfn.XLOOKUP(AllData[[#This Row],[Site Name]],LocationsKey[Site Name],LocationsKey[District])</f>
        <v>#VALUE!</v>
      </c>
      <c r="I546" t="e" vm="4">
        <f>_xlfn.XLOOKUP(AllData[[#This Row],[Site Name]],LocationsKey[Site Name],LocationsKey[Town])</f>
        <v>#VALUE!</v>
      </c>
      <c r="J546" t="str">
        <f>_xlfn.XLOOKUP(AllData[[#This Row],[Site Name]],LocationsKey[Site Name], LocationsKey[Waterway])</f>
        <v>Swilgate</v>
      </c>
      <c r="K546" t="s">
        <v>85</v>
      </c>
      <c r="N546" t="s">
        <v>25</v>
      </c>
      <c r="O546">
        <v>496</v>
      </c>
      <c r="P546">
        <v>8.1</v>
      </c>
      <c r="Q546">
        <v>3</v>
      </c>
      <c r="R546" s="107" t="str">
        <f>IF(AllData[[#This Row],[Nitrate (PPM)]]&gt;2, "Very high", IF(AllData[[#This Row],[Nitrate (PPM)]]&gt;1, "High", IF(AllData[[#This Row],[Nitrate (PPM)]]&gt;0.5, "Some evidence", IF(AllData[[#This Row],[Nitrate (PPM)]]&gt;=0, "No evidence"))))</f>
        <v>Very high</v>
      </c>
      <c r="S546">
        <v>0.34</v>
      </c>
      <c r="T546" s="7" t="str">
        <f>IF(AllData[[#This Row],[Phosphate (PPM)]]&gt;0.5, "Very high", IF(AllData[[#This Row],[Phosphate (PPM)]]&gt;0.1, "High", IF(AllData[[#This Row],[Phosphate (PPM)]]&gt;0.05, "Some evidence", IF(AllData[[#This Row],[Phosphate (PPM)]]&lt;=0.05, "No Evidence", ""))))</f>
        <v>High</v>
      </c>
      <c r="U546">
        <v>0.5</v>
      </c>
    </row>
    <row r="547" spans="1:22" x14ac:dyDescent="0.35">
      <c r="A547" t="s">
        <v>2707</v>
      </c>
      <c r="B547" s="143">
        <v>45644</v>
      </c>
      <c r="C547" s="2" t="str" cm="1">
        <f t="array" ref="C5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7">
        <f>YEAR(AllData[[#This Row],[Date]])</f>
        <v>2024</v>
      </c>
      <c r="E547" s="1">
        <v>0.65833333333333333</v>
      </c>
      <c r="F547" t="str">
        <f>IF(AND(AllData[[#This Row],[Time]]&lt;0.5, AllData[[#This Row],[Time]]&gt;0.17)=TRUE, "Morning", IF(AND(AllData[[#This Row],[Time]]&lt;0.75, AllData[[#This Row],[Time]]&gt;=0.5)=TRUE, "Afternoon", IF(AND(AllData[[#This Row],[Time]]&lt;1, AllData[[#This Row],[Time]]&gt;=0.75)=TRUE, "Evening", "Night")))</f>
        <v>Afternoon</v>
      </c>
      <c r="G547" t="str">
        <f>_xlfn.XLOOKUP(AllData[[#This Row],[Location Name]], Locations[Location Name],Locations[Group As])</f>
        <v>Swiffen Bank</v>
      </c>
      <c r="H547" t="e" vm="1">
        <f>_xlfn.XLOOKUP(AllData[[#This Row],[Site Name]],LocationsKey[Site Name],LocationsKey[District])</f>
        <v>#VALUE!</v>
      </c>
      <c r="I547" t="e" vm="2">
        <f>_xlfn.XLOOKUP(AllData[[#This Row],[Site Name]],LocationsKey[Site Name],LocationsKey[Town])</f>
        <v>#VALUE!</v>
      </c>
      <c r="J547" t="str">
        <f>_xlfn.XLOOKUP(AllData[[#This Row],[Site Name]],LocationsKey[Site Name], LocationsKey[Waterway])</f>
        <v>Avon</v>
      </c>
      <c r="K547" t="s">
        <v>286</v>
      </c>
      <c r="L547">
        <v>52.206477999999997</v>
      </c>
      <c r="M547">
        <v>-1.653894</v>
      </c>
      <c r="N547" t="s">
        <v>31</v>
      </c>
      <c r="O547">
        <v>613</v>
      </c>
      <c r="P547">
        <v>12</v>
      </c>
      <c r="Q547">
        <v>10</v>
      </c>
      <c r="R547" s="107" t="str">
        <f>IF(AllData[[#This Row],[Nitrate (PPM)]]&gt;2, "Very high", IF(AllData[[#This Row],[Nitrate (PPM)]]&gt;1, "High", IF(AllData[[#This Row],[Nitrate (PPM)]]&gt;0.5, "Some evidence", IF(AllData[[#This Row],[Nitrate (PPM)]]&gt;=0, "No evidence"))))</f>
        <v>Very high</v>
      </c>
      <c r="S547">
        <v>0.46</v>
      </c>
      <c r="T547" s="7" t="str">
        <f>IF(AllData[[#This Row],[Phosphate (PPM)]]&gt;0.5, "Very high", IF(AllData[[#This Row],[Phosphate (PPM)]]&gt;0.1, "High", IF(AllData[[#This Row],[Phosphate (PPM)]]&gt;0.05, "Some evidence", IF(AllData[[#This Row],[Phosphate (PPM)]]&lt;=0.05, "No Evidence", ""))))</f>
        <v>High</v>
      </c>
      <c r="U547">
        <v>0</v>
      </c>
      <c r="V547" t="s">
        <v>2708</v>
      </c>
    </row>
    <row r="548" spans="1:22" x14ac:dyDescent="0.35">
      <c r="A548" t="s">
        <v>2709</v>
      </c>
      <c r="B548" s="143">
        <v>45644</v>
      </c>
      <c r="C548" s="2" t="str" cm="1">
        <f t="array" ref="C5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8">
        <f>YEAR(AllData[[#This Row],[Date]])</f>
        <v>2024</v>
      </c>
      <c r="E548" s="1">
        <v>0.5083333333333333</v>
      </c>
      <c r="F548" t="str">
        <f>IF(AND(AllData[[#This Row],[Time]]&lt;0.5, AllData[[#This Row],[Time]]&gt;0.17)=TRUE, "Morning", IF(AND(AllData[[#This Row],[Time]]&lt;0.75, AllData[[#This Row],[Time]]&gt;=0.5)=TRUE, "Afternoon", IF(AND(AllData[[#This Row],[Time]]&lt;1, AllData[[#This Row],[Time]]&gt;=0.75)=TRUE, "Evening", "Night")))</f>
        <v>Afternoon</v>
      </c>
      <c r="G548" t="str">
        <f>_xlfn.XLOOKUP(AllData[[#This Row],[Location Name]], Locations[Location Name],Locations[Group As])</f>
        <v>SSC Bredons Norton</v>
      </c>
      <c r="H548" t="e" vm="6">
        <f>_xlfn.XLOOKUP(AllData[[#This Row],[Site Name]],LocationsKey[Site Name],LocationsKey[District])</f>
        <v>#VALUE!</v>
      </c>
      <c r="I548" t="str">
        <f>_xlfn.XLOOKUP(AllData[[#This Row],[Site Name]],LocationsKey[Site Name],LocationsKey[Town])</f>
        <v>Bredon's Norton</v>
      </c>
      <c r="J548" t="str">
        <f>_xlfn.XLOOKUP(AllData[[#This Row],[Site Name]],LocationsKey[Site Name], LocationsKey[Waterway])</f>
        <v>Avon</v>
      </c>
      <c r="K548" t="s">
        <v>2121</v>
      </c>
      <c r="L548">
        <v>52.050882000000001</v>
      </c>
      <c r="M548">
        <v>-2.1171150000000001</v>
      </c>
      <c r="N548" t="s">
        <v>25</v>
      </c>
      <c r="O548">
        <v>781</v>
      </c>
      <c r="P548">
        <v>10.5</v>
      </c>
      <c r="Q548">
        <v>5</v>
      </c>
      <c r="R548" s="107" t="str">
        <f>IF(AllData[[#This Row],[Nitrate (PPM)]]&gt;2, "Very high", IF(AllData[[#This Row],[Nitrate (PPM)]]&gt;1, "High", IF(AllData[[#This Row],[Nitrate (PPM)]]&gt;0.5, "Some evidence", IF(AllData[[#This Row],[Nitrate (PPM)]]&gt;=0, "No evidence"))))</f>
        <v>Very high</v>
      </c>
      <c r="S548">
        <v>0.5</v>
      </c>
      <c r="T548" s="7" t="str">
        <f>IF(AllData[[#This Row],[Phosphate (PPM)]]&gt;0.5, "Very high", IF(AllData[[#This Row],[Phosphate (PPM)]]&gt;0.1, "High", IF(AllData[[#This Row],[Phosphate (PPM)]]&gt;0.05, "Some evidence", IF(AllData[[#This Row],[Phosphate (PPM)]]&lt;=0.05, "No Evidence", ""))))</f>
        <v>High</v>
      </c>
      <c r="U548">
        <v>1</v>
      </c>
    </row>
    <row r="549" spans="1:22" x14ac:dyDescent="0.35">
      <c r="A549" t="s">
        <v>2706</v>
      </c>
      <c r="B549" s="143">
        <v>45643</v>
      </c>
      <c r="C549" s="2" t="str" cm="1">
        <f t="array" ref="C5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49">
        <f>YEAR(AllData[[#This Row],[Date]])</f>
        <v>2024</v>
      </c>
      <c r="E549" s="1">
        <v>0.67986111111111114</v>
      </c>
      <c r="F549" t="str">
        <f>IF(AND(AllData[[#This Row],[Time]]&lt;0.5, AllData[[#This Row],[Time]]&gt;0.17)=TRUE, "Morning", IF(AND(AllData[[#This Row],[Time]]&lt;0.75, AllData[[#This Row],[Time]]&gt;=0.5)=TRUE, "Afternoon", IF(AND(AllData[[#This Row],[Time]]&lt;1, AllData[[#This Row],[Time]]&gt;=0.75)=TRUE, "Evening", "Night")))</f>
        <v>Afternoon</v>
      </c>
      <c r="G549" t="str">
        <f>_xlfn.XLOOKUP(AllData[[#This Row],[Location Name]], Locations[Location Name],Locations[Group As])</f>
        <v>School Lane</v>
      </c>
      <c r="H549" t="e" vm="1">
        <f>_xlfn.XLOOKUP(AllData[[#This Row],[Site Name]],LocationsKey[Site Name],LocationsKey[District])</f>
        <v>#VALUE!</v>
      </c>
      <c r="I549" t="e" vm="3">
        <f>_xlfn.XLOOKUP(AllData[[#This Row],[Site Name]],LocationsKey[Site Name],LocationsKey[Town])</f>
        <v>#VALUE!</v>
      </c>
      <c r="J549" t="str">
        <f>_xlfn.XLOOKUP(AllData[[#This Row],[Site Name]],LocationsKey[Site Name], LocationsKey[Waterway])</f>
        <v>Avon</v>
      </c>
      <c r="K549" t="s">
        <v>2212</v>
      </c>
      <c r="L549">
        <v>52.202367000000002</v>
      </c>
      <c r="M549">
        <v>-1.6788050000000001</v>
      </c>
      <c r="N549" t="s">
        <v>31</v>
      </c>
      <c r="O549">
        <v>810</v>
      </c>
      <c r="P549">
        <v>9.5</v>
      </c>
      <c r="Q549">
        <v>10</v>
      </c>
      <c r="R549" s="107" t="str">
        <f>IF(AllData[[#This Row],[Nitrate (PPM)]]&gt;2, "Very high", IF(AllData[[#This Row],[Nitrate (PPM)]]&gt;1, "High", IF(AllData[[#This Row],[Nitrate (PPM)]]&gt;0.5, "Some evidence", IF(AllData[[#This Row],[Nitrate (PPM)]]&gt;=0, "No evidence"))))</f>
        <v>Very high</v>
      </c>
      <c r="S549">
        <v>0.48</v>
      </c>
      <c r="T549" s="7" t="str">
        <f>IF(AllData[[#This Row],[Phosphate (PPM)]]&gt;0.5, "Very high", IF(AllData[[#This Row],[Phosphate (PPM)]]&gt;0.1, "High", IF(AllData[[#This Row],[Phosphate (PPM)]]&gt;0.05, "Some evidence", IF(AllData[[#This Row],[Phosphate (PPM)]]&lt;=0.05, "No Evidence", ""))))</f>
        <v>High</v>
      </c>
      <c r="U549">
        <v>0.77</v>
      </c>
    </row>
    <row r="550" spans="1:22" x14ac:dyDescent="0.35">
      <c r="A550" t="s">
        <v>2702</v>
      </c>
      <c r="B550" s="143">
        <v>45643</v>
      </c>
      <c r="C550" s="2" t="str" cm="1">
        <f t="array" ref="C5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0">
        <f>YEAR(AllData[[#This Row],[Date]])</f>
        <v>2024</v>
      </c>
      <c r="E550" s="1">
        <v>0.68263888888888891</v>
      </c>
      <c r="F550" t="str">
        <f>IF(AND(AllData[[#This Row],[Time]]&lt;0.5, AllData[[#This Row],[Time]]&gt;0.17)=TRUE, "Morning", IF(AND(AllData[[#This Row],[Time]]&lt;0.75, AllData[[#This Row],[Time]]&gt;=0.5)=TRUE, "Afternoon", IF(AND(AllData[[#This Row],[Time]]&lt;1, AllData[[#This Row],[Time]]&gt;=0.75)=TRUE, "Evening", "Night")))</f>
        <v>Afternoon</v>
      </c>
      <c r="G550" t="str">
        <f>_xlfn.XLOOKUP(AllData[[#This Row],[Location Name]], Locations[Location Name],Locations[Group As])</f>
        <v>Carters Lane</v>
      </c>
      <c r="H550" t="e" vm="1">
        <f>_xlfn.XLOOKUP(AllData[[#This Row],[Site Name]],LocationsKey[Site Name],LocationsKey[District])</f>
        <v>#VALUE!</v>
      </c>
      <c r="I550" t="e" vm="3">
        <f>_xlfn.XLOOKUP(AllData[[#This Row],[Site Name]],LocationsKey[Site Name],LocationsKey[Town])</f>
        <v>#VALUE!</v>
      </c>
      <c r="J550" t="str">
        <f>_xlfn.XLOOKUP(AllData[[#This Row],[Site Name]],LocationsKey[Site Name], LocationsKey[Waterway])</f>
        <v>Avon</v>
      </c>
      <c r="K550" t="s">
        <v>2520</v>
      </c>
      <c r="L550">
        <v>52.202452000000001</v>
      </c>
      <c r="M550">
        <v>-1.6787939999999999</v>
      </c>
      <c r="N550" t="s">
        <v>68</v>
      </c>
      <c r="O550">
        <v>803</v>
      </c>
      <c r="P550">
        <v>9.6999999999999993</v>
      </c>
      <c r="Q550">
        <v>10</v>
      </c>
      <c r="R550" s="107" t="str">
        <f>IF(AllData[[#This Row],[Nitrate (PPM)]]&gt;2, "Very high", IF(AllData[[#This Row],[Nitrate (PPM)]]&gt;1, "High", IF(AllData[[#This Row],[Nitrate (PPM)]]&gt;0.5, "Some evidence", IF(AllData[[#This Row],[Nitrate (PPM)]]&gt;=0, "No evidence"))))</f>
        <v>Very high</v>
      </c>
      <c r="S550">
        <v>0.52</v>
      </c>
      <c r="T550" s="7" t="str">
        <f>IF(AllData[[#This Row],[Phosphate (PPM)]]&gt;0.5, "Very high", IF(AllData[[#This Row],[Phosphate (PPM)]]&gt;0.1, "High", IF(AllData[[#This Row],[Phosphate (PPM)]]&gt;0.05, "Some evidence", IF(AllData[[#This Row],[Phosphate (PPM)]]&lt;=0.05, "No Evidence", ""))))</f>
        <v>Very high</v>
      </c>
      <c r="U550">
        <v>0.77</v>
      </c>
    </row>
    <row r="551" spans="1:22" x14ac:dyDescent="0.35">
      <c r="A551" t="s">
        <v>2703</v>
      </c>
      <c r="B551" s="143">
        <v>45643</v>
      </c>
      <c r="C551" s="2" t="str" cm="1">
        <f t="array" ref="C5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1">
        <f>YEAR(AllData[[#This Row],[Date]])</f>
        <v>2024</v>
      </c>
      <c r="E551" s="1">
        <v>0.52986111111111112</v>
      </c>
      <c r="F551" t="str">
        <f>IF(AND(AllData[[#This Row],[Time]]&lt;0.5, AllData[[#This Row],[Time]]&gt;0.17)=TRUE, "Morning", IF(AND(AllData[[#This Row],[Time]]&lt;0.75, AllData[[#This Row],[Time]]&gt;=0.5)=TRUE, "Afternoon", IF(AND(AllData[[#This Row],[Time]]&lt;1, AllData[[#This Row],[Time]]&gt;=0.75)=TRUE, "Evening", "Night")))</f>
        <v>Afternoon</v>
      </c>
      <c r="G551" t="str">
        <f>_xlfn.XLOOKUP(AllData[[#This Row],[Location Name]], Locations[Location Name],Locations[Group As])</f>
        <v>New Barn Farm Brailes</v>
      </c>
      <c r="H551" t="e" vm="1">
        <f>_xlfn.XLOOKUP(AllData[[#This Row],[Site Name]],LocationsKey[Site Name],LocationsKey[District])</f>
        <v>#VALUE!</v>
      </c>
      <c r="I551" t="e" vm="5">
        <f>_xlfn.XLOOKUP(AllData[[#This Row],[Site Name]],LocationsKey[Site Name],LocationsKey[Town])</f>
        <v>#VALUE!</v>
      </c>
      <c r="J551" t="str">
        <f>_xlfn.XLOOKUP(AllData[[#This Row],[Site Name]],LocationsKey[Site Name], LocationsKey[Waterway])</f>
        <v>Sutton Brook</v>
      </c>
      <c r="K551" t="s">
        <v>2704</v>
      </c>
      <c r="L551">
        <v>52.052826000000003</v>
      </c>
      <c r="M551">
        <v>-1.548573</v>
      </c>
      <c r="N551" t="s">
        <v>31</v>
      </c>
      <c r="O551">
        <v>582</v>
      </c>
      <c r="P551">
        <v>10.7</v>
      </c>
      <c r="Q551">
        <v>6</v>
      </c>
      <c r="R551" s="107" t="str">
        <f>IF(AllData[[#This Row],[Nitrate (PPM)]]&gt;2, "Very high", IF(AllData[[#This Row],[Nitrate (PPM)]]&gt;1, "High", IF(AllData[[#This Row],[Nitrate (PPM)]]&gt;0.5, "Some evidence", IF(AllData[[#This Row],[Nitrate (PPM)]]&gt;=0, "No evidence"))))</f>
        <v>Very high</v>
      </c>
      <c r="S551">
        <v>0.35</v>
      </c>
      <c r="T551" s="7" t="str">
        <f>IF(AllData[[#This Row],[Phosphate (PPM)]]&gt;0.5, "Very high", IF(AllData[[#This Row],[Phosphate (PPM)]]&gt;0.1, "High", IF(AllData[[#This Row],[Phosphate (PPM)]]&gt;0.05, "Some evidence", IF(AllData[[#This Row],[Phosphate (PPM)]]&lt;=0.05, "No Evidence", ""))))</f>
        <v>High</v>
      </c>
      <c r="U551">
        <v>0.25</v>
      </c>
      <c r="V551" t="s">
        <v>2705</v>
      </c>
    </row>
    <row r="552" spans="1:22" x14ac:dyDescent="0.35">
      <c r="A552" t="s">
        <v>2699</v>
      </c>
      <c r="B552" s="143">
        <v>45643</v>
      </c>
      <c r="C552" s="2" t="str" cm="1">
        <f t="array" ref="C5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2">
        <f>YEAR(AllData[[#This Row],[Date]])</f>
        <v>2024</v>
      </c>
      <c r="E552" s="1">
        <v>0.50069444444444444</v>
      </c>
      <c r="F552" t="str">
        <f>IF(AND(AllData[[#This Row],[Time]]&lt;0.5, AllData[[#This Row],[Time]]&gt;0.17)=TRUE, "Morning", IF(AND(AllData[[#This Row],[Time]]&lt;0.75, AllData[[#This Row],[Time]]&gt;=0.5)=TRUE, "Afternoon", IF(AND(AllData[[#This Row],[Time]]&lt;1, AllData[[#This Row],[Time]]&gt;=0.75)=TRUE, "Evening", "Night")))</f>
        <v>Afternoon</v>
      </c>
      <c r="G552" t="str">
        <f>_xlfn.XLOOKUP(AllData[[#This Row],[Location Name]], Locations[Location Name],Locations[Group As])</f>
        <v>High Street Brailes</v>
      </c>
      <c r="H552" t="e" vm="1">
        <f>_xlfn.XLOOKUP(AllData[[#This Row],[Site Name]],LocationsKey[Site Name],LocationsKey[District])</f>
        <v>#VALUE!</v>
      </c>
      <c r="I552" t="e" vm="5">
        <f>_xlfn.XLOOKUP(AllData[[#This Row],[Site Name]],LocationsKey[Site Name],LocationsKey[Town])</f>
        <v>#VALUE!</v>
      </c>
      <c r="J552" t="str">
        <f>_xlfn.XLOOKUP(AllData[[#This Row],[Site Name]],LocationsKey[Site Name], LocationsKey[Waterway])</f>
        <v>Sutton Brook</v>
      </c>
      <c r="K552" t="s">
        <v>2700</v>
      </c>
      <c r="L552">
        <v>52.050778000000001</v>
      </c>
      <c r="M552">
        <v>-1.54583</v>
      </c>
      <c r="N552" t="s">
        <v>68</v>
      </c>
      <c r="O552">
        <v>574</v>
      </c>
      <c r="P552">
        <v>9.4</v>
      </c>
      <c r="R552" s="107" t="str">
        <f>IF(AllData[[#This Row],[Nitrate (PPM)]]&gt;2, "Very high", IF(AllData[[#This Row],[Nitrate (PPM)]]&gt;1, "High", IF(AllData[[#This Row],[Nitrate (PPM)]]&gt;0.5, "Some evidence", IF(AllData[[#This Row],[Nitrate (PPM)]]&gt;=0, "No evidence"))))</f>
        <v>No evidence</v>
      </c>
      <c r="S552">
        <v>0.04</v>
      </c>
      <c r="T552" s="7" t="str">
        <f>IF(AllData[[#This Row],[Phosphate (PPM)]]&gt;0.5, "Very high", IF(AllData[[#This Row],[Phosphate (PPM)]]&gt;0.1, "High", IF(AllData[[#This Row],[Phosphate (PPM)]]&gt;0.05, "Some evidence", IF(AllData[[#This Row],[Phosphate (PPM)]]&lt;=0.05, "No Evidence", ""))))</f>
        <v>No Evidence</v>
      </c>
      <c r="U552">
        <v>20</v>
      </c>
      <c r="V552" t="s">
        <v>2701</v>
      </c>
    </row>
    <row r="553" spans="1:22" x14ac:dyDescent="0.35">
      <c r="A553" t="s">
        <v>2696</v>
      </c>
      <c r="B553" s="143">
        <v>45642</v>
      </c>
      <c r="C553" s="2" t="str" cm="1">
        <f t="array" ref="C5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3">
        <f>YEAR(AllData[[#This Row],[Date]])</f>
        <v>2024</v>
      </c>
      <c r="E553" s="1">
        <v>0.66111111111111109</v>
      </c>
      <c r="F553" t="str">
        <f>IF(AND(AllData[[#This Row],[Time]]&lt;0.5, AllData[[#This Row],[Time]]&gt;0.17)=TRUE, "Morning", IF(AND(AllData[[#This Row],[Time]]&lt;0.75, AllData[[#This Row],[Time]]&gt;=0.5)=TRUE, "Afternoon", IF(AND(AllData[[#This Row],[Time]]&lt;1, AllData[[#This Row],[Time]]&gt;=0.75)=TRUE, "Evening", "Night")))</f>
        <v>Afternoon</v>
      </c>
      <c r="G553" t="str">
        <f>_xlfn.XLOOKUP(AllData[[#This Row],[Location Name]], Locations[Location Name],Locations[Group As])</f>
        <v>Black Bear</v>
      </c>
      <c r="H553" t="e" vm="4">
        <f>_xlfn.XLOOKUP(AllData[[#This Row],[Site Name]],LocationsKey[Site Name],LocationsKey[District])</f>
        <v>#VALUE!</v>
      </c>
      <c r="I553" t="e" vm="4">
        <f>_xlfn.XLOOKUP(AllData[[#This Row],[Site Name]],LocationsKey[Site Name],LocationsKey[Town])</f>
        <v>#VALUE!</v>
      </c>
      <c r="J553" t="str">
        <f>_xlfn.XLOOKUP(AllData[[#This Row],[Site Name]],LocationsKey[Site Name], LocationsKey[Waterway])</f>
        <v>Avon</v>
      </c>
      <c r="K553" t="s">
        <v>1175</v>
      </c>
      <c r="L553">
        <v>51.997543</v>
      </c>
      <c r="M553">
        <v>-2.1559740000000001</v>
      </c>
      <c r="N553" t="s">
        <v>25</v>
      </c>
      <c r="O553">
        <v>725</v>
      </c>
      <c r="P553">
        <v>10.3</v>
      </c>
      <c r="Q553">
        <v>5</v>
      </c>
      <c r="R553" s="107" t="str">
        <f>IF(AllData[[#This Row],[Nitrate (PPM)]]&gt;2, "Very high", IF(AllData[[#This Row],[Nitrate (PPM)]]&gt;1, "High", IF(AllData[[#This Row],[Nitrate (PPM)]]&gt;0.5, "Some evidence", IF(AllData[[#This Row],[Nitrate (PPM)]]&gt;=0, "No evidence"))))</f>
        <v>Very high</v>
      </c>
      <c r="S553">
        <v>0.37</v>
      </c>
      <c r="T553" s="7" t="str">
        <f>IF(AllData[[#This Row],[Phosphate (PPM)]]&gt;0.5, "Very high", IF(AllData[[#This Row],[Phosphate (PPM)]]&gt;0.1, "High", IF(AllData[[#This Row],[Phosphate (PPM)]]&gt;0.05, "Some evidence", IF(AllData[[#This Row],[Phosphate (PPM)]]&lt;=0.05, "No Evidence", ""))))</f>
        <v>High</v>
      </c>
      <c r="U553">
        <v>0</v>
      </c>
    </row>
    <row r="554" spans="1:22" x14ac:dyDescent="0.35">
      <c r="A554" t="s">
        <v>2695</v>
      </c>
      <c r="B554" s="143">
        <v>45642</v>
      </c>
      <c r="C554" s="2" t="str" cm="1">
        <f t="array" ref="C5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4">
        <f>YEAR(AllData[[#This Row],[Date]])</f>
        <v>2024</v>
      </c>
      <c r="E554" s="1">
        <v>0.35416666666666669</v>
      </c>
      <c r="F554" t="str">
        <f>IF(AND(AllData[[#This Row],[Time]]&lt;0.5, AllData[[#This Row],[Time]]&gt;0.17)=TRUE, "Morning", IF(AND(AllData[[#This Row],[Time]]&lt;0.75, AllData[[#This Row],[Time]]&gt;=0.5)=TRUE, "Afternoon", IF(AND(AllData[[#This Row],[Time]]&lt;1, AllData[[#This Row],[Time]]&gt;=0.75)=TRUE, "Evening", "Night")))</f>
        <v>Morning</v>
      </c>
      <c r="G554" t="str">
        <f>_xlfn.XLOOKUP(AllData[[#This Row],[Location Name]], Locations[Location Name],Locations[Group As])</f>
        <v>Chipping Campden Sewage Works</v>
      </c>
      <c r="H554" t="e" vm="9">
        <f>_xlfn.XLOOKUP(AllData[[#This Row],[Site Name]],LocationsKey[Site Name],LocationsKey[District])</f>
        <v>#VALUE!</v>
      </c>
      <c r="I554" t="e" vm="10">
        <f>_xlfn.XLOOKUP(AllData[[#This Row],[Site Name]],LocationsKey[Site Name],LocationsKey[Town])</f>
        <v>#VALUE!</v>
      </c>
      <c r="J554" t="str">
        <f>_xlfn.XLOOKUP(AllData[[#This Row],[Site Name]],LocationsKey[Site Name], LocationsKey[Waterway])</f>
        <v>Cam Brook</v>
      </c>
      <c r="K554" t="s">
        <v>1570</v>
      </c>
      <c r="N554" t="s">
        <v>31</v>
      </c>
      <c r="O554">
        <v>609</v>
      </c>
      <c r="P554">
        <v>11.1</v>
      </c>
      <c r="Q554">
        <v>5</v>
      </c>
      <c r="R554" s="107" t="str">
        <f>IF(AllData[[#This Row],[Nitrate (PPM)]]&gt;2, "Very high", IF(AllData[[#This Row],[Nitrate (PPM)]]&gt;1, "High", IF(AllData[[#This Row],[Nitrate (PPM)]]&gt;0.5, "Some evidence", IF(AllData[[#This Row],[Nitrate (PPM)]]&gt;=0, "No evidence"))))</f>
        <v>Very high</v>
      </c>
      <c r="S554">
        <v>0.04</v>
      </c>
      <c r="T554" s="7" t="str">
        <f>IF(AllData[[#This Row],[Phosphate (PPM)]]&gt;0.5, "Very high", IF(AllData[[#This Row],[Phosphate (PPM)]]&gt;0.1, "High", IF(AllData[[#This Row],[Phosphate (PPM)]]&gt;0.05, "Some evidence", IF(AllData[[#This Row],[Phosphate (PPM)]]&lt;=0.05, "No Evidence", ""))))</f>
        <v>No Evidence</v>
      </c>
      <c r="U554">
        <v>0.42</v>
      </c>
    </row>
    <row r="555" spans="1:22" x14ac:dyDescent="0.35">
      <c r="A555" t="s">
        <v>2697</v>
      </c>
      <c r="B555" s="143">
        <v>45642</v>
      </c>
      <c r="C555" s="2" t="str" cm="1">
        <f t="array" ref="C5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5">
        <f>YEAR(AllData[[#This Row],[Date]])</f>
        <v>2024</v>
      </c>
      <c r="E555" s="1">
        <v>0.40972222222222221</v>
      </c>
      <c r="F555" t="str">
        <f>IF(AND(AllData[[#This Row],[Time]]&lt;0.5, AllData[[#This Row],[Time]]&gt;0.17)=TRUE, "Morning", IF(AND(AllData[[#This Row],[Time]]&lt;0.75, AllData[[#This Row],[Time]]&gt;=0.5)=TRUE, "Afternoon", IF(AND(AllData[[#This Row],[Time]]&lt;1, AllData[[#This Row],[Time]]&gt;=0.75)=TRUE, "Evening", "Night")))</f>
        <v>Morning</v>
      </c>
      <c r="G555" t="str">
        <f>_xlfn.XLOOKUP(AllData[[#This Row],[Location Name]], Locations[Location Name],Locations[Group As])</f>
        <v>Chipping Campden Lady J Gateway</v>
      </c>
      <c r="H555" t="e" vm="9">
        <f>_xlfn.XLOOKUP(AllData[[#This Row],[Site Name]],LocationsKey[Site Name],LocationsKey[District])</f>
        <v>#VALUE!</v>
      </c>
      <c r="I555" t="e" vm="10">
        <f>_xlfn.XLOOKUP(AllData[[#This Row],[Site Name]],LocationsKey[Site Name],LocationsKey[Town])</f>
        <v>#VALUE!</v>
      </c>
      <c r="J555" t="str">
        <f>_xlfn.XLOOKUP(AllData[[#This Row],[Site Name]],LocationsKey[Site Name], LocationsKey[Waterway])</f>
        <v>Cam Brook</v>
      </c>
      <c r="K555" t="s">
        <v>1573</v>
      </c>
      <c r="N555" t="s">
        <v>68</v>
      </c>
      <c r="O555">
        <v>542</v>
      </c>
      <c r="P555">
        <v>9.1</v>
      </c>
      <c r="Q555">
        <v>5</v>
      </c>
      <c r="R555" s="107" t="str">
        <f>IF(AllData[[#This Row],[Nitrate (PPM)]]&gt;2, "Very high", IF(AllData[[#This Row],[Nitrate (PPM)]]&gt;1, "High", IF(AllData[[#This Row],[Nitrate (PPM)]]&gt;0.5, "Some evidence", IF(AllData[[#This Row],[Nitrate (PPM)]]&gt;=0, "No evidence"))))</f>
        <v>Very high</v>
      </c>
      <c r="S555">
        <v>0.02</v>
      </c>
      <c r="T555" s="7" t="str">
        <f>IF(AllData[[#This Row],[Phosphate (PPM)]]&gt;0.5, "Very high", IF(AllData[[#This Row],[Phosphate (PPM)]]&gt;0.1, "High", IF(AllData[[#This Row],[Phosphate (PPM)]]&gt;0.05, "Some evidence", IF(AllData[[#This Row],[Phosphate (PPM)]]&lt;=0.05, "No Evidence", ""))))</f>
        <v>No Evidence</v>
      </c>
      <c r="U555">
        <v>0.18</v>
      </c>
    </row>
    <row r="556" spans="1:22" x14ac:dyDescent="0.35">
      <c r="A556" t="s">
        <v>2698</v>
      </c>
      <c r="B556" s="143">
        <v>45642</v>
      </c>
      <c r="C556" s="2" t="str" cm="1">
        <f t="array" ref="C5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6">
        <f>YEAR(AllData[[#This Row],[Date]])</f>
        <v>2024</v>
      </c>
      <c r="E556" s="1">
        <v>0.40625</v>
      </c>
      <c r="F556" t="str">
        <f>IF(AND(AllData[[#This Row],[Time]]&lt;0.5, AllData[[#This Row],[Time]]&gt;0.17)=TRUE, "Morning", IF(AND(AllData[[#This Row],[Time]]&lt;0.75, AllData[[#This Row],[Time]]&gt;=0.5)=TRUE, "Afternoon", IF(AND(AllData[[#This Row],[Time]]&lt;1, AllData[[#This Row],[Time]]&gt;=0.75)=TRUE, "Evening", "Night")))</f>
        <v>Morning</v>
      </c>
      <c r="G556" t="str">
        <f>_xlfn.XLOOKUP(AllData[[#This Row],[Location Name]], Locations[Location Name],Locations[Group As])</f>
        <v>Chipping Campden Craves</v>
      </c>
      <c r="H556" t="e" vm="9">
        <f>_xlfn.XLOOKUP(AllData[[#This Row],[Site Name]],LocationsKey[Site Name],LocationsKey[District])</f>
        <v>#VALUE!</v>
      </c>
      <c r="I556" t="e" vm="10">
        <f>_xlfn.XLOOKUP(AllData[[#This Row],[Site Name]],LocationsKey[Site Name],LocationsKey[Town])</f>
        <v>#VALUE!</v>
      </c>
      <c r="J556" t="str">
        <f>_xlfn.XLOOKUP(AllData[[#This Row],[Site Name]],LocationsKey[Site Name], LocationsKey[Waterway])</f>
        <v>Cam Brook</v>
      </c>
      <c r="K556" t="s">
        <v>2458</v>
      </c>
      <c r="L556">
        <v>52.048766999999998</v>
      </c>
      <c r="M556">
        <v>-1.786367</v>
      </c>
      <c r="N556" t="s">
        <v>68</v>
      </c>
      <c r="O556">
        <v>493</v>
      </c>
      <c r="P556">
        <v>12.9</v>
      </c>
      <c r="Q556">
        <v>5</v>
      </c>
      <c r="R556" s="107" t="str">
        <f>IF(AllData[[#This Row],[Nitrate (PPM)]]&gt;2, "Very high", IF(AllData[[#This Row],[Nitrate (PPM)]]&gt;1, "High", IF(AllData[[#This Row],[Nitrate (PPM)]]&gt;0.5, "Some evidence", IF(AllData[[#This Row],[Nitrate (PPM)]]&gt;=0, "No evidence"))))</f>
        <v>Very high</v>
      </c>
      <c r="S556">
        <v>0.16</v>
      </c>
      <c r="T556" s="7" t="str">
        <f>IF(AllData[[#This Row],[Phosphate (PPM)]]&gt;0.5, "Very high", IF(AllData[[#This Row],[Phosphate (PPM)]]&gt;0.1, "High", IF(AllData[[#This Row],[Phosphate (PPM)]]&gt;0.05, "Some evidence", IF(AllData[[#This Row],[Phosphate (PPM)]]&lt;=0.05, "No Evidence", ""))))</f>
        <v>High</v>
      </c>
      <c r="U556">
        <v>32</v>
      </c>
    </row>
    <row r="557" spans="1:22" x14ac:dyDescent="0.35">
      <c r="A557" t="s">
        <v>2694</v>
      </c>
      <c r="B557" s="143">
        <v>45641</v>
      </c>
      <c r="C557" s="2" t="str" cm="1">
        <f t="array" ref="C5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7">
        <f>YEAR(AllData[[#This Row],[Date]])</f>
        <v>2024</v>
      </c>
      <c r="E557" s="1">
        <v>0.43541666666666667</v>
      </c>
      <c r="F557" t="str">
        <f>IF(AND(AllData[[#This Row],[Time]]&lt;0.5, AllData[[#This Row],[Time]]&gt;0.17)=TRUE, "Morning", IF(AND(AllData[[#This Row],[Time]]&lt;0.75, AllData[[#This Row],[Time]]&gt;=0.5)=TRUE, "Afternoon", IF(AND(AllData[[#This Row],[Time]]&lt;1, AllData[[#This Row],[Time]]&gt;=0.75)=TRUE, "Evening", "Night")))</f>
        <v>Morning</v>
      </c>
      <c r="G557" t="str">
        <f>_xlfn.XLOOKUP(AllData[[#This Row],[Location Name]], Locations[Location Name],Locations[Group As])</f>
        <v>Lower Lode</v>
      </c>
      <c r="H557" t="e" vm="4">
        <f>_xlfn.XLOOKUP(AllData[[#This Row],[Site Name]],LocationsKey[Site Name],LocationsKey[District])</f>
        <v>#VALUE!</v>
      </c>
      <c r="I557" t="e" vm="4">
        <f>_xlfn.XLOOKUP(AllData[[#This Row],[Site Name]],LocationsKey[Site Name],LocationsKey[Town])</f>
        <v>#VALUE!</v>
      </c>
      <c r="J557" t="str">
        <f>_xlfn.XLOOKUP(AllData[[#This Row],[Site Name]],LocationsKey[Site Name], LocationsKey[Waterway])</f>
        <v>Avon</v>
      </c>
      <c r="K557" t="s">
        <v>595</v>
      </c>
      <c r="L557">
        <v>51.985014999999997</v>
      </c>
      <c r="M557">
        <v>-2.174245</v>
      </c>
      <c r="N557" t="s">
        <v>31</v>
      </c>
      <c r="O557">
        <v>6900</v>
      </c>
      <c r="P557">
        <v>11</v>
      </c>
      <c r="Q557">
        <v>10</v>
      </c>
      <c r="R557" s="107" t="str">
        <f>IF(AllData[[#This Row],[Nitrate (PPM)]]&gt;2, "Very high", IF(AllData[[#This Row],[Nitrate (PPM)]]&gt;1, "High", IF(AllData[[#This Row],[Nitrate (PPM)]]&gt;0.5, "Some evidence", IF(AllData[[#This Row],[Nitrate (PPM)]]&gt;=0, "No evidence"))))</f>
        <v>Very high</v>
      </c>
      <c r="S557">
        <v>0.56999999999999995</v>
      </c>
      <c r="T557" s="7" t="str">
        <f>IF(AllData[[#This Row],[Phosphate (PPM)]]&gt;0.5, "Very high", IF(AllData[[#This Row],[Phosphate (PPM)]]&gt;0.1, "High", IF(AllData[[#This Row],[Phosphate (PPM)]]&gt;0.05, "Some evidence", IF(AllData[[#This Row],[Phosphate (PPM)]]&lt;=0.05, "No Evidence", ""))))</f>
        <v>Very high</v>
      </c>
      <c r="U557">
        <v>4</v>
      </c>
    </row>
    <row r="558" spans="1:22" x14ac:dyDescent="0.35">
      <c r="A558" t="s">
        <v>2691</v>
      </c>
      <c r="B558" s="143">
        <v>45641</v>
      </c>
      <c r="C558" s="2" t="str" cm="1">
        <f t="array" ref="C5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8">
        <f>YEAR(AllData[[#This Row],[Date]])</f>
        <v>2024</v>
      </c>
      <c r="E558" s="1">
        <v>0.50416666666666665</v>
      </c>
      <c r="F558" t="str">
        <f>IF(AND(AllData[[#This Row],[Time]]&lt;0.5, AllData[[#This Row],[Time]]&gt;0.17)=TRUE, "Morning", IF(AND(AllData[[#This Row],[Time]]&lt;0.75, AllData[[#This Row],[Time]]&gt;=0.5)=TRUE, "Afternoon", IF(AND(AllData[[#This Row],[Time]]&lt;1, AllData[[#This Row],[Time]]&gt;=0.75)=TRUE, "Evening", "Night")))</f>
        <v>Afternoon</v>
      </c>
      <c r="G558" t="str">
        <f>_xlfn.XLOOKUP(AllData[[#This Row],[Location Name]], Locations[Location Name],Locations[Group As])</f>
        <v>The Ford, Langley</v>
      </c>
      <c r="H558" t="e" vm="1">
        <f>_xlfn.XLOOKUP(AllData[[#This Row],[Site Name]],LocationsKey[Site Name],LocationsKey[District])</f>
        <v>#VALUE!</v>
      </c>
      <c r="I558" t="str">
        <f>_xlfn.XLOOKUP(AllData[[#This Row],[Site Name]],LocationsKey[Site Name],LocationsKey[Town])</f>
        <v>Langley</v>
      </c>
      <c r="J558" t="str">
        <f>_xlfn.XLOOKUP(AllData[[#This Row],[Site Name]],LocationsKey[Site Name], LocationsKey[Waterway])</f>
        <v>Langley Ford</v>
      </c>
      <c r="K558" t="s">
        <v>561</v>
      </c>
      <c r="L558">
        <v>52.259796999999999</v>
      </c>
      <c r="M558">
        <v>-1.718496</v>
      </c>
      <c r="N558" t="s">
        <v>31</v>
      </c>
      <c r="O558">
        <v>671</v>
      </c>
      <c r="P558">
        <v>10.1</v>
      </c>
      <c r="Q558">
        <v>5</v>
      </c>
      <c r="R558" s="107" t="str">
        <f>IF(AllData[[#This Row],[Nitrate (PPM)]]&gt;2, "Very high", IF(AllData[[#This Row],[Nitrate (PPM)]]&gt;1, "High", IF(AllData[[#This Row],[Nitrate (PPM)]]&gt;0.5, "Some evidence", IF(AllData[[#This Row],[Nitrate (PPM)]]&gt;=0, "No evidence"))))</f>
        <v>Very high</v>
      </c>
      <c r="S558">
        <v>0.64</v>
      </c>
      <c r="T558" s="7" t="str">
        <f>IF(AllData[[#This Row],[Phosphate (PPM)]]&gt;0.5, "Very high", IF(AllData[[#This Row],[Phosphate (PPM)]]&gt;0.1, "High", IF(AllData[[#This Row],[Phosphate (PPM)]]&gt;0.05, "Some evidence", IF(AllData[[#This Row],[Phosphate (PPM)]]&lt;=0.05, "No Evidence", ""))))</f>
        <v>Very high</v>
      </c>
      <c r="U558">
        <v>0.3</v>
      </c>
      <c r="V558" t="s">
        <v>2692</v>
      </c>
    </row>
    <row r="559" spans="1:22" x14ac:dyDescent="0.35">
      <c r="A559" t="s">
        <v>2693</v>
      </c>
      <c r="B559" s="143">
        <v>45641</v>
      </c>
      <c r="C559" s="2" t="str" cm="1">
        <f t="array" ref="C5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59">
        <f>YEAR(AllData[[#This Row],[Date]])</f>
        <v>2024</v>
      </c>
      <c r="E559" s="1">
        <v>0.44097222222222221</v>
      </c>
      <c r="F559" t="str">
        <f>IF(AND(AllData[[#This Row],[Time]]&lt;0.5, AllData[[#This Row],[Time]]&gt;0.17)=TRUE, "Morning", IF(AND(AllData[[#This Row],[Time]]&lt;0.75, AllData[[#This Row],[Time]]&gt;=0.5)=TRUE, "Afternoon", IF(AND(AllData[[#This Row],[Time]]&lt;1, AllData[[#This Row],[Time]]&gt;=0.75)=TRUE, "Evening", "Night")))</f>
        <v>Morning</v>
      </c>
      <c r="G559" t="str">
        <f>_xlfn.XLOOKUP(AllData[[#This Row],[Location Name]], Locations[Location Name],Locations[Group As])</f>
        <v>Fell Mill Footbridge</v>
      </c>
      <c r="H559" t="e" vm="1">
        <f>_xlfn.XLOOKUP(AllData[[#This Row],[Site Name]],LocationsKey[Site Name],LocationsKey[District])</f>
        <v>#VALUE!</v>
      </c>
      <c r="I559" t="e" vm="15">
        <f>_xlfn.XLOOKUP(AllData[[#This Row],[Site Name]],LocationsKey[Site Name],LocationsKey[Town])</f>
        <v>#VALUE!</v>
      </c>
      <c r="J559" t="str">
        <f>_xlfn.XLOOKUP(AllData[[#This Row],[Site Name]],LocationsKey[Site Name], LocationsKey[Waterway])</f>
        <v>Stour</v>
      </c>
      <c r="K559" t="s">
        <v>1968</v>
      </c>
      <c r="L559">
        <v>52.070086000000003</v>
      </c>
      <c r="M559">
        <v>-1.61145</v>
      </c>
      <c r="N559" t="s">
        <v>31</v>
      </c>
      <c r="O559">
        <v>583</v>
      </c>
      <c r="P559">
        <v>10</v>
      </c>
      <c r="Q559">
        <v>2</v>
      </c>
      <c r="R559" s="107" t="str">
        <f>IF(AllData[[#This Row],[Nitrate (PPM)]]&gt;2, "Very high", IF(AllData[[#This Row],[Nitrate (PPM)]]&gt;1, "High", IF(AllData[[#This Row],[Nitrate (PPM)]]&gt;0.5, "Some evidence", IF(AllData[[#This Row],[Nitrate (PPM)]]&gt;=0, "No evidence"))))</f>
        <v>High</v>
      </c>
      <c r="S559">
        <v>0.19</v>
      </c>
      <c r="T559" s="7" t="str">
        <f>IF(AllData[[#This Row],[Phosphate (PPM)]]&gt;0.5, "Very high", IF(AllData[[#This Row],[Phosphate (PPM)]]&gt;0.1, "High", IF(AllData[[#This Row],[Phosphate (PPM)]]&gt;0.05, "Some evidence", IF(AllData[[#This Row],[Phosphate (PPM)]]&lt;=0.05, "No Evidence", ""))))</f>
        <v>High</v>
      </c>
      <c r="U559">
        <v>1.7</v>
      </c>
    </row>
    <row r="560" spans="1:22" x14ac:dyDescent="0.35">
      <c r="A560" t="s">
        <v>2688</v>
      </c>
      <c r="B560" s="143">
        <v>45640</v>
      </c>
      <c r="C560" s="2" t="str" cm="1">
        <f t="array" ref="C5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0">
        <f>YEAR(AllData[[#This Row],[Date]])</f>
        <v>2024</v>
      </c>
      <c r="E560" s="1">
        <v>0.45833333333333331</v>
      </c>
      <c r="F560" t="str">
        <f>IF(AND(AllData[[#This Row],[Time]]&lt;0.5, AllData[[#This Row],[Time]]&gt;0.17)=TRUE, "Morning", IF(AND(AllData[[#This Row],[Time]]&lt;0.75, AllData[[#This Row],[Time]]&gt;=0.5)=TRUE, "Afternoon", IF(AND(AllData[[#This Row],[Time]]&lt;1, AllData[[#This Row],[Time]]&gt;=0.75)=TRUE, "Evening", "Night")))</f>
        <v>Morning</v>
      </c>
      <c r="G560" t="str">
        <f>_xlfn.XLOOKUP(AllData[[#This Row],[Location Name]], Locations[Location Name],Locations[Group As])</f>
        <v>Piddle Brook Wyre Piddle Bridge</v>
      </c>
      <c r="H560" t="e" vm="6">
        <f>_xlfn.XLOOKUP(AllData[[#This Row],[Site Name]],LocationsKey[Site Name],LocationsKey[District])</f>
        <v>#VALUE!</v>
      </c>
      <c r="I560" t="e" vm="13">
        <f>_xlfn.XLOOKUP(AllData[[#This Row],[Site Name]],LocationsKey[Site Name],LocationsKey[Town])</f>
        <v>#VALUE!</v>
      </c>
      <c r="J560" t="str">
        <f>_xlfn.XLOOKUP(AllData[[#This Row],[Site Name]],LocationsKey[Site Name], LocationsKey[Waterway])</f>
        <v>Piddle Brook</v>
      </c>
      <c r="K560" t="s">
        <v>787</v>
      </c>
      <c r="L560">
        <v>52.126382</v>
      </c>
      <c r="M560">
        <v>-2.0563720000000001</v>
      </c>
      <c r="N560" t="s">
        <v>25</v>
      </c>
      <c r="O560">
        <v>1070</v>
      </c>
      <c r="P560">
        <v>7.6</v>
      </c>
      <c r="Q560">
        <v>5</v>
      </c>
      <c r="R560" s="107" t="str">
        <f>IF(AllData[[#This Row],[Nitrate (PPM)]]&gt;2, "Very high", IF(AllData[[#This Row],[Nitrate (PPM)]]&gt;1, "High", IF(AllData[[#This Row],[Nitrate (PPM)]]&gt;0.5, "Some evidence", IF(AllData[[#This Row],[Nitrate (PPM)]]&gt;=0, "No evidence"))))</f>
        <v>Very high</v>
      </c>
      <c r="S560">
        <v>0.37</v>
      </c>
      <c r="T560" s="7" t="str">
        <f>IF(AllData[[#This Row],[Phosphate (PPM)]]&gt;0.5, "Very high", IF(AllData[[#This Row],[Phosphate (PPM)]]&gt;0.1, "High", IF(AllData[[#This Row],[Phosphate (PPM)]]&gt;0.05, "Some evidence", IF(AllData[[#This Row],[Phosphate (PPM)]]&lt;=0.05, "No Evidence", ""))))</f>
        <v>High</v>
      </c>
      <c r="U560">
        <v>0.28999999999999998</v>
      </c>
      <c r="V560" t="s">
        <v>2689</v>
      </c>
    </row>
    <row r="561" spans="1:22" x14ac:dyDescent="0.35">
      <c r="A561" t="s">
        <v>2690</v>
      </c>
      <c r="B561" s="143">
        <v>45640</v>
      </c>
      <c r="C561" s="2" t="str" cm="1">
        <f t="array" ref="C5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1">
        <f>YEAR(AllData[[#This Row],[Date]])</f>
        <v>2024</v>
      </c>
      <c r="E561" s="1">
        <v>0.43263888888888891</v>
      </c>
      <c r="F561" t="str">
        <f>IF(AND(AllData[[#This Row],[Time]]&lt;0.5, AllData[[#This Row],[Time]]&gt;0.17)=TRUE, "Morning", IF(AND(AllData[[#This Row],[Time]]&lt;0.75, AllData[[#This Row],[Time]]&gt;=0.5)=TRUE, "Afternoon", IF(AND(AllData[[#This Row],[Time]]&lt;1, AllData[[#This Row],[Time]]&gt;=0.75)=TRUE, "Evening", "Night")))</f>
        <v>Morning</v>
      </c>
      <c r="G561" t="str">
        <f>_xlfn.XLOOKUP(AllData[[#This Row],[Location Name]], Locations[Location Name],Locations[Group As])</f>
        <v>Avon Smiths Meadow Wyre Piddle</v>
      </c>
      <c r="H561" t="e" vm="6">
        <f>_xlfn.XLOOKUP(AllData[[#This Row],[Site Name]],LocationsKey[Site Name],LocationsKey[District])</f>
        <v>#VALUE!</v>
      </c>
      <c r="I561" t="e" vm="13">
        <f>_xlfn.XLOOKUP(AllData[[#This Row],[Site Name]],LocationsKey[Site Name],LocationsKey[Town])</f>
        <v>#VALUE!</v>
      </c>
      <c r="J561" t="str">
        <f>_xlfn.XLOOKUP(AllData[[#This Row],[Site Name]],LocationsKey[Site Name], LocationsKey[Waterway])</f>
        <v>Avon</v>
      </c>
      <c r="K561" t="s">
        <v>784</v>
      </c>
      <c r="L561">
        <v>52.122886000000001</v>
      </c>
      <c r="M561">
        <v>-2.0574750000000002</v>
      </c>
      <c r="N561" t="s">
        <v>25</v>
      </c>
      <c r="O561">
        <v>702</v>
      </c>
      <c r="P561">
        <v>8</v>
      </c>
      <c r="Q561">
        <v>5</v>
      </c>
      <c r="R561" s="107" t="str">
        <f>IF(AllData[[#This Row],[Nitrate (PPM)]]&gt;2, "Very high", IF(AllData[[#This Row],[Nitrate (PPM)]]&gt;1, "High", IF(AllData[[#This Row],[Nitrate (PPM)]]&gt;0.5, "Some evidence", IF(AllData[[#This Row],[Nitrate (PPM)]]&gt;=0, "No evidence"))))</f>
        <v>Very high</v>
      </c>
      <c r="S561">
        <v>0.4</v>
      </c>
      <c r="T561" s="7" t="str">
        <f>IF(AllData[[#This Row],[Phosphate (PPM)]]&gt;0.5, "Very high", IF(AllData[[#This Row],[Phosphate (PPM)]]&gt;0.1, "High", IF(AllData[[#This Row],[Phosphate (PPM)]]&gt;0.05, "Some evidence", IF(AllData[[#This Row],[Phosphate (PPM)]]&lt;=0.05, "No Evidence", ""))))</f>
        <v>High</v>
      </c>
      <c r="U561">
        <v>0.86</v>
      </c>
      <c r="V561" t="s">
        <v>2689</v>
      </c>
    </row>
    <row r="562" spans="1:22" x14ac:dyDescent="0.35">
      <c r="A562" t="s">
        <v>2684</v>
      </c>
      <c r="B562" s="143">
        <v>45640</v>
      </c>
      <c r="C562" s="2" t="str" cm="1">
        <f t="array" ref="C5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2">
        <f>YEAR(AllData[[#This Row],[Date]])</f>
        <v>2024</v>
      </c>
      <c r="E562" s="1">
        <v>0.70138888888888884</v>
      </c>
      <c r="F562" t="str">
        <f>IF(AND(AllData[[#This Row],[Time]]&lt;0.5, AllData[[#This Row],[Time]]&gt;0.17)=TRUE, "Morning", IF(AND(AllData[[#This Row],[Time]]&lt;0.75, AllData[[#This Row],[Time]]&gt;=0.5)=TRUE, "Afternoon", IF(AND(AllData[[#This Row],[Time]]&lt;1, AllData[[#This Row],[Time]]&gt;=0.75)=TRUE, "Evening", "Night")))</f>
        <v>Afternoon</v>
      </c>
      <c r="G562" t="str">
        <f>_xlfn.XLOOKUP(AllData[[#This Row],[Location Name]], Locations[Location Name],Locations[Group As])</f>
        <v>Abbey Mill</v>
      </c>
      <c r="H562" t="e" vm="4">
        <f>_xlfn.XLOOKUP(AllData[[#This Row],[Site Name]],LocationsKey[Site Name],LocationsKey[District])</f>
        <v>#VALUE!</v>
      </c>
      <c r="I562" t="e" vm="4">
        <f>_xlfn.XLOOKUP(AllData[[#This Row],[Site Name]],LocationsKey[Site Name],LocationsKey[Town])</f>
        <v>#VALUE!</v>
      </c>
      <c r="J562" t="str">
        <f>_xlfn.XLOOKUP(AllData[[#This Row],[Site Name]],LocationsKey[Site Name], LocationsKey[Waterway])</f>
        <v>Avon</v>
      </c>
      <c r="K562" t="s">
        <v>27</v>
      </c>
      <c r="L562">
        <v>51.989882999999999</v>
      </c>
      <c r="M562">
        <v>-2.1616469999999999</v>
      </c>
      <c r="N562" t="s">
        <v>31</v>
      </c>
      <c r="O562">
        <v>695</v>
      </c>
      <c r="P562">
        <v>9.8000000000000007</v>
      </c>
      <c r="Q562">
        <v>5</v>
      </c>
      <c r="R562" s="107" t="str">
        <f>IF(AllData[[#This Row],[Nitrate (PPM)]]&gt;2, "Very high", IF(AllData[[#This Row],[Nitrate (PPM)]]&gt;1, "High", IF(AllData[[#This Row],[Nitrate (PPM)]]&gt;0.5, "Some evidence", IF(AllData[[#This Row],[Nitrate (PPM)]]&gt;=0, "No evidence"))))</f>
        <v>Very high</v>
      </c>
      <c r="S562">
        <v>0.56999999999999995</v>
      </c>
      <c r="T562" s="7" t="str">
        <f>IF(AllData[[#This Row],[Phosphate (PPM)]]&gt;0.5, "Very high", IF(AllData[[#This Row],[Phosphate (PPM)]]&gt;0.1, "High", IF(AllData[[#This Row],[Phosphate (PPM)]]&gt;0.05, "Some evidence", IF(AllData[[#This Row],[Phosphate (PPM)]]&lt;=0.05, "No Evidence", ""))))</f>
        <v>Very high</v>
      </c>
      <c r="U562">
        <v>2</v>
      </c>
    </row>
    <row r="563" spans="1:22" x14ac:dyDescent="0.35">
      <c r="A563" t="s">
        <v>2678</v>
      </c>
      <c r="B563" s="143">
        <v>45640</v>
      </c>
      <c r="C563" s="2" t="str" cm="1">
        <f t="array" ref="C5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3">
        <f>YEAR(AllData[[#This Row],[Date]])</f>
        <v>2024</v>
      </c>
      <c r="E563" s="1">
        <v>0.45069444444444445</v>
      </c>
      <c r="F563" t="str">
        <f>IF(AND(AllData[[#This Row],[Time]]&lt;0.5, AllData[[#This Row],[Time]]&gt;0.17)=TRUE, "Morning", IF(AND(AllData[[#This Row],[Time]]&lt;0.75, AllData[[#This Row],[Time]]&gt;=0.5)=TRUE, "Afternoon", IF(AND(AllData[[#This Row],[Time]]&lt;1, AllData[[#This Row],[Time]]&gt;=0.75)=TRUE, "Evening", "Night")))</f>
        <v>Morning</v>
      </c>
      <c r="G563" t="str">
        <f>_xlfn.XLOOKUP(AllData[[#This Row],[Location Name]], Locations[Location Name],Locations[Group As])</f>
        <v>Avonbank Drive</v>
      </c>
      <c r="H563" t="e" vm="1">
        <f>_xlfn.XLOOKUP(AllData[[#This Row],[Site Name]],LocationsKey[Site Name],LocationsKey[District])</f>
        <v>#VALUE!</v>
      </c>
      <c r="I563" t="e" vm="12">
        <f>_xlfn.XLOOKUP(AllData[[#This Row],[Site Name]],LocationsKey[Site Name],LocationsKey[Town])</f>
        <v>#VALUE!</v>
      </c>
      <c r="J563" t="str">
        <f>_xlfn.XLOOKUP(AllData[[#This Row],[Site Name]],LocationsKey[Site Name], LocationsKey[Waterway])</f>
        <v>Avon</v>
      </c>
      <c r="K563" t="s">
        <v>2530</v>
      </c>
      <c r="L563">
        <v>52.177142000000003</v>
      </c>
      <c r="M563">
        <v>-1.735673</v>
      </c>
      <c r="N563" t="s">
        <v>68</v>
      </c>
      <c r="O563">
        <v>783</v>
      </c>
      <c r="P563">
        <v>9.3000000000000007</v>
      </c>
      <c r="Q563">
        <v>3</v>
      </c>
      <c r="R563" s="107" t="str">
        <f>IF(AllData[[#This Row],[Nitrate (PPM)]]&gt;2, "Very high", IF(AllData[[#This Row],[Nitrate (PPM)]]&gt;1, "High", IF(AllData[[#This Row],[Nitrate (PPM)]]&gt;0.5, "Some evidence", IF(AllData[[#This Row],[Nitrate (PPM)]]&gt;=0, "No evidence"))))</f>
        <v>Very high</v>
      </c>
      <c r="S563">
        <v>0.38</v>
      </c>
      <c r="T563" s="7" t="str">
        <f>IF(AllData[[#This Row],[Phosphate (PPM)]]&gt;0.5, "Very high", IF(AllData[[#This Row],[Phosphate (PPM)]]&gt;0.1, "High", IF(AllData[[#This Row],[Phosphate (PPM)]]&gt;0.05, "Some evidence", IF(AllData[[#This Row],[Phosphate (PPM)]]&lt;=0.05, "No Evidence", ""))))</f>
        <v>High</v>
      </c>
      <c r="U563">
        <v>0.75</v>
      </c>
      <c r="V563" t="s">
        <v>2679</v>
      </c>
    </row>
    <row r="564" spans="1:22" x14ac:dyDescent="0.35">
      <c r="A564" t="s">
        <v>2680</v>
      </c>
      <c r="B564" s="143">
        <v>45640</v>
      </c>
      <c r="C564" s="2" t="str" cm="1">
        <f t="array" ref="C5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4">
        <f>YEAR(AllData[[#This Row],[Date]])</f>
        <v>2024</v>
      </c>
      <c r="E564" s="1">
        <v>0.43263888888888891</v>
      </c>
      <c r="F564" t="str">
        <f>IF(AND(AllData[[#This Row],[Time]]&lt;0.5, AllData[[#This Row],[Time]]&gt;0.17)=TRUE, "Morning", IF(AND(AllData[[#This Row],[Time]]&lt;0.75, AllData[[#This Row],[Time]]&gt;=0.5)=TRUE, "Afternoon", IF(AND(AllData[[#This Row],[Time]]&lt;1, AllData[[#This Row],[Time]]&gt;=0.75)=TRUE, "Evening", "Night")))</f>
        <v>Morning</v>
      </c>
      <c r="G564" t="str">
        <f>_xlfn.XLOOKUP(AllData[[#This Row],[Location Name]], Locations[Location Name],Locations[Group As])</f>
        <v>Pitch 16</v>
      </c>
      <c r="H564" t="e" vm="1">
        <f>_xlfn.XLOOKUP(AllData[[#This Row],[Site Name]],LocationsKey[Site Name],LocationsKey[District])</f>
        <v>#VALUE!</v>
      </c>
      <c r="I564" t="e" vm="12">
        <f>_xlfn.XLOOKUP(AllData[[#This Row],[Site Name]],LocationsKey[Site Name],LocationsKey[Town])</f>
        <v>#VALUE!</v>
      </c>
      <c r="J564" t="str">
        <f>_xlfn.XLOOKUP(AllData[[#This Row],[Site Name]],LocationsKey[Site Name], LocationsKey[Waterway])</f>
        <v>Avon</v>
      </c>
      <c r="K564" t="s">
        <v>2681</v>
      </c>
      <c r="L564">
        <v>52.171899000000003</v>
      </c>
      <c r="M564">
        <v>-1.7480230000000001</v>
      </c>
      <c r="N564" t="s">
        <v>31</v>
      </c>
      <c r="O564">
        <v>760</v>
      </c>
      <c r="P564">
        <v>10.1</v>
      </c>
      <c r="Q564">
        <v>3</v>
      </c>
      <c r="R564" s="107" t="str">
        <f>IF(AllData[[#This Row],[Nitrate (PPM)]]&gt;2, "Very high", IF(AllData[[#This Row],[Nitrate (PPM)]]&gt;1, "High", IF(AllData[[#This Row],[Nitrate (PPM)]]&gt;0.5, "Some evidence", IF(AllData[[#This Row],[Nitrate (PPM)]]&gt;=0, "No evidence"))))</f>
        <v>Very high</v>
      </c>
      <c r="S564">
        <v>0.43</v>
      </c>
      <c r="T564" s="7" t="str">
        <f>IF(AllData[[#This Row],[Phosphate (PPM)]]&gt;0.5, "Very high", IF(AllData[[#This Row],[Phosphate (PPM)]]&gt;0.1, "High", IF(AllData[[#This Row],[Phosphate (PPM)]]&gt;0.05, "Some evidence", IF(AllData[[#This Row],[Phosphate (PPM)]]&lt;=0.05, "No Evidence", ""))))</f>
        <v>High</v>
      </c>
      <c r="U564">
        <v>0.75</v>
      </c>
      <c r="V564" t="s">
        <v>2682</v>
      </c>
    </row>
    <row r="565" spans="1:22" x14ac:dyDescent="0.35">
      <c r="A565" t="s">
        <v>2685</v>
      </c>
      <c r="B565" s="143">
        <v>45640</v>
      </c>
      <c r="C565" s="2" t="str" cm="1">
        <f t="array" ref="C5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5">
        <f>YEAR(AllData[[#This Row],[Date]])</f>
        <v>2024</v>
      </c>
      <c r="E565" s="1">
        <v>0.5</v>
      </c>
      <c r="F565" t="str">
        <f>IF(AND(AllData[[#This Row],[Time]]&lt;0.5, AllData[[#This Row],[Time]]&gt;0.17)=TRUE, "Morning", IF(AND(AllData[[#This Row],[Time]]&lt;0.75, AllData[[#This Row],[Time]]&gt;=0.5)=TRUE, "Afternoon", IF(AND(AllData[[#This Row],[Time]]&lt;1, AllData[[#This Row],[Time]]&gt;=0.75)=TRUE, "Evening", "Night")))</f>
        <v>Afternoon</v>
      </c>
      <c r="G565" t="str">
        <f>_xlfn.XLOOKUP(AllData[[#This Row],[Location Name]], Locations[Location Name],Locations[Group As])</f>
        <v>Carrant Bredon Rd</v>
      </c>
      <c r="H565" t="e" vm="4">
        <f>_xlfn.XLOOKUP(AllData[[#This Row],[Site Name]],LocationsKey[Site Name],LocationsKey[District])</f>
        <v>#VALUE!</v>
      </c>
      <c r="I565" t="e" vm="4">
        <f>_xlfn.XLOOKUP(AllData[[#This Row],[Site Name]],LocationsKey[Site Name],LocationsKey[Town])</f>
        <v>#VALUE!</v>
      </c>
      <c r="J565" t="str">
        <f>_xlfn.XLOOKUP(AllData[[#This Row],[Site Name]],LocationsKey[Site Name], LocationsKey[Waterway])</f>
        <v>Carrant</v>
      </c>
      <c r="K565" t="s">
        <v>603</v>
      </c>
      <c r="L565">
        <v>51.996296999999998</v>
      </c>
      <c r="M565">
        <v>-2.15598</v>
      </c>
      <c r="N565" t="s">
        <v>25</v>
      </c>
      <c r="O565">
        <v>659</v>
      </c>
      <c r="P565">
        <v>9.3000000000000007</v>
      </c>
      <c r="Q565">
        <v>3</v>
      </c>
      <c r="R565" s="107" t="str">
        <f>IF(AllData[[#This Row],[Nitrate (PPM)]]&gt;2, "Very high", IF(AllData[[#This Row],[Nitrate (PPM)]]&gt;1, "High", IF(AllData[[#This Row],[Nitrate (PPM)]]&gt;0.5, "Some evidence", IF(AllData[[#This Row],[Nitrate (PPM)]]&gt;=0, "No evidence"))))</f>
        <v>Very high</v>
      </c>
      <c r="S565">
        <v>0.25</v>
      </c>
      <c r="T565" s="7" t="str">
        <f>IF(AllData[[#This Row],[Phosphate (PPM)]]&gt;0.5, "Very high", IF(AllData[[#This Row],[Phosphate (PPM)]]&gt;0.1, "High", IF(AllData[[#This Row],[Phosphate (PPM)]]&gt;0.05, "Some evidence", IF(AllData[[#This Row],[Phosphate (PPM)]]&lt;=0.05, "No Evidence", ""))))</f>
        <v>High</v>
      </c>
      <c r="U565">
        <v>0.91</v>
      </c>
    </row>
    <row r="566" spans="1:22" x14ac:dyDescent="0.35">
      <c r="A566" t="s">
        <v>2683</v>
      </c>
      <c r="B566" s="143">
        <v>45640</v>
      </c>
      <c r="C566" s="2" t="str" cm="1">
        <f t="array" ref="C5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6">
        <f>YEAR(AllData[[#This Row],[Date]])</f>
        <v>2024</v>
      </c>
      <c r="E566" s="1">
        <v>0.45833333333333331</v>
      </c>
      <c r="F566" t="str">
        <f>IF(AND(AllData[[#This Row],[Time]]&lt;0.5, AllData[[#This Row],[Time]]&gt;0.17)=TRUE, "Morning", IF(AND(AllData[[#This Row],[Time]]&lt;0.75, AllData[[#This Row],[Time]]&gt;=0.5)=TRUE, "Afternoon", IF(AND(AllData[[#This Row],[Time]]&lt;1, AllData[[#This Row],[Time]]&gt;=0.75)=TRUE, "Evening", "Night")))</f>
        <v>Morning</v>
      </c>
      <c r="G566" t="str">
        <f>_xlfn.XLOOKUP(AllData[[#This Row],[Location Name]], Locations[Location Name],Locations[Group As])</f>
        <v>Carrant M5 Bridge</v>
      </c>
      <c r="H566" t="e" vm="4">
        <f>_xlfn.XLOOKUP(AllData[[#This Row],[Site Name]],LocationsKey[Site Name],LocationsKey[District])</f>
        <v>#VALUE!</v>
      </c>
      <c r="I566" t="e" vm="4">
        <f>_xlfn.XLOOKUP(AllData[[#This Row],[Site Name]],LocationsKey[Site Name],LocationsKey[Town])</f>
        <v>#VALUE!</v>
      </c>
      <c r="J566" t="str">
        <f>_xlfn.XLOOKUP(AllData[[#This Row],[Site Name]],LocationsKey[Site Name], LocationsKey[Waterway])</f>
        <v>Carrant</v>
      </c>
      <c r="K566" t="s">
        <v>1144</v>
      </c>
      <c r="N566" t="s">
        <v>25</v>
      </c>
      <c r="O566">
        <v>698</v>
      </c>
      <c r="P566">
        <v>10.3</v>
      </c>
      <c r="Q566">
        <v>2</v>
      </c>
      <c r="R566" s="107" t="str">
        <f>IF(AllData[[#This Row],[Nitrate (PPM)]]&gt;2, "Very high", IF(AllData[[#This Row],[Nitrate (PPM)]]&gt;1, "High", IF(AllData[[#This Row],[Nitrate (PPM)]]&gt;0.5, "Some evidence", IF(AllData[[#This Row],[Nitrate (PPM)]]&gt;=0, "No evidence"))))</f>
        <v>High</v>
      </c>
      <c r="S566">
        <v>0.34</v>
      </c>
      <c r="T566" s="7" t="str">
        <f>IF(AllData[[#This Row],[Phosphate (PPM)]]&gt;0.5, "Very high", IF(AllData[[#This Row],[Phosphate (PPM)]]&gt;0.1, "High", IF(AllData[[#This Row],[Phosphate (PPM)]]&gt;0.05, "Some evidence", IF(AllData[[#This Row],[Phosphate (PPM)]]&lt;=0.05, "No Evidence", ""))))</f>
        <v>High</v>
      </c>
      <c r="U566">
        <v>0</v>
      </c>
    </row>
    <row r="567" spans="1:22" x14ac:dyDescent="0.35">
      <c r="A567" t="s">
        <v>2687</v>
      </c>
      <c r="B567" s="143">
        <v>45640</v>
      </c>
      <c r="C567" s="2" t="str" cm="1">
        <f t="array" ref="C5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7">
        <f>YEAR(AllData[[#This Row],[Date]])</f>
        <v>2024</v>
      </c>
      <c r="E567" s="1">
        <v>0.41597222222222224</v>
      </c>
      <c r="F567" t="str">
        <f>IF(AND(AllData[[#This Row],[Time]]&lt;0.5, AllData[[#This Row],[Time]]&gt;0.17)=TRUE, "Morning", IF(AND(AllData[[#This Row],[Time]]&lt;0.75, AllData[[#This Row],[Time]]&gt;=0.5)=TRUE, "Afternoon", IF(AND(AllData[[#This Row],[Time]]&lt;1, AllData[[#This Row],[Time]]&gt;=0.75)=TRUE, "Evening", "Night")))</f>
        <v>Morning</v>
      </c>
      <c r="G567" t="str">
        <f>_xlfn.XLOOKUP(AllData[[#This Row],[Location Name]], Locations[Location Name],Locations[Group As])</f>
        <v>Stour Whichford</v>
      </c>
      <c r="H567" t="e" vm="1">
        <f>_xlfn.XLOOKUP(AllData[[#This Row],[Site Name]],LocationsKey[Site Name],LocationsKey[District])</f>
        <v>#VALUE!</v>
      </c>
      <c r="I567" t="e" vm="24">
        <f>_xlfn.XLOOKUP(AllData[[#This Row],[Site Name]],LocationsKey[Site Name],LocationsKey[Town])</f>
        <v>#VALUE!</v>
      </c>
      <c r="J567" t="str">
        <f>_xlfn.XLOOKUP(AllData[[#This Row],[Site Name]],LocationsKey[Site Name], LocationsKey[Waterway])</f>
        <v>Stour</v>
      </c>
      <c r="K567" t="s">
        <v>980</v>
      </c>
      <c r="N567" t="s">
        <v>31</v>
      </c>
      <c r="O567">
        <v>504</v>
      </c>
      <c r="P567">
        <v>7.6</v>
      </c>
      <c r="Q567">
        <v>2</v>
      </c>
      <c r="R567" s="107" t="str">
        <f>IF(AllData[[#This Row],[Nitrate (PPM)]]&gt;2, "Very high", IF(AllData[[#This Row],[Nitrate (PPM)]]&gt;1, "High", IF(AllData[[#This Row],[Nitrate (PPM)]]&gt;0.5, "Some evidence", IF(AllData[[#This Row],[Nitrate (PPM)]]&gt;=0, "No evidence"))))</f>
        <v>High</v>
      </c>
      <c r="S567">
        <v>0.35</v>
      </c>
      <c r="T567" s="7" t="str">
        <f>IF(AllData[[#This Row],[Phosphate (PPM)]]&gt;0.5, "Very high", IF(AllData[[#This Row],[Phosphate (PPM)]]&gt;0.1, "High", IF(AllData[[#This Row],[Phosphate (PPM)]]&gt;0.05, "Some evidence", IF(AllData[[#This Row],[Phosphate (PPM)]]&lt;=0.05, "No Evidence", ""))))</f>
        <v>High</v>
      </c>
      <c r="U567">
        <v>19</v>
      </c>
    </row>
    <row r="568" spans="1:22" x14ac:dyDescent="0.35">
      <c r="A568" t="s">
        <v>2686</v>
      </c>
      <c r="B568" s="143">
        <v>45640</v>
      </c>
      <c r="C568" s="2" t="str" cm="1">
        <f t="array" ref="C5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8">
        <f>YEAR(AllData[[#This Row],[Date]])</f>
        <v>2024</v>
      </c>
      <c r="E568" s="1">
        <v>0.44305555555555554</v>
      </c>
      <c r="F568" t="str">
        <f>IF(AND(AllData[[#This Row],[Time]]&lt;0.5, AllData[[#This Row],[Time]]&gt;0.17)=TRUE, "Morning", IF(AND(AllData[[#This Row],[Time]]&lt;0.75, AllData[[#This Row],[Time]]&gt;=0.5)=TRUE, "Afternoon", IF(AND(AllData[[#This Row],[Time]]&lt;1, AllData[[#This Row],[Time]]&gt;=0.75)=TRUE, "Evening", "Night")))</f>
        <v>Morning</v>
      </c>
      <c r="G568" t="str">
        <f>_xlfn.XLOOKUP(AllData[[#This Row],[Location Name]], Locations[Location Name],Locations[Group As])</f>
        <v>Stour Ascott Village</v>
      </c>
      <c r="H568" t="e" vm="1">
        <f>_xlfn.XLOOKUP(AllData[[#This Row],[Site Name]],LocationsKey[Site Name],LocationsKey[District])</f>
        <v>#VALUE!</v>
      </c>
      <c r="I568" t="e" vm="25">
        <f>_xlfn.XLOOKUP(AllData[[#This Row],[Site Name]],LocationsKey[Site Name],LocationsKey[Town])</f>
        <v>#VALUE!</v>
      </c>
      <c r="J568" t="str">
        <f>_xlfn.XLOOKUP(AllData[[#This Row],[Site Name]],LocationsKey[Site Name], LocationsKey[Waterway])</f>
        <v>Stour</v>
      </c>
      <c r="K568" t="s">
        <v>927</v>
      </c>
      <c r="N568" t="s">
        <v>68</v>
      </c>
      <c r="O568">
        <v>555</v>
      </c>
      <c r="P568">
        <v>7.1</v>
      </c>
      <c r="Q568">
        <v>1</v>
      </c>
      <c r="R568" s="107" t="str">
        <f>IF(AllData[[#This Row],[Nitrate (PPM)]]&gt;2, "Very high", IF(AllData[[#This Row],[Nitrate (PPM)]]&gt;1, "High", IF(AllData[[#This Row],[Nitrate (PPM)]]&gt;0.5, "Some evidence", IF(AllData[[#This Row],[Nitrate (PPM)]]&gt;=0, "No evidence"))))</f>
        <v>Some evidence</v>
      </c>
      <c r="S568">
        <v>0.27</v>
      </c>
      <c r="T568" s="7" t="str">
        <f>IF(AllData[[#This Row],[Phosphate (PPM)]]&gt;0.5, "Very high", IF(AllData[[#This Row],[Phosphate (PPM)]]&gt;0.1, "High", IF(AllData[[#This Row],[Phosphate (PPM)]]&gt;0.05, "Some evidence", IF(AllData[[#This Row],[Phosphate (PPM)]]&lt;=0.05, "No Evidence", ""))))</f>
        <v>High</v>
      </c>
      <c r="U568">
        <v>15</v>
      </c>
    </row>
    <row r="569" spans="1:22" x14ac:dyDescent="0.35">
      <c r="A569" t="s">
        <v>2674</v>
      </c>
      <c r="B569" s="143">
        <v>45639</v>
      </c>
      <c r="C569" s="2" t="str" cm="1">
        <f t="array" ref="C5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69">
        <f>YEAR(AllData[[#This Row],[Date]])</f>
        <v>2024</v>
      </c>
      <c r="E569" s="1">
        <v>0.40277777777777779</v>
      </c>
      <c r="F569" t="str">
        <f>IF(AND(AllData[[#This Row],[Time]]&lt;0.5, AllData[[#This Row],[Time]]&gt;0.17)=TRUE, "Morning", IF(AND(AllData[[#This Row],[Time]]&lt;0.75, AllData[[#This Row],[Time]]&gt;=0.5)=TRUE, "Afternoon", IF(AND(AllData[[#This Row],[Time]]&lt;1, AllData[[#This Row],[Time]]&gt;=0.75)=TRUE, "Evening", "Night")))</f>
        <v>Morning</v>
      </c>
      <c r="G569" t="str">
        <f>_xlfn.XLOOKUP(AllData[[#This Row],[Location Name]], Locations[Location Name],Locations[Group As])</f>
        <v>Site 3  :  Severn Trent Water processing plant outflow</v>
      </c>
      <c r="H569" t="e" vm="1">
        <f>_xlfn.XLOOKUP(AllData[[#This Row],[Site Name]],LocationsKey[Site Name],LocationsKey[District])</f>
        <v>#VALUE!</v>
      </c>
      <c r="I569" t="e" vm="14">
        <f>_xlfn.XLOOKUP(AllData[[#This Row],[Site Name]],LocationsKey[Site Name],LocationsKey[Town])</f>
        <v>#VALUE!</v>
      </c>
      <c r="J569" t="str">
        <f>_xlfn.XLOOKUP(AllData[[#This Row],[Site Name]],LocationsKey[Site Name], LocationsKey[Waterway])</f>
        <v>Fosseway Brook</v>
      </c>
      <c r="K569" t="s">
        <v>1826</v>
      </c>
      <c r="L569">
        <v>52.094481000000002</v>
      </c>
      <c r="M569">
        <v>-1.675878</v>
      </c>
      <c r="N569" t="s">
        <v>31</v>
      </c>
      <c r="O569">
        <v>832</v>
      </c>
      <c r="P569">
        <v>10.5</v>
      </c>
      <c r="Q569">
        <v>5</v>
      </c>
      <c r="R569" s="107" t="str">
        <f>IF(AllData[[#This Row],[Nitrate (PPM)]]&gt;2, "Very high", IF(AllData[[#This Row],[Nitrate (PPM)]]&gt;1, "High", IF(AllData[[#This Row],[Nitrate (PPM)]]&gt;0.5, "Some evidence", IF(AllData[[#This Row],[Nitrate (PPM)]]&gt;=0, "No evidence"))))</f>
        <v>Very high</v>
      </c>
      <c r="S569">
        <v>5.2</v>
      </c>
      <c r="T569" s="7" t="str">
        <f>IF(AllData[[#This Row],[Phosphate (PPM)]]&gt;0.5, "Very high", IF(AllData[[#This Row],[Phosphate (PPM)]]&gt;0.1, "High", IF(AllData[[#This Row],[Phosphate (PPM)]]&gt;0.05, "Some evidence", IF(AllData[[#This Row],[Phosphate (PPM)]]&lt;=0.05, "No Evidence", ""))))</f>
        <v>Very high</v>
      </c>
      <c r="U569">
        <v>0.25</v>
      </c>
      <c r="V569" t="s">
        <v>2675</v>
      </c>
    </row>
    <row r="570" spans="1:22" x14ac:dyDescent="0.35">
      <c r="A570" t="s">
        <v>2673</v>
      </c>
      <c r="B570" s="143">
        <v>45639</v>
      </c>
      <c r="C570" s="2" t="str" cm="1">
        <f t="array" ref="C5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0">
        <f>YEAR(AllData[[#This Row],[Date]])</f>
        <v>2024</v>
      </c>
      <c r="E570" s="1">
        <v>0.63472222222222219</v>
      </c>
      <c r="F570" t="str">
        <f>IF(AND(AllData[[#This Row],[Time]]&lt;0.5, AllData[[#This Row],[Time]]&gt;0.17)=TRUE, "Morning", IF(AND(AllData[[#This Row],[Time]]&lt;0.75, AllData[[#This Row],[Time]]&gt;=0.5)=TRUE, "Afternoon", IF(AND(AllData[[#This Row],[Time]]&lt;1, AllData[[#This Row],[Time]]&gt;=0.75)=TRUE, "Evening", "Night")))</f>
        <v>Afternoon</v>
      </c>
      <c r="G570" t="str">
        <f>_xlfn.XLOOKUP(AllData[[#This Row],[Location Name]], Locations[Location Name],Locations[Group As])</f>
        <v>Stour Shipston Mill Bridge</v>
      </c>
      <c r="H570" t="e" vm="1">
        <f>_xlfn.XLOOKUP(AllData[[#This Row],[Site Name]],LocationsKey[Site Name],LocationsKey[District])</f>
        <v>#VALUE!</v>
      </c>
      <c r="I570" t="e" vm="15">
        <f>_xlfn.XLOOKUP(AllData[[#This Row],[Site Name]],LocationsKey[Site Name],LocationsKey[Town])</f>
        <v>#VALUE!</v>
      </c>
      <c r="J570" t="str">
        <f>_xlfn.XLOOKUP(AllData[[#This Row],[Site Name]],LocationsKey[Site Name], LocationsKey[Waterway])</f>
        <v>Stour</v>
      </c>
      <c r="K570" t="s">
        <v>2006</v>
      </c>
      <c r="L570">
        <v>52.062263999999999</v>
      </c>
      <c r="M570">
        <v>-1.6218619999999999</v>
      </c>
      <c r="N570" t="s">
        <v>25</v>
      </c>
      <c r="O570">
        <v>8</v>
      </c>
      <c r="P570">
        <v>8.8000000000000007</v>
      </c>
      <c r="Q570">
        <v>5</v>
      </c>
      <c r="R570" s="107" t="str">
        <f>IF(AllData[[#This Row],[Nitrate (PPM)]]&gt;2, "Very high", IF(AllData[[#This Row],[Nitrate (PPM)]]&gt;1, "High", IF(AllData[[#This Row],[Nitrate (PPM)]]&gt;0.5, "Some evidence", IF(AllData[[#This Row],[Nitrate (PPM)]]&gt;=0, "No evidence"))))</f>
        <v>Very high</v>
      </c>
      <c r="S570">
        <v>0.3</v>
      </c>
      <c r="T570" s="7" t="str">
        <f>IF(AllData[[#This Row],[Phosphate (PPM)]]&gt;0.5, "Very high", IF(AllData[[#This Row],[Phosphate (PPM)]]&gt;0.1, "High", IF(AllData[[#This Row],[Phosphate (PPM)]]&gt;0.05, "Some evidence", IF(AllData[[#This Row],[Phosphate (PPM)]]&lt;=0.05, "No Evidence", ""))))</f>
        <v>High</v>
      </c>
      <c r="U570">
        <v>0.76</v>
      </c>
    </row>
    <row r="571" spans="1:22" x14ac:dyDescent="0.35">
      <c r="A571" t="s">
        <v>2671</v>
      </c>
      <c r="B571" s="143">
        <v>45639</v>
      </c>
      <c r="C571" s="2" t="str" cm="1">
        <f t="array" ref="C5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1">
        <f>YEAR(AllData[[#This Row],[Date]])</f>
        <v>2024</v>
      </c>
      <c r="E571" s="1">
        <v>0.61458333333333337</v>
      </c>
      <c r="F571" t="str">
        <f>IF(AND(AllData[[#This Row],[Time]]&lt;0.5, AllData[[#This Row],[Time]]&gt;0.17)=TRUE, "Morning", IF(AND(AllData[[#This Row],[Time]]&lt;0.75, AllData[[#This Row],[Time]]&gt;=0.5)=TRUE, "Afternoon", IF(AND(AllData[[#This Row],[Time]]&lt;1, AllData[[#This Row],[Time]]&gt;=0.75)=TRUE, "Evening", "Night")))</f>
        <v>Afternoon</v>
      </c>
      <c r="G571" t="str">
        <f>_xlfn.XLOOKUP(AllData[[#This Row],[Location Name]], Locations[Location Name],Locations[Group As])</f>
        <v>Mill Bridge Peopleton</v>
      </c>
      <c r="H571" t="e" vm="6">
        <f>_xlfn.XLOOKUP(AllData[[#This Row],[Site Name]],LocationsKey[Site Name],LocationsKey[District])</f>
        <v>#VALUE!</v>
      </c>
      <c r="I571" t="str">
        <f>_xlfn.XLOOKUP(AllData[[#This Row],[Site Name]],LocationsKey[Site Name],LocationsKey[Town])</f>
        <v>Peopleton</v>
      </c>
      <c r="J571" t="str">
        <f>_xlfn.XLOOKUP(AllData[[#This Row],[Site Name]],LocationsKey[Site Name], LocationsKey[Waterway])</f>
        <v>Bow Brook</v>
      </c>
      <c r="K571" t="s">
        <v>915</v>
      </c>
      <c r="L571">
        <v>52.151629999999997</v>
      </c>
      <c r="M571">
        <v>-2.0962719999999999</v>
      </c>
      <c r="N571" t="s">
        <v>31</v>
      </c>
      <c r="O571">
        <v>942</v>
      </c>
      <c r="P571">
        <v>8.8000000000000007</v>
      </c>
      <c r="Q571">
        <v>2</v>
      </c>
      <c r="R571" s="107" t="str">
        <f>IF(AllData[[#This Row],[Nitrate (PPM)]]&gt;2, "Very high", IF(AllData[[#This Row],[Nitrate (PPM)]]&gt;1, "High", IF(AllData[[#This Row],[Nitrate (PPM)]]&gt;0.5, "Some evidence", IF(AllData[[#This Row],[Nitrate (PPM)]]&gt;=0, "No evidence"))))</f>
        <v>High</v>
      </c>
      <c r="S571">
        <v>0.04</v>
      </c>
      <c r="T571" s="7" t="str">
        <f>IF(AllData[[#This Row],[Phosphate (PPM)]]&gt;0.5, "Very high", IF(AllData[[#This Row],[Phosphate (PPM)]]&gt;0.1, "High", IF(AllData[[#This Row],[Phosphate (PPM)]]&gt;0.05, "Some evidence", IF(AllData[[#This Row],[Phosphate (PPM)]]&lt;=0.05, "No Evidence", ""))))</f>
        <v>No Evidence</v>
      </c>
      <c r="U571">
        <v>0.8</v>
      </c>
      <c r="V571" t="s">
        <v>2672</v>
      </c>
    </row>
    <row r="572" spans="1:22" x14ac:dyDescent="0.35">
      <c r="A572" t="s">
        <v>2676</v>
      </c>
      <c r="B572" s="143">
        <v>45639</v>
      </c>
      <c r="C572" s="2" t="str" cm="1">
        <f t="array" ref="C5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2">
        <f>YEAR(AllData[[#This Row],[Date]])</f>
        <v>2024</v>
      </c>
      <c r="E572" s="1">
        <v>0.39513888888888887</v>
      </c>
      <c r="F572" t="str">
        <f>IF(AND(AllData[[#This Row],[Time]]&lt;0.5, AllData[[#This Row],[Time]]&gt;0.17)=TRUE, "Morning", IF(AND(AllData[[#This Row],[Time]]&lt;0.75, AllData[[#This Row],[Time]]&gt;=0.5)=TRUE, "Afternoon", IF(AND(AllData[[#This Row],[Time]]&lt;1, AllData[[#This Row],[Time]]&gt;=0.75)=TRUE, "Evening", "Night")))</f>
        <v>Morning</v>
      </c>
      <c r="G572" t="str">
        <f>_xlfn.XLOOKUP(AllData[[#This Row],[Location Name]], Locations[Location Name],Locations[Group As])</f>
        <v>Site 2  :  Cross Leys culvert</v>
      </c>
      <c r="H572" t="e" vm="1">
        <f>_xlfn.XLOOKUP(AllData[[#This Row],[Site Name]],LocationsKey[Site Name],LocationsKey[District])</f>
        <v>#VALUE!</v>
      </c>
      <c r="I572" t="e" vm="14">
        <f>_xlfn.XLOOKUP(AllData[[#This Row],[Site Name]],LocationsKey[Site Name],LocationsKey[Town])</f>
        <v>#VALUE!</v>
      </c>
      <c r="J572" t="str">
        <f>_xlfn.XLOOKUP(AllData[[#This Row],[Site Name]],LocationsKey[Site Name], LocationsKey[Waterway])</f>
        <v>Fosseway Brook</v>
      </c>
      <c r="K572" t="s">
        <v>1951</v>
      </c>
      <c r="L572">
        <v>52.092979</v>
      </c>
      <c r="M572">
        <v>-1.6862699999999999</v>
      </c>
      <c r="N572" t="s">
        <v>68</v>
      </c>
      <c r="O572">
        <v>639</v>
      </c>
      <c r="P572">
        <v>8.6999999999999993</v>
      </c>
      <c r="Q572">
        <v>2</v>
      </c>
      <c r="R572" s="107" t="str">
        <f>IF(AllData[[#This Row],[Nitrate (PPM)]]&gt;2, "Very high", IF(AllData[[#This Row],[Nitrate (PPM)]]&gt;1, "High", IF(AllData[[#This Row],[Nitrate (PPM)]]&gt;0.5, "Some evidence", IF(AllData[[#This Row],[Nitrate (PPM)]]&gt;=0, "No evidence"))))</f>
        <v>High</v>
      </c>
      <c r="S572">
        <v>0.3</v>
      </c>
      <c r="T572" s="7" t="str">
        <f>IF(AllData[[#This Row],[Phosphate (PPM)]]&gt;0.5, "Very high", IF(AllData[[#This Row],[Phosphate (PPM)]]&gt;0.1, "High", IF(AllData[[#This Row],[Phosphate (PPM)]]&gt;0.05, "Some evidence", IF(AllData[[#This Row],[Phosphate (PPM)]]&lt;=0.05, "No Evidence", ""))))</f>
        <v>High</v>
      </c>
      <c r="U572">
        <v>0.2</v>
      </c>
      <c r="V572" t="s">
        <v>2675</v>
      </c>
    </row>
    <row r="573" spans="1:22" x14ac:dyDescent="0.35">
      <c r="A573" t="s">
        <v>2677</v>
      </c>
      <c r="B573" s="143">
        <v>45639</v>
      </c>
      <c r="C573" s="2" t="str" cm="1">
        <f t="array" ref="C5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3">
        <f>YEAR(AllData[[#This Row],[Date]])</f>
        <v>2024</v>
      </c>
      <c r="E573" s="1">
        <v>0.38680555555555557</v>
      </c>
      <c r="F573" t="str">
        <f>IF(AND(AllData[[#This Row],[Time]]&lt;0.5, AllData[[#This Row],[Time]]&gt;0.17)=TRUE, "Morning", IF(AND(AllData[[#This Row],[Time]]&lt;0.75, AllData[[#This Row],[Time]]&gt;=0.5)=TRUE, "Afternoon", IF(AND(AllData[[#This Row],[Time]]&lt;1, AllData[[#This Row],[Time]]&gt;=0.75)=TRUE, "Evening", "Night")))</f>
        <v>Morning</v>
      </c>
      <c r="G573" t="str">
        <f>_xlfn.XLOOKUP(AllData[[#This Row],[Location Name]], Locations[Location Name],Locations[Group As])</f>
        <v>Site 1  :  Middle Street</v>
      </c>
      <c r="H573" t="e" vm="1">
        <f>_xlfn.XLOOKUP(AllData[[#This Row],[Site Name]],LocationsKey[Site Name],LocationsKey[District])</f>
        <v>#VALUE!</v>
      </c>
      <c r="I573" t="e" vm="14">
        <f>_xlfn.XLOOKUP(AllData[[#This Row],[Site Name]],LocationsKey[Site Name],LocationsKey[Town])</f>
        <v>#VALUE!</v>
      </c>
      <c r="J573" t="str">
        <f>_xlfn.XLOOKUP(AllData[[#This Row],[Site Name]],LocationsKey[Site Name], LocationsKey[Waterway])</f>
        <v>Fosseway Brook</v>
      </c>
      <c r="K573" t="s">
        <v>678</v>
      </c>
      <c r="L573">
        <v>52.090074000000001</v>
      </c>
      <c r="M573">
        <v>-1.692593</v>
      </c>
      <c r="N573" t="s">
        <v>68</v>
      </c>
      <c r="O573">
        <v>583</v>
      </c>
      <c r="P573">
        <v>8</v>
      </c>
      <c r="Q573">
        <v>2</v>
      </c>
      <c r="R573" s="107" t="str">
        <f>IF(AllData[[#This Row],[Nitrate (PPM)]]&gt;2, "Very high", IF(AllData[[#This Row],[Nitrate (PPM)]]&gt;1, "High", IF(AllData[[#This Row],[Nitrate (PPM)]]&gt;0.5, "Some evidence", IF(AllData[[#This Row],[Nitrate (PPM)]]&gt;=0, "No evidence"))))</f>
        <v>High</v>
      </c>
      <c r="S573">
        <v>0.19</v>
      </c>
      <c r="T573" s="7" t="str">
        <f>IF(AllData[[#This Row],[Phosphate (PPM)]]&gt;0.5, "Very high", IF(AllData[[#This Row],[Phosphate (PPM)]]&gt;0.1, "High", IF(AllData[[#This Row],[Phosphate (PPM)]]&gt;0.05, "Some evidence", IF(AllData[[#This Row],[Phosphate (PPM)]]&lt;=0.05, "No Evidence", ""))))</f>
        <v>High</v>
      </c>
      <c r="U573">
        <v>0.1</v>
      </c>
      <c r="V573" t="s">
        <v>2675</v>
      </c>
    </row>
    <row r="574" spans="1:22" x14ac:dyDescent="0.35">
      <c r="A574" t="s">
        <v>2670</v>
      </c>
      <c r="B574" s="143">
        <v>45638</v>
      </c>
      <c r="C574" s="2" t="str" cm="1">
        <f t="array" ref="C5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4">
        <f>YEAR(AllData[[#This Row],[Date]])</f>
        <v>2024</v>
      </c>
      <c r="E574" s="1">
        <v>0.48333333333333334</v>
      </c>
      <c r="F574" t="str">
        <f>IF(AND(AllData[[#This Row],[Time]]&lt;0.5, AllData[[#This Row],[Time]]&gt;0.17)=TRUE, "Morning", IF(AND(AllData[[#This Row],[Time]]&lt;0.75, AllData[[#This Row],[Time]]&gt;=0.5)=TRUE, "Afternoon", IF(AND(AllData[[#This Row],[Time]]&lt;1, AllData[[#This Row],[Time]]&gt;=0.75)=TRUE, "Evening", "Night")))</f>
        <v>Morning</v>
      </c>
      <c r="G574" t="str">
        <f>_xlfn.XLOOKUP(AllData[[#This Row],[Location Name]], Locations[Location Name],Locations[Group As])</f>
        <v>Preston-on-Stour River Bridge</v>
      </c>
      <c r="H574" t="e" vm="1">
        <f>_xlfn.XLOOKUP(AllData[[#This Row],[Site Name]],LocationsKey[Site Name],LocationsKey[District])</f>
        <v>#VALUE!</v>
      </c>
      <c r="I574" t="e" vm="20">
        <f>_xlfn.XLOOKUP(AllData[[#This Row],[Site Name]],LocationsKey[Site Name],LocationsKey[Town])</f>
        <v>#VALUE!</v>
      </c>
      <c r="J574" t="str">
        <f>_xlfn.XLOOKUP(AllData[[#This Row],[Site Name]],LocationsKey[Site Name], LocationsKey[Waterway])</f>
        <v>Stour</v>
      </c>
      <c r="K574" t="s">
        <v>164</v>
      </c>
      <c r="L574">
        <v>52.146535</v>
      </c>
      <c r="M574">
        <v>-1.6992419999999999</v>
      </c>
      <c r="N574" t="s">
        <v>31</v>
      </c>
      <c r="O574">
        <v>621</v>
      </c>
      <c r="P574">
        <v>7.9</v>
      </c>
      <c r="Q574">
        <v>8</v>
      </c>
      <c r="R574" s="107" t="str">
        <f>IF(AllData[[#This Row],[Nitrate (PPM)]]&gt;2, "Very high", IF(AllData[[#This Row],[Nitrate (PPM)]]&gt;1, "High", IF(AllData[[#This Row],[Nitrate (PPM)]]&gt;0.5, "Some evidence", IF(AllData[[#This Row],[Nitrate (PPM)]]&gt;=0, "No evidence"))))</f>
        <v>Very high</v>
      </c>
      <c r="S574">
        <v>0.32</v>
      </c>
      <c r="T574" s="7" t="str">
        <f>IF(AllData[[#This Row],[Phosphate (PPM)]]&gt;0.5, "Very high", IF(AllData[[#This Row],[Phosphate (PPM)]]&gt;0.1, "High", IF(AllData[[#This Row],[Phosphate (PPM)]]&gt;0.05, "Some evidence", IF(AllData[[#This Row],[Phosphate (PPM)]]&lt;=0.05, "No Evidence", ""))))</f>
        <v>High</v>
      </c>
      <c r="U574">
        <v>1.5</v>
      </c>
      <c r="V574" t="s">
        <v>703</v>
      </c>
    </row>
    <row r="575" spans="1:22" x14ac:dyDescent="0.35">
      <c r="A575" t="s">
        <v>2668</v>
      </c>
      <c r="B575" s="143">
        <v>45638</v>
      </c>
      <c r="C575" s="2" t="str" cm="1">
        <f t="array" ref="C5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5">
        <f>YEAR(AllData[[#This Row],[Date]])</f>
        <v>2024</v>
      </c>
      <c r="E575" s="1">
        <v>0.58125000000000004</v>
      </c>
      <c r="F575" t="str">
        <f>IF(AND(AllData[[#This Row],[Time]]&lt;0.5, AllData[[#This Row],[Time]]&gt;0.17)=TRUE, "Morning", IF(AND(AllData[[#This Row],[Time]]&lt;0.75, AllData[[#This Row],[Time]]&gt;=0.5)=TRUE, "Afternoon", IF(AND(AllData[[#This Row],[Time]]&lt;1, AllData[[#This Row],[Time]]&gt;=0.75)=TRUE, "Evening", "Night")))</f>
        <v>Afternoon</v>
      </c>
      <c r="G575" t="str">
        <f>_xlfn.XLOOKUP(AllData[[#This Row],[Location Name]], Locations[Location Name],Locations[Group As])</f>
        <v>Alveston Weir</v>
      </c>
      <c r="H575" t="e" vm="1">
        <f>_xlfn.XLOOKUP(AllData[[#This Row],[Site Name]],LocationsKey[Site Name],LocationsKey[District])</f>
        <v>#VALUE!</v>
      </c>
      <c r="I575" t="e" vm="2">
        <f>_xlfn.XLOOKUP(AllData[[#This Row],[Site Name]],LocationsKey[Site Name],LocationsKey[Town])</f>
        <v>#VALUE!</v>
      </c>
      <c r="J575" t="str">
        <f>_xlfn.XLOOKUP(AllData[[#This Row],[Site Name]],LocationsKey[Site Name], LocationsKey[Waterway])</f>
        <v>Avon</v>
      </c>
      <c r="K575" t="s">
        <v>288</v>
      </c>
      <c r="N575" t="s">
        <v>31</v>
      </c>
      <c r="O575">
        <v>559</v>
      </c>
      <c r="P575">
        <v>8.6999999999999993</v>
      </c>
      <c r="Q575">
        <v>5</v>
      </c>
      <c r="R575" s="107" t="str">
        <f>IF(AllData[[#This Row],[Nitrate (PPM)]]&gt;2, "Very high", IF(AllData[[#This Row],[Nitrate (PPM)]]&gt;1, "High", IF(AllData[[#This Row],[Nitrate (PPM)]]&gt;0.5, "Some evidence", IF(AllData[[#This Row],[Nitrate (PPM)]]&gt;=0, "No evidence"))))</f>
        <v>Very high</v>
      </c>
      <c r="S575">
        <v>0.4</v>
      </c>
      <c r="T575" s="7" t="str">
        <f>IF(AllData[[#This Row],[Phosphate (PPM)]]&gt;0.5, "Very high", IF(AllData[[#This Row],[Phosphate (PPM)]]&gt;0.1, "High", IF(AllData[[#This Row],[Phosphate (PPM)]]&gt;0.05, "Some evidence", IF(AllData[[#This Row],[Phosphate (PPM)]]&lt;=0.05, "No Evidence", ""))))</f>
        <v>High</v>
      </c>
      <c r="U575">
        <v>0.1</v>
      </c>
      <c r="V575" t="s">
        <v>2669</v>
      </c>
    </row>
    <row r="576" spans="1:22" x14ac:dyDescent="0.35">
      <c r="A576" t="s">
        <v>2666</v>
      </c>
      <c r="B576" s="143">
        <v>45638</v>
      </c>
      <c r="C576" s="2" t="str" cm="1">
        <f t="array" ref="C5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6">
        <f>YEAR(AllData[[#This Row],[Date]])</f>
        <v>2024</v>
      </c>
      <c r="E576" s="1">
        <v>0.59722222222222221</v>
      </c>
      <c r="F576" t="str">
        <f>IF(AND(AllData[[#This Row],[Time]]&lt;0.5, AllData[[#This Row],[Time]]&gt;0.17)=TRUE, "Morning", IF(AND(AllData[[#This Row],[Time]]&lt;0.75, AllData[[#This Row],[Time]]&gt;=0.5)=TRUE, "Afternoon", IF(AND(AllData[[#This Row],[Time]]&lt;1, AllData[[#This Row],[Time]]&gt;=0.75)=TRUE, "Evening", "Night")))</f>
        <v>Afternoon</v>
      </c>
      <c r="G576" t="str">
        <f>_xlfn.XLOOKUP(AllData[[#This Row],[Location Name]], Locations[Location Name],Locations[Group As])</f>
        <v>Swiffen Bank</v>
      </c>
      <c r="H576" t="e" vm="1">
        <f>_xlfn.XLOOKUP(AllData[[#This Row],[Site Name]],LocationsKey[Site Name],LocationsKey[District])</f>
        <v>#VALUE!</v>
      </c>
      <c r="I576" t="e" vm="2">
        <f>_xlfn.XLOOKUP(AllData[[#This Row],[Site Name]],LocationsKey[Site Name],LocationsKey[Town])</f>
        <v>#VALUE!</v>
      </c>
      <c r="J576" t="str">
        <f>_xlfn.XLOOKUP(AllData[[#This Row],[Site Name]],LocationsKey[Site Name], LocationsKey[Waterway])</f>
        <v>Avon</v>
      </c>
      <c r="K576" t="s">
        <v>1448</v>
      </c>
      <c r="L576">
        <v>52.206477999999997</v>
      </c>
      <c r="M576">
        <v>-1.653894</v>
      </c>
      <c r="N576" t="s">
        <v>31</v>
      </c>
      <c r="O576">
        <v>47.4</v>
      </c>
      <c r="P576">
        <v>9.1999999999999993</v>
      </c>
      <c r="Q576">
        <v>5</v>
      </c>
      <c r="R576" s="107" t="str">
        <f>IF(AllData[[#This Row],[Nitrate (PPM)]]&gt;2, "Very high", IF(AllData[[#This Row],[Nitrate (PPM)]]&gt;1, "High", IF(AllData[[#This Row],[Nitrate (PPM)]]&gt;0.5, "Some evidence", IF(AllData[[#This Row],[Nitrate (PPM)]]&gt;=0, "No evidence"))))</f>
        <v>Very high</v>
      </c>
      <c r="S576">
        <v>0.32</v>
      </c>
      <c r="T576" s="7" t="str">
        <f>IF(AllData[[#This Row],[Phosphate (PPM)]]&gt;0.5, "Very high", IF(AllData[[#This Row],[Phosphate (PPM)]]&gt;0.1, "High", IF(AllData[[#This Row],[Phosphate (PPM)]]&gt;0.05, "Some evidence", IF(AllData[[#This Row],[Phosphate (PPM)]]&lt;=0.05, "No Evidence", ""))))</f>
        <v>High</v>
      </c>
      <c r="U576">
        <v>0.5</v>
      </c>
      <c r="V576" t="s">
        <v>2667</v>
      </c>
    </row>
    <row r="577" spans="1:22" x14ac:dyDescent="0.35">
      <c r="A577" t="s">
        <v>2665</v>
      </c>
      <c r="B577" s="143">
        <v>45638</v>
      </c>
      <c r="C577" s="2" t="str" cm="1">
        <f t="array" ref="C5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7">
        <f>YEAR(AllData[[#This Row],[Date]])</f>
        <v>2024</v>
      </c>
      <c r="E577" s="1">
        <v>0.40625</v>
      </c>
      <c r="F577" t="str">
        <f>IF(AND(AllData[[#This Row],[Time]]&lt;0.5, AllData[[#This Row],[Time]]&gt;0.17)=TRUE, "Morning", IF(AND(AllData[[#This Row],[Time]]&lt;0.75, AllData[[#This Row],[Time]]&gt;=0.5)=TRUE, "Afternoon", IF(AND(AllData[[#This Row],[Time]]&lt;1, AllData[[#This Row],[Time]]&gt;=0.75)=TRUE, "Evening", "Night")))</f>
        <v>Morning</v>
      </c>
      <c r="G577" t="str">
        <f>_xlfn.XLOOKUP(AllData[[#This Row],[Location Name]], Locations[Location Name],Locations[Group As])</f>
        <v>Swilgate</v>
      </c>
      <c r="H577" t="e" vm="4">
        <f>_xlfn.XLOOKUP(AllData[[#This Row],[Site Name]],LocationsKey[Site Name],LocationsKey[District])</f>
        <v>#VALUE!</v>
      </c>
      <c r="I577" t="e" vm="4">
        <f>_xlfn.XLOOKUP(AllData[[#This Row],[Site Name]],LocationsKey[Site Name],LocationsKey[Town])</f>
        <v>#VALUE!</v>
      </c>
      <c r="J577" t="str">
        <f>_xlfn.XLOOKUP(AllData[[#This Row],[Site Name]],LocationsKey[Site Name], LocationsKey[Waterway])</f>
        <v>Swilgate</v>
      </c>
      <c r="K577" t="s">
        <v>85</v>
      </c>
      <c r="N577" t="s">
        <v>25</v>
      </c>
      <c r="O577">
        <v>682</v>
      </c>
      <c r="P577">
        <v>6.8</v>
      </c>
      <c r="Q577">
        <v>4</v>
      </c>
      <c r="R577" s="107" t="str">
        <f>IF(AllData[[#This Row],[Nitrate (PPM)]]&gt;2, "Very high", IF(AllData[[#This Row],[Nitrate (PPM)]]&gt;1, "High", IF(AllData[[#This Row],[Nitrate (PPM)]]&gt;0.5, "Some evidence", IF(AllData[[#This Row],[Nitrate (PPM)]]&gt;=0, "No evidence"))))</f>
        <v>Very high</v>
      </c>
      <c r="S577">
        <v>0.34</v>
      </c>
      <c r="T577" s="7" t="str">
        <f>IF(AllData[[#This Row],[Phosphate (PPM)]]&gt;0.5, "Very high", IF(AllData[[#This Row],[Phosphate (PPM)]]&gt;0.1, "High", IF(AllData[[#This Row],[Phosphate (PPM)]]&gt;0.05, "Some evidence", IF(AllData[[#This Row],[Phosphate (PPM)]]&lt;=0.05, "No Evidence", ""))))</f>
        <v>High</v>
      </c>
      <c r="U577">
        <v>1.5</v>
      </c>
    </row>
    <row r="578" spans="1:22" x14ac:dyDescent="0.35">
      <c r="A578" t="s">
        <v>2663</v>
      </c>
      <c r="B578" s="143">
        <v>45637</v>
      </c>
      <c r="C578" s="2" t="str" cm="1">
        <f t="array" ref="C5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8">
        <f>YEAR(AllData[[#This Row],[Date]])</f>
        <v>2024</v>
      </c>
      <c r="E578" s="1">
        <v>0.58750000000000002</v>
      </c>
      <c r="F578" t="str">
        <f>IF(AND(AllData[[#This Row],[Time]]&lt;0.5, AllData[[#This Row],[Time]]&gt;0.17)=TRUE, "Morning", IF(AND(AllData[[#This Row],[Time]]&lt;0.75, AllData[[#This Row],[Time]]&gt;=0.5)=TRUE, "Afternoon", IF(AND(AllData[[#This Row],[Time]]&lt;1, AllData[[#This Row],[Time]]&gt;=0.75)=TRUE, "Evening", "Night")))</f>
        <v>Afternoon</v>
      </c>
      <c r="G578" t="str">
        <f>_xlfn.XLOOKUP(AllData[[#This Row],[Location Name]], Locations[Location Name],Locations[Group As])</f>
        <v>Twyning Fleet</v>
      </c>
      <c r="H578" t="e" vm="4">
        <f>_xlfn.XLOOKUP(AllData[[#This Row],[Site Name]],LocationsKey[Site Name],LocationsKey[District])</f>
        <v>#VALUE!</v>
      </c>
      <c r="I578" t="str">
        <f>_xlfn.XLOOKUP(AllData[[#This Row],[Site Name]],LocationsKey[Site Name],LocationsKey[Town])</f>
        <v>Twyning Green</v>
      </c>
      <c r="J578" t="str">
        <f>_xlfn.XLOOKUP(AllData[[#This Row],[Site Name]],LocationsKey[Site Name], LocationsKey[Waterway])</f>
        <v>Avon</v>
      </c>
      <c r="K578" t="s">
        <v>2117</v>
      </c>
      <c r="L578">
        <v>52.027099</v>
      </c>
      <c r="M578">
        <v>-2.1410439999999999</v>
      </c>
      <c r="N578" t="s">
        <v>31</v>
      </c>
      <c r="O578">
        <v>553</v>
      </c>
      <c r="P578">
        <v>7.4</v>
      </c>
      <c r="Q578">
        <v>5</v>
      </c>
      <c r="R578" s="107" t="str">
        <f>IF(AllData[[#This Row],[Nitrate (PPM)]]&gt;2, "Very high", IF(AllData[[#This Row],[Nitrate (PPM)]]&gt;1, "High", IF(AllData[[#This Row],[Nitrate (PPM)]]&gt;0.5, "Some evidence", IF(AllData[[#This Row],[Nitrate (PPM)]]&gt;=0, "No evidence"))))</f>
        <v>Very high</v>
      </c>
      <c r="S578">
        <v>0.15</v>
      </c>
      <c r="T578" s="7" t="str">
        <f>IF(AllData[[#This Row],[Phosphate (PPM)]]&gt;0.5, "Very high", IF(AllData[[#This Row],[Phosphate (PPM)]]&gt;0.1, "High", IF(AllData[[#This Row],[Phosphate (PPM)]]&gt;0.05, "Some evidence", IF(AllData[[#This Row],[Phosphate (PPM)]]&lt;=0.05, "No Evidence", ""))))</f>
        <v>High</v>
      </c>
      <c r="U578">
        <v>3</v>
      </c>
      <c r="V578" t="s">
        <v>2664</v>
      </c>
    </row>
    <row r="579" spans="1:22" x14ac:dyDescent="0.35">
      <c r="A579" t="s">
        <v>2661</v>
      </c>
      <c r="B579" s="143">
        <v>45636</v>
      </c>
      <c r="C579" s="2" t="str" cm="1">
        <f t="array" ref="C5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79">
        <f>YEAR(AllData[[#This Row],[Date]])</f>
        <v>2024</v>
      </c>
      <c r="E579" s="1">
        <v>0.625</v>
      </c>
      <c r="F579" t="str">
        <f>IF(AND(AllData[[#This Row],[Time]]&lt;0.5, AllData[[#This Row],[Time]]&gt;0.17)=TRUE, "Morning", IF(AND(AllData[[#This Row],[Time]]&lt;0.75, AllData[[#This Row],[Time]]&gt;=0.5)=TRUE, "Afternoon", IF(AND(AllData[[#This Row],[Time]]&lt;1, AllData[[#This Row],[Time]]&gt;=0.75)=TRUE, "Evening", "Night")))</f>
        <v>Afternoon</v>
      </c>
      <c r="G579" t="str">
        <f>_xlfn.XLOOKUP(AllData[[#This Row],[Location Name]], Locations[Location Name],Locations[Group As])</f>
        <v>New Barn Farm Brailes</v>
      </c>
      <c r="H579" t="e" vm="1">
        <f>_xlfn.XLOOKUP(AllData[[#This Row],[Site Name]],LocationsKey[Site Name],LocationsKey[District])</f>
        <v>#VALUE!</v>
      </c>
      <c r="I579" t="e" vm="5">
        <f>_xlfn.XLOOKUP(AllData[[#This Row],[Site Name]],LocationsKey[Site Name],LocationsKey[Town])</f>
        <v>#VALUE!</v>
      </c>
      <c r="J579" t="str">
        <f>_xlfn.XLOOKUP(AllData[[#This Row],[Site Name]],LocationsKey[Site Name], LocationsKey[Waterway])</f>
        <v>Sutton Brook</v>
      </c>
      <c r="K579" t="s">
        <v>2564</v>
      </c>
      <c r="N579" t="s">
        <v>31</v>
      </c>
      <c r="O579">
        <v>530</v>
      </c>
      <c r="P579">
        <v>9.6</v>
      </c>
      <c r="Q579">
        <v>8</v>
      </c>
      <c r="R579" s="107" t="str">
        <f>IF(AllData[[#This Row],[Nitrate (PPM)]]&gt;2, "Very high", IF(AllData[[#This Row],[Nitrate (PPM)]]&gt;1, "High", IF(AllData[[#This Row],[Nitrate (PPM)]]&gt;0.5, "Some evidence", IF(AllData[[#This Row],[Nitrate (PPM)]]&gt;=0, "No evidence"))))</f>
        <v>Very high</v>
      </c>
      <c r="S579">
        <v>0.3</v>
      </c>
      <c r="T579" s="7" t="str">
        <f>IF(AllData[[#This Row],[Phosphate (PPM)]]&gt;0.5, "Very high", IF(AllData[[#This Row],[Phosphate (PPM)]]&gt;0.1, "High", IF(AllData[[#This Row],[Phosphate (PPM)]]&gt;0.05, "Some evidence", IF(AllData[[#This Row],[Phosphate (PPM)]]&lt;=0.05, "No Evidence", ""))))</f>
        <v>High</v>
      </c>
      <c r="U579">
        <v>1</v>
      </c>
    </row>
    <row r="580" spans="1:22" x14ac:dyDescent="0.35">
      <c r="A580" t="s">
        <v>2659</v>
      </c>
      <c r="B580" s="143">
        <v>45636</v>
      </c>
      <c r="C580" s="2" t="str" cm="1">
        <f t="array" ref="C5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0">
        <f>YEAR(AllData[[#This Row],[Date]])</f>
        <v>2024</v>
      </c>
      <c r="E580" s="1">
        <v>0.59722222222222221</v>
      </c>
      <c r="F580" t="str">
        <f>IF(AND(AllData[[#This Row],[Time]]&lt;0.5, AllData[[#This Row],[Time]]&gt;0.17)=TRUE, "Morning", IF(AND(AllData[[#This Row],[Time]]&lt;0.75, AllData[[#This Row],[Time]]&gt;=0.5)=TRUE, "Afternoon", IF(AND(AllData[[#This Row],[Time]]&lt;1, AllData[[#This Row],[Time]]&gt;=0.75)=TRUE, "Evening", "Night")))</f>
        <v>Afternoon</v>
      </c>
      <c r="G580" t="str">
        <f>_xlfn.XLOOKUP(AllData[[#This Row],[Location Name]], Locations[Location Name],Locations[Group As])</f>
        <v>High Street Brailes</v>
      </c>
      <c r="H580" t="e" vm="1">
        <f>_xlfn.XLOOKUP(AllData[[#This Row],[Site Name]],LocationsKey[Site Name],LocationsKey[District])</f>
        <v>#VALUE!</v>
      </c>
      <c r="I580" t="e" vm="5">
        <f>_xlfn.XLOOKUP(AllData[[#This Row],[Site Name]],LocationsKey[Site Name],LocationsKey[Town])</f>
        <v>#VALUE!</v>
      </c>
      <c r="J580" t="str">
        <f>_xlfn.XLOOKUP(AllData[[#This Row],[Site Name]],LocationsKey[Site Name], LocationsKey[Waterway])</f>
        <v>Sutton Brook</v>
      </c>
      <c r="K580" t="s">
        <v>2660</v>
      </c>
      <c r="N580" t="s">
        <v>68</v>
      </c>
      <c r="O580">
        <v>521</v>
      </c>
      <c r="P580">
        <v>8.6</v>
      </c>
      <c r="Q580">
        <v>8</v>
      </c>
      <c r="R580" s="107" t="str">
        <f>IF(AllData[[#This Row],[Nitrate (PPM)]]&gt;2, "Very high", IF(AllData[[#This Row],[Nitrate (PPM)]]&gt;1, "High", IF(AllData[[#This Row],[Nitrate (PPM)]]&gt;0.5, "Some evidence", IF(AllData[[#This Row],[Nitrate (PPM)]]&gt;=0, "No evidence"))))</f>
        <v>Very high</v>
      </c>
      <c r="S580">
        <v>0.2</v>
      </c>
      <c r="T580" s="7" t="str">
        <f>IF(AllData[[#This Row],[Phosphate (PPM)]]&gt;0.5, "Very high", IF(AllData[[#This Row],[Phosphate (PPM)]]&gt;0.1, "High", IF(AllData[[#This Row],[Phosphate (PPM)]]&gt;0.05, "Some evidence", IF(AllData[[#This Row],[Phosphate (PPM)]]&lt;=0.05, "No Evidence", ""))))</f>
        <v>High</v>
      </c>
      <c r="U580">
        <v>1</v>
      </c>
    </row>
    <row r="581" spans="1:22" x14ac:dyDescent="0.35">
      <c r="A581" t="s">
        <v>2658</v>
      </c>
      <c r="B581" s="143">
        <v>45636</v>
      </c>
      <c r="C581" s="2" t="str" cm="1">
        <f t="array" ref="C5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1">
        <f>YEAR(AllData[[#This Row],[Date]])</f>
        <v>2024</v>
      </c>
      <c r="E581" s="1">
        <v>0.39583333333333331</v>
      </c>
      <c r="F581" t="str">
        <f>IF(AND(AllData[[#This Row],[Time]]&lt;0.5, AllData[[#This Row],[Time]]&gt;0.17)=TRUE, "Morning", IF(AND(AllData[[#This Row],[Time]]&lt;0.75, AllData[[#This Row],[Time]]&gt;=0.5)=TRUE, "Afternoon", IF(AND(AllData[[#This Row],[Time]]&lt;1, AllData[[#This Row],[Time]]&gt;=0.75)=TRUE, "Evening", "Night")))</f>
        <v>Morning</v>
      </c>
      <c r="G581" t="str">
        <f>_xlfn.XLOOKUP(AllData[[#This Row],[Location Name]], Locations[Location Name],Locations[Group As])</f>
        <v>Carters Lane</v>
      </c>
      <c r="H581" t="e" vm="1">
        <f>_xlfn.XLOOKUP(AllData[[#This Row],[Site Name]],LocationsKey[Site Name],LocationsKey[District])</f>
        <v>#VALUE!</v>
      </c>
      <c r="I581" t="e" vm="3">
        <f>_xlfn.XLOOKUP(AllData[[#This Row],[Site Name]],LocationsKey[Site Name],LocationsKey[Town])</f>
        <v>#VALUE!</v>
      </c>
      <c r="J581" t="str">
        <f>_xlfn.XLOOKUP(AllData[[#This Row],[Site Name]],LocationsKey[Site Name], LocationsKey[Waterway])</f>
        <v>Avon</v>
      </c>
      <c r="K581" t="s">
        <v>2250</v>
      </c>
      <c r="L581">
        <v>52.202399999999997</v>
      </c>
      <c r="M581">
        <v>-1.67693</v>
      </c>
      <c r="N581" t="s">
        <v>68</v>
      </c>
      <c r="O581">
        <v>542</v>
      </c>
      <c r="P581">
        <v>7.5</v>
      </c>
      <c r="Q581">
        <v>0</v>
      </c>
      <c r="R581" s="107" t="str">
        <f>IF(AllData[[#This Row],[Nitrate (PPM)]]&gt;2, "Very high", IF(AllData[[#This Row],[Nitrate (PPM)]]&gt;1, "High", IF(AllData[[#This Row],[Nitrate (PPM)]]&gt;0.5, "Some evidence", IF(AllData[[#This Row],[Nitrate (PPM)]]&gt;=0, "No evidence"))))</f>
        <v>No evidence</v>
      </c>
      <c r="S581">
        <v>0.61</v>
      </c>
      <c r="T581" s="7" t="str">
        <f>IF(AllData[[#This Row],[Phosphate (PPM)]]&gt;0.5, "Very high", IF(AllData[[#This Row],[Phosphate (PPM)]]&gt;0.1, "High", IF(AllData[[#This Row],[Phosphate (PPM)]]&gt;0.05, "Some evidence", IF(AllData[[#This Row],[Phosphate (PPM)]]&lt;=0.05, "No Evidence", ""))))</f>
        <v>Very high</v>
      </c>
      <c r="U581">
        <v>1.03</v>
      </c>
    </row>
    <row r="582" spans="1:22" x14ac:dyDescent="0.35">
      <c r="A582" t="s">
        <v>2662</v>
      </c>
      <c r="B582" s="143">
        <v>45636</v>
      </c>
      <c r="C582" s="2" t="str" cm="1">
        <f t="array" ref="C5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2">
        <f>YEAR(AllData[[#This Row],[Date]])</f>
        <v>2024</v>
      </c>
      <c r="E582" s="1">
        <v>0.39583333333333331</v>
      </c>
      <c r="F582" t="str">
        <f>IF(AND(AllData[[#This Row],[Time]]&lt;0.5, AllData[[#This Row],[Time]]&gt;0.17)=TRUE, "Morning", IF(AND(AllData[[#This Row],[Time]]&lt;0.75, AllData[[#This Row],[Time]]&gt;=0.5)=TRUE, "Afternoon", IF(AND(AllData[[#This Row],[Time]]&lt;1, AllData[[#This Row],[Time]]&gt;=0.75)=TRUE, "Evening", "Night")))</f>
        <v>Morning</v>
      </c>
      <c r="G582" t="str">
        <f>_xlfn.XLOOKUP(AllData[[#This Row],[Location Name]], Locations[Location Name],Locations[Group As])</f>
        <v>School Lane</v>
      </c>
      <c r="H582" t="e" vm="1">
        <f>_xlfn.XLOOKUP(AllData[[#This Row],[Site Name]],LocationsKey[Site Name],LocationsKey[District])</f>
        <v>#VALUE!</v>
      </c>
      <c r="I582" t="e" vm="3">
        <f>_xlfn.XLOOKUP(AllData[[#This Row],[Site Name]],LocationsKey[Site Name],LocationsKey[Town])</f>
        <v>#VALUE!</v>
      </c>
      <c r="J582" t="str">
        <f>_xlfn.XLOOKUP(AllData[[#This Row],[Site Name]],LocationsKey[Site Name], LocationsKey[Waterway])</f>
        <v>Avon</v>
      </c>
      <c r="K582" t="s">
        <v>2252</v>
      </c>
      <c r="L582">
        <v>52.202539000000002</v>
      </c>
      <c r="M582">
        <v>-1.6787270000000001</v>
      </c>
      <c r="N582" t="s">
        <v>31</v>
      </c>
      <c r="O582">
        <v>536</v>
      </c>
      <c r="P582">
        <v>7.6</v>
      </c>
      <c r="Q582">
        <v>0</v>
      </c>
      <c r="R582" s="107" t="str">
        <f>IF(AllData[[#This Row],[Nitrate (PPM)]]&gt;2, "Very high", IF(AllData[[#This Row],[Nitrate (PPM)]]&gt;1, "High", IF(AllData[[#This Row],[Nitrate (PPM)]]&gt;0.5, "Some evidence", IF(AllData[[#This Row],[Nitrate (PPM)]]&gt;=0, "No evidence"))))</f>
        <v>No evidence</v>
      </c>
      <c r="S582">
        <v>0.5</v>
      </c>
      <c r="T582" s="7" t="str">
        <f>IF(AllData[[#This Row],[Phosphate (PPM)]]&gt;0.5, "Very high", IF(AllData[[#This Row],[Phosphate (PPM)]]&gt;0.1, "High", IF(AllData[[#This Row],[Phosphate (PPM)]]&gt;0.05, "Some evidence", IF(AllData[[#This Row],[Phosphate (PPM)]]&lt;=0.05, "No Evidence", ""))))</f>
        <v>High</v>
      </c>
      <c r="U582">
        <v>1.03</v>
      </c>
    </row>
    <row r="583" spans="1:22" x14ac:dyDescent="0.35">
      <c r="A583" t="s">
        <v>2654</v>
      </c>
      <c r="B583" s="143">
        <v>45635</v>
      </c>
      <c r="C583" s="2" t="str" cm="1">
        <f t="array" ref="C5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3">
        <f>YEAR(AllData[[#This Row],[Date]])</f>
        <v>2024</v>
      </c>
      <c r="E583" s="1">
        <v>0.34722222222222221</v>
      </c>
      <c r="F583" t="str">
        <f>IF(AND(AllData[[#This Row],[Time]]&lt;0.5, AllData[[#This Row],[Time]]&gt;0.17)=TRUE, "Morning", IF(AND(AllData[[#This Row],[Time]]&lt;0.75, AllData[[#This Row],[Time]]&gt;=0.5)=TRUE, "Afternoon", IF(AND(AllData[[#This Row],[Time]]&lt;1, AllData[[#This Row],[Time]]&gt;=0.75)=TRUE, "Evening", "Night")))</f>
        <v>Morning</v>
      </c>
      <c r="G583" t="str">
        <f>_xlfn.XLOOKUP(AllData[[#This Row],[Location Name]], Locations[Location Name],Locations[Group As])</f>
        <v>Chipping Campden Sewage Works</v>
      </c>
      <c r="H583" t="e" vm="9">
        <f>_xlfn.XLOOKUP(AllData[[#This Row],[Site Name]],LocationsKey[Site Name],LocationsKey[District])</f>
        <v>#VALUE!</v>
      </c>
      <c r="I583" t="e" vm="10">
        <f>_xlfn.XLOOKUP(AllData[[#This Row],[Site Name]],LocationsKey[Site Name],LocationsKey[Town])</f>
        <v>#VALUE!</v>
      </c>
      <c r="J583" t="str">
        <f>_xlfn.XLOOKUP(AllData[[#This Row],[Site Name]],LocationsKey[Site Name], LocationsKey[Waterway])</f>
        <v>Cam Brook</v>
      </c>
      <c r="K583" t="s">
        <v>1570</v>
      </c>
      <c r="N583" t="s">
        <v>31</v>
      </c>
      <c r="O583">
        <v>593</v>
      </c>
      <c r="P583">
        <v>9.4</v>
      </c>
      <c r="Q583">
        <v>5</v>
      </c>
      <c r="R583" s="107" t="str">
        <f>IF(AllData[[#This Row],[Nitrate (PPM)]]&gt;2, "Very high", IF(AllData[[#This Row],[Nitrate (PPM)]]&gt;1, "High", IF(AllData[[#This Row],[Nitrate (PPM)]]&gt;0.5, "Some evidence", IF(AllData[[#This Row],[Nitrate (PPM)]]&gt;=0, "No evidence"))))</f>
        <v>Very high</v>
      </c>
      <c r="S583">
        <v>0.42</v>
      </c>
      <c r="T583" s="7" t="str">
        <f>IF(AllData[[#This Row],[Phosphate (PPM)]]&gt;0.5, "Very high", IF(AllData[[#This Row],[Phosphate (PPM)]]&gt;0.1, "High", IF(AllData[[#This Row],[Phosphate (PPM)]]&gt;0.05, "Some evidence", IF(AllData[[#This Row],[Phosphate (PPM)]]&lt;=0.05, "No Evidence", ""))))</f>
        <v>High</v>
      </c>
      <c r="U583">
        <v>0.44</v>
      </c>
    </row>
    <row r="584" spans="1:22" x14ac:dyDescent="0.35">
      <c r="A584" t="s">
        <v>2655</v>
      </c>
      <c r="B584" s="143">
        <v>45635</v>
      </c>
      <c r="C584" s="2" t="str" cm="1">
        <f t="array" ref="C5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4">
        <f>YEAR(AllData[[#This Row],[Date]])</f>
        <v>2024</v>
      </c>
      <c r="E584" s="1">
        <v>0.35416666666666669</v>
      </c>
      <c r="F584" t="str">
        <f>IF(AND(AllData[[#This Row],[Time]]&lt;0.5, AllData[[#This Row],[Time]]&gt;0.17)=TRUE, "Morning", IF(AND(AllData[[#This Row],[Time]]&lt;0.75, AllData[[#This Row],[Time]]&gt;=0.5)=TRUE, "Afternoon", IF(AND(AllData[[#This Row],[Time]]&lt;1, AllData[[#This Row],[Time]]&gt;=0.75)=TRUE, "Evening", "Night")))</f>
        <v>Morning</v>
      </c>
      <c r="G584" t="str">
        <f>_xlfn.XLOOKUP(AllData[[#This Row],[Location Name]], Locations[Location Name],Locations[Group As])</f>
        <v>Chipping Campden Lady J Gateway</v>
      </c>
      <c r="H584" t="e" vm="9">
        <f>_xlfn.XLOOKUP(AllData[[#This Row],[Site Name]],LocationsKey[Site Name],LocationsKey[District])</f>
        <v>#VALUE!</v>
      </c>
      <c r="I584" t="e" vm="10">
        <f>_xlfn.XLOOKUP(AllData[[#This Row],[Site Name]],LocationsKey[Site Name],LocationsKey[Town])</f>
        <v>#VALUE!</v>
      </c>
      <c r="J584" t="str">
        <f>_xlfn.XLOOKUP(AllData[[#This Row],[Site Name]],LocationsKey[Site Name], LocationsKey[Waterway])</f>
        <v>Cam Brook</v>
      </c>
      <c r="K584" t="s">
        <v>1573</v>
      </c>
      <c r="N584" t="s">
        <v>68</v>
      </c>
      <c r="O584">
        <v>541</v>
      </c>
      <c r="P584">
        <v>7.6</v>
      </c>
      <c r="Q584">
        <v>5</v>
      </c>
      <c r="R584" s="107" t="str">
        <f>IF(AllData[[#This Row],[Nitrate (PPM)]]&gt;2, "Very high", IF(AllData[[#This Row],[Nitrate (PPM)]]&gt;1, "High", IF(AllData[[#This Row],[Nitrate (PPM)]]&gt;0.5, "Some evidence", IF(AllData[[#This Row],[Nitrate (PPM)]]&gt;=0, "No evidence"))))</f>
        <v>Very high</v>
      </c>
      <c r="S584">
        <v>0.02</v>
      </c>
      <c r="T584" s="7" t="str">
        <f>IF(AllData[[#This Row],[Phosphate (PPM)]]&gt;0.5, "Very high", IF(AllData[[#This Row],[Phosphate (PPM)]]&gt;0.1, "High", IF(AllData[[#This Row],[Phosphate (PPM)]]&gt;0.05, "Some evidence", IF(AllData[[#This Row],[Phosphate (PPM)]]&lt;=0.05, "No Evidence", ""))))</f>
        <v>No Evidence</v>
      </c>
      <c r="U584">
        <v>0.23</v>
      </c>
    </row>
    <row r="585" spans="1:22" x14ac:dyDescent="0.35">
      <c r="A585" t="s">
        <v>2656</v>
      </c>
      <c r="B585" s="143">
        <v>45635</v>
      </c>
      <c r="C585" s="2" t="str" cm="1">
        <f t="array" ref="C5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5">
        <f>YEAR(AllData[[#This Row],[Date]])</f>
        <v>2024</v>
      </c>
      <c r="E585" s="1">
        <v>0.52083333333333337</v>
      </c>
      <c r="F585" t="str">
        <f>IF(AND(AllData[[#This Row],[Time]]&lt;0.5, AllData[[#This Row],[Time]]&gt;0.17)=TRUE, "Morning", IF(AND(AllData[[#This Row],[Time]]&lt;0.75, AllData[[#This Row],[Time]]&gt;=0.5)=TRUE, "Afternoon", IF(AND(AllData[[#This Row],[Time]]&lt;1, AllData[[#This Row],[Time]]&gt;=0.75)=TRUE, "Evening", "Night")))</f>
        <v>Afternoon</v>
      </c>
      <c r="G585" t="str">
        <f>_xlfn.XLOOKUP(AllData[[#This Row],[Location Name]], Locations[Location Name],Locations[Group As])</f>
        <v>Chipping Campden Craves</v>
      </c>
      <c r="H585" t="e" vm="9">
        <f>_xlfn.XLOOKUP(AllData[[#This Row],[Site Name]],LocationsKey[Site Name],LocationsKey[District])</f>
        <v>#VALUE!</v>
      </c>
      <c r="I585" t="e" vm="10">
        <f>_xlfn.XLOOKUP(AllData[[#This Row],[Site Name]],LocationsKey[Site Name],LocationsKey[Town])</f>
        <v>#VALUE!</v>
      </c>
      <c r="J585" t="str">
        <f>_xlfn.XLOOKUP(AllData[[#This Row],[Site Name]],LocationsKey[Site Name], LocationsKey[Waterway])</f>
        <v>Cam Brook</v>
      </c>
      <c r="K585" t="s">
        <v>2458</v>
      </c>
      <c r="L585">
        <v>52.048757000000002</v>
      </c>
      <c r="M585">
        <v>-1.7863770000000001</v>
      </c>
      <c r="N585" t="s">
        <v>68</v>
      </c>
      <c r="O585">
        <v>480</v>
      </c>
      <c r="P585">
        <v>10.1</v>
      </c>
      <c r="Q585">
        <v>5</v>
      </c>
      <c r="R585" s="107" t="str">
        <f>IF(AllData[[#This Row],[Nitrate (PPM)]]&gt;2, "Very high", IF(AllData[[#This Row],[Nitrate (PPM)]]&gt;1, "High", IF(AllData[[#This Row],[Nitrate (PPM)]]&gt;0.5, "Some evidence", IF(AllData[[#This Row],[Nitrate (PPM)]]&gt;=0, "No evidence"))))</f>
        <v>Very high</v>
      </c>
      <c r="S585">
        <v>0.1</v>
      </c>
      <c r="T585" s="7" t="str">
        <f>IF(AllData[[#This Row],[Phosphate (PPM)]]&gt;0.5, "Very high", IF(AllData[[#This Row],[Phosphate (PPM)]]&gt;0.1, "High", IF(AllData[[#This Row],[Phosphate (PPM)]]&gt;0.05, "Some evidence", IF(AllData[[#This Row],[Phosphate (PPM)]]&lt;=0.05, "No Evidence", ""))))</f>
        <v>Some evidence</v>
      </c>
      <c r="U585">
        <v>38</v>
      </c>
    </row>
    <row r="586" spans="1:22" x14ac:dyDescent="0.35">
      <c r="A586" t="s">
        <v>2657</v>
      </c>
      <c r="B586" s="143">
        <v>45635</v>
      </c>
      <c r="C586" s="2" t="str" cm="1">
        <f t="array" ref="C5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6">
        <f>YEAR(AllData[[#This Row],[Date]])</f>
        <v>2024</v>
      </c>
      <c r="E586" s="1">
        <v>0.47986111111111113</v>
      </c>
      <c r="F586" t="str">
        <f>IF(AND(AllData[[#This Row],[Time]]&lt;0.5, AllData[[#This Row],[Time]]&gt;0.17)=TRUE, "Morning", IF(AND(AllData[[#This Row],[Time]]&lt;0.75, AllData[[#This Row],[Time]]&gt;=0.5)=TRUE, "Afternoon", IF(AND(AllData[[#This Row],[Time]]&lt;1, AllData[[#This Row],[Time]]&gt;=0.75)=TRUE, "Evening", "Night")))</f>
        <v>Morning</v>
      </c>
      <c r="G586" t="str">
        <f>_xlfn.XLOOKUP(AllData[[#This Row],[Location Name]], Locations[Location Name],Locations[Group As])</f>
        <v>Site 1  :  Middle Street</v>
      </c>
      <c r="H586" t="e" vm="1">
        <f>_xlfn.XLOOKUP(AllData[[#This Row],[Site Name]],LocationsKey[Site Name],LocationsKey[District])</f>
        <v>#VALUE!</v>
      </c>
      <c r="I586" t="e" vm="14">
        <f>_xlfn.XLOOKUP(AllData[[#This Row],[Site Name]],LocationsKey[Site Name],LocationsKey[Town])</f>
        <v>#VALUE!</v>
      </c>
      <c r="J586" t="str">
        <f>_xlfn.XLOOKUP(AllData[[#This Row],[Site Name]],LocationsKey[Site Name], LocationsKey[Waterway])</f>
        <v>Fosseway Brook</v>
      </c>
      <c r="K586" t="s">
        <v>670</v>
      </c>
      <c r="L586">
        <v>52.090062000000003</v>
      </c>
      <c r="M586">
        <v>-1.6925760000000001</v>
      </c>
      <c r="N586" t="s">
        <v>68</v>
      </c>
      <c r="O586">
        <v>550</v>
      </c>
      <c r="P586">
        <v>7.2</v>
      </c>
      <c r="Q586">
        <v>1</v>
      </c>
      <c r="R586" s="107" t="str">
        <f>IF(AllData[[#This Row],[Nitrate (PPM)]]&gt;2, "Very high", IF(AllData[[#This Row],[Nitrate (PPM)]]&gt;1, "High", IF(AllData[[#This Row],[Nitrate (PPM)]]&gt;0.5, "Some evidence", IF(AllData[[#This Row],[Nitrate (PPM)]]&gt;=0, "No evidence"))))</f>
        <v>Some evidence</v>
      </c>
      <c r="S586">
        <v>0.22</v>
      </c>
      <c r="T586" s="7" t="str">
        <f>IF(AllData[[#This Row],[Phosphate (PPM)]]&gt;0.5, "Very high", IF(AllData[[#This Row],[Phosphate (PPM)]]&gt;0.1, "High", IF(AllData[[#This Row],[Phosphate (PPM)]]&gt;0.05, "Some evidence", IF(AllData[[#This Row],[Phosphate (PPM)]]&lt;=0.05, "No Evidence", ""))))</f>
        <v>High</v>
      </c>
      <c r="U586">
        <v>0.05</v>
      </c>
    </row>
    <row r="587" spans="1:22" x14ac:dyDescent="0.35">
      <c r="A587" t="s">
        <v>2652</v>
      </c>
      <c r="B587" s="143">
        <v>45634</v>
      </c>
      <c r="C587" s="2" t="str" cm="1">
        <f t="array" ref="C5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7">
        <f>YEAR(AllData[[#This Row],[Date]])</f>
        <v>2024</v>
      </c>
      <c r="E587" s="1">
        <v>0.59166666666666667</v>
      </c>
      <c r="F587" t="str">
        <f>IF(AND(AllData[[#This Row],[Time]]&lt;0.5, AllData[[#This Row],[Time]]&gt;0.17)=TRUE, "Morning", IF(AND(AllData[[#This Row],[Time]]&lt;0.75, AllData[[#This Row],[Time]]&gt;=0.5)=TRUE, "Afternoon", IF(AND(AllData[[#This Row],[Time]]&lt;1, AllData[[#This Row],[Time]]&gt;=0.75)=TRUE, "Evening", "Night")))</f>
        <v>Afternoon</v>
      </c>
      <c r="G587" t="str">
        <f>_xlfn.XLOOKUP(AllData[[#This Row],[Location Name]], Locations[Location Name],Locations[Group As])</f>
        <v>Black Bear</v>
      </c>
      <c r="H587" t="e" vm="4">
        <f>_xlfn.XLOOKUP(AllData[[#This Row],[Site Name]],LocationsKey[Site Name],LocationsKey[District])</f>
        <v>#VALUE!</v>
      </c>
      <c r="I587" t="e" vm="4">
        <f>_xlfn.XLOOKUP(AllData[[#This Row],[Site Name]],LocationsKey[Site Name],LocationsKey[Town])</f>
        <v>#VALUE!</v>
      </c>
      <c r="J587" t="str">
        <f>_xlfn.XLOOKUP(AllData[[#This Row],[Site Name]],LocationsKey[Site Name], LocationsKey[Waterway])</f>
        <v>Avon</v>
      </c>
      <c r="K587" t="s">
        <v>1175</v>
      </c>
      <c r="N587" t="s">
        <v>25</v>
      </c>
      <c r="O587">
        <v>812</v>
      </c>
      <c r="P587">
        <v>8.1999999999999993</v>
      </c>
      <c r="Q587">
        <v>11</v>
      </c>
      <c r="R587" s="107" t="str">
        <f>IF(AllData[[#This Row],[Nitrate (PPM)]]&gt;2, "Very high", IF(AllData[[#This Row],[Nitrate (PPM)]]&gt;1, "High", IF(AllData[[#This Row],[Nitrate (PPM)]]&gt;0.5, "Some evidence", IF(AllData[[#This Row],[Nitrate (PPM)]]&gt;=0, "No evidence"))))</f>
        <v>Very high</v>
      </c>
      <c r="S587">
        <v>1.82</v>
      </c>
      <c r="T587" s="7" t="str">
        <f>IF(AllData[[#This Row],[Phosphate (PPM)]]&gt;0.5, "Very high", IF(AllData[[#This Row],[Phosphate (PPM)]]&gt;0.1, "High", IF(AllData[[#This Row],[Phosphate (PPM)]]&gt;0.05, "Some evidence", IF(AllData[[#This Row],[Phosphate (PPM)]]&lt;=0.05, "No Evidence", ""))))</f>
        <v>Very high</v>
      </c>
      <c r="U587">
        <v>2</v>
      </c>
    </row>
    <row r="588" spans="1:22" x14ac:dyDescent="0.35">
      <c r="A588" t="s">
        <v>2653</v>
      </c>
      <c r="B588" s="143">
        <v>45634</v>
      </c>
      <c r="C588" s="2" t="str" cm="1">
        <f t="array" ref="C5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8">
        <f>YEAR(AllData[[#This Row],[Date]])</f>
        <v>2024</v>
      </c>
      <c r="E588" s="1">
        <v>0.58333333333333337</v>
      </c>
      <c r="F588" t="str">
        <f>IF(AND(AllData[[#This Row],[Time]]&lt;0.5, AllData[[#This Row],[Time]]&gt;0.17)=TRUE, "Morning", IF(AND(AllData[[#This Row],[Time]]&lt;0.75, AllData[[#This Row],[Time]]&gt;=0.5)=TRUE, "Afternoon", IF(AND(AllData[[#This Row],[Time]]&lt;1, AllData[[#This Row],[Time]]&gt;=0.75)=TRUE, "Evening", "Night")))</f>
        <v>Afternoon</v>
      </c>
      <c r="G588" t="str">
        <f>_xlfn.XLOOKUP(AllData[[#This Row],[Location Name]], Locations[Location Name],Locations[Group As])</f>
        <v>Carrant Bredon Rd</v>
      </c>
      <c r="H588" t="e" vm="4">
        <f>_xlfn.XLOOKUP(AllData[[#This Row],[Site Name]],LocationsKey[Site Name],LocationsKey[District])</f>
        <v>#VALUE!</v>
      </c>
      <c r="I588" t="e" vm="4">
        <f>_xlfn.XLOOKUP(AllData[[#This Row],[Site Name]],LocationsKey[Site Name],LocationsKey[Town])</f>
        <v>#VALUE!</v>
      </c>
      <c r="J588" t="str">
        <f>_xlfn.XLOOKUP(AllData[[#This Row],[Site Name]],LocationsKey[Site Name], LocationsKey[Waterway])</f>
        <v>Carrant</v>
      </c>
      <c r="K588" t="s">
        <v>603</v>
      </c>
      <c r="L588">
        <v>51.996164</v>
      </c>
      <c r="M588">
        <v>-2.1561620000000001</v>
      </c>
      <c r="N588" t="s">
        <v>25</v>
      </c>
      <c r="O588">
        <v>629</v>
      </c>
      <c r="P588">
        <v>8.4</v>
      </c>
      <c r="Q588">
        <v>4</v>
      </c>
      <c r="R588" s="107" t="str">
        <f>IF(AllData[[#This Row],[Nitrate (PPM)]]&gt;2, "Very high", IF(AllData[[#This Row],[Nitrate (PPM)]]&gt;1, "High", IF(AllData[[#This Row],[Nitrate (PPM)]]&gt;0.5, "Some evidence", IF(AllData[[#This Row],[Nitrate (PPM)]]&gt;=0, "No evidence"))))</f>
        <v>Very high</v>
      </c>
      <c r="S588">
        <v>0.62</v>
      </c>
      <c r="T588" s="7" t="str">
        <f>IF(AllData[[#This Row],[Phosphate (PPM)]]&gt;0.5, "Very high", IF(AllData[[#This Row],[Phosphate (PPM)]]&gt;0.1, "High", IF(AllData[[#This Row],[Phosphate (PPM)]]&gt;0.05, "Some evidence", IF(AllData[[#This Row],[Phosphate (PPM)]]&lt;=0.05, "No Evidence", ""))))</f>
        <v>Very high</v>
      </c>
      <c r="U588">
        <v>1.7</v>
      </c>
      <c r="V588" t="s">
        <v>882</v>
      </c>
    </row>
    <row r="589" spans="1:22" x14ac:dyDescent="0.35">
      <c r="A589" t="s">
        <v>2640</v>
      </c>
      <c r="B589" s="143">
        <v>45634</v>
      </c>
      <c r="C589" s="2" t="str" cm="1">
        <f t="array" ref="C5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89">
        <f>YEAR(AllData[[#This Row],[Date]])</f>
        <v>2024</v>
      </c>
      <c r="E589" s="1">
        <v>0.5083333333333333</v>
      </c>
      <c r="F589" t="str">
        <f>IF(AND(AllData[[#This Row],[Time]]&lt;0.5, AllData[[#This Row],[Time]]&gt;0.17)=TRUE, "Morning", IF(AND(AllData[[#This Row],[Time]]&lt;0.75, AllData[[#This Row],[Time]]&gt;=0.5)=TRUE, "Afternoon", IF(AND(AllData[[#This Row],[Time]]&lt;1, AllData[[#This Row],[Time]]&gt;=0.75)=TRUE, "Evening", "Night")))</f>
        <v>Afternoon</v>
      </c>
      <c r="G589" t="str">
        <f>_xlfn.XLOOKUP(AllData[[#This Row],[Location Name]], Locations[Location Name],Locations[Group As])</f>
        <v>Unknown</v>
      </c>
      <c r="H589" t="str">
        <f>_xlfn.XLOOKUP(AllData[[#This Row],[Site Name]],LocationsKey[Site Name],LocationsKey[District])</f>
        <v>Unknown</v>
      </c>
      <c r="I589" t="str">
        <f>_xlfn.XLOOKUP(AllData[[#This Row],[Site Name]],LocationsKey[Site Name],LocationsKey[Town])</f>
        <v>Unknown</v>
      </c>
      <c r="J589" t="str">
        <f>_xlfn.XLOOKUP(AllData[[#This Row],[Site Name]],LocationsKey[Site Name], LocationsKey[Waterway])</f>
        <v>Unknown</v>
      </c>
      <c r="K589" t="s">
        <v>2641</v>
      </c>
      <c r="L589">
        <v>52.094951999999999</v>
      </c>
      <c r="M589">
        <v>-1.67577</v>
      </c>
      <c r="N589" t="s">
        <v>31</v>
      </c>
      <c r="O589">
        <v>688</v>
      </c>
      <c r="P589">
        <v>8</v>
      </c>
      <c r="Q589">
        <v>2</v>
      </c>
      <c r="R589" s="107" t="str">
        <f>IF(AllData[[#This Row],[Nitrate (PPM)]]&gt;2, "Very high", IF(AllData[[#This Row],[Nitrate (PPM)]]&gt;1, "High", IF(AllData[[#This Row],[Nitrate (PPM)]]&gt;0.5, "Some evidence", IF(AllData[[#This Row],[Nitrate (PPM)]]&gt;=0, "No evidence"))))</f>
        <v>High</v>
      </c>
      <c r="S589">
        <v>0.8</v>
      </c>
      <c r="T589" s="7" t="str">
        <f>IF(AllData[[#This Row],[Phosphate (PPM)]]&gt;0.5, "Very high", IF(AllData[[#This Row],[Phosphate (PPM)]]&gt;0.1, "High", IF(AllData[[#This Row],[Phosphate (PPM)]]&gt;0.05, "Some evidence", IF(AllData[[#This Row],[Phosphate (PPM)]]&lt;=0.05, "No Evidence", ""))))</f>
        <v>Very high</v>
      </c>
      <c r="U589">
        <v>0.45</v>
      </c>
    </row>
    <row r="590" spans="1:22" x14ac:dyDescent="0.35">
      <c r="A590" t="s">
        <v>2649</v>
      </c>
      <c r="B590" s="143">
        <v>45634</v>
      </c>
      <c r="C590" s="2" t="str" cm="1">
        <f t="array" ref="C5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0">
        <f>YEAR(AllData[[#This Row],[Date]])</f>
        <v>2024</v>
      </c>
      <c r="E590" s="1">
        <v>0.49861111111111112</v>
      </c>
      <c r="F590" t="str">
        <f>IF(AND(AllData[[#This Row],[Time]]&lt;0.5, AllData[[#This Row],[Time]]&gt;0.17)=TRUE, "Morning", IF(AND(AllData[[#This Row],[Time]]&lt;0.75, AllData[[#This Row],[Time]]&gt;=0.5)=TRUE, "Afternoon", IF(AND(AllData[[#This Row],[Time]]&lt;1, AllData[[#This Row],[Time]]&gt;=0.75)=TRUE, "Evening", "Night")))</f>
        <v>Morning</v>
      </c>
      <c r="G590" t="str">
        <f>_xlfn.XLOOKUP(AllData[[#This Row],[Location Name]], Locations[Location Name],Locations[Group As])</f>
        <v>Site 2  :  Cross Leys culvert</v>
      </c>
      <c r="H590" t="e" vm="1">
        <f>_xlfn.XLOOKUP(AllData[[#This Row],[Site Name]],LocationsKey[Site Name],LocationsKey[District])</f>
        <v>#VALUE!</v>
      </c>
      <c r="I590" t="e" vm="14">
        <f>_xlfn.XLOOKUP(AllData[[#This Row],[Site Name]],LocationsKey[Site Name],LocationsKey[Town])</f>
        <v>#VALUE!</v>
      </c>
      <c r="J590" t="str">
        <f>_xlfn.XLOOKUP(AllData[[#This Row],[Site Name]],LocationsKey[Site Name], LocationsKey[Waterway])</f>
        <v>Fosseway Brook</v>
      </c>
      <c r="K590" t="s">
        <v>1780</v>
      </c>
      <c r="L590">
        <v>52.092956000000001</v>
      </c>
      <c r="M590">
        <v>-1.68587</v>
      </c>
      <c r="N590" t="s">
        <v>68</v>
      </c>
      <c r="O590">
        <v>607</v>
      </c>
      <c r="P590">
        <v>7.1</v>
      </c>
      <c r="Q590">
        <v>1.5</v>
      </c>
      <c r="R590" s="107" t="str">
        <f>IF(AllData[[#This Row],[Nitrate (PPM)]]&gt;2, "Very high", IF(AllData[[#This Row],[Nitrate (PPM)]]&gt;1, "High", IF(AllData[[#This Row],[Nitrate (PPM)]]&gt;0.5, "Some evidence", IF(AllData[[#This Row],[Nitrate (PPM)]]&gt;=0, "No evidence"))))</f>
        <v>High</v>
      </c>
      <c r="S590">
        <v>0.45</v>
      </c>
      <c r="T590" s="7" t="str">
        <f>IF(AllData[[#This Row],[Phosphate (PPM)]]&gt;0.5, "Very high", IF(AllData[[#This Row],[Phosphate (PPM)]]&gt;0.1, "High", IF(AllData[[#This Row],[Phosphate (PPM)]]&gt;0.05, "Some evidence", IF(AllData[[#This Row],[Phosphate (PPM)]]&lt;=0.05, "No Evidence", ""))))</f>
        <v>High</v>
      </c>
      <c r="U590">
        <v>0.25</v>
      </c>
      <c r="V590" t="s">
        <v>2650</v>
      </c>
    </row>
    <row r="591" spans="1:22" x14ac:dyDescent="0.35">
      <c r="A591" t="s">
        <v>2651</v>
      </c>
      <c r="B591" s="143">
        <v>45634</v>
      </c>
      <c r="C591" s="2" t="str" cm="1">
        <f t="array" ref="C5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1">
        <f>YEAR(AllData[[#This Row],[Date]])</f>
        <v>2024</v>
      </c>
      <c r="E591" s="1">
        <v>0.5625</v>
      </c>
      <c r="F591" t="str">
        <f>IF(AND(AllData[[#This Row],[Time]]&lt;0.5, AllData[[#This Row],[Time]]&gt;0.17)=TRUE, "Morning", IF(AND(AllData[[#This Row],[Time]]&lt;0.75, AllData[[#This Row],[Time]]&gt;=0.5)=TRUE, "Afternoon", IF(AND(AllData[[#This Row],[Time]]&lt;1, AllData[[#This Row],[Time]]&gt;=0.75)=TRUE, "Evening", "Night")))</f>
        <v>Afternoon</v>
      </c>
      <c r="G591" t="str">
        <f>_xlfn.XLOOKUP(AllData[[#This Row],[Location Name]], Locations[Location Name],Locations[Group As])</f>
        <v>Fell Mill Footbridge</v>
      </c>
      <c r="H591" t="e" vm="1">
        <f>_xlfn.XLOOKUP(AllData[[#This Row],[Site Name]],LocationsKey[Site Name],LocationsKey[District])</f>
        <v>#VALUE!</v>
      </c>
      <c r="I591" t="e" vm="15">
        <f>_xlfn.XLOOKUP(AllData[[#This Row],[Site Name]],LocationsKey[Site Name],LocationsKey[Town])</f>
        <v>#VALUE!</v>
      </c>
      <c r="J591" t="str">
        <f>_xlfn.XLOOKUP(AllData[[#This Row],[Site Name]],LocationsKey[Site Name], LocationsKey[Waterway])</f>
        <v>Stour</v>
      </c>
      <c r="K591" t="s">
        <v>1968</v>
      </c>
      <c r="L591">
        <v>52.070086000000003</v>
      </c>
      <c r="M591">
        <v>-1.61145</v>
      </c>
      <c r="N591" t="s">
        <v>31</v>
      </c>
      <c r="O591">
        <v>470</v>
      </c>
      <c r="P591">
        <v>8</v>
      </c>
      <c r="Q591">
        <v>0.5</v>
      </c>
      <c r="R591" s="107" t="str">
        <f>IF(AllData[[#This Row],[Nitrate (PPM)]]&gt;2, "Very high", IF(AllData[[#This Row],[Nitrate (PPM)]]&gt;1, "High", IF(AllData[[#This Row],[Nitrate (PPM)]]&gt;0.5, "Some evidence", IF(AllData[[#This Row],[Nitrate (PPM)]]&gt;=0, "No evidence"))))</f>
        <v>No evidence</v>
      </c>
      <c r="S591">
        <v>0.69</v>
      </c>
      <c r="T591" s="7" t="str">
        <f>IF(AllData[[#This Row],[Phosphate (PPM)]]&gt;0.5, "Very high", IF(AllData[[#This Row],[Phosphate (PPM)]]&gt;0.1, "High", IF(AllData[[#This Row],[Phosphate (PPM)]]&gt;0.05, "Some evidence", IF(AllData[[#This Row],[Phosphate (PPM)]]&lt;=0.05, "No Evidence", ""))))</f>
        <v>Very high</v>
      </c>
      <c r="U591">
        <v>2.6</v>
      </c>
    </row>
    <row r="592" spans="1:22" x14ac:dyDescent="0.35">
      <c r="A592" t="s">
        <v>2642</v>
      </c>
      <c r="B592" s="143">
        <v>45634</v>
      </c>
      <c r="C592" s="2" t="str" cm="1">
        <f t="array" ref="C5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2">
        <f>YEAR(AllData[[#This Row],[Date]])</f>
        <v>2024</v>
      </c>
      <c r="E592" s="1">
        <v>0.42916666666666664</v>
      </c>
      <c r="F592" t="str">
        <f>IF(AND(AllData[[#This Row],[Time]]&lt;0.5, AllData[[#This Row],[Time]]&gt;0.17)=TRUE, "Morning", IF(AND(AllData[[#This Row],[Time]]&lt;0.75, AllData[[#This Row],[Time]]&gt;=0.5)=TRUE, "Afternoon", IF(AND(AllData[[#This Row],[Time]]&lt;1, AllData[[#This Row],[Time]]&gt;=0.75)=TRUE, "Evening", "Night")))</f>
        <v>Morning</v>
      </c>
      <c r="G592" t="str">
        <f>_xlfn.XLOOKUP(AllData[[#This Row],[Location Name]], Locations[Location Name],Locations[Group As])</f>
        <v>R.Stowe - Lower Fields Farm, Old Brickyard Lane</v>
      </c>
      <c r="H592" t="e" vm="1">
        <f>_xlfn.XLOOKUP(AllData[[#This Row],[Site Name]],LocationsKey[Site Name],LocationsKey[District])</f>
        <v>#VALUE!</v>
      </c>
      <c r="I592" t="e" vm="17">
        <f>_xlfn.XLOOKUP(AllData[[#This Row],[Site Name]],LocationsKey[Site Name],LocationsKey[Town])</f>
        <v>#VALUE!</v>
      </c>
      <c r="J592" t="str">
        <f>_xlfn.XLOOKUP(AllData[[#This Row],[Site Name]],LocationsKey[Site Name], LocationsKey[Waterway])</f>
        <v>Stowe</v>
      </c>
      <c r="K592" t="s">
        <v>2643</v>
      </c>
      <c r="L592">
        <v>52.242758000000002</v>
      </c>
      <c r="M592">
        <v>-1.346131</v>
      </c>
      <c r="N592" t="s">
        <v>31</v>
      </c>
      <c r="O592">
        <v>0.5</v>
      </c>
      <c r="P592">
        <v>7.8</v>
      </c>
      <c r="Q592">
        <v>0.5</v>
      </c>
      <c r="R592" s="107" t="str">
        <f>IF(AllData[[#This Row],[Nitrate (PPM)]]&gt;2, "Very high", IF(AllData[[#This Row],[Nitrate (PPM)]]&gt;1, "High", IF(AllData[[#This Row],[Nitrate (PPM)]]&gt;0.5, "Some evidence", IF(AllData[[#This Row],[Nitrate (PPM)]]&gt;=0, "No evidence"))))</f>
        <v>No evidence</v>
      </c>
      <c r="S592">
        <v>0.7</v>
      </c>
      <c r="T592" s="7" t="str">
        <f>IF(AllData[[#This Row],[Phosphate (PPM)]]&gt;0.5, "Very high", IF(AllData[[#This Row],[Phosphate (PPM)]]&gt;0.1, "High", IF(AllData[[#This Row],[Phosphate (PPM)]]&gt;0.05, "Some evidence", IF(AllData[[#This Row],[Phosphate (PPM)]]&lt;=0.05, "No Evidence", ""))))</f>
        <v>Very high</v>
      </c>
      <c r="U592">
        <v>0.2</v>
      </c>
      <c r="V592" t="s">
        <v>2644</v>
      </c>
    </row>
    <row r="593" spans="1:22" x14ac:dyDescent="0.35">
      <c r="A593" t="s">
        <v>2645</v>
      </c>
      <c r="B593" s="143">
        <v>45634</v>
      </c>
      <c r="C593" s="2" t="str" cm="1">
        <f t="array" ref="C5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3">
        <f>YEAR(AllData[[#This Row],[Date]])</f>
        <v>2024</v>
      </c>
      <c r="E593" s="1">
        <v>0.47291666666666665</v>
      </c>
      <c r="F593" t="str">
        <f>IF(AND(AllData[[#This Row],[Time]]&lt;0.5, AllData[[#This Row],[Time]]&gt;0.17)=TRUE, "Morning", IF(AND(AllData[[#This Row],[Time]]&lt;0.75, AllData[[#This Row],[Time]]&gt;=0.5)=TRUE, "Afternoon", IF(AND(AllData[[#This Row],[Time]]&lt;1, AllData[[#This Row],[Time]]&gt;=0.75)=TRUE, "Evening", "Night")))</f>
        <v>Morning</v>
      </c>
      <c r="G593" t="str">
        <f>_xlfn.XLOOKUP(AllData[[#This Row],[Location Name]], Locations[Location Name],Locations[Group As])</f>
        <v>R.Stowe - New Zealand Spinney, off Napton Rd</v>
      </c>
      <c r="H593" t="e" vm="1">
        <f>_xlfn.XLOOKUP(AllData[[#This Row],[Site Name]],LocationsKey[Site Name],LocationsKey[District])</f>
        <v>#VALUE!</v>
      </c>
      <c r="I593" t="e" vm="18">
        <f>_xlfn.XLOOKUP(AllData[[#This Row],[Site Name]],LocationsKey[Site Name],LocationsKey[Town])</f>
        <v>#VALUE!</v>
      </c>
      <c r="J593" t="str">
        <f>_xlfn.XLOOKUP(AllData[[#This Row],[Site Name]],LocationsKey[Site Name], LocationsKey[Waterway])</f>
        <v>Stowe</v>
      </c>
      <c r="K593" t="s">
        <v>2646</v>
      </c>
      <c r="L593">
        <v>52.261631000000001</v>
      </c>
      <c r="M593">
        <v>-1.352519</v>
      </c>
      <c r="N593" t="s">
        <v>2647</v>
      </c>
      <c r="O593">
        <v>0.6</v>
      </c>
      <c r="P593">
        <v>7.2</v>
      </c>
      <c r="Q593">
        <v>0</v>
      </c>
      <c r="R593" s="107" t="str">
        <f>IF(AllData[[#This Row],[Nitrate (PPM)]]&gt;2, "Very high", IF(AllData[[#This Row],[Nitrate (PPM)]]&gt;1, "High", IF(AllData[[#This Row],[Nitrate (PPM)]]&gt;0.5, "Some evidence", IF(AllData[[#This Row],[Nitrate (PPM)]]&gt;=0, "No evidence"))))</f>
        <v>No evidence</v>
      </c>
      <c r="S593">
        <v>3.8</v>
      </c>
      <c r="T593" s="7" t="str">
        <f>IF(AllData[[#This Row],[Phosphate (PPM)]]&gt;0.5, "Very high", IF(AllData[[#This Row],[Phosphate (PPM)]]&gt;0.1, "High", IF(AllData[[#This Row],[Phosphate (PPM)]]&gt;0.05, "Some evidence", IF(AllData[[#This Row],[Phosphate (PPM)]]&lt;=0.05, "No Evidence", ""))))</f>
        <v>Very high</v>
      </c>
      <c r="U593">
        <v>0.2</v>
      </c>
      <c r="V593" t="s">
        <v>2648</v>
      </c>
    </row>
    <row r="594" spans="1:22" x14ac:dyDescent="0.35">
      <c r="A594" t="s">
        <v>2633</v>
      </c>
      <c r="B594" s="143">
        <v>45633</v>
      </c>
      <c r="C594" s="2" t="str" cm="1">
        <f t="array" ref="C5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4">
        <f>YEAR(AllData[[#This Row],[Date]])</f>
        <v>2024</v>
      </c>
      <c r="E594" s="1">
        <v>0.4548611111111111</v>
      </c>
      <c r="F594" t="str">
        <f>IF(AND(AllData[[#This Row],[Time]]&lt;0.5, AllData[[#This Row],[Time]]&gt;0.17)=TRUE, "Morning", IF(AND(AllData[[#This Row],[Time]]&lt;0.75, AllData[[#This Row],[Time]]&gt;=0.5)=TRUE, "Afternoon", IF(AND(AllData[[#This Row],[Time]]&lt;1, AllData[[#This Row],[Time]]&gt;=0.75)=TRUE, "Evening", "Night")))</f>
        <v>Morning</v>
      </c>
      <c r="G594" t="str">
        <f>_xlfn.XLOOKUP(AllData[[#This Row],[Location Name]], Locations[Location Name],Locations[Group As])</f>
        <v>Piddle Brook Wyre Piddle Bridge</v>
      </c>
      <c r="H594" t="e" vm="6">
        <f>_xlfn.XLOOKUP(AllData[[#This Row],[Site Name]],LocationsKey[Site Name],LocationsKey[District])</f>
        <v>#VALUE!</v>
      </c>
      <c r="I594" t="e" vm="13">
        <f>_xlfn.XLOOKUP(AllData[[#This Row],[Site Name]],LocationsKey[Site Name],LocationsKey[Town])</f>
        <v>#VALUE!</v>
      </c>
      <c r="J594" t="str">
        <f>_xlfn.XLOOKUP(AllData[[#This Row],[Site Name]],LocationsKey[Site Name], LocationsKey[Waterway])</f>
        <v>Piddle Brook</v>
      </c>
      <c r="K594" t="s">
        <v>787</v>
      </c>
      <c r="L594">
        <v>52.126426000000002</v>
      </c>
      <c r="M594">
        <v>-2.0564480000000001</v>
      </c>
      <c r="N594" t="s">
        <v>25</v>
      </c>
      <c r="O594">
        <v>710</v>
      </c>
      <c r="P594">
        <v>8.1999999999999993</v>
      </c>
      <c r="Q594">
        <v>5</v>
      </c>
      <c r="R594" s="107" t="str">
        <f>IF(AllData[[#This Row],[Nitrate (PPM)]]&gt;2, "Very high", IF(AllData[[#This Row],[Nitrate (PPM)]]&gt;1, "High", IF(AllData[[#This Row],[Nitrate (PPM)]]&gt;0.5, "Some evidence", IF(AllData[[#This Row],[Nitrate (PPM)]]&gt;=0, "No evidence"))))</f>
        <v>Very high</v>
      </c>
      <c r="S594">
        <v>0.25</v>
      </c>
      <c r="T594" s="7" t="str">
        <f>IF(AllData[[#This Row],[Phosphate (PPM)]]&gt;0.5, "Very high", IF(AllData[[#This Row],[Phosphate (PPM)]]&gt;0.1, "High", IF(AllData[[#This Row],[Phosphate (PPM)]]&gt;0.05, "Some evidence", IF(AllData[[#This Row],[Phosphate (PPM)]]&lt;=0.05, "No Evidence", ""))))</f>
        <v>High</v>
      </c>
      <c r="U594">
        <v>0.82</v>
      </c>
      <c r="V594" t="s">
        <v>2634</v>
      </c>
    </row>
    <row r="595" spans="1:22" x14ac:dyDescent="0.35">
      <c r="A595" t="s">
        <v>2635</v>
      </c>
      <c r="B595" s="143">
        <v>45633</v>
      </c>
      <c r="C595" s="2" t="str" cm="1">
        <f t="array" ref="C5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5">
        <f>YEAR(AllData[[#This Row],[Date]])</f>
        <v>2024</v>
      </c>
      <c r="E595" s="1">
        <v>0.43125000000000002</v>
      </c>
      <c r="F595" t="str">
        <f>IF(AND(AllData[[#This Row],[Time]]&lt;0.5, AllData[[#This Row],[Time]]&gt;0.17)=TRUE, "Morning", IF(AND(AllData[[#This Row],[Time]]&lt;0.75, AllData[[#This Row],[Time]]&gt;=0.5)=TRUE, "Afternoon", IF(AND(AllData[[#This Row],[Time]]&lt;1, AllData[[#This Row],[Time]]&gt;=0.75)=TRUE, "Evening", "Night")))</f>
        <v>Morning</v>
      </c>
      <c r="G595" t="str">
        <f>_xlfn.XLOOKUP(AllData[[#This Row],[Location Name]], Locations[Location Name],Locations[Group As])</f>
        <v>Avon Smiths Meadow Wyre Piddle</v>
      </c>
      <c r="H595" t="e" vm="6">
        <f>_xlfn.XLOOKUP(AllData[[#This Row],[Site Name]],LocationsKey[Site Name],LocationsKey[District])</f>
        <v>#VALUE!</v>
      </c>
      <c r="I595" t="e" vm="13">
        <f>_xlfn.XLOOKUP(AllData[[#This Row],[Site Name]],LocationsKey[Site Name],LocationsKey[Town])</f>
        <v>#VALUE!</v>
      </c>
      <c r="J595" t="str">
        <f>_xlfn.XLOOKUP(AllData[[#This Row],[Site Name]],LocationsKey[Site Name], LocationsKey[Waterway])</f>
        <v>Avon</v>
      </c>
      <c r="K595" t="s">
        <v>784</v>
      </c>
      <c r="L595">
        <v>52.122931000000001</v>
      </c>
      <c r="M595">
        <v>-2.0574520000000001</v>
      </c>
      <c r="N595" t="s">
        <v>25</v>
      </c>
      <c r="O595">
        <v>571</v>
      </c>
      <c r="P595">
        <v>8.8000000000000007</v>
      </c>
      <c r="Q595">
        <v>5</v>
      </c>
      <c r="R595" s="107" t="str">
        <f>IF(AllData[[#This Row],[Nitrate (PPM)]]&gt;2, "Very high", IF(AllData[[#This Row],[Nitrate (PPM)]]&gt;1, "High", IF(AllData[[#This Row],[Nitrate (PPM)]]&gt;0.5, "Some evidence", IF(AllData[[#This Row],[Nitrate (PPM)]]&gt;=0, "No evidence"))))</f>
        <v>Very high</v>
      </c>
      <c r="S595">
        <v>0.67</v>
      </c>
      <c r="T595" s="7" t="str">
        <f>IF(AllData[[#This Row],[Phosphate (PPM)]]&gt;0.5, "Very high", IF(AllData[[#This Row],[Phosphate (PPM)]]&gt;0.1, "High", IF(AllData[[#This Row],[Phosphate (PPM)]]&gt;0.05, "Some evidence", IF(AllData[[#This Row],[Phosphate (PPM)]]&lt;=0.05, "No Evidence", ""))))</f>
        <v>Very high</v>
      </c>
      <c r="U595">
        <v>1.55</v>
      </c>
      <c r="V595" t="s">
        <v>2636</v>
      </c>
    </row>
    <row r="596" spans="1:22" x14ac:dyDescent="0.35">
      <c r="A596" t="s">
        <v>2638</v>
      </c>
      <c r="B596" s="143">
        <v>45633</v>
      </c>
      <c r="C596" s="2" t="str" cm="1">
        <f t="array" ref="C5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6">
        <f>YEAR(AllData[[#This Row],[Date]])</f>
        <v>2024</v>
      </c>
      <c r="E596" s="1">
        <v>0.57430555555555551</v>
      </c>
      <c r="F596" t="str">
        <f>IF(AND(AllData[[#This Row],[Time]]&lt;0.5, AllData[[#This Row],[Time]]&gt;0.17)=TRUE, "Morning", IF(AND(AllData[[#This Row],[Time]]&lt;0.75, AllData[[#This Row],[Time]]&gt;=0.5)=TRUE, "Afternoon", IF(AND(AllData[[#This Row],[Time]]&lt;1, AllData[[#This Row],[Time]]&gt;=0.75)=TRUE, "Evening", "Night")))</f>
        <v>Afternoon</v>
      </c>
      <c r="G596" t="str">
        <f>_xlfn.XLOOKUP(AllData[[#This Row],[Location Name]], Locations[Location Name],Locations[Group As])</f>
        <v>The Ford, Langley</v>
      </c>
      <c r="H596" t="e" vm="1">
        <f>_xlfn.XLOOKUP(AllData[[#This Row],[Site Name]],LocationsKey[Site Name],LocationsKey[District])</f>
        <v>#VALUE!</v>
      </c>
      <c r="I596" t="str">
        <f>_xlfn.XLOOKUP(AllData[[#This Row],[Site Name]],LocationsKey[Site Name],LocationsKey[Town])</f>
        <v>Langley</v>
      </c>
      <c r="J596" t="str">
        <f>_xlfn.XLOOKUP(AllData[[#This Row],[Site Name]],LocationsKey[Site Name], LocationsKey[Waterway])</f>
        <v>Langley Ford</v>
      </c>
      <c r="K596" t="s">
        <v>561</v>
      </c>
      <c r="L596">
        <v>52.259824000000002</v>
      </c>
      <c r="M596">
        <v>-1.718574</v>
      </c>
      <c r="N596" t="s">
        <v>31</v>
      </c>
      <c r="O596">
        <v>272</v>
      </c>
      <c r="P596">
        <v>7.1</v>
      </c>
      <c r="Q596">
        <v>4</v>
      </c>
      <c r="R596" s="107" t="str">
        <f>IF(AllData[[#This Row],[Nitrate (PPM)]]&gt;2, "Very high", IF(AllData[[#This Row],[Nitrate (PPM)]]&gt;1, "High", IF(AllData[[#This Row],[Nitrate (PPM)]]&gt;0.5, "Some evidence", IF(AllData[[#This Row],[Nitrate (PPM)]]&gt;=0, "No evidence"))))</f>
        <v>Very high</v>
      </c>
      <c r="S596" s="108">
        <v>0.81</v>
      </c>
      <c r="T596" s="7" t="str">
        <f>IF(AllData[[#This Row],[Phosphate (PPM)]]&gt;0.5, "Very high", IF(AllData[[#This Row],[Phosphate (PPM)]]&gt;0.1, "High", IF(AllData[[#This Row],[Phosphate (PPM)]]&gt;0.05, "Some evidence", IF(AllData[[#This Row],[Phosphate (PPM)]]&lt;=0.05, "No Evidence", ""))))</f>
        <v>Very high</v>
      </c>
      <c r="U596">
        <v>1.25</v>
      </c>
      <c r="V596" t="s">
        <v>2639</v>
      </c>
    </row>
    <row r="597" spans="1:22" x14ac:dyDescent="0.35">
      <c r="A597" t="s">
        <v>2637</v>
      </c>
      <c r="B597" s="143">
        <v>45633</v>
      </c>
      <c r="C597" s="2" t="str" cm="1">
        <f t="array" ref="C5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7">
        <f>YEAR(AllData[[#This Row],[Date]])</f>
        <v>2024</v>
      </c>
      <c r="E597" s="1">
        <v>0.54861111111111116</v>
      </c>
      <c r="F597" t="str">
        <f>IF(AND(AllData[[#This Row],[Time]]&lt;0.5, AllData[[#This Row],[Time]]&gt;0.17)=TRUE, "Morning", IF(AND(AllData[[#This Row],[Time]]&lt;0.75, AllData[[#This Row],[Time]]&gt;=0.5)=TRUE, "Afternoon", IF(AND(AllData[[#This Row],[Time]]&lt;1, AllData[[#This Row],[Time]]&gt;=0.75)=TRUE, "Evening", "Night")))</f>
        <v>Afternoon</v>
      </c>
      <c r="G597" t="str">
        <f>_xlfn.XLOOKUP(AllData[[#This Row],[Location Name]], Locations[Location Name],Locations[Group As])</f>
        <v>Swilgate</v>
      </c>
      <c r="H597" t="e" vm="4">
        <f>_xlfn.XLOOKUP(AllData[[#This Row],[Site Name]],LocationsKey[Site Name],LocationsKey[District])</f>
        <v>#VALUE!</v>
      </c>
      <c r="I597" t="e" vm="4">
        <f>_xlfn.XLOOKUP(AllData[[#This Row],[Site Name]],LocationsKey[Site Name],LocationsKey[Town])</f>
        <v>#VALUE!</v>
      </c>
      <c r="J597" t="str">
        <f>_xlfn.XLOOKUP(AllData[[#This Row],[Site Name]],LocationsKey[Site Name], LocationsKey[Waterway])</f>
        <v>Swilgate</v>
      </c>
      <c r="K597" t="s">
        <v>85</v>
      </c>
      <c r="N597" t="s">
        <v>25</v>
      </c>
      <c r="O597">
        <v>713</v>
      </c>
      <c r="P597">
        <v>7.2</v>
      </c>
      <c r="Q597">
        <v>3</v>
      </c>
      <c r="R597" s="107" t="str">
        <f>IF(AllData[[#This Row],[Nitrate (PPM)]]&gt;2, "Very high", IF(AllData[[#This Row],[Nitrate (PPM)]]&gt;1, "High", IF(AllData[[#This Row],[Nitrate (PPM)]]&gt;0.5, "Some evidence", IF(AllData[[#This Row],[Nitrate (PPM)]]&gt;=0, "No evidence"))))</f>
        <v>Very high</v>
      </c>
      <c r="S597" s="108">
        <v>0.48</v>
      </c>
      <c r="T597" s="7" t="str">
        <f>IF(AllData[[#This Row],[Phosphate (PPM)]]&gt;0.5, "Very high", IF(AllData[[#This Row],[Phosphate (PPM)]]&gt;0.1, "High", IF(AllData[[#This Row],[Phosphate (PPM)]]&gt;0.05, "Some evidence", IF(AllData[[#This Row],[Phosphate (PPM)]]&lt;=0.05, "No Evidence", ""))))</f>
        <v>High</v>
      </c>
      <c r="U597">
        <v>2</v>
      </c>
    </row>
    <row r="598" spans="1:22" x14ac:dyDescent="0.35">
      <c r="A598" t="s">
        <v>2631</v>
      </c>
      <c r="B598" s="143">
        <v>45632</v>
      </c>
      <c r="C598" s="2" t="str" cm="1">
        <f t="array" ref="C5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8">
        <f>YEAR(AllData[[#This Row],[Date]])</f>
        <v>2024</v>
      </c>
      <c r="E598" s="1">
        <v>0.42291666666666666</v>
      </c>
      <c r="F598" t="str">
        <f>IF(AND(AllData[[#This Row],[Time]]&lt;0.5, AllData[[#This Row],[Time]]&gt;0.17)=TRUE, "Morning", IF(AND(AllData[[#This Row],[Time]]&lt;0.75, AllData[[#This Row],[Time]]&gt;=0.5)=TRUE, "Afternoon", IF(AND(AllData[[#This Row],[Time]]&lt;1, AllData[[#This Row],[Time]]&gt;=0.75)=TRUE, "Evening", "Night")))</f>
        <v>Morning</v>
      </c>
      <c r="G598" t="str">
        <f>_xlfn.XLOOKUP(AllData[[#This Row],[Location Name]], Locations[Location Name],Locations[Group As])</f>
        <v>Abbey Mill</v>
      </c>
      <c r="H598" t="e" vm="4">
        <f>_xlfn.XLOOKUP(AllData[[#This Row],[Site Name]],LocationsKey[Site Name],LocationsKey[District])</f>
        <v>#VALUE!</v>
      </c>
      <c r="I598" t="e" vm="4">
        <f>_xlfn.XLOOKUP(AllData[[#This Row],[Site Name]],LocationsKey[Site Name],LocationsKey[Town])</f>
        <v>#VALUE!</v>
      </c>
      <c r="J598" t="str">
        <f>_xlfn.XLOOKUP(AllData[[#This Row],[Site Name]],LocationsKey[Site Name], LocationsKey[Waterway])</f>
        <v>Avon</v>
      </c>
      <c r="K598" t="s">
        <v>27</v>
      </c>
      <c r="L598">
        <v>51.991230000000002</v>
      </c>
      <c r="M598">
        <v>-2.1623830000000002</v>
      </c>
      <c r="N598" t="s">
        <v>31</v>
      </c>
      <c r="O598">
        <v>762</v>
      </c>
      <c r="P598">
        <v>9.4</v>
      </c>
      <c r="Q598">
        <v>7</v>
      </c>
      <c r="R598" s="107" t="str">
        <f>IF(AllData[[#This Row],[Nitrate (PPM)]]&gt;2, "Very high", IF(AllData[[#This Row],[Nitrate (PPM)]]&gt;1, "High", IF(AllData[[#This Row],[Nitrate (PPM)]]&gt;0.5, "Some evidence", IF(AllData[[#This Row],[Nitrate (PPM)]]&gt;=0, "No evidence"))))</f>
        <v>Very high</v>
      </c>
      <c r="S598" s="108">
        <v>0.68</v>
      </c>
      <c r="T598" s="7" t="str">
        <f>IF(AllData[[#This Row],[Phosphate (PPM)]]&gt;0.5, "Very high", IF(AllData[[#This Row],[Phosphate (PPM)]]&gt;0.1, "High", IF(AllData[[#This Row],[Phosphate (PPM)]]&gt;0.05, "Some evidence", IF(AllData[[#This Row],[Phosphate (PPM)]]&lt;=0.05, "No Evidence", ""))))</f>
        <v>Very high</v>
      </c>
      <c r="U598">
        <v>1.8</v>
      </c>
      <c r="V598" t="s">
        <v>2632</v>
      </c>
    </row>
    <row r="599" spans="1:22" x14ac:dyDescent="0.35">
      <c r="A599" t="s">
        <v>2629</v>
      </c>
      <c r="B599" s="143">
        <v>45632</v>
      </c>
      <c r="C599" s="2" t="str" cm="1">
        <f t="array" ref="C5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599">
        <f>YEAR(AllData[[#This Row],[Date]])</f>
        <v>2024</v>
      </c>
      <c r="E599" s="1">
        <v>0.34583333333333333</v>
      </c>
      <c r="F599" t="str">
        <f>IF(AND(AllData[[#This Row],[Time]]&lt;0.5, AllData[[#This Row],[Time]]&gt;0.17)=TRUE, "Morning", IF(AND(AllData[[#This Row],[Time]]&lt;0.75, AllData[[#This Row],[Time]]&gt;=0.5)=TRUE, "Afternoon", IF(AND(AllData[[#This Row],[Time]]&lt;1, AllData[[#This Row],[Time]]&gt;=0.75)=TRUE, "Evening", "Night")))</f>
        <v>Morning</v>
      </c>
      <c r="G599" t="str">
        <f>_xlfn.XLOOKUP(AllData[[#This Row],[Location Name]], Locations[Location Name],Locations[Group As])</f>
        <v>Dock Lane Bredon</v>
      </c>
      <c r="H599" t="e" vm="6">
        <f>_xlfn.XLOOKUP(AllData[[#This Row],[Site Name]],LocationsKey[Site Name],LocationsKey[District])</f>
        <v>#VALUE!</v>
      </c>
      <c r="I599" t="e" vm="11">
        <f>_xlfn.XLOOKUP(AllData[[#This Row],[Site Name]],LocationsKey[Site Name],LocationsKey[Town])</f>
        <v>#VALUE!</v>
      </c>
      <c r="J599" t="str">
        <f>_xlfn.XLOOKUP(AllData[[#This Row],[Site Name]],LocationsKey[Site Name], LocationsKey[Waterway])</f>
        <v>Avon</v>
      </c>
      <c r="K599" t="s">
        <v>2470</v>
      </c>
      <c r="N599" t="s">
        <v>31</v>
      </c>
      <c r="O599">
        <v>7080</v>
      </c>
      <c r="P599">
        <v>10.6</v>
      </c>
      <c r="Q599">
        <v>2</v>
      </c>
      <c r="R599" s="107" t="str">
        <f>IF(AllData[[#This Row],[Nitrate (PPM)]]&gt;2, "Very high", IF(AllData[[#This Row],[Nitrate (PPM)]]&gt;1, "High", IF(AllData[[#This Row],[Nitrate (PPM)]]&gt;0.5, "Some evidence", IF(AllData[[#This Row],[Nitrate (PPM)]]&gt;=0, "No evidence"))))</f>
        <v>High</v>
      </c>
      <c r="S599" s="108">
        <v>1.41</v>
      </c>
      <c r="T599" s="7" t="str">
        <f>IF(AllData[[#This Row],[Phosphate (PPM)]]&gt;0.5, "Very high", IF(AllData[[#This Row],[Phosphate (PPM)]]&gt;0.1, "High", IF(AllData[[#This Row],[Phosphate (PPM)]]&gt;0.05, "Some evidence", IF(AllData[[#This Row],[Phosphate (PPM)]]&lt;=0.05, "No Evidence", ""))))</f>
        <v>Very high</v>
      </c>
      <c r="U599">
        <v>1</v>
      </c>
    </row>
    <row r="600" spans="1:22" x14ac:dyDescent="0.35">
      <c r="A600" t="s">
        <v>2630</v>
      </c>
      <c r="B600" s="143">
        <v>45632</v>
      </c>
      <c r="C600" s="2" t="str" cm="1">
        <f t="array" ref="C6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0">
        <f>YEAR(AllData[[#This Row],[Date]])</f>
        <v>2024</v>
      </c>
      <c r="E600" s="1">
        <v>0.64861111111111114</v>
      </c>
      <c r="F600" t="str">
        <f>IF(AND(AllData[[#This Row],[Time]]&lt;0.5, AllData[[#This Row],[Time]]&gt;0.17)=TRUE, "Morning", IF(AND(AllData[[#This Row],[Time]]&lt;0.75, AllData[[#This Row],[Time]]&gt;=0.5)=TRUE, "Afternoon", IF(AND(AllData[[#This Row],[Time]]&lt;1, AllData[[#This Row],[Time]]&gt;=0.75)=TRUE, "Evening", "Night")))</f>
        <v>Afternoon</v>
      </c>
      <c r="G600" t="str">
        <f>_xlfn.XLOOKUP(AllData[[#This Row],[Location Name]], Locations[Location Name],Locations[Group As])</f>
        <v>Stour Shipston Mill Bridge</v>
      </c>
      <c r="H600" t="e" vm="1">
        <f>_xlfn.XLOOKUP(AllData[[#This Row],[Site Name]],LocationsKey[Site Name],LocationsKey[District])</f>
        <v>#VALUE!</v>
      </c>
      <c r="I600" t="e" vm="15">
        <f>_xlfn.XLOOKUP(AllData[[#This Row],[Site Name]],LocationsKey[Site Name],LocationsKey[Town])</f>
        <v>#VALUE!</v>
      </c>
      <c r="J600" t="str">
        <f>_xlfn.XLOOKUP(AllData[[#This Row],[Site Name]],LocationsKey[Site Name], LocationsKey[Waterway])</f>
        <v>Stour</v>
      </c>
      <c r="K600" t="s">
        <v>2006</v>
      </c>
      <c r="L600">
        <v>52.062286</v>
      </c>
      <c r="M600">
        <v>-1.6216950000000001</v>
      </c>
      <c r="N600" t="s">
        <v>25</v>
      </c>
      <c r="O600">
        <v>468</v>
      </c>
      <c r="P600">
        <v>9.6999999999999993</v>
      </c>
      <c r="Q600">
        <v>2</v>
      </c>
      <c r="R600" s="107" t="str">
        <f>IF(AllData[[#This Row],[Nitrate (PPM)]]&gt;2, "Very high", IF(AllData[[#This Row],[Nitrate (PPM)]]&gt;1, "High", IF(AllData[[#This Row],[Nitrate (PPM)]]&gt;0.5, "Some evidence", IF(AllData[[#This Row],[Nitrate (PPM)]]&gt;=0, "No evidence"))))</f>
        <v>High</v>
      </c>
      <c r="S600" s="108">
        <v>0.25</v>
      </c>
      <c r="T600" s="7" t="str">
        <f>IF(AllData[[#This Row],[Phosphate (PPM)]]&gt;0.5, "Very high", IF(AllData[[#This Row],[Phosphate (PPM)]]&gt;0.1, "High", IF(AllData[[#This Row],[Phosphate (PPM)]]&gt;0.05, "Some evidence", IF(AllData[[#This Row],[Phosphate (PPM)]]&lt;=0.05, "No Evidence", ""))))</f>
        <v>High</v>
      </c>
      <c r="U600">
        <v>1.56</v>
      </c>
    </row>
    <row r="601" spans="1:22" x14ac:dyDescent="0.35">
      <c r="A601" t="s">
        <v>2627</v>
      </c>
      <c r="B601" s="143">
        <v>45631</v>
      </c>
      <c r="C601" s="2" t="str" cm="1">
        <f t="array" ref="C6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1">
        <f>YEAR(AllData[[#This Row],[Date]])</f>
        <v>2024</v>
      </c>
      <c r="E601" s="1">
        <v>0.46458333333333335</v>
      </c>
      <c r="F601" t="str">
        <f>IF(AND(AllData[[#This Row],[Time]]&lt;0.5, AllData[[#This Row],[Time]]&gt;0.17)=TRUE, "Morning", IF(AND(AllData[[#This Row],[Time]]&lt;0.75, AllData[[#This Row],[Time]]&gt;=0.5)=TRUE, "Afternoon", IF(AND(AllData[[#This Row],[Time]]&lt;1, AllData[[#This Row],[Time]]&gt;=0.75)=TRUE, "Evening", "Night")))</f>
        <v>Morning</v>
      </c>
      <c r="G601" t="str">
        <f>_xlfn.XLOOKUP(AllData[[#This Row],[Location Name]], Locations[Location Name],Locations[Group As])</f>
        <v>Lower Lode</v>
      </c>
      <c r="H601" t="e" vm="4">
        <f>_xlfn.XLOOKUP(AllData[[#This Row],[Site Name]],LocationsKey[Site Name],LocationsKey[District])</f>
        <v>#VALUE!</v>
      </c>
      <c r="I601" t="e" vm="4">
        <f>_xlfn.XLOOKUP(AllData[[#This Row],[Site Name]],LocationsKey[Site Name],LocationsKey[Town])</f>
        <v>#VALUE!</v>
      </c>
      <c r="J601" t="str">
        <f>_xlfn.XLOOKUP(AllData[[#This Row],[Site Name]],LocationsKey[Site Name], LocationsKey[Waterway])</f>
        <v>Avon</v>
      </c>
      <c r="K601" t="s">
        <v>595</v>
      </c>
      <c r="L601">
        <v>51.984805999999999</v>
      </c>
      <c r="M601">
        <v>-2.1753689999999999</v>
      </c>
      <c r="N601" t="s">
        <v>31</v>
      </c>
      <c r="O601">
        <v>7000</v>
      </c>
      <c r="P601">
        <v>12.8</v>
      </c>
      <c r="Q601">
        <v>10</v>
      </c>
      <c r="R601" s="107" t="str">
        <f>IF(AllData[[#This Row],[Nitrate (PPM)]]&gt;2, "Very high", IF(AllData[[#This Row],[Nitrate (PPM)]]&gt;1, "High", IF(AllData[[#This Row],[Nitrate (PPM)]]&gt;0.5, "Some evidence", IF(AllData[[#This Row],[Nitrate (PPM)]]&gt;=0, "No evidence"))))</f>
        <v>Very high</v>
      </c>
      <c r="S601" s="108">
        <v>0.51</v>
      </c>
      <c r="T601" s="7" t="str">
        <f>IF(AllData[[#This Row],[Phosphate (PPM)]]&gt;0.5, "Very high", IF(AllData[[#This Row],[Phosphate (PPM)]]&gt;0.1, "High", IF(AllData[[#This Row],[Phosphate (PPM)]]&gt;0.05, "Some evidence", IF(AllData[[#This Row],[Phosphate (PPM)]]&lt;=0.05, "No Evidence", ""))))</f>
        <v>Very high</v>
      </c>
      <c r="U601">
        <v>3</v>
      </c>
    </row>
    <row r="602" spans="1:22" x14ac:dyDescent="0.35">
      <c r="A602" t="s">
        <v>2628</v>
      </c>
      <c r="B602" s="143">
        <v>45631</v>
      </c>
      <c r="C602" s="2" t="str" cm="1">
        <f t="array" ref="C6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2">
        <f>YEAR(AllData[[#This Row],[Date]])</f>
        <v>2024</v>
      </c>
      <c r="E602" s="1">
        <v>0.56527777777777777</v>
      </c>
      <c r="F602" t="str">
        <f>IF(AND(AllData[[#This Row],[Time]]&lt;0.5, AllData[[#This Row],[Time]]&gt;0.17)=TRUE, "Morning", IF(AND(AllData[[#This Row],[Time]]&lt;0.75, AllData[[#This Row],[Time]]&gt;=0.5)=TRUE, "Afternoon", IF(AND(AllData[[#This Row],[Time]]&lt;1, AllData[[#This Row],[Time]]&gt;=0.75)=TRUE, "Evening", "Night")))</f>
        <v>Afternoon</v>
      </c>
      <c r="G602" t="str">
        <f>_xlfn.XLOOKUP(AllData[[#This Row],[Location Name]], Locations[Location Name],Locations[Group As])</f>
        <v>Twyning Fleet</v>
      </c>
      <c r="H602" t="e" vm="4">
        <f>_xlfn.XLOOKUP(AllData[[#This Row],[Site Name]],LocationsKey[Site Name],LocationsKey[District])</f>
        <v>#VALUE!</v>
      </c>
      <c r="I602" t="str">
        <f>_xlfn.XLOOKUP(AllData[[#This Row],[Site Name]],LocationsKey[Site Name],LocationsKey[Town])</f>
        <v>Twyning Green</v>
      </c>
      <c r="J602" t="str">
        <f>_xlfn.XLOOKUP(AllData[[#This Row],[Site Name]],LocationsKey[Site Name], LocationsKey[Waterway])</f>
        <v>Avon</v>
      </c>
      <c r="K602" t="s">
        <v>2117</v>
      </c>
      <c r="L602">
        <v>52.027202000000003</v>
      </c>
      <c r="M602">
        <v>-2.1405880000000002</v>
      </c>
      <c r="N602" t="s">
        <v>31</v>
      </c>
      <c r="O602">
        <v>739</v>
      </c>
      <c r="P602">
        <v>10.1</v>
      </c>
      <c r="Q602">
        <v>7</v>
      </c>
      <c r="R602" s="107" t="str">
        <f>IF(AllData[[#This Row],[Nitrate (PPM)]]&gt;2, "Very high", IF(AllData[[#This Row],[Nitrate (PPM)]]&gt;1, "High", IF(AllData[[#This Row],[Nitrate (PPM)]]&gt;0.5, "Some evidence", IF(AllData[[#This Row],[Nitrate (PPM)]]&gt;=0, "No evidence"))))</f>
        <v>Very high</v>
      </c>
      <c r="S602" s="108">
        <v>0.32</v>
      </c>
      <c r="T602" s="7" t="str">
        <f>IF(AllData[[#This Row],[Phosphate (PPM)]]&gt;0.5, "Very high", IF(AllData[[#This Row],[Phosphate (PPM)]]&gt;0.1, "High", IF(AllData[[#This Row],[Phosphate (PPM)]]&gt;0.05, "Some evidence", IF(AllData[[#This Row],[Phosphate (PPM)]]&lt;=0.05, "No Evidence", ""))))</f>
        <v>High</v>
      </c>
      <c r="U602">
        <v>0.5</v>
      </c>
    </row>
    <row r="603" spans="1:22" x14ac:dyDescent="0.35">
      <c r="A603" t="s">
        <v>2623</v>
      </c>
      <c r="B603" s="143">
        <v>45631</v>
      </c>
      <c r="C603" s="2" t="str" cm="1">
        <f t="array" ref="C6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3">
        <f>YEAR(AllData[[#This Row],[Date]])</f>
        <v>2024</v>
      </c>
      <c r="E603" s="1">
        <v>0.51249999999999996</v>
      </c>
      <c r="F603" t="str">
        <f>IF(AND(AllData[[#This Row],[Time]]&lt;0.5, AllData[[#This Row],[Time]]&gt;0.17)=TRUE, "Morning", IF(AND(AllData[[#This Row],[Time]]&lt;0.75, AllData[[#This Row],[Time]]&gt;=0.5)=TRUE, "Afternoon", IF(AND(AllData[[#This Row],[Time]]&lt;1, AllData[[#This Row],[Time]]&gt;=0.75)=TRUE, "Evening", "Night")))</f>
        <v>Afternoon</v>
      </c>
      <c r="G603" t="str">
        <f>_xlfn.XLOOKUP(AllData[[#This Row],[Location Name]], Locations[Location Name],Locations[Group As])</f>
        <v>Swiffen Bank</v>
      </c>
      <c r="H603" t="e" vm="1">
        <f>_xlfn.XLOOKUP(AllData[[#This Row],[Site Name]],LocationsKey[Site Name],LocationsKey[District])</f>
        <v>#VALUE!</v>
      </c>
      <c r="I603" t="e" vm="2">
        <f>_xlfn.XLOOKUP(AllData[[#This Row],[Site Name]],LocationsKey[Site Name],LocationsKey[Town])</f>
        <v>#VALUE!</v>
      </c>
      <c r="J603" t="str">
        <f>_xlfn.XLOOKUP(AllData[[#This Row],[Site Name]],LocationsKey[Site Name], LocationsKey[Waterway])</f>
        <v>Avon</v>
      </c>
      <c r="K603" t="s">
        <v>286</v>
      </c>
      <c r="L603">
        <v>52.206435999999997</v>
      </c>
      <c r="M603">
        <v>-1.654409</v>
      </c>
      <c r="N603" t="s">
        <v>31</v>
      </c>
      <c r="O603">
        <v>630</v>
      </c>
      <c r="P603">
        <v>11</v>
      </c>
      <c r="Q603">
        <v>5</v>
      </c>
      <c r="R603" s="107" t="str">
        <f>IF(AllData[[#This Row],[Nitrate (PPM)]]&gt;2, "Very high", IF(AllData[[#This Row],[Nitrate (PPM)]]&gt;1, "High", IF(AllData[[#This Row],[Nitrate (PPM)]]&gt;0.5, "Some evidence", IF(AllData[[#This Row],[Nitrate (PPM)]]&gt;=0, "No evidence"))))</f>
        <v>Very high</v>
      </c>
      <c r="S603" s="108">
        <v>0.68</v>
      </c>
      <c r="T603" s="7" t="str">
        <f>IF(AllData[[#This Row],[Phosphate (PPM)]]&gt;0.5, "Very high", IF(AllData[[#This Row],[Phosphate (PPM)]]&gt;0.1, "High", IF(AllData[[#This Row],[Phosphate (PPM)]]&gt;0.05, "Some evidence", IF(AllData[[#This Row],[Phosphate (PPM)]]&lt;=0.05, "No Evidence", ""))))</f>
        <v>Very high</v>
      </c>
      <c r="U603">
        <v>0</v>
      </c>
      <c r="V603" t="s">
        <v>2624</v>
      </c>
    </row>
    <row r="604" spans="1:22" x14ac:dyDescent="0.35">
      <c r="A604" t="s">
        <v>2625</v>
      </c>
      <c r="B604" s="143">
        <v>45631</v>
      </c>
      <c r="C604" s="2" t="str" cm="1">
        <f t="array" ref="C6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4">
        <f>YEAR(AllData[[#This Row],[Date]])</f>
        <v>2024</v>
      </c>
      <c r="E604" s="1">
        <v>0.49305555555555558</v>
      </c>
      <c r="F604" t="str">
        <f>IF(AND(AllData[[#This Row],[Time]]&lt;0.5, AllData[[#This Row],[Time]]&gt;0.17)=TRUE, "Morning", IF(AND(AllData[[#This Row],[Time]]&lt;0.75, AllData[[#This Row],[Time]]&gt;=0.5)=TRUE, "Afternoon", IF(AND(AllData[[#This Row],[Time]]&lt;1, AllData[[#This Row],[Time]]&gt;=0.75)=TRUE, "Evening", "Night")))</f>
        <v>Morning</v>
      </c>
      <c r="G604" t="str">
        <f>_xlfn.XLOOKUP(AllData[[#This Row],[Location Name]], Locations[Location Name],Locations[Group As])</f>
        <v>Carrant Back Lane Beckford</v>
      </c>
      <c r="H604" t="e" vm="4">
        <f>_xlfn.XLOOKUP(AllData[[#This Row],[Site Name]],LocationsKey[Site Name],LocationsKey[District])</f>
        <v>#VALUE!</v>
      </c>
      <c r="I604" t="str">
        <f>_xlfn.XLOOKUP(AllData[[#This Row],[Site Name]],LocationsKey[Site Name],LocationsKey[Town])</f>
        <v>Beckford</v>
      </c>
      <c r="J604" t="str">
        <f>_xlfn.XLOOKUP(AllData[[#This Row],[Site Name]],LocationsKey[Site Name], LocationsKey[Waterway])</f>
        <v>Carrant</v>
      </c>
      <c r="K604" t="s">
        <v>1736</v>
      </c>
      <c r="L604">
        <v>52.018411</v>
      </c>
      <c r="M604">
        <v>-2.038824</v>
      </c>
      <c r="N604" t="s">
        <v>68</v>
      </c>
      <c r="O604">
        <v>464</v>
      </c>
      <c r="P604">
        <v>11.8</v>
      </c>
      <c r="Q604">
        <v>5</v>
      </c>
      <c r="R604" s="107" t="str">
        <f>IF(AllData[[#This Row],[Nitrate (PPM)]]&gt;2, "Very high", IF(AllData[[#This Row],[Nitrate (PPM)]]&gt;1, "High", IF(AllData[[#This Row],[Nitrate (PPM)]]&gt;0.5, "Some evidence", IF(AllData[[#This Row],[Nitrate (PPM)]]&gt;=0, "No evidence"))))</f>
        <v>Very high</v>
      </c>
      <c r="S604" s="108">
        <v>0.17</v>
      </c>
      <c r="T604" s="7" t="str">
        <f>IF(AllData[[#This Row],[Phosphate (PPM)]]&gt;0.5, "Very high", IF(AllData[[#This Row],[Phosphate (PPM)]]&gt;0.1, "High", IF(AllData[[#This Row],[Phosphate (PPM)]]&gt;0.05, "Some evidence", IF(AllData[[#This Row],[Phosphate (PPM)]]&lt;=0.05, "No Evidence", ""))))</f>
        <v>High</v>
      </c>
      <c r="U604">
        <v>0.96</v>
      </c>
      <c r="V604" t="s">
        <v>2626</v>
      </c>
    </row>
    <row r="605" spans="1:22" x14ac:dyDescent="0.35">
      <c r="A605" t="s">
        <v>2622</v>
      </c>
      <c r="B605" s="143">
        <v>45631</v>
      </c>
      <c r="C605" s="2" t="str" cm="1">
        <f t="array" ref="C6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5">
        <f>YEAR(AllData[[#This Row],[Date]])</f>
        <v>2024</v>
      </c>
      <c r="E605" s="1">
        <v>0.6069444444444444</v>
      </c>
      <c r="F605" t="str">
        <f>IF(AND(AllData[[#This Row],[Time]]&lt;0.5, AllData[[#This Row],[Time]]&gt;0.17)=TRUE, "Morning", IF(AND(AllData[[#This Row],[Time]]&lt;0.75, AllData[[#This Row],[Time]]&gt;=0.5)=TRUE, "Afternoon", IF(AND(AllData[[#This Row],[Time]]&lt;1, AllData[[#This Row],[Time]]&gt;=0.75)=TRUE, "Evening", "Night")))</f>
        <v>Afternoon</v>
      </c>
      <c r="G605" t="str">
        <f>_xlfn.XLOOKUP(AllData[[#This Row],[Location Name]], Locations[Location Name],Locations[Group As])</f>
        <v>Stour Whichford</v>
      </c>
      <c r="H605" t="e" vm="1">
        <f>_xlfn.XLOOKUP(AllData[[#This Row],[Site Name]],LocationsKey[Site Name],LocationsKey[District])</f>
        <v>#VALUE!</v>
      </c>
      <c r="I605" t="e" vm="24">
        <f>_xlfn.XLOOKUP(AllData[[#This Row],[Site Name]],LocationsKey[Site Name],LocationsKey[Town])</f>
        <v>#VALUE!</v>
      </c>
      <c r="J605" t="str">
        <f>_xlfn.XLOOKUP(AllData[[#This Row],[Site Name]],LocationsKey[Site Name], LocationsKey[Waterway])</f>
        <v>Stour</v>
      </c>
      <c r="K605" t="s">
        <v>980</v>
      </c>
      <c r="N605" t="s">
        <v>31</v>
      </c>
      <c r="O605">
        <v>625</v>
      </c>
      <c r="P605">
        <v>12.1</v>
      </c>
      <c r="Q605">
        <v>2</v>
      </c>
      <c r="R605" s="107" t="str">
        <f>IF(AllData[[#This Row],[Nitrate (PPM)]]&gt;2, "Very high", IF(AllData[[#This Row],[Nitrate (PPM)]]&gt;1, "High", IF(AllData[[#This Row],[Nitrate (PPM)]]&gt;0.5, "Some evidence", IF(AllData[[#This Row],[Nitrate (PPM)]]&gt;=0, "No evidence"))))</f>
        <v>High</v>
      </c>
      <c r="S605" s="108">
        <v>0.35</v>
      </c>
      <c r="T605" s="7" t="str">
        <f>IF(AllData[[#This Row],[Phosphate (PPM)]]&gt;0.5, "Very high", IF(AllData[[#This Row],[Phosphate (PPM)]]&gt;0.1, "High", IF(AllData[[#This Row],[Phosphate (PPM)]]&gt;0.05, "Some evidence", IF(AllData[[#This Row],[Phosphate (PPM)]]&lt;=0.05, "No Evidence", ""))))</f>
        <v>High</v>
      </c>
      <c r="U605">
        <v>22</v>
      </c>
    </row>
    <row r="606" spans="1:22" x14ac:dyDescent="0.35">
      <c r="A606" t="s">
        <v>2621</v>
      </c>
      <c r="B606" s="143">
        <v>45631</v>
      </c>
      <c r="C606" s="2" t="str" cm="1">
        <f t="array" ref="C6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6">
        <f>YEAR(AllData[[#This Row],[Date]])</f>
        <v>2024</v>
      </c>
      <c r="E606" s="1">
        <v>0.62916666666666665</v>
      </c>
      <c r="F606" t="str">
        <f>IF(AND(AllData[[#This Row],[Time]]&lt;0.5, AllData[[#This Row],[Time]]&gt;0.17)=TRUE, "Morning", IF(AND(AllData[[#This Row],[Time]]&lt;0.75, AllData[[#This Row],[Time]]&gt;=0.5)=TRUE, "Afternoon", IF(AND(AllData[[#This Row],[Time]]&lt;1, AllData[[#This Row],[Time]]&gt;=0.75)=TRUE, "Evening", "Night")))</f>
        <v>Afternoon</v>
      </c>
      <c r="G606" t="str">
        <f>_xlfn.XLOOKUP(AllData[[#This Row],[Location Name]], Locations[Location Name],Locations[Group As])</f>
        <v>Stour Ascott Village</v>
      </c>
      <c r="H606" t="e" vm="1">
        <f>_xlfn.XLOOKUP(AllData[[#This Row],[Site Name]],LocationsKey[Site Name],LocationsKey[District])</f>
        <v>#VALUE!</v>
      </c>
      <c r="I606" t="e" vm="25">
        <f>_xlfn.XLOOKUP(AllData[[#This Row],[Site Name]],LocationsKey[Site Name],LocationsKey[Town])</f>
        <v>#VALUE!</v>
      </c>
      <c r="J606" t="str">
        <f>_xlfn.XLOOKUP(AllData[[#This Row],[Site Name]],LocationsKey[Site Name], LocationsKey[Waterway])</f>
        <v>Stour</v>
      </c>
      <c r="K606" t="s">
        <v>927</v>
      </c>
      <c r="N606" t="s">
        <v>68</v>
      </c>
      <c r="O606">
        <v>613</v>
      </c>
      <c r="P606">
        <v>11.1</v>
      </c>
      <c r="Q606">
        <v>0.5</v>
      </c>
      <c r="R606" s="107" t="str">
        <f>IF(AllData[[#This Row],[Nitrate (PPM)]]&gt;2, "Very high", IF(AllData[[#This Row],[Nitrate (PPM)]]&gt;1, "High", IF(AllData[[#This Row],[Nitrate (PPM)]]&gt;0.5, "Some evidence", IF(AllData[[#This Row],[Nitrate (PPM)]]&gt;=0, "No evidence"))))</f>
        <v>No evidence</v>
      </c>
      <c r="S606" s="108">
        <v>0.15</v>
      </c>
      <c r="T606" s="7" t="str">
        <f>IF(AllData[[#This Row],[Phosphate (PPM)]]&gt;0.5, "Very high", IF(AllData[[#This Row],[Phosphate (PPM)]]&gt;0.1, "High", IF(AllData[[#This Row],[Phosphate (PPM)]]&gt;0.05, "Some evidence", IF(AllData[[#This Row],[Phosphate (PPM)]]&lt;=0.05, "No Evidence", ""))))</f>
        <v>High</v>
      </c>
      <c r="U606">
        <v>14</v>
      </c>
    </row>
    <row r="607" spans="1:22" x14ac:dyDescent="0.35">
      <c r="A607" t="s">
        <v>2619</v>
      </c>
      <c r="B607" s="143">
        <v>45630</v>
      </c>
      <c r="C607" s="2" t="str" cm="1">
        <f t="array" ref="C6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7">
        <f>YEAR(AllData[[#This Row],[Date]])</f>
        <v>2024</v>
      </c>
      <c r="E607" s="1">
        <v>0.7006944444444444</v>
      </c>
      <c r="F607" t="str">
        <f>IF(AND(AllData[[#This Row],[Time]]&lt;0.5, AllData[[#This Row],[Time]]&gt;0.17)=TRUE, "Morning", IF(AND(AllData[[#This Row],[Time]]&lt;0.75, AllData[[#This Row],[Time]]&gt;=0.5)=TRUE, "Afternoon", IF(AND(AllData[[#This Row],[Time]]&lt;1, AllData[[#This Row],[Time]]&gt;=0.75)=TRUE, "Evening", "Night")))</f>
        <v>Afternoon</v>
      </c>
      <c r="G607" t="str">
        <f>_xlfn.XLOOKUP(AllData[[#This Row],[Location Name]], Locations[Location Name],Locations[Group As])</f>
        <v>School Lane</v>
      </c>
      <c r="H607" t="e" vm="1">
        <f>_xlfn.XLOOKUP(AllData[[#This Row],[Site Name]],LocationsKey[Site Name],LocationsKey[District])</f>
        <v>#VALUE!</v>
      </c>
      <c r="I607" t="e" vm="3">
        <f>_xlfn.XLOOKUP(AllData[[#This Row],[Site Name]],LocationsKey[Site Name],LocationsKey[Town])</f>
        <v>#VALUE!</v>
      </c>
      <c r="J607" t="str">
        <f>_xlfn.XLOOKUP(AllData[[#This Row],[Site Name]],LocationsKey[Site Name], LocationsKey[Waterway])</f>
        <v>Avon</v>
      </c>
      <c r="K607" t="s">
        <v>2522</v>
      </c>
      <c r="L607">
        <v>52.202395000000003</v>
      </c>
      <c r="M607">
        <v>-1.678641</v>
      </c>
      <c r="N607" t="s">
        <v>31</v>
      </c>
      <c r="O607">
        <v>784</v>
      </c>
      <c r="P607">
        <v>9.1</v>
      </c>
      <c r="Q607">
        <v>10</v>
      </c>
      <c r="R607" s="107" t="str">
        <f>IF(AllData[[#This Row],[Nitrate (PPM)]]&gt;2, "Very high", IF(AllData[[#This Row],[Nitrate (PPM)]]&gt;1, "High", IF(AllData[[#This Row],[Nitrate (PPM)]]&gt;0.5, "Some evidence", IF(AllData[[#This Row],[Nitrate (PPM)]]&gt;=0, "No evidence"))))</f>
        <v>Very high</v>
      </c>
      <c r="S607" s="108">
        <v>0.52</v>
      </c>
      <c r="T607" s="7" t="str">
        <f>IF(AllData[[#This Row],[Phosphate (PPM)]]&gt;0.5, "Very high", IF(AllData[[#This Row],[Phosphate (PPM)]]&gt;0.1, "High", IF(AllData[[#This Row],[Phosphate (PPM)]]&gt;0.05, "Some evidence", IF(AllData[[#This Row],[Phosphate (PPM)]]&lt;=0.05, "No Evidence", ""))))</f>
        <v>Very high</v>
      </c>
      <c r="U607">
        <v>0.78</v>
      </c>
    </row>
    <row r="608" spans="1:22" x14ac:dyDescent="0.35">
      <c r="A608" t="s">
        <v>2616</v>
      </c>
      <c r="B608" s="143">
        <v>45630</v>
      </c>
      <c r="C608" s="2" t="str" cm="1">
        <f t="array" ref="C6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8">
        <f>YEAR(AllData[[#This Row],[Date]])</f>
        <v>2024</v>
      </c>
      <c r="E608" s="1">
        <v>0.70277777777777772</v>
      </c>
      <c r="F608" t="str">
        <f>IF(AND(AllData[[#This Row],[Time]]&lt;0.5, AllData[[#This Row],[Time]]&gt;0.17)=TRUE, "Morning", IF(AND(AllData[[#This Row],[Time]]&lt;0.75, AllData[[#This Row],[Time]]&gt;=0.5)=TRUE, "Afternoon", IF(AND(AllData[[#This Row],[Time]]&lt;1, AllData[[#This Row],[Time]]&gt;=0.75)=TRUE, "Evening", "Night")))</f>
        <v>Afternoon</v>
      </c>
      <c r="G608" t="str">
        <f>_xlfn.XLOOKUP(AllData[[#This Row],[Location Name]], Locations[Location Name],Locations[Group As])</f>
        <v>Carters Lane</v>
      </c>
      <c r="H608" t="e" vm="1">
        <f>_xlfn.XLOOKUP(AllData[[#This Row],[Site Name]],LocationsKey[Site Name],LocationsKey[District])</f>
        <v>#VALUE!</v>
      </c>
      <c r="I608" t="e" vm="3">
        <f>_xlfn.XLOOKUP(AllData[[#This Row],[Site Name]],LocationsKey[Site Name],LocationsKey[Town])</f>
        <v>#VALUE!</v>
      </c>
      <c r="J608" t="str">
        <f>_xlfn.XLOOKUP(AllData[[#This Row],[Site Name]],LocationsKey[Site Name], LocationsKey[Waterway])</f>
        <v>Avon</v>
      </c>
      <c r="K608" t="s">
        <v>2520</v>
      </c>
      <c r="L608">
        <v>52.202437000000003</v>
      </c>
      <c r="M608">
        <v>-1.678828</v>
      </c>
      <c r="N608" t="s">
        <v>68</v>
      </c>
      <c r="O608">
        <v>783</v>
      </c>
      <c r="P608">
        <v>9.1</v>
      </c>
      <c r="Q608">
        <v>10</v>
      </c>
      <c r="R608" s="107" t="str">
        <f>IF(AllData[[#This Row],[Nitrate (PPM)]]&gt;2, "Very high", IF(AllData[[#This Row],[Nitrate (PPM)]]&gt;1, "High", IF(AllData[[#This Row],[Nitrate (PPM)]]&gt;0.5, "Some evidence", IF(AllData[[#This Row],[Nitrate (PPM)]]&gt;=0, "No evidence"))))</f>
        <v>Very high</v>
      </c>
      <c r="S608" s="108">
        <v>0.55000000000000004</v>
      </c>
      <c r="T608" s="7" t="str">
        <f>IF(AllData[[#This Row],[Phosphate (PPM)]]&gt;0.5, "Very high", IF(AllData[[#This Row],[Phosphate (PPM)]]&gt;0.1, "High", IF(AllData[[#This Row],[Phosphate (PPM)]]&gt;0.05, "Some evidence", IF(AllData[[#This Row],[Phosphate (PPM)]]&lt;=0.05, "No Evidence", ""))))</f>
        <v>Very high</v>
      </c>
      <c r="U608">
        <v>0.78</v>
      </c>
    </row>
    <row r="609" spans="1:22" x14ac:dyDescent="0.35">
      <c r="A609" t="s">
        <v>2620</v>
      </c>
      <c r="B609" s="143">
        <v>45630</v>
      </c>
      <c r="C609" s="2" t="str" cm="1">
        <f t="array" ref="C6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09">
        <f>YEAR(AllData[[#This Row],[Date]])</f>
        <v>2024</v>
      </c>
      <c r="E609" s="1">
        <v>0.63055555555555554</v>
      </c>
      <c r="F609" t="str">
        <f>IF(AND(AllData[[#This Row],[Time]]&lt;0.5, AllData[[#This Row],[Time]]&gt;0.17)=TRUE, "Morning", IF(AND(AllData[[#This Row],[Time]]&lt;0.75, AllData[[#This Row],[Time]]&gt;=0.5)=TRUE, "Afternoon", IF(AND(AllData[[#This Row],[Time]]&lt;1, AllData[[#This Row],[Time]]&gt;=0.75)=TRUE, "Evening", "Night")))</f>
        <v>Afternoon</v>
      </c>
      <c r="G609" t="str">
        <f>_xlfn.XLOOKUP(AllData[[#This Row],[Location Name]], Locations[Location Name],Locations[Group As])</f>
        <v>SSC Bredons Norton</v>
      </c>
      <c r="H609" t="e" vm="6">
        <f>_xlfn.XLOOKUP(AllData[[#This Row],[Site Name]],LocationsKey[Site Name],LocationsKey[District])</f>
        <v>#VALUE!</v>
      </c>
      <c r="I609" t="str">
        <f>_xlfn.XLOOKUP(AllData[[#This Row],[Site Name]],LocationsKey[Site Name],LocationsKey[Town])</f>
        <v>Bredon's Norton</v>
      </c>
      <c r="J609" t="str">
        <f>_xlfn.XLOOKUP(AllData[[#This Row],[Site Name]],LocationsKey[Site Name], LocationsKey[Waterway])</f>
        <v>Avon</v>
      </c>
      <c r="K609" t="s">
        <v>2121</v>
      </c>
      <c r="L609">
        <v>52.050837999999999</v>
      </c>
      <c r="M609">
        <v>-2.1170070000000001</v>
      </c>
      <c r="N609" t="s">
        <v>25</v>
      </c>
      <c r="O609">
        <v>695</v>
      </c>
      <c r="P609">
        <v>10.199999999999999</v>
      </c>
      <c r="Q609">
        <v>10</v>
      </c>
      <c r="R609" s="107" t="str">
        <f>IF(AllData[[#This Row],[Nitrate (PPM)]]&gt;2, "Very high", IF(AllData[[#This Row],[Nitrate (PPM)]]&gt;1, "High", IF(AllData[[#This Row],[Nitrate (PPM)]]&gt;0.5, "Some evidence", IF(AllData[[#This Row],[Nitrate (PPM)]]&gt;=0, "No evidence"))))</f>
        <v>Very high</v>
      </c>
      <c r="S609" s="108">
        <v>0.48</v>
      </c>
      <c r="T609" s="7" t="str">
        <f>IF(AllData[[#This Row],[Phosphate (PPM)]]&gt;0.5, "Very high", IF(AllData[[#This Row],[Phosphate (PPM)]]&gt;0.1, "High", IF(AllData[[#This Row],[Phosphate (PPM)]]&gt;0.05, "Some evidence", IF(AllData[[#This Row],[Phosphate (PPM)]]&lt;=0.05, "No Evidence", ""))))</f>
        <v>High</v>
      </c>
      <c r="U609">
        <v>1.3</v>
      </c>
    </row>
    <row r="610" spans="1:22" x14ac:dyDescent="0.35">
      <c r="A610" t="s">
        <v>2617</v>
      </c>
      <c r="B610" s="143">
        <v>45630</v>
      </c>
      <c r="C610" s="2" t="str" cm="1">
        <f t="array" ref="C6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0">
        <f>YEAR(AllData[[#This Row],[Date]])</f>
        <v>2024</v>
      </c>
      <c r="E610" s="1">
        <v>0.6166666666666667</v>
      </c>
      <c r="F610" t="str">
        <f>IF(AND(AllData[[#This Row],[Time]]&lt;0.5, AllData[[#This Row],[Time]]&gt;0.17)=TRUE, "Morning", IF(AND(AllData[[#This Row],[Time]]&lt;0.75, AllData[[#This Row],[Time]]&gt;=0.5)=TRUE, "Afternoon", IF(AND(AllData[[#This Row],[Time]]&lt;1, AllData[[#This Row],[Time]]&gt;=0.75)=TRUE, "Evening", "Night")))</f>
        <v>Afternoon</v>
      </c>
      <c r="G610" t="str">
        <f>_xlfn.XLOOKUP(AllData[[#This Row],[Location Name]], Locations[Location Name],Locations[Group As])</f>
        <v>Alveston Weir</v>
      </c>
      <c r="H610" t="e" vm="1">
        <f>_xlfn.XLOOKUP(AllData[[#This Row],[Site Name]],LocationsKey[Site Name],LocationsKey[District])</f>
        <v>#VALUE!</v>
      </c>
      <c r="I610" t="e" vm="2">
        <f>_xlfn.XLOOKUP(AllData[[#This Row],[Site Name]],LocationsKey[Site Name],LocationsKey[Town])</f>
        <v>#VALUE!</v>
      </c>
      <c r="J610" t="str">
        <f>_xlfn.XLOOKUP(AllData[[#This Row],[Site Name]],LocationsKey[Site Name], LocationsKey[Waterway])</f>
        <v>Avon</v>
      </c>
      <c r="K610" t="s">
        <v>288</v>
      </c>
      <c r="L610">
        <v>52.212288999999998</v>
      </c>
      <c r="M610">
        <v>-1.660452</v>
      </c>
      <c r="N610" t="s">
        <v>31</v>
      </c>
      <c r="O610">
        <v>633</v>
      </c>
      <c r="P610">
        <v>12.2</v>
      </c>
      <c r="Q610">
        <v>5</v>
      </c>
      <c r="R610" s="107" t="str">
        <f>IF(AllData[[#This Row],[Nitrate (PPM)]]&gt;2, "Very high", IF(AllData[[#This Row],[Nitrate (PPM)]]&gt;1, "High", IF(AllData[[#This Row],[Nitrate (PPM)]]&gt;0.5, "Some evidence", IF(AllData[[#This Row],[Nitrate (PPM)]]&gt;=0, "No evidence"))))</f>
        <v>Very high</v>
      </c>
      <c r="S610" s="108">
        <v>0.46</v>
      </c>
      <c r="T610" s="7" t="str">
        <f>IF(AllData[[#This Row],[Phosphate (PPM)]]&gt;0.5, "Very high", IF(AllData[[#This Row],[Phosphate (PPM)]]&gt;0.1, "High", IF(AllData[[#This Row],[Phosphate (PPM)]]&gt;0.05, "Some evidence", IF(AllData[[#This Row],[Phosphate (PPM)]]&lt;=0.05, "No Evidence", ""))))</f>
        <v>High</v>
      </c>
      <c r="U610">
        <v>0</v>
      </c>
      <c r="V610" t="s">
        <v>2618</v>
      </c>
    </row>
    <row r="611" spans="1:22" x14ac:dyDescent="0.35">
      <c r="A611" t="s">
        <v>2611</v>
      </c>
      <c r="B611" s="143">
        <v>45629</v>
      </c>
      <c r="C611" s="2" t="str" cm="1">
        <f t="array" ref="C6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1">
        <f>YEAR(AllData[[#This Row],[Date]])</f>
        <v>2024</v>
      </c>
      <c r="E611" s="1">
        <v>0.65138888888888891</v>
      </c>
      <c r="F611" t="str">
        <f>IF(AND(AllData[[#This Row],[Time]]&lt;0.5, AllData[[#This Row],[Time]]&gt;0.17)=TRUE, "Morning", IF(AND(AllData[[#This Row],[Time]]&lt;0.75, AllData[[#This Row],[Time]]&gt;=0.5)=TRUE, "Afternoon", IF(AND(AllData[[#This Row],[Time]]&lt;1, AllData[[#This Row],[Time]]&gt;=0.75)=TRUE, "Evening", "Night")))</f>
        <v>Afternoon</v>
      </c>
      <c r="G611" t="str">
        <f>_xlfn.XLOOKUP(AllData[[#This Row],[Location Name]], Locations[Location Name],Locations[Group As])</f>
        <v>High Street Brailes</v>
      </c>
      <c r="H611" t="e" vm="1">
        <f>_xlfn.XLOOKUP(AllData[[#This Row],[Site Name]],LocationsKey[Site Name],LocationsKey[District])</f>
        <v>#VALUE!</v>
      </c>
      <c r="I611" t="e" vm="5">
        <f>_xlfn.XLOOKUP(AllData[[#This Row],[Site Name]],LocationsKey[Site Name],LocationsKey[Town])</f>
        <v>#VALUE!</v>
      </c>
      <c r="J611" t="str">
        <f>_xlfn.XLOOKUP(AllData[[#This Row],[Site Name]],LocationsKey[Site Name], LocationsKey[Waterway])</f>
        <v>Sutton Brook</v>
      </c>
      <c r="K611" t="s">
        <v>2612</v>
      </c>
      <c r="L611">
        <v>52.050749000000003</v>
      </c>
      <c r="M611">
        <v>-1.5457719999999999</v>
      </c>
      <c r="N611" t="s">
        <v>68</v>
      </c>
      <c r="O611">
        <v>571</v>
      </c>
      <c r="P611">
        <v>8.5</v>
      </c>
      <c r="Q611">
        <v>4</v>
      </c>
      <c r="R611" s="107" t="str">
        <f>IF(AllData[[#This Row],[Nitrate (PPM)]]&gt;2, "Very high", IF(AllData[[#This Row],[Nitrate (PPM)]]&gt;1, "High", IF(AllData[[#This Row],[Nitrate (PPM)]]&gt;0.5, "Some evidence", IF(AllData[[#This Row],[Nitrate (PPM)]]&gt;=0, "No evidence"))))</f>
        <v>Very high</v>
      </c>
      <c r="S611" s="108">
        <v>0.09</v>
      </c>
      <c r="T611" s="7" t="str">
        <f>IF(AllData[[#This Row],[Phosphate (PPM)]]&gt;0.5, "Very high", IF(AllData[[#This Row],[Phosphate (PPM)]]&gt;0.1, "High", IF(AllData[[#This Row],[Phosphate (PPM)]]&gt;0.05, "Some evidence", IF(AllData[[#This Row],[Phosphate (PPM)]]&lt;=0.05, "No Evidence", ""))))</f>
        <v>Some evidence</v>
      </c>
      <c r="U611">
        <v>0.5</v>
      </c>
      <c r="V611" t="s">
        <v>2613</v>
      </c>
    </row>
    <row r="612" spans="1:22" x14ac:dyDescent="0.35">
      <c r="A612" t="s">
        <v>2614</v>
      </c>
      <c r="B612" s="143">
        <v>45629</v>
      </c>
      <c r="C612" s="2" t="str" cm="1">
        <f t="array" ref="C6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2">
        <f>YEAR(AllData[[#This Row],[Date]])</f>
        <v>2024</v>
      </c>
      <c r="E612" s="1">
        <v>0.63541666666666663</v>
      </c>
      <c r="F612" t="str">
        <f>IF(AND(AllData[[#This Row],[Time]]&lt;0.5, AllData[[#This Row],[Time]]&gt;0.17)=TRUE, "Morning", IF(AND(AllData[[#This Row],[Time]]&lt;0.75, AllData[[#This Row],[Time]]&gt;=0.5)=TRUE, "Afternoon", IF(AND(AllData[[#This Row],[Time]]&lt;1, AllData[[#This Row],[Time]]&gt;=0.75)=TRUE, "Evening", "Night")))</f>
        <v>Afternoon</v>
      </c>
      <c r="G612" t="str">
        <f>_xlfn.XLOOKUP(AllData[[#This Row],[Location Name]], Locations[Location Name],Locations[Group As])</f>
        <v>New Barn Farm Brailes</v>
      </c>
      <c r="H612" t="e" vm="1">
        <f>_xlfn.XLOOKUP(AllData[[#This Row],[Site Name]],LocationsKey[Site Name],LocationsKey[District])</f>
        <v>#VALUE!</v>
      </c>
      <c r="I612" t="e" vm="5">
        <f>_xlfn.XLOOKUP(AllData[[#This Row],[Site Name]],LocationsKey[Site Name],LocationsKey[Town])</f>
        <v>#VALUE!</v>
      </c>
      <c r="J612" t="str">
        <f>_xlfn.XLOOKUP(AllData[[#This Row],[Site Name]],LocationsKey[Site Name], LocationsKey[Waterway])</f>
        <v>Sutton Brook</v>
      </c>
      <c r="K612" t="s">
        <v>2615</v>
      </c>
      <c r="L612">
        <v>52.044001000000002</v>
      </c>
      <c r="M612">
        <v>-1.549026</v>
      </c>
      <c r="N612" t="s">
        <v>31</v>
      </c>
      <c r="O612">
        <v>580</v>
      </c>
      <c r="P612">
        <v>9.6</v>
      </c>
      <c r="Q612">
        <v>2</v>
      </c>
      <c r="R612" s="107" t="str">
        <f>IF(AllData[[#This Row],[Nitrate (PPM)]]&gt;2, "Very high", IF(AllData[[#This Row],[Nitrate (PPM)]]&gt;1, "High", IF(AllData[[#This Row],[Nitrate (PPM)]]&gt;0.5, "Some evidence", IF(AllData[[#This Row],[Nitrate (PPM)]]&gt;=0, "No evidence"))))</f>
        <v>High</v>
      </c>
      <c r="S612" s="108">
        <v>0</v>
      </c>
      <c r="T612" s="7" t="str">
        <f>IF(AllData[[#This Row],[Phosphate (PPM)]]&gt;0.5, "Very high", IF(AllData[[#This Row],[Phosphate (PPM)]]&gt;0.1, "High", IF(AllData[[#This Row],[Phosphate (PPM)]]&gt;0.05, "Some evidence", IF(AllData[[#This Row],[Phosphate (PPM)]]&lt;=0.05, "No Evidence", ""))))</f>
        <v>No Evidence</v>
      </c>
      <c r="U612">
        <v>0.5</v>
      </c>
      <c r="V612" t="s">
        <v>2613</v>
      </c>
    </row>
    <row r="613" spans="1:22" x14ac:dyDescent="0.35">
      <c r="A613" t="s">
        <v>2609</v>
      </c>
      <c r="B613" s="143">
        <v>45628</v>
      </c>
      <c r="C613" s="2" t="str" cm="1">
        <f t="array" ref="C6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3">
        <f>YEAR(AllData[[#This Row],[Date]])</f>
        <v>2024</v>
      </c>
      <c r="E613" s="1">
        <v>0.35416666666666669</v>
      </c>
      <c r="F613" t="str">
        <f>IF(AND(AllData[[#This Row],[Time]]&lt;0.5, AllData[[#This Row],[Time]]&gt;0.17)=TRUE, "Morning", IF(AND(AllData[[#This Row],[Time]]&lt;0.75, AllData[[#This Row],[Time]]&gt;=0.5)=TRUE, "Afternoon", IF(AND(AllData[[#This Row],[Time]]&lt;1, AllData[[#This Row],[Time]]&gt;=0.75)=TRUE, "Evening", "Night")))</f>
        <v>Morning</v>
      </c>
      <c r="G613" t="str">
        <f>_xlfn.XLOOKUP(AllData[[#This Row],[Location Name]], Locations[Location Name],Locations[Group As])</f>
        <v>Chipping Campden Lady J Gateway</v>
      </c>
      <c r="H613" t="e" vm="9">
        <f>_xlfn.XLOOKUP(AllData[[#This Row],[Site Name]],LocationsKey[Site Name],LocationsKey[District])</f>
        <v>#VALUE!</v>
      </c>
      <c r="I613" t="e" vm="10">
        <f>_xlfn.XLOOKUP(AllData[[#This Row],[Site Name]],LocationsKey[Site Name],LocationsKey[Town])</f>
        <v>#VALUE!</v>
      </c>
      <c r="J613" t="str">
        <f>_xlfn.XLOOKUP(AllData[[#This Row],[Site Name]],LocationsKey[Site Name], LocationsKey[Waterway])</f>
        <v>Cam Brook</v>
      </c>
      <c r="K613" t="s">
        <v>1573</v>
      </c>
      <c r="N613" t="s">
        <v>68</v>
      </c>
      <c r="O613">
        <v>534</v>
      </c>
      <c r="P613">
        <v>9.1</v>
      </c>
      <c r="Q613">
        <v>5</v>
      </c>
      <c r="R613" s="107" t="str">
        <f>IF(AllData[[#This Row],[Nitrate (PPM)]]&gt;2, "Very high", IF(AllData[[#This Row],[Nitrate (PPM)]]&gt;1, "High", IF(AllData[[#This Row],[Nitrate (PPM)]]&gt;0.5, "Some evidence", IF(AllData[[#This Row],[Nitrate (PPM)]]&gt;=0, "No evidence"))))</f>
        <v>Very high</v>
      </c>
      <c r="S613" s="108">
        <v>0.09</v>
      </c>
      <c r="T613" s="7" t="str">
        <f>IF(AllData[[#This Row],[Phosphate (PPM)]]&gt;0.5, "Very high", IF(AllData[[#This Row],[Phosphate (PPM)]]&gt;0.1, "High", IF(AllData[[#This Row],[Phosphate (PPM)]]&gt;0.05, "Some evidence", IF(AllData[[#This Row],[Phosphate (PPM)]]&lt;=0.05, "No Evidence", ""))))</f>
        <v>Some evidence</v>
      </c>
      <c r="U613">
        <v>0.19</v>
      </c>
    </row>
    <row r="614" spans="1:22" x14ac:dyDescent="0.35">
      <c r="A614" t="s">
        <v>2610</v>
      </c>
      <c r="B614" s="143">
        <v>45628</v>
      </c>
      <c r="C614" s="2" t="str" cm="1">
        <f t="array" ref="C6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4">
        <f>YEAR(AllData[[#This Row],[Date]])</f>
        <v>2024</v>
      </c>
      <c r="E614" s="1">
        <v>0.67361111111111116</v>
      </c>
      <c r="F614" t="str">
        <f>IF(AND(AllData[[#This Row],[Time]]&lt;0.5, AllData[[#This Row],[Time]]&gt;0.17)=TRUE, "Morning", IF(AND(AllData[[#This Row],[Time]]&lt;0.75, AllData[[#This Row],[Time]]&gt;=0.5)=TRUE, "Afternoon", IF(AND(AllData[[#This Row],[Time]]&lt;1, AllData[[#This Row],[Time]]&gt;=0.75)=TRUE, "Evening", "Night")))</f>
        <v>Afternoon</v>
      </c>
      <c r="G614" t="str">
        <f>_xlfn.XLOOKUP(AllData[[#This Row],[Location Name]], Locations[Location Name],Locations[Group As])</f>
        <v>Chipping Campden Craves</v>
      </c>
      <c r="H614" t="e" vm="9">
        <f>_xlfn.XLOOKUP(AllData[[#This Row],[Site Name]],LocationsKey[Site Name],LocationsKey[District])</f>
        <v>#VALUE!</v>
      </c>
      <c r="I614" t="e" vm="10">
        <f>_xlfn.XLOOKUP(AllData[[#This Row],[Site Name]],LocationsKey[Site Name],LocationsKey[Town])</f>
        <v>#VALUE!</v>
      </c>
      <c r="J614" t="str">
        <f>_xlfn.XLOOKUP(AllData[[#This Row],[Site Name]],LocationsKey[Site Name], LocationsKey[Waterway])</f>
        <v>Cam Brook</v>
      </c>
      <c r="K614" t="s">
        <v>2558</v>
      </c>
      <c r="L614">
        <v>52.048755</v>
      </c>
      <c r="M614">
        <v>-1.7863659999999999</v>
      </c>
      <c r="N614" t="s">
        <v>68</v>
      </c>
      <c r="O614">
        <v>492</v>
      </c>
      <c r="P614">
        <v>13.4</v>
      </c>
      <c r="Q614">
        <v>5</v>
      </c>
      <c r="R614" s="107" t="str">
        <f>IF(AllData[[#This Row],[Nitrate (PPM)]]&gt;2, "Very high", IF(AllData[[#This Row],[Nitrate (PPM)]]&gt;1, "High", IF(AllData[[#This Row],[Nitrate (PPM)]]&gt;0.5, "Some evidence", IF(AllData[[#This Row],[Nitrate (PPM)]]&gt;=0, "No evidence"))))</f>
        <v>Very high</v>
      </c>
      <c r="S614" s="108">
        <v>0.76</v>
      </c>
      <c r="T614" s="7" t="str">
        <f>IF(AllData[[#This Row],[Phosphate (PPM)]]&gt;0.5, "Very high", IF(AllData[[#This Row],[Phosphate (PPM)]]&gt;0.1, "High", IF(AllData[[#This Row],[Phosphate (PPM)]]&gt;0.05, "Some evidence", IF(AllData[[#This Row],[Phosphate (PPM)]]&lt;=0.05, "No Evidence", ""))))</f>
        <v>Very high</v>
      </c>
      <c r="U614">
        <v>41</v>
      </c>
    </row>
    <row r="615" spans="1:22" x14ac:dyDescent="0.35">
      <c r="A615" t="s">
        <v>2608</v>
      </c>
      <c r="B615" s="143">
        <v>45628</v>
      </c>
      <c r="C615" s="2" t="str" cm="1">
        <f t="array" ref="C6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5">
        <f>YEAR(AllData[[#This Row],[Date]])</f>
        <v>2024</v>
      </c>
      <c r="E615" s="1">
        <v>0.35069444444444442</v>
      </c>
      <c r="F615" t="str">
        <f>IF(AND(AllData[[#This Row],[Time]]&lt;0.5, AllData[[#This Row],[Time]]&gt;0.17)=TRUE, "Morning", IF(AND(AllData[[#This Row],[Time]]&lt;0.75, AllData[[#This Row],[Time]]&gt;=0.5)=TRUE, "Afternoon", IF(AND(AllData[[#This Row],[Time]]&lt;1, AllData[[#This Row],[Time]]&gt;=0.75)=TRUE, "Evening", "Night")))</f>
        <v>Morning</v>
      </c>
      <c r="G615" t="str">
        <f>_xlfn.XLOOKUP(AllData[[#This Row],[Location Name]], Locations[Location Name],Locations[Group As])</f>
        <v>Chipping Campden Sewage Works</v>
      </c>
      <c r="H615" t="e" vm="9">
        <f>_xlfn.XLOOKUP(AllData[[#This Row],[Site Name]],LocationsKey[Site Name],LocationsKey[District])</f>
        <v>#VALUE!</v>
      </c>
      <c r="I615" t="e" vm="10">
        <f>_xlfn.XLOOKUP(AllData[[#This Row],[Site Name]],LocationsKey[Site Name],LocationsKey[Town])</f>
        <v>#VALUE!</v>
      </c>
      <c r="J615" t="str">
        <f>_xlfn.XLOOKUP(AllData[[#This Row],[Site Name]],LocationsKey[Site Name], LocationsKey[Waterway])</f>
        <v>Cam Brook</v>
      </c>
      <c r="K615" t="s">
        <v>1570</v>
      </c>
      <c r="N615" t="s">
        <v>31</v>
      </c>
      <c r="O615">
        <v>578</v>
      </c>
      <c r="P615">
        <v>11.2</v>
      </c>
      <c r="Q615">
        <v>2</v>
      </c>
      <c r="R615" s="107" t="str">
        <f>IF(AllData[[#This Row],[Nitrate (PPM)]]&gt;2, "Very high", IF(AllData[[#This Row],[Nitrate (PPM)]]&gt;1, "High", IF(AllData[[#This Row],[Nitrate (PPM)]]&gt;0.5, "Some evidence", IF(AllData[[#This Row],[Nitrate (PPM)]]&gt;=0, "No evidence"))))</f>
        <v>High</v>
      </c>
      <c r="S615" s="108">
        <v>0.08</v>
      </c>
      <c r="T615" s="7" t="str">
        <f>IF(AllData[[#This Row],[Phosphate (PPM)]]&gt;0.5, "Very high", IF(AllData[[#This Row],[Phosphate (PPM)]]&gt;0.1, "High", IF(AllData[[#This Row],[Phosphate (PPM)]]&gt;0.05, "Some evidence", IF(AllData[[#This Row],[Phosphate (PPM)]]&lt;=0.05, "No Evidence", ""))))</f>
        <v>Some evidence</v>
      </c>
      <c r="U615">
        <v>0.45</v>
      </c>
    </row>
    <row r="616" spans="1:22" x14ac:dyDescent="0.35">
      <c r="A616" t="s">
        <v>2605</v>
      </c>
      <c r="B616" s="143">
        <v>45627</v>
      </c>
      <c r="C616" s="2" t="str" cm="1">
        <f t="array" ref="C6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6">
        <f>YEAR(AllData[[#This Row],[Date]])</f>
        <v>2024</v>
      </c>
      <c r="E616" s="1">
        <v>0.39583333333333331</v>
      </c>
      <c r="F616" t="str">
        <f>IF(AND(AllData[[#This Row],[Time]]&lt;0.5, AllData[[#This Row],[Time]]&gt;0.17)=TRUE, "Morning", IF(AND(AllData[[#This Row],[Time]]&lt;0.75, AllData[[#This Row],[Time]]&gt;=0.5)=TRUE, "Afternoon", IF(AND(AllData[[#This Row],[Time]]&lt;1, AllData[[#This Row],[Time]]&gt;=0.75)=TRUE, "Evening", "Night")))</f>
        <v>Morning</v>
      </c>
      <c r="G616" t="str">
        <f>_xlfn.XLOOKUP(AllData[[#This Row],[Location Name]], Locations[Location Name],Locations[Group As])</f>
        <v>Sherbourne Brook 1</v>
      </c>
      <c r="H616" t="e" vm="1">
        <f>_xlfn.XLOOKUP(AllData[[#This Row],[Site Name]],LocationsKey[Site Name],LocationsKey[District])</f>
        <v>#VALUE!</v>
      </c>
      <c r="I616" t="e" vm="23">
        <f>_xlfn.XLOOKUP(AllData[[#This Row],[Site Name]],LocationsKey[Site Name],LocationsKey[Town])</f>
        <v>#VALUE!</v>
      </c>
      <c r="J616" t="str">
        <f>_xlfn.XLOOKUP(AllData[[#This Row],[Site Name]],LocationsKey[Site Name], LocationsKey[Waterway])</f>
        <v>Sherbourne Brook</v>
      </c>
      <c r="K616" t="s">
        <v>541</v>
      </c>
      <c r="O616">
        <v>893</v>
      </c>
      <c r="P616">
        <v>11.3</v>
      </c>
      <c r="Q616">
        <v>15</v>
      </c>
      <c r="R616" s="107" t="str">
        <f>IF(AllData[[#This Row],[Nitrate (PPM)]]&gt;2, "Very high", IF(AllData[[#This Row],[Nitrate (PPM)]]&gt;1, "High", IF(AllData[[#This Row],[Nitrate (PPM)]]&gt;0.5, "Some evidence", IF(AllData[[#This Row],[Nitrate (PPM)]]&gt;=0, "No evidence"))))</f>
        <v>Very high</v>
      </c>
      <c r="S616" s="108">
        <v>0.34</v>
      </c>
      <c r="T616" s="7" t="str">
        <f>IF(AllData[[#This Row],[Phosphate (PPM)]]&gt;0.5, "Very high", IF(AllData[[#This Row],[Phosphate (PPM)]]&gt;0.1, "High", IF(AllData[[#This Row],[Phosphate (PPM)]]&gt;0.05, "Some evidence", IF(AllData[[#This Row],[Phosphate (PPM)]]&lt;=0.05, "No Evidence", ""))))</f>
        <v>High</v>
      </c>
      <c r="U616">
        <v>0.2</v>
      </c>
      <c r="V616" t="s">
        <v>2606</v>
      </c>
    </row>
    <row r="617" spans="1:22" x14ac:dyDescent="0.35">
      <c r="A617" t="s">
        <v>2603</v>
      </c>
      <c r="B617" s="143">
        <v>45627</v>
      </c>
      <c r="C617" s="2" t="str" cm="1">
        <f t="array" ref="C6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7">
        <f>YEAR(AllData[[#This Row],[Date]])</f>
        <v>2024</v>
      </c>
      <c r="E617" s="1">
        <v>0.40625</v>
      </c>
      <c r="F617" t="str">
        <f>IF(AND(AllData[[#This Row],[Time]]&lt;0.5, AllData[[#This Row],[Time]]&gt;0.17)=TRUE, "Morning", IF(AND(AllData[[#This Row],[Time]]&lt;0.75, AllData[[#This Row],[Time]]&gt;=0.5)=TRUE, "Afternoon", IF(AND(AllData[[#This Row],[Time]]&lt;1, AllData[[#This Row],[Time]]&gt;=0.75)=TRUE, "Evening", "Night")))</f>
        <v>Morning</v>
      </c>
      <c r="G617" t="str">
        <f>_xlfn.XLOOKUP(AllData[[#This Row],[Location Name]], Locations[Location Name],Locations[Group As])</f>
        <v>Bell Brook 1</v>
      </c>
      <c r="H617" t="e" vm="1">
        <f>_xlfn.XLOOKUP(AllData[[#This Row],[Site Name]],LocationsKey[Site Name],LocationsKey[District])</f>
        <v>#VALUE!</v>
      </c>
      <c r="I617" t="e" vm="19">
        <f>_xlfn.XLOOKUP(AllData[[#This Row],[Site Name]],LocationsKey[Site Name],LocationsKey[Town])</f>
        <v>#VALUE!</v>
      </c>
      <c r="J617" t="str">
        <f>_xlfn.XLOOKUP(AllData[[#This Row],[Site Name]],LocationsKey[Site Name], LocationsKey[Waterway])</f>
        <v>Bell Brook</v>
      </c>
      <c r="K617" t="s">
        <v>538</v>
      </c>
      <c r="O617">
        <v>604</v>
      </c>
      <c r="P617">
        <v>10.8</v>
      </c>
      <c r="Q617">
        <v>10</v>
      </c>
      <c r="R617" s="107" t="str">
        <f>IF(AllData[[#This Row],[Nitrate (PPM)]]&gt;2, "Very high", IF(AllData[[#This Row],[Nitrate (PPM)]]&gt;1, "High", IF(AllData[[#This Row],[Nitrate (PPM)]]&gt;0.5, "Some evidence", IF(AllData[[#This Row],[Nitrate (PPM)]]&gt;=0, "No evidence"))))</f>
        <v>Very high</v>
      </c>
      <c r="S617" s="108"/>
      <c r="T617" s="7"/>
      <c r="U617">
        <v>0.2</v>
      </c>
      <c r="V617" t="s">
        <v>2604</v>
      </c>
    </row>
    <row r="618" spans="1:22" x14ac:dyDescent="0.35">
      <c r="A618" t="s">
        <v>2607</v>
      </c>
      <c r="B618" s="143">
        <v>45627</v>
      </c>
      <c r="C618" s="2" t="str" cm="1">
        <f t="array" ref="C6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8">
        <f>YEAR(AllData[[#This Row],[Date]])</f>
        <v>2024</v>
      </c>
      <c r="E618" s="1">
        <v>0.36458333333333331</v>
      </c>
      <c r="F618" t="str">
        <f>IF(AND(AllData[[#This Row],[Time]]&lt;0.5, AllData[[#This Row],[Time]]&gt;0.17)=TRUE, "Morning", IF(AND(AllData[[#This Row],[Time]]&lt;0.75, AllData[[#This Row],[Time]]&gt;=0.5)=TRUE, "Afternoon", IF(AND(AllData[[#This Row],[Time]]&lt;1, AllData[[#This Row],[Time]]&gt;=0.75)=TRUE, "Evening", "Night")))</f>
        <v>Morning</v>
      </c>
      <c r="G618" t="str">
        <f>_xlfn.XLOOKUP(AllData[[#This Row],[Location Name]], Locations[Location Name],Locations[Group As])</f>
        <v>Fell Mill Footbridge</v>
      </c>
      <c r="H618" t="e" vm="1">
        <f>_xlfn.XLOOKUP(AllData[[#This Row],[Site Name]],LocationsKey[Site Name],LocationsKey[District])</f>
        <v>#VALUE!</v>
      </c>
      <c r="I618" t="e" vm="15">
        <f>_xlfn.XLOOKUP(AllData[[#This Row],[Site Name]],LocationsKey[Site Name],LocationsKey[Town])</f>
        <v>#VALUE!</v>
      </c>
      <c r="J618" t="str">
        <f>_xlfn.XLOOKUP(AllData[[#This Row],[Site Name]],LocationsKey[Site Name], LocationsKey[Waterway])</f>
        <v>Stour</v>
      </c>
      <c r="K618" t="s">
        <v>1968</v>
      </c>
      <c r="L618">
        <v>52.070086000000003</v>
      </c>
      <c r="M618">
        <v>-1.61145</v>
      </c>
      <c r="N618" t="s">
        <v>31</v>
      </c>
      <c r="O618">
        <v>568</v>
      </c>
      <c r="P618">
        <v>11.2</v>
      </c>
      <c r="Q618">
        <v>5</v>
      </c>
      <c r="R618" s="107" t="str">
        <f>IF(AllData[[#This Row],[Nitrate (PPM)]]&gt;2, "Very high", IF(AllData[[#This Row],[Nitrate (PPM)]]&gt;1, "High", IF(AllData[[#This Row],[Nitrate (PPM)]]&gt;0.5, "Some evidence", IF(AllData[[#This Row],[Nitrate (PPM)]]&gt;=0, "No evidence"))))</f>
        <v>Very high</v>
      </c>
      <c r="S618" s="108">
        <v>0.18</v>
      </c>
      <c r="T618" s="7" t="str">
        <f>IF(AllData[[#This Row],[Phosphate (PPM)]]&gt;0.5, "Very high", IF(AllData[[#This Row],[Phosphate (PPM)]]&gt;0.1, "High", IF(AllData[[#This Row],[Phosphate (PPM)]]&gt;0.05, "Some evidence", IF(AllData[[#This Row],[Phosphate (PPM)]]&lt;=0.05, "No Evidence", ""))))</f>
        <v>High</v>
      </c>
      <c r="U618">
        <v>1.65</v>
      </c>
    </row>
    <row r="619" spans="1:22" x14ac:dyDescent="0.35">
      <c r="A619" t="s">
        <v>2599</v>
      </c>
      <c r="B619" s="143">
        <v>45627</v>
      </c>
      <c r="C619" s="2" t="str" cm="1">
        <f t="array" ref="C6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19">
        <f>YEAR(AllData[[#This Row],[Date]])</f>
        <v>2024</v>
      </c>
      <c r="E619" s="1">
        <v>0.49930555555555556</v>
      </c>
      <c r="F619" t="str">
        <f>IF(AND(AllData[[#This Row],[Time]]&lt;0.5, AllData[[#This Row],[Time]]&gt;0.17)=TRUE, "Morning", IF(AND(AllData[[#This Row],[Time]]&lt;0.75, AllData[[#This Row],[Time]]&gt;=0.5)=TRUE, "Afternoon", IF(AND(AllData[[#This Row],[Time]]&lt;1, AllData[[#This Row],[Time]]&gt;=0.75)=TRUE, "Evening", "Night")))</f>
        <v>Morning</v>
      </c>
      <c r="G619" t="str">
        <f>_xlfn.XLOOKUP(AllData[[#This Row],[Location Name]], Locations[Location Name],Locations[Group As])</f>
        <v>Unknown</v>
      </c>
      <c r="H619" t="str">
        <f>_xlfn.XLOOKUP(AllData[[#This Row],[Site Name]],LocationsKey[Site Name],LocationsKey[District])</f>
        <v>Unknown</v>
      </c>
      <c r="I619" t="str">
        <f>_xlfn.XLOOKUP(AllData[[#This Row],[Site Name]],LocationsKey[Site Name],LocationsKey[Town])</f>
        <v>Unknown</v>
      </c>
      <c r="J619" t="str">
        <f>_xlfn.XLOOKUP(AllData[[#This Row],[Site Name]],LocationsKey[Site Name], LocationsKey[Waterway])</f>
        <v>Unknown</v>
      </c>
      <c r="K619" t="s">
        <v>31</v>
      </c>
      <c r="L619">
        <v>52.285290000000003</v>
      </c>
      <c r="M619">
        <v>-1.73953</v>
      </c>
      <c r="N619" t="s">
        <v>31</v>
      </c>
      <c r="O619">
        <v>564</v>
      </c>
      <c r="P619">
        <v>9.6</v>
      </c>
      <c r="Q619">
        <v>4</v>
      </c>
      <c r="R619" s="107" t="str">
        <f>IF(AllData[[#This Row],[Nitrate (PPM)]]&gt;2, "Very high", IF(AllData[[#This Row],[Nitrate (PPM)]]&gt;1, "High", IF(AllData[[#This Row],[Nitrate (PPM)]]&gt;0.5, "Some evidence", IF(AllData[[#This Row],[Nitrate (PPM)]]&gt;=0, "No evidence"))))</f>
        <v>Very high</v>
      </c>
      <c r="S619" s="108">
        <v>0.44</v>
      </c>
      <c r="T619" s="7" t="str">
        <f>IF(AllData[[#This Row],[Phosphate (PPM)]]&gt;0.5, "Very high", IF(AllData[[#This Row],[Phosphate (PPM)]]&gt;0.1, "High", IF(AllData[[#This Row],[Phosphate (PPM)]]&gt;0.05, "Some evidence", IF(AllData[[#This Row],[Phosphate (PPM)]]&lt;=0.05, "No Evidence", ""))))</f>
        <v>High</v>
      </c>
      <c r="U619">
        <v>0.66</v>
      </c>
      <c r="V619" t="s">
        <v>2600</v>
      </c>
    </row>
    <row r="620" spans="1:22" x14ac:dyDescent="0.35">
      <c r="A620" t="s">
        <v>2601</v>
      </c>
      <c r="B620" s="143">
        <v>45627</v>
      </c>
      <c r="C620" s="2" t="str" cm="1">
        <f t="array" ref="C6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20">
        <f>YEAR(AllData[[#This Row],[Date]])</f>
        <v>2024</v>
      </c>
      <c r="E620" s="1">
        <v>0.40694444444444444</v>
      </c>
      <c r="F620" t="str">
        <f>IF(AND(AllData[[#This Row],[Time]]&lt;0.5, AllData[[#This Row],[Time]]&gt;0.17)=TRUE, "Morning", IF(AND(AllData[[#This Row],[Time]]&lt;0.75, AllData[[#This Row],[Time]]&gt;=0.5)=TRUE, "Afternoon", IF(AND(AllData[[#This Row],[Time]]&lt;1, AllData[[#This Row],[Time]]&gt;=0.75)=TRUE, "Evening", "Night")))</f>
        <v>Morning</v>
      </c>
      <c r="G620" t="str">
        <f>_xlfn.XLOOKUP(AllData[[#This Row],[Location Name]], Locations[Location Name],Locations[Group As])</f>
        <v>Stour Whichford</v>
      </c>
      <c r="H620" t="e" vm="1">
        <f>_xlfn.XLOOKUP(AllData[[#This Row],[Site Name]],LocationsKey[Site Name],LocationsKey[District])</f>
        <v>#VALUE!</v>
      </c>
      <c r="I620" t="e" vm="24">
        <f>_xlfn.XLOOKUP(AllData[[#This Row],[Site Name]],LocationsKey[Site Name],LocationsKey[Town])</f>
        <v>#VALUE!</v>
      </c>
      <c r="J620" t="str">
        <f>_xlfn.XLOOKUP(AllData[[#This Row],[Site Name]],LocationsKey[Site Name], LocationsKey[Waterway])</f>
        <v>Stour</v>
      </c>
      <c r="K620" t="s">
        <v>980</v>
      </c>
      <c r="N620" t="s">
        <v>31</v>
      </c>
      <c r="O620">
        <v>604</v>
      </c>
      <c r="P620">
        <v>11.7</v>
      </c>
      <c r="Q620">
        <v>3.5</v>
      </c>
      <c r="R620" s="107" t="str">
        <f>IF(AllData[[#This Row],[Nitrate (PPM)]]&gt;2, "Very high", IF(AllData[[#This Row],[Nitrate (PPM)]]&gt;1, "High", IF(AllData[[#This Row],[Nitrate (PPM)]]&gt;0.5, "Some evidence", IF(AllData[[#This Row],[Nitrate (PPM)]]&gt;=0, "No evidence"))))</f>
        <v>Very high</v>
      </c>
      <c r="S620" s="108">
        <v>0.42</v>
      </c>
      <c r="T620" s="7" t="str">
        <f>IF(AllData[[#This Row],[Phosphate (PPM)]]&gt;0.5, "Very high", IF(AllData[[#This Row],[Phosphate (PPM)]]&gt;0.1, "High", IF(AllData[[#This Row],[Phosphate (PPM)]]&gt;0.05, "Some evidence", IF(AllData[[#This Row],[Phosphate (PPM)]]&lt;=0.05, "No Evidence", ""))))</f>
        <v>High</v>
      </c>
      <c r="U620">
        <v>16</v>
      </c>
    </row>
    <row r="621" spans="1:22" x14ac:dyDescent="0.35">
      <c r="A621" t="s">
        <v>2602</v>
      </c>
      <c r="B621" s="143">
        <v>45627</v>
      </c>
      <c r="C621" s="2" t="str" cm="1">
        <f t="array" ref="C6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621">
        <f>YEAR(AllData[[#This Row],[Date]])</f>
        <v>2024</v>
      </c>
      <c r="E621" s="1">
        <v>0.42499999999999999</v>
      </c>
      <c r="F621" t="str">
        <f>IF(AND(AllData[[#This Row],[Time]]&lt;0.5, AllData[[#This Row],[Time]]&gt;0.17)=TRUE, "Morning", IF(AND(AllData[[#This Row],[Time]]&lt;0.75, AllData[[#This Row],[Time]]&gt;=0.5)=TRUE, "Afternoon", IF(AND(AllData[[#This Row],[Time]]&lt;1, AllData[[#This Row],[Time]]&gt;=0.75)=TRUE, "Evening", "Night")))</f>
        <v>Morning</v>
      </c>
      <c r="G621" t="str">
        <f>_xlfn.XLOOKUP(AllData[[#This Row],[Location Name]], Locations[Location Name],Locations[Group As])</f>
        <v>Stour Ascott Village</v>
      </c>
      <c r="H621" t="e" vm="1">
        <f>_xlfn.XLOOKUP(AllData[[#This Row],[Site Name]],LocationsKey[Site Name],LocationsKey[District])</f>
        <v>#VALUE!</v>
      </c>
      <c r="I621" t="e" vm="25">
        <f>_xlfn.XLOOKUP(AllData[[#This Row],[Site Name]],LocationsKey[Site Name],LocationsKey[Town])</f>
        <v>#VALUE!</v>
      </c>
      <c r="J621" t="str">
        <f>_xlfn.XLOOKUP(AllData[[#This Row],[Site Name]],LocationsKey[Site Name], LocationsKey[Waterway])</f>
        <v>Stour</v>
      </c>
      <c r="K621" t="s">
        <v>927</v>
      </c>
      <c r="N621" t="s">
        <v>68</v>
      </c>
      <c r="O621">
        <v>686</v>
      </c>
      <c r="P621">
        <v>4.5</v>
      </c>
      <c r="Q621">
        <v>0.5</v>
      </c>
      <c r="R621" s="107" t="str">
        <f>IF(AllData[[#This Row],[Nitrate (PPM)]]&gt;2, "Very high", IF(AllData[[#This Row],[Nitrate (PPM)]]&gt;1, "High", IF(AllData[[#This Row],[Nitrate (PPM)]]&gt;0.5, "Some evidence", IF(AllData[[#This Row],[Nitrate (PPM)]]&gt;=0, "No evidence"))))</f>
        <v>No evidence</v>
      </c>
      <c r="S621" s="108">
        <v>0.14000000000000001</v>
      </c>
      <c r="T621" s="7" t="str">
        <f>IF(AllData[[#This Row],[Phosphate (PPM)]]&gt;0.5, "Very high", IF(AllData[[#This Row],[Phosphate (PPM)]]&gt;0.1, "High", IF(AllData[[#This Row],[Phosphate (PPM)]]&gt;0.05, "Some evidence", IF(AllData[[#This Row],[Phosphate (PPM)]]&lt;=0.05, "No Evidence", ""))))</f>
        <v>High</v>
      </c>
      <c r="U621">
        <v>9</v>
      </c>
    </row>
    <row r="622" spans="1:22" x14ac:dyDescent="0.35">
      <c r="A622" t="s">
        <v>2597</v>
      </c>
      <c r="B622" s="143">
        <v>45626</v>
      </c>
      <c r="C622" s="2" t="str" cm="1">
        <f t="array" ref="C6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2">
        <f>YEAR(AllData[[#This Row],[Date]])</f>
        <v>2024</v>
      </c>
      <c r="E622" s="1">
        <v>0.4375</v>
      </c>
      <c r="F622" t="str">
        <f>IF(AND(AllData[[#This Row],[Time]]&lt;0.5, AllData[[#This Row],[Time]]&gt;0.17)=TRUE, "Morning", IF(AND(AllData[[#This Row],[Time]]&lt;0.75, AllData[[#This Row],[Time]]&gt;=0.5)=TRUE, "Afternoon", IF(AND(AllData[[#This Row],[Time]]&lt;1, AllData[[#This Row],[Time]]&gt;=0.75)=TRUE, "Evening", "Night")))</f>
        <v>Morning</v>
      </c>
      <c r="G622" t="str">
        <f>_xlfn.XLOOKUP(AllData[[#This Row],[Location Name]], Locations[Location Name],Locations[Group As])</f>
        <v>Black Bear</v>
      </c>
      <c r="H622" t="e" vm="4">
        <f>_xlfn.XLOOKUP(AllData[[#This Row],[Site Name]],LocationsKey[Site Name],LocationsKey[District])</f>
        <v>#VALUE!</v>
      </c>
      <c r="I622" t="e" vm="4">
        <f>_xlfn.XLOOKUP(AllData[[#This Row],[Site Name]],LocationsKey[Site Name],LocationsKey[Town])</f>
        <v>#VALUE!</v>
      </c>
      <c r="J622" t="str">
        <f>_xlfn.XLOOKUP(AllData[[#This Row],[Site Name]],LocationsKey[Site Name], LocationsKey[Waterway])</f>
        <v>Avon</v>
      </c>
      <c r="K622" t="s">
        <v>1175</v>
      </c>
      <c r="L622">
        <v>51.997945999999999</v>
      </c>
      <c r="M622">
        <v>-2.1567940000000001</v>
      </c>
      <c r="N622" t="s">
        <v>25</v>
      </c>
      <c r="O622">
        <v>551</v>
      </c>
      <c r="P622">
        <v>9.6</v>
      </c>
      <c r="Q622">
        <v>8</v>
      </c>
      <c r="R622" s="107" t="str">
        <f>IF(AllData[[#This Row],[Nitrate (PPM)]]&gt;2, "Very high", IF(AllData[[#This Row],[Nitrate (PPM)]]&gt;1, "High", IF(AllData[[#This Row],[Nitrate (PPM)]]&gt;0.5, "Some evidence", IF(AllData[[#This Row],[Nitrate (PPM)]]&gt;=0, "No evidence"))))</f>
        <v>Very high</v>
      </c>
      <c r="S622" s="108">
        <v>0.49</v>
      </c>
      <c r="T622" s="7" t="str">
        <f>IF(AllData[[#This Row],[Phosphate (PPM)]]&gt;0.5, "Very high", IF(AllData[[#This Row],[Phosphate (PPM)]]&gt;0.1, "High", IF(AllData[[#This Row],[Phosphate (PPM)]]&gt;0.05, "Some evidence", IF(AllData[[#This Row],[Phosphate (PPM)]]&lt;=0.05, "No Evidence", ""))))</f>
        <v>High</v>
      </c>
      <c r="U622">
        <v>1</v>
      </c>
    </row>
    <row r="623" spans="1:22" x14ac:dyDescent="0.35">
      <c r="A623" t="s">
        <v>2591</v>
      </c>
      <c r="B623" s="143">
        <v>45626</v>
      </c>
      <c r="C623" s="2" t="str" cm="1">
        <f t="array" ref="C6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3">
        <f>YEAR(AllData[[#This Row],[Date]])</f>
        <v>2024</v>
      </c>
      <c r="E623" s="1">
        <v>0.45208333333333334</v>
      </c>
      <c r="F623" t="str">
        <f>IF(AND(AllData[[#This Row],[Time]]&lt;0.5, AllData[[#This Row],[Time]]&gt;0.17)=TRUE, "Morning", IF(AND(AllData[[#This Row],[Time]]&lt;0.75, AllData[[#This Row],[Time]]&gt;=0.5)=TRUE, "Afternoon", IF(AND(AllData[[#This Row],[Time]]&lt;1, AllData[[#This Row],[Time]]&gt;=0.75)=TRUE, "Evening", "Night")))</f>
        <v>Morning</v>
      </c>
      <c r="G623" t="str">
        <f>_xlfn.XLOOKUP(AllData[[#This Row],[Location Name]], Locations[Location Name],Locations[Group As])</f>
        <v>Piddle Brook Wyre Piddle Bridge</v>
      </c>
      <c r="H623" t="e" vm="6">
        <f>_xlfn.XLOOKUP(AllData[[#This Row],[Site Name]],LocationsKey[Site Name],LocationsKey[District])</f>
        <v>#VALUE!</v>
      </c>
      <c r="I623" t="e" vm="13">
        <f>_xlfn.XLOOKUP(AllData[[#This Row],[Site Name]],LocationsKey[Site Name],LocationsKey[Town])</f>
        <v>#VALUE!</v>
      </c>
      <c r="J623" t="str">
        <f>_xlfn.XLOOKUP(AllData[[#This Row],[Site Name]],LocationsKey[Site Name], LocationsKey[Waterway])</f>
        <v>Piddle Brook</v>
      </c>
      <c r="K623" t="s">
        <v>787</v>
      </c>
      <c r="L623">
        <v>52.126398000000002</v>
      </c>
      <c r="M623">
        <v>-2.0564309999999999</v>
      </c>
      <c r="N623" t="s">
        <v>25</v>
      </c>
      <c r="O623">
        <v>863</v>
      </c>
      <c r="P623">
        <v>9.4</v>
      </c>
      <c r="Q623">
        <v>5</v>
      </c>
      <c r="R623" s="107" t="str">
        <f>IF(AllData[[#This Row],[Nitrate (PPM)]]&gt;2, "Very high", IF(AllData[[#This Row],[Nitrate (PPM)]]&gt;1, "High", IF(AllData[[#This Row],[Nitrate (PPM)]]&gt;0.5, "Some evidence", IF(AllData[[#This Row],[Nitrate (PPM)]]&gt;=0, "No evidence"))))</f>
        <v>Very high</v>
      </c>
      <c r="S623" s="108">
        <v>0.63</v>
      </c>
      <c r="T623" s="7" t="str">
        <f>IF(AllData[[#This Row],[Phosphate (PPM)]]&gt;0.5, "Very high", IF(AllData[[#This Row],[Phosphate (PPM)]]&gt;0.1, "High", IF(AllData[[#This Row],[Phosphate (PPM)]]&gt;0.05, "Some evidence", IF(AllData[[#This Row],[Phosphate (PPM)]]&lt;=0.05, "No Evidence", ""))))</f>
        <v>Very high</v>
      </c>
      <c r="U623">
        <v>0.38</v>
      </c>
      <c r="V623" t="s">
        <v>2592</v>
      </c>
    </row>
    <row r="624" spans="1:22" x14ac:dyDescent="0.35">
      <c r="A624" t="s">
        <v>2598</v>
      </c>
      <c r="B624" s="143">
        <v>45626</v>
      </c>
      <c r="C624" s="2" t="str" cm="1">
        <f t="array" ref="C6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4">
        <f>YEAR(AllData[[#This Row],[Date]])</f>
        <v>2024</v>
      </c>
      <c r="E624" s="1">
        <v>0.40277777777777779</v>
      </c>
      <c r="F624" t="str">
        <f>IF(AND(AllData[[#This Row],[Time]]&lt;0.5, AllData[[#This Row],[Time]]&gt;0.17)=TRUE, "Morning", IF(AND(AllData[[#This Row],[Time]]&lt;0.75, AllData[[#This Row],[Time]]&gt;=0.5)=TRUE, "Afternoon", IF(AND(AllData[[#This Row],[Time]]&lt;1, AllData[[#This Row],[Time]]&gt;=0.75)=TRUE, "Evening", "Night")))</f>
        <v>Morning</v>
      </c>
      <c r="G624" t="str">
        <f>_xlfn.XLOOKUP(AllData[[#This Row],[Location Name]], Locations[Location Name],Locations[Group As])</f>
        <v>Carrant M5 Bridge</v>
      </c>
      <c r="H624" t="e" vm="4">
        <f>_xlfn.XLOOKUP(AllData[[#This Row],[Site Name]],LocationsKey[Site Name],LocationsKey[District])</f>
        <v>#VALUE!</v>
      </c>
      <c r="I624" t="e" vm="4">
        <f>_xlfn.XLOOKUP(AllData[[#This Row],[Site Name]],LocationsKey[Site Name],LocationsKey[Town])</f>
        <v>#VALUE!</v>
      </c>
      <c r="J624" t="str">
        <f>_xlfn.XLOOKUP(AllData[[#This Row],[Site Name]],LocationsKey[Site Name], LocationsKey[Waterway])</f>
        <v>Carrant</v>
      </c>
      <c r="K624" t="s">
        <v>1066</v>
      </c>
      <c r="L624">
        <v>52.012009999999997</v>
      </c>
      <c r="M624">
        <v>-2.1205419999999999</v>
      </c>
      <c r="N624" t="s">
        <v>25</v>
      </c>
      <c r="O624">
        <v>705</v>
      </c>
      <c r="P624">
        <v>11.6</v>
      </c>
      <c r="Q624">
        <v>5</v>
      </c>
      <c r="R624" s="107" t="str">
        <f>IF(AllData[[#This Row],[Nitrate (PPM)]]&gt;2, "Very high", IF(AllData[[#This Row],[Nitrate (PPM)]]&gt;1, "High", IF(AllData[[#This Row],[Nitrate (PPM)]]&gt;0.5, "Some evidence", IF(AllData[[#This Row],[Nitrate (PPM)]]&gt;=0, "No evidence"))))</f>
        <v>Very high</v>
      </c>
      <c r="S624" s="108">
        <v>0.32</v>
      </c>
      <c r="T624" s="7" t="str">
        <f>IF(AllData[[#This Row],[Phosphate (PPM)]]&gt;0.5, "Very high", IF(AllData[[#This Row],[Phosphate (PPM)]]&gt;0.1, "High", IF(AllData[[#This Row],[Phosphate (PPM)]]&gt;0.05, "Some evidence", IF(AllData[[#This Row],[Phosphate (PPM)]]&lt;=0.05, "No Evidence", ""))))</f>
        <v>High</v>
      </c>
      <c r="U624">
        <v>0</v>
      </c>
    </row>
    <row r="625" spans="1:22" x14ac:dyDescent="0.35">
      <c r="A625" t="s">
        <v>2593</v>
      </c>
      <c r="B625" s="143">
        <v>45626</v>
      </c>
      <c r="C625" s="2" t="str" cm="1">
        <f t="array" ref="C6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5">
        <f>YEAR(AllData[[#This Row],[Date]])</f>
        <v>2024</v>
      </c>
      <c r="E625" s="1">
        <v>0.4284722222222222</v>
      </c>
      <c r="F625" t="str">
        <f>IF(AND(AllData[[#This Row],[Time]]&lt;0.5, AllData[[#This Row],[Time]]&gt;0.17)=TRUE, "Morning", IF(AND(AllData[[#This Row],[Time]]&lt;0.75, AllData[[#This Row],[Time]]&gt;=0.5)=TRUE, "Afternoon", IF(AND(AllData[[#This Row],[Time]]&lt;1, AllData[[#This Row],[Time]]&gt;=0.75)=TRUE, "Evening", "Night")))</f>
        <v>Morning</v>
      </c>
      <c r="G625" t="str">
        <f>_xlfn.XLOOKUP(AllData[[#This Row],[Location Name]], Locations[Location Name],Locations[Group As])</f>
        <v>Avon Smiths Meadow Wyre Piddle</v>
      </c>
      <c r="H625" t="e" vm="6">
        <f>_xlfn.XLOOKUP(AllData[[#This Row],[Site Name]],LocationsKey[Site Name],LocationsKey[District])</f>
        <v>#VALUE!</v>
      </c>
      <c r="I625" t="e" vm="13">
        <f>_xlfn.XLOOKUP(AllData[[#This Row],[Site Name]],LocationsKey[Site Name],LocationsKey[Town])</f>
        <v>#VALUE!</v>
      </c>
      <c r="J625" t="str">
        <f>_xlfn.XLOOKUP(AllData[[#This Row],[Site Name]],LocationsKey[Site Name], LocationsKey[Waterway])</f>
        <v>Avon</v>
      </c>
      <c r="K625" t="s">
        <v>784</v>
      </c>
      <c r="L625">
        <v>52.122878</v>
      </c>
      <c r="M625">
        <v>-2.0574919999999999</v>
      </c>
      <c r="N625" t="s">
        <v>25</v>
      </c>
      <c r="O625">
        <v>596</v>
      </c>
      <c r="P625">
        <v>8.4</v>
      </c>
      <c r="Q625">
        <v>5</v>
      </c>
      <c r="R625" s="107" t="str">
        <f>IF(AllData[[#This Row],[Nitrate (PPM)]]&gt;2, "Very high", IF(AllData[[#This Row],[Nitrate (PPM)]]&gt;1, "High", IF(AllData[[#This Row],[Nitrate (PPM)]]&gt;0.5, "Some evidence", IF(AllData[[#This Row],[Nitrate (PPM)]]&gt;=0, "No evidence"))))</f>
        <v>Very high</v>
      </c>
      <c r="S625" s="108">
        <v>0.5</v>
      </c>
      <c r="T625" s="7" t="str">
        <f>IF(AllData[[#This Row],[Phosphate (PPM)]]&gt;0.5, "Very high", IF(AllData[[#This Row],[Phosphate (PPM)]]&gt;0.1, "High", IF(AllData[[#This Row],[Phosphate (PPM)]]&gt;0.05, "Some evidence", IF(AllData[[#This Row],[Phosphate (PPM)]]&lt;=0.05, "No Evidence", ""))))</f>
        <v>High</v>
      </c>
      <c r="U625">
        <v>1.27</v>
      </c>
      <c r="V625" t="s">
        <v>2594</v>
      </c>
    </row>
    <row r="626" spans="1:22" x14ac:dyDescent="0.35">
      <c r="A626" t="s">
        <v>2586</v>
      </c>
      <c r="B626" s="143">
        <v>45626</v>
      </c>
      <c r="C626" s="2" t="str" cm="1">
        <f t="array" ref="C6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6">
        <f>YEAR(AllData[[#This Row],[Date]])</f>
        <v>2024</v>
      </c>
      <c r="E626" s="1">
        <v>0.46041666666666664</v>
      </c>
      <c r="F626" t="str">
        <f>IF(AND(AllData[[#This Row],[Time]]&lt;0.5, AllData[[#This Row],[Time]]&gt;0.17)=TRUE, "Morning", IF(AND(AllData[[#This Row],[Time]]&lt;0.75, AllData[[#This Row],[Time]]&gt;=0.5)=TRUE, "Afternoon", IF(AND(AllData[[#This Row],[Time]]&lt;1, AllData[[#This Row],[Time]]&gt;=0.75)=TRUE, "Evening", "Night")))</f>
        <v>Morning</v>
      </c>
      <c r="G626" t="str">
        <f>_xlfn.XLOOKUP(AllData[[#This Row],[Location Name]], Locations[Location Name],Locations[Group As])</f>
        <v>Avonbank Drive</v>
      </c>
      <c r="H626" t="e" vm="1">
        <f>_xlfn.XLOOKUP(AllData[[#This Row],[Site Name]],LocationsKey[Site Name],LocationsKey[District])</f>
        <v>#VALUE!</v>
      </c>
      <c r="I626" t="e" vm="12">
        <f>_xlfn.XLOOKUP(AllData[[#This Row],[Site Name]],LocationsKey[Site Name],LocationsKey[Town])</f>
        <v>#VALUE!</v>
      </c>
      <c r="J626" t="str">
        <f>_xlfn.XLOOKUP(AllData[[#This Row],[Site Name]],LocationsKey[Site Name], LocationsKey[Waterway])</f>
        <v>Avon</v>
      </c>
      <c r="K626" t="s">
        <v>2587</v>
      </c>
      <c r="L626">
        <v>52.177000999999997</v>
      </c>
      <c r="M626">
        <v>-1.7357750000000001</v>
      </c>
      <c r="N626" t="s">
        <v>68</v>
      </c>
      <c r="O626">
        <v>602</v>
      </c>
      <c r="P626">
        <v>9.1</v>
      </c>
      <c r="Q626">
        <v>4</v>
      </c>
      <c r="R626" s="107" t="str">
        <f>IF(AllData[[#This Row],[Nitrate (PPM)]]&gt;2, "Very high", IF(AllData[[#This Row],[Nitrate (PPM)]]&gt;1, "High", IF(AllData[[#This Row],[Nitrate (PPM)]]&gt;0.5, "Some evidence", IF(AllData[[#This Row],[Nitrate (PPM)]]&gt;=0, "No evidence"))))</f>
        <v>Very high</v>
      </c>
      <c r="S626" s="108">
        <v>0.54</v>
      </c>
      <c r="T626" s="7" t="str">
        <f>IF(AllData[[#This Row],[Phosphate (PPM)]]&gt;0.5, "Very high", IF(AllData[[#This Row],[Phosphate (PPM)]]&gt;0.1, "High", IF(AllData[[#This Row],[Phosphate (PPM)]]&gt;0.05, "Some evidence", IF(AllData[[#This Row],[Phosphate (PPM)]]&lt;=0.05, "No Evidence", ""))))</f>
        <v>Very high</v>
      </c>
      <c r="U626">
        <v>0.84</v>
      </c>
      <c r="V626" t="s">
        <v>2588</v>
      </c>
    </row>
    <row r="627" spans="1:22" x14ac:dyDescent="0.35">
      <c r="A627" t="s">
        <v>2595</v>
      </c>
      <c r="B627" s="143">
        <v>45626</v>
      </c>
      <c r="C627" s="2" t="str" cm="1">
        <f t="array" ref="C6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7">
        <f>YEAR(AllData[[#This Row],[Date]])</f>
        <v>2024</v>
      </c>
      <c r="E627" s="1">
        <v>0.52083333333333337</v>
      </c>
      <c r="F627" t="str">
        <f>IF(AND(AllData[[#This Row],[Time]]&lt;0.5, AllData[[#This Row],[Time]]&gt;0.17)=TRUE, "Morning", IF(AND(AllData[[#This Row],[Time]]&lt;0.75, AllData[[#This Row],[Time]]&gt;=0.5)=TRUE, "Afternoon", IF(AND(AllData[[#This Row],[Time]]&lt;1, AllData[[#This Row],[Time]]&gt;=0.75)=TRUE, "Evening", "Night")))</f>
        <v>Afternoon</v>
      </c>
      <c r="G627" t="str">
        <f>_xlfn.XLOOKUP(AllData[[#This Row],[Location Name]], Locations[Location Name],Locations[Group As])</f>
        <v>Carrant Bredon Rd</v>
      </c>
      <c r="H627" t="e" vm="4">
        <f>_xlfn.XLOOKUP(AllData[[#This Row],[Site Name]],LocationsKey[Site Name],LocationsKey[District])</f>
        <v>#VALUE!</v>
      </c>
      <c r="I627" t="e" vm="4">
        <f>_xlfn.XLOOKUP(AllData[[#This Row],[Site Name]],LocationsKey[Site Name],LocationsKey[Town])</f>
        <v>#VALUE!</v>
      </c>
      <c r="J627" t="str">
        <f>_xlfn.XLOOKUP(AllData[[#This Row],[Site Name]],LocationsKey[Site Name], LocationsKey[Waterway])</f>
        <v>Carrant</v>
      </c>
      <c r="K627" t="s">
        <v>603</v>
      </c>
      <c r="L627">
        <v>51.996296999999998</v>
      </c>
      <c r="M627">
        <v>-2.15598</v>
      </c>
      <c r="N627" t="s">
        <v>25</v>
      </c>
      <c r="O627">
        <v>579</v>
      </c>
      <c r="P627">
        <v>9.5</v>
      </c>
      <c r="Q627">
        <v>4</v>
      </c>
      <c r="R627" s="107" t="str">
        <f>IF(AllData[[#This Row],[Nitrate (PPM)]]&gt;2, "Very high", IF(AllData[[#This Row],[Nitrate (PPM)]]&gt;1, "High", IF(AllData[[#This Row],[Nitrate (PPM)]]&gt;0.5, "Some evidence", IF(AllData[[#This Row],[Nitrate (PPM)]]&gt;=0, "No evidence"))))</f>
        <v>Very high</v>
      </c>
      <c r="S627" s="108">
        <v>0.41</v>
      </c>
      <c r="T627" s="7" t="str">
        <f>IF(AllData[[#This Row],[Phosphate (PPM)]]&gt;0.5, "Very high", IF(AllData[[#This Row],[Phosphate (PPM)]]&gt;0.1, "High", IF(AllData[[#This Row],[Phosphate (PPM)]]&gt;0.05, "Some evidence", IF(AllData[[#This Row],[Phosphate (PPM)]]&lt;=0.05, "No Evidence", ""))))</f>
        <v>High</v>
      </c>
      <c r="U627">
        <v>1.8</v>
      </c>
      <c r="V627" t="s">
        <v>2596</v>
      </c>
    </row>
    <row r="628" spans="1:22" x14ac:dyDescent="0.35">
      <c r="A628" t="s">
        <v>2584</v>
      </c>
      <c r="B628" s="143">
        <v>45626</v>
      </c>
      <c r="C628" s="2" t="str" cm="1">
        <f t="array" ref="C6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8">
        <f>YEAR(AllData[[#This Row],[Date]])</f>
        <v>2024</v>
      </c>
      <c r="E628" s="1">
        <v>0.67152777777777772</v>
      </c>
      <c r="F628" t="str">
        <f>IF(AND(AllData[[#This Row],[Time]]&lt;0.5, AllData[[#This Row],[Time]]&gt;0.17)=TRUE, "Morning", IF(AND(AllData[[#This Row],[Time]]&lt;0.75, AllData[[#This Row],[Time]]&gt;=0.5)=TRUE, "Afternoon", IF(AND(AllData[[#This Row],[Time]]&lt;1, AllData[[#This Row],[Time]]&gt;=0.75)=TRUE, "Evening", "Night")))</f>
        <v>Afternoon</v>
      </c>
      <c r="G628" t="str">
        <f>_xlfn.XLOOKUP(AllData[[#This Row],[Location Name]], Locations[Location Name],Locations[Group As])</f>
        <v>Dock Lane Bredon</v>
      </c>
      <c r="H628" t="e" vm="6">
        <f>_xlfn.XLOOKUP(AllData[[#This Row],[Site Name]],LocationsKey[Site Name],LocationsKey[District])</f>
        <v>#VALUE!</v>
      </c>
      <c r="I628" t="e" vm="11">
        <f>_xlfn.XLOOKUP(AllData[[#This Row],[Site Name]],LocationsKey[Site Name],LocationsKey[Town])</f>
        <v>#VALUE!</v>
      </c>
      <c r="J628" t="str">
        <f>_xlfn.XLOOKUP(AllData[[#This Row],[Site Name]],LocationsKey[Site Name], LocationsKey[Waterway])</f>
        <v>Avon</v>
      </c>
      <c r="K628" t="s">
        <v>2374</v>
      </c>
      <c r="L628">
        <v>52.033462</v>
      </c>
      <c r="M628">
        <v>-2.1168589999999998</v>
      </c>
      <c r="N628" t="s">
        <v>31</v>
      </c>
      <c r="O628">
        <v>5810</v>
      </c>
      <c r="P628">
        <v>10</v>
      </c>
      <c r="Q628">
        <v>3</v>
      </c>
      <c r="R628" s="107" t="str">
        <f>IF(AllData[[#This Row],[Nitrate (PPM)]]&gt;2, "Very high", IF(AllData[[#This Row],[Nitrate (PPM)]]&gt;1, "High", IF(AllData[[#This Row],[Nitrate (PPM)]]&gt;0.5, "Some evidence", IF(AllData[[#This Row],[Nitrate (PPM)]]&gt;=0, "No evidence"))))</f>
        <v>Very high</v>
      </c>
      <c r="S628" s="108">
        <v>0.64</v>
      </c>
      <c r="T628" s="7" t="str">
        <f>IF(AllData[[#This Row],[Phosphate (PPM)]]&gt;0.5, "Very high", IF(AllData[[#This Row],[Phosphate (PPM)]]&gt;0.1, "High", IF(AllData[[#This Row],[Phosphate (PPM)]]&gt;0.05, "Some evidence", IF(AllData[[#This Row],[Phosphate (PPM)]]&lt;=0.05, "No Evidence", ""))))</f>
        <v>Very high</v>
      </c>
      <c r="U628">
        <v>1.2</v>
      </c>
      <c r="V628" t="s">
        <v>2585</v>
      </c>
    </row>
    <row r="629" spans="1:22" x14ac:dyDescent="0.35">
      <c r="A629" t="s">
        <v>2589</v>
      </c>
      <c r="B629" s="143">
        <v>45626</v>
      </c>
      <c r="C629" s="2" t="str" cm="1">
        <f t="array" ref="C6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29">
        <f>YEAR(AllData[[#This Row],[Date]])</f>
        <v>2024</v>
      </c>
      <c r="E629" s="1">
        <v>0.44583333333333336</v>
      </c>
      <c r="F629" t="str">
        <f>IF(AND(AllData[[#This Row],[Time]]&lt;0.5, AllData[[#This Row],[Time]]&gt;0.17)=TRUE, "Morning", IF(AND(AllData[[#This Row],[Time]]&lt;0.75, AllData[[#This Row],[Time]]&gt;=0.5)=TRUE, "Afternoon", IF(AND(AllData[[#This Row],[Time]]&lt;1, AllData[[#This Row],[Time]]&gt;=0.75)=TRUE, "Evening", "Night")))</f>
        <v>Morning</v>
      </c>
      <c r="G629" t="str">
        <f>_xlfn.XLOOKUP(AllData[[#This Row],[Location Name]], Locations[Location Name],Locations[Group As])</f>
        <v>Pitch 16</v>
      </c>
      <c r="H629" t="e" vm="1">
        <f>_xlfn.XLOOKUP(AllData[[#This Row],[Site Name]],LocationsKey[Site Name],LocationsKey[District])</f>
        <v>#VALUE!</v>
      </c>
      <c r="I629" t="e" vm="12">
        <f>_xlfn.XLOOKUP(AllData[[#This Row],[Site Name]],LocationsKey[Site Name],LocationsKey[Town])</f>
        <v>#VALUE!</v>
      </c>
      <c r="J629" t="str">
        <f>_xlfn.XLOOKUP(AllData[[#This Row],[Site Name]],LocationsKey[Site Name], LocationsKey[Waterway])</f>
        <v>Avon</v>
      </c>
      <c r="K629" t="s">
        <v>2532</v>
      </c>
      <c r="L629">
        <v>52.172601999999998</v>
      </c>
      <c r="M629">
        <v>-1.7453860000000001</v>
      </c>
      <c r="N629" t="s">
        <v>31</v>
      </c>
      <c r="O629">
        <v>603</v>
      </c>
      <c r="P629">
        <v>9.6</v>
      </c>
      <c r="Q629">
        <v>3</v>
      </c>
      <c r="R629" s="107" t="str">
        <f>IF(AllData[[#This Row],[Nitrate (PPM)]]&gt;2, "Very high", IF(AllData[[#This Row],[Nitrate (PPM)]]&gt;1, "High", IF(AllData[[#This Row],[Nitrate (PPM)]]&gt;0.5, "Some evidence", IF(AllData[[#This Row],[Nitrate (PPM)]]&gt;=0, "No evidence"))))</f>
        <v>Very high</v>
      </c>
      <c r="S629" s="108">
        <v>0.53</v>
      </c>
      <c r="T629" s="7" t="str">
        <f>IF(AllData[[#This Row],[Phosphate (PPM)]]&gt;0.5, "Very high", IF(AllData[[#This Row],[Phosphate (PPM)]]&gt;0.1, "High", IF(AllData[[#This Row],[Phosphate (PPM)]]&gt;0.05, "Some evidence", IF(AllData[[#This Row],[Phosphate (PPM)]]&lt;=0.05, "No Evidence", ""))))</f>
        <v>Very high</v>
      </c>
      <c r="U629">
        <v>0.84</v>
      </c>
      <c r="V629" t="s">
        <v>2590</v>
      </c>
    </row>
    <row r="630" spans="1:22" x14ac:dyDescent="0.35">
      <c r="A630" t="s">
        <v>2576</v>
      </c>
      <c r="B630" s="143">
        <v>45625</v>
      </c>
      <c r="C630" s="2" t="str" cm="1">
        <f t="array" ref="C6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0">
        <f>YEAR(AllData[[#This Row],[Date]])</f>
        <v>2024</v>
      </c>
      <c r="E630" s="1">
        <v>0.6333333333333333</v>
      </c>
      <c r="F630" t="str">
        <f>IF(AND(AllData[[#This Row],[Time]]&lt;0.5, AllData[[#This Row],[Time]]&gt;0.17)=TRUE, "Morning", IF(AND(AllData[[#This Row],[Time]]&lt;0.75, AllData[[#This Row],[Time]]&gt;=0.5)=TRUE, "Afternoon", IF(AND(AllData[[#This Row],[Time]]&lt;1, AllData[[#This Row],[Time]]&gt;=0.75)=TRUE, "Evening", "Night")))</f>
        <v>Afternoon</v>
      </c>
      <c r="G630" t="str">
        <f>_xlfn.XLOOKUP(AllData[[#This Row],[Location Name]], Locations[Location Name],Locations[Group As])</f>
        <v>Stour Shipston Mill Bridge</v>
      </c>
      <c r="H630" t="e" vm="1">
        <f>_xlfn.XLOOKUP(AllData[[#This Row],[Site Name]],LocationsKey[Site Name],LocationsKey[District])</f>
        <v>#VALUE!</v>
      </c>
      <c r="I630" t="e" vm="15">
        <f>_xlfn.XLOOKUP(AllData[[#This Row],[Site Name]],LocationsKey[Site Name],LocationsKey[Town])</f>
        <v>#VALUE!</v>
      </c>
      <c r="J630" t="str">
        <f>_xlfn.XLOOKUP(AllData[[#This Row],[Site Name]],LocationsKey[Site Name], LocationsKey[Waterway])</f>
        <v>Stour</v>
      </c>
      <c r="K630" t="s">
        <v>2006</v>
      </c>
      <c r="L630">
        <v>52.062272</v>
      </c>
      <c r="M630">
        <v>-1.6218189999999999</v>
      </c>
      <c r="N630" t="s">
        <v>25</v>
      </c>
      <c r="O630">
        <v>563</v>
      </c>
      <c r="P630">
        <v>8.3000000000000007</v>
      </c>
      <c r="Q630">
        <v>4</v>
      </c>
      <c r="R630" s="107" t="str">
        <f>IF(AllData[[#This Row],[Nitrate (PPM)]]&gt;2, "Very high", IF(AllData[[#This Row],[Nitrate (PPM)]]&gt;1, "High", IF(AllData[[#This Row],[Nitrate (PPM)]]&gt;0.5, "Some evidence", IF(AllData[[#This Row],[Nitrate (PPM)]]&gt;=0, "No evidence"))))</f>
        <v>Very high</v>
      </c>
      <c r="S630" s="108">
        <v>0.22</v>
      </c>
      <c r="T630" s="7" t="str">
        <f>IF(AllData[[#This Row],[Phosphate (PPM)]]&gt;0.5, "Very high", IF(AllData[[#This Row],[Phosphate (PPM)]]&gt;0.1, "High", IF(AllData[[#This Row],[Phosphate (PPM)]]&gt;0.05, "Some evidence", IF(AllData[[#This Row],[Phosphate (PPM)]]&lt;=0.05, "No Evidence", ""))))</f>
        <v>High</v>
      </c>
      <c r="U630">
        <v>0.93</v>
      </c>
    </row>
    <row r="631" spans="1:22" x14ac:dyDescent="0.35">
      <c r="A631" t="s">
        <v>2577</v>
      </c>
      <c r="B631" s="143">
        <v>45625</v>
      </c>
      <c r="C631" s="2" t="str" cm="1">
        <f t="array" ref="C6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1">
        <f>YEAR(AllData[[#This Row],[Date]])</f>
        <v>2024</v>
      </c>
      <c r="E631" s="1">
        <v>0.56458333333333333</v>
      </c>
      <c r="F631" t="str">
        <f>IF(AND(AllData[[#This Row],[Time]]&lt;0.5, AllData[[#This Row],[Time]]&gt;0.17)=TRUE, "Morning", IF(AND(AllData[[#This Row],[Time]]&lt;0.75, AllData[[#This Row],[Time]]&gt;=0.5)=TRUE, "Afternoon", IF(AND(AllData[[#This Row],[Time]]&lt;1, AllData[[#This Row],[Time]]&gt;=0.75)=TRUE, "Evening", "Night")))</f>
        <v>Afternoon</v>
      </c>
      <c r="G631" t="str">
        <f>_xlfn.XLOOKUP(AllData[[#This Row],[Location Name]], Locations[Location Name],Locations[Group As])</f>
        <v>Abbey Mill</v>
      </c>
      <c r="H631" t="e" vm="4">
        <f>_xlfn.XLOOKUP(AllData[[#This Row],[Site Name]],LocationsKey[Site Name],LocationsKey[District])</f>
        <v>#VALUE!</v>
      </c>
      <c r="I631" t="e" vm="4">
        <f>_xlfn.XLOOKUP(AllData[[#This Row],[Site Name]],LocationsKey[Site Name],LocationsKey[Town])</f>
        <v>#VALUE!</v>
      </c>
      <c r="J631" t="str">
        <f>_xlfn.XLOOKUP(AllData[[#This Row],[Site Name]],LocationsKey[Site Name], LocationsKey[Waterway])</f>
        <v>Avon</v>
      </c>
      <c r="K631" t="s">
        <v>2578</v>
      </c>
      <c r="L631">
        <v>51.991078000000002</v>
      </c>
      <c r="M631">
        <v>-2.1622170000000001</v>
      </c>
      <c r="N631" t="s">
        <v>31</v>
      </c>
      <c r="O631">
        <v>543</v>
      </c>
      <c r="P631">
        <v>8.5</v>
      </c>
      <c r="Q631">
        <v>4</v>
      </c>
      <c r="R631" s="107" t="str">
        <f>IF(AllData[[#This Row],[Nitrate (PPM)]]&gt;2, "Very high", IF(AllData[[#This Row],[Nitrate (PPM)]]&gt;1, "High", IF(AllData[[#This Row],[Nitrate (PPM)]]&gt;0.5, "Some evidence", IF(AllData[[#This Row],[Nitrate (PPM)]]&gt;=0, "No evidence"))))</f>
        <v>Very high</v>
      </c>
      <c r="S631" s="108">
        <v>0.54</v>
      </c>
      <c r="T631" s="7" t="str">
        <f>IF(AllData[[#This Row],[Phosphate (PPM)]]&gt;0.5, "Very high", IF(AllData[[#This Row],[Phosphate (PPM)]]&gt;0.1, "High", IF(AllData[[#This Row],[Phosphate (PPM)]]&gt;0.05, "Some evidence", IF(AllData[[#This Row],[Phosphate (PPM)]]&lt;=0.05, "No Evidence", ""))))</f>
        <v>Very high</v>
      </c>
      <c r="U631">
        <v>2.5</v>
      </c>
      <c r="V631" t="s">
        <v>2579</v>
      </c>
    </row>
    <row r="632" spans="1:22" x14ac:dyDescent="0.35">
      <c r="A632" t="s">
        <v>2580</v>
      </c>
      <c r="B632" s="143">
        <v>45625</v>
      </c>
      <c r="C632" s="2" t="str" cm="1">
        <f t="array" ref="C6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2">
        <f>YEAR(AllData[[#This Row],[Date]])</f>
        <v>2024</v>
      </c>
      <c r="E632" s="1">
        <v>0.39930555555555558</v>
      </c>
      <c r="F632" t="str">
        <f>IF(AND(AllData[[#This Row],[Time]]&lt;0.5, AllData[[#This Row],[Time]]&gt;0.17)=TRUE, "Morning", IF(AND(AllData[[#This Row],[Time]]&lt;0.75, AllData[[#This Row],[Time]]&gt;=0.5)=TRUE, "Afternoon", IF(AND(AllData[[#This Row],[Time]]&lt;1, AllData[[#This Row],[Time]]&gt;=0.75)=TRUE, "Evening", "Night")))</f>
        <v>Morning</v>
      </c>
      <c r="G632" t="str">
        <f>_xlfn.XLOOKUP(AllData[[#This Row],[Location Name]], Locations[Location Name],Locations[Group As])</f>
        <v>Mill Bridge Peopleton</v>
      </c>
      <c r="H632" t="e" vm="6">
        <f>_xlfn.XLOOKUP(AllData[[#This Row],[Site Name]],LocationsKey[Site Name],LocationsKey[District])</f>
        <v>#VALUE!</v>
      </c>
      <c r="I632" t="str">
        <f>_xlfn.XLOOKUP(AllData[[#This Row],[Site Name]],LocationsKey[Site Name],LocationsKey[Town])</f>
        <v>Peopleton</v>
      </c>
      <c r="J632" t="str">
        <f>_xlfn.XLOOKUP(AllData[[#This Row],[Site Name]],LocationsKey[Site Name], LocationsKey[Waterway])</f>
        <v>Bow Brook</v>
      </c>
      <c r="K632" t="s">
        <v>1015</v>
      </c>
      <c r="L632">
        <v>52.151629999999997</v>
      </c>
      <c r="M632">
        <v>-2.0962719999999999</v>
      </c>
      <c r="N632" t="s">
        <v>31</v>
      </c>
      <c r="O632">
        <v>689</v>
      </c>
      <c r="P632">
        <v>7.7</v>
      </c>
      <c r="Q632">
        <v>2</v>
      </c>
      <c r="R632" s="107" t="str">
        <f>IF(AllData[[#This Row],[Nitrate (PPM)]]&gt;2, "Very high", IF(AllData[[#This Row],[Nitrate (PPM)]]&gt;1, "High", IF(AllData[[#This Row],[Nitrate (PPM)]]&gt;0.5, "Some evidence", IF(AllData[[#This Row],[Nitrate (PPM)]]&gt;=0, "No evidence"))))</f>
        <v>High</v>
      </c>
      <c r="S632" s="108">
        <v>0.62</v>
      </c>
      <c r="T632" s="7" t="str">
        <f>IF(AllData[[#This Row],[Phosphate (PPM)]]&gt;0.5, "Very high", IF(AllData[[#This Row],[Phosphate (PPM)]]&gt;0.1, "High", IF(AllData[[#This Row],[Phosphate (PPM)]]&gt;0.05, "Some evidence", IF(AllData[[#This Row],[Phosphate (PPM)]]&lt;=0.05, "No Evidence", ""))))</f>
        <v>Very high</v>
      </c>
      <c r="U632">
        <v>0.8</v>
      </c>
      <c r="V632" t="s">
        <v>2581</v>
      </c>
    </row>
    <row r="633" spans="1:22" x14ac:dyDescent="0.35">
      <c r="A633" t="s">
        <v>2575</v>
      </c>
      <c r="B633" s="143">
        <v>45625</v>
      </c>
      <c r="C633" s="2" t="str" cm="1">
        <f t="array" ref="C6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3">
        <f>YEAR(AllData[[#This Row],[Date]])</f>
        <v>2024</v>
      </c>
      <c r="E633" s="1">
        <v>0.66319444444444442</v>
      </c>
      <c r="F633" t="str">
        <f>IF(AND(AllData[[#This Row],[Time]]&lt;0.5, AllData[[#This Row],[Time]]&gt;0.17)=TRUE, "Morning", IF(AND(AllData[[#This Row],[Time]]&lt;0.75, AllData[[#This Row],[Time]]&gt;=0.5)=TRUE, "Afternoon", IF(AND(AllData[[#This Row],[Time]]&lt;1, AllData[[#This Row],[Time]]&gt;=0.75)=TRUE, "Evening", "Night")))</f>
        <v>Afternoon</v>
      </c>
      <c r="G633" t="str">
        <f>_xlfn.XLOOKUP(AllData[[#This Row],[Location Name]], Locations[Location Name],Locations[Group As])</f>
        <v>Stour Shipston Mill Bridge</v>
      </c>
      <c r="H633" t="e" vm="1">
        <f>_xlfn.XLOOKUP(AllData[[#This Row],[Site Name]],LocationsKey[Site Name],LocationsKey[District])</f>
        <v>#VALUE!</v>
      </c>
      <c r="I633" t="e" vm="15">
        <f>_xlfn.XLOOKUP(AllData[[#This Row],[Site Name]],LocationsKey[Site Name],LocationsKey[Town])</f>
        <v>#VALUE!</v>
      </c>
      <c r="J633" t="str">
        <f>_xlfn.XLOOKUP(AllData[[#This Row],[Site Name]],LocationsKey[Site Name], LocationsKey[Waterway])</f>
        <v>Stour</v>
      </c>
      <c r="K633" t="s">
        <v>2006</v>
      </c>
      <c r="L633">
        <v>52.062474000000002</v>
      </c>
      <c r="M633">
        <v>-1.6231439999999999</v>
      </c>
      <c r="N633" t="s">
        <v>25</v>
      </c>
      <c r="O633">
        <v>563</v>
      </c>
      <c r="P633">
        <v>8.3000000000000007</v>
      </c>
      <c r="Q633">
        <v>0.4</v>
      </c>
      <c r="R633" s="107" t="str">
        <f>IF(AllData[[#This Row],[Nitrate (PPM)]]&gt;2, "Very high", IF(AllData[[#This Row],[Nitrate (PPM)]]&gt;1, "High", IF(AllData[[#This Row],[Nitrate (PPM)]]&gt;0.5, "Some evidence", IF(AllData[[#This Row],[Nitrate (PPM)]]&gt;=0, "No evidence"))))</f>
        <v>No evidence</v>
      </c>
      <c r="S633" s="108">
        <v>0.22</v>
      </c>
      <c r="T633" s="7" t="str">
        <f>IF(AllData[[#This Row],[Phosphate (PPM)]]&gt;0.5, "Very high", IF(AllData[[#This Row],[Phosphate (PPM)]]&gt;0.1, "High", IF(AllData[[#This Row],[Phosphate (PPM)]]&gt;0.05, "Some evidence", IF(AllData[[#This Row],[Phosphate (PPM)]]&lt;=0.05, "No Evidence", ""))))</f>
        <v>High</v>
      </c>
      <c r="U633">
        <v>0.93</v>
      </c>
    </row>
    <row r="634" spans="1:22" x14ac:dyDescent="0.35">
      <c r="A634" t="s">
        <v>2582</v>
      </c>
      <c r="B634" s="143">
        <v>45625</v>
      </c>
      <c r="C634" s="2" t="str" cm="1">
        <f t="array" ref="C6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4">
        <f>YEAR(AllData[[#This Row],[Date]])</f>
        <v>2024</v>
      </c>
      <c r="E634" s="1">
        <v>0.51041666666666663</v>
      </c>
      <c r="F634" t="str">
        <f>IF(AND(AllData[[#This Row],[Time]]&lt;0.5, AllData[[#This Row],[Time]]&gt;0.17)=TRUE, "Morning", IF(AND(AllData[[#This Row],[Time]]&lt;0.75, AllData[[#This Row],[Time]]&gt;=0.5)=TRUE, "Afternoon", IF(AND(AllData[[#This Row],[Time]]&lt;1, AllData[[#This Row],[Time]]&gt;=0.75)=TRUE, "Evening", "Night")))</f>
        <v>Afternoon</v>
      </c>
      <c r="G634" t="str">
        <f>_xlfn.XLOOKUP(AllData[[#This Row],[Location Name]], Locations[Location Name],Locations[Group As])</f>
        <v>SSC Bredons Norton</v>
      </c>
      <c r="H634" t="e" vm="6">
        <f>_xlfn.XLOOKUP(AllData[[#This Row],[Site Name]],LocationsKey[Site Name],LocationsKey[District])</f>
        <v>#VALUE!</v>
      </c>
      <c r="I634" t="str">
        <f>_xlfn.XLOOKUP(AllData[[#This Row],[Site Name]],LocationsKey[Site Name],LocationsKey[Town])</f>
        <v>Bredon's Norton</v>
      </c>
      <c r="J634" t="str">
        <f>_xlfn.XLOOKUP(AllData[[#This Row],[Site Name]],LocationsKey[Site Name], LocationsKey[Waterway])</f>
        <v>Avon</v>
      </c>
      <c r="K634" t="s">
        <v>2121</v>
      </c>
      <c r="N634" t="s">
        <v>25</v>
      </c>
      <c r="P634">
        <v>0</v>
      </c>
      <c r="R634" s="107"/>
      <c r="S634" s="108"/>
      <c r="T634" s="7"/>
      <c r="U634">
        <v>3</v>
      </c>
      <c r="V634" t="s">
        <v>2583</v>
      </c>
    </row>
    <row r="635" spans="1:22" x14ac:dyDescent="0.35">
      <c r="A635" t="s">
        <v>2573</v>
      </c>
      <c r="B635" s="143">
        <v>45624</v>
      </c>
      <c r="C635" s="2" t="str" cm="1">
        <f t="array" ref="C6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5">
        <f>YEAR(AllData[[#This Row],[Date]])</f>
        <v>2024</v>
      </c>
      <c r="E635" s="1">
        <v>0.5</v>
      </c>
      <c r="F635" t="str">
        <f>IF(AND(AllData[[#This Row],[Time]]&lt;0.5, AllData[[#This Row],[Time]]&gt;0.17)=TRUE, "Morning", IF(AND(AllData[[#This Row],[Time]]&lt;0.75, AllData[[#This Row],[Time]]&gt;=0.5)=TRUE, "Afternoon", IF(AND(AllData[[#This Row],[Time]]&lt;1, AllData[[#This Row],[Time]]&gt;=0.75)=TRUE, "Evening", "Night")))</f>
        <v>Afternoon</v>
      </c>
      <c r="G635" t="str">
        <f>_xlfn.XLOOKUP(AllData[[#This Row],[Location Name]], Locations[Location Name],Locations[Group As])</f>
        <v>Carrant M5 Bridge</v>
      </c>
      <c r="H635" t="e" vm="4">
        <f>_xlfn.XLOOKUP(AllData[[#This Row],[Site Name]],LocationsKey[Site Name],LocationsKey[District])</f>
        <v>#VALUE!</v>
      </c>
      <c r="I635" t="e" vm="4">
        <f>_xlfn.XLOOKUP(AllData[[#This Row],[Site Name]],LocationsKey[Site Name],LocationsKey[Town])</f>
        <v>#VALUE!</v>
      </c>
      <c r="J635" t="str">
        <f>_xlfn.XLOOKUP(AllData[[#This Row],[Site Name]],LocationsKey[Site Name], LocationsKey[Waterway])</f>
        <v>Carrant</v>
      </c>
      <c r="K635" t="s">
        <v>1066</v>
      </c>
      <c r="N635" t="s">
        <v>25</v>
      </c>
      <c r="O635">
        <v>1200</v>
      </c>
      <c r="P635">
        <v>8.6</v>
      </c>
      <c r="Q635">
        <v>3</v>
      </c>
      <c r="R635" s="107" t="str">
        <f>IF(AllData[[#This Row],[Nitrate (PPM)]]&gt;2, "Very high", IF(AllData[[#This Row],[Nitrate (PPM)]]&gt;1, "High", IF(AllData[[#This Row],[Nitrate (PPM)]]&gt;0.5, "Some evidence", IF(AllData[[#This Row],[Nitrate (PPM)]]&gt;=0, "No evidence"))))</f>
        <v>Very high</v>
      </c>
      <c r="S635" s="108">
        <v>0.57999999999999996</v>
      </c>
      <c r="T635" s="7" t="str">
        <f>IF(AllData[[#This Row],[Phosphate (PPM)]]&gt;0.5, "Very high", IF(AllData[[#This Row],[Phosphate (PPM)]]&gt;0.1, "High", IF(AllData[[#This Row],[Phosphate (PPM)]]&gt;0.05, "Some evidence", IF(AllData[[#This Row],[Phosphate (PPM)]]&lt;=0.05, "No Evidence", ""))))</f>
        <v>Very high</v>
      </c>
      <c r="U635">
        <v>1.5</v>
      </c>
    </row>
    <row r="636" spans="1:22" x14ac:dyDescent="0.35">
      <c r="A636" t="s">
        <v>2574</v>
      </c>
      <c r="B636" s="143">
        <v>45624</v>
      </c>
      <c r="C636" s="2" t="str" cm="1">
        <f t="array" ref="C6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6">
        <f>YEAR(AllData[[#This Row],[Date]])</f>
        <v>2024</v>
      </c>
      <c r="E636" s="1">
        <v>0.36458333333333331</v>
      </c>
      <c r="F636" t="str">
        <f>IF(AND(AllData[[#This Row],[Time]]&lt;0.5, AllData[[#This Row],[Time]]&gt;0.17)=TRUE, "Morning", IF(AND(AllData[[#This Row],[Time]]&lt;0.75, AllData[[#This Row],[Time]]&gt;=0.5)=TRUE, "Afternoon", IF(AND(AllData[[#This Row],[Time]]&lt;1, AllData[[#This Row],[Time]]&gt;=0.75)=TRUE, "Evening", "Night")))</f>
        <v>Morning</v>
      </c>
      <c r="G636" t="str">
        <f>_xlfn.XLOOKUP(AllData[[#This Row],[Location Name]], Locations[Location Name],Locations[Group As])</f>
        <v>Swilgate</v>
      </c>
      <c r="H636" t="e" vm="4">
        <f>_xlfn.XLOOKUP(AllData[[#This Row],[Site Name]],LocationsKey[Site Name],LocationsKey[District])</f>
        <v>#VALUE!</v>
      </c>
      <c r="I636" t="e" vm="4">
        <f>_xlfn.XLOOKUP(AllData[[#This Row],[Site Name]],LocationsKey[Site Name],LocationsKey[Town])</f>
        <v>#VALUE!</v>
      </c>
      <c r="J636" t="str">
        <f>_xlfn.XLOOKUP(AllData[[#This Row],[Site Name]],LocationsKey[Site Name], LocationsKey[Waterway])</f>
        <v>Swilgate</v>
      </c>
      <c r="K636" t="s">
        <v>85</v>
      </c>
      <c r="N636" t="s">
        <v>25</v>
      </c>
      <c r="O636">
        <v>616</v>
      </c>
      <c r="P636">
        <v>8.6</v>
      </c>
      <c r="Q636">
        <v>3</v>
      </c>
      <c r="R636" s="107" t="str">
        <f>IF(AllData[[#This Row],[Nitrate (PPM)]]&gt;2, "Very high", IF(AllData[[#This Row],[Nitrate (PPM)]]&gt;1, "High", IF(AllData[[#This Row],[Nitrate (PPM)]]&gt;0.5, "Some evidence", IF(AllData[[#This Row],[Nitrate (PPM)]]&gt;=0, "No evidence"))))</f>
        <v>Very high</v>
      </c>
      <c r="S636" s="108">
        <v>0.62</v>
      </c>
      <c r="T636" s="7" t="str">
        <f>IF(AllData[[#This Row],[Phosphate (PPM)]]&gt;0.5, "Very high", IF(AllData[[#This Row],[Phosphate (PPM)]]&gt;0.1, "High", IF(AllData[[#This Row],[Phosphate (PPM)]]&gt;0.05, "Some evidence", IF(AllData[[#This Row],[Phosphate (PPM)]]&lt;=0.05, "No Evidence", ""))))</f>
        <v>Very high</v>
      </c>
      <c r="U636">
        <v>2</v>
      </c>
    </row>
    <row r="637" spans="1:22" x14ac:dyDescent="0.35">
      <c r="A637" t="s">
        <v>2571</v>
      </c>
      <c r="B637" s="143">
        <v>45623</v>
      </c>
      <c r="C637" s="2" t="str" cm="1">
        <f t="array" ref="C6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7">
        <f>YEAR(AllData[[#This Row],[Date]])</f>
        <v>2024</v>
      </c>
      <c r="E637" s="1">
        <v>0.59722222222222221</v>
      </c>
      <c r="F637" t="str">
        <f>IF(AND(AllData[[#This Row],[Time]]&lt;0.5, AllData[[#This Row],[Time]]&gt;0.17)=TRUE, "Morning", IF(AND(AllData[[#This Row],[Time]]&lt;0.75, AllData[[#This Row],[Time]]&gt;=0.5)=TRUE, "Afternoon", IF(AND(AllData[[#This Row],[Time]]&lt;1, AllData[[#This Row],[Time]]&gt;=0.75)=TRUE, "Evening", "Night")))</f>
        <v>Afternoon</v>
      </c>
      <c r="G637" t="str">
        <f>_xlfn.XLOOKUP(AllData[[#This Row],[Location Name]], Locations[Location Name],Locations[Group As])</f>
        <v>Swiffen Bank</v>
      </c>
      <c r="H637" t="e" vm="1">
        <f>_xlfn.XLOOKUP(AllData[[#This Row],[Site Name]],LocationsKey[Site Name],LocationsKey[District])</f>
        <v>#VALUE!</v>
      </c>
      <c r="I637" t="e" vm="2">
        <f>_xlfn.XLOOKUP(AllData[[#This Row],[Site Name]],LocationsKey[Site Name],LocationsKey[Town])</f>
        <v>#VALUE!</v>
      </c>
      <c r="J637" t="str">
        <f>_xlfn.XLOOKUP(AllData[[#This Row],[Site Name]],LocationsKey[Site Name], LocationsKey[Waterway])</f>
        <v>Avon</v>
      </c>
      <c r="K637" t="s">
        <v>1448</v>
      </c>
      <c r="L637">
        <v>52.206977999999999</v>
      </c>
      <c r="M637">
        <v>-1.6538839999999999</v>
      </c>
      <c r="N637" t="s">
        <v>31</v>
      </c>
      <c r="O637">
        <v>445</v>
      </c>
      <c r="Q637">
        <v>5</v>
      </c>
      <c r="R637" s="107" t="str">
        <f>IF(AllData[[#This Row],[Nitrate (PPM)]]&gt;2, "Very high", IF(AllData[[#This Row],[Nitrate (PPM)]]&gt;1, "High", IF(AllData[[#This Row],[Nitrate (PPM)]]&gt;0.5, "Some evidence", IF(AllData[[#This Row],[Nitrate (PPM)]]&gt;=0, "No evidence"))))</f>
        <v>Very high</v>
      </c>
      <c r="S637" s="108">
        <v>0.6</v>
      </c>
      <c r="T637" s="7" t="str">
        <f>IF(AllData[[#This Row],[Phosphate (PPM)]]&gt;0.5, "Very high", IF(AllData[[#This Row],[Phosphate (PPM)]]&gt;0.1, "High", IF(AllData[[#This Row],[Phosphate (PPM)]]&gt;0.05, "Some evidence", IF(AllData[[#This Row],[Phosphate (PPM)]]&lt;=0.05, "No Evidence", ""))))</f>
        <v>Very high</v>
      </c>
      <c r="U637">
        <v>1.5</v>
      </c>
      <c r="V637" t="s">
        <v>2572</v>
      </c>
    </row>
    <row r="638" spans="1:22" x14ac:dyDescent="0.35">
      <c r="A638" t="s">
        <v>2569</v>
      </c>
      <c r="B638" s="143">
        <v>45623</v>
      </c>
      <c r="C638" s="2" t="str" cm="1">
        <f t="array" ref="C6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8">
        <f>YEAR(AllData[[#This Row],[Date]])</f>
        <v>2024</v>
      </c>
      <c r="E638" s="1">
        <v>0.59583333333333333</v>
      </c>
      <c r="F638" t="str">
        <f>IF(AND(AllData[[#This Row],[Time]]&lt;0.5, AllData[[#This Row],[Time]]&gt;0.17)=TRUE, "Morning", IF(AND(AllData[[#This Row],[Time]]&lt;0.75, AllData[[#This Row],[Time]]&gt;=0.5)=TRUE, "Afternoon", IF(AND(AllData[[#This Row],[Time]]&lt;1, AllData[[#This Row],[Time]]&gt;=0.75)=TRUE, "Evening", "Night")))</f>
        <v>Afternoon</v>
      </c>
      <c r="G638" t="str">
        <f>_xlfn.XLOOKUP(AllData[[#This Row],[Location Name]], Locations[Location Name],Locations[Group As])</f>
        <v>Alveston Weir</v>
      </c>
      <c r="H638" t="e" vm="1">
        <f>_xlfn.XLOOKUP(AllData[[#This Row],[Site Name]],LocationsKey[Site Name],LocationsKey[District])</f>
        <v>#VALUE!</v>
      </c>
      <c r="I638" t="e" vm="2">
        <f>_xlfn.XLOOKUP(AllData[[#This Row],[Site Name]],LocationsKey[Site Name],LocationsKey[Town])</f>
        <v>#VALUE!</v>
      </c>
      <c r="J638" t="str">
        <f>_xlfn.XLOOKUP(AllData[[#This Row],[Site Name]],LocationsKey[Site Name], LocationsKey[Waterway])</f>
        <v>Avon</v>
      </c>
      <c r="K638" t="s">
        <v>288</v>
      </c>
      <c r="L638">
        <v>52.212288999999998</v>
      </c>
      <c r="M638">
        <v>-1.660452</v>
      </c>
      <c r="N638" t="s">
        <v>31</v>
      </c>
      <c r="O638">
        <v>440</v>
      </c>
      <c r="P638">
        <v>9.3000000000000007</v>
      </c>
      <c r="Q638">
        <v>5</v>
      </c>
      <c r="R638" s="107" t="str">
        <f>IF(AllData[[#This Row],[Nitrate (PPM)]]&gt;2, "Very high", IF(AllData[[#This Row],[Nitrate (PPM)]]&gt;1, "High", IF(AllData[[#This Row],[Nitrate (PPM)]]&gt;0.5, "Some evidence", IF(AllData[[#This Row],[Nitrate (PPM)]]&gt;=0, "No evidence"))))</f>
        <v>Very high</v>
      </c>
      <c r="S638" s="108">
        <v>0.45</v>
      </c>
      <c r="T638" s="7" t="str">
        <f>IF(AllData[[#This Row],[Phosphate (PPM)]]&gt;0.5, "Very high", IF(AllData[[#This Row],[Phosphate (PPM)]]&gt;0.1, "High", IF(AllData[[#This Row],[Phosphate (PPM)]]&gt;0.05, "Some evidence", IF(AllData[[#This Row],[Phosphate (PPM)]]&lt;=0.05, "No Evidence", ""))))</f>
        <v>High</v>
      </c>
      <c r="U638">
        <v>1.5</v>
      </c>
      <c r="V638" t="s">
        <v>2570</v>
      </c>
    </row>
    <row r="639" spans="1:22" x14ac:dyDescent="0.35">
      <c r="A639" t="s">
        <v>2565</v>
      </c>
      <c r="B639" s="143">
        <v>45622</v>
      </c>
      <c r="C639" s="2" t="str" cm="1">
        <f t="array" ref="C6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39">
        <f>YEAR(AllData[[#This Row],[Date]])</f>
        <v>2024</v>
      </c>
      <c r="E639" s="1">
        <v>0.42152777777777778</v>
      </c>
      <c r="F639" t="str">
        <f>IF(AND(AllData[[#This Row],[Time]]&lt;0.5, AllData[[#This Row],[Time]]&gt;0.17)=TRUE, "Morning", IF(AND(AllData[[#This Row],[Time]]&lt;0.75, AllData[[#This Row],[Time]]&gt;=0.5)=TRUE, "Afternoon", IF(AND(AllData[[#This Row],[Time]]&lt;1, AllData[[#This Row],[Time]]&gt;=0.75)=TRUE, "Evening", "Night")))</f>
        <v>Morning</v>
      </c>
      <c r="G639" t="str">
        <f>_xlfn.XLOOKUP(AllData[[#This Row],[Location Name]], Locations[Location Name],Locations[Group As])</f>
        <v>Carrant M5 Bridge</v>
      </c>
      <c r="H639" t="e" vm="4">
        <f>_xlfn.XLOOKUP(AllData[[#This Row],[Site Name]],LocationsKey[Site Name],LocationsKey[District])</f>
        <v>#VALUE!</v>
      </c>
      <c r="I639" t="e" vm="4">
        <f>_xlfn.XLOOKUP(AllData[[#This Row],[Site Name]],LocationsKey[Site Name],LocationsKey[Town])</f>
        <v>#VALUE!</v>
      </c>
      <c r="J639" t="str">
        <f>_xlfn.XLOOKUP(AllData[[#This Row],[Site Name]],LocationsKey[Site Name], LocationsKey[Waterway])</f>
        <v>Carrant</v>
      </c>
      <c r="K639" t="s">
        <v>1066</v>
      </c>
      <c r="L639">
        <v>52.011389000000001</v>
      </c>
      <c r="M639">
        <v>-2.1195149999999998</v>
      </c>
      <c r="N639" t="s">
        <v>25</v>
      </c>
      <c r="O639">
        <v>627</v>
      </c>
      <c r="P639">
        <v>8.5</v>
      </c>
      <c r="Q639">
        <v>5</v>
      </c>
      <c r="R639" s="107" t="str">
        <f>IF(AllData[[#This Row],[Nitrate (PPM)]]&gt;2, "Very high", IF(AllData[[#This Row],[Nitrate (PPM)]]&gt;1, "High", IF(AllData[[#This Row],[Nitrate (PPM)]]&gt;0.5, "Some evidence", IF(AllData[[#This Row],[Nitrate (PPM)]]&gt;=0, "No evidence"))))</f>
        <v>Very high</v>
      </c>
      <c r="S639" s="108">
        <v>0.34</v>
      </c>
      <c r="T639" s="7" t="str">
        <f>IF(AllData[[#This Row],[Phosphate (PPM)]]&gt;0.5, "Very high", IF(AllData[[#This Row],[Phosphate (PPM)]]&gt;0.1, "High", IF(AllData[[#This Row],[Phosphate (PPM)]]&gt;0.05, "Some evidence", IF(AllData[[#This Row],[Phosphate (PPM)]]&lt;=0.05, "No Evidence", ""))))</f>
        <v>High</v>
      </c>
      <c r="U639">
        <v>1.5</v>
      </c>
      <c r="V639" t="s">
        <v>2566</v>
      </c>
    </row>
    <row r="640" spans="1:22" x14ac:dyDescent="0.35">
      <c r="A640" t="s">
        <v>2563</v>
      </c>
      <c r="B640" s="143">
        <v>45622</v>
      </c>
      <c r="C640" s="2" t="str" cm="1">
        <f t="array" ref="C6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0">
        <f>YEAR(AllData[[#This Row],[Date]])</f>
        <v>2024</v>
      </c>
      <c r="E640" s="1">
        <v>0.64930555555555558</v>
      </c>
      <c r="F640" t="str">
        <f>IF(AND(AllData[[#This Row],[Time]]&lt;0.5, AllData[[#This Row],[Time]]&gt;0.17)=TRUE, "Morning", IF(AND(AllData[[#This Row],[Time]]&lt;0.75, AllData[[#This Row],[Time]]&gt;=0.5)=TRUE, "Afternoon", IF(AND(AllData[[#This Row],[Time]]&lt;1, AllData[[#This Row],[Time]]&gt;=0.75)=TRUE, "Evening", "Night")))</f>
        <v>Afternoon</v>
      </c>
      <c r="G640" t="str">
        <f>_xlfn.XLOOKUP(AllData[[#This Row],[Location Name]], Locations[Location Name],Locations[Group As])</f>
        <v>New Barn Farm Brailes</v>
      </c>
      <c r="H640" t="e" vm="1">
        <f>_xlfn.XLOOKUP(AllData[[#This Row],[Site Name]],LocationsKey[Site Name],LocationsKey[District])</f>
        <v>#VALUE!</v>
      </c>
      <c r="I640" t="e" vm="5">
        <f>_xlfn.XLOOKUP(AllData[[#This Row],[Site Name]],LocationsKey[Site Name],LocationsKey[Town])</f>
        <v>#VALUE!</v>
      </c>
      <c r="J640" t="str">
        <f>_xlfn.XLOOKUP(AllData[[#This Row],[Site Name]],LocationsKey[Site Name], LocationsKey[Waterway])</f>
        <v>Sutton Brook</v>
      </c>
      <c r="K640" t="s">
        <v>2564</v>
      </c>
      <c r="N640" t="s">
        <v>31</v>
      </c>
      <c r="O640">
        <v>534</v>
      </c>
      <c r="P640">
        <v>9.8000000000000007</v>
      </c>
      <c r="Q640">
        <v>5</v>
      </c>
      <c r="R640" s="107" t="str">
        <f>IF(AllData[[#This Row],[Nitrate (PPM)]]&gt;2, "Very high", IF(AllData[[#This Row],[Nitrate (PPM)]]&gt;1, "High", IF(AllData[[#This Row],[Nitrate (PPM)]]&gt;0.5, "Some evidence", IF(AllData[[#This Row],[Nitrate (PPM)]]&gt;=0, "No evidence"))))</f>
        <v>Very high</v>
      </c>
      <c r="S640" s="108"/>
      <c r="T640" s="7"/>
      <c r="U640">
        <v>1.5</v>
      </c>
      <c r="V640" t="s">
        <v>2562</v>
      </c>
    </row>
    <row r="641" spans="1:22" x14ac:dyDescent="0.35">
      <c r="A641" t="s">
        <v>2560</v>
      </c>
      <c r="B641" s="143">
        <v>45622</v>
      </c>
      <c r="C641" s="2" t="str" cm="1">
        <f t="array" ref="C6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1">
        <f>YEAR(AllData[[#This Row],[Date]])</f>
        <v>2024</v>
      </c>
      <c r="E641" s="1">
        <v>0.625</v>
      </c>
      <c r="F641" t="str">
        <f>IF(AND(AllData[[#This Row],[Time]]&lt;0.5, AllData[[#This Row],[Time]]&gt;0.17)=TRUE, "Morning", IF(AND(AllData[[#This Row],[Time]]&lt;0.75, AllData[[#This Row],[Time]]&gt;=0.5)=TRUE, "Afternoon", IF(AND(AllData[[#This Row],[Time]]&lt;1, AllData[[#This Row],[Time]]&gt;=0.75)=TRUE, "Evening", "Night")))</f>
        <v>Afternoon</v>
      </c>
      <c r="G641" t="str">
        <f>_xlfn.XLOOKUP(AllData[[#This Row],[Location Name]], Locations[Location Name],Locations[Group As])</f>
        <v>High Street Brailes</v>
      </c>
      <c r="H641" t="e" vm="1">
        <f>_xlfn.XLOOKUP(AllData[[#This Row],[Site Name]],LocationsKey[Site Name],LocationsKey[District])</f>
        <v>#VALUE!</v>
      </c>
      <c r="I641" t="e" vm="5">
        <f>_xlfn.XLOOKUP(AllData[[#This Row],[Site Name]],LocationsKey[Site Name],LocationsKey[Town])</f>
        <v>#VALUE!</v>
      </c>
      <c r="J641" t="str">
        <f>_xlfn.XLOOKUP(AllData[[#This Row],[Site Name]],LocationsKey[Site Name], LocationsKey[Waterway])</f>
        <v>Sutton Brook</v>
      </c>
      <c r="K641" t="s">
        <v>2561</v>
      </c>
      <c r="N641" t="s">
        <v>68</v>
      </c>
      <c r="O641">
        <v>503</v>
      </c>
      <c r="P641">
        <v>9</v>
      </c>
      <c r="Q641">
        <v>5</v>
      </c>
      <c r="R641" s="107" t="str">
        <f>IF(AllData[[#This Row],[Nitrate (PPM)]]&gt;2, "Very high", IF(AllData[[#This Row],[Nitrate (PPM)]]&gt;1, "High", IF(AllData[[#This Row],[Nitrate (PPM)]]&gt;0.5, "Some evidence", IF(AllData[[#This Row],[Nitrate (PPM)]]&gt;=0, "No evidence"))))</f>
        <v>Very high</v>
      </c>
      <c r="S641" s="108"/>
      <c r="T641" s="7"/>
      <c r="U641">
        <v>1</v>
      </c>
      <c r="V641" t="s">
        <v>2562</v>
      </c>
    </row>
    <row r="642" spans="1:22" x14ac:dyDescent="0.35">
      <c r="A642" t="s">
        <v>2567</v>
      </c>
      <c r="B642" s="143">
        <v>45622</v>
      </c>
      <c r="C642" s="2" t="str" cm="1">
        <f t="array" ref="C6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2">
        <f>YEAR(AllData[[#This Row],[Date]])</f>
        <v>2024</v>
      </c>
      <c r="E642" s="1">
        <v>0.47986111111111113</v>
      </c>
      <c r="F642" t="str">
        <f>IF(AND(AllData[[#This Row],[Time]]&lt;0.5, AllData[[#This Row],[Time]]&gt;0.17)=TRUE, "Morning", IF(AND(AllData[[#This Row],[Time]]&lt;0.75, AllData[[#This Row],[Time]]&gt;=0.5)=TRUE, "Afternoon", IF(AND(AllData[[#This Row],[Time]]&lt;1, AllData[[#This Row],[Time]]&gt;=0.75)=TRUE, "Evening", "Night")))</f>
        <v>Morning</v>
      </c>
      <c r="G642" t="str">
        <f>_xlfn.XLOOKUP(AllData[[#This Row],[Location Name]], Locations[Location Name],Locations[Group As])</f>
        <v>Twyning Fleet</v>
      </c>
      <c r="H642" t="e" vm="4">
        <f>_xlfn.XLOOKUP(AllData[[#This Row],[Site Name]],LocationsKey[Site Name],LocationsKey[District])</f>
        <v>#VALUE!</v>
      </c>
      <c r="I642" t="str">
        <f>_xlfn.XLOOKUP(AllData[[#This Row],[Site Name]],LocationsKey[Site Name],LocationsKey[Town])</f>
        <v>Twyning Green</v>
      </c>
      <c r="J642" t="str">
        <f>_xlfn.XLOOKUP(AllData[[#This Row],[Site Name]],LocationsKey[Site Name], LocationsKey[Waterway])</f>
        <v>Avon</v>
      </c>
      <c r="K642" t="s">
        <v>2181</v>
      </c>
      <c r="L642">
        <v>52.027143000000002</v>
      </c>
      <c r="M642">
        <v>-2.1409560000000001</v>
      </c>
      <c r="O642">
        <v>425</v>
      </c>
      <c r="P642">
        <v>10.4</v>
      </c>
      <c r="Q642">
        <v>4</v>
      </c>
      <c r="R642" s="107" t="str">
        <f>IF(AllData[[#This Row],[Nitrate (PPM)]]&gt;2, "Very high", IF(AllData[[#This Row],[Nitrate (PPM)]]&gt;1, "High", IF(AllData[[#This Row],[Nitrate (PPM)]]&gt;0.5, "Some evidence", IF(AllData[[#This Row],[Nitrate (PPM)]]&gt;=0, "No evidence"))))</f>
        <v>Very high</v>
      </c>
      <c r="S642" s="108">
        <v>0.69</v>
      </c>
      <c r="T642" s="7" t="str">
        <f>IF(AllData[[#This Row],[Phosphate (PPM)]]&gt;0.5, "Very high", IF(AllData[[#This Row],[Phosphate (PPM)]]&gt;0.1, "High", IF(AllData[[#This Row],[Phosphate (PPM)]]&gt;0.05, "Some evidence", IF(AllData[[#This Row],[Phosphate (PPM)]]&lt;=0.05, "No Evidence", ""))))</f>
        <v>Very high</v>
      </c>
      <c r="U642">
        <v>3</v>
      </c>
      <c r="V642" t="s">
        <v>2568</v>
      </c>
    </row>
    <row r="643" spans="1:22" x14ac:dyDescent="0.35">
      <c r="A643" t="s">
        <v>2552</v>
      </c>
      <c r="B643" s="143">
        <v>45621</v>
      </c>
      <c r="C643" s="2" t="str" cm="1">
        <f t="array" ref="C6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3">
        <f>YEAR(AllData[[#This Row],[Date]])</f>
        <v>2024</v>
      </c>
      <c r="E643" s="1">
        <v>0.3263888888888889</v>
      </c>
      <c r="F643" t="str">
        <f>IF(AND(AllData[[#This Row],[Time]]&lt;0.5, AllData[[#This Row],[Time]]&gt;0.17)=TRUE, "Morning", IF(AND(AllData[[#This Row],[Time]]&lt;0.75, AllData[[#This Row],[Time]]&gt;=0.5)=TRUE, "Afternoon", IF(AND(AllData[[#This Row],[Time]]&lt;1, AllData[[#This Row],[Time]]&gt;=0.75)=TRUE, "Evening", "Night")))</f>
        <v>Morning</v>
      </c>
      <c r="G643" t="str">
        <f>_xlfn.XLOOKUP(AllData[[#This Row],[Location Name]], Locations[Location Name],Locations[Group As])</f>
        <v>Site 3  :  Severn Trent Water processing plant outflow</v>
      </c>
      <c r="H643" t="e" vm="1">
        <f>_xlfn.XLOOKUP(AllData[[#This Row],[Site Name]],LocationsKey[Site Name],LocationsKey[District])</f>
        <v>#VALUE!</v>
      </c>
      <c r="I643" t="e" vm="14">
        <f>_xlfn.XLOOKUP(AllData[[#This Row],[Site Name]],LocationsKey[Site Name],LocationsKey[Town])</f>
        <v>#VALUE!</v>
      </c>
      <c r="J643" t="str">
        <f>_xlfn.XLOOKUP(AllData[[#This Row],[Site Name]],LocationsKey[Site Name], LocationsKey[Waterway])</f>
        <v>Fosseway Brook</v>
      </c>
      <c r="K643" t="s">
        <v>1826</v>
      </c>
      <c r="L643">
        <v>52.09442</v>
      </c>
      <c r="M643">
        <v>-1.6758189999999999</v>
      </c>
      <c r="N643" t="s">
        <v>31</v>
      </c>
      <c r="O643">
        <v>618</v>
      </c>
      <c r="P643">
        <v>10.8</v>
      </c>
      <c r="Q643">
        <v>5</v>
      </c>
      <c r="R643" s="107" t="str">
        <f>IF(AllData[[#This Row],[Nitrate (PPM)]]&gt;2, "Very high", IF(AllData[[#This Row],[Nitrate (PPM)]]&gt;1, "High", IF(AllData[[#This Row],[Nitrate (PPM)]]&gt;0.5, "Some evidence", IF(AllData[[#This Row],[Nitrate (PPM)]]&gt;=0, "No evidence"))))</f>
        <v>Very high</v>
      </c>
      <c r="S643" s="108">
        <v>1</v>
      </c>
      <c r="T643" s="7" t="str">
        <f>IF(AllData[[#This Row],[Phosphate (PPM)]]&gt;0.5, "Very high", IF(AllData[[#This Row],[Phosphate (PPM)]]&gt;0.1, "High", IF(AllData[[#This Row],[Phosphate (PPM)]]&gt;0.05, "Some evidence", IF(AllData[[#This Row],[Phosphate (PPM)]]&lt;=0.05, "No Evidence", ""))))</f>
        <v>Very high</v>
      </c>
      <c r="U643">
        <v>0.3</v>
      </c>
      <c r="V643" t="s">
        <v>2553</v>
      </c>
    </row>
    <row r="644" spans="1:22" x14ac:dyDescent="0.35">
      <c r="A644" t="s">
        <v>2549</v>
      </c>
      <c r="B644" s="143">
        <v>45621</v>
      </c>
      <c r="C644" s="2" t="str" cm="1">
        <f t="array" ref="C6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4">
        <f>YEAR(AllData[[#This Row],[Date]])</f>
        <v>2024</v>
      </c>
      <c r="E644" s="1">
        <v>0.44791666666666669</v>
      </c>
      <c r="F644" t="str">
        <f>IF(AND(AllData[[#This Row],[Time]]&lt;0.5, AllData[[#This Row],[Time]]&gt;0.17)=TRUE, "Morning", IF(AND(AllData[[#This Row],[Time]]&lt;0.75, AllData[[#This Row],[Time]]&gt;=0.5)=TRUE, "Afternoon", IF(AND(AllData[[#This Row],[Time]]&lt;1, AllData[[#This Row],[Time]]&gt;=0.75)=TRUE, "Evening", "Night")))</f>
        <v>Morning</v>
      </c>
      <c r="G644" t="str">
        <f>_xlfn.XLOOKUP(AllData[[#This Row],[Location Name]], Locations[Location Name],Locations[Group As])</f>
        <v>Black Bear</v>
      </c>
      <c r="H644" t="e" vm="4">
        <f>_xlfn.XLOOKUP(AllData[[#This Row],[Site Name]],LocationsKey[Site Name],LocationsKey[District])</f>
        <v>#VALUE!</v>
      </c>
      <c r="I644" t="e" vm="4">
        <f>_xlfn.XLOOKUP(AllData[[#This Row],[Site Name]],LocationsKey[Site Name],LocationsKey[Town])</f>
        <v>#VALUE!</v>
      </c>
      <c r="J644" t="str">
        <f>_xlfn.XLOOKUP(AllData[[#This Row],[Site Name]],LocationsKey[Site Name], LocationsKey[Waterway])</f>
        <v>Avon</v>
      </c>
      <c r="K644" t="s">
        <v>1175</v>
      </c>
      <c r="L644">
        <v>51.997419999999998</v>
      </c>
      <c r="M644">
        <v>-2.155945</v>
      </c>
      <c r="N644" t="s">
        <v>25</v>
      </c>
      <c r="O644">
        <v>531</v>
      </c>
      <c r="P644">
        <v>11.1</v>
      </c>
      <c r="Q644">
        <v>5</v>
      </c>
      <c r="R644" s="107" t="str">
        <f>IF(AllData[[#This Row],[Nitrate (PPM)]]&gt;2, "Very high", IF(AllData[[#This Row],[Nitrate (PPM)]]&gt;1, "High", IF(AllData[[#This Row],[Nitrate (PPM)]]&gt;0.5, "Some evidence", IF(AllData[[#This Row],[Nitrate (PPM)]]&gt;=0, "No evidence"))))</f>
        <v>Very high</v>
      </c>
      <c r="S644" s="108">
        <v>1.46</v>
      </c>
      <c r="T644" s="7" t="str">
        <f>IF(AllData[[#This Row],[Phosphate (PPM)]]&gt;0.5, "Very high", IF(AllData[[#This Row],[Phosphate (PPM)]]&gt;0.1, "High", IF(AllData[[#This Row],[Phosphate (PPM)]]&gt;0.05, "Some evidence", IF(AllData[[#This Row],[Phosphate (PPM)]]&lt;=0.05, "No Evidence", ""))))</f>
        <v>Very high</v>
      </c>
      <c r="U644">
        <v>2</v>
      </c>
    </row>
    <row r="645" spans="1:22" x14ac:dyDescent="0.35">
      <c r="A645" t="s">
        <v>2548</v>
      </c>
      <c r="B645" s="143">
        <v>45621</v>
      </c>
      <c r="C645" s="2" t="str" cm="1">
        <f t="array" ref="C6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5">
        <f>YEAR(AllData[[#This Row],[Date]])</f>
        <v>2024</v>
      </c>
      <c r="E645" s="1">
        <v>0.31597222222222221</v>
      </c>
      <c r="F645" t="str">
        <f>IF(AND(AllData[[#This Row],[Time]]&lt;0.5, AllData[[#This Row],[Time]]&gt;0.17)=TRUE, "Morning", IF(AND(AllData[[#This Row],[Time]]&lt;0.75, AllData[[#This Row],[Time]]&gt;=0.5)=TRUE, "Afternoon", IF(AND(AllData[[#This Row],[Time]]&lt;1, AllData[[#This Row],[Time]]&gt;=0.75)=TRUE, "Evening", "Night")))</f>
        <v>Morning</v>
      </c>
      <c r="G645" t="str">
        <f>_xlfn.XLOOKUP(AllData[[#This Row],[Location Name]], Locations[Location Name],Locations[Group As])</f>
        <v>Chipping Campden Lady J Gateway</v>
      </c>
      <c r="H645" t="e" vm="9">
        <f>_xlfn.XLOOKUP(AllData[[#This Row],[Site Name]],LocationsKey[Site Name],LocationsKey[District])</f>
        <v>#VALUE!</v>
      </c>
      <c r="I645" t="e" vm="10">
        <f>_xlfn.XLOOKUP(AllData[[#This Row],[Site Name]],LocationsKey[Site Name],LocationsKey[Town])</f>
        <v>#VALUE!</v>
      </c>
      <c r="J645" t="str">
        <f>_xlfn.XLOOKUP(AllData[[#This Row],[Site Name]],LocationsKey[Site Name], LocationsKey[Waterway])</f>
        <v>Cam Brook</v>
      </c>
      <c r="K645" t="s">
        <v>1573</v>
      </c>
      <c r="N645" t="s">
        <v>68</v>
      </c>
      <c r="O645">
        <v>482</v>
      </c>
      <c r="P645">
        <v>9.1</v>
      </c>
      <c r="Q645">
        <v>5</v>
      </c>
      <c r="R645" s="107" t="str">
        <f>IF(AllData[[#This Row],[Nitrate (PPM)]]&gt;2, "Very high", IF(AllData[[#This Row],[Nitrate (PPM)]]&gt;1, "High", IF(AllData[[#This Row],[Nitrate (PPM)]]&gt;0.5, "Some evidence", IF(AllData[[#This Row],[Nitrate (PPM)]]&gt;=0, "No evidence"))))</f>
        <v>Very high</v>
      </c>
      <c r="S645" s="108">
        <v>0.12</v>
      </c>
      <c r="T645" s="7" t="str">
        <f>IF(AllData[[#This Row],[Phosphate (PPM)]]&gt;0.5, "Very high", IF(AllData[[#This Row],[Phosphate (PPM)]]&gt;0.1, "High", IF(AllData[[#This Row],[Phosphate (PPM)]]&gt;0.05, "Some evidence", IF(AllData[[#This Row],[Phosphate (PPM)]]&lt;=0.05, "No Evidence", ""))))</f>
        <v>High</v>
      </c>
      <c r="U645">
        <v>0.25</v>
      </c>
    </row>
    <row r="646" spans="1:22" x14ac:dyDescent="0.35">
      <c r="A646" t="s">
        <v>2546</v>
      </c>
      <c r="B646" s="143">
        <v>45621</v>
      </c>
      <c r="C646" s="2" t="str" cm="1">
        <f t="array" ref="C6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6">
        <f>YEAR(AllData[[#This Row],[Date]])</f>
        <v>2024</v>
      </c>
      <c r="E646" s="1">
        <v>0.61597222222222225</v>
      </c>
      <c r="F646" t="str">
        <f>IF(AND(AllData[[#This Row],[Time]]&lt;0.5, AllData[[#This Row],[Time]]&gt;0.17)=TRUE, "Morning", IF(AND(AllData[[#This Row],[Time]]&lt;0.75, AllData[[#This Row],[Time]]&gt;=0.5)=TRUE, "Afternoon", IF(AND(AllData[[#This Row],[Time]]&lt;1, AllData[[#This Row],[Time]]&gt;=0.75)=TRUE, "Evening", "Night")))</f>
        <v>Afternoon</v>
      </c>
      <c r="G646" t="str">
        <f>_xlfn.XLOOKUP(AllData[[#This Row],[Location Name]], Locations[Location Name],Locations[Group As])</f>
        <v>Carrant Mitton Path</v>
      </c>
      <c r="H646" t="e" vm="4">
        <f>_xlfn.XLOOKUP(AllData[[#This Row],[Site Name]],LocationsKey[Site Name],LocationsKey[District])</f>
        <v>#VALUE!</v>
      </c>
      <c r="I646" t="e" vm="4">
        <f>_xlfn.XLOOKUP(AllData[[#This Row],[Site Name]],LocationsKey[Site Name],LocationsKey[Town])</f>
        <v>#VALUE!</v>
      </c>
      <c r="J646" t="str">
        <f>_xlfn.XLOOKUP(AllData[[#This Row],[Site Name]],LocationsKey[Site Name], LocationsKey[Waterway])</f>
        <v>Carrant</v>
      </c>
      <c r="K646" t="s">
        <v>1064</v>
      </c>
      <c r="L646">
        <v>51.999749000000001</v>
      </c>
      <c r="M646">
        <v>-2.140892</v>
      </c>
      <c r="N646" t="s">
        <v>31</v>
      </c>
      <c r="O646">
        <v>4220</v>
      </c>
      <c r="P646">
        <v>10.3</v>
      </c>
      <c r="Q646">
        <v>2</v>
      </c>
      <c r="R646" s="107" t="str">
        <f>IF(AllData[[#This Row],[Nitrate (PPM)]]&gt;2, "Very high", IF(AllData[[#This Row],[Nitrate (PPM)]]&gt;1, "High", IF(AllData[[#This Row],[Nitrate (PPM)]]&gt;0.5, "Some evidence", IF(AllData[[#This Row],[Nitrate (PPM)]]&gt;=0, "No evidence"))))</f>
        <v>High</v>
      </c>
      <c r="S646" s="108">
        <v>0.61</v>
      </c>
      <c r="T646" s="7" t="str">
        <f>IF(AllData[[#This Row],[Phosphate (PPM)]]&gt;0.5, "Very high", IF(AllData[[#This Row],[Phosphate (PPM)]]&gt;0.1, "High", IF(AllData[[#This Row],[Phosphate (PPM)]]&gt;0.05, "Some evidence", IF(AllData[[#This Row],[Phosphate (PPM)]]&lt;=0.05, "No Evidence", ""))))</f>
        <v>Very high</v>
      </c>
      <c r="U646">
        <v>0</v>
      </c>
      <c r="V646" t="s">
        <v>2547</v>
      </c>
    </row>
    <row r="647" spans="1:22" x14ac:dyDescent="0.35">
      <c r="A647" t="s">
        <v>2554</v>
      </c>
      <c r="B647" s="143">
        <v>45621</v>
      </c>
      <c r="C647" s="2" t="str" cm="1">
        <f t="array" ref="C6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7">
        <f>YEAR(AllData[[#This Row],[Date]])</f>
        <v>2024</v>
      </c>
      <c r="E647" s="1">
        <v>0.31736111111111109</v>
      </c>
      <c r="F647" t="str">
        <f>IF(AND(AllData[[#This Row],[Time]]&lt;0.5, AllData[[#This Row],[Time]]&gt;0.17)=TRUE, "Morning", IF(AND(AllData[[#This Row],[Time]]&lt;0.75, AllData[[#This Row],[Time]]&gt;=0.5)=TRUE, "Afternoon", IF(AND(AllData[[#This Row],[Time]]&lt;1, AllData[[#This Row],[Time]]&gt;=0.75)=TRUE, "Evening", "Night")))</f>
        <v>Morning</v>
      </c>
      <c r="G647" t="str">
        <f>_xlfn.XLOOKUP(AllData[[#This Row],[Location Name]], Locations[Location Name],Locations[Group As])</f>
        <v>Site 2  :  Cross Leys culvert</v>
      </c>
      <c r="H647" t="e" vm="1">
        <f>_xlfn.XLOOKUP(AllData[[#This Row],[Site Name]],LocationsKey[Site Name],LocationsKey[District])</f>
        <v>#VALUE!</v>
      </c>
      <c r="I647" t="e" vm="14">
        <f>_xlfn.XLOOKUP(AllData[[#This Row],[Site Name]],LocationsKey[Site Name],LocationsKey[Town])</f>
        <v>#VALUE!</v>
      </c>
      <c r="J647" t="str">
        <f>_xlfn.XLOOKUP(AllData[[#This Row],[Site Name]],LocationsKey[Site Name], LocationsKey[Waterway])</f>
        <v>Fosseway Brook</v>
      </c>
      <c r="K647" t="s">
        <v>1951</v>
      </c>
      <c r="L647">
        <v>52.092956999999998</v>
      </c>
      <c r="M647">
        <v>-1.6862980000000001</v>
      </c>
      <c r="N647" t="s">
        <v>68</v>
      </c>
      <c r="O647">
        <v>575</v>
      </c>
      <c r="P647">
        <v>10.4</v>
      </c>
      <c r="Q647">
        <v>2</v>
      </c>
      <c r="R647" s="107" t="str">
        <f>IF(AllData[[#This Row],[Nitrate (PPM)]]&gt;2, "Very high", IF(AllData[[#This Row],[Nitrate (PPM)]]&gt;1, "High", IF(AllData[[#This Row],[Nitrate (PPM)]]&gt;0.5, "Some evidence", IF(AllData[[#This Row],[Nitrate (PPM)]]&gt;=0, "No evidence"))))</f>
        <v>High</v>
      </c>
      <c r="S647" s="108">
        <v>0.47</v>
      </c>
      <c r="T647" s="7" t="str">
        <f>IF(AllData[[#This Row],[Phosphate (PPM)]]&gt;0.5, "Very high", IF(AllData[[#This Row],[Phosphate (PPM)]]&gt;0.1, "High", IF(AllData[[#This Row],[Phosphate (PPM)]]&gt;0.05, "Some evidence", IF(AllData[[#This Row],[Phosphate (PPM)]]&lt;=0.05, "No Evidence", ""))))</f>
        <v>High</v>
      </c>
      <c r="U647">
        <v>0.3</v>
      </c>
      <c r="V647" t="s">
        <v>430</v>
      </c>
    </row>
    <row r="648" spans="1:22" x14ac:dyDescent="0.35">
      <c r="A648" t="s">
        <v>2550</v>
      </c>
      <c r="B648" s="143">
        <v>45621</v>
      </c>
      <c r="C648" s="2" t="str" cm="1">
        <f t="array" ref="C6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8">
        <f>YEAR(AllData[[#This Row],[Date]])</f>
        <v>2024</v>
      </c>
      <c r="E648" s="1">
        <v>0.34375</v>
      </c>
      <c r="F648" t="str">
        <f>IF(AND(AllData[[#This Row],[Time]]&lt;0.5, AllData[[#This Row],[Time]]&gt;0.17)=TRUE, "Morning", IF(AND(AllData[[#This Row],[Time]]&lt;0.75, AllData[[#This Row],[Time]]&gt;=0.5)=TRUE, "Afternoon", IF(AND(AllData[[#This Row],[Time]]&lt;1, AllData[[#This Row],[Time]]&gt;=0.75)=TRUE, "Evening", "Night")))</f>
        <v>Morning</v>
      </c>
      <c r="G648" t="str">
        <f>_xlfn.XLOOKUP(AllData[[#This Row],[Location Name]], Locations[Location Name],Locations[Group As])</f>
        <v>Chipping Campden Sewage Works</v>
      </c>
      <c r="H648" t="e" vm="9">
        <f>_xlfn.XLOOKUP(AllData[[#This Row],[Site Name]],LocationsKey[Site Name],LocationsKey[District])</f>
        <v>#VALUE!</v>
      </c>
      <c r="I648" t="e" vm="10">
        <f>_xlfn.XLOOKUP(AllData[[#This Row],[Site Name]],LocationsKey[Site Name],LocationsKey[Town])</f>
        <v>#VALUE!</v>
      </c>
      <c r="J648" t="str">
        <f>_xlfn.XLOOKUP(AllData[[#This Row],[Site Name]],LocationsKey[Site Name], LocationsKey[Waterway])</f>
        <v>Cam Brook</v>
      </c>
      <c r="K648" t="s">
        <v>1570</v>
      </c>
      <c r="N648" t="s">
        <v>31</v>
      </c>
      <c r="O648">
        <v>521</v>
      </c>
      <c r="P648">
        <v>10.6</v>
      </c>
      <c r="Q648">
        <v>2</v>
      </c>
      <c r="R648" s="107" t="str">
        <f>IF(AllData[[#This Row],[Nitrate (PPM)]]&gt;2, "Very high", IF(AllData[[#This Row],[Nitrate (PPM)]]&gt;1, "High", IF(AllData[[#This Row],[Nitrate (PPM)]]&gt;0.5, "Some evidence", IF(AllData[[#This Row],[Nitrate (PPM)]]&gt;=0, "No evidence"))))</f>
        <v>High</v>
      </c>
      <c r="S648" s="108">
        <v>0.2</v>
      </c>
      <c r="T648" s="7" t="str">
        <f>IF(AllData[[#This Row],[Phosphate (PPM)]]&gt;0.5, "Very high", IF(AllData[[#This Row],[Phosphate (PPM)]]&gt;0.1, "High", IF(AllData[[#This Row],[Phosphate (PPM)]]&gt;0.05, "Some evidence", IF(AllData[[#This Row],[Phosphate (PPM)]]&lt;=0.05, "No Evidence", ""))))</f>
        <v>High</v>
      </c>
      <c r="U648">
        <v>0.49</v>
      </c>
      <c r="V648" t="s">
        <v>2551</v>
      </c>
    </row>
    <row r="649" spans="1:22" x14ac:dyDescent="0.35">
      <c r="A649" t="s">
        <v>2555</v>
      </c>
      <c r="B649" s="143">
        <v>45621</v>
      </c>
      <c r="C649" s="2" t="str" cm="1">
        <f t="array" ref="C6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49">
        <f>YEAR(AllData[[#This Row],[Date]])</f>
        <v>2024</v>
      </c>
      <c r="E649" s="1">
        <v>0.31111111111111112</v>
      </c>
      <c r="F649" t="str">
        <f>IF(AND(AllData[[#This Row],[Time]]&lt;0.5, AllData[[#This Row],[Time]]&gt;0.17)=TRUE, "Morning", IF(AND(AllData[[#This Row],[Time]]&lt;0.75, AllData[[#This Row],[Time]]&gt;=0.5)=TRUE, "Afternoon", IF(AND(AllData[[#This Row],[Time]]&lt;1, AllData[[#This Row],[Time]]&gt;=0.75)=TRUE, "Evening", "Night")))</f>
        <v>Morning</v>
      </c>
      <c r="G649" t="str">
        <f>_xlfn.XLOOKUP(AllData[[#This Row],[Location Name]], Locations[Location Name],Locations[Group As])</f>
        <v>Site 1  :  Middle Street</v>
      </c>
      <c r="H649" t="e" vm="1">
        <f>_xlfn.XLOOKUP(AllData[[#This Row],[Site Name]],LocationsKey[Site Name],LocationsKey[District])</f>
        <v>#VALUE!</v>
      </c>
      <c r="I649" t="e" vm="14">
        <f>_xlfn.XLOOKUP(AllData[[#This Row],[Site Name]],LocationsKey[Site Name],LocationsKey[Town])</f>
        <v>#VALUE!</v>
      </c>
      <c r="J649" t="str">
        <f>_xlfn.XLOOKUP(AllData[[#This Row],[Site Name]],LocationsKey[Site Name], LocationsKey[Waterway])</f>
        <v>Fosseway Brook</v>
      </c>
      <c r="K649" t="s">
        <v>678</v>
      </c>
      <c r="L649">
        <v>52.090065000000003</v>
      </c>
      <c r="M649">
        <v>-1.6926220000000001</v>
      </c>
      <c r="N649" t="s">
        <v>68</v>
      </c>
      <c r="O649">
        <v>511</v>
      </c>
      <c r="P649">
        <v>10.5</v>
      </c>
      <c r="Q649">
        <v>2</v>
      </c>
      <c r="R649" s="107" t="str">
        <f>IF(AllData[[#This Row],[Nitrate (PPM)]]&gt;2, "Very high", IF(AllData[[#This Row],[Nitrate (PPM)]]&gt;1, "High", IF(AllData[[#This Row],[Nitrate (PPM)]]&gt;0.5, "Some evidence", IF(AllData[[#This Row],[Nitrate (PPM)]]&gt;=0, "No evidence"))))</f>
        <v>High</v>
      </c>
      <c r="S649" s="108">
        <v>0.28999999999999998</v>
      </c>
      <c r="T649" s="7" t="str">
        <f>IF(AllData[[#This Row],[Phosphate (PPM)]]&gt;0.5, "Very high", IF(AllData[[#This Row],[Phosphate (PPM)]]&gt;0.1, "High", IF(AllData[[#This Row],[Phosphate (PPM)]]&gt;0.05, "Some evidence", IF(AllData[[#This Row],[Phosphate (PPM)]]&lt;=0.05, "No Evidence", ""))))</f>
        <v>High</v>
      </c>
      <c r="U649">
        <v>0.2</v>
      </c>
      <c r="V649" t="s">
        <v>2556</v>
      </c>
    </row>
    <row r="650" spans="1:22" x14ac:dyDescent="0.35">
      <c r="A650" t="s">
        <v>2557</v>
      </c>
      <c r="B650" s="143">
        <v>45621</v>
      </c>
      <c r="C650" s="2" t="str" cm="1">
        <f t="array" ref="C6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0">
        <f>YEAR(AllData[[#This Row],[Date]])</f>
        <v>2024</v>
      </c>
      <c r="E650" s="1">
        <v>0.34027777777777779</v>
      </c>
      <c r="F650" t="str">
        <f>IF(AND(AllData[[#This Row],[Time]]&lt;0.5, AllData[[#This Row],[Time]]&gt;0.17)=TRUE, "Morning", IF(AND(AllData[[#This Row],[Time]]&lt;0.75, AllData[[#This Row],[Time]]&gt;=0.5)=TRUE, "Afternoon", IF(AND(AllData[[#This Row],[Time]]&lt;1, AllData[[#This Row],[Time]]&gt;=0.75)=TRUE, "Evening", "Night")))</f>
        <v>Morning</v>
      </c>
      <c r="G650" t="str">
        <f>_xlfn.XLOOKUP(AllData[[#This Row],[Location Name]], Locations[Location Name],Locations[Group As])</f>
        <v>Chipping Campden Craves</v>
      </c>
      <c r="H650" t="e" vm="9">
        <f>_xlfn.XLOOKUP(AllData[[#This Row],[Site Name]],LocationsKey[Site Name],LocationsKey[District])</f>
        <v>#VALUE!</v>
      </c>
      <c r="I650" t="e" vm="10">
        <f>_xlfn.XLOOKUP(AllData[[#This Row],[Site Name]],LocationsKey[Site Name],LocationsKey[Town])</f>
        <v>#VALUE!</v>
      </c>
      <c r="J650" t="str">
        <f>_xlfn.XLOOKUP(AllData[[#This Row],[Site Name]],LocationsKey[Site Name], LocationsKey[Waterway])</f>
        <v>Cam Brook</v>
      </c>
      <c r="K650" t="s">
        <v>2558</v>
      </c>
      <c r="L650">
        <v>52.048741999999997</v>
      </c>
      <c r="M650">
        <v>-1.786305</v>
      </c>
      <c r="N650" t="s">
        <v>68</v>
      </c>
      <c r="O650">
        <v>464</v>
      </c>
      <c r="P650">
        <v>8.9</v>
      </c>
      <c r="Q650">
        <v>2</v>
      </c>
      <c r="R650" s="107" t="str">
        <f>IF(AllData[[#This Row],[Nitrate (PPM)]]&gt;2, "Very high", IF(AllData[[#This Row],[Nitrate (PPM)]]&gt;1, "High", IF(AllData[[#This Row],[Nitrate (PPM)]]&gt;0.5, "Some evidence", IF(AllData[[#This Row],[Nitrate (PPM)]]&gt;=0, "No evidence"))))</f>
        <v>High</v>
      </c>
      <c r="S650" s="108">
        <v>0.1</v>
      </c>
      <c r="T650" s="7" t="str">
        <f>IF(AllData[[#This Row],[Phosphate (PPM)]]&gt;0.5, "Very high", IF(AllData[[#This Row],[Phosphate (PPM)]]&gt;0.1, "High", IF(AllData[[#This Row],[Phosphate (PPM)]]&gt;0.05, "Some evidence", IF(AllData[[#This Row],[Phosphate (PPM)]]&lt;=0.05, "No Evidence", ""))))</f>
        <v>Some evidence</v>
      </c>
      <c r="U650">
        <v>27</v>
      </c>
    </row>
    <row r="651" spans="1:22" x14ac:dyDescent="0.35">
      <c r="A651" t="s">
        <v>2559</v>
      </c>
      <c r="B651" s="143">
        <v>45621</v>
      </c>
      <c r="C651" s="2" t="str" cm="1">
        <f t="array" ref="C6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1">
        <f>YEAR(AllData[[#This Row],[Date]])</f>
        <v>2024</v>
      </c>
      <c r="E651" s="1">
        <v>0.48472222222222222</v>
      </c>
      <c r="F651" t="str">
        <f>IF(AND(AllData[[#This Row],[Time]]&lt;0.5, AllData[[#This Row],[Time]]&gt;0.17)=TRUE, "Morning", IF(AND(AllData[[#This Row],[Time]]&lt;0.75, AllData[[#This Row],[Time]]&gt;=0.5)=TRUE, "Afternoon", IF(AND(AllData[[#This Row],[Time]]&lt;1, AllData[[#This Row],[Time]]&gt;=0.75)=TRUE, "Evening", "Night")))</f>
        <v>Morning</v>
      </c>
      <c r="G651" t="str">
        <f>_xlfn.XLOOKUP(AllData[[#This Row],[Location Name]], Locations[Location Name],Locations[Group As])</f>
        <v>School Lane</v>
      </c>
      <c r="H651" t="e" vm="1">
        <f>_xlfn.XLOOKUP(AllData[[#This Row],[Site Name]],LocationsKey[Site Name],LocationsKey[District])</f>
        <v>#VALUE!</v>
      </c>
      <c r="I651" t="e" vm="3">
        <f>_xlfn.XLOOKUP(AllData[[#This Row],[Site Name]],LocationsKey[Site Name],LocationsKey[Town])</f>
        <v>#VALUE!</v>
      </c>
      <c r="J651" t="str">
        <f>_xlfn.XLOOKUP(AllData[[#This Row],[Site Name]],LocationsKey[Site Name], LocationsKey[Waterway])</f>
        <v>Avon</v>
      </c>
      <c r="K651" t="s">
        <v>2522</v>
      </c>
      <c r="L651">
        <v>52.202424999999998</v>
      </c>
      <c r="M651">
        <v>-1.6786799999999999</v>
      </c>
      <c r="N651" t="s">
        <v>31</v>
      </c>
      <c r="O651">
        <v>495</v>
      </c>
      <c r="P651">
        <v>10.199999999999999</v>
      </c>
      <c r="Q651">
        <v>0</v>
      </c>
      <c r="R651" s="107" t="str">
        <f>IF(AllData[[#This Row],[Nitrate (PPM)]]&gt;2, "Very high", IF(AllData[[#This Row],[Nitrate (PPM)]]&gt;1, "High", IF(AllData[[#This Row],[Nitrate (PPM)]]&gt;0.5, "Some evidence", IF(AllData[[#This Row],[Nitrate (PPM)]]&gt;=0, "No evidence"))))</f>
        <v>No evidence</v>
      </c>
      <c r="S651" s="108">
        <v>0.8</v>
      </c>
      <c r="T651" s="7" t="str">
        <f>IF(AllData[[#This Row],[Phosphate (PPM)]]&gt;0.5, "Very high", IF(AllData[[#This Row],[Phosphate (PPM)]]&gt;0.1, "High", IF(AllData[[#This Row],[Phosphate (PPM)]]&gt;0.05, "Some evidence", IF(AllData[[#This Row],[Phosphate (PPM)]]&lt;=0.05, "No Evidence", ""))))</f>
        <v>Very high</v>
      </c>
      <c r="U651">
        <v>1.33</v>
      </c>
    </row>
    <row r="652" spans="1:22" x14ac:dyDescent="0.35">
      <c r="A652" t="s">
        <v>2545</v>
      </c>
      <c r="B652" s="143">
        <v>45621</v>
      </c>
      <c r="C652" s="2" t="str" cm="1">
        <f t="array" ref="C6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2">
        <f>YEAR(AllData[[#This Row],[Date]])</f>
        <v>2024</v>
      </c>
      <c r="E652" s="1">
        <v>0.48680555555555555</v>
      </c>
      <c r="F652" t="str">
        <f>IF(AND(AllData[[#This Row],[Time]]&lt;0.5, AllData[[#This Row],[Time]]&gt;0.17)=TRUE, "Morning", IF(AND(AllData[[#This Row],[Time]]&lt;0.75, AllData[[#This Row],[Time]]&gt;=0.5)=TRUE, "Afternoon", IF(AND(AllData[[#This Row],[Time]]&lt;1, AllData[[#This Row],[Time]]&gt;=0.75)=TRUE, "Evening", "Night")))</f>
        <v>Morning</v>
      </c>
      <c r="G652" t="str">
        <f>_xlfn.XLOOKUP(AllData[[#This Row],[Location Name]], Locations[Location Name],Locations[Group As])</f>
        <v>Carters Lane</v>
      </c>
      <c r="H652" t="e" vm="1">
        <f>_xlfn.XLOOKUP(AllData[[#This Row],[Site Name]],LocationsKey[Site Name],LocationsKey[District])</f>
        <v>#VALUE!</v>
      </c>
      <c r="I652" t="e" vm="3">
        <f>_xlfn.XLOOKUP(AllData[[#This Row],[Site Name]],LocationsKey[Site Name],LocationsKey[Town])</f>
        <v>#VALUE!</v>
      </c>
      <c r="J652" t="str">
        <f>_xlfn.XLOOKUP(AllData[[#This Row],[Site Name]],LocationsKey[Site Name], LocationsKey[Waterway])</f>
        <v>Avon</v>
      </c>
      <c r="K652" t="s">
        <v>2520</v>
      </c>
      <c r="L652">
        <v>52.202409000000003</v>
      </c>
      <c r="M652">
        <v>-1.6761680000000001</v>
      </c>
      <c r="N652" t="s">
        <v>68</v>
      </c>
      <c r="O652">
        <v>490</v>
      </c>
      <c r="P652">
        <v>10.6</v>
      </c>
      <c r="Q652">
        <v>0</v>
      </c>
      <c r="R652" s="107" t="str">
        <f>IF(AllData[[#This Row],[Nitrate (PPM)]]&gt;2, "Very high", IF(AllData[[#This Row],[Nitrate (PPM)]]&gt;1, "High", IF(AllData[[#This Row],[Nitrate (PPM)]]&gt;0.5, "Some evidence", IF(AllData[[#This Row],[Nitrate (PPM)]]&gt;=0, "No evidence"))))</f>
        <v>No evidence</v>
      </c>
      <c r="S652" s="108">
        <v>0.9</v>
      </c>
      <c r="T652" s="7" t="str">
        <f>IF(AllData[[#This Row],[Phosphate (PPM)]]&gt;0.5, "Very high", IF(AllData[[#This Row],[Phosphate (PPM)]]&gt;0.1, "High", IF(AllData[[#This Row],[Phosphate (PPM)]]&gt;0.05, "Some evidence", IF(AllData[[#This Row],[Phosphate (PPM)]]&lt;=0.05, "No Evidence", ""))))</f>
        <v>Very high</v>
      </c>
      <c r="U652">
        <v>1.33</v>
      </c>
    </row>
    <row r="653" spans="1:22" x14ac:dyDescent="0.35">
      <c r="A653" t="s">
        <v>2543</v>
      </c>
      <c r="B653" s="143">
        <v>45620</v>
      </c>
      <c r="C653" s="2" t="str" cm="1">
        <f t="array" ref="C6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3">
        <f>YEAR(AllData[[#This Row],[Date]])</f>
        <v>2024</v>
      </c>
      <c r="E653" s="1">
        <v>0.47361111111111109</v>
      </c>
      <c r="F653" t="str">
        <f>IF(AND(AllData[[#This Row],[Time]]&lt;0.5, AllData[[#This Row],[Time]]&gt;0.17)=TRUE, "Morning", IF(AND(AllData[[#This Row],[Time]]&lt;0.75, AllData[[#This Row],[Time]]&gt;=0.5)=TRUE, "Afternoon", IF(AND(AllData[[#This Row],[Time]]&lt;1, AllData[[#This Row],[Time]]&gt;=0.75)=TRUE, "Evening", "Night")))</f>
        <v>Morning</v>
      </c>
      <c r="G653" t="str">
        <f>_xlfn.XLOOKUP(AllData[[#This Row],[Location Name]], Locations[Location Name],Locations[Group As])</f>
        <v>Carrant Back Lane Beckford</v>
      </c>
      <c r="H653" t="e" vm="4">
        <f>_xlfn.XLOOKUP(AllData[[#This Row],[Site Name]],LocationsKey[Site Name],LocationsKey[District])</f>
        <v>#VALUE!</v>
      </c>
      <c r="I653" t="str">
        <f>_xlfn.XLOOKUP(AllData[[#This Row],[Site Name]],LocationsKey[Site Name],LocationsKey[Town])</f>
        <v>Beckford</v>
      </c>
      <c r="J653" t="str">
        <f>_xlfn.XLOOKUP(AllData[[#This Row],[Site Name]],LocationsKey[Site Name], LocationsKey[Waterway])</f>
        <v>Carrant</v>
      </c>
      <c r="K653" t="s">
        <v>1736</v>
      </c>
      <c r="L653">
        <v>52.018441000000003</v>
      </c>
      <c r="M653">
        <v>-2.0387629999999999</v>
      </c>
      <c r="N653" t="s">
        <v>68</v>
      </c>
      <c r="O653">
        <v>420</v>
      </c>
      <c r="P653">
        <v>13.1</v>
      </c>
      <c r="Q653">
        <v>5</v>
      </c>
      <c r="R653" s="107" t="str">
        <f>IF(AllData[[#This Row],[Nitrate (PPM)]]&gt;2, "Very high", IF(AllData[[#This Row],[Nitrate (PPM)]]&gt;1, "High", IF(AllData[[#This Row],[Nitrate (PPM)]]&gt;0.5, "Some evidence", IF(AllData[[#This Row],[Nitrate (PPM)]]&gt;=0, "No evidence"))))</f>
        <v>Very high</v>
      </c>
      <c r="S653" s="108">
        <v>0.04</v>
      </c>
      <c r="T653" s="7" t="str">
        <f>IF(AllData[[#This Row],[Phosphate (PPM)]]&gt;0.5, "Very high", IF(AllData[[#This Row],[Phosphate (PPM)]]&gt;0.1, "High", IF(AllData[[#This Row],[Phosphate (PPM)]]&gt;0.05, "Some evidence", IF(AllData[[#This Row],[Phosphate (PPM)]]&lt;=0.05, "No Evidence", ""))))</f>
        <v>No Evidence</v>
      </c>
      <c r="U653">
        <v>1.66</v>
      </c>
      <c r="V653" t="s">
        <v>2544</v>
      </c>
    </row>
    <row r="654" spans="1:22" x14ac:dyDescent="0.35">
      <c r="A654" t="s">
        <v>2541</v>
      </c>
      <c r="B654" s="143">
        <v>45620</v>
      </c>
      <c r="C654" s="2" t="str" cm="1">
        <f t="array" ref="C6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4">
        <f>YEAR(AllData[[#This Row],[Date]])</f>
        <v>2024</v>
      </c>
      <c r="E654" s="1">
        <v>0.41666666666666669</v>
      </c>
      <c r="F654" t="str">
        <f>IF(AND(AllData[[#This Row],[Time]]&lt;0.5, AllData[[#This Row],[Time]]&gt;0.17)=TRUE, "Morning", IF(AND(AllData[[#This Row],[Time]]&lt;0.75, AllData[[#This Row],[Time]]&gt;=0.5)=TRUE, "Afternoon", IF(AND(AllData[[#This Row],[Time]]&lt;1, AllData[[#This Row],[Time]]&gt;=0.75)=TRUE, "Evening", "Night")))</f>
        <v>Morning</v>
      </c>
      <c r="G654" t="str">
        <f>_xlfn.XLOOKUP(AllData[[#This Row],[Location Name]], Locations[Location Name],Locations[Group As])</f>
        <v>Sherbourne Brook 1</v>
      </c>
      <c r="H654" t="e" vm="1">
        <f>_xlfn.XLOOKUP(AllData[[#This Row],[Site Name]],LocationsKey[Site Name],LocationsKey[District])</f>
        <v>#VALUE!</v>
      </c>
      <c r="I654" t="e" vm="23">
        <f>_xlfn.XLOOKUP(AllData[[#This Row],[Site Name]],LocationsKey[Site Name],LocationsKey[Town])</f>
        <v>#VALUE!</v>
      </c>
      <c r="J654" t="str">
        <f>_xlfn.XLOOKUP(AllData[[#This Row],[Site Name]],LocationsKey[Site Name], LocationsKey[Waterway])</f>
        <v>Sherbourne Brook</v>
      </c>
      <c r="K654" t="s">
        <v>541</v>
      </c>
      <c r="O654">
        <v>272</v>
      </c>
      <c r="P654">
        <v>12.5</v>
      </c>
      <c r="Q654">
        <v>3</v>
      </c>
      <c r="R654" s="107" t="str">
        <f>IF(AllData[[#This Row],[Nitrate (PPM)]]&gt;2, "Very high", IF(AllData[[#This Row],[Nitrate (PPM)]]&gt;1, "High", IF(AllData[[#This Row],[Nitrate (PPM)]]&gt;0.5, "Some evidence", IF(AllData[[#This Row],[Nitrate (PPM)]]&gt;=0, "No evidence"))))</f>
        <v>Very high</v>
      </c>
      <c r="S654" s="108">
        <v>0.98</v>
      </c>
      <c r="T654" s="7" t="str">
        <f>IF(AllData[[#This Row],[Phosphate (PPM)]]&gt;0.5, "Very high", IF(AllData[[#This Row],[Phosphate (PPM)]]&gt;0.1, "High", IF(AllData[[#This Row],[Phosphate (PPM)]]&gt;0.05, "Some evidence", IF(AllData[[#This Row],[Phosphate (PPM)]]&lt;=0.05, "No Evidence", ""))))</f>
        <v>Very high</v>
      </c>
      <c r="U654">
        <v>0.35</v>
      </c>
      <c r="V654" t="s">
        <v>2542</v>
      </c>
    </row>
    <row r="655" spans="1:22" x14ac:dyDescent="0.35">
      <c r="A655" t="s">
        <v>2539</v>
      </c>
      <c r="B655" s="143">
        <v>45620</v>
      </c>
      <c r="C655" s="2" t="str" cm="1">
        <f t="array" ref="C6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5">
        <f>YEAR(AllData[[#This Row],[Date]])</f>
        <v>2024</v>
      </c>
      <c r="E655" s="1">
        <v>0.42708333333333331</v>
      </c>
      <c r="F655" t="str">
        <f>IF(AND(AllData[[#This Row],[Time]]&lt;0.5, AllData[[#This Row],[Time]]&gt;0.17)=TRUE, "Morning", IF(AND(AllData[[#This Row],[Time]]&lt;0.75, AllData[[#This Row],[Time]]&gt;=0.5)=TRUE, "Afternoon", IF(AND(AllData[[#This Row],[Time]]&lt;1, AllData[[#This Row],[Time]]&gt;=0.75)=TRUE, "Evening", "Night")))</f>
        <v>Morning</v>
      </c>
      <c r="G655" t="str">
        <f>_xlfn.XLOOKUP(AllData[[#This Row],[Location Name]], Locations[Location Name],Locations[Group As])</f>
        <v>Bell Brook 1</v>
      </c>
      <c r="H655" t="e" vm="1">
        <f>_xlfn.XLOOKUP(AllData[[#This Row],[Site Name]],LocationsKey[Site Name],LocationsKey[District])</f>
        <v>#VALUE!</v>
      </c>
      <c r="I655" t="e" vm="19">
        <f>_xlfn.XLOOKUP(AllData[[#This Row],[Site Name]],LocationsKey[Site Name],LocationsKey[Town])</f>
        <v>#VALUE!</v>
      </c>
      <c r="J655" t="str">
        <f>_xlfn.XLOOKUP(AllData[[#This Row],[Site Name]],LocationsKey[Site Name], LocationsKey[Waterway])</f>
        <v>Bell Brook</v>
      </c>
      <c r="K655" t="s">
        <v>538</v>
      </c>
      <c r="O655">
        <v>245</v>
      </c>
      <c r="P655">
        <v>13.3</v>
      </c>
      <c r="Q655">
        <v>2</v>
      </c>
      <c r="R655" s="107" t="str">
        <f>IF(AllData[[#This Row],[Nitrate (PPM)]]&gt;2, "Very high", IF(AllData[[#This Row],[Nitrate (PPM)]]&gt;1, "High", IF(AllData[[#This Row],[Nitrate (PPM)]]&gt;0.5, "Some evidence", IF(AllData[[#This Row],[Nitrate (PPM)]]&gt;=0, "No evidence"))))</f>
        <v>High</v>
      </c>
      <c r="S655" s="108"/>
      <c r="T655" s="7"/>
      <c r="U655">
        <v>0.35</v>
      </c>
      <c r="V655" t="s">
        <v>2540</v>
      </c>
    </row>
    <row r="656" spans="1:22" x14ac:dyDescent="0.35">
      <c r="A656" t="s">
        <v>2529</v>
      </c>
      <c r="B656" s="143">
        <v>45619</v>
      </c>
      <c r="C656" s="2" t="str" cm="1">
        <f t="array" ref="C6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6">
        <f>YEAR(AllData[[#This Row],[Date]])</f>
        <v>2024</v>
      </c>
      <c r="E656" s="1">
        <v>0.46875</v>
      </c>
      <c r="F656" t="str">
        <f>IF(AND(AllData[[#This Row],[Time]]&lt;0.5, AllData[[#This Row],[Time]]&gt;0.17)=TRUE, "Morning", IF(AND(AllData[[#This Row],[Time]]&lt;0.75, AllData[[#This Row],[Time]]&gt;=0.5)=TRUE, "Afternoon", IF(AND(AllData[[#This Row],[Time]]&lt;1, AllData[[#This Row],[Time]]&gt;=0.75)=TRUE, "Evening", "Night")))</f>
        <v>Morning</v>
      </c>
      <c r="G656" t="str">
        <f>_xlfn.XLOOKUP(AllData[[#This Row],[Location Name]], Locations[Location Name],Locations[Group As])</f>
        <v>Avonbank Drive</v>
      </c>
      <c r="H656" t="e" vm="1">
        <f>_xlfn.XLOOKUP(AllData[[#This Row],[Site Name]],LocationsKey[Site Name],LocationsKey[District])</f>
        <v>#VALUE!</v>
      </c>
      <c r="I656" t="e" vm="12">
        <f>_xlfn.XLOOKUP(AllData[[#This Row],[Site Name]],LocationsKey[Site Name],LocationsKey[Town])</f>
        <v>#VALUE!</v>
      </c>
      <c r="J656" t="str">
        <f>_xlfn.XLOOKUP(AllData[[#This Row],[Site Name]],LocationsKey[Site Name], LocationsKey[Waterway])</f>
        <v>Avon</v>
      </c>
      <c r="K656" t="s">
        <v>2530</v>
      </c>
      <c r="L656">
        <v>52.177174999999998</v>
      </c>
      <c r="M656">
        <v>-1.7357860000000001</v>
      </c>
      <c r="N656" t="s">
        <v>68</v>
      </c>
      <c r="O656">
        <v>780</v>
      </c>
      <c r="P656">
        <v>7.4</v>
      </c>
      <c r="Q656">
        <v>8</v>
      </c>
      <c r="R656" s="107" t="str">
        <f>IF(AllData[[#This Row],[Nitrate (PPM)]]&gt;2, "Very high", IF(AllData[[#This Row],[Nitrate (PPM)]]&gt;1, "High", IF(AllData[[#This Row],[Nitrate (PPM)]]&gt;0.5, "Some evidence", IF(AllData[[#This Row],[Nitrate (PPM)]]&gt;=0, "No evidence"))))</f>
        <v>Very high</v>
      </c>
      <c r="S656" s="108">
        <v>0.45</v>
      </c>
      <c r="T656" s="7" t="str">
        <f>IF(AllData[[#This Row],[Phosphate (PPM)]]&gt;0.5, "Very high", IF(AllData[[#This Row],[Phosphate (PPM)]]&gt;0.1, "High", IF(AllData[[#This Row],[Phosphate (PPM)]]&gt;0.05, "Some evidence", IF(AllData[[#This Row],[Phosphate (PPM)]]&lt;=0.05, "No Evidence", ""))))</f>
        <v>High</v>
      </c>
      <c r="U656">
        <v>0.78</v>
      </c>
    </row>
    <row r="657" spans="1:22" x14ac:dyDescent="0.35">
      <c r="A657" t="s">
        <v>2535</v>
      </c>
      <c r="B657" s="143">
        <v>45619</v>
      </c>
      <c r="C657" s="2" t="str" cm="1">
        <f t="array" ref="C6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7">
        <f>YEAR(AllData[[#This Row],[Date]])</f>
        <v>2024</v>
      </c>
      <c r="E657" s="1">
        <v>0.46041666666666664</v>
      </c>
      <c r="F657" t="str">
        <f>IF(AND(AllData[[#This Row],[Time]]&lt;0.5, AllData[[#This Row],[Time]]&gt;0.17)=TRUE, "Morning", IF(AND(AllData[[#This Row],[Time]]&lt;0.75, AllData[[#This Row],[Time]]&gt;=0.5)=TRUE, "Afternoon", IF(AND(AllData[[#This Row],[Time]]&lt;1, AllData[[#This Row],[Time]]&gt;=0.75)=TRUE, "Evening", "Night")))</f>
        <v>Morning</v>
      </c>
      <c r="G657" t="str">
        <f>_xlfn.XLOOKUP(AllData[[#This Row],[Location Name]], Locations[Location Name],Locations[Group As])</f>
        <v>Piddle Brook Wyre Piddle Bridge</v>
      </c>
      <c r="H657" t="e" vm="6">
        <f>_xlfn.XLOOKUP(AllData[[#This Row],[Site Name]],LocationsKey[Site Name],LocationsKey[District])</f>
        <v>#VALUE!</v>
      </c>
      <c r="I657" t="e" vm="13">
        <f>_xlfn.XLOOKUP(AllData[[#This Row],[Site Name]],LocationsKey[Site Name],LocationsKey[Town])</f>
        <v>#VALUE!</v>
      </c>
      <c r="J657" t="str">
        <f>_xlfn.XLOOKUP(AllData[[#This Row],[Site Name]],LocationsKey[Site Name], LocationsKey[Waterway])</f>
        <v>Piddle Brook</v>
      </c>
      <c r="K657" t="s">
        <v>787</v>
      </c>
      <c r="L657">
        <v>52.126393999999998</v>
      </c>
      <c r="M657">
        <v>-2.0565329999999999</v>
      </c>
      <c r="N657" t="s">
        <v>25</v>
      </c>
      <c r="O657">
        <v>1030</v>
      </c>
      <c r="P657">
        <v>7.6</v>
      </c>
      <c r="Q657">
        <v>7</v>
      </c>
      <c r="R657" s="107" t="str">
        <f>IF(AllData[[#This Row],[Nitrate (PPM)]]&gt;2, "Very high", IF(AllData[[#This Row],[Nitrate (PPM)]]&gt;1, "High", IF(AllData[[#This Row],[Nitrate (PPM)]]&gt;0.5, "Some evidence", IF(AllData[[#This Row],[Nitrate (PPM)]]&gt;=0, "No evidence"))))</f>
        <v>Very high</v>
      </c>
      <c r="S657" s="108">
        <v>0.38</v>
      </c>
      <c r="T657" s="7" t="str">
        <f>IF(AllData[[#This Row],[Phosphate (PPM)]]&gt;0.5, "Very high", IF(AllData[[#This Row],[Phosphate (PPM)]]&gt;0.1, "High", IF(AllData[[#This Row],[Phosphate (PPM)]]&gt;0.05, "Some evidence", IF(AllData[[#This Row],[Phosphate (PPM)]]&lt;=0.05, "No Evidence", ""))))</f>
        <v>High</v>
      </c>
      <c r="U657">
        <v>0.32</v>
      </c>
      <c r="V657" t="s">
        <v>2536</v>
      </c>
    </row>
    <row r="658" spans="1:22" x14ac:dyDescent="0.35">
      <c r="A658" t="s">
        <v>2533</v>
      </c>
      <c r="B658" s="143">
        <v>45619</v>
      </c>
      <c r="C658" s="2" t="str" cm="1">
        <f t="array" ref="C6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8">
        <f>YEAR(AllData[[#This Row],[Date]])</f>
        <v>2024</v>
      </c>
      <c r="E658" s="1">
        <v>0.52083333333333337</v>
      </c>
      <c r="F658" t="str">
        <f>IF(AND(AllData[[#This Row],[Time]]&lt;0.5, AllData[[#This Row],[Time]]&gt;0.17)=TRUE, "Morning", IF(AND(AllData[[#This Row],[Time]]&lt;0.75, AllData[[#This Row],[Time]]&gt;=0.5)=TRUE, "Afternoon", IF(AND(AllData[[#This Row],[Time]]&lt;1, AllData[[#This Row],[Time]]&gt;=0.75)=TRUE, "Evening", "Night")))</f>
        <v>Afternoon</v>
      </c>
      <c r="G658" t="str">
        <f>_xlfn.XLOOKUP(AllData[[#This Row],[Location Name]], Locations[Location Name],Locations[Group As])</f>
        <v>Carrant Bredon Rd</v>
      </c>
      <c r="H658" t="e" vm="4">
        <f>_xlfn.XLOOKUP(AllData[[#This Row],[Site Name]],LocationsKey[Site Name],LocationsKey[District])</f>
        <v>#VALUE!</v>
      </c>
      <c r="I658" t="e" vm="4">
        <f>_xlfn.XLOOKUP(AllData[[#This Row],[Site Name]],LocationsKey[Site Name],LocationsKey[Town])</f>
        <v>#VALUE!</v>
      </c>
      <c r="J658" t="str">
        <f>_xlfn.XLOOKUP(AllData[[#This Row],[Site Name]],LocationsKey[Site Name], LocationsKey[Waterway])</f>
        <v>Carrant</v>
      </c>
      <c r="K658" t="s">
        <v>603</v>
      </c>
      <c r="L658">
        <v>51.996296999999998</v>
      </c>
      <c r="M658">
        <v>-2.15598</v>
      </c>
      <c r="N658" t="s">
        <v>25</v>
      </c>
      <c r="O658">
        <v>878</v>
      </c>
      <c r="P658">
        <v>9.4</v>
      </c>
      <c r="Q658">
        <v>5</v>
      </c>
      <c r="R658" s="107" t="str">
        <f>IF(AllData[[#This Row],[Nitrate (PPM)]]&gt;2, "Very high", IF(AllData[[#This Row],[Nitrate (PPM)]]&gt;1, "High", IF(AllData[[#This Row],[Nitrate (PPM)]]&gt;0.5, "Some evidence", IF(AllData[[#This Row],[Nitrate (PPM)]]&gt;=0, "No evidence"))))</f>
        <v>Very high</v>
      </c>
      <c r="S658" s="108">
        <v>0.32</v>
      </c>
      <c r="T658" s="7" t="str">
        <f>IF(AllData[[#This Row],[Phosphate (PPM)]]&gt;0.5, "Very high", IF(AllData[[#This Row],[Phosphate (PPM)]]&gt;0.1, "High", IF(AllData[[#This Row],[Phosphate (PPM)]]&gt;0.05, "Some evidence", IF(AllData[[#This Row],[Phosphate (PPM)]]&lt;=0.05, "No Evidence", ""))))</f>
        <v>High</v>
      </c>
      <c r="U658">
        <v>0.3</v>
      </c>
      <c r="V658" t="s">
        <v>2534</v>
      </c>
    </row>
    <row r="659" spans="1:22" x14ac:dyDescent="0.35">
      <c r="A659" t="s">
        <v>2531</v>
      </c>
      <c r="B659" s="143">
        <v>45619</v>
      </c>
      <c r="C659" s="2" t="str" cm="1">
        <f t="array" ref="C6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59">
        <f>YEAR(AllData[[#This Row],[Date]])</f>
        <v>2024</v>
      </c>
      <c r="E659" s="1">
        <v>0.45833333333333331</v>
      </c>
      <c r="F659" t="str">
        <f>IF(AND(AllData[[#This Row],[Time]]&lt;0.5, AllData[[#This Row],[Time]]&gt;0.17)=TRUE, "Morning", IF(AND(AllData[[#This Row],[Time]]&lt;0.75, AllData[[#This Row],[Time]]&gt;=0.5)=TRUE, "Afternoon", IF(AND(AllData[[#This Row],[Time]]&lt;1, AllData[[#This Row],[Time]]&gt;=0.75)=TRUE, "Evening", "Night")))</f>
        <v>Morning</v>
      </c>
      <c r="G659" t="str">
        <f>_xlfn.XLOOKUP(AllData[[#This Row],[Location Name]], Locations[Location Name],Locations[Group As])</f>
        <v>Pitch 16</v>
      </c>
      <c r="H659" t="e" vm="1">
        <f>_xlfn.XLOOKUP(AllData[[#This Row],[Site Name]],LocationsKey[Site Name],LocationsKey[District])</f>
        <v>#VALUE!</v>
      </c>
      <c r="I659" t="e" vm="12">
        <f>_xlfn.XLOOKUP(AllData[[#This Row],[Site Name]],LocationsKey[Site Name],LocationsKey[Town])</f>
        <v>#VALUE!</v>
      </c>
      <c r="J659" t="str">
        <f>_xlfn.XLOOKUP(AllData[[#This Row],[Site Name]],LocationsKey[Site Name], LocationsKey[Waterway])</f>
        <v>Avon</v>
      </c>
      <c r="K659" t="s">
        <v>2532</v>
      </c>
      <c r="L659">
        <v>52.172601999999998</v>
      </c>
      <c r="M659">
        <v>-1.7453860000000001</v>
      </c>
      <c r="N659" t="s">
        <v>31</v>
      </c>
      <c r="O659">
        <v>763</v>
      </c>
      <c r="P659">
        <v>7.6</v>
      </c>
      <c r="Q659">
        <v>5</v>
      </c>
      <c r="R659" s="107" t="str">
        <f>IF(AllData[[#This Row],[Nitrate (PPM)]]&gt;2, "Very high", IF(AllData[[#This Row],[Nitrate (PPM)]]&gt;1, "High", IF(AllData[[#This Row],[Nitrate (PPM)]]&gt;0.5, "Some evidence", IF(AllData[[#This Row],[Nitrate (PPM)]]&gt;=0, "No evidence"))))</f>
        <v>Very high</v>
      </c>
      <c r="S659" s="108">
        <v>0.44</v>
      </c>
      <c r="T659" s="7" t="str">
        <f>IF(AllData[[#This Row],[Phosphate (PPM)]]&gt;0.5, "Very high", IF(AllData[[#This Row],[Phosphate (PPM)]]&gt;0.1, "High", IF(AllData[[#This Row],[Phosphate (PPM)]]&gt;0.05, "Some evidence", IF(AllData[[#This Row],[Phosphate (PPM)]]&lt;=0.05, "No Evidence", ""))))</f>
        <v>High</v>
      </c>
      <c r="U659">
        <v>0.78</v>
      </c>
    </row>
    <row r="660" spans="1:22" x14ac:dyDescent="0.35">
      <c r="A660" t="s">
        <v>2537</v>
      </c>
      <c r="B660" s="143">
        <v>45619</v>
      </c>
      <c r="C660" s="2" t="str" cm="1">
        <f t="array" ref="C6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0">
        <f>YEAR(AllData[[#This Row],[Date]])</f>
        <v>2024</v>
      </c>
      <c r="E660" s="1">
        <v>0.42638888888888887</v>
      </c>
      <c r="F660" t="str">
        <f>IF(AND(AllData[[#This Row],[Time]]&lt;0.5, AllData[[#This Row],[Time]]&gt;0.17)=TRUE, "Morning", IF(AND(AllData[[#This Row],[Time]]&lt;0.75, AllData[[#This Row],[Time]]&gt;=0.5)=TRUE, "Afternoon", IF(AND(AllData[[#This Row],[Time]]&lt;1, AllData[[#This Row],[Time]]&gt;=0.75)=TRUE, "Evening", "Night")))</f>
        <v>Morning</v>
      </c>
      <c r="G660" t="str">
        <f>_xlfn.XLOOKUP(AllData[[#This Row],[Location Name]], Locations[Location Name],Locations[Group As])</f>
        <v>Avon Smiths Meadow Wyre Piddle</v>
      </c>
      <c r="H660" t="e" vm="6">
        <f>_xlfn.XLOOKUP(AllData[[#This Row],[Site Name]],LocationsKey[Site Name],LocationsKey[District])</f>
        <v>#VALUE!</v>
      </c>
      <c r="I660" t="e" vm="13">
        <f>_xlfn.XLOOKUP(AllData[[#This Row],[Site Name]],LocationsKey[Site Name],LocationsKey[Town])</f>
        <v>#VALUE!</v>
      </c>
      <c r="J660" t="str">
        <f>_xlfn.XLOOKUP(AllData[[#This Row],[Site Name]],LocationsKey[Site Name], LocationsKey[Waterway])</f>
        <v>Avon</v>
      </c>
      <c r="K660" t="s">
        <v>784</v>
      </c>
      <c r="L660">
        <v>52.122883999999999</v>
      </c>
      <c r="M660">
        <v>-2.0574170000000001</v>
      </c>
      <c r="N660" t="s">
        <v>25</v>
      </c>
      <c r="O660">
        <v>706</v>
      </c>
      <c r="P660">
        <v>6.5</v>
      </c>
      <c r="Q660">
        <v>4</v>
      </c>
      <c r="R660" s="107" t="str">
        <f>IF(AllData[[#This Row],[Nitrate (PPM)]]&gt;2, "Very high", IF(AllData[[#This Row],[Nitrate (PPM)]]&gt;1, "High", IF(AllData[[#This Row],[Nitrate (PPM)]]&gt;0.5, "Some evidence", IF(AllData[[#This Row],[Nitrate (PPM)]]&gt;=0, "No evidence"))))</f>
        <v>Very high</v>
      </c>
      <c r="S660" s="108">
        <v>0.47</v>
      </c>
      <c r="T660" s="7" t="str">
        <f>IF(AllData[[#This Row],[Phosphate (PPM)]]&gt;0.5, "Very high", IF(AllData[[#This Row],[Phosphate (PPM)]]&gt;0.1, "High", IF(AllData[[#This Row],[Phosphate (PPM)]]&gt;0.05, "Some evidence", IF(AllData[[#This Row],[Phosphate (PPM)]]&lt;=0.05, "No Evidence", ""))))</f>
        <v>High</v>
      </c>
      <c r="U660">
        <v>0.84</v>
      </c>
      <c r="V660" t="s">
        <v>2538</v>
      </c>
    </row>
    <row r="661" spans="1:22" x14ac:dyDescent="0.35">
      <c r="A661" t="s">
        <v>2527</v>
      </c>
      <c r="B661" s="143">
        <v>45618</v>
      </c>
      <c r="C661" s="2" t="str" cm="1">
        <f t="array" ref="C6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1">
        <f>YEAR(AllData[[#This Row],[Date]])</f>
        <v>2024</v>
      </c>
      <c r="E661" s="1">
        <v>0.39583333333333331</v>
      </c>
      <c r="F661" t="str">
        <f>IF(AND(AllData[[#This Row],[Time]]&lt;0.5, AllData[[#This Row],[Time]]&gt;0.17)=TRUE, "Morning", IF(AND(AllData[[#This Row],[Time]]&lt;0.75, AllData[[#This Row],[Time]]&gt;=0.5)=TRUE, "Afternoon", IF(AND(AllData[[#This Row],[Time]]&lt;1, AllData[[#This Row],[Time]]&gt;=0.75)=TRUE, "Evening", "Night")))</f>
        <v>Morning</v>
      </c>
      <c r="G661" t="str">
        <f>_xlfn.XLOOKUP(AllData[[#This Row],[Location Name]], Locations[Location Name],Locations[Group As])</f>
        <v>Stour Whichford</v>
      </c>
      <c r="H661" t="e" vm="1">
        <f>_xlfn.XLOOKUP(AllData[[#This Row],[Site Name]],LocationsKey[Site Name],LocationsKey[District])</f>
        <v>#VALUE!</v>
      </c>
      <c r="I661" t="e" vm="24">
        <f>_xlfn.XLOOKUP(AllData[[#This Row],[Site Name]],LocationsKey[Site Name],LocationsKey[Town])</f>
        <v>#VALUE!</v>
      </c>
      <c r="J661" t="str">
        <f>_xlfn.XLOOKUP(AllData[[#This Row],[Site Name]],LocationsKey[Site Name], LocationsKey[Waterway])</f>
        <v>Stour</v>
      </c>
      <c r="K661" t="s">
        <v>980</v>
      </c>
      <c r="N661" t="s">
        <v>31</v>
      </c>
      <c r="O661">
        <v>606</v>
      </c>
      <c r="P661">
        <v>10.1</v>
      </c>
      <c r="Q661">
        <v>2</v>
      </c>
      <c r="R661" s="107" t="str">
        <f>IF(AllData[[#This Row],[Nitrate (PPM)]]&gt;2, "Very high", IF(AllData[[#This Row],[Nitrate (PPM)]]&gt;1, "High", IF(AllData[[#This Row],[Nitrate (PPM)]]&gt;0.5, "Some evidence", IF(AllData[[#This Row],[Nitrate (PPM)]]&gt;=0, "No evidence"))))</f>
        <v>High</v>
      </c>
      <c r="S661" s="108">
        <v>0.32</v>
      </c>
      <c r="T661" s="7" t="str">
        <f>IF(AllData[[#This Row],[Phosphate (PPM)]]&gt;0.5, "Very high", IF(AllData[[#This Row],[Phosphate (PPM)]]&gt;0.1, "High", IF(AllData[[#This Row],[Phosphate (PPM)]]&gt;0.05, "Some evidence", IF(AllData[[#This Row],[Phosphate (PPM)]]&lt;=0.05, "No Evidence", ""))))</f>
        <v>High</v>
      </c>
      <c r="U661">
        <v>18</v>
      </c>
    </row>
    <row r="662" spans="1:22" x14ac:dyDescent="0.35">
      <c r="A662" t="s">
        <v>2528</v>
      </c>
      <c r="B662" s="143">
        <v>45618</v>
      </c>
      <c r="C662" s="2" t="str" cm="1">
        <f t="array" ref="C6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2">
        <f>YEAR(AllData[[#This Row],[Date]])</f>
        <v>2024</v>
      </c>
      <c r="E662" s="1">
        <v>0.60902777777777772</v>
      </c>
      <c r="F662" t="str">
        <f>IF(AND(AllData[[#This Row],[Time]]&lt;0.5, AllData[[#This Row],[Time]]&gt;0.17)=TRUE, "Morning", IF(AND(AllData[[#This Row],[Time]]&lt;0.75, AllData[[#This Row],[Time]]&gt;=0.5)=TRUE, "Afternoon", IF(AND(AllData[[#This Row],[Time]]&lt;1, AllData[[#This Row],[Time]]&gt;=0.75)=TRUE, "Evening", "Night")))</f>
        <v>Afternoon</v>
      </c>
      <c r="G662" t="str">
        <f>_xlfn.XLOOKUP(AllData[[#This Row],[Location Name]], Locations[Location Name],Locations[Group As])</f>
        <v>Stour Shipston Mill Bridge</v>
      </c>
      <c r="H662" t="e" vm="1">
        <f>_xlfn.XLOOKUP(AllData[[#This Row],[Site Name]],LocationsKey[Site Name],LocationsKey[District])</f>
        <v>#VALUE!</v>
      </c>
      <c r="I662" t="e" vm="15">
        <f>_xlfn.XLOOKUP(AllData[[#This Row],[Site Name]],LocationsKey[Site Name],LocationsKey[Town])</f>
        <v>#VALUE!</v>
      </c>
      <c r="J662" t="str">
        <f>_xlfn.XLOOKUP(AllData[[#This Row],[Site Name]],LocationsKey[Site Name], LocationsKey[Waterway])</f>
        <v>Stour</v>
      </c>
      <c r="K662" t="s">
        <v>2006</v>
      </c>
      <c r="L662">
        <v>52.062175000000003</v>
      </c>
      <c r="M662">
        <v>-1.6219330000000001</v>
      </c>
      <c r="N662" t="s">
        <v>25</v>
      </c>
      <c r="O662">
        <v>5.8</v>
      </c>
      <c r="P662">
        <v>7.1</v>
      </c>
      <c r="Q662">
        <v>2</v>
      </c>
      <c r="R662" s="107" t="str">
        <f>IF(AllData[[#This Row],[Nitrate (PPM)]]&gt;2, "Very high", IF(AllData[[#This Row],[Nitrate (PPM)]]&gt;1, "High", IF(AllData[[#This Row],[Nitrate (PPM)]]&gt;0.5, "Some evidence", IF(AllData[[#This Row],[Nitrate (PPM)]]&gt;=0, "No evidence"))))</f>
        <v>High</v>
      </c>
      <c r="S662" s="108">
        <v>0.35</v>
      </c>
      <c r="T662" s="7" t="str">
        <f>IF(AllData[[#This Row],[Phosphate (PPM)]]&gt;0.5, "Very high", IF(AllData[[#This Row],[Phosphate (PPM)]]&gt;0.1, "High", IF(AllData[[#This Row],[Phosphate (PPM)]]&gt;0.05, "Some evidence", IF(AllData[[#This Row],[Phosphate (PPM)]]&lt;=0.05, "No Evidence", ""))))</f>
        <v>High</v>
      </c>
      <c r="U662">
        <v>0.61</v>
      </c>
    </row>
    <row r="663" spans="1:22" x14ac:dyDescent="0.35">
      <c r="A663" t="s">
        <v>2524</v>
      </c>
      <c r="B663" s="143">
        <v>45617</v>
      </c>
      <c r="C663" s="2" t="str" cm="1">
        <f t="array" ref="C6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3">
        <f>YEAR(AllData[[#This Row],[Date]])</f>
        <v>2024</v>
      </c>
      <c r="E663" s="1">
        <v>0.67777777777777781</v>
      </c>
      <c r="F663" t="str">
        <f>IF(AND(AllData[[#This Row],[Time]]&lt;0.5, AllData[[#This Row],[Time]]&gt;0.17)=TRUE, "Morning", IF(AND(AllData[[#This Row],[Time]]&lt;0.75, AllData[[#This Row],[Time]]&gt;=0.5)=TRUE, "Afternoon", IF(AND(AllData[[#This Row],[Time]]&lt;1, AllData[[#This Row],[Time]]&gt;=0.75)=TRUE, "Evening", "Night")))</f>
        <v>Afternoon</v>
      </c>
      <c r="G663" t="str">
        <f>_xlfn.XLOOKUP(AllData[[#This Row],[Location Name]], Locations[Location Name],Locations[Group As])</f>
        <v>Dock Lane Bredon</v>
      </c>
      <c r="H663" t="e" vm="6">
        <f>_xlfn.XLOOKUP(AllData[[#This Row],[Site Name]],LocationsKey[Site Name],LocationsKey[District])</f>
        <v>#VALUE!</v>
      </c>
      <c r="I663" t="e" vm="11">
        <f>_xlfn.XLOOKUP(AllData[[#This Row],[Site Name]],LocationsKey[Site Name],LocationsKey[Town])</f>
        <v>#VALUE!</v>
      </c>
      <c r="J663" t="str">
        <f>_xlfn.XLOOKUP(AllData[[#This Row],[Site Name]],LocationsKey[Site Name], LocationsKey[Waterway])</f>
        <v>Avon</v>
      </c>
      <c r="K663" t="s">
        <v>2374</v>
      </c>
      <c r="L663">
        <v>52.033819999999999</v>
      </c>
      <c r="M663">
        <v>-2.116079</v>
      </c>
      <c r="N663" t="s">
        <v>31</v>
      </c>
      <c r="O663">
        <v>5040</v>
      </c>
      <c r="P663">
        <v>8.1999999999999993</v>
      </c>
      <c r="Q663">
        <v>3</v>
      </c>
      <c r="R663" s="107" t="str">
        <f>IF(AllData[[#This Row],[Nitrate (PPM)]]&gt;2, "Very high", IF(AllData[[#This Row],[Nitrate (PPM)]]&gt;1, "High", IF(AllData[[#This Row],[Nitrate (PPM)]]&gt;0.5, "Some evidence", IF(AllData[[#This Row],[Nitrate (PPM)]]&gt;=0, "No evidence"))))</f>
        <v>Very high</v>
      </c>
      <c r="S663" s="108">
        <v>0.59</v>
      </c>
      <c r="T663" s="7" t="str">
        <f>IF(AllData[[#This Row],[Phosphate (PPM)]]&gt;0.5, "Very high", IF(AllData[[#This Row],[Phosphate (PPM)]]&gt;0.1, "High", IF(AllData[[#This Row],[Phosphate (PPM)]]&gt;0.05, "Some evidence", IF(AllData[[#This Row],[Phosphate (PPM)]]&lt;=0.05, "No Evidence", ""))))</f>
        <v>Very high</v>
      </c>
      <c r="U663">
        <v>1</v>
      </c>
      <c r="V663" t="s">
        <v>2225</v>
      </c>
    </row>
    <row r="664" spans="1:22" x14ac:dyDescent="0.35">
      <c r="A664" t="s">
        <v>2526</v>
      </c>
      <c r="B664" s="143">
        <v>45617</v>
      </c>
      <c r="C664" s="2" t="str" cm="1">
        <f t="array" ref="C6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4">
        <f>YEAR(AllData[[#This Row],[Date]])</f>
        <v>2024</v>
      </c>
      <c r="E664" s="1">
        <v>0.39583333333333331</v>
      </c>
      <c r="F664" t="str">
        <f>IF(AND(AllData[[#This Row],[Time]]&lt;0.5, AllData[[#This Row],[Time]]&gt;0.17)=TRUE, "Morning", IF(AND(AllData[[#This Row],[Time]]&lt;0.75, AllData[[#This Row],[Time]]&gt;=0.5)=TRUE, "Afternoon", IF(AND(AllData[[#This Row],[Time]]&lt;1, AllData[[#This Row],[Time]]&gt;=0.75)=TRUE, "Evening", "Night")))</f>
        <v>Morning</v>
      </c>
      <c r="G664" t="str">
        <f>_xlfn.XLOOKUP(AllData[[#This Row],[Location Name]], Locations[Location Name],Locations[Group As])</f>
        <v>Swilgate</v>
      </c>
      <c r="H664" t="e" vm="4">
        <f>_xlfn.XLOOKUP(AllData[[#This Row],[Site Name]],LocationsKey[Site Name],LocationsKey[District])</f>
        <v>#VALUE!</v>
      </c>
      <c r="I664" t="e" vm="4">
        <f>_xlfn.XLOOKUP(AllData[[#This Row],[Site Name]],LocationsKey[Site Name],LocationsKey[Town])</f>
        <v>#VALUE!</v>
      </c>
      <c r="J664" t="str">
        <f>_xlfn.XLOOKUP(AllData[[#This Row],[Site Name]],LocationsKey[Site Name], LocationsKey[Waterway])</f>
        <v>Swilgate</v>
      </c>
      <c r="K664" t="s">
        <v>85</v>
      </c>
      <c r="N664" t="s">
        <v>25</v>
      </c>
      <c r="O664">
        <v>875</v>
      </c>
      <c r="P664">
        <v>7</v>
      </c>
      <c r="Q664">
        <v>3</v>
      </c>
      <c r="R664" s="107" t="str">
        <f>IF(AllData[[#This Row],[Nitrate (PPM)]]&gt;2, "Very high", IF(AllData[[#This Row],[Nitrate (PPM)]]&gt;1, "High", IF(AllData[[#This Row],[Nitrate (PPM)]]&gt;0.5, "Some evidence", IF(AllData[[#This Row],[Nitrate (PPM)]]&gt;=0, "No evidence"))))</f>
        <v>Very high</v>
      </c>
      <c r="S664" s="108">
        <v>0.38</v>
      </c>
      <c r="T664" s="7" t="str">
        <f>IF(AllData[[#This Row],[Phosphate (PPM)]]&gt;0.5, "Very high", IF(AllData[[#This Row],[Phosphate (PPM)]]&gt;0.1, "High", IF(AllData[[#This Row],[Phosphate (PPM)]]&gt;0.05, "Some evidence", IF(AllData[[#This Row],[Phosphate (PPM)]]&lt;=0.05, "No Evidence", ""))))</f>
        <v>High</v>
      </c>
      <c r="U664">
        <v>0</v>
      </c>
    </row>
    <row r="665" spans="1:22" x14ac:dyDescent="0.35">
      <c r="A665" t="s">
        <v>2525</v>
      </c>
      <c r="B665" s="143">
        <v>45617</v>
      </c>
      <c r="C665" s="2" t="str" cm="1">
        <f t="array" ref="C6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5">
        <f>YEAR(AllData[[#This Row],[Date]])</f>
        <v>2024</v>
      </c>
      <c r="E665" s="1">
        <v>0.42083333333333334</v>
      </c>
      <c r="F665" t="str">
        <f>IF(AND(AllData[[#This Row],[Time]]&lt;0.5, AllData[[#This Row],[Time]]&gt;0.17)=TRUE, "Morning", IF(AND(AllData[[#This Row],[Time]]&lt;0.75, AllData[[#This Row],[Time]]&gt;=0.5)=TRUE, "Afternoon", IF(AND(AllData[[#This Row],[Time]]&lt;1, AllData[[#This Row],[Time]]&gt;=0.75)=TRUE, "Evening", "Night")))</f>
        <v>Morning</v>
      </c>
      <c r="G665" t="str">
        <f>_xlfn.XLOOKUP(AllData[[#This Row],[Location Name]], Locations[Location Name],Locations[Group As])</f>
        <v>Stour Ascott Village</v>
      </c>
      <c r="H665" t="e" vm="1">
        <f>_xlfn.XLOOKUP(AllData[[#This Row],[Site Name]],LocationsKey[Site Name],LocationsKey[District])</f>
        <v>#VALUE!</v>
      </c>
      <c r="I665" t="e" vm="25">
        <f>_xlfn.XLOOKUP(AllData[[#This Row],[Site Name]],LocationsKey[Site Name],LocationsKey[Town])</f>
        <v>#VALUE!</v>
      </c>
      <c r="J665" t="str">
        <f>_xlfn.XLOOKUP(AllData[[#This Row],[Site Name]],LocationsKey[Site Name], LocationsKey[Waterway])</f>
        <v>Stour</v>
      </c>
      <c r="K665" t="s">
        <v>927</v>
      </c>
      <c r="N665" t="s">
        <v>68</v>
      </c>
      <c r="O665">
        <v>686</v>
      </c>
      <c r="P665">
        <v>4.5</v>
      </c>
      <c r="Q665">
        <v>0.5</v>
      </c>
      <c r="R665" s="107" t="str">
        <f>IF(AllData[[#This Row],[Nitrate (PPM)]]&gt;2, "Very high", IF(AllData[[#This Row],[Nitrate (PPM)]]&gt;1, "High", IF(AllData[[#This Row],[Nitrate (PPM)]]&gt;0.5, "Some evidence", IF(AllData[[#This Row],[Nitrate (PPM)]]&gt;=0, "No evidence"))))</f>
        <v>No evidence</v>
      </c>
      <c r="S665" s="108">
        <v>0.05</v>
      </c>
      <c r="T665" s="7" t="str">
        <f>IF(AllData[[#This Row],[Phosphate (PPM)]]&gt;0.5, "Very high", IF(AllData[[#This Row],[Phosphate (PPM)]]&gt;0.1, "High", IF(AllData[[#This Row],[Phosphate (PPM)]]&gt;0.05, "Some evidence", IF(AllData[[#This Row],[Phosphate (PPM)]]&lt;=0.05, "No Evidence", ""))))</f>
        <v>No Evidence</v>
      </c>
      <c r="U665">
        <v>10</v>
      </c>
    </row>
    <row r="666" spans="1:22" x14ac:dyDescent="0.35">
      <c r="A666" t="s">
        <v>2523</v>
      </c>
      <c r="B666" s="143">
        <v>45616</v>
      </c>
      <c r="C666" s="2" t="str" cm="1">
        <f t="array" ref="C6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6">
        <f>YEAR(AllData[[#This Row],[Date]])</f>
        <v>2024</v>
      </c>
      <c r="E666" s="1">
        <v>0.56319444444444444</v>
      </c>
      <c r="F666" t="str">
        <f>IF(AND(AllData[[#This Row],[Time]]&lt;0.5, AllData[[#This Row],[Time]]&gt;0.17)=TRUE, "Morning", IF(AND(AllData[[#This Row],[Time]]&lt;0.75, AllData[[#This Row],[Time]]&gt;=0.5)=TRUE, "Afternoon", IF(AND(AllData[[#This Row],[Time]]&lt;1, AllData[[#This Row],[Time]]&gt;=0.75)=TRUE, "Evening", "Night")))</f>
        <v>Afternoon</v>
      </c>
      <c r="G666" t="str">
        <f>_xlfn.XLOOKUP(AllData[[#This Row],[Location Name]], Locations[Location Name],Locations[Group As])</f>
        <v>SSC Bredons Norton</v>
      </c>
      <c r="H666" t="e" vm="6">
        <f>_xlfn.XLOOKUP(AllData[[#This Row],[Site Name]],LocationsKey[Site Name],LocationsKey[District])</f>
        <v>#VALUE!</v>
      </c>
      <c r="I666" t="str">
        <f>_xlfn.XLOOKUP(AllData[[#This Row],[Site Name]],LocationsKey[Site Name],LocationsKey[Town])</f>
        <v>Bredon's Norton</v>
      </c>
      <c r="J666" t="str">
        <f>_xlfn.XLOOKUP(AllData[[#This Row],[Site Name]],LocationsKey[Site Name], LocationsKey[Waterway])</f>
        <v>Avon</v>
      </c>
      <c r="K666" t="s">
        <v>2121</v>
      </c>
      <c r="L666">
        <v>52.050837999999999</v>
      </c>
      <c r="M666">
        <v>-2.1170070000000001</v>
      </c>
      <c r="N666" t="s">
        <v>25</v>
      </c>
      <c r="O666">
        <v>924</v>
      </c>
      <c r="P666">
        <v>7.9</v>
      </c>
      <c r="Q666">
        <v>5</v>
      </c>
      <c r="R666" s="107" t="str">
        <f>IF(AllData[[#This Row],[Nitrate (PPM)]]&gt;2, "Very high", IF(AllData[[#This Row],[Nitrate (PPM)]]&gt;1, "High", IF(AllData[[#This Row],[Nitrate (PPM)]]&gt;0.5, "Some evidence", IF(AllData[[#This Row],[Nitrate (PPM)]]&gt;=0, "No evidence"))))</f>
        <v>Very high</v>
      </c>
      <c r="S666" s="108">
        <v>0.77</v>
      </c>
      <c r="T666" s="7" t="str">
        <f>IF(AllData[[#This Row],[Phosphate (PPM)]]&gt;0.5, "Very high", IF(AllData[[#This Row],[Phosphate (PPM)]]&gt;0.1, "High", IF(AllData[[#This Row],[Phosphate (PPM)]]&gt;0.05, "Some evidence", IF(AllData[[#This Row],[Phosphate (PPM)]]&lt;=0.05, "No Evidence", ""))))</f>
        <v>Very high</v>
      </c>
      <c r="U666">
        <v>1.5</v>
      </c>
    </row>
    <row r="667" spans="1:22" x14ac:dyDescent="0.35">
      <c r="A667" t="s">
        <v>2521</v>
      </c>
      <c r="B667" s="143">
        <v>45616</v>
      </c>
      <c r="C667" s="2" t="str" cm="1">
        <f t="array" ref="C6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7">
        <f>YEAR(AllData[[#This Row],[Date]])</f>
        <v>2024</v>
      </c>
      <c r="E667" s="1">
        <v>0.49236111111111114</v>
      </c>
      <c r="F667" t="str">
        <f>IF(AND(AllData[[#This Row],[Time]]&lt;0.5, AllData[[#This Row],[Time]]&gt;0.17)=TRUE, "Morning", IF(AND(AllData[[#This Row],[Time]]&lt;0.75, AllData[[#This Row],[Time]]&gt;=0.5)=TRUE, "Afternoon", IF(AND(AllData[[#This Row],[Time]]&lt;1, AllData[[#This Row],[Time]]&gt;=0.75)=TRUE, "Evening", "Night")))</f>
        <v>Morning</v>
      </c>
      <c r="G667" t="str">
        <f>_xlfn.XLOOKUP(AllData[[#This Row],[Location Name]], Locations[Location Name],Locations[Group As])</f>
        <v>School Lane</v>
      </c>
      <c r="H667" t="e" vm="1">
        <f>_xlfn.XLOOKUP(AllData[[#This Row],[Site Name]],LocationsKey[Site Name],LocationsKey[District])</f>
        <v>#VALUE!</v>
      </c>
      <c r="I667" t="e" vm="3">
        <f>_xlfn.XLOOKUP(AllData[[#This Row],[Site Name]],LocationsKey[Site Name],LocationsKey[Town])</f>
        <v>#VALUE!</v>
      </c>
      <c r="J667" t="str">
        <f>_xlfn.XLOOKUP(AllData[[#This Row],[Site Name]],LocationsKey[Site Name], LocationsKey[Waterway])</f>
        <v>Avon</v>
      </c>
      <c r="K667" t="s">
        <v>2522</v>
      </c>
      <c r="L667">
        <v>52.202150000000003</v>
      </c>
      <c r="M667">
        <v>-1.67839</v>
      </c>
      <c r="N667" t="s">
        <v>31</v>
      </c>
      <c r="O667">
        <v>738</v>
      </c>
      <c r="P667">
        <v>7.1</v>
      </c>
      <c r="Q667">
        <v>0</v>
      </c>
      <c r="R667" s="107" t="str">
        <f>IF(AllData[[#This Row],[Nitrate (PPM)]]&gt;2, "Very high", IF(AllData[[#This Row],[Nitrate (PPM)]]&gt;1, "High", IF(AllData[[#This Row],[Nitrate (PPM)]]&gt;0.5, "Some evidence", IF(AllData[[#This Row],[Nitrate (PPM)]]&gt;=0, "No evidence"))))</f>
        <v>No evidence</v>
      </c>
      <c r="S667" s="108">
        <v>0.57999999999999996</v>
      </c>
      <c r="T667" s="7" t="str">
        <f>IF(AllData[[#This Row],[Phosphate (PPM)]]&gt;0.5, "Very high", IF(AllData[[#This Row],[Phosphate (PPM)]]&gt;0.1, "High", IF(AllData[[#This Row],[Phosphate (PPM)]]&gt;0.05, "Some evidence", IF(AllData[[#This Row],[Phosphate (PPM)]]&lt;=0.05, "No Evidence", ""))))</f>
        <v>Very high</v>
      </c>
      <c r="U667">
        <v>0.91</v>
      </c>
    </row>
    <row r="668" spans="1:22" x14ac:dyDescent="0.35">
      <c r="A668" t="s">
        <v>2519</v>
      </c>
      <c r="B668" s="143">
        <v>45616</v>
      </c>
      <c r="C668" s="2" t="str" cm="1">
        <f t="array" ref="C6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8">
        <f>YEAR(AllData[[#This Row],[Date]])</f>
        <v>2024</v>
      </c>
      <c r="E668" s="1">
        <v>0.49583333333333335</v>
      </c>
      <c r="F668" t="str">
        <f>IF(AND(AllData[[#This Row],[Time]]&lt;0.5, AllData[[#This Row],[Time]]&gt;0.17)=TRUE, "Morning", IF(AND(AllData[[#This Row],[Time]]&lt;0.75, AllData[[#This Row],[Time]]&gt;=0.5)=TRUE, "Afternoon", IF(AND(AllData[[#This Row],[Time]]&lt;1, AllData[[#This Row],[Time]]&gt;=0.75)=TRUE, "Evening", "Night")))</f>
        <v>Morning</v>
      </c>
      <c r="G668" t="str">
        <f>_xlfn.XLOOKUP(AllData[[#This Row],[Location Name]], Locations[Location Name],Locations[Group As])</f>
        <v>Carters Lane</v>
      </c>
      <c r="H668" t="e" vm="1">
        <f>_xlfn.XLOOKUP(AllData[[#This Row],[Site Name]],LocationsKey[Site Name],LocationsKey[District])</f>
        <v>#VALUE!</v>
      </c>
      <c r="I668" t="e" vm="3">
        <f>_xlfn.XLOOKUP(AllData[[#This Row],[Site Name]],LocationsKey[Site Name],LocationsKey[Town])</f>
        <v>#VALUE!</v>
      </c>
      <c r="J668" t="str">
        <f>_xlfn.XLOOKUP(AllData[[#This Row],[Site Name]],LocationsKey[Site Name], LocationsKey[Waterway])</f>
        <v>Avon</v>
      </c>
      <c r="K668" t="s">
        <v>2520</v>
      </c>
      <c r="L668">
        <v>52.202345000000001</v>
      </c>
      <c r="M668">
        <v>-1.677219</v>
      </c>
      <c r="N668" t="s">
        <v>68</v>
      </c>
      <c r="O668">
        <v>731</v>
      </c>
      <c r="P668">
        <v>5.5</v>
      </c>
      <c r="Q668">
        <v>0</v>
      </c>
      <c r="R668" s="107" t="str">
        <f>IF(AllData[[#This Row],[Nitrate (PPM)]]&gt;2, "Very high", IF(AllData[[#This Row],[Nitrate (PPM)]]&gt;1, "High", IF(AllData[[#This Row],[Nitrate (PPM)]]&gt;0.5, "Some evidence", IF(AllData[[#This Row],[Nitrate (PPM)]]&gt;=0, "No evidence"))))</f>
        <v>No evidence</v>
      </c>
      <c r="S668" s="108">
        <v>0.69</v>
      </c>
      <c r="T668" s="7" t="str">
        <f>IF(AllData[[#This Row],[Phosphate (PPM)]]&gt;0.5, "Very high", IF(AllData[[#This Row],[Phosphate (PPM)]]&gt;0.1, "High", IF(AllData[[#This Row],[Phosphate (PPM)]]&gt;0.05, "Some evidence", IF(AllData[[#This Row],[Phosphate (PPM)]]&lt;=0.05, "No Evidence", ""))))</f>
        <v>Very high</v>
      </c>
      <c r="U668">
        <v>0.91</v>
      </c>
    </row>
    <row r="669" spans="1:22" x14ac:dyDescent="0.35">
      <c r="A669" t="s">
        <v>2518</v>
      </c>
      <c r="B669" s="143">
        <v>45615</v>
      </c>
      <c r="C669" s="2" t="str" cm="1">
        <f t="array" ref="C6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69">
        <f>YEAR(AllData[[#This Row],[Date]])</f>
        <v>2024</v>
      </c>
      <c r="E669" s="1">
        <v>0.4909722222222222</v>
      </c>
      <c r="F669" t="str">
        <f>IF(AND(AllData[[#This Row],[Time]]&lt;0.5, AllData[[#This Row],[Time]]&gt;0.17)=TRUE, "Morning", IF(AND(AllData[[#This Row],[Time]]&lt;0.75, AllData[[#This Row],[Time]]&gt;=0.5)=TRUE, "Afternoon", IF(AND(AllData[[#This Row],[Time]]&lt;1, AllData[[#This Row],[Time]]&gt;=0.75)=TRUE, "Evening", "Night")))</f>
        <v>Morning</v>
      </c>
      <c r="G669" t="str">
        <f>_xlfn.XLOOKUP(AllData[[#This Row],[Location Name]], Locations[Location Name],Locations[Group As])</f>
        <v>Twyning Fleet</v>
      </c>
      <c r="H669" t="e" vm="4">
        <f>_xlfn.XLOOKUP(AllData[[#This Row],[Site Name]],LocationsKey[Site Name],LocationsKey[District])</f>
        <v>#VALUE!</v>
      </c>
      <c r="I669" t="str">
        <f>_xlfn.XLOOKUP(AllData[[#This Row],[Site Name]],LocationsKey[Site Name],LocationsKey[Town])</f>
        <v>Twyning Green</v>
      </c>
      <c r="J669" t="str">
        <f>_xlfn.XLOOKUP(AllData[[#This Row],[Site Name]],LocationsKey[Site Name], LocationsKey[Waterway])</f>
        <v>Avon</v>
      </c>
      <c r="K669" t="s">
        <v>2181</v>
      </c>
      <c r="L669">
        <v>52.027107000000001</v>
      </c>
      <c r="M669">
        <v>-2.1405820000000002</v>
      </c>
      <c r="O669">
        <v>958</v>
      </c>
      <c r="P669">
        <v>9.5</v>
      </c>
      <c r="Q669">
        <v>10</v>
      </c>
      <c r="R669" s="107" t="str">
        <f>IF(AllData[[#This Row],[Nitrate (PPM)]]&gt;2, "Very high", IF(AllData[[#This Row],[Nitrate (PPM)]]&gt;1, "High", IF(AllData[[#This Row],[Nitrate (PPM)]]&gt;0.5, "Some evidence", IF(AllData[[#This Row],[Nitrate (PPM)]]&gt;=0, "No evidence"))))</f>
        <v>Very high</v>
      </c>
      <c r="S669" s="108">
        <v>0.78</v>
      </c>
      <c r="T669" s="7" t="str">
        <f>IF(AllData[[#This Row],[Phosphate (PPM)]]&gt;0.5, "Very high", IF(AllData[[#This Row],[Phosphate (PPM)]]&gt;0.1, "High", IF(AllData[[#This Row],[Phosphate (PPM)]]&gt;0.05, "Some evidence", IF(AllData[[#This Row],[Phosphate (PPM)]]&lt;=0.05, "No Evidence", ""))))</f>
        <v>Very high</v>
      </c>
      <c r="U669">
        <v>0</v>
      </c>
    </row>
    <row r="670" spans="1:22" x14ac:dyDescent="0.35">
      <c r="A670" t="s">
        <v>2516</v>
      </c>
      <c r="B670" s="143">
        <v>45614</v>
      </c>
      <c r="C670" s="2" t="str" cm="1">
        <f t="array" ref="C6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0">
        <f>YEAR(AllData[[#This Row],[Date]])</f>
        <v>2024</v>
      </c>
      <c r="E670" s="1">
        <v>0.38541666666666669</v>
      </c>
      <c r="F670" t="str">
        <f>IF(AND(AllData[[#This Row],[Time]]&lt;0.5, AllData[[#This Row],[Time]]&gt;0.17)=TRUE, "Morning", IF(AND(AllData[[#This Row],[Time]]&lt;0.75, AllData[[#This Row],[Time]]&gt;=0.5)=TRUE, "Afternoon", IF(AND(AllData[[#This Row],[Time]]&lt;1, AllData[[#This Row],[Time]]&gt;=0.75)=TRUE, "Evening", "Night")))</f>
        <v>Morning</v>
      </c>
      <c r="G670" t="str">
        <f>_xlfn.XLOOKUP(AllData[[#This Row],[Location Name]], Locations[Location Name],Locations[Group As])</f>
        <v>Black Bear</v>
      </c>
      <c r="H670" t="e" vm="4">
        <f>_xlfn.XLOOKUP(AllData[[#This Row],[Site Name]],LocationsKey[Site Name],LocationsKey[District])</f>
        <v>#VALUE!</v>
      </c>
      <c r="I670" t="e" vm="4">
        <f>_xlfn.XLOOKUP(AllData[[#This Row],[Site Name]],LocationsKey[Site Name],LocationsKey[Town])</f>
        <v>#VALUE!</v>
      </c>
      <c r="J670" t="str">
        <f>_xlfn.XLOOKUP(AllData[[#This Row],[Site Name]],LocationsKey[Site Name], LocationsKey[Waterway])</f>
        <v>Avon</v>
      </c>
      <c r="K670" t="s">
        <v>1175</v>
      </c>
      <c r="L670">
        <v>51.997506999999999</v>
      </c>
      <c r="M670">
        <v>-2.1561409999999999</v>
      </c>
      <c r="N670" t="s">
        <v>25</v>
      </c>
      <c r="O670">
        <v>945</v>
      </c>
      <c r="P670">
        <v>19.399999999999999</v>
      </c>
      <c r="Q670">
        <v>12</v>
      </c>
      <c r="R670" s="107" t="str">
        <f>IF(AllData[[#This Row],[Nitrate (PPM)]]&gt;2, "Very high", IF(AllData[[#This Row],[Nitrate (PPM)]]&gt;1, "High", IF(AllData[[#This Row],[Nitrate (PPM)]]&gt;0.5, "Some evidence", IF(AllData[[#This Row],[Nitrate (PPM)]]&gt;=0, "No evidence"))))</f>
        <v>Very high</v>
      </c>
      <c r="S670" s="108">
        <v>2.5</v>
      </c>
      <c r="T670" s="7" t="str">
        <f>IF(AllData[[#This Row],[Phosphate (PPM)]]&gt;0.5, "Very high", IF(AllData[[#This Row],[Phosphate (PPM)]]&gt;0.1, "High", IF(AllData[[#This Row],[Phosphate (PPM)]]&gt;0.05, "Some evidence", IF(AllData[[#This Row],[Phosphate (PPM)]]&lt;=0.05, "No Evidence", ""))))</f>
        <v>Very high</v>
      </c>
      <c r="U670">
        <v>0</v>
      </c>
    </row>
    <row r="671" spans="1:22" x14ac:dyDescent="0.35">
      <c r="A671" t="s">
        <v>2508</v>
      </c>
      <c r="B671" s="143">
        <v>45614</v>
      </c>
      <c r="C671" s="2" t="str" cm="1">
        <f t="array" ref="C6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1">
        <f>YEAR(AllData[[#This Row],[Date]])</f>
        <v>2024</v>
      </c>
      <c r="E671" s="1">
        <v>0.65277777777777779</v>
      </c>
      <c r="F671" t="str">
        <f>IF(AND(AllData[[#This Row],[Time]]&lt;0.5, AllData[[#This Row],[Time]]&gt;0.17)=TRUE, "Morning", IF(AND(AllData[[#This Row],[Time]]&lt;0.75, AllData[[#This Row],[Time]]&gt;=0.5)=TRUE, "Afternoon", IF(AND(AllData[[#This Row],[Time]]&lt;1, AllData[[#This Row],[Time]]&gt;=0.75)=TRUE, "Evening", "Night")))</f>
        <v>Afternoon</v>
      </c>
      <c r="G671" t="str">
        <f>_xlfn.XLOOKUP(AllData[[#This Row],[Location Name]], Locations[Location Name],Locations[Group As])</f>
        <v>Swiffen Bank</v>
      </c>
      <c r="H671" t="e" vm="1">
        <f>_xlfn.XLOOKUP(AllData[[#This Row],[Site Name]],LocationsKey[Site Name],LocationsKey[District])</f>
        <v>#VALUE!</v>
      </c>
      <c r="I671" t="e" vm="2">
        <f>_xlfn.XLOOKUP(AllData[[#This Row],[Site Name]],LocationsKey[Site Name],LocationsKey[Town])</f>
        <v>#VALUE!</v>
      </c>
      <c r="J671" t="str">
        <f>_xlfn.XLOOKUP(AllData[[#This Row],[Site Name]],LocationsKey[Site Name], LocationsKey[Waterway])</f>
        <v>Avon</v>
      </c>
      <c r="K671" t="s">
        <v>286</v>
      </c>
      <c r="L671">
        <v>52.206477999999997</v>
      </c>
      <c r="M671">
        <v>-1.653894</v>
      </c>
      <c r="N671" t="s">
        <v>31</v>
      </c>
      <c r="O671">
        <v>729</v>
      </c>
      <c r="P671">
        <v>11</v>
      </c>
      <c r="Q671">
        <v>10</v>
      </c>
      <c r="R671" s="107" t="str">
        <f>IF(AllData[[#This Row],[Nitrate (PPM)]]&gt;2, "Very high", IF(AllData[[#This Row],[Nitrate (PPM)]]&gt;1, "High", IF(AllData[[#This Row],[Nitrate (PPM)]]&gt;0.5, "Some evidence", IF(AllData[[#This Row],[Nitrate (PPM)]]&gt;=0, "No evidence"))))</f>
        <v>Very high</v>
      </c>
      <c r="S671" s="108">
        <v>0.48</v>
      </c>
      <c r="T671" s="7" t="str">
        <f>IF(AllData[[#This Row],[Phosphate (PPM)]]&gt;0.5, "Very high", IF(AllData[[#This Row],[Phosphate (PPM)]]&gt;0.1, "High", IF(AllData[[#This Row],[Phosphate (PPM)]]&gt;0.05, "Some evidence", IF(AllData[[#This Row],[Phosphate (PPM)]]&lt;=0.05, "No Evidence", ""))))</f>
        <v>High</v>
      </c>
      <c r="U671">
        <v>-1</v>
      </c>
      <c r="V671" t="s">
        <v>2509</v>
      </c>
    </row>
    <row r="672" spans="1:22" x14ac:dyDescent="0.35">
      <c r="A672" t="s">
        <v>2506</v>
      </c>
      <c r="B672" s="143">
        <v>45614</v>
      </c>
      <c r="C672" s="2" t="str" cm="1">
        <f t="array" ref="C6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2">
        <f>YEAR(AllData[[#This Row],[Date]])</f>
        <v>2024</v>
      </c>
      <c r="E672" s="1">
        <v>0.625</v>
      </c>
      <c r="F672" t="str">
        <f>IF(AND(AllData[[#This Row],[Time]]&lt;0.5, AllData[[#This Row],[Time]]&gt;0.17)=TRUE, "Morning", IF(AND(AllData[[#This Row],[Time]]&lt;0.75, AllData[[#This Row],[Time]]&gt;=0.5)=TRUE, "Afternoon", IF(AND(AllData[[#This Row],[Time]]&lt;1, AllData[[#This Row],[Time]]&gt;=0.75)=TRUE, "Evening", "Night")))</f>
        <v>Afternoon</v>
      </c>
      <c r="G672" t="str">
        <f>_xlfn.XLOOKUP(AllData[[#This Row],[Location Name]], Locations[Location Name],Locations[Group As])</f>
        <v>Alveston Weir</v>
      </c>
      <c r="H672" t="e" vm="1">
        <f>_xlfn.XLOOKUP(AllData[[#This Row],[Site Name]],LocationsKey[Site Name],LocationsKey[District])</f>
        <v>#VALUE!</v>
      </c>
      <c r="I672" t="e" vm="2">
        <f>_xlfn.XLOOKUP(AllData[[#This Row],[Site Name]],LocationsKey[Site Name],LocationsKey[Town])</f>
        <v>#VALUE!</v>
      </c>
      <c r="J672" t="str">
        <f>_xlfn.XLOOKUP(AllData[[#This Row],[Site Name]],LocationsKey[Site Name], LocationsKey[Waterway])</f>
        <v>Avon</v>
      </c>
      <c r="K672" t="s">
        <v>288</v>
      </c>
      <c r="L672">
        <v>52.212707000000002</v>
      </c>
      <c r="M672">
        <v>-1.659559</v>
      </c>
      <c r="N672" t="s">
        <v>31</v>
      </c>
      <c r="O672">
        <v>729</v>
      </c>
      <c r="P672">
        <v>11</v>
      </c>
      <c r="Q672">
        <v>10</v>
      </c>
      <c r="R672" s="107" t="str">
        <f>IF(AllData[[#This Row],[Nitrate (PPM)]]&gt;2, "Very high", IF(AllData[[#This Row],[Nitrate (PPM)]]&gt;1, "High", IF(AllData[[#This Row],[Nitrate (PPM)]]&gt;0.5, "Some evidence", IF(AllData[[#This Row],[Nitrate (PPM)]]&gt;=0, "No evidence"))))</f>
        <v>Very high</v>
      </c>
      <c r="S672" s="108">
        <v>0.48</v>
      </c>
      <c r="T672" s="7" t="str">
        <f>IF(AllData[[#This Row],[Phosphate (PPM)]]&gt;0.5, "Very high", IF(AllData[[#This Row],[Phosphate (PPM)]]&gt;0.1, "High", IF(AllData[[#This Row],[Phosphate (PPM)]]&gt;0.05, "Some evidence", IF(AllData[[#This Row],[Phosphate (PPM)]]&lt;=0.05, "No Evidence", ""))))</f>
        <v>High</v>
      </c>
      <c r="U672">
        <v>-1</v>
      </c>
      <c r="V672" t="s">
        <v>2507</v>
      </c>
    </row>
    <row r="673" spans="1:22" x14ac:dyDescent="0.35">
      <c r="A673" t="s">
        <v>2514</v>
      </c>
      <c r="B673" s="143">
        <v>45614</v>
      </c>
      <c r="C673" s="2" t="str" cm="1">
        <f t="array" ref="C6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3">
        <f>YEAR(AllData[[#This Row],[Date]])</f>
        <v>2024</v>
      </c>
      <c r="E673" s="1">
        <v>0.47291666666666665</v>
      </c>
      <c r="F673" t="str">
        <f>IF(AND(AllData[[#This Row],[Time]]&lt;0.5, AllData[[#This Row],[Time]]&gt;0.17)=TRUE, "Morning", IF(AND(AllData[[#This Row],[Time]]&lt;0.75, AllData[[#This Row],[Time]]&gt;=0.5)=TRUE, "Afternoon", IF(AND(AllData[[#This Row],[Time]]&lt;1, AllData[[#This Row],[Time]]&gt;=0.75)=TRUE, "Evening", "Night")))</f>
        <v>Morning</v>
      </c>
      <c r="G673" t="str">
        <f>_xlfn.XLOOKUP(AllData[[#This Row],[Location Name]], Locations[Location Name],Locations[Group As])</f>
        <v>Site 3  :  Severn Trent Water processing plant outflow</v>
      </c>
      <c r="H673" t="e" vm="1">
        <f>_xlfn.XLOOKUP(AllData[[#This Row],[Site Name]],LocationsKey[Site Name],LocationsKey[District])</f>
        <v>#VALUE!</v>
      </c>
      <c r="I673" t="e" vm="14">
        <f>_xlfn.XLOOKUP(AllData[[#This Row],[Site Name]],LocationsKey[Site Name],LocationsKey[Town])</f>
        <v>#VALUE!</v>
      </c>
      <c r="J673" t="str">
        <f>_xlfn.XLOOKUP(AllData[[#This Row],[Site Name]],LocationsKey[Site Name], LocationsKey[Waterway])</f>
        <v>Fosseway Brook</v>
      </c>
      <c r="K673" t="s">
        <v>1917</v>
      </c>
      <c r="L673">
        <v>52.094562000000003</v>
      </c>
      <c r="M673">
        <v>-1.675646</v>
      </c>
      <c r="N673" t="s">
        <v>31</v>
      </c>
      <c r="O673">
        <v>805</v>
      </c>
      <c r="P673">
        <v>10.7</v>
      </c>
      <c r="Q673">
        <v>5</v>
      </c>
      <c r="R673" s="107" t="str">
        <f>IF(AllData[[#This Row],[Nitrate (PPM)]]&gt;2, "Very high", IF(AllData[[#This Row],[Nitrate (PPM)]]&gt;1, "High", IF(AllData[[#This Row],[Nitrate (PPM)]]&gt;0.5, "Some evidence", IF(AllData[[#This Row],[Nitrate (PPM)]]&gt;=0, "No evidence"))))</f>
        <v>Very high</v>
      </c>
      <c r="S673" s="108">
        <v>5.9</v>
      </c>
      <c r="T673" s="7" t="str">
        <f>IF(AllData[[#This Row],[Phosphate (PPM)]]&gt;0.5, "Very high", IF(AllData[[#This Row],[Phosphate (PPM)]]&gt;0.1, "High", IF(AllData[[#This Row],[Phosphate (PPM)]]&gt;0.05, "Some evidence", IF(AllData[[#This Row],[Phosphate (PPM)]]&lt;=0.05, "No Evidence", ""))))</f>
        <v>Very high</v>
      </c>
      <c r="U673">
        <v>0.25</v>
      </c>
      <c r="V673" t="s">
        <v>2504</v>
      </c>
    </row>
    <row r="674" spans="1:22" x14ac:dyDescent="0.35">
      <c r="A674" t="s">
        <v>2517</v>
      </c>
      <c r="B674" s="143">
        <v>45614</v>
      </c>
      <c r="C674" s="2" t="str" cm="1">
        <f t="array" ref="C6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4">
        <f>YEAR(AllData[[#This Row],[Date]])</f>
        <v>2024</v>
      </c>
      <c r="E674" s="1">
        <v>0.5</v>
      </c>
      <c r="F674" t="str">
        <f>IF(AND(AllData[[#This Row],[Time]]&lt;0.5, AllData[[#This Row],[Time]]&gt;0.17)=TRUE, "Morning", IF(AND(AllData[[#This Row],[Time]]&lt;0.75, AllData[[#This Row],[Time]]&gt;=0.5)=TRUE, "Afternoon", IF(AND(AllData[[#This Row],[Time]]&lt;1, AllData[[#This Row],[Time]]&gt;=0.75)=TRUE, "Evening", "Night")))</f>
        <v>Afternoon</v>
      </c>
      <c r="G674" t="str">
        <f>_xlfn.XLOOKUP(AllData[[#This Row],[Location Name]], Locations[Location Name],Locations[Group As])</f>
        <v>Chipping Campden Craves</v>
      </c>
      <c r="H674" t="e" vm="9">
        <f>_xlfn.XLOOKUP(AllData[[#This Row],[Site Name]],LocationsKey[Site Name],LocationsKey[District])</f>
        <v>#VALUE!</v>
      </c>
      <c r="I674" t="e" vm="10">
        <f>_xlfn.XLOOKUP(AllData[[#This Row],[Site Name]],LocationsKey[Site Name],LocationsKey[Town])</f>
        <v>#VALUE!</v>
      </c>
      <c r="J674" t="str">
        <f>_xlfn.XLOOKUP(AllData[[#This Row],[Site Name]],LocationsKey[Site Name], LocationsKey[Waterway])</f>
        <v>Cam Brook</v>
      </c>
      <c r="K674" t="s">
        <v>2458</v>
      </c>
      <c r="L674">
        <v>52.048757000000002</v>
      </c>
      <c r="M674">
        <v>-1.786378</v>
      </c>
      <c r="N674" t="s">
        <v>68</v>
      </c>
      <c r="O674">
        <v>484</v>
      </c>
      <c r="P674">
        <v>12.5</v>
      </c>
      <c r="Q674">
        <v>5</v>
      </c>
      <c r="R674" s="107" t="str">
        <f>IF(AllData[[#This Row],[Nitrate (PPM)]]&gt;2, "Very high", IF(AllData[[#This Row],[Nitrate (PPM)]]&gt;1, "High", IF(AllData[[#This Row],[Nitrate (PPM)]]&gt;0.5, "Some evidence", IF(AllData[[#This Row],[Nitrate (PPM)]]&gt;=0, "No evidence"))))</f>
        <v>Very high</v>
      </c>
      <c r="S674" s="108">
        <v>0.1</v>
      </c>
      <c r="T674" s="7" t="str">
        <f>IF(AllData[[#This Row],[Phosphate (PPM)]]&gt;0.5, "Very high", IF(AllData[[#This Row],[Phosphate (PPM)]]&gt;0.1, "High", IF(AllData[[#This Row],[Phosphate (PPM)]]&gt;0.05, "Some evidence", IF(AllData[[#This Row],[Phosphate (PPM)]]&lt;=0.05, "No Evidence", ""))))</f>
        <v>Some evidence</v>
      </c>
      <c r="U674">
        <v>26</v>
      </c>
    </row>
    <row r="675" spans="1:22" x14ac:dyDescent="0.35">
      <c r="A675" t="s">
        <v>2511</v>
      </c>
      <c r="B675" s="143">
        <v>45614</v>
      </c>
      <c r="C675" s="2" t="str" cm="1">
        <f t="array" ref="C6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5">
        <f>YEAR(AllData[[#This Row],[Date]])</f>
        <v>2024</v>
      </c>
      <c r="E675" s="1">
        <v>0.60624999999999996</v>
      </c>
      <c r="F675" t="str">
        <f>IF(AND(AllData[[#This Row],[Time]]&lt;0.5, AllData[[#This Row],[Time]]&gt;0.17)=TRUE, "Morning", IF(AND(AllData[[#This Row],[Time]]&lt;0.75, AllData[[#This Row],[Time]]&gt;=0.5)=TRUE, "Afternoon", IF(AND(AllData[[#This Row],[Time]]&lt;1, AllData[[#This Row],[Time]]&gt;=0.75)=TRUE, "Evening", "Night")))</f>
        <v>Afternoon</v>
      </c>
      <c r="G675" t="str">
        <f>_xlfn.XLOOKUP(AllData[[#This Row],[Location Name]], Locations[Location Name],Locations[Group As])</f>
        <v>Abbey Mill</v>
      </c>
      <c r="H675" t="e" vm="4">
        <f>_xlfn.XLOOKUP(AllData[[#This Row],[Site Name]],LocationsKey[Site Name],LocationsKey[District])</f>
        <v>#VALUE!</v>
      </c>
      <c r="I675" t="e" vm="4">
        <f>_xlfn.XLOOKUP(AllData[[#This Row],[Site Name]],LocationsKey[Site Name],LocationsKey[Town])</f>
        <v>#VALUE!</v>
      </c>
      <c r="J675" t="str">
        <f>_xlfn.XLOOKUP(AllData[[#This Row],[Site Name]],LocationsKey[Site Name], LocationsKey[Waterway])</f>
        <v>Avon</v>
      </c>
      <c r="K675" t="s">
        <v>27</v>
      </c>
      <c r="L675">
        <v>51.991436</v>
      </c>
      <c r="M675">
        <v>-2.1630060000000002</v>
      </c>
      <c r="N675" t="s">
        <v>31</v>
      </c>
      <c r="O675">
        <v>103</v>
      </c>
      <c r="P675">
        <v>9.6</v>
      </c>
      <c r="Q675">
        <v>5</v>
      </c>
      <c r="R675" s="107" t="str">
        <f>IF(AllData[[#This Row],[Nitrate (PPM)]]&gt;2, "Very high", IF(AllData[[#This Row],[Nitrate (PPM)]]&gt;1, "High", IF(AllData[[#This Row],[Nitrate (PPM)]]&gt;0.5, "Some evidence", IF(AllData[[#This Row],[Nitrate (PPM)]]&gt;=0, "No evidence"))))</f>
        <v>Very high</v>
      </c>
      <c r="S675" s="108">
        <v>0.42</v>
      </c>
      <c r="T675" s="7" t="str">
        <f>IF(AllData[[#This Row],[Phosphate (PPM)]]&gt;0.5, "Very high", IF(AllData[[#This Row],[Phosphate (PPM)]]&gt;0.1, "High", IF(AllData[[#This Row],[Phosphate (PPM)]]&gt;0.05, "Some evidence", IF(AllData[[#This Row],[Phosphate (PPM)]]&lt;=0.05, "No Evidence", ""))))</f>
        <v>High</v>
      </c>
      <c r="U675">
        <v>0.5</v>
      </c>
      <c r="V675" t="s">
        <v>2512</v>
      </c>
    </row>
    <row r="676" spans="1:22" x14ac:dyDescent="0.35">
      <c r="A676" t="s">
        <v>2513</v>
      </c>
      <c r="B676" s="143">
        <v>45614</v>
      </c>
      <c r="C676" s="2" t="str" cm="1">
        <f t="array" ref="C6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6">
        <f>YEAR(AllData[[#This Row],[Date]])</f>
        <v>2024</v>
      </c>
      <c r="E676" s="1">
        <v>0.52638888888888891</v>
      </c>
      <c r="F676" t="str">
        <f>IF(AND(AllData[[#This Row],[Time]]&lt;0.5, AllData[[#This Row],[Time]]&gt;0.17)=TRUE, "Morning", IF(AND(AllData[[#This Row],[Time]]&lt;0.75, AllData[[#This Row],[Time]]&gt;=0.5)=TRUE, "Afternoon", IF(AND(AllData[[#This Row],[Time]]&lt;1, AllData[[#This Row],[Time]]&gt;=0.75)=TRUE, "Evening", "Night")))</f>
        <v>Afternoon</v>
      </c>
      <c r="G676" t="str">
        <f>_xlfn.XLOOKUP(AllData[[#This Row],[Location Name]], Locations[Location Name],Locations[Group As])</f>
        <v>Carrant Mitton Path</v>
      </c>
      <c r="H676" t="e" vm="4">
        <f>_xlfn.XLOOKUP(AllData[[#This Row],[Site Name]],LocationsKey[Site Name],LocationsKey[District])</f>
        <v>#VALUE!</v>
      </c>
      <c r="I676" t="e" vm="4">
        <f>_xlfn.XLOOKUP(AllData[[#This Row],[Site Name]],LocationsKey[Site Name],LocationsKey[Town])</f>
        <v>#VALUE!</v>
      </c>
      <c r="J676" t="str">
        <f>_xlfn.XLOOKUP(AllData[[#This Row],[Site Name]],LocationsKey[Site Name], LocationsKey[Waterway])</f>
        <v>Carrant</v>
      </c>
      <c r="K676" t="s">
        <v>1064</v>
      </c>
      <c r="L676">
        <v>51.999768000000003</v>
      </c>
      <c r="M676">
        <v>-2.1410200000000001</v>
      </c>
      <c r="N676" t="s">
        <v>31</v>
      </c>
      <c r="O676">
        <v>7300</v>
      </c>
      <c r="P676">
        <v>10.3</v>
      </c>
      <c r="Q676">
        <v>2</v>
      </c>
      <c r="R676" s="107" t="str">
        <f>IF(AllData[[#This Row],[Nitrate (PPM)]]&gt;2, "Very high", IF(AllData[[#This Row],[Nitrate (PPM)]]&gt;1, "High", IF(AllData[[#This Row],[Nitrate (PPM)]]&gt;0.5, "Some evidence", IF(AllData[[#This Row],[Nitrate (PPM)]]&gt;=0, "No evidence"))))</f>
        <v>High</v>
      </c>
      <c r="S676" s="108">
        <v>0.28000000000000003</v>
      </c>
      <c r="T676" s="7" t="str">
        <f>IF(AllData[[#This Row],[Phosphate (PPM)]]&gt;0.5, "Very high", IF(AllData[[#This Row],[Phosphate (PPM)]]&gt;0.1, "High", IF(AllData[[#This Row],[Phosphate (PPM)]]&gt;0.05, "Some evidence", IF(AllData[[#This Row],[Phosphate (PPM)]]&lt;=0.05, "No Evidence", ""))))</f>
        <v>High</v>
      </c>
      <c r="U676">
        <v>0</v>
      </c>
    </row>
    <row r="677" spans="1:22" x14ac:dyDescent="0.35">
      <c r="A677" t="s">
        <v>2510</v>
      </c>
      <c r="B677" s="143">
        <v>45614</v>
      </c>
      <c r="C677" s="2" t="str" cm="1">
        <f t="array" ref="C6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7">
        <f>YEAR(AllData[[#This Row],[Date]])</f>
        <v>2024</v>
      </c>
      <c r="E677" s="1">
        <v>0.34375</v>
      </c>
      <c r="F677" t="str">
        <f>IF(AND(AllData[[#This Row],[Time]]&lt;0.5, AllData[[#This Row],[Time]]&gt;0.17)=TRUE, "Morning", IF(AND(AllData[[#This Row],[Time]]&lt;0.75, AllData[[#This Row],[Time]]&gt;=0.5)=TRUE, "Afternoon", IF(AND(AllData[[#This Row],[Time]]&lt;1, AllData[[#This Row],[Time]]&gt;=0.75)=TRUE, "Evening", "Night")))</f>
        <v>Morning</v>
      </c>
      <c r="G677" t="str">
        <f>_xlfn.XLOOKUP(AllData[[#This Row],[Location Name]], Locations[Location Name],Locations[Group As])</f>
        <v>Chipping Campden Sewage Works</v>
      </c>
      <c r="H677" t="e" vm="9">
        <f>_xlfn.XLOOKUP(AllData[[#This Row],[Site Name]],LocationsKey[Site Name],LocationsKey[District])</f>
        <v>#VALUE!</v>
      </c>
      <c r="I677" t="e" vm="10">
        <f>_xlfn.XLOOKUP(AllData[[#This Row],[Site Name]],LocationsKey[Site Name],LocationsKey[Town])</f>
        <v>#VALUE!</v>
      </c>
      <c r="J677" t="str">
        <f>_xlfn.XLOOKUP(AllData[[#This Row],[Site Name]],LocationsKey[Site Name], LocationsKey[Waterway])</f>
        <v>Cam Brook</v>
      </c>
      <c r="K677" t="s">
        <v>1570</v>
      </c>
      <c r="N677" t="s">
        <v>31</v>
      </c>
      <c r="O677">
        <v>644</v>
      </c>
      <c r="P677">
        <v>10.5</v>
      </c>
      <c r="Q677">
        <v>2</v>
      </c>
      <c r="R677" s="107" t="str">
        <f>IF(AllData[[#This Row],[Nitrate (PPM)]]&gt;2, "Very high", IF(AllData[[#This Row],[Nitrate (PPM)]]&gt;1, "High", IF(AllData[[#This Row],[Nitrate (PPM)]]&gt;0.5, "Some evidence", IF(AllData[[#This Row],[Nitrate (PPM)]]&gt;=0, "No evidence"))))</f>
        <v>High</v>
      </c>
      <c r="S677" s="108">
        <v>0.11</v>
      </c>
      <c r="T677" s="7" t="str">
        <f>IF(AllData[[#This Row],[Phosphate (PPM)]]&gt;0.5, "Very high", IF(AllData[[#This Row],[Phosphate (PPM)]]&gt;0.1, "High", IF(AllData[[#This Row],[Phosphate (PPM)]]&gt;0.05, "Some evidence", IF(AllData[[#This Row],[Phosphate (PPM)]]&lt;=0.05, "No Evidence", ""))))</f>
        <v>High</v>
      </c>
      <c r="U677">
        <v>0.41</v>
      </c>
    </row>
    <row r="678" spans="1:22" x14ac:dyDescent="0.35">
      <c r="A678" t="s">
        <v>2515</v>
      </c>
      <c r="B678" s="143">
        <v>45614</v>
      </c>
      <c r="C678" s="2" t="str" cm="1">
        <f t="array" ref="C6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8">
        <f>YEAR(AllData[[#This Row],[Date]])</f>
        <v>2024</v>
      </c>
      <c r="E678" s="1">
        <v>0.33333333333333331</v>
      </c>
      <c r="F678" t="str">
        <f>IF(AND(AllData[[#This Row],[Time]]&lt;0.5, AllData[[#This Row],[Time]]&gt;0.17)=TRUE, "Morning", IF(AND(AllData[[#This Row],[Time]]&lt;0.75, AllData[[#This Row],[Time]]&gt;=0.5)=TRUE, "Afternoon", IF(AND(AllData[[#This Row],[Time]]&lt;1, AllData[[#This Row],[Time]]&gt;=0.75)=TRUE, "Evening", "Night")))</f>
        <v>Morning</v>
      </c>
      <c r="G678" t="str">
        <f>_xlfn.XLOOKUP(AllData[[#This Row],[Location Name]], Locations[Location Name],Locations[Group As])</f>
        <v>Chipping Campden Lady J Gateway</v>
      </c>
      <c r="H678" t="e" vm="9">
        <f>_xlfn.XLOOKUP(AllData[[#This Row],[Site Name]],LocationsKey[Site Name],LocationsKey[District])</f>
        <v>#VALUE!</v>
      </c>
      <c r="I678" t="e" vm="10">
        <f>_xlfn.XLOOKUP(AllData[[#This Row],[Site Name]],LocationsKey[Site Name],LocationsKey[Town])</f>
        <v>#VALUE!</v>
      </c>
      <c r="J678" t="str">
        <f>_xlfn.XLOOKUP(AllData[[#This Row],[Site Name]],LocationsKey[Site Name], LocationsKey[Waterway])</f>
        <v>Cam Brook</v>
      </c>
      <c r="K678" t="s">
        <v>1573</v>
      </c>
      <c r="N678" t="s">
        <v>68</v>
      </c>
      <c r="O678">
        <v>548</v>
      </c>
      <c r="P678">
        <v>8.6</v>
      </c>
      <c r="Q678">
        <v>2</v>
      </c>
      <c r="R678" s="107" t="str">
        <f>IF(AllData[[#This Row],[Nitrate (PPM)]]&gt;2, "Very high", IF(AllData[[#This Row],[Nitrate (PPM)]]&gt;1, "High", IF(AllData[[#This Row],[Nitrate (PPM)]]&gt;0.5, "Some evidence", IF(AllData[[#This Row],[Nitrate (PPM)]]&gt;=0, "No evidence"))))</f>
        <v>High</v>
      </c>
      <c r="S678" s="108">
        <v>0.16</v>
      </c>
      <c r="T678" s="7" t="str">
        <f>IF(AllData[[#This Row],[Phosphate (PPM)]]&gt;0.5, "Very high", IF(AllData[[#This Row],[Phosphate (PPM)]]&gt;0.1, "High", IF(AllData[[#This Row],[Phosphate (PPM)]]&gt;0.05, "Some evidence", IF(AllData[[#This Row],[Phosphate (PPM)]]&lt;=0.05, "No Evidence", ""))))</f>
        <v>High</v>
      </c>
      <c r="U678">
        <v>0.12</v>
      </c>
    </row>
    <row r="679" spans="1:22" x14ac:dyDescent="0.35">
      <c r="A679" t="s">
        <v>2503</v>
      </c>
      <c r="B679" s="143">
        <v>45614</v>
      </c>
      <c r="C679" s="2" t="str" cm="1">
        <f t="array" ref="C6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79">
        <f>YEAR(AllData[[#This Row],[Date]])</f>
        <v>2024</v>
      </c>
      <c r="E679" s="1">
        <v>0.45555555555555555</v>
      </c>
      <c r="F679" t="str">
        <f>IF(AND(AllData[[#This Row],[Time]]&lt;0.5, AllData[[#This Row],[Time]]&gt;0.17)=TRUE, "Morning", IF(AND(AllData[[#This Row],[Time]]&lt;0.75, AllData[[#This Row],[Time]]&gt;=0.5)=TRUE, "Afternoon", IF(AND(AllData[[#This Row],[Time]]&lt;1, AllData[[#This Row],[Time]]&gt;=0.75)=TRUE, "Evening", "Night")))</f>
        <v>Morning</v>
      </c>
      <c r="G679" t="str">
        <f>_xlfn.XLOOKUP(AllData[[#This Row],[Location Name]], Locations[Location Name],Locations[Group As])</f>
        <v>Site 2  :  Cross Leys culvert</v>
      </c>
      <c r="H679" t="e" vm="1">
        <f>_xlfn.XLOOKUP(AllData[[#This Row],[Site Name]],LocationsKey[Site Name],LocationsKey[District])</f>
        <v>#VALUE!</v>
      </c>
      <c r="I679" t="e" vm="14">
        <f>_xlfn.XLOOKUP(AllData[[#This Row],[Site Name]],LocationsKey[Site Name],LocationsKey[Town])</f>
        <v>#VALUE!</v>
      </c>
      <c r="J679" t="str">
        <f>_xlfn.XLOOKUP(AllData[[#This Row],[Site Name]],LocationsKey[Site Name], LocationsKey[Waterway])</f>
        <v>Fosseway Brook</v>
      </c>
      <c r="K679" t="s">
        <v>1915</v>
      </c>
      <c r="L679">
        <v>52.092961000000003</v>
      </c>
      <c r="M679">
        <v>-1.686094</v>
      </c>
      <c r="N679" t="s">
        <v>68</v>
      </c>
      <c r="O679">
        <v>687</v>
      </c>
      <c r="P679">
        <v>9.4</v>
      </c>
      <c r="Q679">
        <v>1.5</v>
      </c>
      <c r="R679" s="107" t="str">
        <f>IF(AllData[[#This Row],[Nitrate (PPM)]]&gt;2, "Very high", IF(AllData[[#This Row],[Nitrate (PPM)]]&gt;1, "High", IF(AllData[[#This Row],[Nitrate (PPM)]]&gt;0.5, "Some evidence", IF(AllData[[#This Row],[Nitrate (PPM)]]&gt;=0, "No evidence"))))</f>
        <v>High</v>
      </c>
      <c r="S679" s="108">
        <v>0.66</v>
      </c>
      <c r="T679" s="7" t="str">
        <f>IF(AllData[[#This Row],[Phosphate (PPM)]]&gt;0.5, "Very high", IF(AllData[[#This Row],[Phosphate (PPM)]]&gt;0.1, "High", IF(AllData[[#This Row],[Phosphate (PPM)]]&gt;0.05, "Some evidence", IF(AllData[[#This Row],[Phosphate (PPM)]]&lt;=0.05, "No Evidence", ""))))</f>
        <v>Very high</v>
      </c>
      <c r="U679">
        <v>0.22</v>
      </c>
      <c r="V679" t="s">
        <v>2504</v>
      </c>
    </row>
    <row r="680" spans="1:22" x14ac:dyDescent="0.35">
      <c r="A680" t="s">
        <v>2505</v>
      </c>
      <c r="B680" s="143">
        <v>45614</v>
      </c>
      <c r="C680" s="2" t="str" cm="1">
        <f t="array" ref="C6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0">
        <f>YEAR(AllData[[#This Row],[Date]])</f>
        <v>2024</v>
      </c>
      <c r="E680" s="1">
        <v>0.45</v>
      </c>
      <c r="F680" t="str">
        <f>IF(AND(AllData[[#This Row],[Time]]&lt;0.5, AllData[[#This Row],[Time]]&gt;0.17)=TRUE, "Morning", IF(AND(AllData[[#This Row],[Time]]&lt;0.75, AllData[[#This Row],[Time]]&gt;=0.5)=TRUE, "Afternoon", IF(AND(AllData[[#This Row],[Time]]&lt;1, AllData[[#This Row],[Time]]&gt;=0.75)=TRUE, "Evening", "Night")))</f>
        <v>Morning</v>
      </c>
      <c r="G680" t="str">
        <f>_xlfn.XLOOKUP(AllData[[#This Row],[Location Name]], Locations[Location Name],Locations[Group As])</f>
        <v>Site 1  :  Middle Street</v>
      </c>
      <c r="H680" t="e" vm="1">
        <f>_xlfn.XLOOKUP(AllData[[#This Row],[Site Name]],LocationsKey[Site Name],LocationsKey[District])</f>
        <v>#VALUE!</v>
      </c>
      <c r="I680" t="e" vm="14">
        <f>_xlfn.XLOOKUP(AllData[[#This Row],[Site Name]],LocationsKey[Site Name],LocationsKey[Town])</f>
        <v>#VALUE!</v>
      </c>
      <c r="J680" t="str">
        <f>_xlfn.XLOOKUP(AllData[[#This Row],[Site Name]],LocationsKey[Site Name], LocationsKey[Waterway])</f>
        <v>Fosseway Brook</v>
      </c>
      <c r="K680" t="s">
        <v>670</v>
      </c>
      <c r="L680">
        <v>52.090096000000003</v>
      </c>
      <c r="M680">
        <v>-1.692674</v>
      </c>
      <c r="N680" t="s">
        <v>68</v>
      </c>
      <c r="O680">
        <v>581</v>
      </c>
      <c r="P680">
        <v>8.9</v>
      </c>
      <c r="Q680">
        <v>1</v>
      </c>
      <c r="R680" s="107" t="str">
        <f>IF(AllData[[#This Row],[Nitrate (PPM)]]&gt;2, "Very high", IF(AllData[[#This Row],[Nitrate (PPM)]]&gt;1, "High", IF(AllData[[#This Row],[Nitrate (PPM)]]&gt;0.5, "Some evidence", IF(AllData[[#This Row],[Nitrate (PPM)]]&gt;=0, "No evidence"))))</f>
        <v>Some evidence</v>
      </c>
      <c r="S680" s="108">
        <v>0.24</v>
      </c>
      <c r="T680" s="7" t="str">
        <f>IF(AllData[[#This Row],[Phosphate (PPM)]]&gt;0.5, "Very high", IF(AllData[[#This Row],[Phosphate (PPM)]]&gt;0.1, "High", IF(AllData[[#This Row],[Phosphate (PPM)]]&gt;0.05, "Some evidence", IF(AllData[[#This Row],[Phosphate (PPM)]]&lt;=0.05, "No Evidence", ""))))</f>
        <v>High</v>
      </c>
      <c r="U680">
        <v>0.2</v>
      </c>
      <c r="V680" t="s">
        <v>2504</v>
      </c>
    </row>
    <row r="681" spans="1:22" x14ac:dyDescent="0.35">
      <c r="A681" t="s">
        <v>2501</v>
      </c>
      <c r="B681" s="143">
        <v>45613</v>
      </c>
      <c r="C681" s="2" t="str" cm="1">
        <f t="array" ref="C6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1">
        <f>YEAR(AllData[[#This Row],[Date]])</f>
        <v>2024</v>
      </c>
      <c r="E681" s="1">
        <v>0.41666666666666669</v>
      </c>
      <c r="F681" t="str">
        <f>IF(AND(AllData[[#This Row],[Time]]&lt;0.5, AllData[[#This Row],[Time]]&gt;0.17)=TRUE, "Morning", IF(AND(AllData[[#This Row],[Time]]&lt;0.75, AllData[[#This Row],[Time]]&gt;=0.5)=TRUE, "Afternoon", IF(AND(AllData[[#This Row],[Time]]&lt;1, AllData[[#This Row],[Time]]&gt;=0.75)=TRUE, "Evening", "Night")))</f>
        <v>Morning</v>
      </c>
      <c r="G681" t="str">
        <f>_xlfn.XLOOKUP(AllData[[#This Row],[Location Name]], Locations[Location Name],Locations[Group As])</f>
        <v>Sherbourne Brook 1</v>
      </c>
      <c r="H681" t="e" vm="1">
        <f>_xlfn.XLOOKUP(AllData[[#This Row],[Site Name]],LocationsKey[Site Name],LocationsKey[District])</f>
        <v>#VALUE!</v>
      </c>
      <c r="I681" t="e" vm="23">
        <f>_xlfn.XLOOKUP(AllData[[#This Row],[Site Name]],LocationsKey[Site Name],LocationsKey[Town])</f>
        <v>#VALUE!</v>
      </c>
      <c r="J681" t="str">
        <f>_xlfn.XLOOKUP(AllData[[#This Row],[Site Name]],LocationsKey[Site Name], LocationsKey[Waterway])</f>
        <v>Sherbourne Brook</v>
      </c>
      <c r="K681" t="s">
        <v>541</v>
      </c>
      <c r="O681">
        <v>1120</v>
      </c>
      <c r="P681">
        <v>12.1</v>
      </c>
      <c r="Q681">
        <v>10</v>
      </c>
      <c r="R681" s="107" t="str">
        <f>IF(AllData[[#This Row],[Nitrate (PPM)]]&gt;2, "Very high", IF(AllData[[#This Row],[Nitrate (PPM)]]&gt;1, "High", IF(AllData[[#This Row],[Nitrate (PPM)]]&gt;0.5, "Some evidence", IF(AllData[[#This Row],[Nitrate (PPM)]]&gt;=0, "No evidence"))))</f>
        <v>Very high</v>
      </c>
      <c r="S681" s="108">
        <v>0.36</v>
      </c>
      <c r="T681" s="7" t="str">
        <f>IF(AllData[[#This Row],[Phosphate (PPM)]]&gt;0.5, "Very high", IF(AllData[[#This Row],[Phosphate (PPM)]]&gt;0.1, "High", IF(AllData[[#This Row],[Phosphate (PPM)]]&gt;0.05, "Some evidence", IF(AllData[[#This Row],[Phosphate (PPM)]]&lt;=0.05, "No Evidence", ""))))</f>
        <v>High</v>
      </c>
      <c r="U681">
        <v>0.1</v>
      </c>
      <c r="V681" t="s">
        <v>2391</v>
      </c>
    </row>
    <row r="682" spans="1:22" x14ac:dyDescent="0.35">
      <c r="A682" t="s">
        <v>2500</v>
      </c>
      <c r="B682" s="143">
        <v>45613</v>
      </c>
      <c r="C682" s="2" t="str" cm="1">
        <f t="array" ref="C6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2">
        <f>YEAR(AllData[[#This Row],[Date]])</f>
        <v>2024</v>
      </c>
      <c r="E682" s="1">
        <v>0.42708333333333331</v>
      </c>
      <c r="F682" t="str">
        <f>IF(AND(AllData[[#This Row],[Time]]&lt;0.5, AllData[[#This Row],[Time]]&gt;0.17)=TRUE, "Morning", IF(AND(AllData[[#This Row],[Time]]&lt;0.75, AllData[[#This Row],[Time]]&gt;=0.5)=TRUE, "Afternoon", IF(AND(AllData[[#This Row],[Time]]&lt;1, AllData[[#This Row],[Time]]&gt;=0.75)=TRUE, "Evening", "Night")))</f>
        <v>Morning</v>
      </c>
      <c r="G682" t="str">
        <f>_xlfn.XLOOKUP(AllData[[#This Row],[Location Name]], Locations[Location Name],Locations[Group As])</f>
        <v>Bell Brook 1</v>
      </c>
      <c r="H682" t="e" vm="1">
        <f>_xlfn.XLOOKUP(AllData[[#This Row],[Site Name]],LocationsKey[Site Name],LocationsKey[District])</f>
        <v>#VALUE!</v>
      </c>
      <c r="I682" t="e" vm="19">
        <f>_xlfn.XLOOKUP(AllData[[#This Row],[Site Name]],LocationsKey[Site Name],LocationsKey[Town])</f>
        <v>#VALUE!</v>
      </c>
      <c r="J682" t="str">
        <f>_xlfn.XLOOKUP(AllData[[#This Row],[Site Name]],LocationsKey[Site Name], LocationsKey[Waterway])</f>
        <v>Bell Brook</v>
      </c>
      <c r="K682" t="s">
        <v>538</v>
      </c>
      <c r="O682">
        <v>812</v>
      </c>
      <c r="P682">
        <v>12.6</v>
      </c>
      <c r="Q682">
        <v>8</v>
      </c>
      <c r="R682" s="107" t="str">
        <f>IF(AllData[[#This Row],[Nitrate (PPM)]]&gt;2, "Very high", IF(AllData[[#This Row],[Nitrate (PPM)]]&gt;1, "High", IF(AllData[[#This Row],[Nitrate (PPM)]]&gt;0.5, "Some evidence", IF(AllData[[#This Row],[Nitrate (PPM)]]&gt;=0, "No evidence"))))</f>
        <v>Very high</v>
      </c>
      <c r="S682" s="108">
        <v>0.47</v>
      </c>
      <c r="T682" s="7" t="str">
        <f>IF(AllData[[#This Row],[Phosphate (PPM)]]&gt;0.5, "Very high", IF(AllData[[#This Row],[Phosphate (PPM)]]&gt;0.1, "High", IF(AllData[[#This Row],[Phosphate (PPM)]]&gt;0.05, "Some evidence", IF(AllData[[#This Row],[Phosphate (PPM)]]&lt;=0.05, "No Evidence", ""))))</f>
        <v>High</v>
      </c>
      <c r="U682">
        <v>0.1</v>
      </c>
      <c r="V682" t="s">
        <v>2391</v>
      </c>
    </row>
    <row r="683" spans="1:22" x14ac:dyDescent="0.35">
      <c r="A683" t="s">
        <v>2498</v>
      </c>
      <c r="B683" s="143">
        <v>45613</v>
      </c>
      <c r="C683" s="2" t="str" cm="1">
        <f t="array" ref="C6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3">
        <f>YEAR(AllData[[#This Row],[Date]])</f>
        <v>2024</v>
      </c>
      <c r="E683" s="1">
        <v>0.41736111111111113</v>
      </c>
      <c r="F683" t="str">
        <f>IF(AND(AllData[[#This Row],[Time]]&lt;0.5, AllData[[#This Row],[Time]]&gt;0.17)=TRUE, "Morning", IF(AND(AllData[[#This Row],[Time]]&lt;0.75, AllData[[#This Row],[Time]]&gt;=0.5)=TRUE, "Afternoon", IF(AND(AllData[[#This Row],[Time]]&lt;1, AllData[[#This Row],[Time]]&gt;=0.75)=TRUE, "Evening", "Night")))</f>
        <v>Morning</v>
      </c>
      <c r="G683" t="str">
        <f>_xlfn.XLOOKUP(AllData[[#This Row],[Location Name]], Locations[Location Name],Locations[Group As])</f>
        <v>The Ford, Langley</v>
      </c>
      <c r="H683" t="e" vm="1">
        <f>_xlfn.XLOOKUP(AllData[[#This Row],[Site Name]],LocationsKey[Site Name],LocationsKey[District])</f>
        <v>#VALUE!</v>
      </c>
      <c r="I683" t="str">
        <f>_xlfn.XLOOKUP(AllData[[#This Row],[Site Name]],LocationsKey[Site Name],LocationsKey[Town])</f>
        <v>Langley</v>
      </c>
      <c r="J683" t="str">
        <f>_xlfn.XLOOKUP(AllData[[#This Row],[Site Name]],LocationsKey[Site Name], LocationsKey[Waterway])</f>
        <v>Langley Ford</v>
      </c>
      <c r="K683" t="s">
        <v>561</v>
      </c>
      <c r="L683">
        <v>52.285290000000003</v>
      </c>
      <c r="M683">
        <v>-1.73953</v>
      </c>
      <c r="N683" t="s">
        <v>31</v>
      </c>
      <c r="O683">
        <v>652</v>
      </c>
      <c r="P683">
        <v>10.1</v>
      </c>
      <c r="Q683">
        <v>6</v>
      </c>
      <c r="R683" s="107" t="str">
        <f>IF(AllData[[#This Row],[Nitrate (PPM)]]&gt;2, "Very high", IF(AllData[[#This Row],[Nitrate (PPM)]]&gt;1, "High", IF(AllData[[#This Row],[Nitrate (PPM)]]&gt;0.5, "Some evidence", IF(AllData[[#This Row],[Nitrate (PPM)]]&gt;=0, "No evidence"))))</f>
        <v>Very high</v>
      </c>
      <c r="S683" s="108">
        <v>0.78</v>
      </c>
      <c r="T683" s="7" t="str">
        <f>IF(AllData[[#This Row],[Phosphate (PPM)]]&gt;0.5, "Very high", IF(AllData[[#This Row],[Phosphate (PPM)]]&gt;0.1, "High", IF(AllData[[#This Row],[Phosphate (PPM)]]&gt;0.05, "Some evidence", IF(AllData[[#This Row],[Phosphate (PPM)]]&lt;=0.05, "No Evidence", ""))))</f>
        <v>Very high</v>
      </c>
      <c r="U683">
        <v>0.5</v>
      </c>
      <c r="V683" t="s">
        <v>2499</v>
      </c>
    </row>
    <row r="684" spans="1:22" x14ac:dyDescent="0.35">
      <c r="A684" t="s">
        <v>2502</v>
      </c>
      <c r="B684" s="143">
        <v>45613</v>
      </c>
      <c r="C684" s="2" t="str" cm="1">
        <f t="array" ref="C6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4">
        <f>YEAR(AllData[[#This Row],[Date]])</f>
        <v>2024</v>
      </c>
      <c r="E684" s="1">
        <v>0.52083333333333337</v>
      </c>
      <c r="F684" t="str">
        <f>IF(AND(AllData[[#This Row],[Time]]&lt;0.5, AllData[[#This Row],[Time]]&gt;0.17)=TRUE, "Morning", IF(AND(AllData[[#This Row],[Time]]&lt;0.75, AllData[[#This Row],[Time]]&gt;=0.5)=TRUE, "Afternoon", IF(AND(AllData[[#This Row],[Time]]&lt;1, AllData[[#This Row],[Time]]&gt;=0.75)=TRUE, "Evening", "Night")))</f>
        <v>Afternoon</v>
      </c>
      <c r="G684" t="str">
        <f>_xlfn.XLOOKUP(AllData[[#This Row],[Location Name]], Locations[Location Name],Locations[Group As])</f>
        <v>Clifford Chambers Mill Bridge</v>
      </c>
      <c r="H684" t="e" vm="1">
        <f>_xlfn.XLOOKUP(AllData[[#This Row],[Site Name]],LocationsKey[Site Name],LocationsKey[District])</f>
        <v>#VALUE!</v>
      </c>
      <c r="I684" t="e" vm="22">
        <f>_xlfn.XLOOKUP(AllData[[#This Row],[Site Name]],LocationsKey[Site Name],LocationsKey[Town])</f>
        <v>#VALUE!</v>
      </c>
      <c r="J684" t="str">
        <f>_xlfn.XLOOKUP(AllData[[#This Row],[Site Name]],LocationsKey[Site Name], LocationsKey[Waterway])</f>
        <v>Stour</v>
      </c>
      <c r="K684" t="s">
        <v>266</v>
      </c>
      <c r="L684">
        <v>52.166370000000001</v>
      </c>
      <c r="M684">
        <v>-1.708032</v>
      </c>
      <c r="N684" t="s">
        <v>68</v>
      </c>
      <c r="O684">
        <v>603</v>
      </c>
      <c r="P684">
        <v>11.5</v>
      </c>
      <c r="Q684">
        <v>5</v>
      </c>
      <c r="R684" s="107" t="str">
        <f>IF(AllData[[#This Row],[Nitrate (PPM)]]&gt;2, "Very high", IF(AllData[[#This Row],[Nitrate (PPM)]]&gt;1, "High", IF(AllData[[#This Row],[Nitrate (PPM)]]&gt;0.5, "Some evidence", IF(AllData[[#This Row],[Nitrate (PPM)]]&gt;=0, "No evidence"))))</f>
        <v>Very high</v>
      </c>
      <c r="S684" s="108">
        <v>0.14000000000000001</v>
      </c>
      <c r="T684" s="7" t="str">
        <f>IF(AllData[[#This Row],[Phosphate (PPM)]]&gt;0.5, "Very high", IF(AllData[[#This Row],[Phosphate (PPM)]]&gt;0.1, "High", IF(AllData[[#This Row],[Phosphate (PPM)]]&gt;0.05, "Some evidence", IF(AllData[[#This Row],[Phosphate (PPM)]]&lt;=0.05, "No Evidence", ""))))</f>
        <v>High</v>
      </c>
      <c r="U684">
        <v>0.7</v>
      </c>
    </row>
    <row r="685" spans="1:22" x14ac:dyDescent="0.35">
      <c r="A685" t="s">
        <v>2489</v>
      </c>
      <c r="B685" s="143">
        <v>45612</v>
      </c>
      <c r="C685" s="2" t="str" cm="1">
        <f t="array" ref="C6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5">
        <f>YEAR(AllData[[#This Row],[Date]])</f>
        <v>2024</v>
      </c>
      <c r="E685" s="1">
        <v>0.47083333333333333</v>
      </c>
      <c r="F685" t="str">
        <f>IF(AND(AllData[[#This Row],[Time]]&lt;0.5, AllData[[#This Row],[Time]]&gt;0.17)=TRUE, "Morning", IF(AND(AllData[[#This Row],[Time]]&lt;0.75, AllData[[#This Row],[Time]]&gt;=0.5)=TRUE, "Afternoon", IF(AND(AllData[[#This Row],[Time]]&lt;1, AllData[[#This Row],[Time]]&gt;=0.75)=TRUE, "Evening", "Night")))</f>
        <v>Morning</v>
      </c>
      <c r="G685" t="str">
        <f>_xlfn.XLOOKUP(AllData[[#This Row],[Location Name]], Locations[Location Name],Locations[Group As])</f>
        <v>Lower Lode</v>
      </c>
      <c r="H685" t="e" vm="4">
        <f>_xlfn.XLOOKUP(AllData[[#This Row],[Site Name]],LocationsKey[Site Name],LocationsKey[District])</f>
        <v>#VALUE!</v>
      </c>
      <c r="I685" t="e" vm="4">
        <f>_xlfn.XLOOKUP(AllData[[#This Row],[Site Name]],LocationsKey[Site Name],LocationsKey[Town])</f>
        <v>#VALUE!</v>
      </c>
      <c r="J685" t="str">
        <f>_xlfn.XLOOKUP(AllData[[#This Row],[Site Name]],LocationsKey[Site Name], LocationsKey[Waterway])</f>
        <v>Avon</v>
      </c>
      <c r="K685" t="s">
        <v>595</v>
      </c>
      <c r="L685">
        <v>51.985030000000002</v>
      </c>
      <c r="M685">
        <v>-2.1740339999999998</v>
      </c>
      <c r="N685" t="s">
        <v>31</v>
      </c>
      <c r="O685">
        <v>9100</v>
      </c>
      <c r="P685">
        <v>12</v>
      </c>
      <c r="Q685">
        <v>10</v>
      </c>
      <c r="R685" s="107" t="str">
        <f>IF(AllData[[#This Row],[Nitrate (PPM)]]&gt;2, "Very high", IF(AllData[[#This Row],[Nitrate (PPM)]]&gt;1, "High", IF(AllData[[#This Row],[Nitrate (PPM)]]&gt;0.5, "Some evidence", IF(AllData[[#This Row],[Nitrate (PPM)]]&gt;=0, "No evidence"))))</f>
        <v>Very high</v>
      </c>
      <c r="S685" s="108">
        <v>0.7</v>
      </c>
      <c r="T685" s="7" t="str">
        <f>IF(AllData[[#This Row],[Phosphate (PPM)]]&gt;0.5, "Very high", IF(AllData[[#This Row],[Phosphate (PPM)]]&gt;0.1, "High", IF(AllData[[#This Row],[Phosphate (PPM)]]&gt;0.05, "Some evidence", IF(AllData[[#This Row],[Phosphate (PPM)]]&lt;=0.05, "No Evidence", ""))))</f>
        <v>Very high</v>
      </c>
      <c r="U685">
        <v>1</v>
      </c>
    </row>
    <row r="686" spans="1:22" x14ac:dyDescent="0.35">
      <c r="A686" t="s">
        <v>2495</v>
      </c>
      <c r="B686" s="143">
        <v>45612</v>
      </c>
      <c r="C686" s="2" t="str" cm="1">
        <f t="array" ref="C6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6">
        <f>YEAR(AllData[[#This Row],[Date]])</f>
        <v>2024</v>
      </c>
      <c r="E686" s="1">
        <v>0.49027777777777776</v>
      </c>
      <c r="F686" t="str">
        <f>IF(AND(AllData[[#This Row],[Time]]&lt;0.5, AllData[[#This Row],[Time]]&gt;0.17)=TRUE, "Morning", IF(AND(AllData[[#This Row],[Time]]&lt;0.75, AllData[[#This Row],[Time]]&gt;=0.5)=TRUE, "Afternoon", IF(AND(AllData[[#This Row],[Time]]&lt;1, AllData[[#This Row],[Time]]&gt;=0.75)=TRUE, "Evening", "Night")))</f>
        <v>Morning</v>
      </c>
      <c r="G686" t="str">
        <f>_xlfn.XLOOKUP(AllData[[#This Row],[Location Name]], Locations[Location Name],Locations[Group As])</f>
        <v>Piddle Brook Wyre Piddle Bridge</v>
      </c>
      <c r="H686" t="e" vm="6">
        <f>_xlfn.XLOOKUP(AllData[[#This Row],[Site Name]],LocationsKey[Site Name],LocationsKey[District])</f>
        <v>#VALUE!</v>
      </c>
      <c r="I686" t="e" vm="13">
        <f>_xlfn.XLOOKUP(AllData[[#This Row],[Site Name]],LocationsKey[Site Name],LocationsKey[Town])</f>
        <v>#VALUE!</v>
      </c>
      <c r="J686" t="str">
        <f>_xlfn.XLOOKUP(AllData[[#This Row],[Site Name]],LocationsKey[Site Name], LocationsKey[Waterway])</f>
        <v>Piddle Brook</v>
      </c>
      <c r="K686" t="s">
        <v>2496</v>
      </c>
      <c r="L686">
        <v>52.126390999999998</v>
      </c>
      <c r="M686">
        <v>-2.0564619999999998</v>
      </c>
      <c r="N686" t="s">
        <v>25</v>
      </c>
      <c r="O686">
        <v>1610</v>
      </c>
      <c r="P686">
        <v>8.8000000000000007</v>
      </c>
      <c r="Q686">
        <v>10</v>
      </c>
      <c r="R686" s="107" t="str">
        <f>IF(AllData[[#This Row],[Nitrate (PPM)]]&gt;2, "Very high", IF(AllData[[#This Row],[Nitrate (PPM)]]&gt;1, "High", IF(AllData[[#This Row],[Nitrate (PPM)]]&gt;0.5, "Some evidence", IF(AllData[[#This Row],[Nitrate (PPM)]]&gt;=0, "No evidence"))))</f>
        <v>Very high</v>
      </c>
      <c r="S686" s="108">
        <v>0.88</v>
      </c>
      <c r="T686" s="7" t="str">
        <f>IF(AllData[[#This Row],[Phosphate (PPM)]]&gt;0.5, "Very high", IF(AllData[[#This Row],[Phosphate (PPM)]]&gt;0.1, "High", IF(AllData[[#This Row],[Phosphate (PPM)]]&gt;0.05, "Some evidence", IF(AllData[[#This Row],[Phosphate (PPM)]]&lt;=0.05, "No Evidence", ""))))</f>
        <v>Very high</v>
      </c>
      <c r="U686">
        <v>0.18</v>
      </c>
      <c r="V686" t="s">
        <v>2497</v>
      </c>
    </row>
    <row r="687" spans="1:22" x14ac:dyDescent="0.35">
      <c r="A687" t="s">
        <v>2485</v>
      </c>
      <c r="B687" s="143">
        <v>45612</v>
      </c>
      <c r="C687" s="2" t="str" cm="1">
        <f t="array" ref="C6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7">
        <f>YEAR(AllData[[#This Row],[Date]])</f>
        <v>2024</v>
      </c>
      <c r="E687" s="1">
        <v>0.43402777777777779</v>
      </c>
      <c r="F687" t="str">
        <f>IF(AND(AllData[[#This Row],[Time]]&lt;0.5, AllData[[#This Row],[Time]]&gt;0.17)=TRUE, "Morning", IF(AND(AllData[[#This Row],[Time]]&lt;0.75, AllData[[#This Row],[Time]]&gt;=0.5)=TRUE, "Afternoon", IF(AND(AllData[[#This Row],[Time]]&lt;1, AllData[[#This Row],[Time]]&gt;=0.75)=TRUE, "Evening", "Night")))</f>
        <v>Morning</v>
      </c>
      <c r="G687" t="str">
        <f>_xlfn.XLOOKUP(AllData[[#This Row],[Location Name]], Locations[Location Name],Locations[Group As])</f>
        <v>Avon Smiths Meadow Wyre Piddle</v>
      </c>
      <c r="H687" t="e" vm="6">
        <f>_xlfn.XLOOKUP(AllData[[#This Row],[Site Name]],LocationsKey[Site Name],LocationsKey[District])</f>
        <v>#VALUE!</v>
      </c>
      <c r="I687" t="e" vm="13">
        <f>_xlfn.XLOOKUP(AllData[[#This Row],[Site Name]],LocationsKey[Site Name],LocationsKey[Town])</f>
        <v>#VALUE!</v>
      </c>
      <c r="J687" t="str">
        <f>_xlfn.XLOOKUP(AllData[[#This Row],[Site Name]],LocationsKey[Site Name], LocationsKey[Waterway])</f>
        <v>Avon</v>
      </c>
      <c r="K687" t="s">
        <v>2269</v>
      </c>
      <c r="L687">
        <v>52.123001000000002</v>
      </c>
      <c r="M687">
        <v>-2.0574430000000001</v>
      </c>
      <c r="N687" t="s">
        <v>25</v>
      </c>
      <c r="O687">
        <v>969</v>
      </c>
      <c r="P687">
        <v>10</v>
      </c>
      <c r="Q687">
        <v>10</v>
      </c>
      <c r="R687" s="107" t="str">
        <f>IF(AllData[[#This Row],[Nitrate (PPM)]]&gt;2, "Very high", IF(AllData[[#This Row],[Nitrate (PPM)]]&gt;1, "High", IF(AllData[[#This Row],[Nitrate (PPM)]]&gt;0.5, "Some evidence", IF(AllData[[#This Row],[Nitrate (PPM)]]&gt;=0, "No evidence"))))</f>
        <v>Very high</v>
      </c>
      <c r="S687" s="108">
        <v>0.59</v>
      </c>
      <c r="T687" s="7" t="str">
        <f>IF(AllData[[#This Row],[Phosphate (PPM)]]&gt;0.5, "Very high", IF(AllData[[#This Row],[Phosphate (PPM)]]&gt;0.1, "High", IF(AllData[[#This Row],[Phosphate (PPM)]]&gt;0.05, "Some evidence", IF(AllData[[#This Row],[Phosphate (PPM)]]&lt;=0.05, "No Evidence", ""))))</f>
        <v>Very high</v>
      </c>
      <c r="U687">
        <v>0.55000000000000004</v>
      </c>
      <c r="V687" t="s">
        <v>2486</v>
      </c>
    </row>
    <row r="688" spans="1:22" x14ac:dyDescent="0.35">
      <c r="A688" t="s">
        <v>2487</v>
      </c>
      <c r="B688" s="143">
        <v>45612</v>
      </c>
      <c r="C688" s="2" t="str" cm="1">
        <f t="array" ref="C6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8">
        <f>YEAR(AllData[[#This Row],[Date]])</f>
        <v>2024</v>
      </c>
      <c r="E688" s="1">
        <v>0.44097222222222221</v>
      </c>
      <c r="F688" t="str">
        <f>IF(AND(AllData[[#This Row],[Time]]&lt;0.5, AllData[[#This Row],[Time]]&gt;0.17)=TRUE, "Morning", IF(AND(AllData[[#This Row],[Time]]&lt;0.75, AllData[[#This Row],[Time]]&gt;=0.5)=TRUE, "Afternoon", IF(AND(AllData[[#This Row],[Time]]&lt;1, AllData[[#This Row],[Time]]&gt;=0.75)=TRUE, "Evening", "Night")))</f>
        <v>Morning</v>
      </c>
      <c r="G688" t="str">
        <f>_xlfn.XLOOKUP(AllData[[#This Row],[Location Name]], Locations[Location Name],Locations[Group As])</f>
        <v>Pitch 16</v>
      </c>
      <c r="H688" t="e" vm="1">
        <f>_xlfn.XLOOKUP(AllData[[#This Row],[Site Name]],LocationsKey[Site Name],LocationsKey[District])</f>
        <v>#VALUE!</v>
      </c>
      <c r="I688" t="e" vm="12">
        <f>_xlfn.XLOOKUP(AllData[[#This Row],[Site Name]],LocationsKey[Site Name],LocationsKey[Town])</f>
        <v>#VALUE!</v>
      </c>
      <c r="J688" t="str">
        <f>_xlfn.XLOOKUP(AllData[[#This Row],[Site Name]],LocationsKey[Site Name], LocationsKey[Waterway])</f>
        <v>Avon</v>
      </c>
      <c r="K688" t="s">
        <v>2488</v>
      </c>
      <c r="L688">
        <v>52.177084000000001</v>
      </c>
      <c r="M688">
        <v>-1.7356929999999999</v>
      </c>
      <c r="N688" t="s">
        <v>31</v>
      </c>
      <c r="O688">
        <v>988</v>
      </c>
      <c r="P688">
        <v>12.4</v>
      </c>
      <c r="Q688">
        <v>7</v>
      </c>
      <c r="R688" s="107" t="str">
        <f>IF(AllData[[#This Row],[Nitrate (PPM)]]&gt;2, "Very high", IF(AllData[[#This Row],[Nitrate (PPM)]]&gt;1, "High", IF(AllData[[#This Row],[Nitrate (PPM)]]&gt;0.5, "Some evidence", IF(AllData[[#This Row],[Nitrate (PPM)]]&gt;=0, "No evidence"))))</f>
        <v>Very high</v>
      </c>
      <c r="S688" s="108">
        <v>0.82</v>
      </c>
      <c r="T688" s="7" t="str">
        <f>IF(AllData[[#This Row],[Phosphate (PPM)]]&gt;0.5, "Very high", IF(AllData[[#This Row],[Phosphate (PPM)]]&gt;0.1, "High", IF(AllData[[#This Row],[Phosphate (PPM)]]&gt;0.05, "Some evidence", IF(AllData[[#This Row],[Phosphate (PPM)]]&lt;=0.05, "No Evidence", ""))))</f>
        <v>Very high</v>
      </c>
      <c r="U688">
        <v>0.6</v>
      </c>
    </row>
    <row r="689" spans="1:22" x14ac:dyDescent="0.35">
      <c r="A689" t="s">
        <v>2493</v>
      </c>
      <c r="B689" s="143">
        <v>45612</v>
      </c>
      <c r="C689" s="2" t="str" cm="1">
        <f t="array" ref="C6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89">
        <f>YEAR(AllData[[#This Row],[Date]])</f>
        <v>2024</v>
      </c>
      <c r="E689" s="1">
        <v>0.45416666666666666</v>
      </c>
      <c r="F689" t="str">
        <f>IF(AND(AllData[[#This Row],[Time]]&lt;0.5, AllData[[#This Row],[Time]]&gt;0.17)=TRUE, "Morning", IF(AND(AllData[[#This Row],[Time]]&lt;0.75, AllData[[#This Row],[Time]]&gt;=0.5)=TRUE, "Afternoon", IF(AND(AllData[[#This Row],[Time]]&lt;1, AllData[[#This Row],[Time]]&gt;=0.75)=TRUE, "Evening", "Night")))</f>
        <v>Morning</v>
      </c>
      <c r="G689" t="str">
        <f>_xlfn.XLOOKUP(AllData[[#This Row],[Location Name]], Locations[Location Name],Locations[Group As])</f>
        <v>Avonbank Drive</v>
      </c>
      <c r="H689" t="e" vm="1">
        <f>_xlfn.XLOOKUP(AllData[[#This Row],[Site Name]],LocationsKey[Site Name],LocationsKey[District])</f>
        <v>#VALUE!</v>
      </c>
      <c r="I689" t="e" vm="12">
        <f>_xlfn.XLOOKUP(AllData[[#This Row],[Site Name]],LocationsKey[Site Name],LocationsKey[Town])</f>
        <v>#VALUE!</v>
      </c>
      <c r="J689" t="str">
        <f>_xlfn.XLOOKUP(AllData[[#This Row],[Site Name]],LocationsKey[Site Name], LocationsKey[Waterway])</f>
        <v>Avon</v>
      </c>
      <c r="K689" t="s">
        <v>2494</v>
      </c>
      <c r="L689">
        <v>52.177118999999998</v>
      </c>
      <c r="M689">
        <v>-1.7358629999999999</v>
      </c>
      <c r="N689" t="s">
        <v>68</v>
      </c>
      <c r="O689">
        <v>1030</v>
      </c>
      <c r="P689">
        <v>13</v>
      </c>
      <c r="Q689">
        <v>5</v>
      </c>
      <c r="R689" s="107" t="str">
        <f>IF(AllData[[#This Row],[Nitrate (PPM)]]&gt;2, "Very high", IF(AllData[[#This Row],[Nitrate (PPM)]]&gt;1, "High", IF(AllData[[#This Row],[Nitrate (PPM)]]&gt;0.5, "Some evidence", IF(AllData[[#This Row],[Nitrate (PPM)]]&gt;=0, "No evidence"))))</f>
        <v>Very high</v>
      </c>
      <c r="S689" s="108">
        <v>0.63</v>
      </c>
      <c r="T689" s="7" t="str">
        <f>IF(AllData[[#This Row],[Phosphate (PPM)]]&gt;0.5, "Very high", IF(AllData[[#This Row],[Phosphate (PPM)]]&gt;0.1, "High", IF(AllData[[#This Row],[Phosphate (PPM)]]&gt;0.05, "Some evidence", IF(AllData[[#This Row],[Phosphate (PPM)]]&lt;=0.05, "No Evidence", ""))))</f>
        <v>Very high</v>
      </c>
      <c r="U689">
        <v>0.6</v>
      </c>
    </row>
    <row r="690" spans="1:22" x14ac:dyDescent="0.35">
      <c r="A690" t="s">
        <v>2490</v>
      </c>
      <c r="B690" s="143">
        <v>45612</v>
      </c>
      <c r="C690" s="2" t="str" cm="1">
        <f t="array" ref="C6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0">
        <f>YEAR(AllData[[#This Row],[Date]])</f>
        <v>2024</v>
      </c>
      <c r="E690" s="1">
        <v>0.50208333333333333</v>
      </c>
      <c r="F690" t="str">
        <f>IF(AND(AllData[[#This Row],[Time]]&lt;0.5, AllData[[#This Row],[Time]]&gt;0.17)=TRUE, "Morning", IF(AND(AllData[[#This Row],[Time]]&lt;0.75, AllData[[#This Row],[Time]]&gt;=0.5)=TRUE, "Afternoon", IF(AND(AllData[[#This Row],[Time]]&lt;1, AllData[[#This Row],[Time]]&gt;=0.75)=TRUE, "Evening", "Night")))</f>
        <v>Afternoon</v>
      </c>
      <c r="G690" t="str">
        <f>_xlfn.XLOOKUP(AllData[[#This Row],[Location Name]], Locations[Location Name],Locations[Group As])</f>
        <v>Site 3  :  Severn Trent Water processing plant outflow</v>
      </c>
      <c r="H690" t="e" vm="1">
        <f>_xlfn.XLOOKUP(AllData[[#This Row],[Site Name]],LocationsKey[Site Name],LocationsKey[District])</f>
        <v>#VALUE!</v>
      </c>
      <c r="I690" t="e" vm="14">
        <f>_xlfn.XLOOKUP(AllData[[#This Row],[Site Name]],LocationsKey[Site Name],LocationsKey[Town])</f>
        <v>#VALUE!</v>
      </c>
      <c r="J690" t="str">
        <f>_xlfn.XLOOKUP(AllData[[#This Row],[Site Name]],LocationsKey[Site Name], LocationsKey[Waterway])</f>
        <v>Fosseway Brook</v>
      </c>
      <c r="K690" t="s">
        <v>1826</v>
      </c>
      <c r="L690">
        <v>52.094459999999998</v>
      </c>
      <c r="M690">
        <v>-1.675913</v>
      </c>
      <c r="N690" t="s">
        <v>31</v>
      </c>
      <c r="O690">
        <v>834</v>
      </c>
      <c r="P690">
        <v>12.6</v>
      </c>
      <c r="Q690">
        <v>5</v>
      </c>
      <c r="R690" s="107" t="str">
        <f>IF(AllData[[#This Row],[Nitrate (PPM)]]&gt;2, "Very high", IF(AllData[[#This Row],[Nitrate (PPM)]]&gt;1, "High", IF(AllData[[#This Row],[Nitrate (PPM)]]&gt;0.5, "Some evidence", IF(AllData[[#This Row],[Nitrate (PPM)]]&gt;=0, "No evidence"))))</f>
        <v>Very high</v>
      </c>
      <c r="S690" s="108">
        <v>5.7</v>
      </c>
      <c r="T690" s="7" t="str">
        <f>IF(AllData[[#This Row],[Phosphate (PPM)]]&gt;0.5, "Very high", IF(AllData[[#This Row],[Phosphate (PPM)]]&gt;0.1, "High", IF(AllData[[#This Row],[Phosphate (PPM)]]&gt;0.05, "Some evidence", IF(AllData[[#This Row],[Phosphate (PPM)]]&lt;=0.05, "No Evidence", ""))))</f>
        <v>Very high</v>
      </c>
      <c r="U690">
        <v>0.2</v>
      </c>
    </row>
    <row r="691" spans="1:22" x14ac:dyDescent="0.35">
      <c r="A691" t="s">
        <v>2491</v>
      </c>
      <c r="B691" s="143">
        <v>45612</v>
      </c>
      <c r="C691" s="2" t="str" cm="1">
        <f t="array" ref="C6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1">
        <f>YEAR(AllData[[#This Row],[Date]])</f>
        <v>2024</v>
      </c>
      <c r="E691" s="1">
        <v>0.49513888888888891</v>
      </c>
      <c r="F691" t="str">
        <f>IF(AND(AllData[[#This Row],[Time]]&lt;0.5, AllData[[#This Row],[Time]]&gt;0.17)=TRUE, "Morning", IF(AND(AllData[[#This Row],[Time]]&lt;0.75, AllData[[#This Row],[Time]]&gt;=0.5)=TRUE, "Afternoon", IF(AND(AllData[[#This Row],[Time]]&lt;1, AllData[[#This Row],[Time]]&gt;=0.75)=TRUE, "Evening", "Night")))</f>
        <v>Morning</v>
      </c>
      <c r="G691" t="str">
        <f>_xlfn.XLOOKUP(AllData[[#This Row],[Location Name]], Locations[Location Name],Locations[Group As])</f>
        <v>Site 2  :  Cross Leys culvert</v>
      </c>
      <c r="H691" t="e" vm="1">
        <f>_xlfn.XLOOKUP(AllData[[#This Row],[Site Name]],LocationsKey[Site Name],LocationsKey[District])</f>
        <v>#VALUE!</v>
      </c>
      <c r="I691" t="e" vm="14">
        <f>_xlfn.XLOOKUP(AllData[[#This Row],[Site Name]],LocationsKey[Site Name],LocationsKey[Town])</f>
        <v>#VALUE!</v>
      </c>
      <c r="J691" t="str">
        <f>_xlfn.XLOOKUP(AllData[[#This Row],[Site Name]],LocationsKey[Site Name], LocationsKey[Waterway])</f>
        <v>Fosseway Brook</v>
      </c>
      <c r="K691" t="s">
        <v>1951</v>
      </c>
      <c r="L691">
        <v>52.093173999999998</v>
      </c>
      <c r="M691">
        <v>-1.6863319999999999</v>
      </c>
      <c r="N691" t="s">
        <v>68</v>
      </c>
      <c r="O691">
        <v>736</v>
      </c>
      <c r="P691">
        <v>11.4</v>
      </c>
      <c r="Q691">
        <v>2</v>
      </c>
      <c r="R691" s="107" t="str">
        <f>IF(AllData[[#This Row],[Nitrate (PPM)]]&gt;2, "Very high", IF(AllData[[#This Row],[Nitrate (PPM)]]&gt;1, "High", IF(AllData[[#This Row],[Nitrate (PPM)]]&gt;0.5, "Some evidence", IF(AllData[[#This Row],[Nitrate (PPM)]]&gt;=0, "No evidence"))))</f>
        <v>High</v>
      </c>
      <c r="S691" s="108">
        <v>0.43</v>
      </c>
      <c r="T691" s="7" t="str">
        <f>IF(AllData[[#This Row],[Phosphate (PPM)]]&gt;0.5, "Very high", IF(AllData[[#This Row],[Phosphate (PPM)]]&gt;0.1, "High", IF(AllData[[#This Row],[Phosphate (PPM)]]&gt;0.05, "Some evidence", IF(AllData[[#This Row],[Phosphate (PPM)]]&lt;=0.05, "No Evidence", ""))))</f>
        <v>High</v>
      </c>
      <c r="U691">
        <v>0.2</v>
      </c>
    </row>
    <row r="692" spans="1:22" x14ac:dyDescent="0.35">
      <c r="A692" t="s">
        <v>2492</v>
      </c>
      <c r="B692" s="143">
        <v>45612</v>
      </c>
      <c r="C692" s="2" t="str" cm="1">
        <f t="array" ref="C6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2">
        <f>YEAR(AllData[[#This Row],[Date]])</f>
        <v>2024</v>
      </c>
      <c r="E692" s="1">
        <v>0.4909722222222222</v>
      </c>
      <c r="F692" t="str">
        <f>IF(AND(AllData[[#This Row],[Time]]&lt;0.5, AllData[[#This Row],[Time]]&gt;0.17)=TRUE, "Morning", IF(AND(AllData[[#This Row],[Time]]&lt;0.75, AllData[[#This Row],[Time]]&gt;=0.5)=TRUE, "Afternoon", IF(AND(AllData[[#This Row],[Time]]&lt;1, AllData[[#This Row],[Time]]&gt;=0.75)=TRUE, "Evening", "Night")))</f>
        <v>Morning</v>
      </c>
      <c r="G692" t="str">
        <f>_xlfn.XLOOKUP(AllData[[#This Row],[Location Name]], Locations[Location Name],Locations[Group As])</f>
        <v>Site 1  :  Middle Street</v>
      </c>
      <c r="H692" t="e" vm="1">
        <f>_xlfn.XLOOKUP(AllData[[#This Row],[Site Name]],LocationsKey[Site Name],LocationsKey[District])</f>
        <v>#VALUE!</v>
      </c>
      <c r="I692" t="e" vm="14">
        <f>_xlfn.XLOOKUP(AllData[[#This Row],[Site Name]],LocationsKey[Site Name],LocationsKey[Town])</f>
        <v>#VALUE!</v>
      </c>
      <c r="J692" t="str">
        <f>_xlfn.XLOOKUP(AllData[[#This Row],[Site Name]],LocationsKey[Site Name], LocationsKey[Waterway])</f>
        <v>Fosseway Brook</v>
      </c>
      <c r="K692" t="s">
        <v>678</v>
      </c>
      <c r="L692">
        <v>52.090052</v>
      </c>
      <c r="M692">
        <v>-1.6926509999999999</v>
      </c>
      <c r="N692" t="s">
        <v>68</v>
      </c>
      <c r="O692">
        <v>593</v>
      </c>
      <c r="P692">
        <v>11.4</v>
      </c>
      <c r="Q692">
        <v>1</v>
      </c>
      <c r="R692" s="107" t="str">
        <f>IF(AllData[[#This Row],[Nitrate (PPM)]]&gt;2, "Very high", IF(AllData[[#This Row],[Nitrate (PPM)]]&gt;1, "High", IF(AllData[[#This Row],[Nitrate (PPM)]]&gt;0.5, "Some evidence", IF(AllData[[#This Row],[Nitrate (PPM)]]&gt;=0, "No evidence"))))</f>
        <v>Some evidence</v>
      </c>
      <c r="S692" s="108">
        <v>0.19</v>
      </c>
      <c r="T692" s="7" t="str">
        <f>IF(AllData[[#This Row],[Phosphate (PPM)]]&gt;0.5, "Very high", IF(AllData[[#This Row],[Phosphate (PPM)]]&gt;0.1, "High", IF(AllData[[#This Row],[Phosphate (PPM)]]&gt;0.05, "Some evidence", IF(AllData[[#This Row],[Phosphate (PPM)]]&lt;=0.05, "No Evidence", ""))))</f>
        <v>High</v>
      </c>
      <c r="U692">
        <v>0.1</v>
      </c>
    </row>
    <row r="693" spans="1:22" x14ac:dyDescent="0.35">
      <c r="A693" t="s">
        <v>2479</v>
      </c>
      <c r="B693" s="143">
        <v>45611</v>
      </c>
      <c r="C693" s="2" t="str" cm="1">
        <f t="array" ref="C6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3">
        <f>YEAR(AllData[[#This Row],[Date]])</f>
        <v>2024</v>
      </c>
      <c r="E693" s="1">
        <v>0.60416666666666663</v>
      </c>
      <c r="F693" t="str">
        <f>IF(AND(AllData[[#This Row],[Time]]&lt;0.5, AllData[[#This Row],[Time]]&gt;0.17)=TRUE, "Morning", IF(AND(AllData[[#This Row],[Time]]&lt;0.75, AllData[[#This Row],[Time]]&gt;=0.5)=TRUE, "Afternoon", IF(AND(AllData[[#This Row],[Time]]&lt;1, AllData[[#This Row],[Time]]&gt;=0.75)=TRUE, "Evening", "Night")))</f>
        <v>Afternoon</v>
      </c>
      <c r="G693" t="str">
        <f>_xlfn.XLOOKUP(AllData[[#This Row],[Location Name]], Locations[Location Name],Locations[Group As])</f>
        <v>Fell Mill Footbridge</v>
      </c>
      <c r="H693" t="e" vm="1">
        <f>_xlfn.XLOOKUP(AllData[[#This Row],[Site Name]],LocationsKey[Site Name],LocationsKey[District])</f>
        <v>#VALUE!</v>
      </c>
      <c r="I693" t="e" vm="15">
        <f>_xlfn.XLOOKUP(AllData[[#This Row],[Site Name]],LocationsKey[Site Name],LocationsKey[Town])</f>
        <v>#VALUE!</v>
      </c>
      <c r="J693" t="str">
        <f>_xlfn.XLOOKUP(AllData[[#This Row],[Site Name]],LocationsKey[Site Name], LocationsKey[Waterway])</f>
        <v>Stour</v>
      </c>
      <c r="K693" t="s">
        <v>1968</v>
      </c>
      <c r="L693">
        <v>52.070086000000003</v>
      </c>
      <c r="M693">
        <v>-1.61145</v>
      </c>
      <c r="N693" t="s">
        <v>31</v>
      </c>
      <c r="O693">
        <v>644</v>
      </c>
      <c r="P693">
        <v>9.3000000000000007</v>
      </c>
      <c r="Q693">
        <v>5</v>
      </c>
      <c r="R693" s="107" t="str">
        <f>IF(AllData[[#This Row],[Nitrate (PPM)]]&gt;2, "Very high", IF(AllData[[#This Row],[Nitrate (PPM)]]&gt;1, "High", IF(AllData[[#This Row],[Nitrate (PPM)]]&gt;0.5, "Some evidence", IF(AllData[[#This Row],[Nitrate (PPM)]]&gt;=0, "No evidence"))))</f>
        <v>Very high</v>
      </c>
      <c r="S693" s="108">
        <v>0.69</v>
      </c>
      <c r="T693" s="7" t="str">
        <f>IF(AllData[[#This Row],[Phosphate (PPM)]]&gt;0.5, "Very high", IF(AllData[[#This Row],[Phosphate (PPM)]]&gt;0.1, "High", IF(AllData[[#This Row],[Phosphate (PPM)]]&gt;0.05, "Some evidence", IF(AllData[[#This Row],[Phosphate (PPM)]]&lt;=0.05, "No Evidence", ""))))</f>
        <v>Very high</v>
      </c>
      <c r="U693">
        <v>1.45</v>
      </c>
    </row>
    <row r="694" spans="1:22" x14ac:dyDescent="0.35">
      <c r="A694" t="s">
        <v>2482</v>
      </c>
      <c r="B694" s="143">
        <v>45611</v>
      </c>
      <c r="C694" s="2" t="str" cm="1">
        <f t="array" ref="C6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4">
        <f>YEAR(AllData[[#This Row],[Date]])</f>
        <v>2024</v>
      </c>
      <c r="E694" s="1">
        <v>0.62847222222222221</v>
      </c>
      <c r="F694" t="str">
        <f>IF(AND(AllData[[#This Row],[Time]]&lt;0.5, AllData[[#This Row],[Time]]&gt;0.17)=TRUE, "Morning", IF(AND(AllData[[#This Row],[Time]]&lt;0.75, AllData[[#This Row],[Time]]&gt;=0.5)=TRUE, "Afternoon", IF(AND(AllData[[#This Row],[Time]]&lt;1, AllData[[#This Row],[Time]]&gt;=0.75)=TRUE, "Evening", "Night")))</f>
        <v>Afternoon</v>
      </c>
      <c r="G694" t="str">
        <f>_xlfn.XLOOKUP(AllData[[#This Row],[Location Name]], Locations[Location Name],Locations[Group As])</f>
        <v>Stour Shipston Mill Bridge</v>
      </c>
      <c r="H694" t="e" vm="1">
        <f>_xlfn.XLOOKUP(AllData[[#This Row],[Site Name]],LocationsKey[Site Name],LocationsKey[District])</f>
        <v>#VALUE!</v>
      </c>
      <c r="I694" t="e" vm="15">
        <f>_xlfn.XLOOKUP(AllData[[#This Row],[Site Name]],LocationsKey[Site Name],LocationsKey[Town])</f>
        <v>#VALUE!</v>
      </c>
      <c r="J694" t="str">
        <f>_xlfn.XLOOKUP(AllData[[#This Row],[Site Name]],LocationsKey[Site Name], LocationsKey[Waterway])</f>
        <v>Stour</v>
      </c>
      <c r="K694" t="s">
        <v>2483</v>
      </c>
      <c r="L694">
        <v>52.062204000000001</v>
      </c>
      <c r="M694">
        <v>-1.6222129999999999</v>
      </c>
      <c r="N694" t="s">
        <v>25</v>
      </c>
      <c r="O694">
        <v>6.6</v>
      </c>
      <c r="P694">
        <v>9.4</v>
      </c>
      <c r="Q694">
        <v>5</v>
      </c>
      <c r="R694" s="107" t="str">
        <f>IF(AllData[[#This Row],[Nitrate (PPM)]]&gt;2, "Very high", IF(AllData[[#This Row],[Nitrate (PPM)]]&gt;1, "High", IF(AllData[[#This Row],[Nitrate (PPM)]]&gt;0.5, "Some evidence", IF(AllData[[#This Row],[Nitrate (PPM)]]&gt;=0, "No evidence"))))</f>
        <v>Very high</v>
      </c>
      <c r="S694" s="108">
        <v>0</v>
      </c>
      <c r="T694" s="7" t="str">
        <f>IF(AllData[[#This Row],[Phosphate (PPM)]]&gt;0.5, "Very high", IF(AllData[[#This Row],[Phosphate (PPM)]]&gt;0.1, "High", IF(AllData[[#This Row],[Phosphate (PPM)]]&gt;0.05, "Some evidence", IF(AllData[[#This Row],[Phosphate (PPM)]]&lt;=0.05, "No Evidence", ""))))</f>
        <v>No Evidence</v>
      </c>
      <c r="U694">
        <v>0.5</v>
      </c>
      <c r="V694" t="s">
        <v>2484</v>
      </c>
    </row>
    <row r="695" spans="1:22" x14ac:dyDescent="0.35">
      <c r="A695" t="s">
        <v>2480</v>
      </c>
      <c r="B695" s="143">
        <v>45611</v>
      </c>
      <c r="C695" s="2" t="str" cm="1">
        <f t="array" ref="C6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5">
        <f>YEAR(AllData[[#This Row],[Date]])</f>
        <v>2024</v>
      </c>
      <c r="E695" s="1">
        <v>0.44930555555555557</v>
      </c>
      <c r="F695" t="str">
        <f>IF(AND(AllData[[#This Row],[Time]]&lt;0.5, AllData[[#This Row],[Time]]&gt;0.17)=TRUE, "Morning", IF(AND(AllData[[#This Row],[Time]]&lt;0.75, AllData[[#This Row],[Time]]&gt;=0.5)=TRUE, "Afternoon", IF(AND(AllData[[#This Row],[Time]]&lt;1, AllData[[#This Row],[Time]]&gt;=0.75)=TRUE, "Evening", "Night")))</f>
        <v>Morning</v>
      </c>
      <c r="G695" t="str">
        <f>_xlfn.XLOOKUP(AllData[[#This Row],[Location Name]], Locations[Location Name],Locations[Group As])</f>
        <v>Mill Bridge Peopleton</v>
      </c>
      <c r="H695" t="e" vm="6">
        <f>_xlfn.XLOOKUP(AllData[[#This Row],[Site Name]],LocationsKey[Site Name],LocationsKey[District])</f>
        <v>#VALUE!</v>
      </c>
      <c r="I695" t="str">
        <f>_xlfn.XLOOKUP(AllData[[#This Row],[Site Name]],LocationsKey[Site Name],LocationsKey[Town])</f>
        <v>Peopleton</v>
      </c>
      <c r="J695" t="str">
        <f>_xlfn.XLOOKUP(AllData[[#This Row],[Site Name]],LocationsKey[Site Name], LocationsKey[Waterway])</f>
        <v>Bow Brook</v>
      </c>
      <c r="K695" t="s">
        <v>1015</v>
      </c>
      <c r="L695">
        <v>52.151747</v>
      </c>
      <c r="M695">
        <v>-2.0963419999999999</v>
      </c>
      <c r="N695" t="s">
        <v>31</v>
      </c>
      <c r="O695">
        <v>1300</v>
      </c>
      <c r="P695">
        <v>8.6999999999999993</v>
      </c>
      <c r="Q695">
        <v>2</v>
      </c>
      <c r="R695" s="107" t="str">
        <f>IF(AllData[[#This Row],[Nitrate (PPM)]]&gt;2, "Very high", IF(AllData[[#This Row],[Nitrate (PPM)]]&gt;1, "High", IF(AllData[[#This Row],[Nitrate (PPM)]]&gt;0.5, "Some evidence", IF(AllData[[#This Row],[Nitrate (PPM)]]&gt;=0, "No evidence"))))</f>
        <v>High</v>
      </c>
      <c r="S695" s="108">
        <v>0.54</v>
      </c>
      <c r="T695" s="7" t="str">
        <f>IF(AllData[[#This Row],[Phosphate (PPM)]]&gt;0.5, "Very high", IF(AllData[[#This Row],[Phosphate (PPM)]]&gt;0.1, "High", IF(AllData[[#This Row],[Phosphate (PPM)]]&gt;0.05, "Some evidence", IF(AllData[[#This Row],[Phosphate (PPM)]]&lt;=0.05, "No Evidence", ""))))</f>
        <v>Very high</v>
      </c>
      <c r="U695">
        <v>0.35</v>
      </c>
      <c r="V695" t="s">
        <v>2481</v>
      </c>
    </row>
    <row r="696" spans="1:22" x14ac:dyDescent="0.35">
      <c r="A696" t="s">
        <v>2478</v>
      </c>
      <c r="B696" s="143">
        <v>45610</v>
      </c>
      <c r="C696" s="2" t="str" cm="1">
        <f t="array" ref="C6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6">
        <f>YEAR(AllData[[#This Row],[Date]])</f>
        <v>2024</v>
      </c>
      <c r="E696" s="1">
        <v>0.39930555555555558</v>
      </c>
      <c r="F696" t="str">
        <f>IF(AND(AllData[[#This Row],[Time]]&lt;0.5, AllData[[#This Row],[Time]]&gt;0.17)=TRUE, "Morning", IF(AND(AllData[[#This Row],[Time]]&lt;0.75, AllData[[#This Row],[Time]]&gt;=0.5)=TRUE, "Afternoon", IF(AND(AllData[[#This Row],[Time]]&lt;1, AllData[[#This Row],[Time]]&gt;=0.75)=TRUE, "Evening", "Night")))</f>
        <v>Morning</v>
      </c>
      <c r="G696" t="str">
        <f>_xlfn.XLOOKUP(AllData[[#This Row],[Location Name]], Locations[Location Name],Locations[Group As])</f>
        <v>Swilgate</v>
      </c>
      <c r="H696" t="e" vm="4">
        <f>_xlfn.XLOOKUP(AllData[[#This Row],[Site Name]],LocationsKey[Site Name],LocationsKey[District])</f>
        <v>#VALUE!</v>
      </c>
      <c r="I696" t="e" vm="4">
        <f>_xlfn.XLOOKUP(AllData[[#This Row],[Site Name]],LocationsKey[Site Name],LocationsKey[Town])</f>
        <v>#VALUE!</v>
      </c>
      <c r="J696" t="str">
        <f>_xlfn.XLOOKUP(AllData[[#This Row],[Site Name]],LocationsKey[Site Name], LocationsKey[Waterway])</f>
        <v>Swilgate</v>
      </c>
      <c r="K696" t="s">
        <v>85</v>
      </c>
      <c r="N696" t="s">
        <v>25</v>
      </c>
      <c r="O696">
        <v>1000</v>
      </c>
      <c r="P696">
        <v>10.8</v>
      </c>
      <c r="Q696">
        <v>4</v>
      </c>
      <c r="R696" s="107" t="str">
        <f>IF(AllData[[#This Row],[Nitrate (PPM)]]&gt;2, "Very high", IF(AllData[[#This Row],[Nitrate (PPM)]]&gt;1, "High", IF(AllData[[#This Row],[Nitrate (PPM)]]&gt;0.5, "Some evidence", IF(AllData[[#This Row],[Nitrate (PPM)]]&gt;=0, "No evidence"))))</f>
        <v>Very high</v>
      </c>
      <c r="S696" s="108">
        <v>0.55000000000000004</v>
      </c>
      <c r="T696" s="7" t="str">
        <f>IF(AllData[[#This Row],[Phosphate (PPM)]]&gt;0.5, "Very high", IF(AllData[[#This Row],[Phosphate (PPM)]]&gt;0.1, "High", IF(AllData[[#This Row],[Phosphate (PPM)]]&gt;0.05, "Some evidence", IF(AllData[[#This Row],[Phosphate (PPM)]]&lt;=0.05, "No Evidence", ""))))</f>
        <v>Very high</v>
      </c>
      <c r="U696">
        <v>0</v>
      </c>
    </row>
    <row r="697" spans="1:22" x14ac:dyDescent="0.35">
      <c r="A697" t="s">
        <v>2469</v>
      </c>
      <c r="B697" s="143">
        <v>45609</v>
      </c>
      <c r="C697" s="2" t="str" cm="1">
        <f t="array" ref="C6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7">
        <f>YEAR(AllData[[#This Row],[Date]])</f>
        <v>2024</v>
      </c>
      <c r="E697" s="1">
        <v>0.4201388888888889</v>
      </c>
      <c r="F697" t="str">
        <f>IF(AND(AllData[[#This Row],[Time]]&lt;0.5, AllData[[#This Row],[Time]]&gt;0.17)=TRUE, "Morning", IF(AND(AllData[[#This Row],[Time]]&lt;0.75, AllData[[#This Row],[Time]]&gt;=0.5)=TRUE, "Afternoon", IF(AND(AllData[[#This Row],[Time]]&lt;1, AllData[[#This Row],[Time]]&gt;=0.75)=TRUE, "Evening", "Night")))</f>
        <v>Morning</v>
      </c>
      <c r="G697" t="str">
        <f>_xlfn.XLOOKUP(AllData[[#This Row],[Location Name]], Locations[Location Name],Locations[Group As])</f>
        <v>Dock Lane Bredon</v>
      </c>
      <c r="H697" t="e" vm="6">
        <f>_xlfn.XLOOKUP(AllData[[#This Row],[Site Name]],LocationsKey[Site Name],LocationsKey[District])</f>
        <v>#VALUE!</v>
      </c>
      <c r="I697" t="e" vm="11">
        <f>_xlfn.XLOOKUP(AllData[[#This Row],[Site Name]],LocationsKey[Site Name],LocationsKey[Town])</f>
        <v>#VALUE!</v>
      </c>
      <c r="J697" t="str">
        <f>_xlfn.XLOOKUP(AllData[[#This Row],[Site Name]],LocationsKey[Site Name], LocationsKey[Waterway])</f>
        <v>Avon</v>
      </c>
      <c r="K697" t="s">
        <v>2470</v>
      </c>
      <c r="N697" t="s">
        <v>31</v>
      </c>
      <c r="O697">
        <v>9960</v>
      </c>
      <c r="P697">
        <v>10.3</v>
      </c>
      <c r="Q697">
        <v>10</v>
      </c>
      <c r="R697" s="107" t="str">
        <f>IF(AllData[[#This Row],[Nitrate (PPM)]]&gt;2, "Very high", IF(AllData[[#This Row],[Nitrate (PPM)]]&gt;1, "High", IF(AllData[[#This Row],[Nitrate (PPM)]]&gt;0.5, "Some evidence", IF(AllData[[#This Row],[Nitrate (PPM)]]&gt;=0, "No evidence"))))</f>
        <v>Very high</v>
      </c>
      <c r="S697" s="108">
        <v>0.71</v>
      </c>
      <c r="T697" s="7" t="str">
        <f>IF(AllData[[#This Row],[Phosphate (PPM)]]&gt;0.5, "Very high", IF(AllData[[#This Row],[Phosphate (PPM)]]&gt;0.1, "High", IF(AllData[[#This Row],[Phosphate (PPM)]]&gt;0.05, "Some evidence", IF(AllData[[#This Row],[Phosphate (PPM)]]&lt;=0.05, "No Evidence", ""))))</f>
        <v>Very high</v>
      </c>
      <c r="U697">
        <v>1.9</v>
      </c>
      <c r="V697" t="s">
        <v>2225</v>
      </c>
    </row>
    <row r="698" spans="1:22" x14ac:dyDescent="0.35">
      <c r="A698" t="s">
        <v>2474</v>
      </c>
      <c r="B698" s="143">
        <v>45609</v>
      </c>
      <c r="C698" s="2" t="str" cm="1">
        <f t="array" ref="C6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8">
        <f>YEAR(AllData[[#This Row],[Date]])</f>
        <v>2024</v>
      </c>
      <c r="E698" s="1">
        <v>0.73958333333333337</v>
      </c>
      <c r="F698" t="str">
        <f>IF(AND(AllData[[#This Row],[Time]]&lt;0.5, AllData[[#This Row],[Time]]&gt;0.17)=TRUE, "Morning", IF(AND(AllData[[#This Row],[Time]]&lt;0.75, AllData[[#This Row],[Time]]&gt;=0.5)=TRUE, "Afternoon", IF(AND(AllData[[#This Row],[Time]]&lt;1, AllData[[#This Row],[Time]]&gt;=0.75)=TRUE, "Evening", "Night")))</f>
        <v>Afternoon</v>
      </c>
      <c r="G698" t="str">
        <f>_xlfn.XLOOKUP(AllData[[#This Row],[Location Name]], Locations[Location Name],Locations[Group As])</f>
        <v>School Lane</v>
      </c>
      <c r="H698" t="e" vm="1">
        <f>_xlfn.XLOOKUP(AllData[[#This Row],[Site Name]],LocationsKey[Site Name],LocationsKey[District])</f>
        <v>#VALUE!</v>
      </c>
      <c r="I698" t="e" vm="3">
        <f>_xlfn.XLOOKUP(AllData[[#This Row],[Site Name]],LocationsKey[Site Name],LocationsKey[Town])</f>
        <v>#VALUE!</v>
      </c>
      <c r="J698" t="str">
        <f>_xlfn.XLOOKUP(AllData[[#This Row],[Site Name]],LocationsKey[Site Name], LocationsKey[Waterway])</f>
        <v>Avon</v>
      </c>
      <c r="K698" t="s">
        <v>2475</v>
      </c>
      <c r="L698">
        <v>52.202536000000002</v>
      </c>
      <c r="M698">
        <v>-1.678741</v>
      </c>
      <c r="N698" t="s">
        <v>31</v>
      </c>
      <c r="O698">
        <v>980</v>
      </c>
      <c r="P698">
        <v>10.6</v>
      </c>
      <c r="Q698">
        <v>10</v>
      </c>
      <c r="R698" s="107" t="str">
        <f>IF(AllData[[#This Row],[Nitrate (PPM)]]&gt;2, "Very high", IF(AllData[[#This Row],[Nitrate (PPM)]]&gt;1, "High", IF(AllData[[#This Row],[Nitrate (PPM)]]&gt;0.5, "Some evidence", IF(AllData[[#This Row],[Nitrate (PPM)]]&gt;=0, "No evidence"))))</f>
        <v>Very high</v>
      </c>
      <c r="S698" s="108">
        <v>0.4</v>
      </c>
      <c r="T698" s="7" t="str">
        <f>IF(AllData[[#This Row],[Phosphate (PPM)]]&gt;0.5, "Very high", IF(AllData[[#This Row],[Phosphate (PPM)]]&gt;0.1, "High", IF(AllData[[#This Row],[Phosphate (PPM)]]&gt;0.05, "Some evidence", IF(AllData[[#This Row],[Phosphate (PPM)]]&lt;=0.05, "No Evidence", ""))))</f>
        <v>High</v>
      </c>
      <c r="U698">
        <v>0.63</v>
      </c>
      <c r="V698" t="s">
        <v>2476</v>
      </c>
    </row>
    <row r="699" spans="1:22" x14ac:dyDescent="0.35">
      <c r="A699" t="s">
        <v>2473</v>
      </c>
      <c r="B699" s="143">
        <v>45609</v>
      </c>
      <c r="C699" s="2" t="str" cm="1">
        <f t="array" ref="C6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699">
        <f>YEAR(AllData[[#This Row],[Date]])</f>
        <v>2024</v>
      </c>
      <c r="E699" s="1">
        <v>0.65416666666666667</v>
      </c>
      <c r="F699" t="str">
        <f>IF(AND(AllData[[#This Row],[Time]]&lt;0.5, AllData[[#This Row],[Time]]&gt;0.17)=TRUE, "Morning", IF(AND(AllData[[#This Row],[Time]]&lt;0.75, AllData[[#This Row],[Time]]&gt;=0.5)=TRUE, "Afternoon", IF(AND(AllData[[#This Row],[Time]]&lt;1, AllData[[#This Row],[Time]]&gt;=0.75)=TRUE, "Evening", "Night")))</f>
        <v>Afternoon</v>
      </c>
      <c r="G699" t="str">
        <f>_xlfn.XLOOKUP(AllData[[#This Row],[Location Name]], Locations[Location Name],Locations[Group As])</f>
        <v>Twyning Fleet</v>
      </c>
      <c r="H699" t="e" vm="4">
        <f>_xlfn.XLOOKUP(AllData[[#This Row],[Site Name]],LocationsKey[Site Name],LocationsKey[District])</f>
        <v>#VALUE!</v>
      </c>
      <c r="I699" t="str">
        <f>_xlfn.XLOOKUP(AllData[[#This Row],[Site Name]],LocationsKey[Site Name],LocationsKey[Town])</f>
        <v>Twyning Green</v>
      </c>
      <c r="J699" t="str">
        <f>_xlfn.XLOOKUP(AllData[[#This Row],[Site Name]],LocationsKey[Site Name], LocationsKey[Waterway])</f>
        <v>Avon</v>
      </c>
      <c r="K699" t="s">
        <v>2181</v>
      </c>
      <c r="L699">
        <v>52.027237999999997</v>
      </c>
      <c r="M699">
        <v>-2.1410559999999998</v>
      </c>
      <c r="O699">
        <v>957</v>
      </c>
      <c r="P699">
        <v>12.3</v>
      </c>
      <c r="Q699">
        <v>10</v>
      </c>
      <c r="R699" s="107" t="str">
        <f>IF(AllData[[#This Row],[Nitrate (PPM)]]&gt;2, "Very high", IF(AllData[[#This Row],[Nitrate (PPM)]]&gt;1, "High", IF(AllData[[#This Row],[Nitrate (PPM)]]&gt;0.5, "Some evidence", IF(AllData[[#This Row],[Nitrate (PPM)]]&gt;=0, "No evidence"))))</f>
        <v>Very high</v>
      </c>
      <c r="S699" s="108">
        <v>0.86</v>
      </c>
      <c r="T699" s="7" t="str">
        <f>IF(AllData[[#This Row],[Phosphate (PPM)]]&gt;0.5, "Very high", IF(AllData[[#This Row],[Phosphate (PPM)]]&gt;0.1, "High", IF(AllData[[#This Row],[Phosphate (PPM)]]&gt;0.05, "Some evidence", IF(AllData[[#This Row],[Phosphate (PPM)]]&lt;=0.05, "No Evidence", ""))))</f>
        <v>Very high</v>
      </c>
      <c r="U699">
        <v>0</v>
      </c>
    </row>
    <row r="700" spans="1:22" x14ac:dyDescent="0.35">
      <c r="A700" t="s">
        <v>2467</v>
      </c>
      <c r="B700" s="143">
        <v>45609</v>
      </c>
      <c r="C700" s="2" t="str" cm="1">
        <f t="array" ref="C7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0">
        <f>YEAR(AllData[[#This Row],[Date]])</f>
        <v>2024</v>
      </c>
      <c r="E700" s="1">
        <v>0.72916666666666663</v>
      </c>
      <c r="F700" t="str">
        <f>IF(AND(AllData[[#This Row],[Time]]&lt;0.5, AllData[[#This Row],[Time]]&gt;0.17)=TRUE, "Morning", IF(AND(AllData[[#This Row],[Time]]&lt;0.75, AllData[[#This Row],[Time]]&gt;=0.5)=TRUE, "Afternoon", IF(AND(AllData[[#This Row],[Time]]&lt;1, AllData[[#This Row],[Time]]&gt;=0.75)=TRUE, "Evening", "Night")))</f>
        <v>Afternoon</v>
      </c>
      <c r="G700" t="str">
        <f>_xlfn.XLOOKUP(AllData[[#This Row],[Location Name]], Locations[Location Name],Locations[Group As])</f>
        <v>Carters Lane</v>
      </c>
      <c r="H700" t="e" vm="1">
        <f>_xlfn.XLOOKUP(AllData[[#This Row],[Site Name]],LocationsKey[Site Name],LocationsKey[District])</f>
        <v>#VALUE!</v>
      </c>
      <c r="I700" t="e" vm="3">
        <f>_xlfn.XLOOKUP(AllData[[#This Row],[Site Name]],LocationsKey[Site Name],LocationsKey[Town])</f>
        <v>#VALUE!</v>
      </c>
      <c r="J700" t="str">
        <f>_xlfn.XLOOKUP(AllData[[#This Row],[Site Name]],LocationsKey[Site Name], LocationsKey[Waterway])</f>
        <v>Avon</v>
      </c>
      <c r="K700" t="s">
        <v>2468</v>
      </c>
      <c r="L700">
        <v>52.202407999999998</v>
      </c>
      <c r="M700">
        <v>-1.676922</v>
      </c>
      <c r="N700" t="s">
        <v>68</v>
      </c>
      <c r="O700">
        <v>955</v>
      </c>
      <c r="P700">
        <v>10.6</v>
      </c>
      <c r="Q700">
        <v>10</v>
      </c>
      <c r="R700" s="107" t="str">
        <f>IF(AllData[[#This Row],[Nitrate (PPM)]]&gt;2, "Very high", IF(AllData[[#This Row],[Nitrate (PPM)]]&gt;1, "High", IF(AllData[[#This Row],[Nitrate (PPM)]]&gt;0.5, "Some evidence", IF(AllData[[#This Row],[Nitrate (PPM)]]&gt;=0, "No evidence"))))</f>
        <v>Very high</v>
      </c>
      <c r="S700" s="108">
        <v>0.81</v>
      </c>
      <c r="T700" s="7" t="str">
        <f>IF(AllData[[#This Row],[Phosphate (PPM)]]&gt;0.5, "Very high", IF(AllData[[#This Row],[Phosphate (PPM)]]&gt;0.1, "High", IF(AllData[[#This Row],[Phosphate (PPM)]]&gt;0.05, "Some evidence", IF(AllData[[#This Row],[Phosphate (PPM)]]&lt;=0.05, "No Evidence", ""))))</f>
        <v>Very high</v>
      </c>
      <c r="U700">
        <v>0.63</v>
      </c>
    </row>
    <row r="701" spans="1:22" x14ac:dyDescent="0.35">
      <c r="A701" t="s">
        <v>2472</v>
      </c>
      <c r="B701" s="143">
        <v>45609</v>
      </c>
      <c r="C701" s="2" t="str" cm="1">
        <f t="array" ref="C7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1">
        <f>YEAR(AllData[[#This Row],[Date]])</f>
        <v>2024</v>
      </c>
      <c r="E701" s="1">
        <v>0.62291666666666667</v>
      </c>
      <c r="F701" t="str">
        <f>IF(AND(AllData[[#This Row],[Time]]&lt;0.5, AllData[[#This Row],[Time]]&gt;0.17)=TRUE, "Morning", IF(AND(AllData[[#This Row],[Time]]&lt;0.75, AllData[[#This Row],[Time]]&gt;=0.5)=TRUE, "Afternoon", IF(AND(AllData[[#This Row],[Time]]&lt;1, AllData[[#This Row],[Time]]&gt;=0.75)=TRUE, "Evening", "Night")))</f>
        <v>Afternoon</v>
      </c>
      <c r="G701" t="str">
        <f>_xlfn.XLOOKUP(AllData[[#This Row],[Location Name]], Locations[Location Name],Locations[Group As])</f>
        <v>Stour Whichford</v>
      </c>
      <c r="H701" t="e" vm="1">
        <f>_xlfn.XLOOKUP(AllData[[#This Row],[Site Name]],LocationsKey[Site Name],LocationsKey[District])</f>
        <v>#VALUE!</v>
      </c>
      <c r="I701" t="e" vm="24">
        <f>_xlfn.XLOOKUP(AllData[[#This Row],[Site Name]],LocationsKey[Site Name],LocationsKey[Town])</f>
        <v>#VALUE!</v>
      </c>
      <c r="J701" t="str">
        <f>_xlfn.XLOOKUP(AllData[[#This Row],[Site Name]],LocationsKey[Site Name], LocationsKey[Waterway])</f>
        <v>Stour</v>
      </c>
      <c r="K701" t="s">
        <v>980</v>
      </c>
      <c r="N701" t="s">
        <v>31</v>
      </c>
      <c r="O701">
        <v>651</v>
      </c>
      <c r="P701">
        <v>10.5</v>
      </c>
      <c r="Q701">
        <v>4</v>
      </c>
      <c r="R701" s="107" t="str">
        <f>IF(AllData[[#This Row],[Nitrate (PPM)]]&gt;2, "Very high", IF(AllData[[#This Row],[Nitrate (PPM)]]&gt;1, "High", IF(AllData[[#This Row],[Nitrate (PPM)]]&gt;0.5, "Some evidence", IF(AllData[[#This Row],[Nitrate (PPM)]]&gt;=0, "No evidence"))))</f>
        <v>Very high</v>
      </c>
      <c r="S701" s="108">
        <v>0.55000000000000004</v>
      </c>
      <c r="T701" s="7" t="str">
        <f>IF(AllData[[#This Row],[Phosphate (PPM)]]&gt;0.5, "Very high", IF(AllData[[#This Row],[Phosphate (PPM)]]&gt;0.1, "High", IF(AllData[[#This Row],[Phosphate (PPM)]]&gt;0.05, "Some evidence", IF(AllData[[#This Row],[Phosphate (PPM)]]&lt;=0.05, "No Evidence", ""))))</f>
        <v>Very high</v>
      </c>
      <c r="U701">
        <v>15</v>
      </c>
    </row>
    <row r="702" spans="1:22" x14ac:dyDescent="0.35">
      <c r="A702" t="s">
        <v>2477</v>
      </c>
      <c r="B702" s="143">
        <v>45609</v>
      </c>
      <c r="C702" s="2" t="str" cm="1">
        <f t="array" ref="C7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2">
        <f>YEAR(AllData[[#This Row],[Date]])</f>
        <v>2024</v>
      </c>
      <c r="E702" s="1">
        <v>0.57361111111111107</v>
      </c>
      <c r="F702" t="str">
        <f>IF(AND(AllData[[#This Row],[Time]]&lt;0.5, AllData[[#This Row],[Time]]&gt;0.17)=TRUE, "Morning", IF(AND(AllData[[#This Row],[Time]]&lt;0.75, AllData[[#This Row],[Time]]&gt;=0.5)=TRUE, "Afternoon", IF(AND(AllData[[#This Row],[Time]]&lt;1, AllData[[#This Row],[Time]]&gt;=0.75)=TRUE, "Evening", "Night")))</f>
        <v>Afternoon</v>
      </c>
      <c r="G702" t="str">
        <f>_xlfn.XLOOKUP(AllData[[#This Row],[Location Name]], Locations[Location Name],Locations[Group As])</f>
        <v>SSC Bredons Norton</v>
      </c>
      <c r="H702" t="e" vm="6">
        <f>_xlfn.XLOOKUP(AllData[[#This Row],[Site Name]],LocationsKey[Site Name],LocationsKey[District])</f>
        <v>#VALUE!</v>
      </c>
      <c r="I702" t="str">
        <f>_xlfn.XLOOKUP(AllData[[#This Row],[Site Name]],LocationsKey[Site Name],LocationsKey[Town])</f>
        <v>Bredon's Norton</v>
      </c>
      <c r="J702" t="str">
        <f>_xlfn.XLOOKUP(AllData[[#This Row],[Site Name]],LocationsKey[Site Name], LocationsKey[Waterway])</f>
        <v>Avon</v>
      </c>
      <c r="K702" t="s">
        <v>2174</v>
      </c>
      <c r="L702">
        <v>52.050829</v>
      </c>
      <c r="M702">
        <v>-2.1172710000000001</v>
      </c>
      <c r="N702" t="s">
        <v>25</v>
      </c>
      <c r="O702">
        <v>939</v>
      </c>
      <c r="P702">
        <v>11.6</v>
      </c>
      <c r="Q702">
        <v>1</v>
      </c>
      <c r="R702" s="107" t="str">
        <f>IF(AllData[[#This Row],[Nitrate (PPM)]]&gt;2, "Very high", IF(AllData[[#This Row],[Nitrate (PPM)]]&gt;1, "High", IF(AllData[[#This Row],[Nitrate (PPM)]]&gt;0.5, "Some evidence", IF(AllData[[#This Row],[Nitrate (PPM)]]&gt;=0, "No evidence"))))</f>
        <v>Some evidence</v>
      </c>
      <c r="S702" s="108">
        <v>0.75</v>
      </c>
      <c r="T702" s="7" t="str">
        <f>IF(AllData[[#This Row],[Phosphate (PPM)]]&gt;0.5, "Very high", IF(AllData[[#This Row],[Phosphate (PPM)]]&gt;0.1, "High", IF(AllData[[#This Row],[Phosphate (PPM)]]&gt;0.05, "Some evidence", IF(AllData[[#This Row],[Phosphate (PPM)]]&lt;=0.05, "No Evidence", ""))))</f>
        <v>Very high</v>
      </c>
      <c r="U702">
        <v>0.87</v>
      </c>
    </row>
    <row r="703" spans="1:22" x14ac:dyDescent="0.35">
      <c r="A703" t="s">
        <v>2471</v>
      </c>
      <c r="B703" s="143">
        <v>45609</v>
      </c>
      <c r="C703" s="2" t="str" cm="1">
        <f t="array" ref="C7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3">
        <f>YEAR(AllData[[#This Row],[Date]])</f>
        <v>2024</v>
      </c>
      <c r="E703" s="1">
        <v>0.64652777777777781</v>
      </c>
      <c r="F703" t="str">
        <f>IF(AND(AllData[[#This Row],[Time]]&lt;0.5, AllData[[#This Row],[Time]]&gt;0.17)=TRUE, "Morning", IF(AND(AllData[[#This Row],[Time]]&lt;0.75, AllData[[#This Row],[Time]]&gt;=0.5)=TRUE, "Afternoon", IF(AND(AllData[[#This Row],[Time]]&lt;1, AllData[[#This Row],[Time]]&gt;=0.75)=TRUE, "Evening", "Night")))</f>
        <v>Afternoon</v>
      </c>
      <c r="G703" t="str">
        <f>_xlfn.XLOOKUP(AllData[[#This Row],[Location Name]], Locations[Location Name],Locations[Group As])</f>
        <v>Stour Ascott Village</v>
      </c>
      <c r="H703" t="e" vm="1">
        <f>_xlfn.XLOOKUP(AllData[[#This Row],[Site Name]],LocationsKey[Site Name],LocationsKey[District])</f>
        <v>#VALUE!</v>
      </c>
      <c r="I703" t="e" vm="25">
        <f>_xlfn.XLOOKUP(AllData[[#This Row],[Site Name]],LocationsKey[Site Name],LocationsKey[Town])</f>
        <v>#VALUE!</v>
      </c>
      <c r="J703" t="str">
        <f>_xlfn.XLOOKUP(AllData[[#This Row],[Site Name]],LocationsKey[Site Name], LocationsKey[Waterway])</f>
        <v>Stour</v>
      </c>
      <c r="K703" t="s">
        <v>927</v>
      </c>
      <c r="N703" t="s">
        <v>68</v>
      </c>
      <c r="O703">
        <v>582</v>
      </c>
      <c r="P703">
        <v>9.6</v>
      </c>
      <c r="Q703">
        <v>0.6</v>
      </c>
      <c r="R703" s="107" t="str">
        <f>IF(AllData[[#This Row],[Nitrate (PPM)]]&gt;2, "Very high", IF(AllData[[#This Row],[Nitrate (PPM)]]&gt;1, "High", IF(AllData[[#This Row],[Nitrate (PPM)]]&gt;0.5, "Some evidence", IF(AllData[[#This Row],[Nitrate (PPM)]]&gt;=0, "No evidence"))))</f>
        <v>Some evidence</v>
      </c>
      <c r="S703" s="108">
        <v>0.16</v>
      </c>
      <c r="T703" s="7" t="str">
        <f>IF(AllData[[#This Row],[Phosphate (PPM)]]&gt;0.5, "Very high", IF(AllData[[#This Row],[Phosphate (PPM)]]&gt;0.1, "High", IF(AllData[[#This Row],[Phosphate (PPM)]]&gt;0.05, "Some evidence", IF(AllData[[#This Row],[Phosphate (PPM)]]&lt;=0.05, "No Evidence", ""))))</f>
        <v>High</v>
      </c>
      <c r="U703">
        <v>6</v>
      </c>
    </row>
    <row r="704" spans="1:22" x14ac:dyDescent="0.35">
      <c r="A704" t="s">
        <v>2461</v>
      </c>
      <c r="B704" s="143">
        <v>45608</v>
      </c>
      <c r="C704" s="2" t="str" cm="1">
        <f t="array" ref="C7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4">
        <f>YEAR(AllData[[#This Row],[Date]])</f>
        <v>2024</v>
      </c>
      <c r="E704" s="1">
        <v>0.65555555555555556</v>
      </c>
      <c r="F704" t="str">
        <f>IF(AND(AllData[[#This Row],[Time]]&lt;0.5, AllData[[#This Row],[Time]]&gt;0.17)=TRUE, "Morning", IF(AND(AllData[[#This Row],[Time]]&lt;0.75, AllData[[#This Row],[Time]]&gt;=0.5)=TRUE, "Afternoon", IF(AND(AllData[[#This Row],[Time]]&lt;1, AllData[[#This Row],[Time]]&gt;=0.75)=TRUE, "Evening", "Night")))</f>
        <v>Afternoon</v>
      </c>
      <c r="G704" t="str">
        <f>_xlfn.XLOOKUP(AllData[[#This Row],[Location Name]], Locations[Location Name],Locations[Group As])</f>
        <v>Alveston Weir</v>
      </c>
      <c r="H704" t="e" vm="1">
        <f>_xlfn.XLOOKUP(AllData[[#This Row],[Site Name]],LocationsKey[Site Name],LocationsKey[District])</f>
        <v>#VALUE!</v>
      </c>
      <c r="I704" t="e" vm="2">
        <f>_xlfn.XLOOKUP(AllData[[#This Row],[Site Name]],LocationsKey[Site Name],LocationsKey[Town])</f>
        <v>#VALUE!</v>
      </c>
      <c r="J704" t="str">
        <f>_xlfn.XLOOKUP(AllData[[#This Row],[Site Name]],LocationsKey[Site Name], LocationsKey[Waterway])</f>
        <v>Avon</v>
      </c>
      <c r="K704" t="s">
        <v>288</v>
      </c>
      <c r="L704">
        <v>52.213999999999999</v>
      </c>
      <c r="M704">
        <v>-1.6601520000000001</v>
      </c>
      <c r="N704" t="s">
        <v>31</v>
      </c>
      <c r="O704">
        <v>765</v>
      </c>
      <c r="P704">
        <v>11.2</v>
      </c>
      <c r="Q704">
        <v>10</v>
      </c>
      <c r="R704" s="107" t="str">
        <f>IF(AllData[[#This Row],[Nitrate (PPM)]]&gt;2, "Very high", IF(AllData[[#This Row],[Nitrate (PPM)]]&gt;1, "High", IF(AllData[[#This Row],[Nitrate (PPM)]]&gt;0.5, "Some evidence", IF(AllData[[#This Row],[Nitrate (PPM)]]&gt;=0, "No evidence"))))</f>
        <v>Very high</v>
      </c>
      <c r="S704" s="108">
        <v>0.48</v>
      </c>
      <c r="T704" s="7" t="str">
        <f>IF(AllData[[#This Row],[Phosphate (PPM)]]&gt;0.5, "Very high", IF(AllData[[#This Row],[Phosphate (PPM)]]&gt;0.1, "High", IF(AllData[[#This Row],[Phosphate (PPM)]]&gt;0.05, "Some evidence", IF(AllData[[#This Row],[Phosphate (PPM)]]&lt;=0.05, "No Evidence", ""))))</f>
        <v>High</v>
      </c>
      <c r="U704">
        <v>-1</v>
      </c>
      <c r="V704" t="s">
        <v>2462</v>
      </c>
    </row>
    <row r="705" spans="1:22" x14ac:dyDescent="0.35">
      <c r="A705" t="s">
        <v>2465</v>
      </c>
      <c r="B705" s="143">
        <v>45608</v>
      </c>
      <c r="C705" s="2" t="str" cm="1">
        <f t="array" ref="C7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5">
        <f>YEAR(AllData[[#This Row],[Date]])</f>
        <v>2024</v>
      </c>
      <c r="E705" s="1">
        <v>0.56944444444444442</v>
      </c>
      <c r="F705" t="str">
        <f>IF(AND(AllData[[#This Row],[Time]]&lt;0.5, AllData[[#This Row],[Time]]&gt;0.17)=TRUE, "Morning", IF(AND(AllData[[#This Row],[Time]]&lt;0.75, AllData[[#This Row],[Time]]&gt;=0.5)=TRUE, "Afternoon", IF(AND(AllData[[#This Row],[Time]]&lt;1, AllData[[#This Row],[Time]]&gt;=0.75)=TRUE, "Evening", "Night")))</f>
        <v>Afternoon</v>
      </c>
      <c r="G705" t="str">
        <f>_xlfn.XLOOKUP(AllData[[#This Row],[Location Name]], Locations[Location Name],Locations[Group As])</f>
        <v>Walcot Lane, Bow Brook Ford</v>
      </c>
      <c r="H705" t="e" vm="6">
        <f>_xlfn.XLOOKUP(AllData[[#This Row],[Site Name]],LocationsKey[Site Name],LocationsKey[District])</f>
        <v>#VALUE!</v>
      </c>
      <c r="I705" t="e" vm="7">
        <f>_xlfn.XLOOKUP(AllData[[#This Row],[Site Name]],LocationsKey[Site Name],LocationsKey[Town])</f>
        <v>#VALUE!</v>
      </c>
      <c r="J705" t="str">
        <f>_xlfn.XLOOKUP(AllData[[#This Row],[Site Name]],LocationsKey[Site Name], LocationsKey[Waterway])</f>
        <v>Bow Brook</v>
      </c>
      <c r="K705" t="s">
        <v>775</v>
      </c>
      <c r="L705">
        <v>52.130453000000003</v>
      </c>
      <c r="M705">
        <v>-2.0769350000000002</v>
      </c>
      <c r="N705" t="s">
        <v>25</v>
      </c>
      <c r="O705">
        <v>1260</v>
      </c>
      <c r="P705">
        <v>10.6</v>
      </c>
      <c r="Q705">
        <v>5</v>
      </c>
      <c r="R705" s="107" t="str">
        <f>IF(AllData[[#This Row],[Nitrate (PPM)]]&gt;2, "Very high", IF(AllData[[#This Row],[Nitrate (PPM)]]&gt;1, "High", IF(AllData[[#This Row],[Nitrate (PPM)]]&gt;0.5, "Some evidence", IF(AllData[[#This Row],[Nitrate (PPM)]]&gt;=0, "No evidence"))))</f>
        <v>Very high</v>
      </c>
      <c r="S705" s="108">
        <v>0.81</v>
      </c>
      <c r="T705" s="7" t="str">
        <f>IF(AllData[[#This Row],[Phosphate (PPM)]]&gt;0.5, "Very high", IF(AllData[[#This Row],[Phosphate (PPM)]]&gt;0.1, "High", IF(AllData[[#This Row],[Phosphate (PPM)]]&gt;0.05, "Some evidence", IF(AllData[[#This Row],[Phosphate (PPM)]]&lt;=0.05, "No Evidence", ""))))</f>
        <v>Very high</v>
      </c>
      <c r="U705">
        <v>0.2</v>
      </c>
      <c r="V705" t="s">
        <v>2466</v>
      </c>
    </row>
    <row r="706" spans="1:22" x14ac:dyDescent="0.35">
      <c r="A706" t="s">
        <v>2463</v>
      </c>
      <c r="B706" s="143">
        <v>45608</v>
      </c>
      <c r="C706" s="2" t="str" cm="1">
        <f t="array" ref="C7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6">
        <f>YEAR(AllData[[#This Row],[Date]])</f>
        <v>2024</v>
      </c>
      <c r="E706" s="1">
        <v>0.59375</v>
      </c>
      <c r="F706" t="str">
        <f>IF(AND(AllData[[#This Row],[Time]]&lt;0.5, AllData[[#This Row],[Time]]&gt;0.17)=TRUE, "Morning", IF(AND(AllData[[#This Row],[Time]]&lt;0.75, AllData[[#This Row],[Time]]&gt;=0.5)=TRUE, "Afternoon", IF(AND(AllData[[#This Row],[Time]]&lt;1, AllData[[#This Row],[Time]]&gt;=0.75)=TRUE, "Evening", "Night")))</f>
        <v>Afternoon</v>
      </c>
      <c r="G706" t="str">
        <f>_xlfn.XLOOKUP(AllData[[#This Row],[Location Name]], Locations[Location Name],Locations[Group As])</f>
        <v>Swiffen Bank</v>
      </c>
      <c r="H706" t="e" vm="1">
        <f>_xlfn.XLOOKUP(AllData[[#This Row],[Site Name]],LocationsKey[Site Name],LocationsKey[District])</f>
        <v>#VALUE!</v>
      </c>
      <c r="I706" t="e" vm="2">
        <f>_xlfn.XLOOKUP(AllData[[#This Row],[Site Name]],LocationsKey[Site Name],LocationsKey[Town])</f>
        <v>#VALUE!</v>
      </c>
      <c r="J706" t="str">
        <f>_xlfn.XLOOKUP(AllData[[#This Row],[Site Name]],LocationsKey[Site Name], LocationsKey[Waterway])</f>
        <v>Avon</v>
      </c>
      <c r="K706" t="s">
        <v>1448</v>
      </c>
      <c r="L706">
        <v>52.206477999999997</v>
      </c>
      <c r="M706">
        <v>-1.653894</v>
      </c>
      <c r="N706" t="s">
        <v>31</v>
      </c>
      <c r="O706">
        <v>754</v>
      </c>
      <c r="P706">
        <v>11.7</v>
      </c>
      <c r="Q706">
        <v>0.15</v>
      </c>
      <c r="R706" s="107" t="str">
        <f>IF(AllData[[#This Row],[Nitrate (PPM)]]&gt;2, "Very high", IF(AllData[[#This Row],[Nitrate (PPM)]]&gt;1, "High", IF(AllData[[#This Row],[Nitrate (PPM)]]&gt;0.5, "Some evidence", IF(AllData[[#This Row],[Nitrate (PPM)]]&gt;=0, "No evidence"))))</f>
        <v>No evidence</v>
      </c>
      <c r="S706" s="108">
        <v>0.56000000000000005</v>
      </c>
      <c r="T706" s="7" t="str">
        <f>IF(AllData[[#This Row],[Phosphate (PPM)]]&gt;0.5, "Very high", IF(AllData[[#This Row],[Phosphate (PPM)]]&gt;0.1, "High", IF(AllData[[#This Row],[Phosphate (PPM)]]&gt;0.05, "Some evidence", IF(AllData[[#This Row],[Phosphate (PPM)]]&lt;=0.05, "No Evidence", ""))))</f>
        <v>Very high</v>
      </c>
      <c r="U706">
        <v>-1</v>
      </c>
      <c r="V706" t="s">
        <v>2464</v>
      </c>
    </row>
    <row r="707" spans="1:22" x14ac:dyDescent="0.35">
      <c r="A707" t="s">
        <v>2459</v>
      </c>
      <c r="B707" s="143">
        <v>45607</v>
      </c>
      <c r="C707" s="2" t="str" cm="1">
        <f t="array" ref="C7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7">
        <f>YEAR(AllData[[#This Row],[Date]])</f>
        <v>2024</v>
      </c>
      <c r="E707" s="1">
        <v>0.45902777777777776</v>
      </c>
      <c r="F707" t="str">
        <f>IF(AND(AllData[[#This Row],[Time]]&lt;0.5, AllData[[#This Row],[Time]]&gt;0.17)=TRUE, "Morning", IF(AND(AllData[[#This Row],[Time]]&lt;0.75, AllData[[#This Row],[Time]]&gt;=0.5)=TRUE, "Afternoon", IF(AND(AllData[[#This Row],[Time]]&lt;1, AllData[[#This Row],[Time]]&gt;=0.75)=TRUE, "Evening", "Night")))</f>
        <v>Morning</v>
      </c>
      <c r="G707" t="str">
        <f>_xlfn.XLOOKUP(AllData[[#This Row],[Location Name]], Locations[Location Name],Locations[Group As])</f>
        <v>The Ford, Langley</v>
      </c>
      <c r="H707" t="e" vm="1">
        <f>_xlfn.XLOOKUP(AllData[[#This Row],[Site Name]],LocationsKey[Site Name],LocationsKey[District])</f>
        <v>#VALUE!</v>
      </c>
      <c r="I707" t="str">
        <f>_xlfn.XLOOKUP(AllData[[#This Row],[Site Name]],LocationsKey[Site Name],LocationsKey[Town])</f>
        <v>Langley</v>
      </c>
      <c r="J707" t="str">
        <f>_xlfn.XLOOKUP(AllData[[#This Row],[Site Name]],LocationsKey[Site Name], LocationsKey[Waterway])</f>
        <v>Langley Ford</v>
      </c>
      <c r="K707" t="s">
        <v>561</v>
      </c>
      <c r="L707">
        <v>52.285290000000003</v>
      </c>
      <c r="M707">
        <v>1.73953</v>
      </c>
      <c r="N707" t="s">
        <v>31</v>
      </c>
      <c r="O707">
        <v>833</v>
      </c>
      <c r="P707">
        <v>10.4</v>
      </c>
      <c r="Q707">
        <v>7</v>
      </c>
      <c r="R707" s="107" t="str">
        <f>IF(AllData[[#This Row],[Nitrate (PPM)]]&gt;2, "Very high", IF(AllData[[#This Row],[Nitrate (PPM)]]&gt;1, "High", IF(AllData[[#This Row],[Nitrate (PPM)]]&gt;0.5, "Some evidence", IF(AllData[[#This Row],[Nitrate (PPM)]]&gt;=0, "No evidence"))))</f>
        <v>Very high</v>
      </c>
      <c r="S707" s="108">
        <v>0.68</v>
      </c>
      <c r="T707" s="7" t="str">
        <f>IF(AllData[[#This Row],[Phosphate (PPM)]]&gt;0.5, "Very high", IF(AllData[[#This Row],[Phosphate (PPM)]]&gt;0.1, "High", IF(AllData[[#This Row],[Phosphate (PPM)]]&gt;0.05, "Some evidence", IF(AllData[[#This Row],[Phosphate (PPM)]]&lt;=0.05, "No Evidence", ""))))</f>
        <v>Very high</v>
      </c>
      <c r="U707">
        <v>0.1</v>
      </c>
      <c r="V707" t="s">
        <v>2460</v>
      </c>
    </row>
    <row r="708" spans="1:22" x14ac:dyDescent="0.35">
      <c r="A708" t="s">
        <v>2455</v>
      </c>
      <c r="B708" s="143">
        <v>45607</v>
      </c>
      <c r="C708" s="2" t="str" cm="1">
        <f t="array" ref="C7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8">
        <f>YEAR(AllData[[#This Row],[Date]])</f>
        <v>2024</v>
      </c>
      <c r="E708" s="1">
        <v>0.3263888888888889</v>
      </c>
      <c r="F708" t="str">
        <f>IF(AND(AllData[[#This Row],[Time]]&lt;0.5, AllData[[#This Row],[Time]]&gt;0.17)=TRUE, "Morning", IF(AND(AllData[[#This Row],[Time]]&lt;0.75, AllData[[#This Row],[Time]]&gt;=0.5)=TRUE, "Afternoon", IF(AND(AllData[[#This Row],[Time]]&lt;1, AllData[[#This Row],[Time]]&gt;=0.75)=TRUE, "Evening", "Night")))</f>
        <v>Morning</v>
      </c>
      <c r="G708" t="str">
        <f>_xlfn.XLOOKUP(AllData[[#This Row],[Location Name]], Locations[Location Name],Locations[Group As])</f>
        <v>Chipping Campden Lady J Gateway</v>
      </c>
      <c r="H708" t="e" vm="9">
        <f>_xlfn.XLOOKUP(AllData[[#This Row],[Site Name]],LocationsKey[Site Name],LocationsKey[District])</f>
        <v>#VALUE!</v>
      </c>
      <c r="I708" t="e" vm="10">
        <f>_xlfn.XLOOKUP(AllData[[#This Row],[Site Name]],LocationsKey[Site Name],LocationsKey[Town])</f>
        <v>#VALUE!</v>
      </c>
      <c r="J708" t="str">
        <f>_xlfn.XLOOKUP(AllData[[#This Row],[Site Name]],LocationsKey[Site Name], LocationsKey[Waterway])</f>
        <v>Cam Brook</v>
      </c>
      <c r="K708" t="s">
        <v>1573</v>
      </c>
      <c r="N708" t="s">
        <v>68</v>
      </c>
      <c r="O708">
        <v>548</v>
      </c>
      <c r="P708">
        <v>10.199999999999999</v>
      </c>
      <c r="Q708">
        <v>5</v>
      </c>
      <c r="R708" s="107" t="str">
        <f>IF(AllData[[#This Row],[Nitrate (PPM)]]&gt;2, "Very high", IF(AllData[[#This Row],[Nitrate (PPM)]]&gt;1, "High", IF(AllData[[#This Row],[Nitrate (PPM)]]&gt;0.5, "Some evidence", IF(AllData[[#This Row],[Nitrate (PPM)]]&gt;=0, "No evidence"))))</f>
        <v>Very high</v>
      </c>
      <c r="S708" s="108">
        <v>0.05</v>
      </c>
      <c r="T708" s="7" t="str">
        <f>IF(AllData[[#This Row],[Phosphate (PPM)]]&gt;0.5, "Very high", IF(AllData[[#This Row],[Phosphate (PPM)]]&gt;0.1, "High", IF(AllData[[#This Row],[Phosphate (PPM)]]&gt;0.05, "Some evidence", IF(AllData[[#This Row],[Phosphate (PPM)]]&lt;=0.05, "No Evidence", ""))))</f>
        <v>No Evidence</v>
      </c>
      <c r="U708">
        <v>0.11</v>
      </c>
    </row>
    <row r="709" spans="1:22" x14ac:dyDescent="0.35">
      <c r="A709" t="s">
        <v>2457</v>
      </c>
      <c r="B709" s="143">
        <v>45607</v>
      </c>
      <c r="C709" s="2" t="str" cm="1">
        <f t="array" ref="C7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09">
        <f>YEAR(AllData[[#This Row],[Date]])</f>
        <v>2024</v>
      </c>
      <c r="E709" s="1">
        <v>0.625</v>
      </c>
      <c r="F709" t="str">
        <f>IF(AND(AllData[[#This Row],[Time]]&lt;0.5, AllData[[#This Row],[Time]]&gt;0.17)=TRUE, "Morning", IF(AND(AllData[[#This Row],[Time]]&lt;0.75, AllData[[#This Row],[Time]]&gt;=0.5)=TRUE, "Afternoon", IF(AND(AllData[[#This Row],[Time]]&lt;1, AllData[[#This Row],[Time]]&gt;=0.75)=TRUE, "Evening", "Night")))</f>
        <v>Afternoon</v>
      </c>
      <c r="G709" t="str">
        <f>_xlfn.XLOOKUP(AllData[[#This Row],[Location Name]], Locations[Location Name],Locations[Group As])</f>
        <v>Chipping Campden Craves</v>
      </c>
      <c r="H709" t="e" vm="9">
        <f>_xlfn.XLOOKUP(AllData[[#This Row],[Site Name]],LocationsKey[Site Name],LocationsKey[District])</f>
        <v>#VALUE!</v>
      </c>
      <c r="I709" t="e" vm="10">
        <f>_xlfn.XLOOKUP(AllData[[#This Row],[Site Name]],LocationsKey[Site Name],LocationsKey[Town])</f>
        <v>#VALUE!</v>
      </c>
      <c r="J709" t="str">
        <f>_xlfn.XLOOKUP(AllData[[#This Row],[Site Name]],LocationsKey[Site Name], LocationsKey[Waterway])</f>
        <v>Cam Brook</v>
      </c>
      <c r="K709" t="s">
        <v>2458</v>
      </c>
      <c r="L709">
        <v>52.048757000000002</v>
      </c>
      <c r="M709">
        <v>-1.7863720000000001</v>
      </c>
      <c r="N709" t="s">
        <v>68</v>
      </c>
      <c r="O709">
        <v>421</v>
      </c>
      <c r="P709">
        <v>15.2</v>
      </c>
      <c r="Q709">
        <v>5</v>
      </c>
      <c r="R709" s="107" t="str">
        <f>IF(AllData[[#This Row],[Nitrate (PPM)]]&gt;2, "Very high", IF(AllData[[#This Row],[Nitrate (PPM)]]&gt;1, "High", IF(AllData[[#This Row],[Nitrate (PPM)]]&gt;0.5, "Some evidence", IF(AllData[[#This Row],[Nitrate (PPM)]]&gt;=0, "No evidence"))))</f>
        <v>Very high</v>
      </c>
      <c r="S709" s="108">
        <v>0.34</v>
      </c>
      <c r="T709" s="7" t="str">
        <f>IF(AllData[[#This Row],[Phosphate (PPM)]]&gt;0.5, "Very high", IF(AllData[[#This Row],[Phosphate (PPM)]]&gt;0.1, "High", IF(AllData[[#This Row],[Phosphate (PPM)]]&gt;0.05, "Some evidence", IF(AllData[[#This Row],[Phosphate (PPM)]]&lt;=0.05, "No Evidence", ""))))</f>
        <v>High</v>
      </c>
      <c r="U709">
        <v>27</v>
      </c>
    </row>
    <row r="710" spans="1:22" x14ac:dyDescent="0.35">
      <c r="A710" t="s">
        <v>2454</v>
      </c>
      <c r="B710" s="143">
        <v>45607</v>
      </c>
      <c r="C710" s="2" t="str" cm="1">
        <f t="array" ref="C7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0">
        <f>YEAR(AllData[[#This Row],[Date]])</f>
        <v>2024</v>
      </c>
      <c r="E710" s="1">
        <v>0.6020833333333333</v>
      </c>
      <c r="F710" t="str">
        <f>IF(AND(AllData[[#This Row],[Time]]&lt;0.5, AllData[[#This Row],[Time]]&gt;0.17)=TRUE, "Morning", IF(AND(AllData[[#This Row],[Time]]&lt;0.75, AllData[[#This Row],[Time]]&gt;=0.5)=TRUE, "Afternoon", IF(AND(AllData[[#This Row],[Time]]&lt;1, AllData[[#This Row],[Time]]&gt;=0.75)=TRUE, "Evening", "Night")))</f>
        <v>Afternoon</v>
      </c>
      <c r="G710" t="str">
        <f>_xlfn.XLOOKUP(AllData[[#This Row],[Location Name]], Locations[Location Name],Locations[Group As])</f>
        <v>Carrant Mitton Path</v>
      </c>
      <c r="H710" t="e" vm="4">
        <f>_xlfn.XLOOKUP(AllData[[#This Row],[Site Name]],LocationsKey[Site Name],LocationsKey[District])</f>
        <v>#VALUE!</v>
      </c>
      <c r="I710" t="e" vm="4">
        <f>_xlfn.XLOOKUP(AllData[[#This Row],[Site Name]],LocationsKey[Site Name],LocationsKey[Town])</f>
        <v>#VALUE!</v>
      </c>
      <c r="J710" t="str">
        <f>_xlfn.XLOOKUP(AllData[[#This Row],[Site Name]],LocationsKey[Site Name], LocationsKey[Waterway])</f>
        <v>Carrant</v>
      </c>
      <c r="K710" t="s">
        <v>1064</v>
      </c>
      <c r="L710">
        <v>51.999862999999998</v>
      </c>
      <c r="M710">
        <v>-2.1410200000000001</v>
      </c>
      <c r="N710" t="s">
        <v>31</v>
      </c>
      <c r="O710">
        <v>7260</v>
      </c>
      <c r="P710">
        <v>12.3</v>
      </c>
      <c r="Q710">
        <v>3</v>
      </c>
      <c r="R710" s="107" t="str">
        <f>IF(AllData[[#This Row],[Nitrate (PPM)]]&gt;2, "Very high", IF(AllData[[#This Row],[Nitrate (PPM)]]&gt;1, "High", IF(AllData[[#This Row],[Nitrate (PPM)]]&gt;0.5, "Some evidence", IF(AllData[[#This Row],[Nitrate (PPM)]]&gt;=0, "No evidence"))))</f>
        <v>Very high</v>
      </c>
      <c r="S710" s="108">
        <v>0.44</v>
      </c>
      <c r="T710" s="7" t="str">
        <f>IF(AllData[[#This Row],[Phosphate (PPM)]]&gt;0.5, "Very high", IF(AllData[[#This Row],[Phosphate (PPM)]]&gt;0.1, "High", IF(AllData[[#This Row],[Phosphate (PPM)]]&gt;0.05, "Some evidence", IF(AllData[[#This Row],[Phosphate (PPM)]]&lt;=0.05, "No Evidence", ""))))</f>
        <v>High</v>
      </c>
      <c r="U710">
        <v>0</v>
      </c>
      <c r="V710" t="s">
        <v>564</v>
      </c>
    </row>
    <row r="711" spans="1:22" x14ac:dyDescent="0.35">
      <c r="A711" t="s">
        <v>2456</v>
      </c>
      <c r="B711" s="143">
        <v>45607</v>
      </c>
      <c r="C711" s="2" t="str" cm="1">
        <f t="array" ref="C7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1">
        <f>YEAR(AllData[[#This Row],[Date]])</f>
        <v>2024</v>
      </c>
      <c r="E711" s="1">
        <v>0.35069444444444442</v>
      </c>
      <c r="F711" t="str">
        <f>IF(AND(AllData[[#This Row],[Time]]&lt;0.5, AllData[[#This Row],[Time]]&gt;0.17)=TRUE, "Morning", IF(AND(AllData[[#This Row],[Time]]&lt;0.75, AllData[[#This Row],[Time]]&gt;=0.5)=TRUE, "Afternoon", IF(AND(AllData[[#This Row],[Time]]&lt;1, AllData[[#This Row],[Time]]&gt;=0.75)=TRUE, "Evening", "Night")))</f>
        <v>Morning</v>
      </c>
      <c r="G711" t="str">
        <f>_xlfn.XLOOKUP(AllData[[#This Row],[Location Name]], Locations[Location Name],Locations[Group As])</f>
        <v>Chipping Campden Sewage Works</v>
      </c>
      <c r="H711" t="e" vm="9">
        <f>_xlfn.XLOOKUP(AllData[[#This Row],[Site Name]],LocationsKey[Site Name],LocationsKey[District])</f>
        <v>#VALUE!</v>
      </c>
      <c r="I711" t="e" vm="10">
        <f>_xlfn.XLOOKUP(AllData[[#This Row],[Site Name]],LocationsKey[Site Name],LocationsKey[Town])</f>
        <v>#VALUE!</v>
      </c>
      <c r="J711" t="str">
        <f>_xlfn.XLOOKUP(AllData[[#This Row],[Site Name]],LocationsKey[Site Name], LocationsKey[Waterway])</f>
        <v>Cam Brook</v>
      </c>
      <c r="K711" t="s">
        <v>1570</v>
      </c>
      <c r="N711" t="s">
        <v>31</v>
      </c>
      <c r="O711">
        <v>656</v>
      </c>
      <c r="P711">
        <v>11.7</v>
      </c>
      <c r="Q711">
        <v>2</v>
      </c>
      <c r="R711" s="107" t="str">
        <f>IF(AllData[[#This Row],[Nitrate (PPM)]]&gt;2, "Very high", IF(AllData[[#This Row],[Nitrate (PPM)]]&gt;1, "High", IF(AllData[[#This Row],[Nitrate (PPM)]]&gt;0.5, "Some evidence", IF(AllData[[#This Row],[Nitrate (PPM)]]&gt;=0, "No evidence"))))</f>
        <v>High</v>
      </c>
      <c r="S711" s="108">
        <v>0.09</v>
      </c>
      <c r="T711" s="7" t="str">
        <f>IF(AllData[[#This Row],[Phosphate (PPM)]]&gt;0.5, "Very high", IF(AllData[[#This Row],[Phosphate (PPM)]]&gt;0.1, "High", IF(AllData[[#This Row],[Phosphate (PPM)]]&gt;0.05, "Some evidence", IF(AllData[[#This Row],[Phosphate (PPM)]]&lt;=0.05, "No Evidence", ""))))</f>
        <v>Some evidence</v>
      </c>
      <c r="U711">
        <v>0.41</v>
      </c>
    </row>
    <row r="712" spans="1:22" x14ac:dyDescent="0.35">
      <c r="A712" t="s">
        <v>2448</v>
      </c>
      <c r="B712" s="143">
        <v>45606</v>
      </c>
      <c r="C712" s="2" t="str" cm="1">
        <f t="array" ref="C7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2">
        <f>YEAR(AllData[[#This Row],[Date]])</f>
        <v>2024</v>
      </c>
      <c r="E712" s="1">
        <v>0.43263888888888891</v>
      </c>
      <c r="F712" t="str">
        <f>IF(AND(AllData[[#This Row],[Time]]&lt;0.5, AllData[[#This Row],[Time]]&gt;0.17)=TRUE, "Morning", IF(AND(AllData[[#This Row],[Time]]&lt;0.75, AllData[[#This Row],[Time]]&gt;=0.5)=TRUE, "Afternoon", IF(AND(AllData[[#This Row],[Time]]&lt;1, AllData[[#This Row],[Time]]&gt;=0.75)=TRUE, "Evening", "Night")))</f>
        <v>Morning</v>
      </c>
      <c r="G712" t="str">
        <f>_xlfn.XLOOKUP(AllData[[#This Row],[Location Name]], Locations[Location Name],Locations[Group As])</f>
        <v>Lower Lode</v>
      </c>
      <c r="H712" t="e" vm="4">
        <f>_xlfn.XLOOKUP(AllData[[#This Row],[Site Name]],LocationsKey[Site Name],LocationsKey[District])</f>
        <v>#VALUE!</v>
      </c>
      <c r="I712" t="e" vm="4">
        <f>_xlfn.XLOOKUP(AllData[[#This Row],[Site Name]],LocationsKey[Site Name],LocationsKey[Town])</f>
        <v>#VALUE!</v>
      </c>
      <c r="J712" t="str">
        <f>_xlfn.XLOOKUP(AllData[[#This Row],[Site Name]],LocationsKey[Site Name], LocationsKey[Waterway])</f>
        <v>Avon</v>
      </c>
      <c r="K712" t="s">
        <v>595</v>
      </c>
      <c r="L712">
        <v>51.985007000000003</v>
      </c>
      <c r="M712">
        <v>-2.1743709999999998</v>
      </c>
      <c r="N712" t="s">
        <v>31</v>
      </c>
      <c r="O712">
        <v>9460</v>
      </c>
      <c r="P712">
        <v>14.1</v>
      </c>
      <c r="Q712">
        <v>10</v>
      </c>
      <c r="R712" s="107" t="str">
        <f>IF(AllData[[#This Row],[Nitrate (PPM)]]&gt;2, "Very high", IF(AllData[[#This Row],[Nitrate (PPM)]]&gt;1, "High", IF(AllData[[#This Row],[Nitrate (PPM)]]&gt;0.5, "Some evidence", IF(AllData[[#This Row],[Nitrate (PPM)]]&gt;=0, "No evidence"))))</f>
        <v>Very high</v>
      </c>
      <c r="S712" s="108">
        <v>0.81</v>
      </c>
      <c r="T712" s="7" t="str">
        <f>IF(AllData[[#This Row],[Phosphate (PPM)]]&gt;0.5, "Very high", IF(AllData[[#This Row],[Phosphate (PPM)]]&gt;0.1, "High", IF(AllData[[#This Row],[Phosphate (PPM)]]&gt;0.05, "Some evidence", IF(AllData[[#This Row],[Phosphate (PPM)]]&lt;=0.05, "No Evidence", ""))))</f>
        <v>Very high</v>
      </c>
      <c r="U712">
        <v>0</v>
      </c>
    </row>
    <row r="713" spans="1:22" x14ac:dyDescent="0.35">
      <c r="A713" t="s">
        <v>2442</v>
      </c>
      <c r="B713" s="143">
        <v>45606</v>
      </c>
      <c r="C713" s="2" t="str" cm="1">
        <f t="array" ref="C7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3">
        <f>YEAR(AllData[[#This Row],[Date]])</f>
        <v>2024</v>
      </c>
      <c r="E713" s="1">
        <v>0.41666666666666669</v>
      </c>
      <c r="F713" t="str">
        <f>IF(AND(AllData[[#This Row],[Time]]&lt;0.5, AllData[[#This Row],[Time]]&gt;0.17)=TRUE, "Morning", IF(AND(AllData[[#This Row],[Time]]&lt;0.75, AllData[[#This Row],[Time]]&gt;=0.5)=TRUE, "Afternoon", IF(AND(AllData[[#This Row],[Time]]&lt;1, AllData[[#This Row],[Time]]&gt;=0.75)=TRUE, "Evening", "Night")))</f>
        <v>Morning</v>
      </c>
      <c r="G713" t="str">
        <f>_xlfn.XLOOKUP(AllData[[#This Row],[Location Name]], Locations[Location Name],Locations[Group As])</f>
        <v>Sherbourne Brook 1</v>
      </c>
      <c r="H713" t="e" vm="1">
        <f>_xlfn.XLOOKUP(AllData[[#This Row],[Site Name]],LocationsKey[Site Name],LocationsKey[District])</f>
        <v>#VALUE!</v>
      </c>
      <c r="I713" t="e" vm="23">
        <f>_xlfn.XLOOKUP(AllData[[#This Row],[Site Name]],LocationsKey[Site Name],LocationsKey[Town])</f>
        <v>#VALUE!</v>
      </c>
      <c r="J713" t="str">
        <f>_xlfn.XLOOKUP(AllData[[#This Row],[Site Name]],LocationsKey[Site Name], LocationsKey[Waterway])</f>
        <v>Sherbourne Brook</v>
      </c>
      <c r="K713" t="s">
        <v>541</v>
      </c>
      <c r="O713">
        <v>1150</v>
      </c>
      <c r="P713">
        <v>11.9</v>
      </c>
      <c r="Q713">
        <v>10</v>
      </c>
      <c r="R713" s="107" t="str">
        <f>IF(AllData[[#This Row],[Nitrate (PPM)]]&gt;2, "Very high", IF(AllData[[#This Row],[Nitrate (PPM)]]&gt;1, "High", IF(AllData[[#This Row],[Nitrate (PPM)]]&gt;0.5, "Some evidence", IF(AllData[[#This Row],[Nitrate (PPM)]]&gt;=0, "No evidence"))))</f>
        <v>Very high</v>
      </c>
      <c r="S713" s="108">
        <v>0.4</v>
      </c>
      <c r="T713" s="7" t="str">
        <f>IF(AllData[[#This Row],[Phosphate (PPM)]]&gt;0.5, "Very high", IF(AllData[[#This Row],[Phosphate (PPM)]]&gt;0.1, "High", IF(AllData[[#This Row],[Phosphate (PPM)]]&gt;0.05, "Some evidence", IF(AllData[[#This Row],[Phosphate (PPM)]]&lt;=0.05, "No Evidence", ""))))</f>
        <v>High</v>
      </c>
      <c r="U713">
        <v>0.1</v>
      </c>
      <c r="V713" t="s">
        <v>2391</v>
      </c>
    </row>
    <row r="714" spans="1:22" x14ac:dyDescent="0.35">
      <c r="A714" t="s">
        <v>2441</v>
      </c>
      <c r="B714" s="143">
        <v>45606</v>
      </c>
      <c r="C714" s="2" t="str" cm="1">
        <f t="array" ref="C7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4">
        <f>YEAR(AllData[[#This Row],[Date]])</f>
        <v>2024</v>
      </c>
      <c r="E714" s="1">
        <v>0.42708333333333331</v>
      </c>
      <c r="F714" t="str">
        <f>IF(AND(AllData[[#This Row],[Time]]&lt;0.5, AllData[[#This Row],[Time]]&gt;0.17)=TRUE, "Morning", IF(AND(AllData[[#This Row],[Time]]&lt;0.75, AllData[[#This Row],[Time]]&gt;=0.5)=TRUE, "Afternoon", IF(AND(AllData[[#This Row],[Time]]&lt;1, AllData[[#This Row],[Time]]&gt;=0.75)=TRUE, "Evening", "Night")))</f>
        <v>Morning</v>
      </c>
      <c r="G714" t="str">
        <f>_xlfn.XLOOKUP(AllData[[#This Row],[Location Name]], Locations[Location Name],Locations[Group As])</f>
        <v>Bell Brook 1</v>
      </c>
      <c r="H714" t="e" vm="1">
        <f>_xlfn.XLOOKUP(AllData[[#This Row],[Site Name]],LocationsKey[Site Name],LocationsKey[District])</f>
        <v>#VALUE!</v>
      </c>
      <c r="I714" t="e" vm="19">
        <f>_xlfn.XLOOKUP(AllData[[#This Row],[Site Name]],LocationsKey[Site Name],LocationsKey[Town])</f>
        <v>#VALUE!</v>
      </c>
      <c r="J714" t="str">
        <f>_xlfn.XLOOKUP(AllData[[#This Row],[Site Name]],LocationsKey[Site Name], LocationsKey[Waterway])</f>
        <v>Bell Brook</v>
      </c>
      <c r="K714" t="s">
        <v>538</v>
      </c>
      <c r="O714">
        <v>816</v>
      </c>
      <c r="P714">
        <v>12.5</v>
      </c>
      <c r="Q714">
        <v>10</v>
      </c>
      <c r="R714" s="107" t="str">
        <f>IF(AllData[[#This Row],[Nitrate (PPM)]]&gt;2, "Very high", IF(AllData[[#This Row],[Nitrate (PPM)]]&gt;1, "High", IF(AllData[[#This Row],[Nitrate (PPM)]]&gt;0.5, "Some evidence", IF(AllData[[#This Row],[Nitrate (PPM)]]&gt;=0, "No evidence"))))</f>
        <v>Very high</v>
      </c>
      <c r="S714" s="108">
        <v>0.48</v>
      </c>
      <c r="T714" s="7" t="str">
        <f>IF(AllData[[#This Row],[Phosphate (PPM)]]&gt;0.5, "Very high", IF(AllData[[#This Row],[Phosphate (PPM)]]&gt;0.1, "High", IF(AllData[[#This Row],[Phosphate (PPM)]]&gt;0.05, "Some evidence", IF(AllData[[#This Row],[Phosphate (PPM)]]&lt;=0.05, "No Evidence", ""))))</f>
        <v>High</v>
      </c>
      <c r="U714">
        <v>0.1</v>
      </c>
      <c r="V714" t="s">
        <v>2391</v>
      </c>
    </row>
    <row r="715" spans="1:22" x14ac:dyDescent="0.35">
      <c r="A715" t="s">
        <v>2451</v>
      </c>
      <c r="B715" s="143">
        <v>45606</v>
      </c>
      <c r="C715" s="2" t="str" cm="1">
        <f t="array" ref="C7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5">
        <f>YEAR(AllData[[#This Row],[Date]])</f>
        <v>2024</v>
      </c>
      <c r="E715" s="1">
        <v>0.44097222222222221</v>
      </c>
      <c r="F715" t="str">
        <f>IF(AND(AllData[[#This Row],[Time]]&lt;0.5, AllData[[#This Row],[Time]]&gt;0.17)=TRUE, "Morning", IF(AND(AllData[[#This Row],[Time]]&lt;0.75, AllData[[#This Row],[Time]]&gt;=0.5)=TRUE, "Afternoon", IF(AND(AllData[[#This Row],[Time]]&lt;1, AllData[[#This Row],[Time]]&gt;=0.75)=TRUE, "Evening", "Night")))</f>
        <v>Morning</v>
      </c>
      <c r="G715" t="str">
        <f>_xlfn.XLOOKUP(AllData[[#This Row],[Location Name]], Locations[Location Name],Locations[Group As])</f>
        <v>Pitch 15</v>
      </c>
      <c r="H715" t="e" vm="1">
        <f>_xlfn.XLOOKUP(AllData[[#This Row],[Site Name]],LocationsKey[Site Name],LocationsKey[District])</f>
        <v>#VALUE!</v>
      </c>
      <c r="I715" t="e" vm="26">
        <f>_xlfn.XLOOKUP(AllData[[#This Row],[Site Name]],LocationsKey[Site Name],LocationsKey[Town])</f>
        <v>#VALUE!</v>
      </c>
      <c r="J715" t="str">
        <f>_xlfn.XLOOKUP(AllData[[#This Row],[Site Name]],LocationsKey[Site Name], LocationsKey[Waterway])</f>
        <v>Avon</v>
      </c>
      <c r="K715" t="s">
        <v>2452</v>
      </c>
      <c r="L715">
        <v>52.172747000000001</v>
      </c>
      <c r="M715">
        <v>-1.74515</v>
      </c>
      <c r="N715" t="s">
        <v>31</v>
      </c>
      <c r="O715">
        <v>968</v>
      </c>
      <c r="P715">
        <v>13</v>
      </c>
      <c r="Q715">
        <v>7</v>
      </c>
      <c r="R715" s="107" t="str">
        <f>IF(AllData[[#This Row],[Nitrate (PPM)]]&gt;2, "Very high", IF(AllData[[#This Row],[Nitrate (PPM)]]&gt;1, "High", IF(AllData[[#This Row],[Nitrate (PPM)]]&gt;0.5, "Some evidence", IF(AllData[[#This Row],[Nitrate (PPM)]]&gt;=0, "No evidence"))))</f>
        <v>Very high</v>
      </c>
      <c r="S715" s="108">
        <v>0.97</v>
      </c>
      <c r="T715" s="7" t="str">
        <f>IF(AllData[[#This Row],[Phosphate (PPM)]]&gt;0.5, "Very high", IF(AllData[[#This Row],[Phosphate (PPM)]]&gt;0.1, "High", IF(AllData[[#This Row],[Phosphate (PPM)]]&gt;0.05, "Some evidence", IF(AllData[[#This Row],[Phosphate (PPM)]]&lt;=0.05, "No Evidence", ""))))</f>
        <v>Very high</v>
      </c>
      <c r="U715">
        <v>0.6</v>
      </c>
      <c r="V715" t="s">
        <v>2453</v>
      </c>
    </row>
    <row r="716" spans="1:22" x14ac:dyDescent="0.35">
      <c r="A716" t="s">
        <v>2443</v>
      </c>
      <c r="B716" s="143">
        <v>45606</v>
      </c>
      <c r="C716" s="2" t="str" cm="1">
        <f t="array" ref="C7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6">
        <f>YEAR(AllData[[#This Row],[Date]])</f>
        <v>2024</v>
      </c>
      <c r="E716" s="1">
        <v>0.66666666666666663</v>
      </c>
      <c r="F716" t="str">
        <f>IF(AND(AllData[[#This Row],[Time]]&lt;0.5, AllData[[#This Row],[Time]]&gt;0.17)=TRUE, "Morning", IF(AND(AllData[[#This Row],[Time]]&lt;0.75, AllData[[#This Row],[Time]]&gt;=0.5)=TRUE, "Afternoon", IF(AND(AllData[[#This Row],[Time]]&lt;1, AllData[[#This Row],[Time]]&gt;=0.75)=TRUE, "Evening", "Night")))</f>
        <v>Afternoon</v>
      </c>
      <c r="G716" t="str">
        <f>_xlfn.XLOOKUP(AllData[[#This Row],[Location Name]], Locations[Location Name],Locations[Group As])</f>
        <v>Clifford Chambers Mill Bridge</v>
      </c>
      <c r="H716" t="e" vm="1">
        <f>_xlfn.XLOOKUP(AllData[[#This Row],[Site Name]],LocationsKey[Site Name],LocationsKey[District])</f>
        <v>#VALUE!</v>
      </c>
      <c r="I716" t="e" vm="22">
        <f>_xlfn.XLOOKUP(AllData[[#This Row],[Site Name]],LocationsKey[Site Name],LocationsKey[Town])</f>
        <v>#VALUE!</v>
      </c>
      <c r="J716" t="str">
        <f>_xlfn.XLOOKUP(AllData[[#This Row],[Site Name]],LocationsKey[Site Name], LocationsKey[Waterway])</f>
        <v>Stour</v>
      </c>
      <c r="K716" t="s">
        <v>266</v>
      </c>
      <c r="L716">
        <v>52.166370000000001</v>
      </c>
      <c r="M716">
        <v>-1.708032</v>
      </c>
      <c r="N716" t="s">
        <v>68</v>
      </c>
      <c r="O716">
        <v>672</v>
      </c>
      <c r="P716">
        <v>12.5</v>
      </c>
      <c r="Q716">
        <v>6</v>
      </c>
      <c r="R716" s="107" t="str">
        <f>IF(AllData[[#This Row],[Nitrate (PPM)]]&gt;2, "Very high", IF(AllData[[#This Row],[Nitrate (PPM)]]&gt;1, "High", IF(AllData[[#This Row],[Nitrate (PPM)]]&gt;0.5, "Some evidence", IF(AllData[[#This Row],[Nitrate (PPM)]]&gt;=0, "No evidence"))))</f>
        <v>Very high</v>
      </c>
      <c r="S716" s="108">
        <v>0.25</v>
      </c>
      <c r="T716" s="7" t="str">
        <f>IF(AllData[[#This Row],[Phosphate (PPM)]]&gt;0.5, "Very high", IF(AllData[[#This Row],[Phosphate (PPM)]]&gt;0.1, "High", IF(AllData[[#This Row],[Phosphate (PPM)]]&gt;0.05, "Some evidence", IF(AllData[[#This Row],[Phosphate (PPM)]]&lt;=0.05, "No Evidence", ""))))</f>
        <v>High</v>
      </c>
      <c r="U716">
        <v>0.7</v>
      </c>
    </row>
    <row r="717" spans="1:22" x14ac:dyDescent="0.35">
      <c r="A717" t="s">
        <v>2446</v>
      </c>
      <c r="B717" s="143">
        <v>45606</v>
      </c>
      <c r="C717" s="2" t="str" cm="1">
        <f t="array" ref="C7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7">
        <f>YEAR(AllData[[#This Row],[Date]])</f>
        <v>2024</v>
      </c>
      <c r="E717" s="1">
        <v>0.46250000000000002</v>
      </c>
      <c r="F717" t="str">
        <f>IF(AND(AllData[[#This Row],[Time]]&lt;0.5, AllData[[#This Row],[Time]]&gt;0.17)=TRUE, "Morning", IF(AND(AllData[[#This Row],[Time]]&lt;0.75, AllData[[#This Row],[Time]]&gt;=0.5)=TRUE, "Afternoon", IF(AND(AllData[[#This Row],[Time]]&lt;1, AllData[[#This Row],[Time]]&gt;=0.75)=TRUE, "Evening", "Night")))</f>
        <v>Morning</v>
      </c>
      <c r="G717" t="str">
        <f>_xlfn.XLOOKUP(AllData[[#This Row],[Location Name]], Locations[Location Name],Locations[Group As])</f>
        <v>Avonbank Drive</v>
      </c>
      <c r="H717" t="e" vm="1">
        <f>_xlfn.XLOOKUP(AllData[[#This Row],[Site Name]],LocationsKey[Site Name],LocationsKey[District])</f>
        <v>#VALUE!</v>
      </c>
      <c r="I717" t="e" vm="12">
        <f>_xlfn.XLOOKUP(AllData[[#This Row],[Site Name]],LocationsKey[Site Name],LocationsKey[Town])</f>
        <v>#VALUE!</v>
      </c>
      <c r="J717" t="str">
        <f>_xlfn.XLOOKUP(AllData[[#This Row],[Site Name]],LocationsKey[Site Name], LocationsKey[Waterway])</f>
        <v>Avon</v>
      </c>
      <c r="K717" t="s">
        <v>328</v>
      </c>
      <c r="N717" t="s">
        <v>68</v>
      </c>
      <c r="O717">
        <v>1010</v>
      </c>
      <c r="P717">
        <v>13.2</v>
      </c>
      <c r="Q717">
        <v>5</v>
      </c>
      <c r="R717" s="107" t="str">
        <f>IF(AllData[[#This Row],[Nitrate (PPM)]]&gt;2, "Very high", IF(AllData[[#This Row],[Nitrate (PPM)]]&gt;1, "High", IF(AllData[[#This Row],[Nitrate (PPM)]]&gt;0.5, "Some evidence", IF(AllData[[#This Row],[Nitrate (PPM)]]&gt;=0, "No evidence"))))</f>
        <v>Very high</v>
      </c>
      <c r="S717" s="108">
        <v>1.1499999999999999</v>
      </c>
      <c r="T717" s="7" t="str">
        <f>IF(AllData[[#This Row],[Phosphate (PPM)]]&gt;0.5, "Very high", IF(AllData[[#This Row],[Phosphate (PPM)]]&gt;0.1, "High", IF(AllData[[#This Row],[Phosphate (PPM)]]&gt;0.05, "Some evidence", IF(AllData[[#This Row],[Phosphate (PPM)]]&lt;=0.05, "No Evidence", ""))))</f>
        <v>Very high</v>
      </c>
      <c r="U717">
        <v>0.6</v>
      </c>
      <c r="V717" t="s">
        <v>2447</v>
      </c>
    </row>
    <row r="718" spans="1:22" x14ac:dyDescent="0.35">
      <c r="A718" t="s">
        <v>2444</v>
      </c>
      <c r="B718" s="143">
        <v>45606</v>
      </c>
      <c r="C718" s="2" t="str" cm="1">
        <f t="array" ref="C7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8">
        <f>YEAR(AllData[[#This Row],[Date]])</f>
        <v>2024</v>
      </c>
      <c r="E718" s="1">
        <v>0.63541666666666663</v>
      </c>
      <c r="F718" t="str">
        <f>IF(AND(AllData[[#This Row],[Time]]&lt;0.5, AllData[[#This Row],[Time]]&gt;0.17)=TRUE, "Morning", IF(AND(AllData[[#This Row],[Time]]&lt;0.75, AllData[[#This Row],[Time]]&gt;=0.5)=TRUE, "Afternoon", IF(AND(AllData[[#This Row],[Time]]&lt;1, AllData[[#This Row],[Time]]&gt;=0.75)=TRUE, "Evening", "Night")))</f>
        <v>Afternoon</v>
      </c>
      <c r="G718" t="str">
        <f>_xlfn.XLOOKUP(AllData[[#This Row],[Location Name]], Locations[Location Name],Locations[Group As])</f>
        <v>Fell Mill Footbridge</v>
      </c>
      <c r="H718" t="e" vm="1">
        <f>_xlfn.XLOOKUP(AllData[[#This Row],[Site Name]],LocationsKey[Site Name],LocationsKey[District])</f>
        <v>#VALUE!</v>
      </c>
      <c r="I718" t="e" vm="15">
        <f>_xlfn.XLOOKUP(AllData[[#This Row],[Site Name]],LocationsKey[Site Name],LocationsKey[Town])</f>
        <v>#VALUE!</v>
      </c>
      <c r="J718" t="str">
        <f>_xlfn.XLOOKUP(AllData[[#This Row],[Site Name]],LocationsKey[Site Name], LocationsKey[Waterway])</f>
        <v>Stour</v>
      </c>
      <c r="K718" t="s">
        <v>1968</v>
      </c>
      <c r="L718">
        <v>52.070086000000003</v>
      </c>
      <c r="M718">
        <v>-1.61145</v>
      </c>
      <c r="N718" t="s">
        <v>31</v>
      </c>
      <c r="O718">
        <v>629</v>
      </c>
      <c r="P718">
        <v>10.9</v>
      </c>
      <c r="Q718">
        <v>5</v>
      </c>
      <c r="R718" s="107" t="str">
        <f>IF(AllData[[#This Row],[Nitrate (PPM)]]&gt;2, "Very high", IF(AllData[[#This Row],[Nitrate (PPM)]]&gt;1, "High", IF(AllData[[#This Row],[Nitrate (PPM)]]&gt;0.5, "Some evidence", IF(AllData[[#This Row],[Nitrate (PPM)]]&gt;=0, "No evidence"))))</f>
        <v>Very high</v>
      </c>
      <c r="S718" s="108">
        <v>0.22</v>
      </c>
      <c r="T718" s="7" t="str">
        <f>IF(AllData[[#This Row],[Phosphate (PPM)]]&gt;0.5, "Very high", IF(AllData[[#This Row],[Phosphate (PPM)]]&gt;0.1, "High", IF(AllData[[#This Row],[Phosphate (PPM)]]&gt;0.05, "Some evidence", IF(AllData[[#This Row],[Phosphate (PPM)]]&lt;=0.05, "No Evidence", ""))))</f>
        <v>High</v>
      </c>
      <c r="U718">
        <v>1.45</v>
      </c>
      <c r="V718" t="s">
        <v>2445</v>
      </c>
    </row>
    <row r="719" spans="1:22" x14ac:dyDescent="0.35">
      <c r="A719" t="s">
        <v>2449</v>
      </c>
      <c r="B719" s="143">
        <v>45606</v>
      </c>
      <c r="C719" s="2" t="str" cm="1">
        <f t="array" ref="C7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19">
        <f>YEAR(AllData[[#This Row],[Date]])</f>
        <v>2024</v>
      </c>
      <c r="E719" s="1">
        <v>0.63124999999999998</v>
      </c>
      <c r="F719" t="str">
        <f>IF(AND(AllData[[#This Row],[Time]]&lt;0.5, AllData[[#This Row],[Time]]&gt;0.17)=TRUE, "Morning", IF(AND(AllData[[#This Row],[Time]]&lt;0.75, AllData[[#This Row],[Time]]&gt;=0.5)=TRUE, "Afternoon", IF(AND(AllData[[#This Row],[Time]]&lt;1, AllData[[#This Row],[Time]]&gt;=0.75)=TRUE, "Evening", "Night")))</f>
        <v>Afternoon</v>
      </c>
      <c r="G719" t="str">
        <f>_xlfn.XLOOKUP(AllData[[#This Row],[Location Name]], Locations[Location Name],Locations[Group As])</f>
        <v>Stour Shipston Mill Bridge</v>
      </c>
      <c r="H719" t="e" vm="1">
        <f>_xlfn.XLOOKUP(AllData[[#This Row],[Site Name]],LocationsKey[Site Name],LocationsKey[District])</f>
        <v>#VALUE!</v>
      </c>
      <c r="I719" t="e" vm="15">
        <f>_xlfn.XLOOKUP(AllData[[#This Row],[Site Name]],LocationsKey[Site Name],LocationsKey[Town])</f>
        <v>#VALUE!</v>
      </c>
      <c r="J719" t="str">
        <f>_xlfn.XLOOKUP(AllData[[#This Row],[Site Name]],LocationsKey[Site Name], LocationsKey[Waterway])</f>
        <v>Stour</v>
      </c>
      <c r="K719" t="s">
        <v>2006</v>
      </c>
      <c r="N719" t="s">
        <v>25</v>
      </c>
      <c r="O719">
        <v>643</v>
      </c>
      <c r="P719">
        <v>9.4700000000000006</v>
      </c>
      <c r="Q719">
        <v>4</v>
      </c>
      <c r="R719" s="107" t="str">
        <f>IF(AllData[[#This Row],[Nitrate (PPM)]]&gt;2, "Very high", IF(AllData[[#This Row],[Nitrate (PPM)]]&gt;1, "High", IF(AllData[[#This Row],[Nitrate (PPM)]]&gt;0.5, "Some evidence", IF(AllData[[#This Row],[Nitrate (PPM)]]&gt;=0, "No evidence"))))</f>
        <v>Very high</v>
      </c>
      <c r="S719" s="108">
        <v>0.36</v>
      </c>
      <c r="T719" s="7" t="str">
        <f>IF(AllData[[#This Row],[Phosphate (PPM)]]&gt;0.5, "Very high", IF(AllData[[#This Row],[Phosphate (PPM)]]&gt;0.1, "High", IF(AllData[[#This Row],[Phosphate (PPM)]]&gt;0.05, "Some evidence", IF(AllData[[#This Row],[Phosphate (PPM)]]&lt;=0.05, "No Evidence", ""))))</f>
        <v>High</v>
      </c>
      <c r="U719">
        <v>0.5</v>
      </c>
      <c r="V719" t="s">
        <v>2450</v>
      </c>
    </row>
    <row r="720" spans="1:22" x14ac:dyDescent="0.35">
      <c r="A720" t="s">
        <v>2432</v>
      </c>
      <c r="B720" s="143">
        <v>45605</v>
      </c>
      <c r="C720" s="2" t="str" cm="1">
        <f t="array" ref="C7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0">
        <f>YEAR(AllData[[#This Row],[Date]])</f>
        <v>2024</v>
      </c>
      <c r="E720" s="1">
        <v>0.6743055555555556</v>
      </c>
      <c r="F720" t="str">
        <f>IF(AND(AllData[[#This Row],[Time]]&lt;0.5, AllData[[#This Row],[Time]]&gt;0.17)=TRUE, "Morning", IF(AND(AllData[[#This Row],[Time]]&lt;0.75, AllData[[#This Row],[Time]]&gt;=0.5)=TRUE, "Afternoon", IF(AND(AllData[[#This Row],[Time]]&lt;1, AllData[[#This Row],[Time]]&gt;=0.75)=TRUE, "Evening", "Night")))</f>
        <v>Afternoon</v>
      </c>
      <c r="G720" t="str">
        <f>_xlfn.XLOOKUP(AllData[[#This Row],[Location Name]], Locations[Location Name],Locations[Group As])</f>
        <v>Black Bear</v>
      </c>
      <c r="H720" t="e" vm="4">
        <f>_xlfn.XLOOKUP(AllData[[#This Row],[Site Name]],LocationsKey[Site Name],LocationsKey[District])</f>
        <v>#VALUE!</v>
      </c>
      <c r="I720" t="e" vm="4">
        <f>_xlfn.XLOOKUP(AllData[[#This Row],[Site Name]],LocationsKey[Site Name],LocationsKey[Town])</f>
        <v>#VALUE!</v>
      </c>
      <c r="J720" t="str">
        <f>_xlfn.XLOOKUP(AllData[[#This Row],[Site Name]],LocationsKey[Site Name], LocationsKey[Waterway])</f>
        <v>Avon</v>
      </c>
      <c r="K720" t="s">
        <v>1175</v>
      </c>
      <c r="N720" t="s">
        <v>25</v>
      </c>
      <c r="O720">
        <v>937</v>
      </c>
      <c r="P720">
        <v>11.8</v>
      </c>
      <c r="Q720">
        <v>12</v>
      </c>
      <c r="R720" s="107" t="str">
        <f>IF(AllData[[#This Row],[Nitrate (PPM)]]&gt;2, "Very high", IF(AllData[[#This Row],[Nitrate (PPM)]]&gt;1, "High", IF(AllData[[#This Row],[Nitrate (PPM)]]&gt;0.5, "Some evidence", IF(AllData[[#This Row],[Nitrate (PPM)]]&gt;=0, "No evidence"))))</f>
        <v>Very high</v>
      </c>
      <c r="S720" s="108">
        <v>2.5</v>
      </c>
      <c r="T720" s="7" t="str">
        <f>IF(AllData[[#This Row],[Phosphate (PPM)]]&gt;0.5, "Very high", IF(AllData[[#This Row],[Phosphate (PPM)]]&gt;0.1, "High", IF(AllData[[#This Row],[Phosphate (PPM)]]&gt;0.05, "Some evidence", IF(AllData[[#This Row],[Phosphate (PPM)]]&lt;=0.05, "No Evidence", ""))))</f>
        <v>Very high</v>
      </c>
      <c r="U720">
        <v>0</v>
      </c>
    </row>
    <row r="721" spans="1:22" x14ac:dyDescent="0.35">
      <c r="A721" t="s">
        <v>2424</v>
      </c>
      <c r="B721" s="143">
        <v>45605</v>
      </c>
      <c r="C721" s="2" t="str" cm="1">
        <f t="array" ref="C7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1">
        <f>YEAR(AllData[[#This Row],[Date]])</f>
        <v>2024</v>
      </c>
      <c r="E721" s="1">
        <v>0.48749999999999999</v>
      </c>
      <c r="F721" t="str">
        <f>IF(AND(AllData[[#This Row],[Time]]&lt;0.5, AllData[[#This Row],[Time]]&gt;0.17)=TRUE, "Morning", IF(AND(AllData[[#This Row],[Time]]&lt;0.75, AllData[[#This Row],[Time]]&gt;=0.5)=TRUE, "Afternoon", IF(AND(AllData[[#This Row],[Time]]&lt;1, AllData[[#This Row],[Time]]&gt;=0.75)=TRUE, "Evening", "Night")))</f>
        <v>Morning</v>
      </c>
      <c r="G721" t="str">
        <f>_xlfn.XLOOKUP(AllData[[#This Row],[Location Name]], Locations[Location Name],Locations[Group As])</f>
        <v>Avon Smiths Meadow Wyre Piddle</v>
      </c>
      <c r="H721" t="e" vm="6">
        <f>_xlfn.XLOOKUP(AllData[[#This Row],[Site Name]],LocationsKey[Site Name],LocationsKey[District])</f>
        <v>#VALUE!</v>
      </c>
      <c r="I721" t="e" vm="13">
        <f>_xlfn.XLOOKUP(AllData[[#This Row],[Site Name]],LocationsKey[Site Name],LocationsKey[Town])</f>
        <v>#VALUE!</v>
      </c>
      <c r="J721" t="str">
        <f>_xlfn.XLOOKUP(AllData[[#This Row],[Site Name]],LocationsKey[Site Name], LocationsKey[Waterway])</f>
        <v>Avon</v>
      </c>
      <c r="K721" t="s">
        <v>2425</v>
      </c>
      <c r="L721">
        <v>52.123036999999997</v>
      </c>
      <c r="M721">
        <v>-2.0574560000000002</v>
      </c>
      <c r="N721" t="s">
        <v>25</v>
      </c>
      <c r="O721">
        <v>957</v>
      </c>
      <c r="P721">
        <v>11.4</v>
      </c>
      <c r="Q721">
        <v>10</v>
      </c>
      <c r="R721" s="107" t="str">
        <f>IF(AllData[[#This Row],[Nitrate (PPM)]]&gt;2, "Very high", IF(AllData[[#This Row],[Nitrate (PPM)]]&gt;1, "High", IF(AllData[[#This Row],[Nitrate (PPM)]]&gt;0.5, "Some evidence", IF(AllData[[#This Row],[Nitrate (PPM)]]&gt;=0, "No evidence"))))</f>
        <v>Very high</v>
      </c>
      <c r="S721" s="108">
        <v>0.65</v>
      </c>
      <c r="T721" s="7" t="str">
        <f>IF(AllData[[#This Row],[Phosphate (PPM)]]&gt;0.5, "Very high", IF(AllData[[#This Row],[Phosphate (PPM)]]&gt;0.1, "High", IF(AllData[[#This Row],[Phosphate (PPM)]]&gt;0.05, "Some evidence", IF(AllData[[#This Row],[Phosphate (PPM)]]&lt;=0.05, "No Evidence", ""))))</f>
        <v>Very high</v>
      </c>
      <c r="U721">
        <v>0.56999999999999995</v>
      </c>
      <c r="V721" t="s">
        <v>2426</v>
      </c>
    </row>
    <row r="722" spans="1:22" x14ac:dyDescent="0.35">
      <c r="A722" t="s">
        <v>2435</v>
      </c>
      <c r="B722" s="143">
        <v>45605</v>
      </c>
      <c r="C722" s="2" t="str" cm="1">
        <f t="array" ref="C7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2">
        <f>YEAR(AllData[[#This Row],[Date]])</f>
        <v>2024</v>
      </c>
      <c r="E722" s="1">
        <v>0.5625</v>
      </c>
      <c r="F722" t="str">
        <f>IF(AND(AllData[[#This Row],[Time]]&lt;0.5, AllData[[#This Row],[Time]]&gt;0.17)=TRUE, "Morning", IF(AND(AllData[[#This Row],[Time]]&lt;0.75, AllData[[#This Row],[Time]]&gt;=0.5)=TRUE, "Afternoon", IF(AND(AllData[[#This Row],[Time]]&lt;1, AllData[[#This Row],[Time]]&gt;=0.75)=TRUE, "Evening", "Night")))</f>
        <v>Afternoon</v>
      </c>
      <c r="G722" t="str">
        <f>_xlfn.XLOOKUP(AllData[[#This Row],[Location Name]], Locations[Location Name],Locations[Group As])</f>
        <v>Site 3  :  Severn Trent Water processing plant outflow</v>
      </c>
      <c r="H722" t="e" vm="1">
        <f>_xlfn.XLOOKUP(AllData[[#This Row],[Site Name]],LocationsKey[Site Name],LocationsKey[District])</f>
        <v>#VALUE!</v>
      </c>
      <c r="I722" t="e" vm="14">
        <f>_xlfn.XLOOKUP(AllData[[#This Row],[Site Name]],LocationsKey[Site Name],LocationsKey[Town])</f>
        <v>#VALUE!</v>
      </c>
      <c r="J722" t="str">
        <f>_xlfn.XLOOKUP(AllData[[#This Row],[Site Name]],LocationsKey[Site Name], LocationsKey[Waterway])</f>
        <v>Fosseway Brook</v>
      </c>
      <c r="K722" t="s">
        <v>2436</v>
      </c>
      <c r="L722">
        <v>52.094423999999997</v>
      </c>
      <c r="M722">
        <v>-1.6759090000000001</v>
      </c>
      <c r="N722" t="s">
        <v>31</v>
      </c>
      <c r="O722">
        <v>890</v>
      </c>
      <c r="P722">
        <v>11.3</v>
      </c>
      <c r="Q722">
        <v>10</v>
      </c>
      <c r="R722" s="107" t="str">
        <f>IF(AllData[[#This Row],[Nitrate (PPM)]]&gt;2, "Very high", IF(AllData[[#This Row],[Nitrate (PPM)]]&gt;1, "High", IF(AllData[[#This Row],[Nitrate (PPM)]]&gt;0.5, "Some evidence", IF(AllData[[#This Row],[Nitrate (PPM)]]&gt;=0, "No evidence"))))</f>
        <v>Very high</v>
      </c>
      <c r="S722" s="108">
        <v>5.7</v>
      </c>
      <c r="T722" s="7" t="str">
        <f>IF(AllData[[#This Row],[Phosphate (PPM)]]&gt;0.5, "Very high", IF(AllData[[#This Row],[Phosphate (PPM)]]&gt;0.1, "High", IF(AllData[[#This Row],[Phosphate (PPM)]]&gt;0.05, "Some evidence", IF(AllData[[#This Row],[Phosphate (PPM)]]&lt;=0.05, "No Evidence", ""))))</f>
        <v>Very high</v>
      </c>
      <c r="U722">
        <v>0.15</v>
      </c>
      <c r="V722" t="s">
        <v>2437</v>
      </c>
    </row>
    <row r="723" spans="1:22" x14ac:dyDescent="0.35">
      <c r="A723" t="s">
        <v>2431</v>
      </c>
      <c r="B723" s="143">
        <v>45605</v>
      </c>
      <c r="C723" s="2" t="str" cm="1">
        <f t="array" ref="C7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3">
        <f>YEAR(AllData[[#This Row],[Date]])</f>
        <v>2024</v>
      </c>
      <c r="E723" s="1">
        <v>0.52083333333333337</v>
      </c>
      <c r="F723" t="str">
        <f>IF(AND(AllData[[#This Row],[Time]]&lt;0.5, AllData[[#This Row],[Time]]&gt;0.17)=TRUE, "Morning", IF(AND(AllData[[#This Row],[Time]]&lt;0.75, AllData[[#This Row],[Time]]&gt;=0.5)=TRUE, "Afternoon", IF(AND(AllData[[#This Row],[Time]]&lt;1, AllData[[#This Row],[Time]]&gt;=0.75)=TRUE, "Evening", "Night")))</f>
        <v>Afternoon</v>
      </c>
      <c r="G723" t="str">
        <f>_xlfn.XLOOKUP(AllData[[#This Row],[Location Name]], Locations[Location Name],Locations[Group As])</f>
        <v>Carrant Bredon Rd</v>
      </c>
      <c r="H723" t="e" vm="4">
        <f>_xlfn.XLOOKUP(AllData[[#This Row],[Site Name]],LocationsKey[Site Name],LocationsKey[District])</f>
        <v>#VALUE!</v>
      </c>
      <c r="I723" t="e" vm="4">
        <f>_xlfn.XLOOKUP(AllData[[#This Row],[Site Name]],LocationsKey[Site Name],LocationsKey[Town])</f>
        <v>#VALUE!</v>
      </c>
      <c r="J723" t="str">
        <f>_xlfn.XLOOKUP(AllData[[#This Row],[Site Name]],LocationsKey[Site Name], LocationsKey[Waterway])</f>
        <v>Carrant</v>
      </c>
      <c r="K723" t="s">
        <v>603</v>
      </c>
      <c r="L723">
        <v>51.996296999999998</v>
      </c>
      <c r="M723">
        <v>-2.15598</v>
      </c>
      <c r="N723" t="s">
        <v>25</v>
      </c>
      <c r="O723">
        <v>784</v>
      </c>
      <c r="P723">
        <v>11.4</v>
      </c>
      <c r="Q723">
        <v>6</v>
      </c>
      <c r="R723" s="107" t="str">
        <f>IF(AllData[[#This Row],[Nitrate (PPM)]]&gt;2, "Very high", IF(AllData[[#This Row],[Nitrate (PPM)]]&gt;1, "High", IF(AllData[[#This Row],[Nitrate (PPM)]]&gt;0.5, "Some evidence", IF(AllData[[#This Row],[Nitrate (PPM)]]&gt;=0, "No evidence"))))</f>
        <v>Very high</v>
      </c>
      <c r="S723" s="108">
        <v>0.3</v>
      </c>
      <c r="T723" s="7" t="str">
        <f>IF(AllData[[#This Row],[Phosphate (PPM)]]&gt;0.5, "Very high", IF(AllData[[#This Row],[Phosphate (PPM)]]&gt;0.1, "High", IF(AllData[[#This Row],[Phosphate (PPM)]]&gt;0.05, "Some evidence", IF(AllData[[#This Row],[Phosphate (PPM)]]&lt;=0.05, "No Evidence", ""))))</f>
        <v>High</v>
      </c>
      <c r="U723">
        <v>0.01</v>
      </c>
    </row>
    <row r="724" spans="1:22" x14ac:dyDescent="0.35">
      <c r="A724" t="s">
        <v>2438</v>
      </c>
      <c r="B724" s="143">
        <v>45605</v>
      </c>
      <c r="C724" s="2" t="str" cm="1">
        <f t="array" ref="C7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4">
        <f>YEAR(AllData[[#This Row],[Date]])</f>
        <v>2024</v>
      </c>
      <c r="E724" s="1">
        <v>0.44722222222222224</v>
      </c>
      <c r="F724" t="str">
        <f>IF(AND(AllData[[#This Row],[Time]]&lt;0.5, AllData[[#This Row],[Time]]&gt;0.17)=TRUE, "Morning", IF(AND(AllData[[#This Row],[Time]]&lt;0.75, AllData[[#This Row],[Time]]&gt;=0.5)=TRUE, "Afternoon", IF(AND(AllData[[#This Row],[Time]]&lt;1, AllData[[#This Row],[Time]]&gt;=0.75)=TRUE, "Evening", "Night")))</f>
        <v>Morning</v>
      </c>
      <c r="G724" t="str">
        <f>_xlfn.XLOOKUP(AllData[[#This Row],[Location Name]], Locations[Location Name],Locations[Group As])</f>
        <v>Piddle Brook Wyre Piddle Bridge</v>
      </c>
      <c r="H724" t="e" vm="6">
        <f>_xlfn.XLOOKUP(AllData[[#This Row],[Site Name]],LocationsKey[Site Name],LocationsKey[District])</f>
        <v>#VALUE!</v>
      </c>
      <c r="I724" t="e" vm="13">
        <f>_xlfn.XLOOKUP(AllData[[#This Row],[Site Name]],LocationsKey[Site Name],LocationsKey[Town])</f>
        <v>#VALUE!</v>
      </c>
      <c r="J724" t="str">
        <f>_xlfn.XLOOKUP(AllData[[#This Row],[Site Name]],LocationsKey[Site Name], LocationsKey[Waterway])</f>
        <v>Piddle Brook</v>
      </c>
      <c r="K724" t="s">
        <v>2439</v>
      </c>
      <c r="L724">
        <v>52.126398000000002</v>
      </c>
      <c r="M724">
        <v>-2.0564870000000002</v>
      </c>
      <c r="N724" t="s">
        <v>25</v>
      </c>
      <c r="O724">
        <v>1540</v>
      </c>
      <c r="P724">
        <v>10.6</v>
      </c>
      <c r="Q724">
        <v>5</v>
      </c>
      <c r="R724" s="107" t="str">
        <f>IF(AllData[[#This Row],[Nitrate (PPM)]]&gt;2, "Very high", IF(AllData[[#This Row],[Nitrate (PPM)]]&gt;1, "High", IF(AllData[[#This Row],[Nitrate (PPM)]]&gt;0.5, "Some evidence", IF(AllData[[#This Row],[Nitrate (PPM)]]&gt;=0, "No evidence"))))</f>
        <v>Very high</v>
      </c>
      <c r="S724" s="108">
        <v>0.91</v>
      </c>
      <c r="T724" s="7" t="str">
        <f>IF(AllData[[#This Row],[Phosphate (PPM)]]&gt;0.5, "Very high", IF(AllData[[#This Row],[Phosphate (PPM)]]&gt;0.1, "High", IF(AllData[[#This Row],[Phosphate (PPM)]]&gt;0.05, "Some evidence", IF(AllData[[#This Row],[Phosphate (PPM)]]&lt;=0.05, "No Evidence", ""))))</f>
        <v>Very high</v>
      </c>
      <c r="U724">
        <v>0.19</v>
      </c>
      <c r="V724" t="s">
        <v>2440</v>
      </c>
    </row>
    <row r="725" spans="1:22" x14ac:dyDescent="0.35">
      <c r="A725" t="s">
        <v>2433</v>
      </c>
      <c r="B725" s="143">
        <v>45605</v>
      </c>
      <c r="C725" s="2" t="str" cm="1">
        <f t="array" ref="C7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5">
        <f>YEAR(AllData[[#This Row],[Date]])</f>
        <v>2024</v>
      </c>
      <c r="E725" s="1">
        <v>0.64722222222222225</v>
      </c>
      <c r="F725" t="str">
        <f>IF(AND(AllData[[#This Row],[Time]]&lt;0.5, AllData[[#This Row],[Time]]&gt;0.17)=TRUE, "Morning", IF(AND(AllData[[#This Row],[Time]]&lt;0.75, AllData[[#This Row],[Time]]&gt;=0.5)=TRUE, "Afternoon", IF(AND(AllData[[#This Row],[Time]]&lt;1, AllData[[#This Row],[Time]]&gt;=0.75)=TRUE, "Evening", "Night")))</f>
        <v>Afternoon</v>
      </c>
      <c r="G725" t="str">
        <f>_xlfn.XLOOKUP(AllData[[#This Row],[Location Name]], Locations[Location Name],Locations[Group As])</f>
        <v>Swilgate</v>
      </c>
      <c r="H725" t="e" vm="4">
        <f>_xlfn.XLOOKUP(AllData[[#This Row],[Site Name]],LocationsKey[Site Name],LocationsKey[District])</f>
        <v>#VALUE!</v>
      </c>
      <c r="I725" t="e" vm="4">
        <f>_xlfn.XLOOKUP(AllData[[#This Row],[Site Name]],LocationsKey[Site Name],LocationsKey[Town])</f>
        <v>#VALUE!</v>
      </c>
      <c r="J725" t="str">
        <f>_xlfn.XLOOKUP(AllData[[#This Row],[Site Name]],LocationsKey[Site Name], LocationsKey[Waterway])</f>
        <v>Swilgate</v>
      </c>
      <c r="K725" t="s">
        <v>85</v>
      </c>
      <c r="L725">
        <v>51.988827999999998</v>
      </c>
      <c r="M725">
        <v>-2.1638850000000001</v>
      </c>
      <c r="N725" t="s">
        <v>25</v>
      </c>
      <c r="O725">
        <v>101</v>
      </c>
      <c r="P725">
        <v>11.3</v>
      </c>
      <c r="Q725">
        <v>5</v>
      </c>
      <c r="R725" s="107" t="str">
        <f>IF(AllData[[#This Row],[Nitrate (PPM)]]&gt;2, "Very high", IF(AllData[[#This Row],[Nitrate (PPM)]]&gt;1, "High", IF(AllData[[#This Row],[Nitrate (PPM)]]&gt;0.5, "Some evidence", IF(AllData[[#This Row],[Nitrate (PPM)]]&gt;=0, "No evidence"))))</f>
        <v>Very high</v>
      </c>
      <c r="S725" s="108">
        <v>0.17</v>
      </c>
      <c r="T725" s="7" t="str">
        <f>IF(AllData[[#This Row],[Phosphate (PPM)]]&gt;0.5, "Very high", IF(AllData[[#This Row],[Phosphate (PPM)]]&gt;0.1, "High", IF(AllData[[#This Row],[Phosphate (PPM)]]&gt;0.05, "Some evidence", IF(AllData[[#This Row],[Phosphate (PPM)]]&lt;=0.05, "No Evidence", ""))))</f>
        <v>High</v>
      </c>
      <c r="U725">
        <v>0</v>
      </c>
      <c r="V725" t="s">
        <v>2225</v>
      </c>
    </row>
    <row r="726" spans="1:22" x14ac:dyDescent="0.35">
      <c r="A726" t="s">
        <v>2434</v>
      </c>
      <c r="B726" s="143">
        <v>45605</v>
      </c>
      <c r="C726" s="2" t="str" cm="1">
        <f t="array" ref="C7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6">
        <f>YEAR(AllData[[#This Row],[Date]])</f>
        <v>2024</v>
      </c>
      <c r="E726" s="1">
        <v>0.6430555555555556</v>
      </c>
      <c r="F726" t="str">
        <f>IF(AND(AllData[[#This Row],[Time]]&lt;0.5, AllData[[#This Row],[Time]]&gt;0.17)=TRUE, "Morning", IF(AND(AllData[[#This Row],[Time]]&lt;0.75, AllData[[#This Row],[Time]]&gt;=0.5)=TRUE, "Afternoon", IF(AND(AllData[[#This Row],[Time]]&lt;1, AllData[[#This Row],[Time]]&gt;=0.75)=TRUE, "Evening", "Night")))</f>
        <v>Afternoon</v>
      </c>
      <c r="G726" t="str">
        <f>_xlfn.XLOOKUP(AllData[[#This Row],[Location Name]], Locations[Location Name],Locations[Group As])</f>
        <v>Stour Shipston Mill Bridge</v>
      </c>
      <c r="H726" t="e" vm="1">
        <f>_xlfn.XLOOKUP(AllData[[#This Row],[Site Name]],LocationsKey[Site Name],LocationsKey[District])</f>
        <v>#VALUE!</v>
      </c>
      <c r="I726" t="e" vm="15">
        <f>_xlfn.XLOOKUP(AllData[[#This Row],[Site Name]],LocationsKey[Site Name],LocationsKey[Town])</f>
        <v>#VALUE!</v>
      </c>
      <c r="J726" t="str">
        <f>_xlfn.XLOOKUP(AllData[[#This Row],[Site Name]],LocationsKey[Site Name], LocationsKey[Waterway])</f>
        <v>Stour</v>
      </c>
      <c r="K726" t="s">
        <v>2006</v>
      </c>
      <c r="L726">
        <v>52.062325000000001</v>
      </c>
      <c r="M726">
        <v>-1.6218140000000001</v>
      </c>
      <c r="N726" t="s">
        <v>25</v>
      </c>
      <c r="O726">
        <v>643</v>
      </c>
      <c r="P726">
        <v>9.4</v>
      </c>
      <c r="Q726">
        <v>4</v>
      </c>
      <c r="R726" s="107" t="str">
        <f>IF(AllData[[#This Row],[Nitrate (PPM)]]&gt;2, "Very high", IF(AllData[[#This Row],[Nitrate (PPM)]]&gt;1, "High", IF(AllData[[#This Row],[Nitrate (PPM)]]&gt;0.5, "Some evidence", IF(AllData[[#This Row],[Nitrate (PPM)]]&gt;=0, "No evidence"))))</f>
        <v>Very high</v>
      </c>
      <c r="S726" s="108">
        <v>0.36</v>
      </c>
      <c r="T726" s="7" t="str">
        <f>IF(AllData[[#This Row],[Phosphate (PPM)]]&gt;0.5, "Very high", IF(AllData[[#This Row],[Phosphate (PPM)]]&gt;0.1, "High", IF(AllData[[#This Row],[Phosphate (PPM)]]&gt;0.05, "Some evidence", IF(AllData[[#This Row],[Phosphate (PPM)]]&lt;=0.05, "No Evidence", ""))))</f>
        <v>High</v>
      </c>
      <c r="U726">
        <v>0.5</v>
      </c>
    </row>
    <row r="727" spans="1:22" x14ac:dyDescent="0.35">
      <c r="A727" t="s">
        <v>2427</v>
      </c>
      <c r="B727" s="143">
        <v>45605</v>
      </c>
      <c r="C727" s="2" t="str" cm="1">
        <f t="array" ref="C7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7">
        <f>YEAR(AllData[[#This Row],[Date]])</f>
        <v>2024</v>
      </c>
      <c r="E727" s="1">
        <v>0.54166666666666663</v>
      </c>
      <c r="F727" t="str">
        <f>IF(AND(AllData[[#This Row],[Time]]&lt;0.5, AllData[[#This Row],[Time]]&gt;0.17)=TRUE, "Morning", IF(AND(AllData[[#This Row],[Time]]&lt;0.75, AllData[[#This Row],[Time]]&gt;=0.5)=TRUE, "Afternoon", IF(AND(AllData[[#This Row],[Time]]&lt;1, AllData[[#This Row],[Time]]&gt;=0.75)=TRUE, "Evening", "Night")))</f>
        <v>Afternoon</v>
      </c>
      <c r="G727" t="str">
        <f>_xlfn.XLOOKUP(AllData[[#This Row],[Location Name]], Locations[Location Name],Locations[Group As])</f>
        <v>Site 2  :  Cross Leys culvert</v>
      </c>
      <c r="H727" t="e" vm="1">
        <f>_xlfn.XLOOKUP(AllData[[#This Row],[Site Name]],LocationsKey[Site Name],LocationsKey[District])</f>
        <v>#VALUE!</v>
      </c>
      <c r="I727" t="e" vm="14">
        <f>_xlfn.XLOOKUP(AllData[[#This Row],[Site Name]],LocationsKey[Site Name],LocationsKey[Town])</f>
        <v>#VALUE!</v>
      </c>
      <c r="J727" t="str">
        <f>_xlfn.XLOOKUP(AllData[[#This Row],[Site Name]],LocationsKey[Site Name], LocationsKey[Waterway])</f>
        <v>Fosseway Brook</v>
      </c>
      <c r="K727" t="s">
        <v>2428</v>
      </c>
      <c r="L727">
        <v>52.092967999999999</v>
      </c>
      <c r="M727">
        <v>-1.6862710000000001</v>
      </c>
      <c r="N727" t="s">
        <v>68</v>
      </c>
      <c r="O727">
        <v>731</v>
      </c>
      <c r="P727">
        <v>10.1</v>
      </c>
      <c r="Q727">
        <v>2</v>
      </c>
      <c r="R727" s="107" t="str">
        <f>IF(AllData[[#This Row],[Nitrate (PPM)]]&gt;2, "Very high", IF(AllData[[#This Row],[Nitrate (PPM)]]&gt;1, "High", IF(AllData[[#This Row],[Nitrate (PPM)]]&gt;0.5, "Some evidence", IF(AllData[[#This Row],[Nitrate (PPM)]]&gt;=0, "No evidence"))))</f>
        <v>High</v>
      </c>
      <c r="S727" s="108">
        <v>0.42</v>
      </c>
      <c r="T727" s="7" t="str">
        <f>IF(AllData[[#This Row],[Phosphate (PPM)]]&gt;0.5, "Very high", IF(AllData[[#This Row],[Phosphate (PPM)]]&gt;0.1, "High", IF(AllData[[#This Row],[Phosphate (PPM)]]&gt;0.05, "Some evidence", IF(AllData[[#This Row],[Phosphate (PPM)]]&lt;=0.05, "No Evidence", ""))))</f>
        <v>High</v>
      </c>
      <c r="U727">
        <v>0.15</v>
      </c>
    </row>
    <row r="728" spans="1:22" x14ac:dyDescent="0.35">
      <c r="A728" t="s">
        <v>2429</v>
      </c>
      <c r="B728" s="143">
        <v>45605</v>
      </c>
      <c r="C728" s="2" t="str" cm="1">
        <f t="array" ref="C7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8">
        <f>YEAR(AllData[[#This Row],[Date]])</f>
        <v>2024</v>
      </c>
      <c r="E728" s="1">
        <v>0.53125</v>
      </c>
      <c r="F728" t="str">
        <f>IF(AND(AllData[[#This Row],[Time]]&lt;0.5, AllData[[#This Row],[Time]]&gt;0.17)=TRUE, "Morning", IF(AND(AllData[[#This Row],[Time]]&lt;0.75, AllData[[#This Row],[Time]]&gt;=0.5)=TRUE, "Afternoon", IF(AND(AllData[[#This Row],[Time]]&lt;1, AllData[[#This Row],[Time]]&gt;=0.75)=TRUE, "Evening", "Night")))</f>
        <v>Afternoon</v>
      </c>
      <c r="G728" t="str">
        <f>_xlfn.XLOOKUP(AllData[[#This Row],[Location Name]], Locations[Location Name],Locations[Group As])</f>
        <v>Site 1  :  Middle Street</v>
      </c>
      <c r="H728" t="e" vm="1">
        <f>_xlfn.XLOOKUP(AllData[[#This Row],[Site Name]],LocationsKey[Site Name],LocationsKey[District])</f>
        <v>#VALUE!</v>
      </c>
      <c r="I728" t="e" vm="14">
        <f>_xlfn.XLOOKUP(AllData[[#This Row],[Site Name]],LocationsKey[Site Name],LocationsKey[Town])</f>
        <v>#VALUE!</v>
      </c>
      <c r="J728" t="str">
        <f>_xlfn.XLOOKUP(AllData[[#This Row],[Site Name]],LocationsKey[Site Name], LocationsKey[Waterway])</f>
        <v>Fosseway Brook</v>
      </c>
      <c r="K728" t="s">
        <v>2430</v>
      </c>
      <c r="L728">
        <v>52.090085000000002</v>
      </c>
      <c r="M728">
        <v>-1.692593</v>
      </c>
      <c r="N728" t="s">
        <v>68</v>
      </c>
      <c r="O728">
        <v>644</v>
      </c>
      <c r="P728">
        <v>10.5</v>
      </c>
      <c r="Q728">
        <v>1</v>
      </c>
      <c r="R728" s="107" t="str">
        <f>IF(AllData[[#This Row],[Nitrate (PPM)]]&gt;2, "Very high", IF(AllData[[#This Row],[Nitrate (PPM)]]&gt;1, "High", IF(AllData[[#This Row],[Nitrate (PPM)]]&gt;0.5, "Some evidence", IF(AllData[[#This Row],[Nitrate (PPM)]]&gt;=0, "No evidence"))))</f>
        <v>Some evidence</v>
      </c>
      <c r="S728" s="108">
        <v>0.86</v>
      </c>
      <c r="T728" s="7" t="str">
        <f>IF(AllData[[#This Row],[Phosphate (PPM)]]&gt;0.5, "Very high", IF(AllData[[#This Row],[Phosphate (PPM)]]&gt;0.1, "High", IF(AllData[[#This Row],[Phosphate (PPM)]]&gt;0.05, "Some evidence", IF(AllData[[#This Row],[Phosphate (PPM)]]&lt;=0.05, "No Evidence", ""))))</f>
        <v>Very high</v>
      </c>
      <c r="U728">
        <v>0.1</v>
      </c>
    </row>
    <row r="729" spans="1:22" x14ac:dyDescent="0.35">
      <c r="A729" t="s">
        <v>2420</v>
      </c>
      <c r="B729" s="143">
        <v>45604</v>
      </c>
      <c r="C729" s="2" t="str" cm="1">
        <f t="array" ref="C7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29">
        <f>YEAR(AllData[[#This Row],[Date]])</f>
        <v>2024</v>
      </c>
      <c r="E729" s="1">
        <v>0.61805555555555558</v>
      </c>
      <c r="F729" t="str">
        <f>IF(AND(AllData[[#This Row],[Time]]&lt;0.5, AllData[[#This Row],[Time]]&gt;0.17)=TRUE, "Morning", IF(AND(AllData[[#This Row],[Time]]&lt;0.75, AllData[[#This Row],[Time]]&gt;=0.5)=TRUE, "Afternoon", IF(AND(AllData[[#This Row],[Time]]&lt;1, AllData[[#This Row],[Time]]&gt;=0.75)=TRUE, "Evening", "Night")))</f>
        <v>Afternoon</v>
      </c>
      <c r="G729" t="str">
        <f>_xlfn.XLOOKUP(AllData[[#This Row],[Location Name]], Locations[Location Name],Locations[Group As])</f>
        <v>Abbey Mill</v>
      </c>
      <c r="H729" t="e" vm="4">
        <f>_xlfn.XLOOKUP(AllData[[#This Row],[Site Name]],LocationsKey[Site Name],LocationsKey[District])</f>
        <v>#VALUE!</v>
      </c>
      <c r="I729" t="e" vm="4">
        <f>_xlfn.XLOOKUP(AllData[[#This Row],[Site Name]],LocationsKey[Site Name],LocationsKey[Town])</f>
        <v>#VALUE!</v>
      </c>
      <c r="J729" t="str">
        <f>_xlfn.XLOOKUP(AllData[[#This Row],[Site Name]],LocationsKey[Site Name], LocationsKey[Waterway])</f>
        <v>Avon</v>
      </c>
      <c r="K729" t="s">
        <v>27</v>
      </c>
      <c r="L729">
        <v>51.991241000000002</v>
      </c>
      <c r="M729">
        <v>-2.162668</v>
      </c>
      <c r="N729" t="s">
        <v>31</v>
      </c>
      <c r="O729">
        <v>944</v>
      </c>
      <c r="P729">
        <v>12.4</v>
      </c>
      <c r="Q729">
        <v>7</v>
      </c>
      <c r="R729" s="107" t="str">
        <f>IF(AllData[[#This Row],[Nitrate (PPM)]]&gt;2, "Very high", IF(AllData[[#This Row],[Nitrate (PPM)]]&gt;1, "High", IF(AllData[[#This Row],[Nitrate (PPM)]]&gt;0.5, "Some evidence", IF(AllData[[#This Row],[Nitrate (PPM)]]&gt;=0, "No evidence"))))</f>
        <v>Very high</v>
      </c>
      <c r="S729" s="108">
        <v>0.64</v>
      </c>
      <c r="T729" s="7" t="str">
        <f>IF(AllData[[#This Row],[Phosphate (PPM)]]&gt;0.5, "Very high", IF(AllData[[#This Row],[Phosphate (PPM)]]&gt;0.1, "High", IF(AllData[[#This Row],[Phosphate (PPM)]]&gt;0.05, "Some evidence", IF(AllData[[#This Row],[Phosphate (PPM)]]&lt;=0.05, "No Evidence", ""))))</f>
        <v>Very high</v>
      </c>
      <c r="U729">
        <v>0.5</v>
      </c>
      <c r="V729" t="s">
        <v>2421</v>
      </c>
    </row>
    <row r="730" spans="1:22" x14ac:dyDescent="0.35">
      <c r="A730" t="s">
        <v>2423</v>
      </c>
      <c r="B730" s="143">
        <v>45604</v>
      </c>
      <c r="C730" s="2" t="str" cm="1">
        <f t="array" ref="C7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0">
        <f>YEAR(AllData[[#This Row],[Date]])</f>
        <v>2024</v>
      </c>
      <c r="E730" s="1">
        <v>0.45416666666666666</v>
      </c>
      <c r="F730" t="str">
        <f>IF(AND(AllData[[#This Row],[Time]]&lt;0.5, AllData[[#This Row],[Time]]&gt;0.17)=TRUE, "Morning", IF(AND(AllData[[#This Row],[Time]]&lt;0.75, AllData[[#This Row],[Time]]&gt;=0.5)=TRUE, "Afternoon", IF(AND(AllData[[#This Row],[Time]]&lt;1, AllData[[#This Row],[Time]]&gt;=0.75)=TRUE, "Evening", "Night")))</f>
        <v>Morning</v>
      </c>
      <c r="G730" t="str">
        <f>_xlfn.XLOOKUP(AllData[[#This Row],[Location Name]], Locations[Location Name],Locations[Group As])</f>
        <v>Stour Whichford</v>
      </c>
      <c r="H730" t="e" vm="1">
        <f>_xlfn.XLOOKUP(AllData[[#This Row],[Site Name]],LocationsKey[Site Name],LocationsKey[District])</f>
        <v>#VALUE!</v>
      </c>
      <c r="I730" t="e" vm="24">
        <f>_xlfn.XLOOKUP(AllData[[#This Row],[Site Name]],LocationsKey[Site Name],LocationsKey[Town])</f>
        <v>#VALUE!</v>
      </c>
      <c r="J730" t="str">
        <f>_xlfn.XLOOKUP(AllData[[#This Row],[Site Name]],LocationsKey[Site Name], LocationsKey[Waterway])</f>
        <v>Stour</v>
      </c>
      <c r="K730" t="s">
        <v>980</v>
      </c>
      <c r="N730" t="s">
        <v>31</v>
      </c>
      <c r="O730">
        <v>622</v>
      </c>
      <c r="P730">
        <v>10.7</v>
      </c>
      <c r="Q730">
        <v>3.5</v>
      </c>
      <c r="R730" s="107" t="str">
        <f>IF(AllData[[#This Row],[Nitrate (PPM)]]&gt;2, "Very high", IF(AllData[[#This Row],[Nitrate (PPM)]]&gt;1, "High", IF(AllData[[#This Row],[Nitrate (PPM)]]&gt;0.5, "Some evidence", IF(AllData[[#This Row],[Nitrate (PPM)]]&gt;=0, "No evidence"))))</f>
        <v>Very high</v>
      </c>
      <c r="S730" s="108">
        <v>0.54</v>
      </c>
      <c r="T730" s="7" t="str">
        <f>IF(AllData[[#This Row],[Phosphate (PPM)]]&gt;0.5, "Very high", IF(AllData[[#This Row],[Phosphate (PPM)]]&gt;0.1, "High", IF(AllData[[#This Row],[Phosphate (PPM)]]&gt;0.05, "Some evidence", IF(AllData[[#This Row],[Phosphate (PPM)]]&lt;=0.05, "No Evidence", ""))))</f>
        <v>Very high</v>
      </c>
      <c r="U730">
        <v>20</v>
      </c>
    </row>
    <row r="731" spans="1:22" x14ac:dyDescent="0.35">
      <c r="A731" t="s">
        <v>2418</v>
      </c>
      <c r="B731" s="143">
        <v>45604</v>
      </c>
      <c r="C731" s="2" t="str" cm="1">
        <f t="array" ref="C7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1">
        <f>YEAR(AllData[[#This Row],[Date]])</f>
        <v>2024</v>
      </c>
      <c r="E731" s="1">
        <v>0.63611111111111107</v>
      </c>
      <c r="F731" t="str">
        <f>IF(AND(AllData[[#This Row],[Time]]&lt;0.5, AllData[[#This Row],[Time]]&gt;0.17)=TRUE, "Morning", IF(AND(AllData[[#This Row],[Time]]&lt;0.75, AllData[[#This Row],[Time]]&gt;=0.5)=TRUE, "Afternoon", IF(AND(AllData[[#This Row],[Time]]&lt;1, AllData[[#This Row],[Time]]&gt;=0.75)=TRUE, "Evening", "Night")))</f>
        <v>Afternoon</v>
      </c>
      <c r="G731" t="str">
        <f>_xlfn.XLOOKUP(AllData[[#This Row],[Location Name]], Locations[Location Name],Locations[Group As])</f>
        <v>Stour Shipston Mill Bridge</v>
      </c>
      <c r="H731" t="e" vm="1">
        <f>_xlfn.XLOOKUP(AllData[[#This Row],[Site Name]],LocationsKey[Site Name],LocationsKey[District])</f>
        <v>#VALUE!</v>
      </c>
      <c r="I731" t="e" vm="15">
        <f>_xlfn.XLOOKUP(AllData[[#This Row],[Site Name]],LocationsKey[Site Name],LocationsKey[Town])</f>
        <v>#VALUE!</v>
      </c>
      <c r="J731" t="str">
        <f>_xlfn.XLOOKUP(AllData[[#This Row],[Site Name]],LocationsKey[Site Name], LocationsKey[Waterway])</f>
        <v>Stour</v>
      </c>
      <c r="K731" t="s">
        <v>2006</v>
      </c>
      <c r="L731">
        <v>52.062247999999997</v>
      </c>
      <c r="M731">
        <v>-1.6218520000000001</v>
      </c>
      <c r="N731" t="s">
        <v>25</v>
      </c>
      <c r="O731">
        <v>0.63300000000000001</v>
      </c>
      <c r="P731">
        <v>10.6</v>
      </c>
      <c r="Q731">
        <v>3</v>
      </c>
      <c r="R731" s="107" t="str">
        <f>IF(AllData[[#This Row],[Nitrate (PPM)]]&gt;2, "Very high", IF(AllData[[#This Row],[Nitrate (PPM)]]&gt;1, "High", IF(AllData[[#This Row],[Nitrate (PPM)]]&gt;0.5, "Some evidence", IF(AllData[[#This Row],[Nitrate (PPM)]]&gt;=0, "No evidence"))))</f>
        <v>Very high</v>
      </c>
      <c r="S731" s="108">
        <v>0.16</v>
      </c>
      <c r="T731" s="7" t="str">
        <f>IF(AllData[[#This Row],[Phosphate (PPM)]]&gt;0.5, "Very high", IF(AllData[[#This Row],[Phosphate (PPM)]]&gt;0.1, "High", IF(AllData[[#This Row],[Phosphate (PPM)]]&gt;0.05, "Some evidence", IF(AllData[[#This Row],[Phosphate (PPM)]]&lt;=0.05, "No Evidence", ""))))</f>
        <v>High</v>
      </c>
      <c r="U731">
        <v>0.53</v>
      </c>
      <c r="V731" t="s">
        <v>2419</v>
      </c>
    </row>
    <row r="732" spans="1:22" x14ac:dyDescent="0.35">
      <c r="A732" t="s">
        <v>2422</v>
      </c>
      <c r="B732" s="143">
        <v>45604</v>
      </c>
      <c r="C732" s="2" t="str" cm="1">
        <f t="array" ref="C7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2">
        <f>YEAR(AllData[[#This Row],[Date]])</f>
        <v>2024</v>
      </c>
      <c r="E732" s="1">
        <v>0.47569444444444442</v>
      </c>
      <c r="F732" t="str">
        <f>IF(AND(AllData[[#This Row],[Time]]&lt;0.5, AllData[[#This Row],[Time]]&gt;0.17)=TRUE, "Morning", IF(AND(AllData[[#This Row],[Time]]&lt;0.75, AllData[[#This Row],[Time]]&gt;=0.5)=TRUE, "Afternoon", IF(AND(AllData[[#This Row],[Time]]&lt;1, AllData[[#This Row],[Time]]&gt;=0.75)=TRUE, "Evening", "Night")))</f>
        <v>Morning</v>
      </c>
      <c r="G732" t="str">
        <f>_xlfn.XLOOKUP(AllData[[#This Row],[Location Name]], Locations[Location Name],Locations[Group As])</f>
        <v>Stour Ascott Village</v>
      </c>
      <c r="H732" t="e" vm="1">
        <f>_xlfn.XLOOKUP(AllData[[#This Row],[Site Name]],LocationsKey[Site Name],LocationsKey[District])</f>
        <v>#VALUE!</v>
      </c>
      <c r="I732" t="e" vm="25">
        <f>_xlfn.XLOOKUP(AllData[[#This Row],[Site Name]],LocationsKey[Site Name],LocationsKey[Town])</f>
        <v>#VALUE!</v>
      </c>
      <c r="J732" t="str">
        <f>_xlfn.XLOOKUP(AllData[[#This Row],[Site Name]],LocationsKey[Site Name], LocationsKey[Waterway])</f>
        <v>Stour</v>
      </c>
      <c r="K732" t="s">
        <v>927</v>
      </c>
      <c r="N732" t="s">
        <v>68</v>
      </c>
      <c r="O732">
        <v>581</v>
      </c>
      <c r="P732">
        <v>10.4</v>
      </c>
      <c r="Q732">
        <v>0.5</v>
      </c>
      <c r="R732" s="107" t="str">
        <f>IF(AllData[[#This Row],[Nitrate (PPM)]]&gt;2, "Very high", IF(AllData[[#This Row],[Nitrate (PPM)]]&gt;1, "High", IF(AllData[[#This Row],[Nitrate (PPM)]]&gt;0.5, "Some evidence", IF(AllData[[#This Row],[Nitrate (PPM)]]&gt;=0, "No evidence"))))</f>
        <v>No evidence</v>
      </c>
      <c r="S732" s="108">
        <v>0.17</v>
      </c>
      <c r="T732" s="7" t="str">
        <f>IF(AllData[[#This Row],[Phosphate (PPM)]]&gt;0.5, "Very high", IF(AllData[[#This Row],[Phosphate (PPM)]]&gt;0.1, "High", IF(AllData[[#This Row],[Phosphate (PPM)]]&gt;0.05, "Some evidence", IF(AllData[[#This Row],[Phosphate (PPM)]]&lt;=0.05, "No Evidence", ""))))</f>
        <v>High</v>
      </c>
      <c r="U732">
        <v>10</v>
      </c>
    </row>
    <row r="733" spans="1:22" x14ac:dyDescent="0.35">
      <c r="A733" t="s">
        <v>2414</v>
      </c>
      <c r="B733" s="143">
        <v>45603</v>
      </c>
      <c r="C733" s="2" t="str" cm="1">
        <f t="array" ref="C7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3">
        <f>YEAR(AllData[[#This Row],[Date]])</f>
        <v>2024</v>
      </c>
      <c r="E733" s="1">
        <v>0.68819444444444444</v>
      </c>
      <c r="F733" t="str">
        <f>IF(AND(AllData[[#This Row],[Time]]&lt;0.5, AllData[[#This Row],[Time]]&gt;0.17)=TRUE, "Morning", IF(AND(AllData[[#This Row],[Time]]&lt;0.75, AllData[[#This Row],[Time]]&gt;=0.5)=TRUE, "Afternoon", IF(AND(AllData[[#This Row],[Time]]&lt;1, AllData[[#This Row],[Time]]&gt;=0.75)=TRUE, "Evening", "Night")))</f>
        <v>Afternoon</v>
      </c>
      <c r="G733" t="str">
        <f>_xlfn.XLOOKUP(AllData[[#This Row],[Location Name]], Locations[Location Name],Locations[Group As])</f>
        <v>Swiffen Bank</v>
      </c>
      <c r="H733" t="e" vm="1">
        <f>_xlfn.XLOOKUP(AllData[[#This Row],[Site Name]],LocationsKey[Site Name],LocationsKey[District])</f>
        <v>#VALUE!</v>
      </c>
      <c r="I733" t="e" vm="2">
        <f>_xlfn.XLOOKUP(AllData[[#This Row],[Site Name]],LocationsKey[Site Name],LocationsKey[Town])</f>
        <v>#VALUE!</v>
      </c>
      <c r="J733" t="str">
        <f>_xlfn.XLOOKUP(AllData[[#This Row],[Site Name]],LocationsKey[Site Name], LocationsKey[Waterway])</f>
        <v>Avon</v>
      </c>
      <c r="K733" t="s">
        <v>286</v>
      </c>
      <c r="L733">
        <v>52.206477999999997</v>
      </c>
      <c r="M733">
        <v>-1.653894</v>
      </c>
      <c r="N733" t="s">
        <v>31</v>
      </c>
      <c r="O733">
        <v>733</v>
      </c>
      <c r="P733">
        <v>13.7</v>
      </c>
      <c r="Q733">
        <v>10</v>
      </c>
      <c r="R733" s="107" t="str">
        <f>IF(AllData[[#This Row],[Nitrate (PPM)]]&gt;2, "Very high", IF(AllData[[#This Row],[Nitrate (PPM)]]&gt;1, "High", IF(AllData[[#This Row],[Nitrate (PPM)]]&gt;0.5, "Some evidence", IF(AllData[[#This Row],[Nitrate (PPM)]]&gt;=0, "No evidence"))))</f>
        <v>Very high</v>
      </c>
      <c r="S733" s="108">
        <v>0.5</v>
      </c>
      <c r="T733" s="7" t="str">
        <f>IF(AllData[[#This Row],[Phosphate (PPM)]]&gt;0.5, "Very high", IF(AllData[[#This Row],[Phosphate (PPM)]]&gt;0.1, "High", IF(AllData[[#This Row],[Phosphate (PPM)]]&gt;0.05, "Some evidence", IF(AllData[[#This Row],[Phosphate (PPM)]]&lt;=0.05, "No Evidence", ""))))</f>
        <v>High</v>
      </c>
      <c r="U733">
        <v>-1</v>
      </c>
      <c r="V733" t="s">
        <v>2415</v>
      </c>
    </row>
    <row r="734" spans="1:22" x14ac:dyDescent="0.35">
      <c r="A734" t="s">
        <v>2416</v>
      </c>
      <c r="B734" s="143">
        <v>45603</v>
      </c>
      <c r="C734" s="2" t="str" cm="1">
        <f t="array" ref="C7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4">
        <f>YEAR(AllData[[#This Row],[Date]])</f>
        <v>2024</v>
      </c>
      <c r="E734" s="1">
        <v>0.64236111111111116</v>
      </c>
      <c r="F734" t="str">
        <f>IF(AND(AllData[[#This Row],[Time]]&lt;0.5, AllData[[#This Row],[Time]]&gt;0.17)=TRUE, "Morning", IF(AND(AllData[[#This Row],[Time]]&lt;0.75, AllData[[#This Row],[Time]]&gt;=0.5)=TRUE, "Afternoon", IF(AND(AllData[[#This Row],[Time]]&lt;1, AllData[[#This Row],[Time]]&gt;=0.75)=TRUE, "Evening", "Night")))</f>
        <v>Afternoon</v>
      </c>
      <c r="G734" t="str">
        <f>_xlfn.XLOOKUP(AllData[[#This Row],[Location Name]], Locations[Location Name],Locations[Group As])</f>
        <v>Alveston Weir</v>
      </c>
      <c r="H734" t="e" vm="1">
        <f>_xlfn.XLOOKUP(AllData[[#This Row],[Site Name]],LocationsKey[Site Name],LocationsKey[District])</f>
        <v>#VALUE!</v>
      </c>
      <c r="I734" t="e" vm="2">
        <f>_xlfn.XLOOKUP(AllData[[#This Row],[Site Name]],LocationsKey[Site Name],LocationsKey[Town])</f>
        <v>#VALUE!</v>
      </c>
      <c r="J734" t="str">
        <f>_xlfn.XLOOKUP(AllData[[#This Row],[Site Name]],LocationsKey[Site Name], LocationsKey[Waterway])</f>
        <v>Avon</v>
      </c>
      <c r="K734" t="s">
        <v>288</v>
      </c>
      <c r="L734">
        <v>52.214244999999998</v>
      </c>
      <c r="M734">
        <v>-1.6600239999999999</v>
      </c>
      <c r="N734" t="s">
        <v>31</v>
      </c>
      <c r="O734">
        <v>691</v>
      </c>
      <c r="P734">
        <v>13.4</v>
      </c>
      <c r="Q734">
        <v>10</v>
      </c>
      <c r="R734" s="107" t="str">
        <f>IF(AllData[[#This Row],[Nitrate (PPM)]]&gt;2, "Very high", IF(AllData[[#This Row],[Nitrate (PPM)]]&gt;1, "High", IF(AllData[[#This Row],[Nitrate (PPM)]]&gt;0.5, "Some evidence", IF(AllData[[#This Row],[Nitrate (PPM)]]&gt;=0, "No evidence"))))</f>
        <v>Very high</v>
      </c>
      <c r="S734" s="155">
        <v>0.3</v>
      </c>
      <c r="T734" s="107" t="str">
        <f>IF(AllData[[#This Row],[Phosphate (PPM)]]&gt;0.5, "Very high", IF(AllData[[#This Row],[Phosphate (PPM)]]&gt;0.1, "High", IF(AllData[[#This Row],[Phosphate (PPM)]]&gt;0.05, "Some evidence", IF(AllData[[#This Row],[Phosphate (PPM)]]&lt;=0.05, "No Evidence", ""))))</f>
        <v>High</v>
      </c>
      <c r="U734">
        <v>-1</v>
      </c>
      <c r="V734" t="s">
        <v>2417</v>
      </c>
    </row>
    <row r="735" spans="1:22" x14ac:dyDescent="0.35">
      <c r="A735" t="s">
        <v>2411</v>
      </c>
      <c r="B735" s="143">
        <v>45603</v>
      </c>
      <c r="C735" s="2" t="str" cm="1">
        <f t="array" ref="C7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5">
        <f>YEAR(AllData[[#This Row],[Date]])</f>
        <v>2024</v>
      </c>
      <c r="E735" s="1">
        <v>0.51111111111111107</v>
      </c>
      <c r="F735" t="str">
        <f>IF(AND(AllData[[#This Row],[Time]]&lt;0.5, AllData[[#This Row],[Time]]&gt;0.17)=TRUE, "Morning", IF(AND(AllData[[#This Row],[Time]]&lt;0.75, AllData[[#This Row],[Time]]&gt;=0.5)=TRUE, "Afternoon", IF(AND(AllData[[#This Row],[Time]]&lt;1, AllData[[#This Row],[Time]]&gt;=0.75)=TRUE, "Evening", "Night")))</f>
        <v>Afternoon</v>
      </c>
      <c r="G735" t="str">
        <f>_xlfn.XLOOKUP(AllData[[#This Row],[Location Name]], Locations[Location Name],Locations[Group As])</f>
        <v>Carrant M5 Bridge</v>
      </c>
      <c r="H735" t="e" vm="4">
        <f>_xlfn.XLOOKUP(AllData[[#This Row],[Site Name]],LocationsKey[Site Name],LocationsKey[District])</f>
        <v>#VALUE!</v>
      </c>
      <c r="I735" t="e" vm="4">
        <f>_xlfn.XLOOKUP(AllData[[#This Row],[Site Name]],LocationsKey[Site Name],LocationsKey[Town])</f>
        <v>#VALUE!</v>
      </c>
      <c r="J735" t="str">
        <f>_xlfn.XLOOKUP(AllData[[#This Row],[Site Name]],LocationsKey[Site Name], LocationsKey[Waterway])</f>
        <v>Carrant</v>
      </c>
      <c r="K735" t="s">
        <v>2412</v>
      </c>
      <c r="L735">
        <v>52.011854</v>
      </c>
      <c r="M735">
        <v>-2.1202269999999999</v>
      </c>
      <c r="N735" t="s">
        <v>25</v>
      </c>
      <c r="O735">
        <v>460</v>
      </c>
      <c r="P735">
        <v>15.4</v>
      </c>
      <c r="Q735">
        <v>10</v>
      </c>
      <c r="R735" s="107" t="str">
        <f>IF(AllData[[#This Row],[Nitrate (PPM)]]&gt;2, "Very high", IF(AllData[[#This Row],[Nitrate (PPM)]]&gt;1, "High", IF(AllData[[#This Row],[Nitrate (PPM)]]&gt;0.5, "Some evidence", IF(AllData[[#This Row],[Nitrate (PPM)]]&gt;=0, "No evidence"))))</f>
        <v>Very high</v>
      </c>
      <c r="S735">
        <v>0.75</v>
      </c>
      <c r="T735" s="7" t="str">
        <f>IF(AllData[[#This Row],[Phosphate (PPM)]]&gt;0.5, "Very high", IF(AllData[[#This Row],[Phosphate (PPM)]]&gt;0.1, "High", IF(AllData[[#This Row],[Phosphate (PPM)]]&gt;0.05, "Some evidence", IF(AllData[[#This Row],[Phosphate (PPM)]]&lt;=0.05, "No Evidence", ""))))</f>
        <v>Very high</v>
      </c>
      <c r="U735">
        <v>1.5</v>
      </c>
    </row>
    <row r="736" spans="1:22" x14ac:dyDescent="0.35">
      <c r="A736" t="s">
        <v>2413</v>
      </c>
      <c r="B736" s="143">
        <v>45603</v>
      </c>
      <c r="C736" s="2" t="str" cm="1">
        <f t="array" ref="C7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6">
        <f>YEAR(AllData[[#This Row],[Date]])</f>
        <v>2024</v>
      </c>
      <c r="E736" s="1">
        <v>0.64583333333333337</v>
      </c>
      <c r="F736" t="str">
        <f>IF(AND(AllData[[#This Row],[Time]]&lt;0.5, AllData[[#This Row],[Time]]&gt;0.17)=TRUE, "Morning", IF(AND(AllData[[#This Row],[Time]]&lt;0.75, AllData[[#This Row],[Time]]&gt;=0.5)=TRUE, "Afternoon", IF(AND(AllData[[#This Row],[Time]]&lt;1, AllData[[#This Row],[Time]]&gt;=0.75)=TRUE, "Evening", "Night")))</f>
        <v>Afternoon</v>
      </c>
      <c r="G736" t="str">
        <f>_xlfn.XLOOKUP(AllData[[#This Row],[Location Name]], Locations[Location Name],Locations[Group As])</f>
        <v>Stour Willington</v>
      </c>
      <c r="H736" t="e" vm="1">
        <f>_xlfn.XLOOKUP(AllData[[#This Row],[Site Name]],LocationsKey[Site Name],LocationsKey[District])</f>
        <v>#VALUE!</v>
      </c>
      <c r="I736" t="str">
        <f>_xlfn.XLOOKUP(AllData[[#This Row],[Site Name]],LocationsKey[Site Name],LocationsKey[Town])</f>
        <v>Willington</v>
      </c>
      <c r="J736" t="str">
        <f>_xlfn.XLOOKUP(AllData[[#This Row],[Site Name]],LocationsKey[Site Name], LocationsKey[Waterway])</f>
        <v>Stour</v>
      </c>
      <c r="K736" t="s">
        <v>521</v>
      </c>
      <c r="L736">
        <v>52.053465000000003</v>
      </c>
      <c r="M736">
        <v>-1.620339</v>
      </c>
      <c r="O736">
        <v>620</v>
      </c>
      <c r="P736">
        <v>12.4</v>
      </c>
      <c r="Q736">
        <v>2</v>
      </c>
      <c r="R736" s="107" t="str">
        <f>IF(AllData[[#This Row],[Nitrate (PPM)]]&gt;2, "Very high", IF(AllData[[#This Row],[Nitrate (PPM)]]&gt;1, "High", IF(AllData[[#This Row],[Nitrate (PPM)]]&gt;0.5, "Some evidence", IF(AllData[[#This Row],[Nitrate (PPM)]]&gt;=0, "No evidence"))))</f>
        <v>High</v>
      </c>
      <c r="S736">
        <v>0.26</v>
      </c>
      <c r="T736" s="7" t="str">
        <f>IF(AllData[[#This Row],[Phosphate (PPM)]]&gt;0.5, "Very high", IF(AllData[[#This Row],[Phosphate (PPM)]]&gt;0.1, "High", IF(AllData[[#This Row],[Phosphate (PPM)]]&gt;0.05, "Some evidence", IF(AllData[[#This Row],[Phosphate (PPM)]]&lt;=0.05, "No Evidence", ""))))</f>
        <v>High</v>
      </c>
      <c r="U736">
        <v>0.5</v>
      </c>
    </row>
    <row r="737" spans="1:22" x14ac:dyDescent="0.35">
      <c r="A737" t="s">
        <v>2410</v>
      </c>
      <c r="B737" s="143">
        <v>45602</v>
      </c>
      <c r="C737" s="2" t="str" cm="1">
        <f t="array" ref="C7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7">
        <f>YEAR(AllData[[#This Row],[Date]])</f>
        <v>2024</v>
      </c>
      <c r="E737" s="1">
        <v>0.62708333333333333</v>
      </c>
      <c r="F737" t="str">
        <f>IF(AND(AllData[[#This Row],[Time]]&lt;0.5, AllData[[#This Row],[Time]]&gt;0.17)=TRUE, "Morning", IF(AND(AllData[[#This Row],[Time]]&lt;0.75, AllData[[#This Row],[Time]]&gt;=0.5)=TRUE, "Afternoon", IF(AND(AllData[[#This Row],[Time]]&lt;1, AllData[[#This Row],[Time]]&gt;=0.75)=TRUE, "Evening", "Night")))</f>
        <v>Afternoon</v>
      </c>
      <c r="G737" t="str">
        <f>_xlfn.XLOOKUP(AllData[[#This Row],[Location Name]], Locations[Location Name],Locations[Group As])</f>
        <v>SSC Bredons Norton</v>
      </c>
      <c r="H737" t="e" vm="6">
        <f>_xlfn.XLOOKUP(AllData[[#This Row],[Site Name]],LocationsKey[Site Name],LocationsKey[District])</f>
        <v>#VALUE!</v>
      </c>
      <c r="I737" t="str">
        <f>_xlfn.XLOOKUP(AllData[[#This Row],[Site Name]],LocationsKey[Site Name],LocationsKey[Town])</f>
        <v>Bredon's Norton</v>
      </c>
      <c r="J737" t="str">
        <f>_xlfn.XLOOKUP(AllData[[#This Row],[Site Name]],LocationsKey[Site Name], LocationsKey[Waterway])</f>
        <v>Avon</v>
      </c>
      <c r="K737" t="s">
        <v>2174</v>
      </c>
      <c r="L737">
        <v>52.050831000000002</v>
      </c>
      <c r="M737">
        <v>-2.1170969999999998</v>
      </c>
      <c r="N737" t="s">
        <v>25</v>
      </c>
      <c r="O737">
        <v>900</v>
      </c>
      <c r="P737">
        <v>12.7</v>
      </c>
      <c r="Q737">
        <v>10</v>
      </c>
      <c r="R737" s="107" t="str">
        <f>IF(AllData[[#This Row],[Nitrate (PPM)]]&gt;2, "Very high", IF(AllData[[#This Row],[Nitrate (PPM)]]&gt;1, "High", IF(AllData[[#This Row],[Nitrate (PPM)]]&gt;0.5, "Some evidence", IF(AllData[[#This Row],[Nitrate (PPM)]]&gt;=0, "No evidence"))))</f>
        <v>Very high</v>
      </c>
      <c r="S737">
        <v>0.59</v>
      </c>
      <c r="T737" s="7" t="str">
        <f>IF(AllData[[#This Row],[Phosphate (PPM)]]&gt;0.5, "Very high", IF(AllData[[#This Row],[Phosphate (PPM)]]&gt;0.1, "High", IF(AllData[[#This Row],[Phosphate (PPM)]]&gt;0.05, "Some evidence", IF(AllData[[#This Row],[Phosphate (PPM)]]&lt;=0.05, "No Evidence", ""))))</f>
        <v>Very high</v>
      </c>
      <c r="U737">
        <v>0.85</v>
      </c>
    </row>
    <row r="738" spans="1:22" x14ac:dyDescent="0.35">
      <c r="A738" t="s">
        <v>2408</v>
      </c>
      <c r="B738" s="143">
        <v>45602</v>
      </c>
      <c r="C738" s="2" t="str" cm="1">
        <f t="array" ref="C7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8">
        <f>YEAR(AllData[[#This Row],[Date]])</f>
        <v>2024</v>
      </c>
      <c r="E738" s="1">
        <v>0.50694444444444442</v>
      </c>
      <c r="F738" t="str">
        <f>IF(AND(AllData[[#This Row],[Time]]&lt;0.5, AllData[[#This Row],[Time]]&gt;0.17)=TRUE, "Morning", IF(AND(AllData[[#This Row],[Time]]&lt;0.75, AllData[[#This Row],[Time]]&gt;=0.5)=TRUE, "Afternoon", IF(AND(AllData[[#This Row],[Time]]&lt;1, AllData[[#This Row],[Time]]&gt;=0.75)=TRUE, "Evening", "Night")))</f>
        <v>Afternoon</v>
      </c>
      <c r="G738" t="str">
        <f>_xlfn.XLOOKUP(AllData[[#This Row],[Location Name]], Locations[Location Name],Locations[Group As])</f>
        <v>Walcot Lane, Bow Brook Ford</v>
      </c>
      <c r="H738" t="e" vm="6">
        <f>_xlfn.XLOOKUP(AllData[[#This Row],[Site Name]],LocationsKey[Site Name],LocationsKey[District])</f>
        <v>#VALUE!</v>
      </c>
      <c r="I738" t="e" vm="7">
        <f>_xlfn.XLOOKUP(AllData[[#This Row],[Site Name]],LocationsKey[Site Name],LocationsKey[Town])</f>
        <v>#VALUE!</v>
      </c>
      <c r="J738" t="str">
        <f>_xlfn.XLOOKUP(AllData[[#This Row],[Site Name]],LocationsKey[Site Name], LocationsKey[Waterway])</f>
        <v>Bow Brook</v>
      </c>
      <c r="K738" t="s">
        <v>775</v>
      </c>
      <c r="L738">
        <v>52.130543000000003</v>
      </c>
      <c r="M738">
        <v>-2.078573</v>
      </c>
      <c r="N738" t="s">
        <v>25</v>
      </c>
      <c r="O738">
        <v>1260</v>
      </c>
      <c r="P738">
        <v>13</v>
      </c>
      <c r="Q738">
        <v>5</v>
      </c>
      <c r="R738" s="107" t="str">
        <f>IF(AllData[[#This Row],[Nitrate (PPM)]]&gt;2, "Very high", IF(AllData[[#This Row],[Nitrate (PPM)]]&gt;1, "High", IF(AllData[[#This Row],[Nitrate (PPM)]]&gt;0.5, "Some evidence", IF(AllData[[#This Row],[Nitrate (PPM)]]&gt;=0, "No evidence"))))</f>
        <v>Very high</v>
      </c>
      <c r="S738">
        <v>0.88</v>
      </c>
      <c r="T738" s="7" t="str">
        <f>IF(AllData[[#This Row],[Phosphate (PPM)]]&gt;0.5, "Very high", IF(AllData[[#This Row],[Phosphate (PPM)]]&gt;0.1, "High", IF(AllData[[#This Row],[Phosphate (PPM)]]&gt;0.05, "Some evidence", IF(AllData[[#This Row],[Phosphate (PPM)]]&lt;=0.05, "No Evidence", ""))))</f>
        <v>Very high</v>
      </c>
      <c r="U738">
        <v>0.2</v>
      </c>
      <c r="V738" t="s">
        <v>2409</v>
      </c>
    </row>
    <row r="739" spans="1:22" x14ac:dyDescent="0.35">
      <c r="A739" t="s">
        <v>2407</v>
      </c>
      <c r="B739" s="143">
        <v>45601</v>
      </c>
      <c r="C739" s="2" t="str" cm="1">
        <f t="array" ref="C7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39">
        <f>YEAR(AllData[[#This Row],[Date]])</f>
        <v>2024</v>
      </c>
      <c r="E739" s="1">
        <v>0.44444444444444442</v>
      </c>
      <c r="F739" t="str">
        <f>IF(AND(AllData[[#This Row],[Time]]&lt;0.5, AllData[[#This Row],[Time]]&gt;0.17)=TRUE, "Morning", IF(AND(AllData[[#This Row],[Time]]&lt;0.75, AllData[[#This Row],[Time]]&gt;=0.5)=TRUE, "Afternoon", IF(AND(AllData[[#This Row],[Time]]&lt;1, AllData[[#This Row],[Time]]&gt;=0.75)=TRUE, "Evening", "Night")))</f>
        <v>Morning</v>
      </c>
      <c r="G739" t="str">
        <f>_xlfn.XLOOKUP(AllData[[#This Row],[Location Name]], Locations[Location Name],Locations[Group As])</f>
        <v>Twyning Fleet</v>
      </c>
      <c r="H739" t="e" vm="4">
        <f>_xlfn.XLOOKUP(AllData[[#This Row],[Site Name]],LocationsKey[Site Name],LocationsKey[District])</f>
        <v>#VALUE!</v>
      </c>
      <c r="I739" t="str">
        <f>_xlfn.XLOOKUP(AllData[[#This Row],[Site Name]],LocationsKey[Site Name],LocationsKey[Town])</f>
        <v>Twyning Green</v>
      </c>
      <c r="J739" t="str">
        <f>_xlfn.XLOOKUP(AllData[[#This Row],[Site Name]],LocationsKey[Site Name], LocationsKey[Waterway])</f>
        <v>Avon</v>
      </c>
      <c r="K739" t="s">
        <v>2181</v>
      </c>
      <c r="L739">
        <v>52.027101000000002</v>
      </c>
      <c r="M739">
        <v>-2.1405759999999998</v>
      </c>
      <c r="O739">
        <v>890</v>
      </c>
      <c r="P739">
        <v>12.6</v>
      </c>
      <c r="Q739">
        <v>10</v>
      </c>
      <c r="R739" s="107" t="str">
        <f>IF(AllData[[#This Row],[Nitrate (PPM)]]&gt;2, "Very high", IF(AllData[[#This Row],[Nitrate (PPM)]]&gt;1, "High", IF(AllData[[#This Row],[Nitrate (PPM)]]&gt;0.5, "Some evidence", IF(AllData[[#This Row],[Nitrate (PPM)]]&gt;=0, "No evidence"))))</f>
        <v>Very high</v>
      </c>
      <c r="S739">
        <v>0.74</v>
      </c>
      <c r="T739" s="7" t="str">
        <f>IF(AllData[[#This Row],[Phosphate (PPM)]]&gt;0.5, "Very high", IF(AllData[[#This Row],[Phosphate (PPM)]]&gt;0.1, "High", IF(AllData[[#This Row],[Phosphate (PPM)]]&gt;0.05, "Some evidence", IF(AllData[[#This Row],[Phosphate (PPM)]]&lt;=0.05, "No Evidence", ""))))</f>
        <v>Very high</v>
      </c>
      <c r="U739">
        <v>0</v>
      </c>
    </row>
    <row r="740" spans="1:22" x14ac:dyDescent="0.35">
      <c r="A740" t="s">
        <v>2406</v>
      </c>
      <c r="B740" s="143">
        <v>45600</v>
      </c>
      <c r="C740" s="2" t="str" cm="1">
        <f t="array" ref="C7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0">
        <f>YEAR(AllData[[#This Row],[Date]])</f>
        <v>2024</v>
      </c>
      <c r="E740" s="1">
        <v>0.49305555555555558</v>
      </c>
      <c r="F740" t="str">
        <f>IF(AND(AllData[[#This Row],[Time]]&lt;0.5, AllData[[#This Row],[Time]]&gt;0.17)=TRUE, "Morning", IF(AND(AllData[[#This Row],[Time]]&lt;0.75, AllData[[#This Row],[Time]]&gt;=0.5)=TRUE, "Afternoon", IF(AND(AllData[[#This Row],[Time]]&lt;1, AllData[[#This Row],[Time]]&gt;=0.75)=TRUE, "Evening", "Night")))</f>
        <v>Morning</v>
      </c>
      <c r="G740" t="str">
        <f>_xlfn.XLOOKUP(AllData[[#This Row],[Location Name]], Locations[Location Name],Locations[Group As])</f>
        <v>Black Bear</v>
      </c>
      <c r="H740" t="e" vm="4">
        <f>_xlfn.XLOOKUP(AllData[[#This Row],[Site Name]],LocationsKey[Site Name],LocationsKey[District])</f>
        <v>#VALUE!</v>
      </c>
      <c r="I740" t="e" vm="4">
        <f>_xlfn.XLOOKUP(AllData[[#This Row],[Site Name]],LocationsKey[Site Name],LocationsKey[Town])</f>
        <v>#VALUE!</v>
      </c>
      <c r="J740" t="str">
        <f>_xlfn.XLOOKUP(AllData[[#This Row],[Site Name]],LocationsKey[Site Name], LocationsKey[Waterway])</f>
        <v>Avon</v>
      </c>
      <c r="K740" t="s">
        <v>1175</v>
      </c>
      <c r="L740">
        <v>51.997494000000003</v>
      </c>
      <c r="M740">
        <v>-2.1562290000000002</v>
      </c>
      <c r="N740" t="s">
        <v>25</v>
      </c>
      <c r="O740">
        <v>859</v>
      </c>
      <c r="P740">
        <v>13.2</v>
      </c>
      <c r="Q740">
        <v>10</v>
      </c>
      <c r="R740" s="107" t="str">
        <f>IF(AllData[[#This Row],[Nitrate (PPM)]]&gt;2, "Very high", IF(AllData[[#This Row],[Nitrate (PPM)]]&gt;1, "High", IF(AllData[[#This Row],[Nitrate (PPM)]]&gt;0.5, "Some evidence", IF(AllData[[#This Row],[Nitrate (PPM)]]&gt;=0, "No evidence"))))</f>
        <v>Very high</v>
      </c>
      <c r="S740">
        <v>0.76</v>
      </c>
      <c r="T740" s="7" t="str">
        <f>IF(AllData[[#This Row],[Phosphate (PPM)]]&gt;0.5, "Very high", IF(AllData[[#This Row],[Phosphate (PPM)]]&gt;0.1, "High", IF(AllData[[#This Row],[Phosphate (PPM)]]&gt;0.05, "Some evidence", IF(AllData[[#This Row],[Phosphate (PPM)]]&lt;=0.05, "No Evidence", ""))))</f>
        <v>Very high</v>
      </c>
      <c r="U740">
        <v>0</v>
      </c>
    </row>
    <row r="741" spans="1:22" x14ac:dyDescent="0.35">
      <c r="A741" t="s">
        <v>2403</v>
      </c>
      <c r="B741" s="143">
        <v>45600</v>
      </c>
      <c r="C741" s="2" t="str" cm="1">
        <f t="array" ref="C7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1">
        <f>YEAR(AllData[[#This Row],[Date]])</f>
        <v>2024</v>
      </c>
      <c r="E741" s="1">
        <v>0.30902777777777779</v>
      </c>
      <c r="F741" t="str">
        <f>IF(AND(AllData[[#This Row],[Time]]&lt;0.5, AllData[[#This Row],[Time]]&gt;0.17)=TRUE, "Morning", IF(AND(AllData[[#This Row],[Time]]&lt;0.75, AllData[[#This Row],[Time]]&gt;=0.5)=TRUE, "Afternoon", IF(AND(AllData[[#This Row],[Time]]&lt;1, AllData[[#This Row],[Time]]&gt;=0.75)=TRUE, "Evening", "Night")))</f>
        <v>Morning</v>
      </c>
      <c r="G741" t="str">
        <f>_xlfn.XLOOKUP(AllData[[#This Row],[Location Name]], Locations[Location Name],Locations[Group As])</f>
        <v>Chipping Campden Lady J Gateway</v>
      </c>
      <c r="H741" t="e" vm="9">
        <f>_xlfn.XLOOKUP(AllData[[#This Row],[Site Name]],LocationsKey[Site Name],LocationsKey[District])</f>
        <v>#VALUE!</v>
      </c>
      <c r="I741" t="e" vm="10">
        <f>_xlfn.XLOOKUP(AllData[[#This Row],[Site Name]],LocationsKey[Site Name],LocationsKey[Town])</f>
        <v>#VALUE!</v>
      </c>
      <c r="J741" t="str">
        <f>_xlfn.XLOOKUP(AllData[[#This Row],[Site Name]],LocationsKey[Site Name], LocationsKey[Waterway])</f>
        <v>Cam Brook</v>
      </c>
      <c r="K741" t="s">
        <v>1573</v>
      </c>
      <c r="N741" t="s">
        <v>68</v>
      </c>
      <c r="O741">
        <v>545</v>
      </c>
      <c r="P741">
        <v>10.8</v>
      </c>
      <c r="Q741">
        <v>5</v>
      </c>
      <c r="R741" s="107" t="str">
        <f>IF(AllData[[#This Row],[Nitrate (PPM)]]&gt;2, "Very high", IF(AllData[[#This Row],[Nitrate (PPM)]]&gt;1, "High", IF(AllData[[#This Row],[Nitrate (PPM)]]&gt;0.5, "Some evidence", IF(AllData[[#This Row],[Nitrate (PPM)]]&gt;=0, "No evidence"))))</f>
        <v>Very high</v>
      </c>
      <c r="S741">
        <v>0.02</v>
      </c>
      <c r="T741" s="7" t="str">
        <f>IF(AllData[[#This Row],[Phosphate (PPM)]]&gt;0.5, "Very high", IF(AllData[[#This Row],[Phosphate (PPM)]]&gt;0.1, "High", IF(AllData[[#This Row],[Phosphate (PPM)]]&gt;0.05, "Some evidence", IF(AllData[[#This Row],[Phosphate (PPM)]]&lt;=0.05, "No Evidence", ""))))</f>
        <v>No Evidence</v>
      </c>
      <c r="U741">
        <v>0.17</v>
      </c>
    </row>
    <row r="742" spans="1:22" x14ac:dyDescent="0.35">
      <c r="A742" t="s">
        <v>2400</v>
      </c>
      <c r="B742" s="143">
        <v>45600</v>
      </c>
      <c r="C742" s="2" t="str" cm="1">
        <f t="array" ref="C7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2">
        <f>YEAR(AllData[[#This Row],[Date]])</f>
        <v>2024</v>
      </c>
      <c r="E742" s="1">
        <v>0.71875</v>
      </c>
      <c r="F742" t="str">
        <f>IF(AND(AllData[[#This Row],[Time]]&lt;0.5, AllData[[#This Row],[Time]]&gt;0.17)=TRUE, "Morning", IF(AND(AllData[[#This Row],[Time]]&lt;0.75, AllData[[#This Row],[Time]]&gt;=0.5)=TRUE, "Afternoon", IF(AND(AllData[[#This Row],[Time]]&lt;1, AllData[[#This Row],[Time]]&gt;=0.75)=TRUE, "Evening", "Night")))</f>
        <v>Afternoon</v>
      </c>
      <c r="G742" t="str">
        <f>_xlfn.XLOOKUP(AllData[[#This Row],[Location Name]], Locations[Location Name],Locations[Group As])</f>
        <v>Chipping Campden Craves</v>
      </c>
      <c r="H742" t="e" vm="9">
        <f>_xlfn.XLOOKUP(AllData[[#This Row],[Site Name]],LocationsKey[Site Name],LocationsKey[District])</f>
        <v>#VALUE!</v>
      </c>
      <c r="I742" t="e" vm="10">
        <f>_xlfn.XLOOKUP(AllData[[#This Row],[Site Name]],LocationsKey[Site Name],LocationsKey[Town])</f>
        <v>#VALUE!</v>
      </c>
      <c r="J742" t="str">
        <f>_xlfn.XLOOKUP(AllData[[#This Row],[Site Name]],LocationsKey[Site Name], LocationsKey[Waterway])</f>
        <v>Cam Brook</v>
      </c>
      <c r="K742" t="s">
        <v>2401</v>
      </c>
      <c r="L742">
        <v>52.048724999999997</v>
      </c>
      <c r="M742">
        <v>-1.7863469999999999</v>
      </c>
      <c r="N742" t="s">
        <v>68</v>
      </c>
      <c r="O742">
        <v>492</v>
      </c>
      <c r="P742">
        <v>15.1</v>
      </c>
      <c r="Q742">
        <v>5</v>
      </c>
      <c r="R742" s="107" t="str">
        <f>IF(AllData[[#This Row],[Nitrate (PPM)]]&gt;2, "Very high", IF(AllData[[#This Row],[Nitrate (PPM)]]&gt;1, "High", IF(AllData[[#This Row],[Nitrate (PPM)]]&gt;0.5, "Some evidence", IF(AllData[[#This Row],[Nitrate (PPM)]]&gt;=0, "No evidence"))))</f>
        <v>Very high</v>
      </c>
      <c r="S742">
        <v>0.92</v>
      </c>
      <c r="T742" s="7" t="str">
        <f>IF(AllData[[#This Row],[Phosphate (PPM)]]&gt;0.5, "Very high", IF(AllData[[#This Row],[Phosphate (PPM)]]&gt;0.1, "High", IF(AllData[[#This Row],[Phosphate (PPM)]]&gt;0.05, "Some evidence", IF(AllData[[#This Row],[Phosphate (PPM)]]&lt;=0.05, "No Evidence", ""))))</f>
        <v>Very high</v>
      </c>
      <c r="U742">
        <v>16</v>
      </c>
    </row>
    <row r="743" spans="1:22" x14ac:dyDescent="0.35">
      <c r="A743" t="s">
        <v>2404</v>
      </c>
      <c r="B743" s="143">
        <v>45600</v>
      </c>
      <c r="C743" s="2" t="str" cm="1">
        <f t="array" ref="C7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3">
        <f>YEAR(AllData[[#This Row],[Date]])</f>
        <v>2024</v>
      </c>
      <c r="E743" s="1">
        <v>0.61388888888888893</v>
      </c>
      <c r="F743" t="str">
        <f>IF(AND(AllData[[#This Row],[Time]]&lt;0.5, AllData[[#This Row],[Time]]&gt;0.17)=TRUE, "Morning", IF(AND(AllData[[#This Row],[Time]]&lt;0.75, AllData[[#This Row],[Time]]&gt;=0.5)=TRUE, "Afternoon", IF(AND(AllData[[#This Row],[Time]]&lt;1, AllData[[#This Row],[Time]]&gt;=0.75)=TRUE, "Evening", "Night")))</f>
        <v>Afternoon</v>
      </c>
      <c r="G743" t="str">
        <f>_xlfn.XLOOKUP(AllData[[#This Row],[Location Name]], Locations[Location Name],Locations[Group As])</f>
        <v>Carrant Mitton Path</v>
      </c>
      <c r="H743" t="e" vm="4">
        <f>_xlfn.XLOOKUP(AllData[[#This Row],[Site Name]],LocationsKey[Site Name],LocationsKey[District])</f>
        <v>#VALUE!</v>
      </c>
      <c r="I743" t="e" vm="4">
        <f>_xlfn.XLOOKUP(AllData[[#This Row],[Site Name]],LocationsKey[Site Name],LocationsKey[Town])</f>
        <v>#VALUE!</v>
      </c>
      <c r="J743" t="str">
        <f>_xlfn.XLOOKUP(AllData[[#This Row],[Site Name]],LocationsKey[Site Name], LocationsKey[Waterway])</f>
        <v>Carrant</v>
      </c>
      <c r="K743" t="s">
        <v>1064</v>
      </c>
      <c r="L743">
        <v>51.999783000000001</v>
      </c>
      <c r="M743">
        <v>-2.1408839999999998</v>
      </c>
      <c r="N743" t="s">
        <v>31</v>
      </c>
      <c r="O743">
        <v>7730</v>
      </c>
      <c r="P743">
        <v>13.1</v>
      </c>
      <c r="Q743">
        <v>2</v>
      </c>
      <c r="R743" s="107" t="str">
        <f>IF(AllData[[#This Row],[Nitrate (PPM)]]&gt;2, "Very high", IF(AllData[[#This Row],[Nitrate (PPM)]]&gt;1, "High", IF(AllData[[#This Row],[Nitrate (PPM)]]&gt;0.5, "Some evidence", IF(AllData[[#This Row],[Nitrate (PPM)]]&gt;=0, "No evidence"))))</f>
        <v>High</v>
      </c>
      <c r="S743">
        <v>0.54</v>
      </c>
      <c r="T743" s="7" t="str">
        <f>IF(AllData[[#This Row],[Phosphate (PPM)]]&gt;0.5, "Very high", IF(AllData[[#This Row],[Phosphate (PPM)]]&gt;0.1, "High", IF(AllData[[#This Row],[Phosphate (PPM)]]&gt;0.05, "Some evidence", IF(AllData[[#This Row],[Phosphate (PPM)]]&lt;=0.05, "No Evidence", ""))))</f>
        <v>Very high</v>
      </c>
      <c r="U743">
        <v>0</v>
      </c>
      <c r="V743" t="s">
        <v>2405</v>
      </c>
    </row>
    <row r="744" spans="1:22" x14ac:dyDescent="0.35">
      <c r="A744" t="s">
        <v>2402</v>
      </c>
      <c r="B744" s="143">
        <v>45600</v>
      </c>
      <c r="C744" s="2" t="str" cm="1">
        <f t="array" ref="C7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4">
        <f>YEAR(AllData[[#This Row],[Date]])</f>
        <v>2024</v>
      </c>
      <c r="E744" s="1">
        <v>0.36458333333333331</v>
      </c>
      <c r="F744" t="str">
        <f>IF(AND(AllData[[#This Row],[Time]]&lt;0.5, AllData[[#This Row],[Time]]&gt;0.17)=TRUE, "Morning", IF(AND(AllData[[#This Row],[Time]]&lt;0.75, AllData[[#This Row],[Time]]&gt;=0.5)=TRUE, "Afternoon", IF(AND(AllData[[#This Row],[Time]]&lt;1, AllData[[#This Row],[Time]]&gt;=0.75)=TRUE, "Evening", "Night")))</f>
        <v>Morning</v>
      </c>
      <c r="G744" t="str">
        <f>_xlfn.XLOOKUP(AllData[[#This Row],[Location Name]], Locations[Location Name],Locations[Group As])</f>
        <v>Chipping Campden Sewage Works</v>
      </c>
      <c r="H744" t="e" vm="9">
        <f>_xlfn.XLOOKUP(AllData[[#This Row],[Site Name]],LocationsKey[Site Name],LocationsKey[District])</f>
        <v>#VALUE!</v>
      </c>
      <c r="I744" t="e" vm="10">
        <f>_xlfn.XLOOKUP(AllData[[#This Row],[Site Name]],LocationsKey[Site Name],LocationsKey[Town])</f>
        <v>#VALUE!</v>
      </c>
      <c r="J744" t="str">
        <f>_xlfn.XLOOKUP(AllData[[#This Row],[Site Name]],LocationsKey[Site Name], LocationsKey[Waterway])</f>
        <v>Cam Brook</v>
      </c>
      <c r="K744" t="s">
        <v>1570</v>
      </c>
      <c r="N744" t="s">
        <v>31</v>
      </c>
      <c r="O744">
        <v>631</v>
      </c>
      <c r="P744">
        <v>12.4</v>
      </c>
      <c r="Q744">
        <v>2</v>
      </c>
      <c r="R744" s="107" t="str">
        <f>IF(AllData[[#This Row],[Nitrate (PPM)]]&gt;2, "Very high", IF(AllData[[#This Row],[Nitrate (PPM)]]&gt;1, "High", IF(AllData[[#This Row],[Nitrate (PPM)]]&gt;0.5, "Some evidence", IF(AllData[[#This Row],[Nitrate (PPM)]]&gt;=0, "No evidence"))))</f>
        <v>High</v>
      </c>
      <c r="S744">
        <v>0.75</v>
      </c>
      <c r="T744" s="7" t="str">
        <f>IF(AllData[[#This Row],[Phosphate (PPM)]]&gt;0.5, "Very high", IF(AllData[[#This Row],[Phosphate (PPM)]]&gt;0.1, "High", IF(AllData[[#This Row],[Phosphate (PPM)]]&gt;0.05, "Some evidence", IF(AllData[[#This Row],[Phosphate (PPM)]]&lt;=0.05, "No Evidence", ""))))</f>
        <v>Very high</v>
      </c>
      <c r="U744">
        <v>0.46</v>
      </c>
    </row>
    <row r="745" spans="1:22" x14ac:dyDescent="0.35">
      <c r="A745" t="s">
        <v>2388</v>
      </c>
      <c r="B745" s="143">
        <v>45599</v>
      </c>
      <c r="C745" s="2" t="str" cm="1">
        <f t="array" ref="C7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5">
        <f>YEAR(AllData[[#This Row],[Date]])</f>
        <v>2024</v>
      </c>
      <c r="E745" s="1">
        <v>0.4201388888888889</v>
      </c>
      <c r="F745" t="str">
        <f>IF(AND(AllData[[#This Row],[Time]]&lt;0.5, AllData[[#This Row],[Time]]&gt;0.17)=TRUE, "Morning", IF(AND(AllData[[#This Row],[Time]]&lt;0.75, AllData[[#This Row],[Time]]&gt;=0.5)=TRUE, "Afternoon", IF(AND(AllData[[#This Row],[Time]]&lt;1, AllData[[#This Row],[Time]]&gt;=0.75)=TRUE, "Evening", "Night")))</f>
        <v>Morning</v>
      </c>
      <c r="G745" t="str">
        <f>_xlfn.XLOOKUP(AllData[[#This Row],[Location Name]], Locations[Location Name],Locations[Group As])</f>
        <v>Carters Lane</v>
      </c>
      <c r="H745" t="e" vm="1">
        <f>_xlfn.XLOOKUP(AllData[[#This Row],[Site Name]],LocationsKey[Site Name],LocationsKey[District])</f>
        <v>#VALUE!</v>
      </c>
      <c r="I745" t="e" vm="3">
        <f>_xlfn.XLOOKUP(AllData[[#This Row],[Site Name]],LocationsKey[Site Name],LocationsKey[Town])</f>
        <v>#VALUE!</v>
      </c>
      <c r="J745" t="str">
        <f>_xlfn.XLOOKUP(AllData[[#This Row],[Site Name]],LocationsKey[Site Name], LocationsKey[Waterway])</f>
        <v>Avon</v>
      </c>
      <c r="K745" t="s">
        <v>2250</v>
      </c>
      <c r="L745">
        <v>52.202398000000002</v>
      </c>
      <c r="M745">
        <v>-1.6768620000000001</v>
      </c>
      <c r="N745" t="s">
        <v>68</v>
      </c>
      <c r="O745">
        <v>988</v>
      </c>
      <c r="P745">
        <v>13.2</v>
      </c>
      <c r="Q745">
        <v>40</v>
      </c>
      <c r="R745" s="107" t="str">
        <f>IF(AllData[[#This Row],[Nitrate (PPM)]]&gt;2, "Very high", IF(AllData[[#This Row],[Nitrate (PPM)]]&gt;1, "High", IF(AllData[[#This Row],[Nitrate (PPM)]]&gt;0.5, "Some evidence", IF(AllData[[#This Row],[Nitrate (PPM)]]&gt;=0, "No evidence"))))</f>
        <v>Very high</v>
      </c>
      <c r="S745">
        <v>0.61</v>
      </c>
      <c r="T745" s="7" t="str">
        <f>IF(AllData[[#This Row],[Phosphate (PPM)]]&gt;0.5, "Very high", IF(AllData[[#This Row],[Phosphate (PPM)]]&gt;0.1, "High", IF(AllData[[#This Row],[Phosphate (PPM)]]&gt;0.05, "Some evidence", IF(AllData[[#This Row],[Phosphate (PPM)]]&lt;=0.05, "No Evidence", ""))))</f>
        <v>Very high</v>
      </c>
      <c r="U745">
        <v>0.66</v>
      </c>
    </row>
    <row r="746" spans="1:22" x14ac:dyDescent="0.35">
      <c r="A746" t="s">
        <v>2398</v>
      </c>
      <c r="B746" s="143">
        <v>45599</v>
      </c>
      <c r="C746" s="2" t="str" cm="1">
        <f t="array" ref="C7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6">
        <f>YEAR(AllData[[#This Row],[Date]])</f>
        <v>2024</v>
      </c>
      <c r="E746" s="1">
        <v>0.4375</v>
      </c>
      <c r="F746" t="str">
        <f>IF(AND(AllData[[#This Row],[Time]]&lt;0.5, AllData[[#This Row],[Time]]&gt;0.17)=TRUE, "Morning", IF(AND(AllData[[#This Row],[Time]]&lt;0.75, AllData[[#This Row],[Time]]&gt;=0.5)=TRUE, "Afternoon", IF(AND(AllData[[#This Row],[Time]]&lt;1, AllData[[#This Row],[Time]]&gt;=0.75)=TRUE, "Evening", "Night")))</f>
        <v>Morning</v>
      </c>
      <c r="G746" t="str">
        <f>_xlfn.XLOOKUP(AllData[[#This Row],[Location Name]], Locations[Location Name],Locations[Group As])</f>
        <v>School Lane</v>
      </c>
      <c r="H746" t="e" vm="1">
        <f>_xlfn.XLOOKUP(AllData[[#This Row],[Site Name]],LocationsKey[Site Name],LocationsKey[District])</f>
        <v>#VALUE!</v>
      </c>
      <c r="I746" t="e" vm="3">
        <f>_xlfn.XLOOKUP(AllData[[#This Row],[Site Name]],LocationsKey[Site Name],LocationsKey[Town])</f>
        <v>#VALUE!</v>
      </c>
      <c r="J746" t="str">
        <f>_xlfn.XLOOKUP(AllData[[#This Row],[Site Name]],LocationsKey[Site Name], LocationsKey[Waterway])</f>
        <v>Avon</v>
      </c>
      <c r="K746" t="s">
        <v>2399</v>
      </c>
      <c r="L746">
        <v>52.202460000000002</v>
      </c>
      <c r="M746">
        <v>-1.6786859999999999</v>
      </c>
      <c r="N746" t="s">
        <v>31</v>
      </c>
      <c r="O746">
        <v>898</v>
      </c>
      <c r="P746">
        <v>13.1</v>
      </c>
      <c r="Q746">
        <v>40</v>
      </c>
      <c r="R746" s="107" t="str">
        <f>IF(AllData[[#This Row],[Nitrate (PPM)]]&gt;2, "Very high", IF(AllData[[#This Row],[Nitrate (PPM)]]&gt;1, "High", IF(AllData[[#This Row],[Nitrate (PPM)]]&gt;0.5, "Some evidence", IF(AllData[[#This Row],[Nitrate (PPM)]]&gt;=0, "No evidence"))))</f>
        <v>Very high</v>
      </c>
      <c r="S746">
        <v>0.56999999999999995</v>
      </c>
      <c r="T746" s="7" t="str">
        <f>IF(AllData[[#This Row],[Phosphate (PPM)]]&gt;0.5, "Very high", IF(AllData[[#This Row],[Phosphate (PPM)]]&gt;0.1, "High", IF(AllData[[#This Row],[Phosphate (PPM)]]&gt;0.05, "Some evidence", IF(AllData[[#This Row],[Phosphate (PPM)]]&lt;=0.05, "No Evidence", ""))))</f>
        <v>Very high</v>
      </c>
      <c r="U746">
        <v>0.66</v>
      </c>
    </row>
    <row r="747" spans="1:22" x14ac:dyDescent="0.35">
      <c r="A747" t="s">
        <v>2392</v>
      </c>
      <c r="B747" s="143">
        <v>45599</v>
      </c>
      <c r="C747" s="2" t="str" cm="1">
        <f t="array" ref="C7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7">
        <f>YEAR(AllData[[#This Row],[Date]])</f>
        <v>2024</v>
      </c>
      <c r="E747" s="1">
        <v>0.41666666666666669</v>
      </c>
      <c r="F747" t="str">
        <f>IF(AND(AllData[[#This Row],[Time]]&lt;0.5, AllData[[#This Row],[Time]]&gt;0.17)=TRUE, "Morning", IF(AND(AllData[[#This Row],[Time]]&lt;0.75, AllData[[#This Row],[Time]]&gt;=0.5)=TRUE, "Afternoon", IF(AND(AllData[[#This Row],[Time]]&lt;1, AllData[[#This Row],[Time]]&gt;=0.75)=TRUE, "Evening", "Night")))</f>
        <v>Morning</v>
      </c>
      <c r="G747" t="str">
        <f>_xlfn.XLOOKUP(AllData[[#This Row],[Location Name]], Locations[Location Name],Locations[Group As])</f>
        <v>Sherbourne Brook 1</v>
      </c>
      <c r="H747" t="e" vm="1">
        <f>_xlfn.XLOOKUP(AllData[[#This Row],[Site Name]],LocationsKey[Site Name],LocationsKey[District])</f>
        <v>#VALUE!</v>
      </c>
      <c r="I747" t="e" vm="23">
        <f>_xlfn.XLOOKUP(AllData[[#This Row],[Site Name]],LocationsKey[Site Name],LocationsKey[Town])</f>
        <v>#VALUE!</v>
      </c>
      <c r="J747" t="str">
        <f>_xlfn.XLOOKUP(AllData[[#This Row],[Site Name]],LocationsKey[Site Name], LocationsKey[Waterway])</f>
        <v>Sherbourne Brook</v>
      </c>
      <c r="K747" t="s">
        <v>541</v>
      </c>
      <c r="O747">
        <v>1150</v>
      </c>
      <c r="P747">
        <v>11.8</v>
      </c>
      <c r="Q747">
        <v>10</v>
      </c>
      <c r="R747" s="107" t="str">
        <f>IF(AllData[[#This Row],[Nitrate (PPM)]]&gt;2, "Very high", IF(AllData[[#This Row],[Nitrate (PPM)]]&gt;1, "High", IF(AllData[[#This Row],[Nitrate (PPM)]]&gt;0.5, "Some evidence", IF(AllData[[#This Row],[Nitrate (PPM)]]&gt;=0, "No evidence"))))</f>
        <v>Very high</v>
      </c>
      <c r="S747">
        <v>0.39</v>
      </c>
      <c r="T747" s="7" t="str">
        <f>IF(AllData[[#This Row],[Phosphate (PPM)]]&gt;0.5, "Very high", IF(AllData[[#This Row],[Phosphate (PPM)]]&gt;0.1, "High", IF(AllData[[#This Row],[Phosphate (PPM)]]&gt;0.05, "Some evidence", IF(AllData[[#This Row],[Phosphate (PPM)]]&lt;=0.05, "No Evidence", ""))))</f>
        <v>High</v>
      </c>
      <c r="U747">
        <v>0.1</v>
      </c>
      <c r="V747" t="s">
        <v>2391</v>
      </c>
    </row>
    <row r="748" spans="1:22" x14ac:dyDescent="0.35">
      <c r="A748" t="s">
        <v>2390</v>
      </c>
      <c r="B748" s="143">
        <v>45599</v>
      </c>
      <c r="C748" s="2" t="str" cm="1">
        <f t="array" ref="C7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8">
        <f>YEAR(AllData[[#This Row],[Date]])</f>
        <v>2024</v>
      </c>
      <c r="E748" s="1">
        <v>0.42708333333333331</v>
      </c>
      <c r="F748" t="str">
        <f>IF(AND(AllData[[#This Row],[Time]]&lt;0.5, AllData[[#This Row],[Time]]&gt;0.17)=TRUE, "Morning", IF(AND(AllData[[#This Row],[Time]]&lt;0.75, AllData[[#This Row],[Time]]&gt;=0.5)=TRUE, "Afternoon", IF(AND(AllData[[#This Row],[Time]]&lt;1, AllData[[#This Row],[Time]]&gt;=0.75)=TRUE, "Evening", "Night")))</f>
        <v>Morning</v>
      </c>
      <c r="G748" t="str">
        <f>_xlfn.XLOOKUP(AllData[[#This Row],[Location Name]], Locations[Location Name],Locations[Group As])</f>
        <v>Bell Brook 1</v>
      </c>
      <c r="H748" t="e" vm="1">
        <f>_xlfn.XLOOKUP(AllData[[#This Row],[Site Name]],LocationsKey[Site Name],LocationsKey[District])</f>
        <v>#VALUE!</v>
      </c>
      <c r="I748" t="e" vm="19">
        <f>_xlfn.XLOOKUP(AllData[[#This Row],[Site Name]],LocationsKey[Site Name],LocationsKey[Town])</f>
        <v>#VALUE!</v>
      </c>
      <c r="J748" t="str">
        <f>_xlfn.XLOOKUP(AllData[[#This Row],[Site Name]],LocationsKey[Site Name], LocationsKey[Waterway])</f>
        <v>Bell Brook</v>
      </c>
      <c r="K748" t="s">
        <v>538</v>
      </c>
      <c r="O748">
        <v>780</v>
      </c>
      <c r="P748">
        <v>12.7</v>
      </c>
      <c r="Q748">
        <v>7</v>
      </c>
      <c r="R748" s="107" t="str">
        <f>IF(AllData[[#This Row],[Nitrate (PPM)]]&gt;2, "Very high", IF(AllData[[#This Row],[Nitrate (PPM)]]&gt;1, "High", IF(AllData[[#This Row],[Nitrate (PPM)]]&gt;0.5, "Some evidence", IF(AllData[[#This Row],[Nitrate (PPM)]]&gt;=0, "No evidence"))))</f>
        <v>Very high</v>
      </c>
      <c r="S748">
        <v>0.49</v>
      </c>
      <c r="T748" s="7" t="str">
        <f>IF(AllData[[#This Row],[Phosphate (PPM)]]&gt;0.5, "Very high", IF(AllData[[#This Row],[Phosphate (PPM)]]&gt;0.1, "High", IF(AllData[[#This Row],[Phosphate (PPM)]]&gt;0.05, "Some evidence", IF(AllData[[#This Row],[Phosphate (PPM)]]&lt;=0.05, "No Evidence", ""))))</f>
        <v>High</v>
      </c>
      <c r="U748">
        <v>0.1</v>
      </c>
      <c r="V748" t="s">
        <v>2391</v>
      </c>
    </row>
    <row r="749" spans="1:22" x14ac:dyDescent="0.35">
      <c r="A749" t="s">
        <v>2393</v>
      </c>
      <c r="B749" s="143">
        <v>45599</v>
      </c>
      <c r="C749" s="2" t="str" cm="1">
        <f t="array" ref="C7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49">
        <f>YEAR(AllData[[#This Row],[Date]])</f>
        <v>2024</v>
      </c>
      <c r="E749" s="1">
        <v>0.40486111111111112</v>
      </c>
      <c r="F749" t="str">
        <f>IF(AND(AllData[[#This Row],[Time]]&lt;0.5, AllData[[#This Row],[Time]]&gt;0.17)=TRUE, "Morning", IF(AND(AllData[[#This Row],[Time]]&lt;0.75, AllData[[#This Row],[Time]]&gt;=0.5)=TRUE, "Afternoon", IF(AND(AllData[[#This Row],[Time]]&lt;1, AllData[[#This Row],[Time]]&gt;=0.75)=TRUE, "Evening", "Night")))</f>
        <v>Morning</v>
      </c>
      <c r="G749" t="str">
        <f>_xlfn.XLOOKUP(AllData[[#This Row],[Location Name]], Locations[Location Name],Locations[Group As])</f>
        <v>Site 3  :  Severn Trent Water processing plant outflow</v>
      </c>
      <c r="H749" t="e" vm="1">
        <f>_xlfn.XLOOKUP(AllData[[#This Row],[Site Name]],LocationsKey[Site Name],LocationsKey[District])</f>
        <v>#VALUE!</v>
      </c>
      <c r="I749" t="e" vm="14">
        <f>_xlfn.XLOOKUP(AllData[[#This Row],[Site Name]],LocationsKey[Site Name],LocationsKey[Town])</f>
        <v>#VALUE!</v>
      </c>
      <c r="J749" t="str">
        <f>_xlfn.XLOOKUP(AllData[[#This Row],[Site Name]],LocationsKey[Site Name], LocationsKey[Waterway])</f>
        <v>Fosseway Brook</v>
      </c>
      <c r="K749" t="s">
        <v>1826</v>
      </c>
      <c r="L749">
        <v>52.094369</v>
      </c>
      <c r="M749">
        <v>-1.6759379999999999</v>
      </c>
      <c r="N749" t="s">
        <v>31</v>
      </c>
      <c r="O749">
        <v>788</v>
      </c>
      <c r="P749">
        <v>13.5</v>
      </c>
      <c r="Q749">
        <v>5</v>
      </c>
      <c r="R749" s="107" t="str">
        <f>IF(AllData[[#This Row],[Nitrate (PPM)]]&gt;2, "Very high", IF(AllData[[#This Row],[Nitrate (PPM)]]&gt;1, "High", IF(AllData[[#This Row],[Nitrate (PPM)]]&gt;0.5, "Some evidence", IF(AllData[[#This Row],[Nitrate (PPM)]]&gt;=0, "No evidence"))))</f>
        <v>Very high</v>
      </c>
      <c r="S749">
        <v>5.4</v>
      </c>
      <c r="T749" s="7" t="str">
        <f>IF(AllData[[#This Row],[Phosphate (PPM)]]&gt;0.5, "Very high", IF(AllData[[#This Row],[Phosphate (PPM)]]&gt;0.1, "High", IF(AllData[[#This Row],[Phosphate (PPM)]]&gt;0.05, "Some evidence", IF(AllData[[#This Row],[Phosphate (PPM)]]&lt;=0.05, "No Evidence", ""))))</f>
        <v>Very high</v>
      </c>
      <c r="U749">
        <v>0.15</v>
      </c>
      <c r="V749" t="s">
        <v>2394</v>
      </c>
    </row>
    <row r="750" spans="1:22" x14ac:dyDescent="0.35">
      <c r="A750" t="s">
        <v>2389</v>
      </c>
      <c r="B750" s="143">
        <v>45599</v>
      </c>
      <c r="C750" s="2" t="str" cm="1">
        <f t="array" ref="C7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0">
        <f>YEAR(AllData[[#This Row],[Date]])</f>
        <v>2024</v>
      </c>
      <c r="E750" s="1">
        <v>0.64930555555555558</v>
      </c>
      <c r="F750" t="str">
        <f>IF(AND(AllData[[#This Row],[Time]]&lt;0.5, AllData[[#This Row],[Time]]&gt;0.17)=TRUE, "Morning", IF(AND(AllData[[#This Row],[Time]]&lt;0.75, AllData[[#This Row],[Time]]&gt;=0.5)=TRUE, "Afternoon", IF(AND(AllData[[#This Row],[Time]]&lt;1, AllData[[#This Row],[Time]]&gt;=0.75)=TRUE, "Evening", "Night")))</f>
        <v>Afternoon</v>
      </c>
      <c r="G750" t="str">
        <f>_xlfn.XLOOKUP(AllData[[#This Row],[Location Name]], Locations[Location Name],Locations[Group As])</f>
        <v>The Ford, Langley</v>
      </c>
      <c r="H750" t="e" vm="1">
        <f>_xlfn.XLOOKUP(AllData[[#This Row],[Site Name]],LocationsKey[Site Name],LocationsKey[District])</f>
        <v>#VALUE!</v>
      </c>
      <c r="I750" t="str">
        <f>_xlfn.XLOOKUP(AllData[[#This Row],[Site Name]],LocationsKey[Site Name],LocationsKey[Town])</f>
        <v>Langley</v>
      </c>
      <c r="J750" t="str">
        <f>_xlfn.XLOOKUP(AllData[[#This Row],[Site Name]],LocationsKey[Site Name], LocationsKey[Waterway])</f>
        <v>Langley Ford</v>
      </c>
      <c r="K750" t="s">
        <v>561</v>
      </c>
      <c r="L750">
        <v>52.259850999999998</v>
      </c>
      <c r="M750">
        <v>-1.718574</v>
      </c>
      <c r="N750" t="s">
        <v>31</v>
      </c>
      <c r="O750">
        <v>792</v>
      </c>
      <c r="P750">
        <v>11.7</v>
      </c>
      <c r="Q750">
        <v>3</v>
      </c>
      <c r="R750" s="107" t="str">
        <f>IF(AllData[[#This Row],[Nitrate (PPM)]]&gt;2, "Very high", IF(AllData[[#This Row],[Nitrate (PPM)]]&gt;1, "High", IF(AllData[[#This Row],[Nitrate (PPM)]]&gt;0.5, "Some evidence", IF(AllData[[#This Row],[Nitrate (PPM)]]&gt;=0, "No evidence"))))</f>
        <v>Very high</v>
      </c>
      <c r="S750">
        <v>0.56000000000000005</v>
      </c>
      <c r="T750" s="7" t="str">
        <f>IF(AllData[[#This Row],[Phosphate (PPM)]]&gt;0.5, "Very high", IF(AllData[[#This Row],[Phosphate (PPM)]]&gt;0.1, "High", IF(AllData[[#This Row],[Phosphate (PPM)]]&gt;0.05, "Some evidence", IF(AllData[[#This Row],[Phosphate (PPM)]]&lt;=0.05, "No Evidence", ""))))</f>
        <v>Very high</v>
      </c>
      <c r="U750">
        <v>0.12</v>
      </c>
      <c r="V750" t="s">
        <v>1519</v>
      </c>
    </row>
    <row r="751" spans="1:22" x14ac:dyDescent="0.35">
      <c r="A751" t="s">
        <v>2395</v>
      </c>
      <c r="B751" s="143">
        <v>45599</v>
      </c>
      <c r="C751" s="2" t="str" cm="1">
        <f t="array" ref="C7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1">
        <f>YEAR(AllData[[#This Row],[Date]])</f>
        <v>2024</v>
      </c>
      <c r="E751" s="1">
        <v>0.4</v>
      </c>
      <c r="F751" t="str">
        <f>IF(AND(AllData[[#This Row],[Time]]&lt;0.5, AllData[[#This Row],[Time]]&gt;0.17)=TRUE, "Morning", IF(AND(AllData[[#This Row],[Time]]&lt;0.75, AllData[[#This Row],[Time]]&gt;=0.5)=TRUE, "Afternoon", IF(AND(AllData[[#This Row],[Time]]&lt;1, AllData[[#This Row],[Time]]&gt;=0.75)=TRUE, "Evening", "Night")))</f>
        <v>Morning</v>
      </c>
      <c r="G751" t="str">
        <f>_xlfn.XLOOKUP(AllData[[#This Row],[Location Name]], Locations[Location Name],Locations[Group As])</f>
        <v>Site 2  :  Cross Leys culvert</v>
      </c>
      <c r="H751" t="e" vm="1">
        <f>_xlfn.XLOOKUP(AllData[[#This Row],[Site Name]],LocationsKey[Site Name],LocationsKey[District])</f>
        <v>#VALUE!</v>
      </c>
      <c r="I751" t="e" vm="14">
        <f>_xlfn.XLOOKUP(AllData[[#This Row],[Site Name]],LocationsKey[Site Name],LocationsKey[Town])</f>
        <v>#VALUE!</v>
      </c>
      <c r="J751" t="str">
        <f>_xlfn.XLOOKUP(AllData[[#This Row],[Site Name]],LocationsKey[Site Name], LocationsKey[Waterway])</f>
        <v>Fosseway Brook</v>
      </c>
      <c r="K751" t="s">
        <v>1951</v>
      </c>
      <c r="L751">
        <v>52.09301</v>
      </c>
      <c r="M751">
        <v>-1.686299</v>
      </c>
      <c r="N751" t="s">
        <v>68</v>
      </c>
      <c r="O751">
        <v>695</v>
      </c>
      <c r="P751">
        <v>12.6</v>
      </c>
      <c r="Q751">
        <v>2</v>
      </c>
      <c r="R751" s="107" t="str">
        <f>IF(AllData[[#This Row],[Nitrate (PPM)]]&gt;2, "Very high", IF(AllData[[#This Row],[Nitrate (PPM)]]&gt;1, "High", IF(AllData[[#This Row],[Nitrate (PPM)]]&gt;0.5, "Some evidence", IF(AllData[[#This Row],[Nitrate (PPM)]]&gt;=0, "No evidence"))))</f>
        <v>High</v>
      </c>
      <c r="S751">
        <v>0.46</v>
      </c>
      <c r="T751" s="7" t="str">
        <f>IF(AllData[[#This Row],[Phosphate (PPM)]]&gt;0.5, "Very high", IF(AllData[[#This Row],[Phosphate (PPM)]]&gt;0.1, "High", IF(AllData[[#This Row],[Phosphate (PPM)]]&gt;0.05, "Some evidence", IF(AllData[[#This Row],[Phosphate (PPM)]]&lt;=0.05, "No Evidence", ""))))</f>
        <v>High</v>
      </c>
      <c r="U751">
        <v>0.2</v>
      </c>
    </row>
    <row r="752" spans="1:22" x14ac:dyDescent="0.35">
      <c r="A752" t="s">
        <v>2396</v>
      </c>
      <c r="B752" s="143">
        <v>45599</v>
      </c>
      <c r="C752" s="2" t="str" cm="1">
        <f t="array" ref="C7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2">
        <f>YEAR(AllData[[#This Row],[Date]])</f>
        <v>2024</v>
      </c>
      <c r="E752" s="1">
        <v>0.39305555555555555</v>
      </c>
      <c r="F752" t="str">
        <f>IF(AND(AllData[[#This Row],[Time]]&lt;0.5, AllData[[#This Row],[Time]]&gt;0.17)=TRUE, "Morning", IF(AND(AllData[[#This Row],[Time]]&lt;0.75, AllData[[#This Row],[Time]]&gt;=0.5)=TRUE, "Afternoon", IF(AND(AllData[[#This Row],[Time]]&lt;1, AllData[[#This Row],[Time]]&gt;=0.75)=TRUE, "Evening", "Night")))</f>
        <v>Morning</v>
      </c>
      <c r="G752" t="str">
        <f>_xlfn.XLOOKUP(AllData[[#This Row],[Location Name]], Locations[Location Name],Locations[Group As])</f>
        <v>Site 1  :  Middle Street</v>
      </c>
      <c r="H752" t="e" vm="1">
        <f>_xlfn.XLOOKUP(AllData[[#This Row],[Site Name]],LocationsKey[Site Name],LocationsKey[District])</f>
        <v>#VALUE!</v>
      </c>
      <c r="I752" t="e" vm="14">
        <f>_xlfn.XLOOKUP(AllData[[#This Row],[Site Name]],LocationsKey[Site Name],LocationsKey[Town])</f>
        <v>#VALUE!</v>
      </c>
      <c r="J752" t="str">
        <f>_xlfn.XLOOKUP(AllData[[#This Row],[Site Name]],LocationsKey[Site Name], LocationsKey[Waterway])</f>
        <v>Fosseway Brook</v>
      </c>
      <c r="K752" t="s">
        <v>678</v>
      </c>
      <c r="L752">
        <v>52.090063000000001</v>
      </c>
      <c r="M752">
        <v>-1.6926490000000001</v>
      </c>
      <c r="N752" t="s">
        <v>68</v>
      </c>
      <c r="O752">
        <v>639</v>
      </c>
      <c r="P752">
        <v>12.7</v>
      </c>
      <c r="Q752">
        <v>2</v>
      </c>
      <c r="R752" s="107" t="str">
        <f>IF(AllData[[#This Row],[Nitrate (PPM)]]&gt;2, "Very high", IF(AllData[[#This Row],[Nitrate (PPM)]]&gt;1, "High", IF(AllData[[#This Row],[Nitrate (PPM)]]&gt;0.5, "Some evidence", IF(AllData[[#This Row],[Nitrate (PPM)]]&gt;=0, "No evidence"))))</f>
        <v>High</v>
      </c>
      <c r="S752">
        <v>0.4</v>
      </c>
      <c r="T752" s="7" t="str">
        <f>IF(AllData[[#This Row],[Phosphate (PPM)]]&gt;0.5, "Very high", IF(AllData[[#This Row],[Phosphate (PPM)]]&gt;0.1, "High", IF(AllData[[#This Row],[Phosphate (PPM)]]&gt;0.05, "Some evidence", IF(AllData[[#This Row],[Phosphate (PPM)]]&lt;=0.05, "No Evidence", ""))))</f>
        <v>High</v>
      </c>
      <c r="U752">
        <v>0.1</v>
      </c>
      <c r="V752" t="s">
        <v>2397</v>
      </c>
    </row>
    <row r="753" spans="1:22" x14ac:dyDescent="0.35">
      <c r="A753" t="s">
        <v>2375</v>
      </c>
      <c r="B753" s="143">
        <v>45598</v>
      </c>
      <c r="C753" s="2" t="str" cm="1">
        <f t="array" ref="C7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3">
        <f>YEAR(AllData[[#This Row],[Date]])</f>
        <v>2024</v>
      </c>
      <c r="E753" s="1">
        <v>0.43055555555555558</v>
      </c>
      <c r="F753" t="str">
        <f>IF(AND(AllData[[#This Row],[Time]]&lt;0.5, AllData[[#This Row],[Time]]&gt;0.17)=TRUE, "Morning", IF(AND(AllData[[#This Row],[Time]]&lt;0.75, AllData[[#This Row],[Time]]&gt;=0.5)=TRUE, "Afternoon", IF(AND(AllData[[#This Row],[Time]]&lt;1, AllData[[#This Row],[Time]]&gt;=0.75)=TRUE, "Evening", "Night")))</f>
        <v>Morning</v>
      </c>
      <c r="G753" t="str">
        <f>_xlfn.XLOOKUP(AllData[[#This Row],[Location Name]], Locations[Location Name],Locations[Group As])</f>
        <v>Avon Smiths Meadow Wyre Piddle</v>
      </c>
      <c r="H753" t="e" vm="6">
        <f>_xlfn.XLOOKUP(AllData[[#This Row],[Site Name]],LocationsKey[Site Name],LocationsKey[District])</f>
        <v>#VALUE!</v>
      </c>
      <c r="I753" t="e" vm="13">
        <f>_xlfn.XLOOKUP(AllData[[#This Row],[Site Name]],LocationsKey[Site Name],LocationsKey[Town])</f>
        <v>#VALUE!</v>
      </c>
      <c r="J753" t="str">
        <f>_xlfn.XLOOKUP(AllData[[#This Row],[Site Name]],LocationsKey[Site Name], LocationsKey[Waterway])</f>
        <v>Avon</v>
      </c>
      <c r="K753" t="s">
        <v>2376</v>
      </c>
      <c r="L753">
        <v>52.123016</v>
      </c>
      <c r="M753">
        <v>-2.0574650000000001</v>
      </c>
      <c r="N753" t="s">
        <v>25</v>
      </c>
      <c r="O753">
        <v>378</v>
      </c>
      <c r="Q753">
        <v>10</v>
      </c>
      <c r="R753" s="107" t="str">
        <f>IF(AllData[[#This Row],[Nitrate (PPM)]]&gt;2, "Very high", IF(AllData[[#This Row],[Nitrate (PPM)]]&gt;1, "High", IF(AllData[[#This Row],[Nitrate (PPM)]]&gt;0.5, "Some evidence", IF(AllData[[#This Row],[Nitrate (PPM)]]&gt;=0, "No evidence"))))</f>
        <v>Very high</v>
      </c>
      <c r="S753">
        <v>0.63</v>
      </c>
      <c r="T753" s="7" t="str">
        <f>IF(AllData[[#This Row],[Phosphate (PPM)]]&gt;0.5, "Very high", IF(AllData[[#This Row],[Phosphate (PPM)]]&gt;0.1, "High", IF(AllData[[#This Row],[Phosphate (PPM)]]&gt;0.05, "Some evidence", IF(AllData[[#This Row],[Phosphate (PPM)]]&lt;=0.05, "No Evidence", ""))))</f>
        <v>Very high</v>
      </c>
      <c r="U753">
        <v>0.6</v>
      </c>
      <c r="V753" t="s">
        <v>2377</v>
      </c>
    </row>
    <row r="754" spans="1:22" x14ac:dyDescent="0.35">
      <c r="A754" t="s">
        <v>2385</v>
      </c>
      <c r="B754" s="143">
        <v>45598</v>
      </c>
      <c r="C754" s="2" t="str" cm="1">
        <f t="array" ref="C7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4">
        <f>YEAR(AllData[[#This Row],[Date]])</f>
        <v>2024</v>
      </c>
      <c r="E754" s="1">
        <v>0.45555555555555555</v>
      </c>
      <c r="F754" t="str">
        <f>IF(AND(AllData[[#This Row],[Time]]&lt;0.5, AllData[[#This Row],[Time]]&gt;0.17)=TRUE, "Morning", IF(AND(AllData[[#This Row],[Time]]&lt;0.75, AllData[[#This Row],[Time]]&gt;=0.5)=TRUE, "Afternoon", IF(AND(AllData[[#This Row],[Time]]&lt;1, AllData[[#This Row],[Time]]&gt;=0.75)=TRUE, "Evening", "Night")))</f>
        <v>Morning</v>
      </c>
      <c r="G754" t="str">
        <f>_xlfn.XLOOKUP(AllData[[#This Row],[Location Name]], Locations[Location Name],Locations[Group As])</f>
        <v>Piddle Brook Wyre Piddle Bridge</v>
      </c>
      <c r="H754" t="e" vm="6">
        <f>_xlfn.XLOOKUP(AllData[[#This Row],[Site Name]],LocationsKey[Site Name],LocationsKey[District])</f>
        <v>#VALUE!</v>
      </c>
      <c r="I754" t="e" vm="13">
        <f>_xlfn.XLOOKUP(AllData[[#This Row],[Site Name]],LocationsKey[Site Name],LocationsKey[Town])</f>
        <v>#VALUE!</v>
      </c>
      <c r="J754" t="str">
        <f>_xlfn.XLOOKUP(AllData[[#This Row],[Site Name]],LocationsKey[Site Name], LocationsKey[Waterway])</f>
        <v>Piddle Brook</v>
      </c>
      <c r="K754" t="s">
        <v>2386</v>
      </c>
      <c r="L754">
        <v>52.126407999999998</v>
      </c>
      <c r="M754">
        <v>-2.056476</v>
      </c>
      <c r="N754" t="s">
        <v>25</v>
      </c>
      <c r="O754">
        <v>1350</v>
      </c>
      <c r="P754">
        <v>12.2</v>
      </c>
      <c r="Q754">
        <v>7</v>
      </c>
      <c r="R754" s="107" t="str">
        <f>IF(AllData[[#This Row],[Nitrate (PPM)]]&gt;2, "Very high", IF(AllData[[#This Row],[Nitrate (PPM)]]&gt;1, "High", IF(AllData[[#This Row],[Nitrate (PPM)]]&gt;0.5, "Some evidence", IF(AllData[[#This Row],[Nitrate (PPM)]]&gt;=0, "No evidence"))))</f>
        <v>Very high</v>
      </c>
      <c r="S754">
        <v>0.83</v>
      </c>
      <c r="T754" s="7" t="str">
        <f>IF(AllData[[#This Row],[Phosphate (PPM)]]&gt;0.5, "Very high", IF(AllData[[#This Row],[Phosphate (PPM)]]&gt;0.1, "High", IF(AllData[[#This Row],[Phosphate (PPM)]]&gt;0.05, "Some evidence", IF(AllData[[#This Row],[Phosphate (PPM)]]&lt;=0.05, "No Evidence", ""))))</f>
        <v>Very high</v>
      </c>
      <c r="U754">
        <v>0.21</v>
      </c>
      <c r="V754" t="s">
        <v>2387</v>
      </c>
    </row>
    <row r="755" spans="1:22" x14ac:dyDescent="0.35">
      <c r="A755" t="s">
        <v>2381</v>
      </c>
      <c r="B755" s="143">
        <v>45598</v>
      </c>
      <c r="C755" s="2" t="str" cm="1">
        <f t="array" ref="C7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5">
        <f>YEAR(AllData[[#This Row],[Date]])</f>
        <v>2024</v>
      </c>
      <c r="E755" s="1">
        <v>0.59166666666666667</v>
      </c>
      <c r="F755" t="str">
        <f>IF(AND(AllData[[#This Row],[Time]]&lt;0.5, AllData[[#This Row],[Time]]&gt;0.17)=TRUE, "Morning", IF(AND(AllData[[#This Row],[Time]]&lt;0.75, AllData[[#This Row],[Time]]&gt;=0.5)=TRUE, "Afternoon", IF(AND(AllData[[#This Row],[Time]]&lt;1, AllData[[#This Row],[Time]]&gt;=0.75)=TRUE, "Evening", "Night")))</f>
        <v>Afternoon</v>
      </c>
      <c r="G755" t="str">
        <f>_xlfn.XLOOKUP(AllData[[#This Row],[Location Name]], Locations[Location Name],Locations[Group As])</f>
        <v>Avonbank Drive</v>
      </c>
      <c r="H755" t="e" vm="1">
        <f>_xlfn.XLOOKUP(AllData[[#This Row],[Site Name]],LocationsKey[Site Name],LocationsKey[District])</f>
        <v>#VALUE!</v>
      </c>
      <c r="I755" t="e" vm="12">
        <f>_xlfn.XLOOKUP(AllData[[#This Row],[Site Name]],LocationsKey[Site Name],LocationsKey[Town])</f>
        <v>#VALUE!</v>
      </c>
      <c r="J755" t="str">
        <f>_xlfn.XLOOKUP(AllData[[#This Row],[Site Name]],LocationsKey[Site Name], LocationsKey[Waterway])</f>
        <v>Avon</v>
      </c>
      <c r="K755" t="s">
        <v>67</v>
      </c>
      <c r="L755">
        <v>52.178001000000002</v>
      </c>
      <c r="M755">
        <v>-1.7365029999999999</v>
      </c>
      <c r="N755" t="s">
        <v>68</v>
      </c>
      <c r="O755">
        <v>934</v>
      </c>
      <c r="P755">
        <v>14.8</v>
      </c>
      <c r="Q755">
        <v>5</v>
      </c>
      <c r="R755" s="107" t="str">
        <f>IF(AllData[[#This Row],[Nitrate (PPM)]]&gt;2, "Very high", IF(AllData[[#This Row],[Nitrate (PPM)]]&gt;1, "High", IF(AllData[[#This Row],[Nitrate (PPM)]]&gt;0.5, "Some evidence", IF(AllData[[#This Row],[Nitrate (PPM)]]&gt;=0, "No evidence"))))</f>
        <v>Very high</v>
      </c>
      <c r="S755">
        <v>0.43</v>
      </c>
      <c r="T755" s="7" t="str">
        <f>IF(AllData[[#This Row],[Phosphate (PPM)]]&gt;0.5, "Very high", IF(AllData[[#This Row],[Phosphate (PPM)]]&gt;0.1, "High", IF(AllData[[#This Row],[Phosphate (PPM)]]&gt;0.05, "Some evidence", IF(AllData[[#This Row],[Phosphate (PPM)]]&lt;=0.05, "No Evidence", ""))))</f>
        <v>High</v>
      </c>
      <c r="U755">
        <v>1</v>
      </c>
    </row>
    <row r="756" spans="1:22" x14ac:dyDescent="0.35">
      <c r="A756" t="s">
        <v>2382</v>
      </c>
      <c r="B756" s="143">
        <v>45598</v>
      </c>
      <c r="C756" s="2" t="str" cm="1">
        <f t="array" ref="C7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6">
        <f>YEAR(AllData[[#This Row],[Date]])</f>
        <v>2024</v>
      </c>
      <c r="E756" s="1">
        <v>0.59027777777777779</v>
      </c>
      <c r="F756" t="str">
        <f>IF(AND(AllData[[#This Row],[Time]]&lt;0.5, AllData[[#This Row],[Time]]&gt;0.17)=TRUE, "Morning", IF(AND(AllData[[#This Row],[Time]]&lt;0.75, AllData[[#This Row],[Time]]&gt;=0.5)=TRUE, "Afternoon", IF(AND(AllData[[#This Row],[Time]]&lt;1, AllData[[#This Row],[Time]]&gt;=0.75)=TRUE, "Evening", "Night")))</f>
        <v>Afternoon</v>
      </c>
      <c r="G756" t="str">
        <f>_xlfn.XLOOKUP(AllData[[#This Row],[Location Name]], Locations[Location Name],Locations[Group As])</f>
        <v>Pitch 16</v>
      </c>
      <c r="H756" t="e" vm="1">
        <f>_xlfn.XLOOKUP(AllData[[#This Row],[Site Name]],LocationsKey[Site Name],LocationsKey[District])</f>
        <v>#VALUE!</v>
      </c>
      <c r="I756" t="e" vm="12">
        <f>_xlfn.XLOOKUP(AllData[[#This Row],[Site Name]],LocationsKey[Site Name],LocationsKey[Town])</f>
        <v>#VALUE!</v>
      </c>
      <c r="J756" t="str">
        <f>_xlfn.XLOOKUP(AllData[[#This Row],[Site Name]],LocationsKey[Site Name], LocationsKey[Waterway])</f>
        <v>Avon</v>
      </c>
      <c r="K756" t="s">
        <v>71</v>
      </c>
      <c r="L756">
        <v>24.413686999999999</v>
      </c>
      <c r="M756">
        <v>54.455787000000001</v>
      </c>
      <c r="N756" t="s">
        <v>31</v>
      </c>
      <c r="O756">
        <v>856</v>
      </c>
      <c r="P756">
        <v>14.8</v>
      </c>
      <c r="Q756">
        <v>5</v>
      </c>
      <c r="R756" s="107" t="str">
        <f>IF(AllData[[#This Row],[Nitrate (PPM)]]&gt;2, "Very high", IF(AllData[[#This Row],[Nitrate (PPM)]]&gt;1, "High", IF(AllData[[#This Row],[Nitrate (PPM)]]&gt;0.5, "Some evidence", IF(AllData[[#This Row],[Nitrate (PPM)]]&gt;=0, "No evidence"))))</f>
        <v>Very high</v>
      </c>
      <c r="S756">
        <v>0.37</v>
      </c>
      <c r="T756" s="7" t="str">
        <f>IF(AllData[[#This Row],[Phosphate (PPM)]]&gt;0.5, "Very high", IF(AllData[[#This Row],[Phosphate (PPM)]]&gt;0.1, "High", IF(AllData[[#This Row],[Phosphate (PPM)]]&gt;0.05, "Some evidence", IF(AllData[[#This Row],[Phosphate (PPM)]]&lt;=0.05, "No Evidence", ""))))</f>
        <v>High</v>
      </c>
      <c r="U756">
        <v>1</v>
      </c>
    </row>
    <row r="757" spans="1:22" x14ac:dyDescent="0.35">
      <c r="A757" t="s">
        <v>2379</v>
      </c>
      <c r="B757" s="143">
        <v>45598</v>
      </c>
      <c r="C757" s="2" t="str" cm="1">
        <f t="array" ref="C7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7">
        <f>YEAR(AllData[[#This Row],[Date]])</f>
        <v>2024</v>
      </c>
      <c r="E757" s="1">
        <v>0.56597222222222221</v>
      </c>
      <c r="F757" t="str">
        <f>IF(AND(AllData[[#This Row],[Time]]&lt;0.5, AllData[[#This Row],[Time]]&gt;0.17)=TRUE, "Morning", IF(AND(AllData[[#This Row],[Time]]&lt;0.75, AllData[[#This Row],[Time]]&gt;=0.5)=TRUE, "Afternoon", IF(AND(AllData[[#This Row],[Time]]&lt;1, AllData[[#This Row],[Time]]&gt;=0.75)=TRUE, "Evening", "Night")))</f>
        <v>Afternoon</v>
      </c>
      <c r="G757" t="str">
        <f>_xlfn.XLOOKUP(AllData[[#This Row],[Location Name]], Locations[Location Name],Locations[Group As])</f>
        <v>Fell Mill Footbridge</v>
      </c>
      <c r="H757" t="e" vm="1">
        <f>_xlfn.XLOOKUP(AllData[[#This Row],[Site Name]],LocationsKey[Site Name],LocationsKey[District])</f>
        <v>#VALUE!</v>
      </c>
      <c r="I757" t="e" vm="15">
        <f>_xlfn.XLOOKUP(AllData[[#This Row],[Site Name]],LocationsKey[Site Name],LocationsKey[Town])</f>
        <v>#VALUE!</v>
      </c>
      <c r="J757" t="str">
        <f>_xlfn.XLOOKUP(AllData[[#This Row],[Site Name]],LocationsKey[Site Name], LocationsKey[Waterway])</f>
        <v>Stour</v>
      </c>
      <c r="K757" t="s">
        <v>1968</v>
      </c>
      <c r="L757">
        <v>52.070086000000003</v>
      </c>
      <c r="M757">
        <v>-1.61145</v>
      </c>
      <c r="N757" t="s">
        <v>31</v>
      </c>
      <c r="O757">
        <v>628</v>
      </c>
      <c r="P757">
        <v>11.7</v>
      </c>
      <c r="Q757">
        <v>5</v>
      </c>
      <c r="R757" s="107" t="str">
        <f>IF(AllData[[#This Row],[Nitrate (PPM)]]&gt;2, "Very high", IF(AllData[[#This Row],[Nitrate (PPM)]]&gt;1, "High", IF(AllData[[#This Row],[Nitrate (PPM)]]&gt;0.5, "Some evidence", IF(AllData[[#This Row],[Nitrate (PPM)]]&gt;=0, "No evidence"))))</f>
        <v>Very high</v>
      </c>
      <c r="S757">
        <v>0.36</v>
      </c>
      <c r="T757" s="7" t="str">
        <f>IF(AllData[[#This Row],[Phosphate (PPM)]]&gt;0.5, "Very high", IF(AllData[[#This Row],[Phosphate (PPM)]]&gt;0.1, "High", IF(AllData[[#This Row],[Phosphate (PPM)]]&gt;0.05, "Some evidence", IF(AllData[[#This Row],[Phosphate (PPM)]]&lt;=0.05, "No Evidence", ""))))</f>
        <v>High</v>
      </c>
      <c r="U757">
        <v>1.45</v>
      </c>
    </row>
    <row r="758" spans="1:22" x14ac:dyDescent="0.35">
      <c r="A758" t="s">
        <v>2380</v>
      </c>
      <c r="B758" s="143">
        <v>45598</v>
      </c>
      <c r="C758" s="2" t="str" cm="1">
        <f t="array" ref="C7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8">
        <f>YEAR(AllData[[#This Row],[Date]])</f>
        <v>2024</v>
      </c>
      <c r="E758" s="1">
        <v>0.5</v>
      </c>
      <c r="F758" t="str">
        <f>IF(AND(AllData[[#This Row],[Time]]&lt;0.5, AllData[[#This Row],[Time]]&gt;0.17)=TRUE, "Morning", IF(AND(AllData[[#This Row],[Time]]&lt;0.75, AllData[[#This Row],[Time]]&gt;=0.5)=TRUE, "Afternoon", IF(AND(AllData[[#This Row],[Time]]&lt;1, AllData[[#This Row],[Time]]&gt;=0.75)=TRUE, "Evening", "Night")))</f>
        <v>Afternoon</v>
      </c>
      <c r="G758" t="str">
        <f>_xlfn.XLOOKUP(AllData[[#This Row],[Location Name]], Locations[Location Name],Locations[Group As])</f>
        <v>Carrant Bredon Rd</v>
      </c>
      <c r="H758" t="e" vm="4">
        <f>_xlfn.XLOOKUP(AllData[[#This Row],[Site Name]],LocationsKey[Site Name],LocationsKey[District])</f>
        <v>#VALUE!</v>
      </c>
      <c r="I758" t="e" vm="4">
        <f>_xlfn.XLOOKUP(AllData[[#This Row],[Site Name]],LocationsKey[Site Name],LocationsKey[Town])</f>
        <v>#VALUE!</v>
      </c>
      <c r="J758" t="str">
        <f>_xlfn.XLOOKUP(AllData[[#This Row],[Site Name]],LocationsKey[Site Name], LocationsKey[Waterway])</f>
        <v>Carrant</v>
      </c>
      <c r="K758" t="s">
        <v>603</v>
      </c>
      <c r="L758">
        <v>51.996357000000003</v>
      </c>
      <c r="M758">
        <v>-2.155996</v>
      </c>
      <c r="N758" t="s">
        <v>25</v>
      </c>
      <c r="O758">
        <v>785</v>
      </c>
      <c r="P758">
        <v>13.3</v>
      </c>
      <c r="Q758">
        <v>4</v>
      </c>
      <c r="R758" s="107" t="str">
        <f>IF(AllData[[#This Row],[Nitrate (PPM)]]&gt;2, "Very high", IF(AllData[[#This Row],[Nitrate (PPM)]]&gt;1, "High", IF(AllData[[#This Row],[Nitrate (PPM)]]&gt;0.5, "Some evidence", IF(AllData[[#This Row],[Nitrate (PPM)]]&gt;=0, "No evidence"))))</f>
        <v>Very high</v>
      </c>
      <c r="S758">
        <v>0.33</v>
      </c>
      <c r="T758" s="7" t="str">
        <f>IF(AllData[[#This Row],[Phosphate (PPM)]]&gt;0.5, "Very high", IF(AllData[[#This Row],[Phosphate (PPM)]]&gt;0.1, "High", IF(AllData[[#This Row],[Phosphate (PPM)]]&gt;0.05, "Some evidence", IF(AllData[[#This Row],[Phosphate (PPM)]]&lt;=0.05, "No Evidence", ""))))</f>
        <v>High</v>
      </c>
      <c r="U758">
        <v>0.15</v>
      </c>
    </row>
    <row r="759" spans="1:22" x14ac:dyDescent="0.35">
      <c r="A759" t="s">
        <v>2383</v>
      </c>
      <c r="B759" s="143">
        <v>45598</v>
      </c>
      <c r="C759" s="2" t="str" cm="1">
        <f t="array" ref="C7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59">
        <f>YEAR(AllData[[#This Row],[Date]])</f>
        <v>2024</v>
      </c>
      <c r="E759" s="1">
        <v>0.52638888888888891</v>
      </c>
      <c r="F759" t="str">
        <f>IF(AND(AllData[[#This Row],[Time]]&lt;0.5, AllData[[#This Row],[Time]]&gt;0.17)=TRUE, "Morning", IF(AND(AllData[[#This Row],[Time]]&lt;0.75, AllData[[#This Row],[Time]]&gt;=0.5)=TRUE, "Afternoon", IF(AND(AllData[[#This Row],[Time]]&lt;1, AllData[[#This Row],[Time]]&gt;=0.75)=TRUE, "Evening", "Night")))</f>
        <v>Afternoon</v>
      </c>
      <c r="G759" t="str">
        <f>_xlfn.XLOOKUP(AllData[[#This Row],[Location Name]], Locations[Location Name],Locations[Group As])</f>
        <v>Mill Bridge Peopleton</v>
      </c>
      <c r="H759" t="e" vm="6">
        <f>_xlfn.XLOOKUP(AllData[[#This Row],[Site Name]],LocationsKey[Site Name],LocationsKey[District])</f>
        <v>#VALUE!</v>
      </c>
      <c r="I759" t="str">
        <f>_xlfn.XLOOKUP(AllData[[#This Row],[Site Name]],LocationsKey[Site Name],LocationsKey[Town])</f>
        <v>Peopleton</v>
      </c>
      <c r="J759" t="str">
        <f>_xlfn.XLOOKUP(AllData[[#This Row],[Site Name]],LocationsKey[Site Name], LocationsKey[Waterway])</f>
        <v>Bow Brook</v>
      </c>
      <c r="K759" t="s">
        <v>1015</v>
      </c>
      <c r="L759">
        <v>52.15166</v>
      </c>
      <c r="M759">
        <v>-2.0962700000000001</v>
      </c>
      <c r="N759" t="s">
        <v>31</v>
      </c>
      <c r="O759">
        <v>1140</v>
      </c>
      <c r="P759">
        <v>12.7</v>
      </c>
      <c r="Q759">
        <v>2</v>
      </c>
      <c r="R759" s="107" t="str">
        <f>IF(AllData[[#This Row],[Nitrate (PPM)]]&gt;2, "Very high", IF(AllData[[#This Row],[Nitrate (PPM)]]&gt;1, "High", IF(AllData[[#This Row],[Nitrate (PPM)]]&gt;0.5, "Some evidence", IF(AllData[[#This Row],[Nitrate (PPM)]]&gt;=0, "No evidence"))))</f>
        <v>High</v>
      </c>
      <c r="S759">
        <v>0.93</v>
      </c>
      <c r="T759" s="7" t="str">
        <f>IF(AllData[[#This Row],[Phosphate (PPM)]]&gt;0.5, "Very high", IF(AllData[[#This Row],[Phosphate (PPM)]]&gt;0.1, "High", IF(AllData[[#This Row],[Phosphate (PPM)]]&gt;0.05, "Some evidence", IF(AllData[[#This Row],[Phosphate (PPM)]]&lt;=0.05, "No Evidence", ""))))</f>
        <v>Very high</v>
      </c>
      <c r="U759">
        <v>0.4</v>
      </c>
      <c r="V759" t="s">
        <v>2384</v>
      </c>
    </row>
    <row r="760" spans="1:22" x14ac:dyDescent="0.35">
      <c r="A760" t="s">
        <v>2378</v>
      </c>
      <c r="B760" s="143">
        <v>45598</v>
      </c>
      <c r="C760" s="2" t="str" cm="1">
        <f t="array" ref="C7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0">
        <f>YEAR(AllData[[#This Row],[Date]])</f>
        <v>2024</v>
      </c>
      <c r="E760" s="1">
        <v>0.64583333333333337</v>
      </c>
      <c r="F760" t="str">
        <f>IF(AND(AllData[[#This Row],[Time]]&lt;0.5, AllData[[#This Row],[Time]]&gt;0.17)=TRUE, "Morning", IF(AND(AllData[[#This Row],[Time]]&lt;0.75, AllData[[#This Row],[Time]]&gt;=0.5)=TRUE, "Afternoon", IF(AND(AllData[[#This Row],[Time]]&lt;1, AllData[[#This Row],[Time]]&gt;=0.75)=TRUE, "Evening", "Night")))</f>
        <v>Afternoon</v>
      </c>
      <c r="G760" t="str">
        <f>_xlfn.XLOOKUP(AllData[[#This Row],[Location Name]], Locations[Location Name],Locations[Group As])</f>
        <v>Stour Willington</v>
      </c>
      <c r="H760" t="e" vm="1">
        <f>_xlfn.XLOOKUP(AllData[[#This Row],[Site Name]],LocationsKey[Site Name],LocationsKey[District])</f>
        <v>#VALUE!</v>
      </c>
      <c r="I760" t="str">
        <f>_xlfn.XLOOKUP(AllData[[#This Row],[Site Name]],LocationsKey[Site Name],LocationsKey[Town])</f>
        <v>Willington</v>
      </c>
      <c r="J760" t="str">
        <f>_xlfn.XLOOKUP(AllData[[#This Row],[Site Name]],LocationsKey[Site Name], LocationsKey[Waterway])</f>
        <v>Stour</v>
      </c>
      <c r="K760" t="s">
        <v>521</v>
      </c>
      <c r="L760">
        <v>52.053471000000002</v>
      </c>
      <c r="M760">
        <v>-1.6203240000000001</v>
      </c>
      <c r="O760">
        <v>615</v>
      </c>
      <c r="P760">
        <v>12.5</v>
      </c>
      <c r="Q760">
        <v>2</v>
      </c>
      <c r="R760" s="107" t="str">
        <f>IF(AllData[[#This Row],[Nitrate (PPM)]]&gt;2, "Very high", IF(AllData[[#This Row],[Nitrate (PPM)]]&gt;1, "High", IF(AllData[[#This Row],[Nitrate (PPM)]]&gt;0.5, "Some evidence", IF(AllData[[#This Row],[Nitrate (PPM)]]&gt;=0, "No evidence"))))</f>
        <v>High</v>
      </c>
      <c r="S760">
        <v>0.12</v>
      </c>
      <c r="T760" s="7" t="str">
        <f>IF(AllData[[#This Row],[Phosphate (PPM)]]&gt;0.5, "Very high", IF(AllData[[#This Row],[Phosphate (PPM)]]&gt;0.1, "High", IF(AllData[[#This Row],[Phosphate (PPM)]]&gt;0.05, "Some evidence", IF(AllData[[#This Row],[Phosphate (PPM)]]&lt;=0.05, "No Evidence", ""))))</f>
        <v>High</v>
      </c>
      <c r="U760">
        <v>0.5</v>
      </c>
    </row>
    <row r="761" spans="1:22" x14ac:dyDescent="0.35">
      <c r="A761" t="s">
        <v>2370</v>
      </c>
      <c r="B761" s="143">
        <v>45597</v>
      </c>
      <c r="C761" s="2" t="str" cm="1">
        <f t="array" ref="C7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1">
        <f>YEAR(AllData[[#This Row],[Date]])</f>
        <v>2024</v>
      </c>
      <c r="E761" s="1">
        <v>0.59930555555555554</v>
      </c>
      <c r="F761" t="str">
        <f>IF(AND(AllData[[#This Row],[Time]]&lt;0.5, AllData[[#This Row],[Time]]&gt;0.17)=TRUE, "Morning", IF(AND(AllData[[#This Row],[Time]]&lt;0.75, AllData[[#This Row],[Time]]&gt;=0.5)=TRUE, "Afternoon", IF(AND(AllData[[#This Row],[Time]]&lt;1, AllData[[#This Row],[Time]]&gt;=0.75)=TRUE, "Evening", "Night")))</f>
        <v>Afternoon</v>
      </c>
      <c r="G761" t="str">
        <f>_xlfn.XLOOKUP(AllData[[#This Row],[Location Name]], Locations[Location Name],Locations[Group As])</f>
        <v>Lower Lode</v>
      </c>
      <c r="H761" t="e" vm="4">
        <f>_xlfn.XLOOKUP(AllData[[#This Row],[Site Name]],LocationsKey[Site Name],LocationsKey[District])</f>
        <v>#VALUE!</v>
      </c>
      <c r="I761" t="e" vm="4">
        <f>_xlfn.XLOOKUP(AllData[[#This Row],[Site Name]],LocationsKey[Site Name],LocationsKey[Town])</f>
        <v>#VALUE!</v>
      </c>
      <c r="J761" t="str">
        <f>_xlfn.XLOOKUP(AllData[[#This Row],[Site Name]],LocationsKey[Site Name], LocationsKey[Waterway])</f>
        <v>Avon</v>
      </c>
      <c r="K761" t="s">
        <v>595</v>
      </c>
      <c r="L761">
        <v>51.985197999999997</v>
      </c>
      <c r="M761">
        <v>-2.1738309999999998</v>
      </c>
      <c r="N761" t="s">
        <v>31</v>
      </c>
      <c r="O761">
        <v>8200</v>
      </c>
      <c r="P761">
        <v>14.8</v>
      </c>
      <c r="Q761">
        <v>10</v>
      </c>
      <c r="R761" s="107" t="str">
        <f>IF(AllData[[#This Row],[Nitrate (PPM)]]&gt;2, "Very high", IF(AllData[[#This Row],[Nitrate (PPM)]]&gt;1, "High", IF(AllData[[#This Row],[Nitrate (PPM)]]&gt;0.5, "Some evidence", IF(AllData[[#This Row],[Nitrate (PPM)]]&gt;=0, "No evidence"))))</f>
        <v>Very high</v>
      </c>
      <c r="S761">
        <v>0.66</v>
      </c>
      <c r="T761" s="7" t="str">
        <f>IF(AllData[[#This Row],[Phosphate (PPM)]]&gt;0.5, "Very high", IF(AllData[[#This Row],[Phosphate (PPM)]]&gt;0.1, "High", IF(AllData[[#This Row],[Phosphate (PPM)]]&gt;0.05, "Some evidence", IF(AllData[[#This Row],[Phosphate (PPM)]]&lt;=0.05, "No Evidence", ""))))</f>
        <v>Very high</v>
      </c>
      <c r="U761">
        <v>0</v>
      </c>
    </row>
    <row r="762" spans="1:22" x14ac:dyDescent="0.35">
      <c r="A762" t="s">
        <v>2373</v>
      </c>
      <c r="B762" s="143">
        <v>45597</v>
      </c>
      <c r="C762" s="2" t="str" cm="1">
        <f t="array" ref="C7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2">
        <f>YEAR(AllData[[#This Row],[Date]])</f>
        <v>2024</v>
      </c>
      <c r="E762" s="1">
        <v>0.65</v>
      </c>
      <c r="F762" t="str">
        <f>IF(AND(AllData[[#This Row],[Time]]&lt;0.5, AllData[[#This Row],[Time]]&gt;0.17)=TRUE, "Morning", IF(AND(AllData[[#This Row],[Time]]&lt;0.75, AllData[[#This Row],[Time]]&gt;=0.5)=TRUE, "Afternoon", IF(AND(AllData[[#This Row],[Time]]&lt;1, AllData[[#This Row],[Time]]&gt;=0.75)=TRUE, "Evening", "Night")))</f>
        <v>Afternoon</v>
      </c>
      <c r="G762" t="str">
        <f>_xlfn.XLOOKUP(AllData[[#This Row],[Location Name]], Locations[Location Name],Locations[Group As])</f>
        <v>Dock Lane Bredon</v>
      </c>
      <c r="H762" t="e" vm="6">
        <f>_xlfn.XLOOKUP(AllData[[#This Row],[Site Name]],LocationsKey[Site Name],LocationsKey[District])</f>
        <v>#VALUE!</v>
      </c>
      <c r="I762" t="e" vm="11">
        <f>_xlfn.XLOOKUP(AllData[[#This Row],[Site Name]],LocationsKey[Site Name],LocationsKey[Town])</f>
        <v>#VALUE!</v>
      </c>
      <c r="J762" t="str">
        <f>_xlfn.XLOOKUP(AllData[[#This Row],[Site Name]],LocationsKey[Site Name], LocationsKey[Waterway])</f>
        <v>Avon</v>
      </c>
      <c r="K762" t="s">
        <v>2374</v>
      </c>
      <c r="L762">
        <v>52.033486000000003</v>
      </c>
      <c r="M762">
        <v>-2.116959</v>
      </c>
      <c r="N762" t="s">
        <v>31</v>
      </c>
      <c r="O762">
        <v>9550</v>
      </c>
      <c r="P762">
        <v>13.3</v>
      </c>
      <c r="Q762">
        <v>8</v>
      </c>
      <c r="R762" s="107" t="str">
        <f>IF(AllData[[#This Row],[Nitrate (PPM)]]&gt;2, "Very high", IF(AllData[[#This Row],[Nitrate (PPM)]]&gt;1, "High", IF(AllData[[#This Row],[Nitrate (PPM)]]&gt;0.5, "Some evidence", IF(AllData[[#This Row],[Nitrate (PPM)]]&gt;=0, "No evidence"))))</f>
        <v>Very high</v>
      </c>
      <c r="S762">
        <v>0.63</v>
      </c>
      <c r="T762" s="7" t="str">
        <f>IF(AllData[[#This Row],[Phosphate (PPM)]]&gt;0.5, "Very high", IF(AllData[[#This Row],[Phosphate (PPM)]]&gt;0.1, "High", IF(AllData[[#This Row],[Phosphate (PPM)]]&gt;0.05, "Some evidence", IF(AllData[[#This Row],[Phosphate (PPM)]]&lt;=0.05, "No Evidence", ""))))</f>
        <v>Very high</v>
      </c>
      <c r="U762">
        <v>0</v>
      </c>
      <c r="V762" t="s">
        <v>2225</v>
      </c>
    </row>
    <row r="763" spans="1:22" x14ac:dyDescent="0.35">
      <c r="A763" t="s">
        <v>2368</v>
      </c>
      <c r="B763" s="143">
        <v>45597</v>
      </c>
      <c r="C763" s="2" t="str" cm="1">
        <f t="array" ref="C7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3">
        <f>YEAR(AllData[[#This Row],[Date]])</f>
        <v>2024</v>
      </c>
      <c r="E763" s="1">
        <v>0.60416666666666663</v>
      </c>
      <c r="F763" t="str">
        <f>IF(AND(AllData[[#This Row],[Time]]&lt;0.5, AllData[[#This Row],[Time]]&gt;0.17)=TRUE, "Morning", IF(AND(AllData[[#This Row],[Time]]&lt;0.75, AllData[[#This Row],[Time]]&gt;=0.5)=TRUE, "Afternoon", IF(AND(AllData[[#This Row],[Time]]&lt;1, AllData[[#This Row],[Time]]&gt;=0.75)=TRUE, "Evening", "Night")))</f>
        <v>Afternoon</v>
      </c>
      <c r="G763" t="str">
        <f>_xlfn.XLOOKUP(AllData[[#This Row],[Location Name]], Locations[Location Name],Locations[Group As])</f>
        <v>Clifford Chambers Mill Bridge</v>
      </c>
      <c r="H763" t="e" vm="1">
        <f>_xlfn.XLOOKUP(AllData[[#This Row],[Site Name]],LocationsKey[Site Name],LocationsKey[District])</f>
        <v>#VALUE!</v>
      </c>
      <c r="I763" t="e" vm="22">
        <f>_xlfn.XLOOKUP(AllData[[#This Row],[Site Name]],LocationsKey[Site Name],LocationsKey[Town])</f>
        <v>#VALUE!</v>
      </c>
      <c r="J763" t="str">
        <f>_xlfn.XLOOKUP(AllData[[#This Row],[Site Name]],LocationsKey[Site Name], LocationsKey[Waterway])</f>
        <v>Stour</v>
      </c>
      <c r="K763" t="s">
        <v>266</v>
      </c>
      <c r="L763">
        <v>52.166370000000001</v>
      </c>
      <c r="M763">
        <v>-1.708032</v>
      </c>
      <c r="N763" t="s">
        <v>68</v>
      </c>
      <c r="O763">
        <v>650</v>
      </c>
      <c r="P763">
        <v>13</v>
      </c>
      <c r="Q763">
        <v>7</v>
      </c>
      <c r="R763" s="107" t="str">
        <f>IF(AllData[[#This Row],[Nitrate (PPM)]]&gt;2, "Very high", IF(AllData[[#This Row],[Nitrate (PPM)]]&gt;1, "High", IF(AllData[[#This Row],[Nitrate (PPM)]]&gt;0.5, "Some evidence", IF(AllData[[#This Row],[Nitrate (PPM)]]&gt;=0, "No evidence"))))</f>
        <v>Very high</v>
      </c>
      <c r="S763">
        <v>0.19</v>
      </c>
      <c r="T763" s="7" t="str">
        <f>IF(AllData[[#This Row],[Phosphate (PPM)]]&gt;0.5, "Very high", IF(AllData[[#This Row],[Phosphate (PPM)]]&gt;0.1, "High", IF(AllData[[#This Row],[Phosphate (PPM)]]&gt;0.05, "Some evidence", IF(AllData[[#This Row],[Phosphate (PPM)]]&lt;=0.05, "No Evidence", ""))))</f>
        <v>High</v>
      </c>
      <c r="U763">
        <v>0.7</v>
      </c>
    </row>
    <row r="764" spans="1:22" x14ac:dyDescent="0.35">
      <c r="A764" t="s">
        <v>2369</v>
      </c>
      <c r="B764" s="143">
        <v>45597</v>
      </c>
      <c r="C764" s="2" t="str" cm="1">
        <f t="array" ref="C7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4">
        <f>YEAR(AllData[[#This Row],[Date]])</f>
        <v>2024</v>
      </c>
      <c r="E764" s="1">
        <v>0.3611111111111111</v>
      </c>
      <c r="F764" t="str">
        <f>IF(AND(AllData[[#This Row],[Time]]&lt;0.5, AllData[[#This Row],[Time]]&gt;0.17)=TRUE, "Morning", IF(AND(AllData[[#This Row],[Time]]&lt;0.75, AllData[[#This Row],[Time]]&gt;=0.5)=TRUE, "Afternoon", IF(AND(AllData[[#This Row],[Time]]&lt;1, AllData[[#This Row],[Time]]&gt;=0.75)=TRUE, "Evening", "Night")))</f>
        <v>Morning</v>
      </c>
      <c r="G764" t="str">
        <f>_xlfn.XLOOKUP(AllData[[#This Row],[Location Name]], Locations[Location Name],Locations[Group As])</f>
        <v>Swilgate</v>
      </c>
      <c r="H764" t="e" vm="4">
        <f>_xlfn.XLOOKUP(AllData[[#This Row],[Site Name]],LocationsKey[Site Name],LocationsKey[District])</f>
        <v>#VALUE!</v>
      </c>
      <c r="I764" t="e" vm="4">
        <f>_xlfn.XLOOKUP(AllData[[#This Row],[Site Name]],LocationsKey[Site Name],LocationsKey[Town])</f>
        <v>#VALUE!</v>
      </c>
      <c r="J764" t="str">
        <f>_xlfn.XLOOKUP(AllData[[#This Row],[Site Name]],LocationsKey[Site Name], LocationsKey[Waterway])</f>
        <v>Swilgate</v>
      </c>
      <c r="K764" t="s">
        <v>85</v>
      </c>
      <c r="N764" t="s">
        <v>25</v>
      </c>
      <c r="O764">
        <v>856</v>
      </c>
      <c r="P764">
        <v>13.4</v>
      </c>
      <c r="Q764">
        <v>3</v>
      </c>
      <c r="R764" s="107" t="str">
        <f>IF(AllData[[#This Row],[Nitrate (PPM)]]&gt;2, "Very high", IF(AllData[[#This Row],[Nitrate (PPM)]]&gt;1, "High", IF(AllData[[#This Row],[Nitrate (PPM)]]&gt;0.5, "Some evidence", IF(AllData[[#This Row],[Nitrate (PPM)]]&gt;=0, "No evidence"))))</f>
        <v>Very high</v>
      </c>
      <c r="S764">
        <v>0.47</v>
      </c>
      <c r="T764" s="7" t="str">
        <f>IF(AllData[[#This Row],[Phosphate (PPM)]]&gt;0.5, "Very high", IF(AllData[[#This Row],[Phosphate (PPM)]]&gt;0.1, "High", IF(AllData[[#This Row],[Phosphate (PPM)]]&gt;0.05, "Some evidence", IF(AllData[[#This Row],[Phosphate (PPM)]]&lt;=0.05, "No Evidence", ""))))</f>
        <v>High</v>
      </c>
      <c r="U764">
        <v>0</v>
      </c>
    </row>
    <row r="765" spans="1:22" x14ac:dyDescent="0.35">
      <c r="A765" t="s">
        <v>2371</v>
      </c>
      <c r="B765" s="143">
        <v>45597</v>
      </c>
      <c r="C765" s="2" t="str" cm="1">
        <f t="array" ref="C7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5">
        <f>YEAR(AllData[[#This Row],[Date]])</f>
        <v>2024</v>
      </c>
      <c r="E765" s="1">
        <v>0.39097222222222222</v>
      </c>
      <c r="F765" t="str">
        <f>IF(AND(AllData[[#This Row],[Time]]&lt;0.5, AllData[[#This Row],[Time]]&gt;0.17)=TRUE, "Morning", IF(AND(AllData[[#This Row],[Time]]&lt;0.75, AllData[[#This Row],[Time]]&gt;=0.5)=TRUE, "Afternoon", IF(AND(AllData[[#This Row],[Time]]&lt;1, AllData[[#This Row],[Time]]&gt;=0.75)=TRUE, "Evening", "Night")))</f>
        <v>Morning</v>
      </c>
      <c r="G765" t="str">
        <f>_xlfn.XLOOKUP(AllData[[#This Row],[Location Name]], Locations[Location Name],Locations[Group As])</f>
        <v>Stour Whichford</v>
      </c>
      <c r="H765" t="e" vm="1">
        <f>_xlfn.XLOOKUP(AllData[[#This Row],[Site Name]],LocationsKey[Site Name],LocationsKey[District])</f>
        <v>#VALUE!</v>
      </c>
      <c r="I765" t="e" vm="24">
        <f>_xlfn.XLOOKUP(AllData[[#This Row],[Site Name]],LocationsKey[Site Name],LocationsKey[Town])</f>
        <v>#VALUE!</v>
      </c>
      <c r="J765" t="str">
        <f>_xlfn.XLOOKUP(AllData[[#This Row],[Site Name]],LocationsKey[Site Name], LocationsKey[Waterway])</f>
        <v>Stour</v>
      </c>
      <c r="K765" t="s">
        <v>980</v>
      </c>
      <c r="N765" t="s">
        <v>31</v>
      </c>
      <c r="O765">
        <v>553</v>
      </c>
      <c r="P765">
        <v>11.9</v>
      </c>
      <c r="Q765">
        <v>2.5</v>
      </c>
      <c r="R765" s="107" t="str">
        <f>IF(AllData[[#This Row],[Nitrate (PPM)]]&gt;2, "Very high", IF(AllData[[#This Row],[Nitrate (PPM)]]&gt;1, "High", IF(AllData[[#This Row],[Nitrate (PPM)]]&gt;0.5, "Some evidence", IF(AllData[[#This Row],[Nitrate (PPM)]]&gt;=0, "No evidence"))))</f>
        <v>Very high</v>
      </c>
      <c r="S765">
        <v>0.44</v>
      </c>
      <c r="T765" s="7" t="str">
        <f>IF(AllData[[#This Row],[Phosphate (PPM)]]&gt;0.5, "Very high", IF(AllData[[#This Row],[Phosphate (PPM)]]&gt;0.1, "High", IF(AllData[[#This Row],[Phosphate (PPM)]]&gt;0.05, "Some evidence", IF(AllData[[#This Row],[Phosphate (PPM)]]&lt;=0.05, "No Evidence", ""))))</f>
        <v>High</v>
      </c>
      <c r="U765">
        <v>20</v>
      </c>
    </row>
    <row r="766" spans="1:22" x14ac:dyDescent="0.35">
      <c r="A766" t="s">
        <v>2372</v>
      </c>
      <c r="B766" s="143">
        <v>45597</v>
      </c>
      <c r="C766" s="2" t="str" cm="1">
        <f t="array" ref="C7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6">
        <f>YEAR(AllData[[#This Row],[Date]])</f>
        <v>2024</v>
      </c>
      <c r="E766" s="1">
        <v>0.40833333333333333</v>
      </c>
      <c r="F766" t="str">
        <f>IF(AND(AllData[[#This Row],[Time]]&lt;0.5, AllData[[#This Row],[Time]]&gt;0.17)=TRUE, "Morning", IF(AND(AllData[[#This Row],[Time]]&lt;0.75, AllData[[#This Row],[Time]]&gt;=0.5)=TRUE, "Afternoon", IF(AND(AllData[[#This Row],[Time]]&lt;1, AllData[[#This Row],[Time]]&gt;=0.75)=TRUE, "Evening", "Night")))</f>
        <v>Morning</v>
      </c>
      <c r="G766" t="str">
        <f>_xlfn.XLOOKUP(AllData[[#This Row],[Location Name]], Locations[Location Name],Locations[Group As])</f>
        <v>Stour Ascott Village</v>
      </c>
      <c r="H766" t="e" vm="1">
        <f>_xlfn.XLOOKUP(AllData[[#This Row],[Site Name]],LocationsKey[Site Name],LocationsKey[District])</f>
        <v>#VALUE!</v>
      </c>
      <c r="I766" t="e" vm="25">
        <f>_xlfn.XLOOKUP(AllData[[#This Row],[Site Name]],LocationsKey[Site Name],LocationsKey[Town])</f>
        <v>#VALUE!</v>
      </c>
      <c r="J766" t="str">
        <f>_xlfn.XLOOKUP(AllData[[#This Row],[Site Name]],LocationsKey[Site Name], LocationsKey[Waterway])</f>
        <v>Stour</v>
      </c>
      <c r="K766" t="s">
        <v>927</v>
      </c>
      <c r="N766" t="s">
        <v>68</v>
      </c>
      <c r="O766">
        <v>558</v>
      </c>
      <c r="P766">
        <v>11.3</v>
      </c>
      <c r="Q766">
        <v>0.5</v>
      </c>
      <c r="R766" s="107" t="str">
        <f>IF(AllData[[#This Row],[Nitrate (PPM)]]&gt;2, "Very high", IF(AllData[[#This Row],[Nitrate (PPM)]]&gt;1, "High", IF(AllData[[#This Row],[Nitrate (PPM)]]&gt;0.5, "Some evidence", IF(AllData[[#This Row],[Nitrate (PPM)]]&gt;=0, "No evidence"))))</f>
        <v>No evidence</v>
      </c>
      <c r="S766">
        <v>0.24</v>
      </c>
      <c r="T766" s="7" t="str">
        <f>IF(AllData[[#This Row],[Phosphate (PPM)]]&gt;0.5, "Very high", IF(AllData[[#This Row],[Phosphate (PPM)]]&gt;0.1, "High", IF(AllData[[#This Row],[Phosphate (PPM)]]&gt;0.05, "Some evidence", IF(AllData[[#This Row],[Phosphate (PPM)]]&lt;=0.05, "No Evidence", ""))))</f>
        <v>High</v>
      </c>
      <c r="U766">
        <v>13</v>
      </c>
    </row>
    <row r="767" spans="1:22" x14ac:dyDescent="0.35">
      <c r="A767" t="s">
        <v>2367</v>
      </c>
      <c r="B767" s="143">
        <v>45596</v>
      </c>
      <c r="C767" s="2" t="str" cm="1">
        <f t="array" ref="C7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7">
        <f>YEAR(AllData[[#This Row],[Date]])</f>
        <v>2024</v>
      </c>
      <c r="E767" s="1">
        <v>0.62638888888888888</v>
      </c>
      <c r="F767" t="str">
        <f>IF(AND(AllData[[#This Row],[Time]]&lt;0.5, AllData[[#This Row],[Time]]&gt;0.17)=TRUE, "Morning", IF(AND(AllData[[#This Row],[Time]]&lt;0.75, AllData[[#This Row],[Time]]&gt;=0.5)=TRUE, "Afternoon", IF(AND(AllData[[#This Row],[Time]]&lt;1, AllData[[#This Row],[Time]]&gt;=0.75)=TRUE, "Evening", "Night")))</f>
        <v>Afternoon</v>
      </c>
      <c r="G767" t="str">
        <f>_xlfn.XLOOKUP(AllData[[#This Row],[Location Name]], Locations[Location Name],Locations[Group As])</f>
        <v>Twyning Fleet</v>
      </c>
      <c r="H767" t="e" vm="4">
        <f>_xlfn.XLOOKUP(AllData[[#This Row],[Site Name]],LocationsKey[Site Name],LocationsKey[District])</f>
        <v>#VALUE!</v>
      </c>
      <c r="I767" t="str">
        <f>_xlfn.XLOOKUP(AllData[[#This Row],[Site Name]],LocationsKey[Site Name],LocationsKey[Town])</f>
        <v>Twyning Green</v>
      </c>
      <c r="J767" t="str">
        <f>_xlfn.XLOOKUP(AllData[[#This Row],[Site Name]],LocationsKey[Site Name], LocationsKey[Waterway])</f>
        <v>Avon</v>
      </c>
      <c r="K767" t="s">
        <v>2181</v>
      </c>
      <c r="L767">
        <v>52.027312000000002</v>
      </c>
      <c r="M767">
        <v>-2.1409630000000002</v>
      </c>
      <c r="O767">
        <v>830</v>
      </c>
      <c r="P767">
        <v>13.6</v>
      </c>
      <c r="Q767">
        <v>8</v>
      </c>
      <c r="R767" s="107" t="str">
        <f>IF(AllData[[#This Row],[Nitrate (PPM)]]&gt;2, "Very high", IF(AllData[[#This Row],[Nitrate (PPM)]]&gt;1, "High", IF(AllData[[#This Row],[Nitrate (PPM)]]&gt;0.5, "Some evidence", IF(AllData[[#This Row],[Nitrate (PPM)]]&gt;=0, "No evidence"))))</f>
        <v>Very high</v>
      </c>
      <c r="S767">
        <v>0.64</v>
      </c>
      <c r="T767" s="7" t="str">
        <f>IF(AllData[[#This Row],[Phosphate (PPM)]]&gt;0.5, "Very high", IF(AllData[[#This Row],[Phosphate (PPM)]]&gt;0.1, "High", IF(AllData[[#This Row],[Phosphate (PPM)]]&gt;0.05, "Some evidence", IF(AllData[[#This Row],[Phosphate (PPM)]]&lt;=0.05, "No Evidence", ""))))</f>
        <v>Very high</v>
      </c>
      <c r="U767">
        <v>0</v>
      </c>
    </row>
    <row r="768" spans="1:22" x14ac:dyDescent="0.35">
      <c r="A768" t="s">
        <v>2365</v>
      </c>
      <c r="B768" s="143">
        <v>45596</v>
      </c>
      <c r="C768" s="2" t="str" cm="1">
        <f t="array" ref="C7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8">
        <f>YEAR(AllData[[#This Row],[Date]])</f>
        <v>2024</v>
      </c>
      <c r="E768" s="1">
        <v>0.63541666666666663</v>
      </c>
      <c r="F768" t="str">
        <f>IF(AND(AllData[[#This Row],[Time]]&lt;0.5, AllData[[#This Row],[Time]]&gt;0.17)=TRUE, "Morning", IF(AND(AllData[[#This Row],[Time]]&lt;0.75, AllData[[#This Row],[Time]]&gt;=0.5)=TRUE, "Afternoon", IF(AND(AllData[[#This Row],[Time]]&lt;1, AllData[[#This Row],[Time]]&gt;=0.75)=TRUE, "Evening", "Night")))</f>
        <v>Afternoon</v>
      </c>
      <c r="G768" t="str">
        <f>_xlfn.XLOOKUP(AllData[[#This Row],[Location Name]], Locations[Location Name],Locations[Group As])</f>
        <v>Alveston Weir</v>
      </c>
      <c r="H768" t="e" vm="1">
        <f>_xlfn.XLOOKUP(AllData[[#This Row],[Site Name]],LocationsKey[Site Name],LocationsKey[District])</f>
        <v>#VALUE!</v>
      </c>
      <c r="I768" t="e" vm="2">
        <f>_xlfn.XLOOKUP(AllData[[#This Row],[Site Name]],LocationsKey[Site Name],LocationsKey[Town])</f>
        <v>#VALUE!</v>
      </c>
      <c r="J768" t="str">
        <f>_xlfn.XLOOKUP(AllData[[#This Row],[Site Name]],LocationsKey[Site Name], LocationsKey[Waterway])</f>
        <v>Avon</v>
      </c>
      <c r="K768" t="s">
        <v>288</v>
      </c>
      <c r="L768">
        <v>52.212288000000001</v>
      </c>
      <c r="M768">
        <v>-1.660452</v>
      </c>
      <c r="N768" t="s">
        <v>31</v>
      </c>
      <c r="O768">
        <v>677</v>
      </c>
      <c r="P768">
        <v>14.2</v>
      </c>
      <c r="Q768">
        <v>5</v>
      </c>
      <c r="R768" s="107" t="str">
        <f>IF(AllData[[#This Row],[Nitrate (PPM)]]&gt;2, "Very high", IF(AllData[[#This Row],[Nitrate (PPM)]]&gt;1, "High", IF(AllData[[#This Row],[Nitrate (PPM)]]&gt;0.5, "Some evidence", IF(AllData[[#This Row],[Nitrate (PPM)]]&gt;=0, "No evidence"))))</f>
        <v>Very high</v>
      </c>
      <c r="S768">
        <v>0.45</v>
      </c>
      <c r="T768" s="7" t="str">
        <f>IF(AllData[[#This Row],[Phosphate (PPM)]]&gt;0.5, "Very high", IF(AllData[[#This Row],[Phosphate (PPM)]]&gt;0.1, "High", IF(AllData[[#This Row],[Phosphate (PPM)]]&gt;0.05, "Some evidence", IF(AllData[[#This Row],[Phosphate (PPM)]]&lt;=0.05, "No Evidence", ""))))</f>
        <v>High</v>
      </c>
      <c r="U768">
        <v>-0.5</v>
      </c>
      <c r="V768" t="s">
        <v>2366</v>
      </c>
    </row>
    <row r="769" spans="1:22" x14ac:dyDescent="0.35">
      <c r="A769" t="s">
        <v>2363</v>
      </c>
      <c r="B769" s="143">
        <v>45596</v>
      </c>
      <c r="C769" s="2" t="str" cm="1">
        <f t="array" ref="C7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69">
        <f>YEAR(AllData[[#This Row],[Date]])</f>
        <v>2024</v>
      </c>
      <c r="E769" s="1">
        <v>0.64583333333333337</v>
      </c>
      <c r="F769" t="str">
        <f>IF(AND(AllData[[#This Row],[Time]]&lt;0.5, AllData[[#This Row],[Time]]&gt;0.17)=TRUE, "Morning", IF(AND(AllData[[#This Row],[Time]]&lt;0.75, AllData[[#This Row],[Time]]&gt;=0.5)=TRUE, "Afternoon", IF(AND(AllData[[#This Row],[Time]]&lt;1, AllData[[#This Row],[Time]]&gt;=0.75)=TRUE, "Evening", "Night")))</f>
        <v>Afternoon</v>
      </c>
      <c r="G769" t="str">
        <f>_xlfn.XLOOKUP(AllData[[#This Row],[Location Name]], Locations[Location Name],Locations[Group As])</f>
        <v>Swiffen Bank</v>
      </c>
      <c r="H769" t="e" vm="1">
        <f>_xlfn.XLOOKUP(AllData[[#This Row],[Site Name]],LocationsKey[Site Name],LocationsKey[District])</f>
        <v>#VALUE!</v>
      </c>
      <c r="I769" t="e" vm="2">
        <f>_xlfn.XLOOKUP(AllData[[#This Row],[Site Name]],LocationsKey[Site Name],LocationsKey[Town])</f>
        <v>#VALUE!</v>
      </c>
      <c r="J769" t="str">
        <f>_xlfn.XLOOKUP(AllData[[#This Row],[Site Name]],LocationsKey[Site Name], LocationsKey[Waterway])</f>
        <v>Avon</v>
      </c>
      <c r="K769" t="s">
        <v>286</v>
      </c>
      <c r="L769">
        <v>52.206477999999997</v>
      </c>
      <c r="M769">
        <v>-1.653894</v>
      </c>
      <c r="N769" t="s">
        <v>31</v>
      </c>
      <c r="O769">
        <v>674</v>
      </c>
      <c r="P769">
        <v>14.3</v>
      </c>
      <c r="Q769">
        <v>5</v>
      </c>
      <c r="R769" s="107" t="str">
        <f>IF(AllData[[#This Row],[Nitrate (PPM)]]&gt;2, "Very high", IF(AllData[[#This Row],[Nitrate (PPM)]]&gt;1, "High", IF(AllData[[#This Row],[Nitrate (PPM)]]&gt;0.5, "Some evidence", IF(AllData[[#This Row],[Nitrate (PPM)]]&gt;=0, "No evidence"))))</f>
        <v>Very high</v>
      </c>
      <c r="S769">
        <v>0.56000000000000005</v>
      </c>
      <c r="T769" s="7" t="str">
        <f>IF(AllData[[#This Row],[Phosphate (PPM)]]&gt;0.5, "Very high", IF(AllData[[#This Row],[Phosphate (PPM)]]&gt;0.1, "High", IF(AllData[[#This Row],[Phosphate (PPM)]]&gt;0.05, "Some evidence", IF(AllData[[#This Row],[Phosphate (PPM)]]&lt;=0.05, "No Evidence", ""))))</f>
        <v>Very high</v>
      </c>
      <c r="U769">
        <v>0.5</v>
      </c>
      <c r="V769" t="s">
        <v>2364</v>
      </c>
    </row>
    <row r="770" spans="1:22" x14ac:dyDescent="0.35">
      <c r="A770" t="s">
        <v>2362</v>
      </c>
      <c r="B770" s="143">
        <v>45595</v>
      </c>
      <c r="C770" s="2" t="str" cm="1">
        <f t="array" ref="C7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0">
        <f>YEAR(AllData[[#This Row],[Date]])</f>
        <v>2024</v>
      </c>
      <c r="E770" s="1">
        <v>0.56597222222222221</v>
      </c>
      <c r="F770" t="str">
        <f>IF(AND(AllData[[#This Row],[Time]]&lt;0.5, AllData[[#This Row],[Time]]&gt;0.17)=TRUE, "Morning", IF(AND(AllData[[#This Row],[Time]]&lt;0.75, AllData[[#This Row],[Time]]&gt;=0.5)=TRUE, "Afternoon", IF(AND(AllData[[#This Row],[Time]]&lt;1, AllData[[#This Row],[Time]]&gt;=0.75)=TRUE, "Evening", "Night")))</f>
        <v>Afternoon</v>
      </c>
      <c r="G770" t="str">
        <f>_xlfn.XLOOKUP(AllData[[#This Row],[Location Name]], Locations[Location Name],Locations[Group As])</f>
        <v>SSC Bredons Norton</v>
      </c>
      <c r="H770" t="e" vm="6">
        <f>_xlfn.XLOOKUP(AllData[[#This Row],[Site Name]],LocationsKey[Site Name],LocationsKey[District])</f>
        <v>#VALUE!</v>
      </c>
      <c r="I770" t="str">
        <f>_xlfn.XLOOKUP(AllData[[#This Row],[Site Name]],LocationsKey[Site Name],LocationsKey[Town])</f>
        <v>Bredon's Norton</v>
      </c>
      <c r="J770" t="str">
        <f>_xlfn.XLOOKUP(AllData[[#This Row],[Site Name]],LocationsKey[Site Name], LocationsKey[Waterway])</f>
        <v>Avon</v>
      </c>
      <c r="K770" t="s">
        <v>2174</v>
      </c>
      <c r="L770">
        <v>52.050818999999997</v>
      </c>
      <c r="M770">
        <v>-2.1170840000000002</v>
      </c>
      <c r="N770" t="s">
        <v>25</v>
      </c>
      <c r="O770">
        <v>8120</v>
      </c>
      <c r="P770">
        <v>13.5</v>
      </c>
      <c r="Q770">
        <v>5</v>
      </c>
      <c r="R770" s="107" t="str">
        <f>IF(AllData[[#This Row],[Nitrate (PPM)]]&gt;2, "Very high", IF(AllData[[#This Row],[Nitrate (PPM)]]&gt;1, "High", IF(AllData[[#This Row],[Nitrate (PPM)]]&gt;0.5, "Some evidence", IF(AllData[[#This Row],[Nitrate (PPM)]]&gt;=0, "No evidence"))))</f>
        <v>Very high</v>
      </c>
      <c r="S770">
        <v>0.56999999999999995</v>
      </c>
      <c r="T770" s="7" t="str">
        <f>IF(AllData[[#This Row],[Phosphate (PPM)]]&gt;0.5, "Very high", IF(AllData[[#This Row],[Phosphate (PPM)]]&gt;0.1, "High", IF(AllData[[#This Row],[Phosphate (PPM)]]&gt;0.05, "Some evidence", IF(AllData[[#This Row],[Phosphate (PPM)]]&lt;=0.05, "No Evidence", ""))))</f>
        <v>Very high</v>
      </c>
      <c r="U770">
        <v>0.8</v>
      </c>
      <c r="V770" t="s">
        <v>2263</v>
      </c>
    </row>
    <row r="771" spans="1:22" x14ac:dyDescent="0.35">
      <c r="A771" t="s">
        <v>2359</v>
      </c>
      <c r="B771" s="143">
        <v>45594</v>
      </c>
      <c r="C771" s="2" t="str" cm="1">
        <f t="array" ref="C7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1">
        <f>YEAR(AllData[[#This Row],[Date]])</f>
        <v>2024</v>
      </c>
      <c r="E771" s="1">
        <v>0.62083333333333335</v>
      </c>
      <c r="F771" t="str">
        <f>IF(AND(AllData[[#This Row],[Time]]&lt;0.5, AllData[[#This Row],[Time]]&gt;0.17)=TRUE, "Morning", IF(AND(AllData[[#This Row],[Time]]&lt;0.75, AllData[[#This Row],[Time]]&gt;=0.5)=TRUE, "Afternoon", IF(AND(AllData[[#This Row],[Time]]&lt;1, AllData[[#This Row],[Time]]&gt;=0.75)=TRUE, "Evening", "Night")))</f>
        <v>Afternoon</v>
      </c>
      <c r="G771" t="str">
        <f>_xlfn.XLOOKUP(AllData[[#This Row],[Location Name]], Locations[Location Name],Locations[Group As])</f>
        <v>Black Bear</v>
      </c>
      <c r="H771" t="e" vm="4">
        <f>_xlfn.XLOOKUP(AllData[[#This Row],[Site Name]],LocationsKey[Site Name],LocationsKey[District])</f>
        <v>#VALUE!</v>
      </c>
      <c r="I771" t="e" vm="4">
        <f>_xlfn.XLOOKUP(AllData[[#This Row],[Site Name]],LocationsKey[Site Name],LocationsKey[Town])</f>
        <v>#VALUE!</v>
      </c>
      <c r="J771" t="str">
        <f>_xlfn.XLOOKUP(AllData[[#This Row],[Site Name]],LocationsKey[Site Name], LocationsKey[Waterway])</f>
        <v>Avon</v>
      </c>
      <c r="K771" t="s">
        <v>1175</v>
      </c>
      <c r="L771">
        <v>51.997343000000001</v>
      </c>
      <c r="M771">
        <v>-2.156066</v>
      </c>
      <c r="N771" t="s">
        <v>25</v>
      </c>
      <c r="O771">
        <v>780</v>
      </c>
      <c r="P771">
        <v>13.3</v>
      </c>
      <c r="Q771">
        <v>12</v>
      </c>
      <c r="R771" s="107" t="str">
        <f>IF(AllData[[#This Row],[Nitrate (PPM)]]&gt;2, "Very high", IF(AllData[[#This Row],[Nitrate (PPM)]]&gt;1, "High", IF(AllData[[#This Row],[Nitrate (PPM)]]&gt;0.5, "Some evidence", IF(AllData[[#This Row],[Nitrate (PPM)]]&gt;=0, "No evidence"))))</f>
        <v>Very high</v>
      </c>
      <c r="S771">
        <v>0.92</v>
      </c>
      <c r="T771" s="7" t="str">
        <f>IF(AllData[[#This Row],[Phosphate (PPM)]]&gt;0.5, "Very high", IF(AllData[[#This Row],[Phosphate (PPM)]]&gt;0.1, "High", IF(AllData[[#This Row],[Phosphate (PPM)]]&gt;0.05, "Some evidence", IF(AllData[[#This Row],[Phosphate (PPM)]]&lt;=0.05, "No Evidence", ""))))</f>
        <v>Very high</v>
      </c>
      <c r="U771">
        <v>0</v>
      </c>
    </row>
    <row r="772" spans="1:22" x14ac:dyDescent="0.35">
      <c r="A772" t="s">
        <v>2360</v>
      </c>
      <c r="B772" s="143">
        <v>45594</v>
      </c>
      <c r="C772" s="2" t="str" cm="1">
        <f t="array" ref="C7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2">
        <f>YEAR(AllData[[#This Row],[Date]])</f>
        <v>2024</v>
      </c>
      <c r="E772" s="1">
        <v>0.55069444444444449</v>
      </c>
      <c r="F772" t="str">
        <f>IF(AND(AllData[[#This Row],[Time]]&lt;0.5, AllData[[#This Row],[Time]]&gt;0.17)=TRUE, "Morning", IF(AND(AllData[[#This Row],[Time]]&lt;0.75, AllData[[#This Row],[Time]]&gt;=0.5)=TRUE, "Afternoon", IF(AND(AllData[[#This Row],[Time]]&lt;1, AllData[[#This Row],[Time]]&gt;=0.75)=TRUE, "Evening", "Night")))</f>
        <v>Afternoon</v>
      </c>
      <c r="G772" t="str">
        <f>_xlfn.XLOOKUP(AllData[[#This Row],[Location Name]], Locations[Location Name],Locations[Group As])</f>
        <v>Walcot Lane, Bow Brook Ford</v>
      </c>
      <c r="H772" t="e" vm="6">
        <f>_xlfn.XLOOKUP(AllData[[#This Row],[Site Name]],LocationsKey[Site Name],LocationsKey[District])</f>
        <v>#VALUE!</v>
      </c>
      <c r="I772" t="e" vm="7">
        <f>_xlfn.XLOOKUP(AllData[[#This Row],[Site Name]],LocationsKey[Site Name],LocationsKey[Town])</f>
        <v>#VALUE!</v>
      </c>
      <c r="J772" t="str">
        <f>_xlfn.XLOOKUP(AllData[[#This Row],[Site Name]],LocationsKey[Site Name], LocationsKey[Waterway])</f>
        <v>Bow Brook</v>
      </c>
      <c r="K772" t="s">
        <v>775</v>
      </c>
      <c r="L772">
        <v>52.130507000000001</v>
      </c>
      <c r="M772">
        <v>-2.078627</v>
      </c>
      <c r="N772" t="s">
        <v>25</v>
      </c>
      <c r="O772">
        <v>1080</v>
      </c>
      <c r="P772">
        <v>14.3</v>
      </c>
      <c r="Q772">
        <v>5</v>
      </c>
      <c r="R772" s="107" t="str">
        <f>IF(AllData[[#This Row],[Nitrate (PPM)]]&gt;2, "Very high", IF(AllData[[#This Row],[Nitrate (PPM)]]&gt;1, "High", IF(AllData[[#This Row],[Nitrate (PPM)]]&gt;0.5, "Some evidence", IF(AllData[[#This Row],[Nitrate (PPM)]]&gt;=0, "No evidence"))))</f>
        <v>Very high</v>
      </c>
      <c r="S772">
        <v>0.65</v>
      </c>
      <c r="T772" s="7" t="str">
        <f>IF(AllData[[#This Row],[Phosphate (PPM)]]&gt;0.5, "Very high", IF(AllData[[#This Row],[Phosphate (PPM)]]&gt;0.1, "High", IF(AllData[[#This Row],[Phosphate (PPM)]]&gt;0.05, "Some evidence", IF(AllData[[#This Row],[Phosphate (PPM)]]&lt;=0.05, "No Evidence", ""))))</f>
        <v>Very high</v>
      </c>
      <c r="U772">
        <v>0.5</v>
      </c>
      <c r="V772" t="s">
        <v>2361</v>
      </c>
    </row>
    <row r="773" spans="1:22" x14ac:dyDescent="0.35">
      <c r="A773" t="s">
        <v>2355</v>
      </c>
      <c r="B773" s="143">
        <v>45593</v>
      </c>
      <c r="C773" s="2" t="str" cm="1">
        <f t="array" ref="C7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3">
        <f>YEAR(AllData[[#This Row],[Date]])</f>
        <v>2024</v>
      </c>
      <c r="E773" s="1">
        <v>0.35416666666666669</v>
      </c>
      <c r="F773" t="str">
        <f>IF(AND(AllData[[#This Row],[Time]]&lt;0.5, AllData[[#This Row],[Time]]&gt;0.17)=TRUE, "Morning", IF(AND(AllData[[#This Row],[Time]]&lt;0.75, AllData[[#This Row],[Time]]&gt;=0.5)=TRUE, "Afternoon", IF(AND(AllData[[#This Row],[Time]]&lt;1, AllData[[#This Row],[Time]]&gt;=0.75)=TRUE, "Evening", "Night")))</f>
        <v>Morning</v>
      </c>
      <c r="G773" t="str">
        <f>_xlfn.XLOOKUP(AllData[[#This Row],[Location Name]], Locations[Location Name],Locations[Group As])</f>
        <v>The Ford, Langley</v>
      </c>
      <c r="H773" t="e" vm="1">
        <f>_xlfn.XLOOKUP(AllData[[#This Row],[Site Name]],LocationsKey[Site Name],LocationsKey[District])</f>
        <v>#VALUE!</v>
      </c>
      <c r="I773" t="str">
        <f>_xlfn.XLOOKUP(AllData[[#This Row],[Site Name]],LocationsKey[Site Name],LocationsKey[Town])</f>
        <v>Langley</v>
      </c>
      <c r="J773" t="str">
        <f>_xlfn.XLOOKUP(AllData[[#This Row],[Site Name]],LocationsKey[Site Name], LocationsKey[Waterway])</f>
        <v>Langley Ford</v>
      </c>
      <c r="K773" t="s">
        <v>561</v>
      </c>
      <c r="L773">
        <v>52.259903999999999</v>
      </c>
      <c r="M773">
        <v>-1.7185010000000001</v>
      </c>
      <c r="N773" t="s">
        <v>31</v>
      </c>
      <c r="O773">
        <v>737</v>
      </c>
      <c r="P773">
        <v>11.6</v>
      </c>
      <c r="Q773">
        <v>10</v>
      </c>
      <c r="R773" s="107" t="str">
        <f>IF(AllData[[#This Row],[Nitrate (PPM)]]&gt;2, "Very high", IF(AllData[[#This Row],[Nitrate (PPM)]]&gt;1, "High", IF(AllData[[#This Row],[Nitrate (PPM)]]&gt;0.5, "Some evidence", IF(AllData[[#This Row],[Nitrate (PPM)]]&gt;=0, "No evidence"))))</f>
        <v>Very high</v>
      </c>
      <c r="S773">
        <v>0.69</v>
      </c>
      <c r="T773" s="7" t="str">
        <f>IF(AllData[[#This Row],[Phosphate (PPM)]]&gt;0.5, "Very high", IF(AllData[[#This Row],[Phosphate (PPM)]]&gt;0.1, "High", IF(AllData[[#This Row],[Phosphate (PPM)]]&gt;0.05, "Some evidence", IF(AllData[[#This Row],[Phosphate (PPM)]]&lt;=0.05, "No Evidence", ""))))</f>
        <v>Very high</v>
      </c>
      <c r="U773">
        <v>0.15</v>
      </c>
      <c r="V773" t="s">
        <v>2356</v>
      </c>
    </row>
    <row r="774" spans="1:22" x14ac:dyDescent="0.35">
      <c r="A774" t="s">
        <v>2346</v>
      </c>
      <c r="B774" s="143">
        <v>45593</v>
      </c>
      <c r="C774" s="2" t="str" cm="1">
        <f t="array" ref="C7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4">
        <f>YEAR(AllData[[#This Row],[Date]])</f>
        <v>2024</v>
      </c>
      <c r="E774" s="1">
        <v>0.46666666666666667</v>
      </c>
      <c r="F774" t="str">
        <f>IF(AND(AllData[[#This Row],[Time]]&lt;0.5, AllData[[#This Row],[Time]]&gt;0.17)=TRUE, "Morning", IF(AND(AllData[[#This Row],[Time]]&lt;0.75, AllData[[#This Row],[Time]]&gt;=0.5)=TRUE, "Afternoon", IF(AND(AllData[[#This Row],[Time]]&lt;1, AllData[[#This Row],[Time]]&gt;=0.75)=TRUE, "Evening", "Night")))</f>
        <v>Morning</v>
      </c>
      <c r="G774" t="str">
        <f>_xlfn.XLOOKUP(AllData[[#This Row],[Location Name]], Locations[Location Name],Locations[Group As])</f>
        <v>Unknown</v>
      </c>
      <c r="H774" t="str">
        <f>_xlfn.XLOOKUP(AllData[[#This Row],[Site Name]],LocationsKey[Site Name],LocationsKey[District])</f>
        <v>Unknown</v>
      </c>
      <c r="I774" t="str">
        <f>_xlfn.XLOOKUP(AllData[[#This Row],[Site Name]],LocationsKey[Site Name],LocationsKey[Town])</f>
        <v>Unknown</v>
      </c>
      <c r="J774" t="str">
        <f>_xlfn.XLOOKUP(AllData[[#This Row],[Site Name]],LocationsKey[Site Name], LocationsKey[Waterway])</f>
        <v>Unknown</v>
      </c>
      <c r="K774" t="s">
        <v>2347</v>
      </c>
      <c r="L774">
        <v>52.080581000000002</v>
      </c>
      <c r="M774">
        <v>-1.6369149999999999</v>
      </c>
      <c r="N774" t="s">
        <v>31</v>
      </c>
      <c r="O774">
        <v>704</v>
      </c>
      <c r="P774">
        <v>14.2</v>
      </c>
      <c r="Q774">
        <v>7.5</v>
      </c>
      <c r="R774" s="107" t="str">
        <f>IF(AllData[[#This Row],[Nitrate (PPM)]]&gt;2, "Very high", IF(AllData[[#This Row],[Nitrate (PPM)]]&gt;1, "High", IF(AllData[[#This Row],[Nitrate (PPM)]]&gt;0.5, "Some evidence", IF(AllData[[#This Row],[Nitrate (PPM)]]&gt;=0, "No evidence"))))</f>
        <v>Very high</v>
      </c>
      <c r="S774">
        <v>2.5</v>
      </c>
      <c r="T774" s="7" t="str">
        <f>IF(AllData[[#This Row],[Phosphate (PPM)]]&gt;0.5, "Very high", IF(AllData[[#This Row],[Phosphate (PPM)]]&gt;0.1, "High", IF(AllData[[#This Row],[Phosphate (PPM)]]&gt;0.05, "Some evidence", IF(AllData[[#This Row],[Phosphate (PPM)]]&lt;=0.05, "No Evidence", ""))))</f>
        <v>Very high</v>
      </c>
      <c r="U774">
        <v>0.25</v>
      </c>
    </row>
    <row r="775" spans="1:22" x14ac:dyDescent="0.35">
      <c r="A775" t="s">
        <v>2348</v>
      </c>
      <c r="B775" s="143">
        <v>45593</v>
      </c>
      <c r="C775" s="2" t="str" cm="1">
        <f t="array" ref="C7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5">
        <f>YEAR(AllData[[#This Row],[Date]])</f>
        <v>2024</v>
      </c>
      <c r="E775" s="1">
        <v>0.68055555555555558</v>
      </c>
      <c r="F775" t="str">
        <f>IF(AND(AllData[[#This Row],[Time]]&lt;0.5, AllData[[#This Row],[Time]]&gt;0.17)=TRUE, "Morning", IF(AND(AllData[[#This Row],[Time]]&lt;0.75, AllData[[#This Row],[Time]]&gt;=0.5)=TRUE, "Afternoon", IF(AND(AllData[[#This Row],[Time]]&lt;1, AllData[[#This Row],[Time]]&gt;=0.75)=TRUE, "Evening", "Night")))</f>
        <v>Afternoon</v>
      </c>
      <c r="G775" t="str">
        <f>_xlfn.XLOOKUP(AllData[[#This Row],[Location Name]], Locations[Location Name],Locations[Group As])</f>
        <v>Fell Mill Footbridge</v>
      </c>
      <c r="H775" t="e" vm="1">
        <f>_xlfn.XLOOKUP(AllData[[#This Row],[Site Name]],LocationsKey[Site Name],LocationsKey[District])</f>
        <v>#VALUE!</v>
      </c>
      <c r="I775" t="e" vm="15">
        <f>_xlfn.XLOOKUP(AllData[[#This Row],[Site Name]],LocationsKey[Site Name],LocationsKey[Town])</f>
        <v>#VALUE!</v>
      </c>
      <c r="J775" t="str">
        <f>_xlfn.XLOOKUP(AllData[[#This Row],[Site Name]],LocationsKey[Site Name], LocationsKey[Waterway])</f>
        <v>Stour</v>
      </c>
      <c r="K775" t="s">
        <v>1968</v>
      </c>
      <c r="L775">
        <v>52.070086000000003</v>
      </c>
      <c r="M775">
        <v>-1.61145</v>
      </c>
      <c r="N775" t="s">
        <v>31</v>
      </c>
      <c r="O775">
        <v>601</v>
      </c>
      <c r="P775">
        <v>12.5</v>
      </c>
      <c r="Q775">
        <v>5</v>
      </c>
      <c r="R775" s="107" t="str">
        <f>IF(AllData[[#This Row],[Nitrate (PPM)]]&gt;2, "Very high", IF(AllData[[#This Row],[Nitrate (PPM)]]&gt;1, "High", IF(AllData[[#This Row],[Nitrate (PPM)]]&gt;0.5, "Some evidence", IF(AllData[[#This Row],[Nitrate (PPM)]]&gt;=0, "No evidence"))))</f>
        <v>Very high</v>
      </c>
      <c r="S775">
        <v>0.28000000000000003</v>
      </c>
      <c r="T775" s="7" t="str">
        <f>IF(AllData[[#This Row],[Phosphate (PPM)]]&gt;0.5, "Very high", IF(AllData[[#This Row],[Phosphate (PPM)]]&gt;0.1, "High", IF(AllData[[#This Row],[Phosphate (PPM)]]&gt;0.05, "Some evidence", IF(AllData[[#This Row],[Phosphate (PPM)]]&lt;=0.05, "No Evidence", ""))))</f>
        <v>High</v>
      </c>
      <c r="U775">
        <v>1.85</v>
      </c>
    </row>
    <row r="776" spans="1:22" x14ac:dyDescent="0.35">
      <c r="A776" t="s">
        <v>2349</v>
      </c>
      <c r="B776" s="143">
        <v>45593</v>
      </c>
      <c r="C776" s="2" t="str" cm="1">
        <f t="array" ref="C7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6">
        <f>YEAR(AllData[[#This Row],[Date]])</f>
        <v>2024</v>
      </c>
      <c r="E776" s="1">
        <v>0.31597222222222221</v>
      </c>
      <c r="F776" t="str">
        <f>IF(AND(AllData[[#This Row],[Time]]&lt;0.5, AllData[[#This Row],[Time]]&gt;0.17)=TRUE, "Morning", IF(AND(AllData[[#This Row],[Time]]&lt;0.75, AllData[[#This Row],[Time]]&gt;=0.5)=TRUE, "Afternoon", IF(AND(AllData[[#This Row],[Time]]&lt;1, AllData[[#This Row],[Time]]&gt;=0.75)=TRUE, "Evening", "Night")))</f>
        <v>Morning</v>
      </c>
      <c r="G776" t="str">
        <f>_xlfn.XLOOKUP(AllData[[#This Row],[Location Name]], Locations[Location Name],Locations[Group As])</f>
        <v>Chipping Campden Lady J Gateway</v>
      </c>
      <c r="H776" t="e" vm="9">
        <f>_xlfn.XLOOKUP(AllData[[#This Row],[Site Name]],LocationsKey[Site Name],LocationsKey[District])</f>
        <v>#VALUE!</v>
      </c>
      <c r="I776" t="e" vm="10">
        <f>_xlfn.XLOOKUP(AllData[[#This Row],[Site Name]],LocationsKey[Site Name],LocationsKey[Town])</f>
        <v>#VALUE!</v>
      </c>
      <c r="J776" t="str">
        <f>_xlfn.XLOOKUP(AllData[[#This Row],[Site Name]],LocationsKey[Site Name], LocationsKey[Waterway])</f>
        <v>Cam Brook</v>
      </c>
      <c r="K776" t="s">
        <v>1573</v>
      </c>
      <c r="N776" t="s">
        <v>68</v>
      </c>
      <c r="O776">
        <v>537</v>
      </c>
      <c r="P776">
        <v>11.3</v>
      </c>
      <c r="Q776">
        <v>5</v>
      </c>
      <c r="R776" s="107" t="str">
        <f>IF(AllData[[#This Row],[Nitrate (PPM)]]&gt;2, "Very high", IF(AllData[[#This Row],[Nitrate (PPM)]]&gt;1, "High", IF(AllData[[#This Row],[Nitrate (PPM)]]&gt;0.5, "Some evidence", IF(AllData[[#This Row],[Nitrate (PPM)]]&gt;=0, "No evidence"))))</f>
        <v>Very high</v>
      </c>
      <c r="S776">
        <v>0.03</v>
      </c>
      <c r="T776" s="7" t="str">
        <f>IF(AllData[[#This Row],[Phosphate (PPM)]]&gt;0.5, "Very high", IF(AllData[[#This Row],[Phosphate (PPM)]]&gt;0.1, "High", IF(AllData[[#This Row],[Phosphate (PPM)]]&gt;0.05, "Some evidence", IF(AllData[[#This Row],[Phosphate (PPM)]]&lt;=0.05, "No Evidence", ""))))</f>
        <v>No Evidence</v>
      </c>
      <c r="U776">
        <v>0.2</v>
      </c>
    </row>
    <row r="777" spans="1:22" x14ac:dyDescent="0.35">
      <c r="A777" t="s">
        <v>2350</v>
      </c>
      <c r="B777" s="143">
        <v>45593</v>
      </c>
      <c r="C777" s="2" t="str" cm="1">
        <f t="array" ref="C7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7">
        <f>YEAR(AllData[[#This Row],[Date]])</f>
        <v>2024</v>
      </c>
      <c r="E777" s="1">
        <v>0.62916666666666665</v>
      </c>
      <c r="F777" t="str">
        <f>IF(AND(AllData[[#This Row],[Time]]&lt;0.5, AllData[[#This Row],[Time]]&gt;0.17)=TRUE, "Morning", IF(AND(AllData[[#This Row],[Time]]&lt;0.75, AllData[[#This Row],[Time]]&gt;=0.5)=TRUE, "Afternoon", IF(AND(AllData[[#This Row],[Time]]&lt;1, AllData[[#This Row],[Time]]&gt;=0.75)=TRUE, "Evening", "Night")))</f>
        <v>Afternoon</v>
      </c>
      <c r="G777" t="str">
        <f>_xlfn.XLOOKUP(AllData[[#This Row],[Location Name]], Locations[Location Name],Locations[Group As])</f>
        <v>Carrant Mitton Path</v>
      </c>
      <c r="H777" t="e" vm="4">
        <f>_xlfn.XLOOKUP(AllData[[#This Row],[Site Name]],LocationsKey[Site Name],LocationsKey[District])</f>
        <v>#VALUE!</v>
      </c>
      <c r="I777" t="e" vm="4">
        <f>_xlfn.XLOOKUP(AllData[[#This Row],[Site Name]],LocationsKey[Site Name],LocationsKey[Town])</f>
        <v>#VALUE!</v>
      </c>
      <c r="J777" t="str">
        <f>_xlfn.XLOOKUP(AllData[[#This Row],[Site Name]],LocationsKey[Site Name], LocationsKey[Waterway])</f>
        <v>Carrant</v>
      </c>
      <c r="K777" t="s">
        <v>1064</v>
      </c>
      <c r="L777">
        <v>52.000351999999999</v>
      </c>
      <c r="M777">
        <v>-2.1414580000000001</v>
      </c>
      <c r="N777" t="s">
        <v>31</v>
      </c>
      <c r="O777">
        <v>7390</v>
      </c>
      <c r="P777">
        <v>13.8</v>
      </c>
      <c r="Q777">
        <v>2</v>
      </c>
      <c r="R777" s="107" t="str">
        <f>IF(AllData[[#This Row],[Nitrate (PPM)]]&gt;2, "Very high", IF(AllData[[#This Row],[Nitrate (PPM)]]&gt;1, "High", IF(AllData[[#This Row],[Nitrate (PPM)]]&gt;0.5, "Some evidence", IF(AllData[[#This Row],[Nitrate (PPM)]]&gt;=0, "No evidence"))))</f>
        <v>High</v>
      </c>
      <c r="S777">
        <v>0.38</v>
      </c>
      <c r="T777" s="7" t="str">
        <f>IF(AllData[[#This Row],[Phosphate (PPM)]]&gt;0.5, "Very high", IF(AllData[[#This Row],[Phosphate (PPM)]]&gt;0.1, "High", IF(AllData[[#This Row],[Phosphate (PPM)]]&gt;0.05, "Some evidence", IF(AllData[[#This Row],[Phosphate (PPM)]]&lt;=0.05, "No Evidence", ""))))</f>
        <v>High</v>
      </c>
      <c r="U777">
        <v>0</v>
      </c>
      <c r="V777" t="s">
        <v>2351</v>
      </c>
    </row>
    <row r="778" spans="1:22" x14ac:dyDescent="0.35">
      <c r="A778" t="s">
        <v>2352</v>
      </c>
      <c r="B778" s="143">
        <v>45593</v>
      </c>
      <c r="C778" s="2" t="str" cm="1">
        <f t="array" ref="C7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8">
        <f>YEAR(AllData[[#This Row],[Date]])</f>
        <v>2024</v>
      </c>
      <c r="E778" s="1">
        <v>0.45763888888888887</v>
      </c>
      <c r="F778" t="str">
        <f>IF(AND(AllData[[#This Row],[Time]]&lt;0.5, AllData[[#This Row],[Time]]&gt;0.17)=TRUE, "Morning", IF(AND(AllData[[#This Row],[Time]]&lt;0.75, AllData[[#This Row],[Time]]&gt;=0.5)=TRUE, "Afternoon", IF(AND(AllData[[#This Row],[Time]]&lt;1, AllData[[#This Row],[Time]]&gt;=0.75)=TRUE, "Evening", "Night")))</f>
        <v>Morning</v>
      </c>
      <c r="G778" t="str">
        <f>_xlfn.XLOOKUP(AllData[[#This Row],[Location Name]], Locations[Location Name],Locations[Group As])</f>
        <v>Site 2  :  Cross Leys culvert</v>
      </c>
      <c r="H778" t="e" vm="1">
        <f>_xlfn.XLOOKUP(AllData[[#This Row],[Site Name]],LocationsKey[Site Name],LocationsKey[District])</f>
        <v>#VALUE!</v>
      </c>
      <c r="I778" t="e" vm="14">
        <f>_xlfn.XLOOKUP(AllData[[#This Row],[Site Name]],LocationsKey[Site Name],LocationsKey[Town])</f>
        <v>#VALUE!</v>
      </c>
      <c r="J778" t="str">
        <f>_xlfn.XLOOKUP(AllData[[#This Row],[Site Name]],LocationsKey[Site Name], LocationsKey[Waterway])</f>
        <v>Fosseway Brook</v>
      </c>
      <c r="K778" t="s">
        <v>1915</v>
      </c>
      <c r="L778">
        <v>52.093029999999999</v>
      </c>
      <c r="M778">
        <v>-1.6863079999999999</v>
      </c>
      <c r="N778" t="s">
        <v>68</v>
      </c>
      <c r="O778">
        <v>643</v>
      </c>
      <c r="P778">
        <v>13.1</v>
      </c>
      <c r="Q778">
        <v>2</v>
      </c>
      <c r="R778" s="107" t="str">
        <f>IF(AllData[[#This Row],[Nitrate (PPM)]]&gt;2, "Very high", IF(AllData[[#This Row],[Nitrate (PPM)]]&gt;1, "High", IF(AllData[[#This Row],[Nitrate (PPM)]]&gt;0.5, "Some evidence", IF(AllData[[#This Row],[Nitrate (PPM)]]&gt;=0, "No evidence"))))</f>
        <v>High</v>
      </c>
      <c r="S778">
        <v>0.53</v>
      </c>
      <c r="T778" s="7" t="str">
        <f>IF(AllData[[#This Row],[Phosphate (PPM)]]&gt;0.5, "Very high", IF(AllData[[#This Row],[Phosphate (PPM)]]&gt;0.1, "High", IF(AllData[[#This Row],[Phosphate (PPM)]]&gt;0.05, "Some evidence", IF(AllData[[#This Row],[Phosphate (PPM)]]&lt;=0.05, "No Evidence", ""))))</f>
        <v>Very high</v>
      </c>
      <c r="U778">
        <v>0.22</v>
      </c>
    </row>
    <row r="779" spans="1:22" x14ac:dyDescent="0.35">
      <c r="A779" t="s">
        <v>2354</v>
      </c>
      <c r="B779" s="143">
        <v>45593</v>
      </c>
      <c r="C779" s="2" t="str" cm="1">
        <f t="array" ref="C7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79">
        <f>YEAR(AllData[[#This Row],[Date]])</f>
        <v>2024</v>
      </c>
      <c r="E779" s="1">
        <v>0.44444444444444442</v>
      </c>
      <c r="F779" t="str">
        <f>IF(AND(AllData[[#This Row],[Time]]&lt;0.5, AllData[[#This Row],[Time]]&gt;0.17)=TRUE, "Morning", IF(AND(AllData[[#This Row],[Time]]&lt;0.75, AllData[[#This Row],[Time]]&gt;=0.5)=TRUE, "Afternoon", IF(AND(AllData[[#This Row],[Time]]&lt;1, AllData[[#This Row],[Time]]&gt;=0.75)=TRUE, "Evening", "Night")))</f>
        <v>Morning</v>
      </c>
      <c r="G779" t="str">
        <f>_xlfn.XLOOKUP(AllData[[#This Row],[Location Name]], Locations[Location Name],Locations[Group As])</f>
        <v>Site 1  :  Middle Street</v>
      </c>
      <c r="H779" t="e" vm="1">
        <f>_xlfn.XLOOKUP(AllData[[#This Row],[Site Name]],LocationsKey[Site Name],LocationsKey[District])</f>
        <v>#VALUE!</v>
      </c>
      <c r="I779" t="e" vm="14">
        <f>_xlfn.XLOOKUP(AllData[[#This Row],[Site Name]],LocationsKey[Site Name],LocationsKey[Town])</f>
        <v>#VALUE!</v>
      </c>
      <c r="J779" t="str">
        <f>_xlfn.XLOOKUP(AllData[[#This Row],[Site Name]],LocationsKey[Site Name], LocationsKey[Waterway])</f>
        <v>Fosseway Brook</v>
      </c>
      <c r="K779" t="s">
        <v>1777</v>
      </c>
      <c r="L779">
        <v>52.09</v>
      </c>
      <c r="M779">
        <v>-1.692577</v>
      </c>
      <c r="N779" t="s">
        <v>68</v>
      </c>
      <c r="O779">
        <v>537</v>
      </c>
      <c r="P779">
        <v>14.1</v>
      </c>
      <c r="Q779">
        <v>1</v>
      </c>
      <c r="R779" s="107" t="str">
        <f>IF(AllData[[#This Row],[Nitrate (PPM)]]&gt;2, "Very high", IF(AllData[[#This Row],[Nitrate (PPM)]]&gt;1, "High", IF(AllData[[#This Row],[Nitrate (PPM)]]&gt;0.5, "Some evidence", IF(AllData[[#This Row],[Nitrate (PPM)]]&gt;=0, "No evidence"))))</f>
        <v>Some evidence</v>
      </c>
      <c r="S779">
        <v>0.35</v>
      </c>
      <c r="T779" s="7" t="str">
        <f>IF(AllData[[#This Row],[Phosphate (PPM)]]&gt;0.5, "Very high", IF(AllData[[#This Row],[Phosphate (PPM)]]&gt;0.1, "High", IF(AllData[[#This Row],[Phosphate (PPM)]]&gt;0.05, "Some evidence", IF(AllData[[#This Row],[Phosphate (PPM)]]&lt;=0.05, "No Evidence", ""))))</f>
        <v>High</v>
      </c>
      <c r="U779">
        <v>0.15</v>
      </c>
    </row>
    <row r="780" spans="1:22" x14ac:dyDescent="0.35">
      <c r="A780" t="s">
        <v>2353</v>
      </c>
      <c r="B780" s="143">
        <v>45593</v>
      </c>
      <c r="C780" s="2" t="str" cm="1">
        <f t="array" ref="C7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0">
        <f>YEAR(AllData[[#This Row],[Date]])</f>
        <v>2024</v>
      </c>
      <c r="E780" s="1">
        <v>0.36458333333333331</v>
      </c>
      <c r="F780" t="str">
        <f>IF(AND(AllData[[#This Row],[Time]]&lt;0.5, AllData[[#This Row],[Time]]&gt;0.17)=TRUE, "Morning", IF(AND(AllData[[#This Row],[Time]]&lt;0.75, AllData[[#This Row],[Time]]&gt;=0.5)=TRUE, "Afternoon", IF(AND(AllData[[#This Row],[Time]]&lt;1, AllData[[#This Row],[Time]]&gt;=0.75)=TRUE, "Evening", "Night")))</f>
        <v>Morning</v>
      </c>
      <c r="G780" t="str">
        <f>_xlfn.XLOOKUP(AllData[[#This Row],[Location Name]], Locations[Location Name],Locations[Group As])</f>
        <v>Chipping Campden Sewage Works</v>
      </c>
      <c r="H780" t="e" vm="9">
        <f>_xlfn.XLOOKUP(AllData[[#This Row],[Site Name]],LocationsKey[Site Name],LocationsKey[District])</f>
        <v>#VALUE!</v>
      </c>
      <c r="I780" t="e" vm="10">
        <f>_xlfn.XLOOKUP(AllData[[#This Row],[Site Name]],LocationsKey[Site Name],LocationsKey[Town])</f>
        <v>#VALUE!</v>
      </c>
      <c r="J780" t="str">
        <f>_xlfn.XLOOKUP(AllData[[#This Row],[Site Name]],LocationsKey[Site Name], LocationsKey[Waterway])</f>
        <v>Cam Brook</v>
      </c>
      <c r="K780" t="s">
        <v>1570</v>
      </c>
      <c r="N780" t="s">
        <v>31</v>
      </c>
      <c r="O780">
        <v>614</v>
      </c>
      <c r="P780">
        <v>12.9</v>
      </c>
      <c r="Q780">
        <v>0.5</v>
      </c>
      <c r="R780" s="107" t="str">
        <f>IF(AllData[[#This Row],[Nitrate (PPM)]]&gt;2, "Very high", IF(AllData[[#This Row],[Nitrate (PPM)]]&gt;1, "High", IF(AllData[[#This Row],[Nitrate (PPM)]]&gt;0.5, "Some evidence", IF(AllData[[#This Row],[Nitrate (PPM)]]&gt;=0, "No evidence"))))</f>
        <v>No evidence</v>
      </c>
      <c r="S780">
        <v>0.22</v>
      </c>
      <c r="T780" s="7" t="str">
        <f>IF(AllData[[#This Row],[Phosphate (PPM)]]&gt;0.5, "Very high", IF(AllData[[#This Row],[Phosphate (PPM)]]&gt;0.1, "High", IF(AllData[[#This Row],[Phosphate (PPM)]]&gt;0.05, "Some evidence", IF(AllData[[#This Row],[Phosphate (PPM)]]&lt;=0.05, "No Evidence", ""))))</f>
        <v>High</v>
      </c>
      <c r="U780">
        <v>0.46</v>
      </c>
    </row>
    <row r="781" spans="1:22" x14ac:dyDescent="0.35">
      <c r="A781" t="s">
        <v>2357</v>
      </c>
      <c r="B781" s="143">
        <v>45593</v>
      </c>
      <c r="C781" s="2" t="str" cm="1">
        <f t="array" ref="C7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1">
        <f>YEAR(AllData[[#This Row],[Date]])</f>
        <v>2024</v>
      </c>
      <c r="E781" s="1">
        <v>0.65625</v>
      </c>
      <c r="F781" t="str">
        <f>IF(AND(AllData[[#This Row],[Time]]&lt;0.5, AllData[[#This Row],[Time]]&gt;0.17)=TRUE, "Morning", IF(AND(AllData[[#This Row],[Time]]&lt;0.75, AllData[[#This Row],[Time]]&gt;=0.5)=TRUE, "Afternoon", IF(AND(AllData[[#This Row],[Time]]&lt;1, AllData[[#This Row],[Time]]&gt;=0.75)=TRUE, "Evening", "Night")))</f>
        <v>Afternoon</v>
      </c>
      <c r="G781" t="str">
        <f>_xlfn.XLOOKUP(AllData[[#This Row],[Location Name]], Locations[Location Name],Locations[Group As])</f>
        <v>Chipping Campden Craves</v>
      </c>
      <c r="H781" t="e" vm="9">
        <f>_xlfn.XLOOKUP(AllData[[#This Row],[Site Name]],LocationsKey[Site Name],LocationsKey[District])</f>
        <v>#VALUE!</v>
      </c>
      <c r="I781" t="e" vm="10">
        <f>_xlfn.XLOOKUP(AllData[[#This Row],[Site Name]],LocationsKey[Site Name],LocationsKey[Town])</f>
        <v>#VALUE!</v>
      </c>
      <c r="J781" t="str">
        <f>_xlfn.XLOOKUP(AllData[[#This Row],[Site Name]],LocationsKey[Site Name], LocationsKey[Waterway])</f>
        <v>Cam Brook</v>
      </c>
      <c r="K781" t="s">
        <v>2358</v>
      </c>
      <c r="L781">
        <v>52.048760000000001</v>
      </c>
      <c r="M781">
        <v>-1.78637</v>
      </c>
      <c r="N781" t="s">
        <v>68</v>
      </c>
      <c r="O781">
        <v>215</v>
      </c>
      <c r="P781">
        <v>9.5</v>
      </c>
      <c r="Q781">
        <v>0.02</v>
      </c>
      <c r="R781" s="107" t="str">
        <f>IF(AllData[[#This Row],[Nitrate (PPM)]]&gt;2, "Very high", IF(AllData[[#This Row],[Nitrate (PPM)]]&gt;1, "High", IF(AllData[[#This Row],[Nitrate (PPM)]]&gt;0.5, "Some evidence", IF(AllData[[#This Row],[Nitrate (PPM)]]&gt;=0, "No evidence"))))</f>
        <v>No evidence</v>
      </c>
      <c r="S781">
        <v>5</v>
      </c>
      <c r="T781" s="7" t="str">
        <f>IF(AllData[[#This Row],[Phosphate (PPM)]]&gt;0.5, "Very high", IF(AllData[[#This Row],[Phosphate (PPM)]]&gt;0.1, "High", IF(AllData[[#This Row],[Phosphate (PPM)]]&gt;0.05, "Some evidence", IF(AllData[[#This Row],[Phosphate (PPM)]]&lt;=0.05, "No Evidence", ""))))</f>
        <v>Very high</v>
      </c>
      <c r="U781">
        <v>13.5</v>
      </c>
    </row>
    <row r="782" spans="1:22" x14ac:dyDescent="0.35">
      <c r="A782" t="s">
        <v>2342</v>
      </c>
      <c r="B782" s="143">
        <v>45592</v>
      </c>
      <c r="C782" s="2" t="str" cm="1">
        <f t="array" ref="C7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2">
        <f>YEAR(AllData[[#This Row],[Date]])</f>
        <v>2024</v>
      </c>
      <c r="E782" s="1">
        <v>0.41666666666666669</v>
      </c>
      <c r="F782" t="str">
        <f>IF(AND(AllData[[#This Row],[Time]]&lt;0.5, AllData[[#This Row],[Time]]&gt;0.17)=TRUE, "Morning", IF(AND(AllData[[#This Row],[Time]]&lt;0.75, AllData[[#This Row],[Time]]&gt;=0.5)=TRUE, "Afternoon", IF(AND(AllData[[#This Row],[Time]]&lt;1, AllData[[#This Row],[Time]]&gt;=0.75)=TRUE, "Evening", "Night")))</f>
        <v>Morning</v>
      </c>
      <c r="G782" t="str">
        <f>_xlfn.XLOOKUP(AllData[[#This Row],[Location Name]], Locations[Location Name],Locations[Group As])</f>
        <v>Sherbourne Brook 1</v>
      </c>
      <c r="H782" t="e" vm="1">
        <f>_xlfn.XLOOKUP(AllData[[#This Row],[Site Name]],LocationsKey[Site Name],LocationsKey[District])</f>
        <v>#VALUE!</v>
      </c>
      <c r="I782" t="e" vm="23">
        <f>_xlfn.XLOOKUP(AllData[[#This Row],[Site Name]],LocationsKey[Site Name],LocationsKey[Town])</f>
        <v>#VALUE!</v>
      </c>
      <c r="J782" t="str">
        <f>_xlfn.XLOOKUP(AllData[[#This Row],[Site Name]],LocationsKey[Site Name], LocationsKey[Waterway])</f>
        <v>Sherbourne Brook</v>
      </c>
      <c r="K782" t="s">
        <v>541</v>
      </c>
      <c r="O782">
        <v>1080</v>
      </c>
      <c r="P782">
        <v>12</v>
      </c>
      <c r="Q782">
        <v>15</v>
      </c>
      <c r="R782" s="107" t="str">
        <f>IF(AllData[[#This Row],[Nitrate (PPM)]]&gt;2, "Very high", IF(AllData[[#This Row],[Nitrate (PPM)]]&gt;1, "High", IF(AllData[[#This Row],[Nitrate (PPM)]]&gt;0.5, "Some evidence", IF(AllData[[#This Row],[Nitrate (PPM)]]&gt;=0, "No evidence"))))</f>
        <v>Very high</v>
      </c>
      <c r="S782">
        <v>0.42</v>
      </c>
      <c r="T782" s="7" t="str">
        <f>IF(AllData[[#This Row],[Phosphate (PPM)]]&gt;0.5, "Very high", IF(AllData[[#This Row],[Phosphate (PPM)]]&gt;0.1, "High", IF(AllData[[#This Row],[Phosphate (PPM)]]&gt;0.05, "Some evidence", IF(AllData[[#This Row],[Phosphate (PPM)]]&lt;=0.05, "No Evidence", ""))))</f>
        <v>High</v>
      </c>
      <c r="U782">
        <v>0.2</v>
      </c>
      <c r="V782" t="s">
        <v>2343</v>
      </c>
    </row>
    <row r="783" spans="1:22" x14ac:dyDescent="0.35">
      <c r="A783" t="s">
        <v>2344</v>
      </c>
      <c r="B783" s="143">
        <v>45592</v>
      </c>
      <c r="C783" s="2" t="str" cm="1">
        <f t="array" ref="C7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3">
        <f>YEAR(AllData[[#This Row],[Date]])</f>
        <v>2024</v>
      </c>
      <c r="E783" s="1">
        <v>0.43402777777777779</v>
      </c>
      <c r="F783" t="str">
        <f>IF(AND(AllData[[#This Row],[Time]]&lt;0.5, AllData[[#This Row],[Time]]&gt;0.17)=TRUE, "Morning", IF(AND(AllData[[#This Row],[Time]]&lt;0.75, AllData[[#This Row],[Time]]&gt;=0.5)=TRUE, "Afternoon", IF(AND(AllData[[#This Row],[Time]]&lt;1, AllData[[#This Row],[Time]]&gt;=0.75)=TRUE, "Evening", "Night")))</f>
        <v>Morning</v>
      </c>
      <c r="G783" t="str">
        <f>_xlfn.XLOOKUP(AllData[[#This Row],[Location Name]], Locations[Location Name],Locations[Group As])</f>
        <v>School Lane</v>
      </c>
      <c r="H783" t="e" vm="1">
        <f>_xlfn.XLOOKUP(AllData[[#This Row],[Site Name]],LocationsKey[Site Name],LocationsKey[District])</f>
        <v>#VALUE!</v>
      </c>
      <c r="I783" t="e" vm="3">
        <f>_xlfn.XLOOKUP(AllData[[#This Row],[Site Name]],LocationsKey[Site Name],LocationsKey[Town])</f>
        <v>#VALUE!</v>
      </c>
      <c r="J783" t="str">
        <f>_xlfn.XLOOKUP(AllData[[#This Row],[Site Name]],LocationsKey[Site Name], LocationsKey[Waterway])</f>
        <v>Avon</v>
      </c>
      <c r="K783" t="s">
        <v>2345</v>
      </c>
      <c r="L783">
        <v>52.202413999999997</v>
      </c>
      <c r="M783">
        <v>-1.678739</v>
      </c>
      <c r="N783" t="s">
        <v>31</v>
      </c>
      <c r="O783">
        <v>802</v>
      </c>
      <c r="P783">
        <v>13</v>
      </c>
      <c r="Q783">
        <v>10</v>
      </c>
      <c r="R783" s="107" t="str">
        <f>IF(AllData[[#This Row],[Nitrate (PPM)]]&gt;2, "Very high", IF(AllData[[#This Row],[Nitrate (PPM)]]&gt;1, "High", IF(AllData[[#This Row],[Nitrate (PPM)]]&gt;0.5, "Some evidence", IF(AllData[[#This Row],[Nitrate (PPM)]]&gt;=0, "No evidence"))))</f>
        <v>Very high</v>
      </c>
      <c r="S783">
        <v>0.56999999999999995</v>
      </c>
      <c r="T783" s="7" t="str">
        <f>IF(AllData[[#This Row],[Phosphate (PPM)]]&gt;0.5, "Very high", IF(AllData[[#This Row],[Phosphate (PPM)]]&gt;0.1, "High", IF(AllData[[#This Row],[Phosphate (PPM)]]&gt;0.05, "Some evidence", IF(AllData[[#This Row],[Phosphate (PPM)]]&lt;=0.05, "No Evidence", ""))))</f>
        <v>Very high</v>
      </c>
      <c r="U783">
        <v>0.72</v>
      </c>
    </row>
    <row r="784" spans="1:22" x14ac:dyDescent="0.35">
      <c r="A784" t="s">
        <v>2340</v>
      </c>
      <c r="B784" s="143">
        <v>45592</v>
      </c>
      <c r="C784" s="2" t="str" cm="1">
        <f t="array" ref="C7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4">
        <f>YEAR(AllData[[#This Row],[Date]])</f>
        <v>2024</v>
      </c>
      <c r="E784" s="1">
        <v>0.4201388888888889</v>
      </c>
      <c r="F784" t="str">
        <f>IF(AND(AllData[[#This Row],[Time]]&lt;0.5, AllData[[#This Row],[Time]]&gt;0.17)=TRUE, "Morning", IF(AND(AllData[[#This Row],[Time]]&lt;0.75, AllData[[#This Row],[Time]]&gt;=0.5)=TRUE, "Afternoon", IF(AND(AllData[[#This Row],[Time]]&lt;1, AllData[[#This Row],[Time]]&gt;=0.75)=TRUE, "Evening", "Night")))</f>
        <v>Morning</v>
      </c>
      <c r="G784" t="str">
        <f>_xlfn.XLOOKUP(AllData[[#This Row],[Location Name]], Locations[Location Name],Locations[Group As])</f>
        <v>Carters Lane</v>
      </c>
      <c r="H784" t="e" vm="1">
        <f>_xlfn.XLOOKUP(AllData[[#This Row],[Site Name]],LocationsKey[Site Name],LocationsKey[District])</f>
        <v>#VALUE!</v>
      </c>
      <c r="I784" t="e" vm="3">
        <f>_xlfn.XLOOKUP(AllData[[#This Row],[Site Name]],LocationsKey[Site Name],LocationsKey[Town])</f>
        <v>#VALUE!</v>
      </c>
      <c r="J784" t="str">
        <f>_xlfn.XLOOKUP(AllData[[#This Row],[Site Name]],LocationsKey[Site Name], LocationsKey[Waterway])</f>
        <v>Avon</v>
      </c>
      <c r="K784" t="s">
        <v>2250</v>
      </c>
      <c r="L784">
        <v>52.201853</v>
      </c>
      <c r="M784">
        <v>-1.672984</v>
      </c>
      <c r="N784" t="s">
        <v>68</v>
      </c>
      <c r="O784">
        <v>769</v>
      </c>
      <c r="P784">
        <v>13.5</v>
      </c>
      <c r="Q784">
        <v>10</v>
      </c>
      <c r="R784" s="107" t="str">
        <f>IF(AllData[[#This Row],[Nitrate (PPM)]]&gt;2, "Very high", IF(AllData[[#This Row],[Nitrate (PPM)]]&gt;1, "High", IF(AllData[[#This Row],[Nitrate (PPM)]]&gt;0.5, "Some evidence", IF(AllData[[#This Row],[Nitrate (PPM)]]&gt;=0, "No evidence"))))</f>
        <v>Very high</v>
      </c>
      <c r="S784">
        <v>0.65</v>
      </c>
      <c r="T784" s="7" t="str">
        <f>IF(AllData[[#This Row],[Phosphate (PPM)]]&gt;0.5, "Very high", IF(AllData[[#This Row],[Phosphate (PPM)]]&gt;0.1, "High", IF(AllData[[#This Row],[Phosphate (PPM)]]&gt;0.05, "Some evidence", IF(AllData[[#This Row],[Phosphate (PPM)]]&lt;=0.05, "No Evidence", ""))))</f>
        <v>Very high</v>
      </c>
      <c r="U784">
        <v>0.72</v>
      </c>
    </row>
    <row r="785" spans="1:22" x14ac:dyDescent="0.35">
      <c r="A785" t="s">
        <v>2341</v>
      </c>
      <c r="B785" s="143">
        <v>45592</v>
      </c>
      <c r="C785" s="2" t="str" cm="1">
        <f t="array" ref="C7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5">
        <f>YEAR(AllData[[#This Row],[Date]])</f>
        <v>2024</v>
      </c>
      <c r="E785" s="1">
        <v>0.42708333333333331</v>
      </c>
      <c r="F785" t="str">
        <f>IF(AND(AllData[[#This Row],[Time]]&lt;0.5, AllData[[#This Row],[Time]]&gt;0.17)=TRUE, "Morning", IF(AND(AllData[[#This Row],[Time]]&lt;0.75, AllData[[#This Row],[Time]]&gt;=0.5)=TRUE, "Afternoon", IF(AND(AllData[[#This Row],[Time]]&lt;1, AllData[[#This Row],[Time]]&gt;=0.75)=TRUE, "Evening", "Night")))</f>
        <v>Morning</v>
      </c>
      <c r="G785" t="str">
        <f>_xlfn.XLOOKUP(AllData[[#This Row],[Location Name]], Locations[Location Name],Locations[Group As])</f>
        <v>Bell Brook 1</v>
      </c>
      <c r="H785" t="e" vm="1">
        <f>_xlfn.XLOOKUP(AllData[[#This Row],[Site Name]],LocationsKey[Site Name],LocationsKey[District])</f>
        <v>#VALUE!</v>
      </c>
      <c r="I785" t="e" vm="19">
        <f>_xlfn.XLOOKUP(AllData[[#This Row],[Site Name]],LocationsKey[Site Name],LocationsKey[Town])</f>
        <v>#VALUE!</v>
      </c>
      <c r="J785" t="str">
        <f>_xlfn.XLOOKUP(AllData[[#This Row],[Site Name]],LocationsKey[Site Name], LocationsKey[Waterway])</f>
        <v>Bell Brook</v>
      </c>
      <c r="K785" t="s">
        <v>538</v>
      </c>
      <c r="O785">
        <v>707</v>
      </c>
      <c r="P785">
        <v>13.2</v>
      </c>
      <c r="Q785">
        <v>5</v>
      </c>
      <c r="R785" s="107" t="str">
        <f>IF(AllData[[#This Row],[Nitrate (PPM)]]&gt;2, "Very high", IF(AllData[[#This Row],[Nitrate (PPM)]]&gt;1, "High", IF(AllData[[#This Row],[Nitrate (PPM)]]&gt;0.5, "Some evidence", IF(AllData[[#This Row],[Nitrate (PPM)]]&gt;=0, "No evidence"))))</f>
        <v>Very high</v>
      </c>
      <c r="S785">
        <v>0.52</v>
      </c>
      <c r="T785" s="7" t="str">
        <f>IF(AllData[[#This Row],[Phosphate (PPM)]]&gt;0.5, "Very high", IF(AllData[[#This Row],[Phosphate (PPM)]]&gt;0.1, "High", IF(AllData[[#This Row],[Phosphate (PPM)]]&gt;0.05, "Some evidence", IF(AllData[[#This Row],[Phosphate (PPM)]]&lt;=0.05, "No Evidence", ""))))</f>
        <v>Very high</v>
      </c>
      <c r="U785">
        <v>0.2</v>
      </c>
    </row>
    <row r="786" spans="1:22" x14ac:dyDescent="0.35">
      <c r="A786" t="s">
        <v>2336</v>
      </c>
      <c r="B786" s="143">
        <v>45591</v>
      </c>
      <c r="C786" s="2" t="str" cm="1">
        <f t="array" ref="C7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6">
        <f>YEAR(AllData[[#This Row],[Date]])</f>
        <v>2024</v>
      </c>
      <c r="E786" s="1">
        <v>0.45416666666666666</v>
      </c>
      <c r="F786" t="str">
        <f>IF(AND(AllData[[#This Row],[Time]]&lt;0.5, AllData[[#This Row],[Time]]&gt;0.17)=TRUE, "Morning", IF(AND(AllData[[#This Row],[Time]]&lt;0.75, AllData[[#This Row],[Time]]&gt;=0.5)=TRUE, "Afternoon", IF(AND(AllData[[#This Row],[Time]]&lt;1, AllData[[#This Row],[Time]]&gt;=0.75)=TRUE, "Evening", "Night")))</f>
        <v>Morning</v>
      </c>
      <c r="G786" t="str">
        <f>_xlfn.XLOOKUP(AllData[[#This Row],[Location Name]], Locations[Location Name],Locations[Group As])</f>
        <v>Pitch 16</v>
      </c>
      <c r="H786" t="e" vm="1">
        <f>_xlfn.XLOOKUP(AllData[[#This Row],[Site Name]],LocationsKey[Site Name],LocationsKey[District])</f>
        <v>#VALUE!</v>
      </c>
      <c r="I786" t="e" vm="12">
        <f>_xlfn.XLOOKUP(AllData[[#This Row],[Site Name]],LocationsKey[Site Name],LocationsKey[Town])</f>
        <v>#VALUE!</v>
      </c>
      <c r="J786" t="str">
        <f>_xlfn.XLOOKUP(AllData[[#This Row],[Site Name]],LocationsKey[Site Name], LocationsKey[Waterway])</f>
        <v>Avon</v>
      </c>
      <c r="K786" t="s">
        <v>71</v>
      </c>
      <c r="L786">
        <v>52.172601999999998</v>
      </c>
      <c r="M786">
        <v>-1.7453860000000001</v>
      </c>
      <c r="N786" t="s">
        <v>31</v>
      </c>
      <c r="O786">
        <v>784</v>
      </c>
      <c r="P786">
        <v>13.3</v>
      </c>
      <c r="Q786">
        <v>10</v>
      </c>
      <c r="R786" s="107" t="str">
        <f>IF(AllData[[#This Row],[Nitrate (PPM)]]&gt;2, "Very high", IF(AllData[[#This Row],[Nitrate (PPM)]]&gt;1, "High", IF(AllData[[#This Row],[Nitrate (PPM)]]&gt;0.5, "Some evidence", IF(AllData[[#This Row],[Nitrate (PPM)]]&gt;=0, "No evidence"))))</f>
        <v>Very high</v>
      </c>
      <c r="S786">
        <v>0.72</v>
      </c>
      <c r="T786" s="7" t="str">
        <f>IF(AllData[[#This Row],[Phosphate (PPM)]]&gt;0.5, "Very high", IF(AllData[[#This Row],[Phosphate (PPM)]]&gt;0.1, "High", IF(AllData[[#This Row],[Phosphate (PPM)]]&gt;0.05, "Some evidence", IF(AllData[[#This Row],[Phosphate (PPM)]]&lt;=0.05, "No Evidence", ""))))</f>
        <v>Very high</v>
      </c>
      <c r="U786">
        <v>0.75</v>
      </c>
      <c r="V786" t="s">
        <v>2332</v>
      </c>
    </row>
    <row r="787" spans="1:22" x14ac:dyDescent="0.35">
      <c r="A787" t="s">
        <v>2328</v>
      </c>
      <c r="B787" s="143">
        <v>45591</v>
      </c>
      <c r="C787" s="2" t="str" cm="1">
        <f t="array" ref="C7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7">
        <f>YEAR(AllData[[#This Row],[Date]])</f>
        <v>2024</v>
      </c>
      <c r="E787" s="1">
        <v>0.41666666666666669</v>
      </c>
      <c r="F787" t="str">
        <f>IF(AND(AllData[[#This Row],[Time]]&lt;0.5, AllData[[#This Row],[Time]]&gt;0.17)=TRUE, "Morning", IF(AND(AllData[[#This Row],[Time]]&lt;0.75, AllData[[#This Row],[Time]]&gt;=0.5)=TRUE, "Afternoon", IF(AND(AllData[[#This Row],[Time]]&lt;1, AllData[[#This Row],[Time]]&gt;=0.75)=TRUE, "Evening", "Night")))</f>
        <v>Morning</v>
      </c>
      <c r="G787" t="str">
        <f>_xlfn.XLOOKUP(AllData[[#This Row],[Location Name]], Locations[Location Name],Locations[Group As])</f>
        <v>Avon Smiths Meadow Wyre Piddle</v>
      </c>
      <c r="H787" t="e" vm="6">
        <f>_xlfn.XLOOKUP(AllData[[#This Row],[Site Name]],LocationsKey[Site Name],LocationsKey[District])</f>
        <v>#VALUE!</v>
      </c>
      <c r="I787" t="e" vm="13">
        <f>_xlfn.XLOOKUP(AllData[[#This Row],[Site Name]],LocationsKey[Site Name],LocationsKey[Town])</f>
        <v>#VALUE!</v>
      </c>
      <c r="J787" t="str">
        <f>_xlfn.XLOOKUP(AllData[[#This Row],[Site Name]],LocationsKey[Site Name], LocationsKey[Waterway])</f>
        <v>Avon</v>
      </c>
      <c r="K787" t="s">
        <v>2329</v>
      </c>
      <c r="L787">
        <v>52.126162999999998</v>
      </c>
      <c r="M787">
        <v>-2.054878</v>
      </c>
      <c r="N787" t="s">
        <v>25</v>
      </c>
      <c r="O787">
        <v>747</v>
      </c>
      <c r="P787">
        <v>12.6</v>
      </c>
      <c r="Q787">
        <v>7</v>
      </c>
      <c r="R787" s="107" t="str">
        <f>IF(AllData[[#This Row],[Nitrate (PPM)]]&gt;2, "Very high", IF(AllData[[#This Row],[Nitrate (PPM)]]&gt;1, "High", IF(AllData[[#This Row],[Nitrate (PPM)]]&gt;0.5, "Some evidence", IF(AllData[[#This Row],[Nitrate (PPM)]]&gt;=0, "No evidence"))))</f>
        <v>Very high</v>
      </c>
      <c r="S787">
        <v>0.5</v>
      </c>
      <c r="T787" s="7" t="str">
        <f>IF(AllData[[#This Row],[Phosphate (PPM)]]&gt;0.5, "Very high", IF(AllData[[#This Row],[Phosphate (PPM)]]&gt;0.1, "High", IF(AllData[[#This Row],[Phosphate (PPM)]]&gt;0.05, "Some evidence", IF(AllData[[#This Row],[Phosphate (PPM)]]&lt;=0.05, "No Evidence", ""))))</f>
        <v>High</v>
      </c>
      <c r="U787">
        <v>0.72</v>
      </c>
      <c r="V787" t="s">
        <v>2330</v>
      </c>
    </row>
    <row r="788" spans="1:22" x14ac:dyDescent="0.35">
      <c r="A788" t="s">
        <v>2337</v>
      </c>
      <c r="B788" s="143">
        <v>45591</v>
      </c>
      <c r="C788" s="2" t="str" cm="1">
        <f t="array" ref="C7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8">
        <f>YEAR(AllData[[#This Row],[Date]])</f>
        <v>2024</v>
      </c>
      <c r="E788" s="1">
        <v>0.44791666666666669</v>
      </c>
      <c r="F788" t="str">
        <f>IF(AND(AllData[[#This Row],[Time]]&lt;0.5, AllData[[#This Row],[Time]]&gt;0.17)=TRUE, "Morning", IF(AND(AllData[[#This Row],[Time]]&lt;0.75, AllData[[#This Row],[Time]]&gt;=0.5)=TRUE, "Afternoon", IF(AND(AllData[[#This Row],[Time]]&lt;1, AllData[[#This Row],[Time]]&gt;=0.75)=TRUE, "Evening", "Night")))</f>
        <v>Morning</v>
      </c>
      <c r="G788" t="str">
        <f>_xlfn.XLOOKUP(AllData[[#This Row],[Location Name]], Locations[Location Name],Locations[Group As])</f>
        <v>Piddle Brook Wyre Piddle Bridge</v>
      </c>
      <c r="H788" t="e" vm="6">
        <f>_xlfn.XLOOKUP(AllData[[#This Row],[Site Name]],LocationsKey[Site Name],LocationsKey[District])</f>
        <v>#VALUE!</v>
      </c>
      <c r="I788" t="e" vm="13">
        <f>_xlfn.XLOOKUP(AllData[[#This Row],[Site Name]],LocationsKey[Site Name],LocationsKey[Town])</f>
        <v>#VALUE!</v>
      </c>
      <c r="J788" t="str">
        <f>_xlfn.XLOOKUP(AllData[[#This Row],[Site Name]],LocationsKey[Site Name], LocationsKey[Waterway])</f>
        <v>Piddle Brook</v>
      </c>
      <c r="K788" t="s">
        <v>2338</v>
      </c>
      <c r="L788">
        <v>52.126151999999998</v>
      </c>
      <c r="M788">
        <v>-2.0548449999999998</v>
      </c>
      <c r="N788" t="s">
        <v>25</v>
      </c>
      <c r="O788">
        <v>1140</v>
      </c>
      <c r="P788">
        <v>12.2</v>
      </c>
      <c r="Q788">
        <v>5</v>
      </c>
      <c r="R788" s="107" t="str">
        <f>IF(AllData[[#This Row],[Nitrate (PPM)]]&gt;2, "Very high", IF(AllData[[#This Row],[Nitrate (PPM)]]&gt;1, "High", IF(AllData[[#This Row],[Nitrate (PPM)]]&gt;0.5, "Some evidence", IF(AllData[[#This Row],[Nitrate (PPM)]]&gt;=0, "No evidence"))))</f>
        <v>Very high</v>
      </c>
      <c r="S788">
        <v>0.59</v>
      </c>
      <c r="T788" s="7" t="str">
        <f>IF(AllData[[#This Row],[Phosphate (PPM)]]&gt;0.5, "Very high", IF(AllData[[#This Row],[Phosphate (PPM)]]&gt;0.1, "High", IF(AllData[[#This Row],[Phosphate (PPM)]]&gt;0.05, "Some evidence", IF(AllData[[#This Row],[Phosphate (PPM)]]&lt;=0.05, "No Evidence", ""))))</f>
        <v>Very high</v>
      </c>
      <c r="U788">
        <v>0.26</v>
      </c>
      <c r="V788" t="s">
        <v>2339</v>
      </c>
    </row>
    <row r="789" spans="1:22" x14ac:dyDescent="0.35">
      <c r="A789" t="s">
        <v>2331</v>
      </c>
      <c r="B789" s="143">
        <v>45591</v>
      </c>
      <c r="C789" s="2" t="str" cm="1">
        <f t="array" ref="C7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89">
        <f>YEAR(AllData[[#This Row],[Date]])</f>
        <v>2024</v>
      </c>
      <c r="E789" s="1">
        <v>0.47013888888888888</v>
      </c>
      <c r="F789" t="str">
        <f>IF(AND(AllData[[#This Row],[Time]]&lt;0.5, AllData[[#This Row],[Time]]&gt;0.17)=TRUE, "Morning", IF(AND(AllData[[#This Row],[Time]]&lt;0.75, AllData[[#This Row],[Time]]&gt;=0.5)=TRUE, "Afternoon", IF(AND(AllData[[#This Row],[Time]]&lt;1, AllData[[#This Row],[Time]]&gt;=0.75)=TRUE, "Evening", "Night")))</f>
        <v>Morning</v>
      </c>
      <c r="G789" t="str">
        <f>_xlfn.XLOOKUP(AllData[[#This Row],[Location Name]], Locations[Location Name],Locations[Group As])</f>
        <v>Avonbank Drive</v>
      </c>
      <c r="H789" t="e" vm="1">
        <f>_xlfn.XLOOKUP(AllData[[#This Row],[Site Name]],LocationsKey[Site Name],LocationsKey[District])</f>
        <v>#VALUE!</v>
      </c>
      <c r="I789" t="e" vm="12">
        <f>_xlfn.XLOOKUP(AllData[[#This Row],[Site Name]],LocationsKey[Site Name],LocationsKey[Town])</f>
        <v>#VALUE!</v>
      </c>
      <c r="J789" t="str">
        <f>_xlfn.XLOOKUP(AllData[[#This Row],[Site Name]],LocationsKey[Site Name], LocationsKey[Waterway])</f>
        <v>Avon</v>
      </c>
      <c r="K789" t="s">
        <v>67</v>
      </c>
      <c r="L789">
        <v>52.177174999999998</v>
      </c>
      <c r="M789">
        <v>-1.7357860000000001</v>
      </c>
      <c r="N789" t="s">
        <v>68</v>
      </c>
      <c r="O789">
        <v>815</v>
      </c>
      <c r="P789">
        <v>13.1</v>
      </c>
      <c r="Q789">
        <v>5</v>
      </c>
      <c r="R789" s="107" t="str">
        <f>IF(AllData[[#This Row],[Nitrate (PPM)]]&gt;2, "Very high", IF(AllData[[#This Row],[Nitrate (PPM)]]&gt;1, "High", IF(AllData[[#This Row],[Nitrate (PPM)]]&gt;0.5, "Some evidence", IF(AllData[[#This Row],[Nitrate (PPM)]]&gt;=0, "No evidence"))))</f>
        <v>Very high</v>
      </c>
      <c r="S789">
        <v>0.67</v>
      </c>
      <c r="T789" s="7" t="str">
        <f>IF(AllData[[#This Row],[Phosphate (PPM)]]&gt;0.5, "Very high", IF(AllData[[#This Row],[Phosphate (PPM)]]&gt;0.1, "High", IF(AllData[[#This Row],[Phosphate (PPM)]]&gt;0.05, "Some evidence", IF(AllData[[#This Row],[Phosphate (PPM)]]&lt;=0.05, "No Evidence", ""))))</f>
        <v>Very high</v>
      </c>
      <c r="U789">
        <v>0.75</v>
      </c>
      <c r="V789" t="s">
        <v>2332</v>
      </c>
    </row>
    <row r="790" spans="1:22" x14ac:dyDescent="0.35">
      <c r="A790" t="s">
        <v>2333</v>
      </c>
      <c r="B790" s="143">
        <v>45591</v>
      </c>
      <c r="C790" s="2" t="str" cm="1">
        <f t="array" ref="C7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0">
        <f>YEAR(AllData[[#This Row],[Date]])</f>
        <v>2024</v>
      </c>
      <c r="E790" s="1">
        <v>0.5</v>
      </c>
      <c r="F790" t="str">
        <f>IF(AND(AllData[[#This Row],[Time]]&lt;0.5, AllData[[#This Row],[Time]]&gt;0.17)=TRUE, "Morning", IF(AND(AllData[[#This Row],[Time]]&lt;0.75, AllData[[#This Row],[Time]]&gt;=0.5)=TRUE, "Afternoon", IF(AND(AllData[[#This Row],[Time]]&lt;1, AllData[[#This Row],[Time]]&gt;=0.75)=TRUE, "Evening", "Night")))</f>
        <v>Afternoon</v>
      </c>
      <c r="G790" t="str">
        <f>_xlfn.XLOOKUP(AllData[[#This Row],[Location Name]], Locations[Location Name],Locations[Group As])</f>
        <v>Carrant Bredon Rd</v>
      </c>
      <c r="H790" t="e" vm="4">
        <f>_xlfn.XLOOKUP(AllData[[#This Row],[Site Name]],LocationsKey[Site Name],LocationsKey[District])</f>
        <v>#VALUE!</v>
      </c>
      <c r="I790" t="e" vm="4">
        <f>_xlfn.XLOOKUP(AllData[[#This Row],[Site Name]],LocationsKey[Site Name],LocationsKey[Town])</f>
        <v>#VALUE!</v>
      </c>
      <c r="J790" t="str">
        <f>_xlfn.XLOOKUP(AllData[[#This Row],[Site Name]],LocationsKey[Site Name], LocationsKey[Waterway])</f>
        <v>Carrant</v>
      </c>
      <c r="K790" t="s">
        <v>603</v>
      </c>
      <c r="L790">
        <v>51.996357000000003</v>
      </c>
      <c r="M790">
        <v>-2.155996</v>
      </c>
      <c r="N790" t="s">
        <v>25</v>
      </c>
      <c r="O790">
        <v>785</v>
      </c>
      <c r="P790">
        <v>13.7</v>
      </c>
      <c r="Q790">
        <v>5</v>
      </c>
      <c r="R790" s="107" t="str">
        <f>IF(AllData[[#This Row],[Nitrate (PPM)]]&gt;2, "Very high", IF(AllData[[#This Row],[Nitrate (PPM)]]&gt;1, "High", IF(AllData[[#This Row],[Nitrate (PPM)]]&gt;0.5, "Some evidence", IF(AllData[[#This Row],[Nitrate (PPM)]]&gt;=0, "No evidence"))))</f>
        <v>Very high</v>
      </c>
      <c r="S790">
        <v>0.33</v>
      </c>
      <c r="T790" s="7" t="str">
        <f>IF(AllData[[#This Row],[Phosphate (PPM)]]&gt;0.5, "Very high", IF(AllData[[#This Row],[Phosphate (PPM)]]&gt;0.1, "High", IF(AllData[[#This Row],[Phosphate (PPM)]]&gt;0.05, "Some evidence", IF(AllData[[#This Row],[Phosphate (PPM)]]&lt;=0.05, "No Evidence", ""))))</f>
        <v>High</v>
      </c>
      <c r="U790">
        <v>0.2</v>
      </c>
    </row>
    <row r="791" spans="1:22" x14ac:dyDescent="0.35">
      <c r="A791" t="s">
        <v>2334</v>
      </c>
      <c r="B791" s="143">
        <v>45591</v>
      </c>
      <c r="C791" s="2" t="str" cm="1">
        <f t="array" ref="C7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1">
        <f>YEAR(AllData[[#This Row],[Date]])</f>
        <v>2024</v>
      </c>
      <c r="E791" s="1">
        <v>0.62708333333333333</v>
      </c>
      <c r="F791" t="str">
        <f>IF(AND(AllData[[#This Row],[Time]]&lt;0.5, AllData[[#This Row],[Time]]&gt;0.17)=TRUE, "Morning", IF(AND(AllData[[#This Row],[Time]]&lt;0.75, AllData[[#This Row],[Time]]&gt;=0.5)=TRUE, "Afternoon", IF(AND(AllData[[#This Row],[Time]]&lt;1, AllData[[#This Row],[Time]]&gt;=0.75)=TRUE, "Evening", "Night")))</f>
        <v>Afternoon</v>
      </c>
      <c r="G791" t="str">
        <f>_xlfn.XLOOKUP(AllData[[#This Row],[Location Name]], Locations[Location Name],Locations[Group As])</f>
        <v>Carrant Back Lane Beckford</v>
      </c>
      <c r="H791" t="e" vm="4">
        <f>_xlfn.XLOOKUP(AllData[[#This Row],[Site Name]],LocationsKey[Site Name],LocationsKey[District])</f>
        <v>#VALUE!</v>
      </c>
      <c r="I791" t="str">
        <f>_xlfn.XLOOKUP(AllData[[#This Row],[Site Name]],LocationsKey[Site Name],LocationsKey[Town])</f>
        <v>Beckford</v>
      </c>
      <c r="J791" t="str">
        <f>_xlfn.XLOOKUP(AllData[[#This Row],[Site Name]],LocationsKey[Site Name], LocationsKey[Waterway])</f>
        <v>Carrant</v>
      </c>
      <c r="K791" t="s">
        <v>1736</v>
      </c>
      <c r="L791">
        <v>52.018366</v>
      </c>
      <c r="M791">
        <v>-2.0388540000000002</v>
      </c>
      <c r="N791" t="s">
        <v>68</v>
      </c>
      <c r="O791">
        <v>746</v>
      </c>
      <c r="Q791">
        <v>4</v>
      </c>
      <c r="R791" s="107" t="str">
        <f>IF(AllData[[#This Row],[Nitrate (PPM)]]&gt;2, "Very high", IF(AllData[[#This Row],[Nitrate (PPM)]]&gt;1, "High", IF(AllData[[#This Row],[Nitrate (PPM)]]&gt;0.5, "Some evidence", IF(AllData[[#This Row],[Nitrate (PPM)]]&gt;=0, "No evidence"))))</f>
        <v>Very high</v>
      </c>
      <c r="S791">
        <v>0.39</v>
      </c>
      <c r="T791" s="7" t="str">
        <f>IF(AllData[[#This Row],[Phosphate (PPM)]]&gt;0.5, "Very high", IF(AllData[[#This Row],[Phosphate (PPM)]]&gt;0.1, "High", IF(AllData[[#This Row],[Phosphate (PPM)]]&gt;0.05, "Some evidence", IF(AllData[[#This Row],[Phosphate (PPM)]]&lt;=0.05, "No Evidence", ""))))</f>
        <v>High</v>
      </c>
      <c r="U791">
        <v>0.15</v>
      </c>
      <c r="V791" t="s">
        <v>2335</v>
      </c>
    </row>
    <row r="792" spans="1:22" x14ac:dyDescent="0.35">
      <c r="A792" t="s">
        <v>2327</v>
      </c>
      <c r="B792" s="143">
        <v>45590</v>
      </c>
      <c r="C792" s="2" t="str" cm="1">
        <f t="array" ref="C7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2">
        <f>YEAR(AllData[[#This Row],[Date]])</f>
        <v>2024</v>
      </c>
      <c r="E792" s="1">
        <v>0.52222222222222225</v>
      </c>
      <c r="F792" t="str">
        <f>IF(AND(AllData[[#This Row],[Time]]&lt;0.5, AllData[[#This Row],[Time]]&gt;0.17)=TRUE, "Morning", IF(AND(AllData[[#This Row],[Time]]&lt;0.75, AllData[[#This Row],[Time]]&gt;=0.5)=TRUE, "Afternoon", IF(AND(AllData[[#This Row],[Time]]&lt;1, AllData[[#This Row],[Time]]&gt;=0.75)=TRUE, "Evening", "Night")))</f>
        <v>Afternoon</v>
      </c>
      <c r="G792" t="str">
        <f>_xlfn.XLOOKUP(AllData[[#This Row],[Location Name]], Locations[Location Name],Locations[Group As])</f>
        <v>Lower Lode</v>
      </c>
      <c r="H792" t="e" vm="4">
        <f>_xlfn.XLOOKUP(AllData[[#This Row],[Site Name]],LocationsKey[Site Name],LocationsKey[District])</f>
        <v>#VALUE!</v>
      </c>
      <c r="I792" t="e" vm="4">
        <f>_xlfn.XLOOKUP(AllData[[#This Row],[Site Name]],LocationsKey[Site Name],LocationsKey[Town])</f>
        <v>#VALUE!</v>
      </c>
      <c r="J792" t="str">
        <f>_xlfn.XLOOKUP(AllData[[#This Row],[Site Name]],LocationsKey[Site Name], LocationsKey[Waterway])</f>
        <v>Avon</v>
      </c>
      <c r="K792" t="s">
        <v>595</v>
      </c>
      <c r="L792">
        <v>51.985106000000002</v>
      </c>
      <c r="M792">
        <v>-2.1742560000000002</v>
      </c>
      <c r="N792" t="s">
        <v>31</v>
      </c>
      <c r="O792">
        <v>6460</v>
      </c>
      <c r="P792">
        <v>15.7</v>
      </c>
      <c r="Q792">
        <v>5</v>
      </c>
      <c r="R792" s="107" t="str">
        <f>IF(AllData[[#This Row],[Nitrate (PPM)]]&gt;2, "Very high", IF(AllData[[#This Row],[Nitrate (PPM)]]&gt;1, "High", IF(AllData[[#This Row],[Nitrate (PPM)]]&gt;0.5, "Some evidence", IF(AllData[[#This Row],[Nitrate (PPM)]]&gt;=0, "No evidence"))))</f>
        <v>Very high</v>
      </c>
      <c r="S792">
        <v>1.4</v>
      </c>
      <c r="T792" s="7" t="str">
        <f>IF(AllData[[#This Row],[Phosphate (PPM)]]&gt;0.5, "Very high", IF(AllData[[#This Row],[Phosphate (PPM)]]&gt;0.1, "High", IF(AllData[[#This Row],[Phosphate (PPM)]]&gt;0.05, "Some evidence", IF(AllData[[#This Row],[Phosphate (PPM)]]&lt;=0.05, "No Evidence", ""))))</f>
        <v>Very high</v>
      </c>
      <c r="U792">
        <v>2</v>
      </c>
    </row>
    <row r="793" spans="1:22" x14ac:dyDescent="0.35">
      <c r="A793" t="s">
        <v>2326</v>
      </c>
      <c r="B793" s="143">
        <v>45590</v>
      </c>
      <c r="C793" s="2" t="str" cm="1">
        <f t="array" ref="C7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3">
        <f>YEAR(AllData[[#This Row],[Date]])</f>
        <v>2024</v>
      </c>
      <c r="E793" s="1">
        <v>0.62916666666666665</v>
      </c>
      <c r="F793" t="str">
        <f>IF(AND(AllData[[#This Row],[Time]]&lt;0.5, AllData[[#This Row],[Time]]&gt;0.17)=TRUE, "Morning", IF(AND(AllData[[#This Row],[Time]]&lt;0.75, AllData[[#This Row],[Time]]&gt;=0.5)=TRUE, "Afternoon", IF(AND(AllData[[#This Row],[Time]]&lt;1, AllData[[#This Row],[Time]]&gt;=0.75)=TRUE, "Evening", "Night")))</f>
        <v>Afternoon</v>
      </c>
      <c r="G793" t="str">
        <f>_xlfn.XLOOKUP(AllData[[#This Row],[Location Name]], Locations[Location Name],Locations[Group As])</f>
        <v>Stour Shipston Mill Bridge</v>
      </c>
      <c r="H793" t="e" vm="1">
        <f>_xlfn.XLOOKUP(AllData[[#This Row],[Site Name]],LocationsKey[Site Name],LocationsKey[District])</f>
        <v>#VALUE!</v>
      </c>
      <c r="I793" t="e" vm="15">
        <f>_xlfn.XLOOKUP(AllData[[#This Row],[Site Name]],LocationsKey[Site Name],LocationsKey[Town])</f>
        <v>#VALUE!</v>
      </c>
      <c r="J793" t="str">
        <f>_xlfn.XLOOKUP(AllData[[#This Row],[Site Name]],LocationsKey[Site Name], LocationsKey[Waterway])</f>
        <v>Stour</v>
      </c>
      <c r="K793" t="s">
        <v>2006</v>
      </c>
      <c r="L793">
        <v>52.062285000000003</v>
      </c>
      <c r="M793">
        <v>-1.621972</v>
      </c>
      <c r="N793" t="s">
        <v>25</v>
      </c>
      <c r="O793">
        <v>14</v>
      </c>
      <c r="P793">
        <v>13.5</v>
      </c>
      <c r="Q793">
        <v>5</v>
      </c>
      <c r="R793" s="107" t="str">
        <f>IF(AllData[[#This Row],[Nitrate (PPM)]]&gt;2, "Very high", IF(AllData[[#This Row],[Nitrate (PPM)]]&gt;1, "High", IF(AllData[[#This Row],[Nitrate (PPM)]]&gt;0.5, "Some evidence", IF(AllData[[#This Row],[Nitrate (PPM)]]&gt;=0, "No evidence"))))</f>
        <v>Very high</v>
      </c>
      <c r="S793">
        <v>0.09</v>
      </c>
      <c r="T793" s="7" t="str">
        <f>IF(AllData[[#This Row],[Phosphate (PPM)]]&gt;0.5, "Very high", IF(AllData[[#This Row],[Phosphate (PPM)]]&gt;0.1, "High", IF(AllData[[#This Row],[Phosphate (PPM)]]&gt;0.05, "Some evidence", IF(AllData[[#This Row],[Phosphate (PPM)]]&lt;=0.05, "No Evidence", ""))))</f>
        <v>Some evidence</v>
      </c>
      <c r="U793">
        <v>0.74</v>
      </c>
    </row>
    <row r="794" spans="1:22" x14ac:dyDescent="0.35">
      <c r="A794" t="s">
        <v>2323</v>
      </c>
      <c r="B794" s="143">
        <v>45589</v>
      </c>
      <c r="C794" s="2" t="str" cm="1">
        <f t="array" ref="C7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4">
        <f>YEAR(AllData[[#This Row],[Date]])</f>
        <v>2024</v>
      </c>
      <c r="E794" s="1">
        <v>0.40625</v>
      </c>
      <c r="F794" t="str">
        <f>IF(AND(AllData[[#This Row],[Time]]&lt;0.5, AllData[[#This Row],[Time]]&gt;0.17)=TRUE, "Morning", IF(AND(AllData[[#This Row],[Time]]&lt;0.75, AllData[[#This Row],[Time]]&gt;=0.5)=TRUE, "Afternoon", IF(AND(AllData[[#This Row],[Time]]&lt;1, AllData[[#This Row],[Time]]&gt;=0.75)=TRUE, "Evening", "Night")))</f>
        <v>Morning</v>
      </c>
      <c r="G794" t="str">
        <f>_xlfn.XLOOKUP(AllData[[#This Row],[Location Name]], Locations[Location Name],Locations[Group As])</f>
        <v>Bredon Marina</v>
      </c>
      <c r="H794" t="e" vm="4">
        <f>_xlfn.XLOOKUP(AllData[[#This Row],[Site Name]],LocationsKey[Site Name],LocationsKey[District])</f>
        <v>#VALUE!</v>
      </c>
      <c r="I794" t="e" vm="11">
        <f>_xlfn.XLOOKUP(AllData[[#This Row],[Site Name]],LocationsKey[Site Name],LocationsKey[Town])</f>
        <v>#VALUE!</v>
      </c>
      <c r="J794" t="str">
        <f>_xlfn.XLOOKUP(AllData[[#This Row],[Site Name]],LocationsKey[Site Name], LocationsKey[Waterway])</f>
        <v>Avon</v>
      </c>
      <c r="K794" t="s">
        <v>1849</v>
      </c>
      <c r="L794">
        <v>52.034005000000001</v>
      </c>
      <c r="M794">
        <v>-2.1171289999999998</v>
      </c>
      <c r="N794" t="s">
        <v>31</v>
      </c>
      <c r="O794">
        <v>6470</v>
      </c>
      <c r="P794">
        <v>13.7</v>
      </c>
      <c r="Q794">
        <v>4</v>
      </c>
      <c r="R794" s="107" t="str">
        <f>IF(AllData[[#This Row],[Nitrate (PPM)]]&gt;2, "Very high", IF(AllData[[#This Row],[Nitrate (PPM)]]&gt;1, "High", IF(AllData[[#This Row],[Nitrate (PPM)]]&gt;0.5, "Some evidence", IF(AllData[[#This Row],[Nitrate (PPM)]]&gt;=0, "No evidence"))))</f>
        <v>Very high</v>
      </c>
      <c r="S794">
        <v>0.52</v>
      </c>
      <c r="T794" s="7" t="str">
        <f>IF(AllData[[#This Row],[Phosphate (PPM)]]&gt;0.5, "Very high", IF(AllData[[#This Row],[Phosphate (PPM)]]&gt;0.1, "High", IF(AllData[[#This Row],[Phosphate (PPM)]]&gt;0.05, "Some evidence", IF(AllData[[#This Row],[Phosphate (PPM)]]&lt;=0.05, "No Evidence", ""))))</f>
        <v>Very high</v>
      </c>
      <c r="U794">
        <v>80</v>
      </c>
      <c r="V794" t="s">
        <v>2324</v>
      </c>
    </row>
    <row r="795" spans="1:22" x14ac:dyDescent="0.35">
      <c r="A795" t="s">
        <v>2321</v>
      </c>
      <c r="B795" s="143">
        <v>45589</v>
      </c>
      <c r="C795" s="2" t="str" cm="1">
        <f t="array" ref="C7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5">
        <f>YEAR(AllData[[#This Row],[Date]])</f>
        <v>2024</v>
      </c>
      <c r="E795" s="1">
        <v>0.3923611111111111</v>
      </c>
      <c r="F795" t="str">
        <f>IF(AND(AllData[[#This Row],[Time]]&lt;0.5, AllData[[#This Row],[Time]]&gt;0.17)=TRUE, "Morning", IF(AND(AllData[[#This Row],[Time]]&lt;0.75, AllData[[#This Row],[Time]]&gt;=0.5)=TRUE, "Afternoon", IF(AND(AllData[[#This Row],[Time]]&lt;1, AllData[[#This Row],[Time]]&gt;=0.75)=TRUE, "Evening", "Night")))</f>
        <v>Morning</v>
      </c>
      <c r="G795" t="str">
        <f>_xlfn.XLOOKUP(AllData[[#This Row],[Location Name]], Locations[Location Name],Locations[Group As])</f>
        <v>Swilgate</v>
      </c>
      <c r="H795" t="e" vm="4">
        <f>_xlfn.XLOOKUP(AllData[[#This Row],[Site Name]],LocationsKey[Site Name],LocationsKey[District])</f>
        <v>#VALUE!</v>
      </c>
      <c r="I795" t="e" vm="4">
        <f>_xlfn.XLOOKUP(AllData[[#This Row],[Site Name]],LocationsKey[Site Name],LocationsKey[Town])</f>
        <v>#VALUE!</v>
      </c>
      <c r="J795" t="str">
        <f>_xlfn.XLOOKUP(AllData[[#This Row],[Site Name]],LocationsKey[Site Name], LocationsKey[Waterway])</f>
        <v>Swilgate</v>
      </c>
      <c r="K795" t="s">
        <v>85</v>
      </c>
      <c r="N795" t="s">
        <v>25</v>
      </c>
      <c r="O795">
        <v>774</v>
      </c>
      <c r="P795">
        <v>12.4</v>
      </c>
      <c r="Q795">
        <v>2</v>
      </c>
      <c r="R795" s="107" t="str">
        <f>IF(AllData[[#This Row],[Nitrate (PPM)]]&gt;2, "Very high", IF(AllData[[#This Row],[Nitrate (PPM)]]&gt;1, "High", IF(AllData[[#This Row],[Nitrate (PPM)]]&gt;0.5, "Some evidence", IF(AllData[[#This Row],[Nitrate (PPM)]]&gt;=0, "No evidence"))))</f>
        <v>High</v>
      </c>
      <c r="S795">
        <v>0.44</v>
      </c>
      <c r="T795" s="7" t="str">
        <f>IF(AllData[[#This Row],[Phosphate (PPM)]]&gt;0.5, "Very high", IF(AllData[[#This Row],[Phosphate (PPM)]]&gt;0.1, "High", IF(AllData[[#This Row],[Phosphate (PPM)]]&gt;0.05, "Some evidence", IF(AllData[[#This Row],[Phosphate (PPM)]]&lt;=0.05, "No Evidence", ""))))</f>
        <v>High</v>
      </c>
      <c r="U795">
        <v>0</v>
      </c>
    </row>
    <row r="796" spans="1:22" x14ac:dyDescent="0.35">
      <c r="A796" t="s">
        <v>2322</v>
      </c>
      <c r="B796" s="143">
        <v>45589</v>
      </c>
      <c r="C796" s="2" t="str" cm="1">
        <f t="array" ref="C7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6">
        <f>YEAR(AllData[[#This Row],[Date]])</f>
        <v>2024</v>
      </c>
      <c r="E796" s="1">
        <v>0.39791666666666664</v>
      </c>
      <c r="F796" t="str">
        <f>IF(AND(AllData[[#This Row],[Time]]&lt;0.5, AllData[[#This Row],[Time]]&gt;0.17)=TRUE, "Morning", IF(AND(AllData[[#This Row],[Time]]&lt;0.75, AllData[[#This Row],[Time]]&gt;=0.5)=TRUE, "Afternoon", IF(AND(AllData[[#This Row],[Time]]&lt;1, AllData[[#This Row],[Time]]&gt;=0.75)=TRUE, "Evening", "Night")))</f>
        <v>Morning</v>
      </c>
      <c r="G796" t="str">
        <f>_xlfn.XLOOKUP(AllData[[#This Row],[Location Name]], Locations[Location Name],Locations[Group As])</f>
        <v>Stour Whichford</v>
      </c>
      <c r="H796" t="e" vm="1">
        <f>_xlfn.XLOOKUP(AllData[[#This Row],[Site Name]],LocationsKey[Site Name],LocationsKey[District])</f>
        <v>#VALUE!</v>
      </c>
      <c r="I796" t="e" vm="24">
        <f>_xlfn.XLOOKUP(AllData[[#This Row],[Site Name]],LocationsKey[Site Name],LocationsKey[Town])</f>
        <v>#VALUE!</v>
      </c>
      <c r="J796" t="str">
        <f>_xlfn.XLOOKUP(AllData[[#This Row],[Site Name]],LocationsKey[Site Name], LocationsKey[Waterway])</f>
        <v>Stour</v>
      </c>
      <c r="K796" t="s">
        <v>980</v>
      </c>
      <c r="N796" t="s">
        <v>31</v>
      </c>
      <c r="O796">
        <v>610</v>
      </c>
      <c r="P796">
        <v>11.7</v>
      </c>
      <c r="Q796">
        <v>2</v>
      </c>
      <c r="R796" s="107" t="str">
        <f>IF(AllData[[#This Row],[Nitrate (PPM)]]&gt;2, "Very high", IF(AllData[[#This Row],[Nitrate (PPM)]]&gt;1, "High", IF(AllData[[#This Row],[Nitrate (PPM)]]&gt;0.5, "Some evidence", IF(AllData[[#This Row],[Nitrate (PPM)]]&gt;=0, "No evidence"))))</f>
        <v>High</v>
      </c>
      <c r="S796">
        <v>0.31</v>
      </c>
      <c r="T796" s="7" t="str">
        <f>IF(AllData[[#This Row],[Phosphate (PPM)]]&gt;0.5, "Very high", IF(AllData[[#This Row],[Phosphate (PPM)]]&gt;0.1, "High", IF(AllData[[#This Row],[Phosphate (PPM)]]&gt;0.05, "Some evidence", IF(AllData[[#This Row],[Phosphate (PPM)]]&lt;=0.05, "No Evidence", ""))))</f>
        <v>High</v>
      </c>
      <c r="U796">
        <v>20</v>
      </c>
    </row>
    <row r="797" spans="1:22" x14ac:dyDescent="0.35">
      <c r="A797" t="s">
        <v>2320</v>
      </c>
      <c r="B797" s="143">
        <v>45589</v>
      </c>
      <c r="C797" s="2" t="str" cm="1">
        <f t="array" ref="C7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7">
        <f>YEAR(AllData[[#This Row],[Date]])</f>
        <v>2024</v>
      </c>
      <c r="E797" s="1">
        <v>0.60416666666666663</v>
      </c>
      <c r="F797" t="str">
        <f>IF(AND(AllData[[#This Row],[Time]]&lt;0.5, AllData[[#This Row],[Time]]&gt;0.17)=TRUE, "Morning", IF(AND(AllData[[#This Row],[Time]]&lt;0.75, AllData[[#This Row],[Time]]&gt;=0.5)=TRUE, "Afternoon", IF(AND(AllData[[#This Row],[Time]]&lt;1, AllData[[#This Row],[Time]]&gt;=0.75)=TRUE, "Evening", "Night")))</f>
        <v>Afternoon</v>
      </c>
      <c r="G797" t="str">
        <f>_xlfn.XLOOKUP(AllData[[#This Row],[Location Name]], Locations[Location Name],Locations[Group As])</f>
        <v>Stour Willington</v>
      </c>
      <c r="H797" t="e" vm="1">
        <f>_xlfn.XLOOKUP(AllData[[#This Row],[Site Name]],LocationsKey[Site Name],LocationsKey[District])</f>
        <v>#VALUE!</v>
      </c>
      <c r="I797" t="str">
        <f>_xlfn.XLOOKUP(AllData[[#This Row],[Site Name]],LocationsKey[Site Name],LocationsKey[Town])</f>
        <v>Willington</v>
      </c>
      <c r="J797" t="str">
        <f>_xlfn.XLOOKUP(AllData[[#This Row],[Site Name]],LocationsKey[Site Name], LocationsKey[Waterway])</f>
        <v>Stour</v>
      </c>
      <c r="K797" t="s">
        <v>521</v>
      </c>
      <c r="L797">
        <v>52.053452</v>
      </c>
      <c r="M797">
        <v>-1.6203810000000001</v>
      </c>
      <c r="N797" t="s">
        <v>25</v>
      </c>
      <c r="O797">
        <v>579</v>
      </c>
      <c r="P797">
        <v>13.4</v>
      </c>
      <c r="Q797">
        <v>2</v>
      </c>
      <c r="R797" s="107" t="str">
        <f>IF(AllData[[#This Row],[Nitrate (PPM)]]&gt;2, "Very high", IF(AllData[[#This Row],[Nitrate (PPM)]]&gt;1, "High", IF(AllData[[#This Row],[Nitrate (PPM)]]&gt;0.5, "Some evidence", IF(AllData[[#This Row],[Nitrate (PPM)]]&gt;=0, "No evidence"))))</f>
        <v>High</v>
      </c>
      <c r="S797">
        <v>0.28999999999999998</v>
      </c>
      <c r="T797" s="7" t="str">
        <f>IF(AllData[[#This Row],[Phosphate (PPM)]]&gt;0.5, "Very high", IF(AllData[[#This Row],[Phosphate (PPM)]]&gt;0.1, "High", IF(AllData[[#This Row],[Phosphate (PPM)]]&gt;0.05, "Some evidence", IF(AllData[[#This Row],[Phosphate (PPM)]]&lt;=0.05, "No Evidence", ""))))</f>
        <v>High</v>
      </c>
      <c r="U797">
        <v>0.5</v>
      </c>
    </row>
    <row r="798" spans="1:22" x14ac:dyDescent="0.35">
      <c r="A798" t="s">
        <v>2325</v>
      </c>
      <c r="B798" s="143">
        <v>45589</v>
      </c>
      <c r="C798" s="2" t="str" cm="1">
        <f t="array" ref="C7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8">
        <f>YEAR(AllData[[#This Row],[Date]])</f>
        <v>2024</v>
      </c>
      <c r="E798" s="1">
        <v>0.42291666666666666</v>
      </c>
      <c r="F798" t="str">
        <f>IF(AND(AllData[[#This Row],[Time]]&lt;0.5, AllData[[#This Row],[Time]]&gt;0.17)=TRUE, "Morning", IF(AND(AllData[[#This Row],[Time]]&lt;0.75, AllData[[#This Row],[Time]]&gt;=0.5)=TRUE, "Afternoon", IF(AND(AllData[[#This Row],[Time]]&lt;1, AllData[[#This Row],[Time]]&gt;=0.75)=TRUE, "Evening", "Night")))</f>
        <v>Morning</v>
      </c>
      <c r="G798" t="str">
        <f>_xlfn.XLOOKUP(AllData[[#This Row],[Location Name]], Locations[Location Name],Locations[Group As])</f>
        <v>Stour Ascott Village</v>
      </c>
      <c r="H798" t="e" vm="1">
        <f>_xlfn.XLOOKUP(AllData[[#This Row],[Site Name]],LocationsKey[Site Name],LocationsKey[District])</f>
        <v>#VALUE!</v>
      </c>
      <c r="I798" t="e" vm="25">
        <f>_xlfn.XLOOKUP(AllData[[#This Row],[Site Name]],LocationsKey[Site Name],LocationsKey[Town])</f>
        <v>#VALUE!</v>
      </c>
      <c r="J798" t="str">
        <f>_xlfn.XLOOKUP(AllData[[#This Row],[Site Name]],LocationsKey[Site Name], LocationsKey[Waterway])</f>
        <v>Stour</v>
      </c>
      <c r="K798" t="s">
        <v>927</v>
      </c>
      <c r="N798" t="s">
        <v>68</v>
      </c>
      <c r="O798">
        <v>531</v>
      </c>
      <c r="P798">
        <v>11.4</v>
      </c>
      <c r="Q798">
        <v>0.5</v>
      </c>
      <c r="R798" s="107" t="str">
        <f>IF(AllData[[#This Row],[Nitrate (PPM)]]&gt;2, "Very high", IF(AllData[[#This Row],[Nitrate (PPM)]]&gt;1, "High", IF(AllData[[#This Row],[Nitrate (PPM)]]&gt;0.5, "Some evidence", IF(AllData[[#This Row],[Nitrate (PPM)]]&gt;=0, "No evidence"))))</f>
        <v>No evidence</v>
      </c>
      <c r="S798">
        <v>0.3</v>
      </c>
      <c r="T798" s="7" t="str">
        <f>IF(AllData[[#This Row],[Phosphate (PPM)]]&gt;0.5, "Very high", IF(AllData[[#This Row],[Phosphate (PPM)]]&gt;0.1, "High", IF(AllData[[#This Row],[Phosphate (PPM)]]&gt;0.05, "Some evidence", IF(AllData[[#This Row],[Phosphate (PPM)]]&lt;=0.05, "No Evidence", ""))))</f>
        <v>High</v>
      </c>
      <c r="U798">
        <v>13</v>
      </c>
    </row>
    <row r="799" spans="1:22" x14ac:dyDescent="0.35">
      <c r="A799" t="s">
        <v>2315</v>
      </c>
      <c r="B799" s="143">
        <v>45588</v>
      </c>
      <c r="C799" s="2" t="str" cm="1">
        <f t="array" ref="C7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799">
        <f>YEAR(AllData[[#This Row],[Date]])</f>
        <v>2024</v>
      </c>
      <c r="E799" s="1">
        <v>0.73958333333333337</v>
      </c>
      <c r="F799" t="str">
        <f>IF(AND(AllData[[#This Row],[Time]]&lt;0.5, AllData[[#This Row],[Time]]&gt;0.17)=TRUE, "Morning", IF(AND(AllData[[#This Row],[Time]]&lt;0.75, AllData[[#This Row],[Time]]&gt;=0.5)=TRUE, "Afternoon", IF(AND(AllData[[#This Row],[Time]]&lt;1, AllData[[#This Row],[Time]]&gt;=0.75)=TRUE, "Evening", "Night")))</f>
        <v>Afternoon</v>
      </c>
      <c r="G799" t="str">
        <f>_xlfn.XLOOKUP(AllData[[#This Row],[Location Name]], Locations[Location Name],Locations[Group As])</f>
        <v>School Lane</v>
      </c>
      <c r="H799" t="e" vm="1">
        <f>_xlfn.XLOOKUP(AllData[[#This Row],[Site Name]],LocationsKey[Site Name],LocationsKey[District])</f>
        <v>#VALUE!</v>
      </c>
      <c r="I799" t="e" vm="3">
        <f>_xlfn.XLOOKUP(AllData[[#This Row],[Site Name]],LocationsKey[Site Name],LocationsKey[Town])</f>
        <v>#VALUE!</v>
      </c>
      <c r="J799" t="str">
        <f>_xlfn.XLOOKUP(AllData[[#This Row],[Site Name]],LocationsKey[Site Name], LocationsKey[Waterway])</f>
        <v>Avon</v>
      </c>
      <c r="K799" t="s">
        <v>2316</v>
      </c>
      <c r="L799">
        <v>52.202527000000003</v>
      </c>
      <c r="M799">
        <v>1.6787160000000001</v>
      </c>
      <c r="N799" t="s">
        <v>31</v>
      </c>
      <c r="O799">
        <v>629</v>
      </c>
      <c r="P799">
        <v>13.7</v>
      </c>
      <c r="Q799">
        <v>10</v>
      </c>
      <c r="R799" s="107" t="str">
        <f>IF(AllData[[#This Row],[Nitrate (PPM)]]&gt;2, "Very high", IF(AllData[[#This Row],[Nitrate (PPM)]]&gt;1, "High", IF(AllData[[#This Row],[Nitrate (PPM)]]&gt;0.5, "Some evidence", IF(AllData[[#This Row],[Nitrate (PPM)]]&gt;=0, "No evidence"))))</f>
        <v>Very high</v>
      </c>
      <c r="S799">
        <v>0.47</v>
      </c>
      <c r="T799" s="7" t="str">
        <f>IF(AllData[[#This Row],[Phosphate (PPM)]]&gt;0.5, "Very high", IF(AllData[[#This Row],[Phosphate (PPM)]]&gt;0.1, "High", IF(AllData[[#This Row],[Phosphate (PPM)]]&gt;0.05, "Some evidence", IF(AllData[[#This Row],[Phosphate (PPM)]]&lt;=0.05, "No Evidence", ""))))</f>
        <v>High</v>
      </c>
      <c r="U799">
        <v>0.78</v>
      </c>
      <c r="V799" t="s">
        <v>2317</v>
      </c>
    </row>
    <row r="800" spans="1:22" x14ac:dyDescent="0.35">
      <c r="A800" t="s">
        <v>2312</v>
      </c>
      <c r="B800" s="143">
        <v>45588</v>
      </c>
      <c r="C800" s="2" t="str" cm="1">
        <f t="array" ref="C8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0">
        <f>YEAR(AllData[[#This Row],[Date]])</f>
        <v>2024</v>
      </c>
      <c r="E800" s="1">
        <v>0.72916666666666663</v>
      </c>
      <c r="F800" t="str">
        <f>IF(AND(AllData[[#This Row],[Time]]&lt;0.5, AllData[[#This Row],[Time]]&gt;0.17)=TRUE, "Morning", IF(AND(AllData[[#This Row],[Time]]&lt;0.75, AllData[[#This Row],[Time]]&gt;=0.5)=TRUE, "Afternoon", IF(AND(AllData[[#This Row],[Time]]&lt;1, AllData[[#This Row],[Time]]&gt;=0.75)=TRUE, "Evening", "Night")))</f>
        <v>Afternoon</v>
      </c>
      <c r="G800" t="str">
        <f>_xlfn.XLOOKUP(AllData[[#This Row],[Location Name]], Locations[Location Name],Locations[Group As])</f>
        <v>Carters Lane</v>
      </c>
      <c r="H800" t="e" vm="1">
        <f>_xlfn.XLOOKUP(AllData[[#This Row],[Site Name]],LocationsKey[Site Name],LocationsKey[District])</f>
        <v>#VALUE!</v>
      </c>
      <c r="I800" t="e" vm="3">
        <f>_xlfn.XLOOKUP(AllData[[#This Row],[Site Name]],LocationsKey[Site Name],LocationsKey[Town])</f>
        <v>#VALUE!</v>
      </c>
      <c r="J800" t="str">
        <f>_xlfn.XLOOKUP(AllData[[#This Row],[Site Name]],LocationsKey[Site Name], LocationsKey[Waterway])</f>
        <v>Avon</v>
      </c>
      <c r="K800" t="s">
        <v>2250</v>
      </c>
      <c r="L800">
        <v>52.120649999999998</v>
      </c>
      <c r="M800">
        <v>-1.4022399999999999</v>
      </c>
      <c r="N800" t="s">
        <v>68</v>
      </c>
      <c r="O800">
        <v>625</v>
      </c>
      <c r="P800">
        <v>14.1</v>
      </c>
      <c r="Q800">
        <v>10</v>
      </c>
      <c r="R800" s="107" t="str">
        <f>IF(AllData[[#This Row],[Nitrate (PPM)]]&gt;2, "Very high", IF(AllData[[#This Row],[Nitrate (PPM)]]&gt;1, "High", IF(AllData[[#This Row],[Nitrate (PPM)]]&gt;0.5, "Some evidence", IF(AllData[[#This Row],[Nitrate (PPM)]]&gt;=0, "No evidence"))))</f>
        <v>Very high</v>
      </c>
      <c r="S800">
        <v>0.49</v>
      </c>
      <c r="T800" s="7" t="str">
        <f>IF(AllData[[#This Row],[Phosphate (PPM)]]&gt;0.5, "Very high", IF(AllData[[#This Row],[Phosphate (PPM)]]&gt;0.1, "High", IF(AllData[[#This Row],[Phosphate (PPM)]]&gt;0.05, "Some evidence", IF(AllData[[#This Row],[Phosphate (PPM)]]&lt;=0.05, "No Evidence", ""))))</f>
        <v>High</v>
      </c>
      <c r="U800">
        <v>0.78</v>
      </c>
    </row>
    <row r="801" spans="1:22" x14ac:dyDescent="0.35">
      <c r="A801" t="s">
        <v>2313</v>
      </c>
      <c r="B801" s="143">
        <v>45588</v>
      </c>
      <c r="C801" s="2" t="str" cm="1">
        <f t="array" ref="C8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1">
        <f>YEAR(AllData[[#This Row],[Date]])</f>
        <v>2024</v>
      </c>
      <c r="E801" s="1">
        <v>0.46666666666666667</v>
      </c>
      <c r="F801" t="str">
        <f>IF(AND(AllData[[#This Row],[Time]]&lt;0.5, AllData[[#This Row],[Time]]&gt;0.17)=TRUE, "Morning", IF(AND(AllData[[#This Row],[Time]]&lt;0.75, AllData[[#This Row],[Time]]&gt;=0.5)=TRUE, "Afternoon", IF(AND(AllData[[#This Row],[Time]]&lt;1, AllData[[#This Row],[Time]]&gt;=0.75)=TRUE, "Evening", "Night")))</f>
        <v>Morning</v>
      </c>
      <c r="G801" t="str">
        <f>_xlfn.XLOOKUP(AllData[[#This Row],[Location Name]], Locations[Location Name],Locations[Group As])</f>
        <v>Twyning Fleet</v>
      </c>
      <c r="H801" t="e" vm="4">
        <f>_xlfn.XLOOKUP(AllData[[#This Row],[Site Name]],LocationsKey[Site Name],LocationsKey[District])</f>
        <v>#VALUE!</v>
      </c>
      <c r="I801" t="str">
        <f>_xlfn.XLOOKUP(AllData[[#This Row],[Site Name]],LocationsKey[Site Name],LocationsKey[Town])</f>
        <v>Twyning Green</v>
      </c>
      <c r="J801" t="str">
        <f>_xlfn.XLOOKUP(AllData[[#This Row],[Site Name]],LocationsKey[Site Name], LocationsKey[Waterway])</f>
        <v>Avon</v>
      </c>
      <c r="K801" t="s">
        <v>2117</v>
      </c>
      <c r="L801">
        <v>52.026721999999999</v>
      </c>
      <c r="M801">
        <v>-2.1415280000000001</v>
      </c>
      <c r="O801">
        <v>589</v>
      </c>
      <c r="P801">
        <v>13.5</v>
      </c>
      <c r="Q801">
        <v>8</v>
      </c>
      <c r="R801" s="107" t="str">
        <f>IF(AllData[[#This Row],[Nitrate (PPM)]]&gt;2, "Very high", IF(AllData[[#This Row],[Nitrate (PPM)]]&gt;1, "High", IF(AllData[[#This Row],[Nitrate (PPM)]]&gt;0.5, "Some evidence", IF(AllData[[#This Row],[Nitrate (PPM)]]&gt;=0, "No evidence"))))</f>
        <v>Very high</v>
      </c>
      <c r="S801">
        <v>0.56999999999999995</v>
      </c>
      <c r="T801" s="7" t="str">
        <f>IF(AllData[[#This Row],[Phosphate (PPM)]]&gt;0.5, "Very high", IF(AllData[[#This Row],[Phosphate (PPM)]]&gt;0.1, "High", IF(AllData[[#This Row],[Phosphate (PPM)]]&gt;0.05, "Some evidence", IF(AllData[[#This Row],[Phosphate (PPM)]]&lt;=0.05, "No Evidence", ""))))</f>
        <v>Very high</v>
      </c>
      <c r="U801">
        <v>2</v>
      </c>
      <c r="V801" t="s">
        <v>2314</v>
      </c>
    </row>
    <row r="802" spans="1:22" x14ac:dyDescent="0.35">
      <c r="A802" t="s">
        <v>2318</v>
      </c>
      <c r="B802" s="143">
        <v>45588</v>
      </c>
      <c r="C802" s="2" t="str" cm="1">
        <f t="array" ref="C8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2">
        <f>YEAR(AllData[[#This Row],[Date]])</f>
        <v>2024</v>
      </c>
      <c r="E802" s="1">
        <v>0.7104166666666667</v>
      </c>
      <c r="F802" t="str">
        <f>IF(AND(AllData[[#This Row],[Time]]&lt;0.5, AllData[[#This Row],[Time]]&gt;0.17)=TRUE, "Morning", IF(AND(AllData[[#This Row],[Time]]&lt;0.75, AllData[[#This Row],[Time]]&gt;=0.5)=TRUE, "Afternoon", IF(AND(AllData[[#This Row],[Time]]&lt;1, AllData[[#This Row],[Time]]&gt;=0.75)=TRUE, "Evening", "Night")))</f>
        <v>Afternoon</v>
      </c>
      <c r="G802" t="str">
        <f>_xlfn.XLOOKUP(AllData[[#This Row],[Location Name]], Locations[Location Name],Locations[Group As])</f>
        <v>SSC Bredons Norton</v>
      </c>
      <c r="H802" t="e" vm="6">
        <f>_xlfn.XLOOKUP(AllData[[#This Row],[Site Name]],LocationsKey[Site Name],LocationsKey[District])</f>
        <v>#VALUE!</v>
      </c>
      <c r="I802" t="str">
        <f>_xlfn.XLOOKUP(AllData[[#This Row],[Site Name]],LocationsKey[Site Name],LocationsKey[Town])</f>
        <v>Bredon's Norton</v>
      </c>
      <c r="J802" t="str">
        <f>_xlfn.XLOOKUP(AllData[[#This Row],[Site Name]],LocationsKey[Site Name], LocationsKey[Waterway])</f>
        <v>Avon</v>
      </c>
      <c r="K802" t="s">
        <v>2319</v>
      </c>
      <c r="L802">
        <v>52.050809000000001</v>
      </c>
      <c r="M802">
        <v>-2.117111</v>
      </c>
      <c r="N802" t="s">
        <v>31</v>
      </c>
      <c r="O802">
        <v>624</v>
      </c>
      <c r="P802">
        <v>14.4</v>
      </c>
      <c r="Q802">
        <v>5</v>
      </c>
      <c r="R802" s="107" t="str">
        <f>IF(AllData[[#This Row],[Nitrate (PPM)]]&gt;2, "Very high", IF(AllData[[#This Row],[Nitrate (PPM)]]&gt;1, "High", IF(AllData[[#This Row],[Nitrate (PPM)]]&gt;0.5, "Some evidence", IF(AllData[[#This Row],[Nitrate (PPM)]]&gt;=0, "No evidence"))))</f>
        <v>Very high</v>
      </c>
      <c r="S802">
        <v>1.03</v>
      </c>
      <c r="T802" s="7" t="str">
        <f>IF(AllData[[#This Row],[Phosphate (PPM)]]&gt;0.5, "Very high", IF(AllData[[#This Row],[Phosphate (PPM)]]&gt;0.1, "High", IF(AllData[[#This Row],[Phosphate (PPM)]]&gt;0.05, "Some evidence", IF(AllData[[#This Row],[Phosphate (PPM)]]&lt;=0.05, "No Evidence", ""))))</f>
        <v>Very high</v>
      </c>
      <c r="U802">
        <v>2.21</v>
      </c>
      <c r="V802" t="s">
        <v>882</v>
      </c>
    </row>
    <row r="803" spans="1:22" x14ac:dyDescent="0.35">
      <c r="A803" t="s">
        <v>2310</v>
      </c>
      <c r="B803" s="143">
        <v>45587</v>
      </c>
      <c r="C803" s="2" t="str" cm="1">
        <f t="array" ref="C8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3">
        <f>YEAR(AllData[[#This Row],[Date]])</f>
        <v>2024</v>
      </c>
      <c r="E803" s="1">
        <v>0.61111111111111116</v>
      </c>
      <c r="F803" t="str">
        <f>IF(AND(AllData[[#This Row],[Time]]&lt;0.5, AllData[[#This Row],[Time]]&gt;0.17)=TRUE, "Morning", IF(AND(AllData[[#This Row],[Time]]&lt;0.75, AllData[[#This Row],[Time]]&gt;=0.5)=TRUE, "Afternoon", IF(AND(AllData[[#This Row],[Time]]&lt;1, AllData[[#This Row],[Time]]&gt;=0.75)=TRUE, "Evening", "Night")))</f>
        <v>Afternoon</v>
      </c>
      <c r="G803" t="str">
        <f>_xlfn.XLOOKUP(AllData[[#This Row],[Location Name]], Locations[Location Name],Locations[Group As])</f>
        <v>Abbey Mill</v>
      </c>
      <c r="H803" t="e" vm="4">
        <f>_xlfn.XLOOKUP(AllData[[#This Row],[Site Name]],LocationsKey[Site Name],LocationsKey[District])</f>
        <v>#VALUE!</v>
      </c>
      <c r="I803" t="e" vm="4">
        <f>_xlfn.XLOOKUP(AllData[[#This Row],[Site Name]],LocationsKey[Site Name],LocationsKey[Town])</f>
        <v>#VALUE!</v>
      </c>
      <c r="J803" t="str">
        <f>_xlfn.XLOOKUP(AllData[[#This Row],[Site Name]],LocationsKey[Site Name], LocationsKey[Waterway])</f>
        <v>Avon</v>
      </c>
      <c r="K803" t="s">
        <v>27</v>
      </c>
      <c r="L803">
        <v>51.991205999999998</v>
      </c>
      <c r="M803">
        <v>-2.1625749999999999</v>
      </c>
      <c r="N803" t="s">
        <v>31</v>
      </c>
      <c r="O803">
        <v>614</v>
      </c>
      <c r="P803">
        <v>13.8</v>
      </c>
      <c r="Q803">
        <v>10</v>
      </c>
      <c r="R803" s="107" t="str">
        <f>IF(AllData[[#This Row],[Nitrate (PPM)]]&gt;2, "Very high", IF(AllData[[#This Row],[Nitrate (PPM)]]&gt;1, "High", IF(AllData[[#This Row],[Nitrate (PPM)]]&gt;0.5, "Some evidence", IF(AllData[[#This Row],[Nitrate (PPM)]]&gt;=0, "No evidence"))))</f>
        <v>Very high</v>
      </c>
      <c r="S803">
        <v>0.52</v>
      </c>
      <c r="T803" s="7" t="str">
        <f>IF(AllData[[#This Row],[Phosphate (PPM)]]&gt;0.5, "Very high", IF(AllData[[#This Row],[Phosphate (PPM)]]&gt;0.1, "High", IF(AllData[[#This Row],[Phosphate (PPM)]]&gt;0.05, "Some evidence", IF(AllData[[#This Row],[Phosphate (PPM)]]&lt;=0.05, "No Evidence", ""))))</f>
        <v>Very high</v>
      </c>
      <c r="U803">
        <v>2.5</v>
      </c>
      <c r="V803" t="s">
        <v>2311</v>
      </c>
    </row>
    <row r="804" spans="1:22" x14ac:dyDescent="0.35">
      <c r="A804" t="s">
        <v>2303</v>
      </c>
      <c r="B804" s="143">
        <v>45586</v>
      </c>
      <c r="C804" s="2" t="str" cm="1">
        <f t="array" ref="C8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4">
        <f>YEAR(AllData[[#This Row],[Date]])</f>
        <v>2024</v>
      </c>
      <c r="E804" s="1">
        <v>0.57986111111111116</v>
      </c>
      <c r="F804" t="str">
        <f>IF(AND(AllData[[#This Row],[Time]]&lt;0.5, AllData[[#This Row],[Time]]&gt;0.17)=TRUE, "Morning", IF(AND(AllData[[#This Row],[Time]]&lt;0.75, AllData[[#This Row],[Time]]&gt;=0.5)=TRUE, "Afternoon", IF(AND(AllData[[#This Row],[Time]]&lt;1, AllData[[#This Row],[Time]]&gt;=0.75)=TRUE, "Evening", "Night")))</f>
        <v>Afternoon</v>
      </c>
      <c r="G804" t="str">
        <f>_xlfn.XLOOKUP(AllData[[#This Row],[Location Name]], Locations[Location Name],Locations[Group As])</f>
        <v>Swiffen Bank</v>
      </c>
      <c r="H804" t="e" vm="1">
        <f>_xlfn.XLOOKUP(AllData[[#This Row],[Site Name]],LocationsKey[Site Name],LocationsKey[District])</f>
        <v>#VALUE!</v>
      </c>
      <c r="I804" t="e" vm="2">
        <f>_xlfn.XLOOKUP(AllData[[#This Row],[Site Name]],LocationsKey[Site Name],LocationsKey[Town])</f>
        <v>#VALUE!</v>
      </c>
      <c r="J804" t="str">
        <f>_xlfn.XLOOKUP(AllData[[#This Row],[Site Name]],LocationsKey[Site Name], LocationsKey[Waterway])</f>
        <v>Avon</v>
      </c>
      <c r="K804" t="s">
        <v>286</v>
      </c>
      <c r="L804">
        <v>52.206477999999997</v>
      </c>
      <c r="M804">
        <v>-1.653894</v>
      </c>
      <c r="N804" t="s">
        <v>31</v>
      </c>
      <c r="O804">
        <v>485</v>
      </c>
      <c r="P804">
        <v>15.2</v>
      </c>
      <c r="Q804">
        <v>10</v>
      </c>
      <c r="R804" s="107" t="str">
        <f>IF(AllData[[#This Row],[Nitrate (PPM)]]&gt;2, "Very high", IF(AllData[[#This Row],[Nitrate (PPM)]]&gt;1, "High", IF(AllData[[#This Row],[Nitrate (PPM)]]&gt;0.5, "Some evidence", IF(AllData[[#This Row],[Nitrate (PPM)]]&gt;=0, "No evidence"))))</f>
        <v>Very high</v>
      </c>
      <c r="S804">
        <v>0.56999999999999995</v>
      </c>
      <c r="T804" s="7" t="str">
        <f>IF(AllData[[#This Row],[Phosphate (PPM)]]&gt;0.5, "Very high", IF(AllData[[#This Row],[Phosphate (PPM)]]&gt;0.1, "High", IF(AllData[[#This Row],[Phosphate (PPM)]]&gt;0.05, "Some evidence", IF(AllData[[#This Row],[Phosphate (PPM)]]&lt;=0.05, "No Evidence", ""))))</f>
        <v>Very high</v>
      </c>
      <c r="U804">
        <v>1.5</v>
      </c>
      <c r="V804" t="s">
        <v>2304</v>
      </c>
    </row>
    <row r="805" spans="1:22" x14ac:dyDescent="0.35">
      <c r="A805" t="s">
        <v>2309</v>
      </c>
      <c r="B805" s="143">
        <v>45586</v>
      </c>
      <c r="C805" s="2" t="str" cm="1">
        <f t="array" ref="C8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5">
        <f>YEAR(AllData[[#This Row],[Date]])</f>
        <v>2024</v>
      </c>
      <c r="E805" s="1">
        <v>0.46458333333333335</v>
      </c>
      <c r="F805" t="str">
        <f>IF(AND(AllData[[#This Row],[Time]]&lt;0.5, AllData[[#This Row],[Time]]&gt;0.17)=TRUE, "Morning", IF(AND(AllData[[#This Row],[Time]]&lt;0.75, AllData[[#This Row],[Time]]&gt;=0.5)=TRUE, "Afternoon", IF(AND(AllData[[#This Row],[Time]]&lt;1, AllData[[#This Row],[Time]]&gt;=0.75)=TRUE, "Evening", "Night")))</f>
        <v>Morning</v>
      </c>
      <c r="G805" t="str">
        <f>_xlfn.XLOOKUP(AllData[[#This Row],[Location Name]], Locations[Location Name],Locations[Group As])</f>
        <v>The Ford, Langley</v>
      </c>
      <c r="H805" t="e" vm="1">
        <f>_xlfn.XLOOKUP(AllData[[#This Row],[Site Name]],LocationsKey[Site Name],LocationsKey[District])</f>
        <v>#VALUE!</v>
      </c>
      <c r="I805" t="str">
        <f>_xlfn.XLOOKUP(AllData[[#This Row],[Site Name]],LocationsKey[Site Name],LocationsKey[Town])</f>
        <v>Langley</v>
      </c>
      <c r="J805" t="str">
        <f>_xlfn.XLOOKUP(AllData[[#This Row],[Site Name]],LocationsKey[Site Name], LocationsKey[Waterway])</f>
        <v>Langley Ford</v>
      </c>
      <c r="K805" t="s">
        <v>561</v>
      </c>
      <c r="L805">
        <v>52.259903999999999</v>
      </c>
      <c r="M805">
        <v>-1.7185010000000001</v>
      </c>
      <c r="N805" t="s">
        <v>31</v>
      </c>
      <c r="O805">
        <v>585</v>
      </c>
      <c r="P805">
        <v>11.6</v>
      </c>
      <c r="Q805">
        <v>5</v>
      </c>
      <c r="R805" s="107" t="str">
        <f>IF(AllData[[#This Row],[Nitrate (PPM)]]&gt;2, "Very high", IF(AllData[[#This Row],[Nitrate (PPM)]]&gt;1, "High", IF(AllData[[#This Row],[Nitrate (PPM)]]&gt;0.5, "Some evidence", IF(AllData[[#This Row],[Nitrate (PPM)]]&gt;=0, "No evidence"))))</f>
        <v>Very high</v>
      </c>
      <c r="S805">
        <v>0.62</v>
      </c>
      <c r="T805" s="7" t="str">
        <f>IF(AllData[[#This Row],[Phosphate (PPM)]]&gt;0.5, "Very high", IF(AllData[[#This Row],[Phosphate (PPM)]]&gt;0.1, "High", IF(AllData[[#This Row],[Phosphate (PPM)]]&gt;0.05, "Some evidence", IF(AllData[[#This Row],[Phosphate (PPM)]]&lt;=0.05, "No Evidence", ""))))</f>
        <v>Very high</v>
      </c>
      <c r="U805">
        <v>0.25</v>
      </c>
      <c r="V805" t="s">
        <v>580</v>
      </c>
    </row>
    <row r="806" spans="1:22" x14ac:dyDescent="0.35">
      <c r="A806" t="s">
        <v>2305</v>
      </c>
      <c r="B806" s="143">
        <v>45586</v>
      </c>
      <c r="C806" s="2" t="str" cm="1">
        <f t="array" ref="C8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6">
        <f>YEAR(AllData[[#This Row],[Date]])</f>
        <v>2024</v>
      </c>
      <c r="E806" s="1">
        <v>0.59722222222222221</v>
      </c>
      <c r="F806" t="str">
        <f>IF(AND(AllData[[#This Row],[Time]]&lt;0.5, AllData[[#This Row],[Time]]&gt;0.17)=TRUE, "Morning", IF(AND(AllData[[#This Row],[Time]]&lt;0.75, AllData[[#This Row],[Time]]&gt;=0.5)=TRUE, "Afternoon", IF(AND(AllData[[#This Row],[Time]]&lt;1, AllData[[#This Row],[Time]]&gt;=0.75)=TRUE, "Evening", "Night")))</f>
        <v>Afternoon</v>
      </c>
      <c r="G806" t="str">
        <f>_xlfn.XLOOKUP(AllData[[#This Row],[Location Name]], Locations[Location Name],Locations[Group As])</f>
        <v>Alveston Weir</v>
      </c>
      <c r="H806" t="e" vm="1">
        <f>_xlfn.XLOOKUP(AllData[[#This Row],[Site Name]],LocationsKey[Site Name],LocationsKey[District])</f>
        <v>#VALUE!</v>
      </c>
      <c r="I806" t="e" vm="2">
        <f>_xlfn.XLOOKUP(AllData[[#This Row],[Site Name]],LocationsKey[Site Name],LocationsKey[Town])</f>
        <v>#VALUE!</v>
      </c>
      <c r="J806" t="str">
        <f>_xlfn.XLOOKUP(AllData[[#This Row],[Site Name]],LocationsKey[Site Name], LocationsKey[Waterway])</f>
        <v>Avon</v>
      </c>
      <c r="K806" t="s">
        <v>288</v>
      </c>
      <c r="L806">
        <v>52.212288999999998</v>
      </c>
      <c r="M806">
        <v>-1.660452</v>
      </c>
      <c r="N806" t="s">
        <v>31</v>
      </c>
      <c r="O806">
        <v>488</v>
      </c>
      <c r="P806">
        <v>14.5</v>
      </c>
      <c r="Q806">
        <v>5</v>
      </c>
      <c r="R806" s="107" t="str">
        <f>IF(AllData[[#This Row],[Nitrate (PPM)]]&gt;2, "Very high", IF(AllData[[#This Row],[Nitrate (PPM)]]&gt;1, "High", IF(AllData[[#This Row],[Nitrate (PPM)]]&gt;0.5, "Some evidence", IF(AllData[[#This Row],[Nitrate (PPM)]]&gt;=0, "No evidence"))))</f>
        <v>Very high</v>
      </c>
      <c r="S806">
        <v>0.56000000000000005</v>
      </c>
      <c r="T806" s="7" t="str">
        <f>IF(AllData[[#This Row],[Phosphate (PPM)]]&gt;0.5, "Very high", IF(AllData[[#This Row],[Phosphate (PPM)]]&gt;0.1, "High", IF(AllData[[#This Row],[Phosphate (PPM)]]&gt;0.05, "Some evidence", IF(AllData[[#This Row],[Phosphate (PPM)]]&lt;=0.05, "No Evidence", ""))))</f>
        <v>Very high</v>
      </c>
      <c r="U806">
        <v>1.5</v>
      </c>
      <c r="V806" t="s">
        <v>2306</v>
      </c>
    </row>
    <row r="807" spans="1:22" x14ac:dyDescent="0.35">
      <c r="A807" t="s">
        <v>2300</v>
      </c>
      <c r="B807" s="143">
        <v>45586</v>
      </c>
      <c r="C807" s="2" t="str" cm="1">
        <f t="array" ref="C8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7">
        <f>YEAR(AllData[[#This Row],[Date]])</f>
        <v>2024</v>
      </c>
      <c r="E807" s="1">
        <v>0.5</v>
      </c>
      <c r="F807" t="str">
        <f>IF(AND(AllData[[#This Row],[Time]]&lt;0.5, AllData[[#This Row],[Time]]&gt;0.17)=TRUE, "Morning", IF(AND(AllData[[#This Row],[Time]]&lt;0.75, AllData[[#This Row],[Time]]&gt;=0.5)=TRUE, "Afternoon", IF(AND(AllData[[#This Row],[Time]]&lt;1, AllData[[#This Row],[Time]]&gt;=0.75)=TRUE, "Evening", "Night")))</f>
        <v>Afternoon</v>
      </c>
      <c r="G807" t="str">
        <f>_xlfn.XLOOKUP(AllData[[#This Row],[Location Name]], Locations[Location Name],Locations[Group As])</f>
        <v>Chipping Campden Craves</v>
      </c>
      <c r="H807" t="e" vm="9">
        <f>_xlfn.XLOOKUP(AllData[[#This Row],[Site Name]],LocationsKey[Site Name],LocationsKey[District])</f>
        <v>#VALUE!</v>
      </c>
      <c r="I807" t="e" vm="10">
        <f>_xlfn.XLOOKUP(AllData[[#This Row],[Site Name]],LocationsKey[Site Name],LocationsKey[Town])</f>
        <v>#VALUE!</v>
      </c>
      <c r="J807" t="str">
        <f>_xlfn.XLOOKUP(AllData[[#This Row],[Site Name]],LocationsKey[Site Name], LocationsKey[Waterway])</f>
        <v>Cam Brook</v>
      </c>
      <c r="K807" t="s">
        <v>2244</v>
      </c>
      <c r="L807">
        <v>52.048763999999998</v>
      </c>
      <c r="M807">
        <v>-1.7863739999999999</v>
      </c>
      <c r="N807" t="s">
        <v>68</v>
      </c>
      <c r="O807">
        <v>205</v>
      </c>
      <c r="P807">
        <v>8.65</v>
      </c>
      <c r="Q807">
        <v>5</v>
      </c>
      <c r="R807" s="107" t="str">
        <f>IF(AllData[[#This Row],[Nitrate (PPM)]]&gt;2, "Very high", IF(AllData[[#This Row],[Nitrate (PPM)]]&gt;1, "High", IF(AllData[[#This Row],[Nitrate (PPM)]]&gt;0.5, "Some evidence", IF(AllData[[#This Row],[Nitrate (PPM)]]&gt;=0, "No evidence"))))</f>
        <v>Very high</v>
      </c>
      <c r="S807">
        <v>0.22</v>
      </c>
      <c r="T807" s="7" t="str">
        <f>IF(AllData[[#This Row],[Phosphate (PPM)]]&gt;0.5, "Very high", IF(AllData[[#This Row],[Phosphate (PPM)]]&gt;0.1, "High", IF(AllData[[#This Row],[Phosphate (PPM)]]&gt;0.05, "Some evidence", IF(AllData[[#This Row],[Phosphate (PPM)]]&lt;=0.05, "No Evidence", ""))))</f>
        <v>High</v>
      </c>
      <c r="U807">
        <v>40.5</v>
      </c>
    </row>
    <row r="808" spans="1:22" x14ac:dyDescent="0.35">
      <c r="A808" t="s">
        <v>2307</v>
      </c>
      <c r="B808" s="143">
        <v>45586</v>
      </c>
      <c r="C808" s="2" t="str" cm="1">
        <f t="array" ref="C8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8">
        <f>YEAR(AllData[[#This Row],[Date]])</f>
        <v>2024</v>
      </c>
      <c r="E808" s="1">
        <v>0.59375</v>
      </c>
      <c r="F808" t="str">
        <f>IF(AND(AllData[[#This Row],[Time]]&lt;0.5, AllData[[#This Row],[Time]]&gt;0.17)=TRUE, "Morning", IF(AND(AllData[[#This Row],[Time]]&lt;0.75, AllData[[#This Row],[Time]]&gt;=0.5)=TRUE, "Afternoon", IF(AND(AllData[[#This Row],[Time]]&lt;1, AllData[[#This Row],[Time]]&gt;=0.75)=TRUE, "Evening", "Night")))</f>
        <v>Afternoon</v>
      </c>
      <c r="G808" t="str">
        <f>_xlfn.XLOOKUP(AllData[[#This Row],[Location Name]], Locations[Location Name],Locations[Group As])</f>
        <v>Carrant Mitton Path</v>
      </c>
      <c r="H808" t="e" vm="4">
        <f>_xlfn.XLOOKUP(AllData[[#This Row],[Site Name]],LocationsKey[Site Name],LocationsKey[District])</f>
        <v>#VALUE!</v>
      </c>
      <c r="I808" t="e" vm="4">
        <f>_xlfn.XLOOKUP(AllData[[#This Row],[Site Name]],LocationsKey[Site Name],LocationsKey[Town])</f>
        <v>#VALUE!</v>
      </c>
      <c r="J808" t="str">
        <f>_xlfn.XLOOKUP(AllData[[#This Row],[Site Name]],LocationsKey[Site Name], LocationsKey[Waterway])</f>
        <v>Carrant</v>
      </c>
      <c r="K808" t="s">
        <v>1064</v>
      </c>
      <c r="L808">
        <v>51.999732000000002</v>
      </c>
      <c r="M808">
        <v>-2.1408640000000001</v>
      </c>
      <c r="N808" t="s">
        <v>31</v>
      </c>
      <c r="O808">
        <v>6270</v>
      </c>
      <c r="P808">
        <v>14.2</v>
      </c>
      <c r="Q808">
        <v>3</v>
      </c>
      <c r="R808" s="107" t="str">
        <f>IF(AllData[[#This Row],[Nitrate (PPM)]]&gt;2, "Very high", IF(AllData[[#This Row],[Nitrate (PPM)]]&gt;1, "High", IF(AllData[[#This Row],[Nitrate (PPM)]]&gt;0.5, "Some evidence", IF(AllData[[#This Row],[Nitrate (PPM)]]&gt;=0, "No evidence"))))</f>
        <v>Very high</v>
      </c>
      <c r="S808">
        <v>0.54</v>
      </c>
      <c r="T808" s="7" t="str">
        <f>IF(AllData[[#This Row],[Phosphate (PPM)]]&gt;0.5, "Very high", IF(AllData[[#This Row],[Phosphate (PPM)]]&gt;0.1, "High", IF(AllData[[#This Row],[Phosphate (PPM)]]&gt;0.05, "Some evidence", IF(AllData[[#This Row],[Phosphate (PPM)]]&lt;=0.05, "No Evidence", ""))))</f>
        <v>Very high</v>
      </c>
      <c r="U808">
        <v>0</v>
      </c>
      <c r="V808" t="s">
        <v>2308</v>
      </c>
    </row>
    <row r="809" spans="1:22" x14ac:dyDescent="0.35">
      <c r="A809" t="s">
        <v>2302</v>
      </c>
      <c r="B809" s="143">
        <v>45586</v>
      </c>
      <c r="C809" s="2" t="str" cm="1">
        <f t="array" ref="C8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09">
        <f>YEAR(AllData[[#This Row],[Date]])</f>
        <v>2024</v>
      </c>
      <c r="E809" s="1">
        <v>0.34722222222222221</v>
      </c>
      <c r="F809" t="str">
        <f>IF(AND(AllData[[#This Row],[Time]]&lt;0.5, AllData[[#This Row],[Time]]&gt;0.17)=TRUE, "Morning", IF(AND(AllData[[#This Row],[Time]]&lt;0.75, AllData[[#This Row],[Time]]&gt;=0.5)=TRUE, "Afternoon", IF(AND(AllData[[#This Row],[Time]]&lt;1, AllData[[#This Row],[Time]]&gt;=0.75)=TRUE, "Evening", "Night")))</f>
        <v>Morning</v>
      </c>
      <c r="G809" t="str">
        <f>_xlfn.XLOOKUP(AllData[[#This Row],[Location Name]], Locations[Location Name],Locations[Group As])</f>
        <v>Chipping Campden Lady J Gateway</v>
      </c>
      <c r="H809" t="e" vm="9">
        <f>_xlfn.XLOOKUP(AllData[[#This Row],[Site Name]],LocationsKey[Site Name],LocationsKey[District])</f>
        <v>#VALUE!</v>
      </c>
      <c r="I809" t="e" vm="10">
        <f>_xlfn.XLOOKUP(AllData[[#This Row],[Site Name]],LocationsKey[Site Name],LocationsKey[Town])</f>
        <v>#VALUE!</v>
      </c>
      <c r="J809" t="str">
        <f>_xlfn.XLOOKUP(AllData[[#This Row],[Site Name]],LocationsKey[Site Name], LocationsKey[Waterway])</f>
        <v>Cam Brook</v>
      </c>
      <c r="K809" t="s">
        <v>1573</v>
      </c>
      <c r="N809" t="s">
        <v>68</v>
      </c>
      <c r="O809">
        <v>533</v>
      </c>
      <c r="P809">
        <v>11.3</v>
      </c>
      <c r="Q809">
        <v>2</v>
      </c>
      <c r="R809" s="107" t="str">
        <f>IF(AllData[[#This Row],[Nitrate (PPM)]]&gt;2, "Very high", IF(AllData[[#This Row],[Nitrate (PPM)]]&gt;1, "High", IF(AllData[[#This Row],[Nitrate (PPM)]]&gt;0.5, "Some evidence", IF(AllData[[#This Row],[Nitrate (PPM)]]&gt;=0, "No evidence"))))</f>
        <v>High</v>
      </c>
      <c r="S809">
        <v>0.04</v>
      </c>
      <c r="T809" s="7" t="str">
        <f>IF(AllData[[#This Row],[Phosphate (PPM)]]&gt;0.5, "Very high", IF(AllData[[#This Row],[Phosphate (PPM)]]&gt;0.1, "High", IF(AllData[[#This Row],[Phosphate (PPM)]]&gt;0.05, "Some evidence", IF(AllData[[#This Row],[Phosphate (PPM)]]&lt;=0.05, "No Evidence", ""))))</f>
        <v>No Evidence</v>
      </c>
      <c r="U809">
        <v>0.19</v>
      </c>
    </row>
    <row r="810" spans="1:22" x14ac:dyDescent="0.35">
      <c r="A810" t="s">
        <v>2301</v>
      </c>
      <c r="B810" s="143">
        <v>45586</v>
      </c>
      <c r="C810" s="2" t="str" cm="1">
        <f t="array" ref="C8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0">
        <f>YEAR(AllData[[#This Row],[Date]])</f>
        <v>2024</v>
      </c>
      <c r="E810" s="1">
        <v>0.34722222222222221</v>
      </c>
      <c r="F810" t="str">
        <f>IF(AND(AllData[[#This Row],[Time]]&lt;0.5, AllData[[#This Row],[Time]]&gt;0.17)=TRUE, "Morning", IF(AND(AllData[[#This Row],[Time]]&lt;0.75, AllData[[#This Row],[Time]]&gt;=0.5)=TRUE, "Afternoon", IF(AND(AllData[[#This Row],[Time]]&lt;1, AllData[[#This Row],[Time]]&gt;=0.75)=TRUE, "Evening", "Night")))</f>
        <v>Morning</v>
      </c>
      <c r="G810" t="str">
        <f>_xlfn.XLOOKUP(AllData[[#This Row],[Location Name]], Locations[Location Name],Locations[Group As])</f>
        <v>Chipping Campden Sewage Works</v>
      </c>
      <c r="H810" t="e" vm="9">
        <f>_xlfn.XLOOKUP(AllData[[#This Row],[Site Name]],LocationsKey[Site Name],LocationsKey[District])</f>
        <v>#VALUE!</v>
      </c>
      <c r="I810" t="e" vm="10">
        <f>_xlfn.XLOOKUP(AllData[[#This Row],[Site Name]],LocationsKey[Site Name],LocationsKey[Town])</f>
        <v>#VALUE!</v>
      </c>
      <c r="J810" t="str">
        <f>_xlfn.XLOOKUP(AllData[[#This Row],[Site Name]],LocationsKey[Site Name], LocationsKey[Waterway])</f>
        <v>Cam Brook</v>
      </c>
      <c r="K810" t="s">
        <v>1570</v>
      </c>
      <c r="N810" t="s">
        <v>31</v>
      </c>
      <c r="O810">
        <v>597</v>
      </c>
      <c r="P810">
        <v>12.3</v>
      </c>
      <c r="Q810">
        <v>0.5</v>
      </c>
      <c r="R810" s="107" t="str">
        <f>IF(AllData[[#This Row],[Nitrate (PPM)]]&gt;2, "Very high", IF(AllData[[#This Row],[Nitrate (PPM)]]&gt;1, "High", IF(AllData[[#This Row],[Nitrate (PPM)]]&gt;0.5, "Some evidence", IF(AllData[[#This Row],[Nitrate (PPM)]]&gt;=0, "No evidence"))))</f>
        <v>No evidence</v>
      </c>
      <c r="S810">
        <v>0.21</v>
      </c>
      <c r="T810" s="7" t="str">
        <f>IF(AllData[[#This Row],[Phosphate (PPM)]]&gt;0.5, "Very high", IF(AllData[[#This Row],[Phosphate (PPM)]]&gt;0.1, "High", IF(AllData[[#This Row],[Phosphate (PPM)]]&gt;0.05, "Some evidence", IF(AllData[[#This Row],[Phosphate (PPM)]]&lt;=0.05, "No Evidence", ""))))</f>
        <v>High</v>
      </c>
      <c r="U810">
        <v>0.48</v>
      </c>
    </row>
    <row r="811" spans="1:22" x14ac:dyDescent="0.35">
      <c r="A811" t="s">
        <v>2294</v>
      </c>
      <c r="B811" s="143">
        <v>45585</v>
      </c>
      <c r="C811" s="2" t="str" cm="1">
        <f t="array" ref="C8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1">
        <f>YEAR(AllData[[#This Row],[Date]])</f>
        <v>2024</v>
      </c>
      <c r="E811" s="1">
        <v>0.39583333333333331</v>
      </c>
      <c r="F811" t="str">
        <f>IF(AND(AllData[[#This Row],[Time]]&lt;0.5, AllData[[#This Row],[Time]]&gt;0.17)=TRUE, "Morning", IF(AND(AllData[[#This Row],[Time]]&lt;0.75, AllData[[#This Row],[Time]]&gt;=0.5)=TRUE, "Afternoon", IF(AND(AllData[[#This Row],[Time]]&lt;1, AllData[[#This Row],[Time]]&gt;=0.75)=TRUE, "Evening", "Night")))</f>
        <v>Morning</v>
      </c>
      <c r="G811" t="str">
        <f>_xlfn.XLOOKUP(AllData[[#This Row],[Location Name]], Locations[Location Name],Locations[Group As])</f>
        <v>Sherbourne Brook 1</v>
      </c>
      <c r="H811" t="e" vm="1">
        <f>_xlfn.XLOOKUP(AllData[[#This Row],[Site Name]],LocationsKey[Site Name],LocationsKey[District])</f>
        <v>#VALUE!</v>
      </c>
      <c r="I811" t="e" vm="23">
        <f>_xlfn.XLOOKUP(AllData[[#This Row],[Site Name]],LocationsKey[Site Name],LocationsKey[Town])</f>
        <v>#VALUE!</v>
      </c>
      <c r="J811" t="str">
        <f>_xlfn.XLOOKUP(AllData[[#This Row],[Site Name]],LocationsKey[Site Name], LocationsKey[Waterway])</f>
        <v>Sherbourne Brook</v>
      </c>
      <c r="K811" t="s">
        <v>541</v>
      </c>
      <c r="O811">
        <v>622</v>
      </c>
      <c r="P811">
        <v>14.1</v>
      </c>
      <c r="Q811">
        <v>10</v>
      </c>
      <c r="R811" s="107" t="str">
        <f>IF(AllData[[#This Row],[Nitrate (PPM)]]&gt;2, "Very high", IF(AllData[[#This Row],[Nitrate (PPM)]]&gt;1, "High", IF(AllData[[#This Row],[Nitrate (PPM)]]&gt;0.5, "Some evidence", IF(AllData[[#This Row],[Nitrate (PPM)]]&gt;=0, "No evidence"))))</f>
        <v>Very high</v>
      </c>
      <c r="S811">
        <v>0.75</v>
      </c>
      <c r="T811" s="7" t="str">
        <f>IF(AllData[[#This Row],[Phosphate (PPM)]]&gt;0.5, "Very high", IF(AllData[[#This Row],[Phosphate (PPM)]]&gt;0.1, "High", IF(AllData[[#This Row],[Phosphate (PPM)]]&gt;0.05, "Some evidence", IF(AllData[[#This Row],[Phosphate (PPM)]]&lt;=0.05, "No Evidence", ""))))</f>
        <v>Very high</v>
      </c>
      <c r="U811">
        <v>0.3</v>
      </c>
      <c r="V811" t="s">
        <v>2295</v>
      </c>
    </row>
    <row r="812" spans="1:22" x14ac:dyDescent="0.35">
      <c r="A812" t="s">
        <v>2290</v>
      </c>
      <c r="B812" s="143">
        <v>45585</v>
      </c>
      <c r="C812" s="2" t="str" cm="1">
        <f t="array" ref="C8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2">
        <f>YEAR(AllData[[#This Row],[Date]])</f>
        <v>2024</v>
      </c>
      <c r="E812" s="1">
        <v>0.41666666666666669</v>
      </c>
      <c r="F812" t="str">
        <f>IF(AND(AllData[[#This Row],[Time]]&lt;0.5, AllData[[#This Row],[Time]]&gt;0.17)=TRUE, "Morning", IF(AND(AllData[[#This Row],[Time]]&lt;0.75, AllData[[#This Row],[Time]]&gt;=0.5)=TRUE, "Afternoon", IF(AND(AllData[[#This Row],[Time]]&lt;1, AllData[[#This Row],[Time]]&gt;=0.75)=TRUE, "Evening", "Night")))</f>
        <v>Morning</v>
      </c>
      <c r="G812" t="str">
        <f>_xlfn.XLOOKUP(AllData[[#This Row],[Location Name]], Locations[Location Name],Locations[Group As])</f>
        <v>Carrant M5 Bridge</v>
      </c>
      <c r="H812" t="e" vm="4">
        <f>_xlfn.XLOOKUP(AllData[[#This Row],[Site Name]],LocationsKey[Site Name],LocationsKey[District])</f>
        <v>#VALUE!</v>
      </c>
      <c r="I812" t="e" vm="4">
        <f>_xlfn.XLOOKUP(AllData[[#This Row],[Site Name]],LocationsKey[Site Name],LocationsKey[Town])</f>
        <v>#VALUE!</v>
      </c>
      <c r="J812" t="str">
        <f>_xlfn.XLOOKUP(AllData[[#This Row],[Site Name]],LocationsKey[Site Name], LocationsKey[Waterway])</f>
        <v>Carrant</v>
      </c>
      <c r="K812" t="s">
        <v>2291</v>
      </c>
      <c r="L812">
        <v>52.011854</v>
      </c>
      <c r="M812">
        <v>-2.1202269999999999</v>
      </c>
      <c r="O812">
        <v>440</v>
      </c>
      <c r="P812">
        <v>13.5</v>
      </c>
      <c r="Q812">
        <v>10</v>
      </c>
      <c r="R812" s="107" t="str">
        <f>IF(AllData[[#This Row],[Nitrate (PPM)]]&gt;2, "Very high", IF(AllData[[#This Row],[Nitrate (PPM)]]&gt;1, "High", IF(AllData[[#This Row],[Nitrate (PPM)]]&gt;0.5, "Some evidence", IF(AllData[[#This Row],[Nitrate (PPM)]]&gt;=0, "No evidence"))))</f>
        <v>Very high</v>
      </c>
      <c r="S812">
        <v>0.6</v>
      </c>
      <c r="T812" s="7" t="str">
        <f>IF(AllData[[#This Row],[Phosphate (PPM)]]&gt;0.5, "Very high", IF(AllData[[#This Row],[Phosphate (PPM)]]&gt;0.1, "High", IF(AllData[[#This Row],[Phosphate (PPM)]]&gt;0.05, "Some evidence", IF(AllData[[#This Row],[Phosphate (PPM)]]&lt;=0.05, "No Evidence", ""))))</f>
        <v>Very high</v>
      </c>
      <c r="U812">
        <v>1</v>
      </c>
    </row>
    <row r="813" spans="1:22" x14ac:dyDescent="0.35">
      <c r="A813" t="s">
        <v>2299</v>
      </c>
      <c r="B813" s="143">
        <v>45585</v>
      </c>
      <c r="C813" s="2" t="str" cm="1">
        <f t="array" ref="C8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3">
        <f>YEAR(AllData[[#This Row],[Date]])</f>
        <v>2024</v>
      </c>
      <c r="E813" s="1">
        <v>0.68888888888888888</v>
      </c>
      <c r="F813" t="str">
        <f>IF(AND(AllData[[#This Row],[Time]]&lt;0.5, AllData[[#This Row],[Time]]&gt;0.17)=TRUE, "Morning", IF(AND(AllData[[#This Row],[Time]]&lt;0.75, AllData[[#This Row],[Time]]&gt;=0.5)=TRUE, "Afternoon", IF(AND(AllData[[#This Row],[Time]]&lt;1, AllData[[#This Row],[Time]]&gt;=0.75)=TRUE, "Evening", "Night")))</f>
        <v>Afternoon</v>
      </c>
      <c r="G813" t="str">
        <f>_xlfn.XLOOKUP(AllData[[#This Row],[Location Name]], Locations[Location Name],Locations[Group As])</f>
        <v>Black Bear</v>
      </c>
      <c r="H813" t="e" vm="4">
        <f>_xlfn.XLOOKUP(AllData[[#This Row],[Site Name]],LocationsKey[Site Name],LocationsKey[District])</f>
        <v>#VALUE!</v>
      </c>
      <c r="I813" t="e" vm="4">
        <f>_xlfn.XLOOKUP(AllData[[#This Row],[Site Name]],LocationsKey[Site Name],LocationsKey[Town])</f>
        <v>#VALUE!</v>
      </c>
      <c r="J813" t="str">
        <f>_xlfn.XLOOKUP(AllData[[#This Row],[Site Name]],LocationsKey[Site Name], LocationsKey[Waterway])</f>
        <v>Avon</v>
      </c>
      <c r="K813" t="s">
        <v>1175</v>
      </c>
      <c r="L813">
        <v>51.997376000000003</v>
      </c>
      <c r="M813">
        <v>-2.1561319999999999</v>
      </c>
      <c r="N813" t="s">
        <v>25</v>
      </c>
      <c r="O813">
        <v>617</v>
      </c>
      <c r="P813">
        <v>15.7</v>
      </c>
      <c r="Q813">
        <v>8</v>
      </c>
      <c r="R813" s="107" t="str">
        <f>IF(AllData[[#This Row],[Nitrate (PPM)]]&gt;2, "Very high", IF(AllData[[#This Row],[Nitrate (PPM)]]&gt;1, "High", IF(AllData[[#This Row],[Nitrate (PPM)]]&gt;0.5, "Some evidence", IF(AllData[[#This Row],[Nitrate (PPM)]]&gt;=0, "No evidence"))))</f>
        <v>Very high</v>
      </c>
      <c r="S813">
        <v>0.7</v>
      </c>
      <c r="T813" s="7" t="str">
        <f>IF(AllData[[#This Row],[Phosphate (PPM)]]&gt;0.5, "Very high", IF(AllData[[#This Row],[Phosphate (PPM)]]&gt;0.1, "High", IF(AllData[[#This Row],[Phosphate (PPM)]]&gt;0.05, "Some evidence", IF(AllData[[#This Row],[Phosphate (PPM)]]&lt;=0.05, "No Evidence", ""))))</f>
        <v>Very high</v>
      </c>
      <c r="U813">
        <v>3</v>
      </c>
    </row>
    <row r="814" spans="1:22" x14ac:dyDescent="0.35">
      <c r="A814" t="s">
        <v>2296</v>
      </c>
      <c r="B814" s="143">
        <v>45585</v>
      </c>
      <c r="C814" s="2" t="str" cm="1">
        <f t="array" ref="C8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4">
        <f>YEAR(AllData[[#This Row],[Date]])</f>
        <v>2024</v>
      </c>
      <c r="E814" s="1">
        <v>0.63541666666666663</v>
      </c>
      <c r="F814" t="str">
        <f>IF(AND(AllData[[#This Row],[Time]]&lt;0.5, AllData[[#This Row],[Time]]&gt;0.17)=TRUE, "Morning", IF(AND(AllData[[#This Row],[Time]]&lt;0.75, AllData[[#This Row],[Time]]&gt;=0.5)=TRUE, "Afternoon", IF(AND(AllData[[#This Row],[Time]]&lt;1, AllData[[#This Row],[Time]]&gt;=0.75)=TRUE, "Evening", "Night")))</f>
        <v>Afternoon</v>
      </c>
      <c r="G814" t="str">
        <f>_xlfn.XLOOKUP(AllData[[#This Row],[Location Name]], Locations[Location Name],Locations[Group As])</f>
        <v>Clifford Chambers Mill Bridge</v>
      </c>
      <c r="H814" t="e" vm="1">
        <f>_xlfn.XLOOKUP(AllData[[#This Row],[Site Name]],LocationsKey[Site Name],LocationsKey[District])</f>
        <v>#VALUE!</v>
      </c>
      <c r="I814" t="e" vm="22">
        <f>_xlfn.XLOOKUP(AllData[[#This Row],[Site Name]],LocationsKey[Site Name],LocationsKey[Town])</f>
        <v>#VALUE!</v>
      </c>
      <c r="J814" t="str">
        <f>_xlfn.XLOOKUP(AllData[[#This Row],[Site Name]],LocationsKey[Site Name], LocationsKey[Waterway])</f>
        <v>Stour</v>
      </c>
      <c r="K814" t="s">
        <v>266</v>
      </c>
      <c r="L814">
        <v>52.166370000000001</v>
      </c>
      <c r="M814">
        <v>-1.708032</v>
      </c>
      <c r="N814" t="s">
        <v>68</v>
      </c>
      <c r="O814">
        <v>518</v>
      </c>
      <c r="P814">
        <v>14.8</v>
      </c>
      <c r="Q814">
        <v>7</v>
      </c>
      <c r="R814" s="107" t="str">
        <f>IF(AllData[[#This Row],[Nitrate (PPM)]]&gt;2, "Very high", IF(AllData[[#This Row],[Nitrate (PPM)]]&gt;1, "High", IF(AllData[[#This Row],[Nitrate (PPM)]]&gt;0.5, "Some evidence", IF(AllData[[#This Row],[Nitrate (PPM)]]&gt;=0, "No evidence"))))</f>
        <v>Very high</v>
      </c>
      <c r="S814">
        <v>0.24</v>
      </c>
      <c r="T814" s="7" t="str">
        <f>IF(AllData[[#This Row],[Phosphate (PPM)]]&gt;0.5, "Very high", IF(AllData[[#This Row],[Phosphate (PPM)]]&gt;0.1, "High", IF(AllData[[#This Row],[Phosphate (PPM)]]&gt;0.05, "Some evidence", IF(AllData[[#This Row],[Phosphate (PPM)]]&lt;=0.05, "No Evidence", ""))))</f>
        <v>High</v>
      </c>
      <c r="U814">
        <v>1.4</v>
      </c>
    </row>
    <row r="815" spans="1:22" x14ac:dyDescent="0.35">
      <c r="A815" t="s">
        <v>2292</v>
      </c>
      <c r="B815" s="143">
        <v>45585</v>
      </c>
      <c r="C815" s="2" t="str" cm="1">
        <f t="array" ref="C8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5">
        <f>YEAR(AllData[[#This Row],[Date]])</f>
        <v>2024</v>
      </c>
      <c r="E815" s="1">
        <v>0.40625</v>
      </c>
      <c r="F815" t="str">
        <f>IF(AND(AllData[[#This Row],[Time]]&lt;0.5, AllData[[#This Row],[Time]]&gt;0.17)=TRUE, "Morning", IF(AND(AllData[[#This Row],[Time]]&lt;0.75, AllData[[#This Row],[Time]]&gt;=0.5)=TRUE, "Afternoon", IF(AND(AllData[[#This Row],[Time]]&lt;1, AllData[[#This Row],[Time]]&gt;=0.75)=TRUE, "Evening", "Night")))</f>
        <v>Morning</v>
      </c>
      <c r="G815" t="str">
        <f>_xlfn.XLOOKUP(AllData[[#This Row],[Location Name]], Locations[Location Name],Locations[Group As])</f>
        <v>Bell Brook 1</v>
      </c>
      <c r="H815" t="e" vm="1">
        <f>_xlfn.XLOOKUP(AllData[[#This Row],[Site Name]],LocationsKey[Site Name],LocationsKey[District])</f>
        <v>#VALUE!</v>
      </c>
      <c r="I815" t="e" vm="19">
        <f>_xlfn.XLOOKUP(AllData[[#This Row],[Site Name]],LocationsKey[Site Name],LocationsKey[Town])</f>
        <v>#VALUE!</v>
      </c>
      <c r="J815" t="str">
        <f>_xlfn.XLOOKUP(AllData[[#This Row],[Site Name]],LocationsKey[Site Name], LocationsKey[Waterway])</f>
        <v>Bell Brook</v>
      </c>
      <c r="K815" t="s">
        <v>538</v>
      </c>
      <c r="O815">
        <v>476</v>
      </c>
      <c r="P815">
        <v>14.1</v>
      </c>
      <c r="Q815">
        <v>5</v>
      </c>
      <c r="R815" s="107" t="str">
        <f>IF(AllData[[#This Row],[Nitrate (PPM)]]&gt;2, "Very high", IF(AllData[[#This Row],[Nitrate (PPM)]]&gt;1, "High", IF(AllData[[#This Row],[Nitrate (PPM)]]&gt;0.5, "Some evidence", IF(AllData[[#This Row],[Nitrate (PPM)]]&gt;=0, "No evidence"))))</f>
        <v>Very high</v>
      </c>
      <c r="S815">
        <v>0.63</v>
      </c>
      <c r="T815" s="7" t="str">
        <f>IF(AllData[[#This Row],[Phosphate (PPM)]]&gt;0.5, "Very high", IF(AllData[[#This Row],[Phosphate (PPM)]]&gt;0.1, "High", IF(AllData[[#This Row],[Phosphate (PPM)]]&gt;0.05, "Some evidence", IF(AllData[[#This Row],[Phosphate (PPM)]]&lt;=0.05, "No Evidence", ""))))</f>
        <v>Very high</v>
      </c>
      <c r="U815">
        <v>0.25</v>
      </c>
      <c r="V815" t="s">
        <v>2293</v>
      </c>
    </row>
    <row r="816" spans="1:22" x14ac:dyDescent="0.35">
      <c r="A816" t="s">
        <v>2297</v>
      </c>
      <c r="B816" s="143">
        <v>45585</v>
      </c>
      <c r="C816" s="2" t="str" cm="1">
        <f t="array" ref="C8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6">
        <f>YEAR(AllData[[#This Row],[Date]])</f>
        <v>2024</v>
      </c>
      <c r="E816" s="1">
        <v>0.60416666666666663</v>
      </c>
      <c r="F816" t="str">
        <f>IF(AND(AllData[[#This Row],[Time]]&lt;0.5, AllData[[#This Row],[Time]]&gt;0.17)=TRUE, "Morning", IF(AND(AllData[[#This Row],[Time]]&lt;0.75, AllData[[#This Row],[Time]]&gt;=0.5)=TRUE, "Afternoon", IF(AND(AllData[[#This Row],[Time]]&lt;1, AllData[[#This Row],[Time]]&gt;=0.75)=TRUE, "Evening", "Night")))</f>
        <v>Afternoon</v>
      </c>
      <c r="G816" t="str">
        <f>_xlfn.XLOOKUP(AllData[[#This Row],[Location Name]], Locations[Location Name],Locations[Group As])</f>
        <v>Fell Mill Footbridge</v>
      </c>
      <c r="H816" t="e" vm="1">
        <f>_xlfn.XLOOKUP(AllData[[#This Row],[Site Name]],LocationsKey[Site Name],LocationsKey[District])</f>
        <v>#VALUE!</v>
      </c>
      <c r="I816" t="e" vm="15">
        <f>_xlfn.XLOOKUP(AllData[[#This Row],[Site Name]],LocationsKey[Site Name],LocationsKey[Town])</f>
        <v>#VALUE!</v>
      </c>
      <c r="J816" t="str">
        <f>_xlfn.XLOOKUP(AllData[[#This Row],[Site Name]],LocationsKey[Site Name], LocationsKey[Waterway])</f>
        <v>Stour</v>
      </c>
      <c r="K816" t="s">
        <v>1968</v>
      </c>
      <c r="L816">
        <v>52.070086000000003</v>
      </c>
      <c r="M816">
        <v>-1.61145</v>
      </c>
      <c r="N816" t="s">
        <v>31</v>
      </c>
      <c r="P816">
        <v>0</v>
      </c>
      <c r="Q816">
        <v>2</v>
      </c>
      <c r="R816" s="107" t="str">
        <f>IF(AllData[[#This Row],[Nitrate (PPM)]]&gt;2, "Very high", IF(AllData[[#This Row],[Nitrate (PPM)]]&gt;1, "High", IF(AllData[[#This Row],[Nitrate (PPM)]]&gt;0.5, "Some evidence", IF(AllData[[#This Row],[Nitrate (PPM)]]&gt;=0, "No evidence"))))</f>
        <v>High</v>
      </c>
      <c r="S816">
        <v>0.48</v>
      </c>
      <c r="T816" s="7" t="str">
        <f>IF(AllData[[#This Row],[Phosphate (PPM)]]&gt;0.5, "Very high", IF(AllData[[#This Row],[Phosphate (PPM)]]&gt;0.1, "High", IF(AllData[[#This Row],[Phosphate (PPM)]]&gt;0.05, "Some evidence", IF(AllData[[#This Row],[Phosphate (PPM)]]&lt;=0.05, "No Evidence", ""))))</f>
        <v>High</v>
      </c>
      <c r="U816">
        <v>2.65</v>
      </c>
      <c r="V816" t="s">
        <v>2298</v>
      </c>
    </row>
    <row r="817" spans="1:22" x14ac:dyDescent="0.35">
      <c r="A817" t="s">
        <v>2276</v>
      </c>
      <c r="B817" s="143">
        <v>45584</v>
      </c>
      <c r="C817" s="2" t="str" cm="1">
        <f t="array" ref="C8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7">
        <f>YEAR(AllData[[#This Row],[Date]])</f>
        <v>2024</v>
      </c>
      <c r="E817" s="1">
        <v>0.76111111111111107</v>
      </c>
      <c r="F817" t="str">
        <f>IF(AND(AllData[[#This Row],[Time]]&lt;0.5, AllData[[#This Row],[Time]]&gt;0.17)=TRUE, "Morning", IF(AND(AllData[[#This Row],[Time]]&lt;0.75, AllData[[#This Row],[Time]]&gt;=0.5)=TRUE, "Afternoon", IF(AND(AllData[[#This Row],[Time]]&lt;1, AllData[[#This Row],[Time]]&gt;=0.75)=TRUE, "Evening", "Night")))</f>
        <v>Evening</v>
      </c>
      <c r="G817" t="str">
        <f>_xlfn.XLOOKUP(AllData[[#This Row],[Location Name]], Locations[Location Name],Locations[Group As])</f>
        <v>Bredon Marina</v>
      </c>
      <c r="H817" t="e" vm="4">
        <f>_xlfn.XLOOKUP(AllData[[#This Row],[Site Name]],LocationsKey[Site Name],LocationsKey[District])</f>
        <v>#VALUE!</v>
      </c>
      <c r="I817" t="e" vm="11">
        <f>_xlfn.XLOOKUP(AllData[[#This Row],[Site Name]],LocationsKey[Site Name],LocationsKey[Town])</f>
        <v>#VALUE!</v>
      </c>
      <c r="J817" t="str">
        <f>_xlfn.XLOOKUP(AllData[[#This Row],[Site Name]],LocationsKey[Site Name], LocationsKey[Waterway])</f>
        <v>Avon</v>
      </c>
      <c r="K817" t="s">
        <v>1849</v>
      </c>
      <c r="N817" t="s">
        <v>31</v>
      </c>
      <c r="O817">
        <v>5780</v>
      </c>
      <c r="P817">
        <v>14.4</v>
      </c>
      <c r="Q817">
        <v>10</v>
      </c>
      <c r="R817" s="107" t="str">
        <f>IF(AllData[[#This Row],[Nitrate (PPM)]]&gt;2, "Very high", IF(AllData[[#This Row],[Nitrate (PPM)]]&gt;1, "High", IF(AllData[[#This Row],[Nitrate (PPM)]]&gt;0.5, "Some evidence", IF(AllData[[#This Row],[Nitrate (PPM)]]&gt;=0, "No evidence"))))</f>
        <v>Very high</v>
      </c>
      <c r="S817">
        <v>0.64</v>
      </c>
      <c r="T817" s="7" t="str">
        <f>IF(AllData[[#This Row],[Phosphate (PPM)]]&gt;0.5, "Very high", IF(AllData[[#This Row],[Phosphate (PPM)]]&gt;0.1, "High", IF(AllData[[#This Row],[Phosphate (PPM)]]&gt;0.05, "Some evidence", IF(AllData[[#This Row],[Phosphate (PPM)]]&lt;=0.05, "No Evidence", ""))))</f>
        <v>Very high</v>
      </c>
      <c r="U817">
        <v>6.5</v>
      </c>
      <c r="V817" t="s">
        <v>2277</v>
      </c>
    </row>
    <row r="818" spans="1:22" x14ac:dyDescent="0.35">
      <c r="A818" t="s">
        <v>2274</v>
      </c>
      <c r="B818" s="143">
        <v>45584</v>
      </c>
      <c r="C818" s="2" t="str" cm="1">
        <f t="array" ref="C8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8">
        <f>YEAR(AllData[[#This Row],[Date]])</f>
        <v>2024</v>
      </c>
      <c r="E818" s="1">
        <v>0.5</v>
      </c>
      <c r="F818" t="str">
        <f>IF(AND(AllData[[#This Row],[Time]]&lt;0.5, AllData[[#This Row],[Time]]&gt;0.17)=TRUE, "Morning", IF(AND(AllData[[#This Row],[Time]]&lt;0.75, AllData[[#This Row],[Time]]&gt;=0.5)=TRUE, "Afternoon", IF(AND(AllData[[#This Row],[Time]]&lt;1, AllData[[#This Row],[Time]]&gt;=0.75)=TRUE, "Evening", "Night")))</f>
        <v>Afternoon</v>
      </c>
      <c r="G818" t="str">
        <f>_xlfn.XLOOKUP(AllData[[#This Row],[Location Name]], Locations[Location Name],Locations[Group As])</f>
        <v>Carrant Bredon Rd</v>
      </c>
      <c r="H818" t="e" vm="4">
        <f>_xlfn.XLOOKUP(AllData[[#This Row],[Site Name]],LocationsKey[Site Name],LocationsKey[District])</f>
        <v>#VALUE!</v>
      </c>
      <c r="I818" t="e" vm="4">
        <f>_xlfn.XLOOKUP(AllData[[#This Row],[Site Name]],LocationsKey[Site Name],LocationsKey[Town])</f>
        <v>#VALUE!</v>
      </c>
      <c r="J818" t="str">
        <f>_xlfn.XLOOKUP(AllData[[#This Row],[Site Name]],LocationsKey[Site Name], LocationsKey[Waterway])</f>
        <v>Carrant</v>
      </c>
      <c r="K818" t="s">
        <v>603</v>
      </c>
      <c r="L818">
        <v>51.996194000000003</v>
      </c>
      <c r="M818">
        <v>-2.156047</v>
      </c>
      <c r="N818" t="s">
        <v>25</v>
      </c>
      <c r="O818">
        <v>684</v>
      </c>
      <c r="P818">
        <v>14.5</v>
      </c>
      <c r="Q818">
        <v>7</v>
      </c>
      <c r="R818" s="107" t="str">
        <f>IF(AllData[[#This Row],[Nitrate (PPM)]]&gt;2, "Very high", IF(AllData[[#This Row],[Nitrate (PPM)]]&gt;1, "High", IF(AllData[[#This Row],[Nitrate (PPM)]]&gt;0.5, "Some evidence", IF(AllData[[#This Row],[Nitrate (PPM)]]&gt;=0, "No evidence"))))</f>
        <v>Very high</v>
      </c>
      <c r="S818">
        <v>0.68</v>
      </c>
      <c r="T818" s="7" t="str">
        <f>IF(AllData[[#This Row],[Phosphate (PPM)]]&gt;0.5, "Very high", IF(AllData[[#This Row],[Phosphate (PPM)]]&gt;0.1, "High", IF(AllData[[#This Row],[Phosphate (PPM)]]&gt;0.05, "Some evidence", IF(AllData[[#This Row],[Phosphate (PPM)]]&lt;=0.05, "No Evidence", ""))))</f>
        <v>Very high</v>
      </c>
      <c r="U818">
        <v>1.85</v>
      </c>
      <c r="V818" t="s">
        <v>2275</v>
      </c>
    </row>
    <row r="819" spans="1:22" x14ac:dyDescent="0.35">
      <c r="A819" t="s">
        <v>2280</v>
      </c>
      <c r="B819" s="143">
        <v>45584</v>
      </c>
      <c r="C819" s="2" t="str" cm="1">
        <f t="array" ref="C8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19">
        <f>YEAR(AllData[[#This Row],[Date]])</f>
        <v>2024</v>
      </c>
      <c r="E819" s="1">
        <v>0.44722222222222224</v>
      </c>
      <c r="F819" t="str">
        <f>IF(AND(AllData[[#This Row],[Time]]&lt;0.5, AllData[[#This Row],[Time]]&gt;0.17)=TRUE, "Morning", IF(AND(AllData[[#This Row],[Time]]&lt;0.75, AllData[[#This Row],[Time]]&gt;=0.5)=TRUE, "Afternoon", IF(AND(AllData[[#This Row],[Time]]&lt;1, AllData[[#This Row],[Time]]&gt;=0.75)=TRUE, "Evening", "Night")))</f>
        <v>Morning</v>
      </c>
      <c r="G819" t="str">
        <f>_xlfn.XLOOKUP(AllData[[#This Row],[Location Name]], Locations[Location Name],Locations[Group As])</f>
        <v>Piddle Brook Wyre Piddle Bridge</v>
      </c>
      <c r="H819" t="e" vm="6">
        <f>_xlfn.XLOOKUP(AllData[[#This Row],[Site Name]],LocationsKey[Site Name],LocationsKey[District])</f>
        <v>#VALUE!</v>
      </c>
      <c r="I819" t="e" vm="13">
        <f>_xlfn.XLOOKUP(AllData[[#This Row],[Site Name]],LocationsKey[Site Name],LocationsKey[Town])</f>
        <v>#VALUE!</v>
      </c>
      <c r="J819" t="str">
        <f>_xlfn.XLOOKUP(AllData[[#This Row],[Site Name]],LocationsKey[Site Name], LocationsKey[Waterway])</f>
        <v>Piddle Brook</v>
      </c>
      <c r="K819" t="s">
        <v>787</v>
      </c>
      <c r="L819">
        <v>52.126404000000001</v>
      </c>
      <c r="M819">
        <v>-2.0565410000000002</v>
      </c>
      <c r="N819" t="s">
        <v>25</v>
      </c>
      <c r="O819">
        <v>765</v>
      </c>
      <c r="P819">
        <v>13.8</v>
      </c>
      <c r="Q819">
        <v>5</v>
      </c>
      <c r="R819" s="107" t="str">
        <f>IF(AllData[[#This Row],[Nitrate (PPM)]]&gt;2, "Very high", IF(AllData[[#This Row],[Nitrate (PPM)]]&gt;1, "High", IF(AllData[[#This Row],[Nitrate (PPM)]]&gt;0.5, "Some evidence", IF(AllData[[#This Row],[Nitrate (PPM)]]&gt;=0, "No evidence"))))</f>
        <v>Very high</v>
      </c>
      <c r="S819">
        <v>0.49</v>
      </c>
      <c r="T819" s="7" t="str">
        <f>IF(AllData[[#This Row],[Phosphate (PPM)]]&gt;0.5, "Very high", IF(AllData[[#This Row],[Phosphate (PPM)]]&gt;0.1, "High", IF(AllData[[#This Row],[Phosphate (PPM)]]&gt;0.05, "Some evidence", IF(AllData[[#This Row],[Phosphate (PPM)]]&lt;=0.05, "No Evidence", ""))))</f>
        <v>High</v>
      </c>
      <c r="U819">
        <v>1</v>
      </c>
      <c r="V819" t="s">
        <v>2281</v>
      </c>
    </row>
    <row r="820" spans="1:22" x14ac:dyDescent="0.35">
      <c r="A820" t="s">
        <v>2271</v>
      </c>
      <c r="B820" s="143">
        <v>45584</v>
      </c>
      <c r="C820" s="2" t="str" cm="1">
        <f t="array" ref="C8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0">
        <f>YEAR(AllData[[#This Row],[Date]])</f>
        <v>2024</v>
      </c>
      <c r="E820" s="1">
        <v>0.47222222222222221</v>
      </c>
      <c r="F820" t="str">
        <f>IF(AND(AllData[[#This Row],[Time]]&lt;0.5, AllData[[#This Row],[Time]]&gt;0.17)=TRUE, "Morning", IF(AND(AllData[[#This Row],[Time]]&lt;0.75, AllData[[#This Row],[Time]]&gt;=0.5)=TRUE, "Afternoon", IF(AND(AllData[[#This Row],[Time]]&lt;1, AllData[[#This Row],[Time]]&gt;=0.75)=TRUE, "Evening", "Night")))</f>
        <v>Morning</v>
      </c>
      <c r="G820" t="str">
        <f>_xlfn.XLOOKUP(AllData[[#This Row],[Location Name]], Locations[Location Name],Locations[Group As])</f>
        <v>Avonbank Drive</v>
      </c>
      <c r="H820" t="e" vm="1">
        <f>_xlfn.XLOOKUP(AllData[[#This Row],[Site Name]],LocationsKey[Site Name],LocationsKey[District])</f>
        <v>#VALUE!</v>
      </c>
      <c r="I820" t="e" vm="12">
        <f>_xlfn.XLOOKUP(AllData[[#This Row],[Site Name]],LocationsKey[Site Name],LocationsKey[Town])</f>
        <v>#VALUE!</v>
      </c>
      <c r="J820" t="str">
        <f>_xlfn.XLOOKUP(AllData[[#This Row],[Site Name]],LocationsKey[Site Name], LocationsKey[Waterway])</f>
        <v>Avon</v>
      </c>
      <c r="K820" t="s">
        <v>67</v>
      </c>
      <c r="L820">
        <v>52.178001000000002</v>
      </c>
      <c r="M820">
        <v>-1.7365029999999999</v>
      </c>
      <c r="N820" t="s">
        <v>68</v>
      </c>
      <c r="O820">
        <v>606</v>
      </c>
      <c r="P820">
        <v>16.7</v>
      </c>
      <c r="Q820">
        <v>5</v>
      </c>
      <c r="R820" s="107" t="str">
        <f>IF(AllData[[#This Row],[Nitrate (PPM)]]&gt;2, "Very high", IF(AllData[[#This Row],[Nitrate (PPM)]]&gt;1, "High", IF(AllData[[#This Row],[Nitrate (PPM)]]&gt;0.5, "Some evidence", IF(AllData[[#This Row],[Nitrate (PPM)]]&gt;=0, "No evidence"))))</f>
        <v>Very high</v>
      </c>
      <c r="S820">
        <v>0.56999999999999995</v>
      </c>
      <c r="T820" s="7" t="str">
        <f>IF(AllData[[#This Row],[Phosphate (PPM)]]&gt;0.5, "Very high", IF(AllData[[#This Row],[Phosphate (PPM)]]&gt;0.1, "High", IF(AllData[[#This Row],[Phosphate (PPM)]]&gt;0.05, "Some evidence", IF(AllData[[#This Row],[Phosphate (PPM)]]&lt;=0.05, "No Evidence", ""))))</f>
        <v>Very high</v>
      </c>
      <c r="U820">
        <v>1</v>
      </c>
    </row>
    <row r="821" spans="1:22" x14ac:dyDescent="0.35">
      <c r="A821" t="s">
        <v>2272</v>
      </c>
      <c r="B821" s="143">
        <v>45584</v>
      </c>
      <c r="C821" s="2" t="str" cm="1">
        <f t="array" ref="C8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1">
        <f>YEAR(AllData[[#This Row],[Date]])</f>
        <v>2024</v>
      </c>
      <c r="E821" s="1">
        <v>0.47083333333333333</v>
      </c>
      <c r="F821" t="str">
        <f>IF(AND(AllData[[#This Row],[Time]]&lt;0.5, AllData[[#This Row],[Time]]&gt;0.17)=TRUE, "Morning", IF(AND(AllData[[#This Row],[Time]]&lt;0.75, AllData[[#This Row],[Time]]&gt;=0.5)=TRUE, "Afternoon", IF(AND(AllData[[#This Row],[Time]]&lt;1, AllData[[#This Row],[Time]]&gt;=0.75)=TRUE, "Evening", "Night")))</f>
        <v>Morning</v>
      </c>
      <c r="G821" t="str">
        <f>_xlfn.XLOOKUP(AllData[[#This Row],[Location Name]], Locations[Location Name],Locations[Group As])</f>
        <v>Pitch 16</v>
      </c>
      <c r="H821" t="e" vm="1">
        <f>_xlfn.XLOOKUP(AllData[[#This Row],[Site Name]],LocationsKey[Site Name],LocationsKey[District])</f>
        <v>#VALUE!</v>
      </c>
      <c r="I821" t="e" vm="12">
        <f>_xlfn.XLOOKUP(AllData[[#This Row],[Site Name]],LocationsKey[Site Name],LocationsKey[Town])</f>
        <v>#VALUE!</v>
      </c>
      <c r="J821" t="str">
        <f>_xlfn.XLOOKUP(AllData[[#This Row],[Site Name]],LocationsKey[Site Name], LocationsKey[Waterway])</f>
        <v>Avon</v>
      </c>
      <c r="K821" t="s">
        <v>71</v>
      </c>
      <c r="L821">
        <v>50.831715000000003</v>
      </c>
      <c r="M821">
        <v>-0.306093</v>
      </c>
      <c r="N821" t="s">
        <v>31</v>
      </c>
      <c r="O821">
        <v>561</v>
      </c>
      <c r="P821">
        <v>17.5</v>
      </c>
      <c r="Q821">
        <v>5</v>
      </c>
      <c r="R821" s="107" t="str">
        <f>IF(AllData[[#This Row],[Nitrate (PPM)]]&gt;2, "Very high", IF(AllData[[#This Row],[Nitrate (PPM)]]&gt;1, "High", IF(AllData[[#This Row],[Nitrate (PPM)]]&gt;0.5, "Some evidence", IF(AllData[[#This Row],[Nitrate (PPM)]]&gt;=0, "No evidence"))))</f>
        <v>Very high</v>
      </c>
      <c r="S821">
        <v>0.56000000000000005</v>
      </c>
      <c r="T821" s="7" t="str">
        <f>IF(AllData[[#This Row],[Phosphate (PPM)]]&gt;0.5, "Very high", IF(AllData[[#This Row],[Phosphate (PPM)]]&gt;0.1, "High", IF(AllData[[#This Row],[Phosphate (PPM)]]&gt;0.05, "Some evidence", IF(AllData[[#This Row],[Phosphate (PPM)]]&lt;=0.05, "No Evidence", ""))))</f>
        <v>Very high</v>
      </c>
      <c r="U821">
        <v>1</v>
      </c>
    </row>
    <row r="822" spans="1:22" x14ac:dyDescent="0.35">
      <c r="A822" t="s">
        <v>2268</v>
      </c>
      <c r="B822" s="143">
        <v>45584</v>
      </c>
      <c r="C822" s="2" t="str" cm="1">
        <f t="array" ref="C8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2">
        <f>YEAR(AllData[[#This Row],[Date]])</f>
        <v>2024</v>
      </c>
      <c r="E822" s="1">
        <v>0.48541666666666666</v>
      </c>
      <c r="F822" t="str">
        <f>IF(AND(AllData[[#This Row],[Time]]&lt;0.5, AllData[[#This Row],[Time]]&gt;0.17)=TRUE, "Morning", IF(AND(AllData[[#This Row],[Time]]&lt;0.75, AllData[[#This Row],[Time]]&gt;=0.5)=TRUE, "Afternoon", IF(AND(AllData[[#This Row],[Time]]&lt;1, AllData[[#This Row],[Time]]&gt;=0.75)=TRUE, "Evening", "Night")))</f>
        <v>Morning</v>
      </c>
      <c r="G822" t="str">
        <f>_xlfn.XLOOKUP(AllData[[#This Row],[Location Name]], Locations[Location Name],Locations[Group As])</f>
        <v>Avon Smiths Meadow Wyre Piddle</v>
      </c>
      <c r="H822" t="e" vm="6">
        <f>_xlfn.XLOOKUP(AllData[[#This Row],[Site Name]],LocationsKey[Site Name],LocationsKey[District])</f>
        <v>#VALUE!</v>
      </c>
      <c r="I822" t="e" vm="13">
        <f>_xlfn.XLOOKUP(AllData[[#This Row],[Site Name]],LocationsKey[Site Name],LocationsKey[Town])</f>
        <v>#VALUE!</v>
      </c>
      <c r="J822" t="str">
        <f>_xlfn.XLOOKUP(AllData[[#This Row],[Site Name]],LocationsKey[Site Name], LocationsKey[Waterway])</f>
        <v>Avon</v>
      </c>
      <c r="K822" t="s">
        <v>2269</v>
      </c>
      <c r="L822">
        <v>52.122993999999998</v>
      </c>
      <c r="M822">
        <v>-2.057461</v>
      </c>
      <c r="N822" t="s">
        <v>25</v>
      </c>
      <c r="O822">
        <v>699</v>
      </c>
      <c r="P822">
        <v>13.6</v>
      </c>
      <c r="Q822">
        <v>4</v>
      </c>
      <c r="R822" s="107" t="str">
        <f>IF(AllData[[#This Row],[Nitrate (PPM)]]&gt;2, "Very high", IF(AllData[[#This Row],[Nitrate (PPM)]]&gt;1, "High", IF(AllData[[#This Row],[Nitrate (PPM)]]&gt;0.5, "Some evidence", IF(AllData[[#This Row],[Nitrate (PPM)]]&gt;=0, "No evidence"))))</f>
        <v>Very high</v>
      </c>
      <c r="S822">
        <v>0.51</v>
      </c>
      <c r="T822" s="7" t="str">
        <f>IF(AllData[[#This Row],[Phosphate (PPM)]]&gt;0.5, "Very high", IF(AllData[[#This Row],[Phosphate (PPM)]]&gt;0.1, "High", IF(AllData[[#This Row],[Phosphate (PPM)]]&gt;0.05, "Some evidence", IF(AllData[[#This Row],[Phosphate (PPM)]]&lt;=0.05, "No Evidence", ""))))</f>
        <v>Very high</v>
      </c>
      <c r="U822">
        <v>1.5</v>
      </c>
      <c r="V822" t="s">
        <v>2270</v>
      </c>
    </row>
    <row r="823" spans="1:22" x14ac:dyDescent="0.35">
      <c r="A823" t="s">
        <v>2278</v>
      </c>
      <c r="B823" s="143">
        <v>45584</v>
      </c>
      <c r="C823" s="2" t="str" cm="1">
        <f t="array" ref="C8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3">
        <f>YEAR(AllData[[#This Row],[Date]])</f>
        <v>2024</v>
      </c>
      <c r="E823" s="1">
        <v>0.60069444444444442</v>
      </c>
      <c r="F823" t="str">
        <f>IF(AND(AllData[[#This Row],[Time]]&lt;0.5, AllData[[#This Row],[Time]]&gt;0.17)=TRUE, "Morning", IF(AND(AllData[[#This Row],[Time]]&lt;0.75, AllData[[#This Row],[Time]]&gt;=0.5)=TRUE, "Afternoon", IF(AND(AllData[[#This Row],[Time]]&lt;1, AllData[[#This Row],[Time]]&gt;=0.75)=TRUE, "Evening", "Night")))</f>
        <v>Afternoon</v>
      </c>
      <c r="G823" t="str">
        <f>_xlfn.XLOOKUP(AllData[[#This Row],[Location Name]], Locations[Location Name],Locations[Group As])</f>
        <v>Mill Bridge Peopleton</v>
      </c>
      <c r="H823" t="e" vm="6">
        <f>_xlfn.XLOOKUP(AllData[[#This Row],[Site Name]],LocationsKey[Site Name],LocationsKey[District])</f>
        <v>#VALUE!</v>
      </c>
      <c r="I823" t="str">
        <f>_xlfn.XLOOKUP(AllData[[#This Row],[Site Name]],LocationsKey[Site Name],LocationsKey[Town])</f>
        <v>Peopleton</v>
      </c>
      <c r="J823" t="str">
        <f>_xlfn.XLOOKUP(AllData[[#This Row],[Site Name]],LocationsKey[Site Name], LocationsKey[Waterway])</f>
        <v>Bow Brook</v>
      </c>
      <c r="K823" t="s">
        <v>1015</v>
      </c>
      <c r="L823">
        <v>52.151707999999999</v>
      </c>
      <c r="M823">
        <v>-2.0963400000000001</v>
      </c>
      <c r="N823" t="s">
        <v>31</v>
      </c>
      <c r="O823">
        <v>657</v>
      </c>
      <c r="P823">
        <v>14.8</v>
      </c>
      <c r="Q823">
        <v>2</v>
      </c>
      <c r="R823" s="107" t="str">
        <f>IF(AllData[[#This Row],[Nitrate (PPM)]]&gt;2, "Very high", IF(AllData[[#This Row],[Nitrate (PPM)]]&gt;1, "High", IF(AllData[[#This Row],[Nitrate (PPM)]]&gt;0.5, "Some evidence", IF(AllData[[#This Row],[Nitrate (PPM)]]&gt;=0, "No evidence"))))</f>
        <v>High</v>
      </c>
      <c r="S823">
        <v>0.09</v>
      </c>
      <c r="T823" s="7" t="str">
        <f>IF(AllData[[#This Row],[Phosphate (PPM)]]&gt;0.5, "Very high", IF(AllData[[#This Row],[Phosphate (PPM)]]&gt;0.1, "High", IF(AllData[[#This Row],[Phosphate (PPM)]]&gt;0.05, "Some evidence", IF(AllData[[#This Row],[Phosphate (PPM)]]&lt;=0.05, "No Evidence", ""))))</f>
        <v>Some evidence</v>
      </c>
      <c r="U823">
        <v>1.5</v>
      </c>
      <c r="V823" t="s">
        <v>2279</v>
      </c>
    </row>
    <row r="824" spans="1:22" x14ac:dyDescent="0.35">
      <c r="A824" t="s">
        <v>2287</v>
      </c>
      <c r="B824" s="143">
        <v>45584</v>
      </c>
      <c r="C824" s="2" t="str" cm="1">
        <f t="array" ref="C8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4">
        <f>YEAR(AllData[[#This Row],[Date]])</f>
        <v>2024</v>
      </c>
      <c r="E824" s="1">
        <v>0.4375</v>
      </c>
      <c r="F824" t="str">
        <f>IF(AND(AllData[[#This Row],[Time]]&lt;0.5, AllData[[#This Row],[Time]]&gt;0.17)=TRUE, "Morning", IF(AND(AllData[[#This Row],[Time]]&lt;0.75, AllData[[#This Row],[Time]]&gt;=0.5)=TRUE, "Afternoon", IF(AND(AllData[[#This Row],[Time]]&lt;1, AllData[[#This Row],[Time]]&gt;=0.75)=TRUE, "Evening", "Night")))</f>
        <v>Morning</v>
      </c>
      <c r="G824" t="str">
        <f>_xlfn.XLOOKUP(AllData[[#This Row],[Location Name]], Locations[Location Name],Locations[Group As])</f>
        <v>Site 3  :  Severn Trent Water processing plant outflow</v>
      </c>
      <c r="H824" t="e" vm="1">
        <f>_xlfn.XLOOKUP(AllData[[#This Row],[Site Name]],LocationsKey[Site Name],LocationsKey[District])</f>
        <v>#VALUE!</v>
      </c>
      <c r="I824" t="e" vm="14">
        <f>_xlfn.XLOOKUP(AllData[[#This Row],[Site Name]],LocationsKey[Site Name],LocationsKey[Town])</f>
        <v>#VALUE!</v>
      </c>
      <c r="J824" t="str">
        <f>_xlfn.XLOOKUP(AllData[[#This Row],[Site Name]],LocationsKey[Site Name], LocationsKey[Waterway])</f>
        <v>Fosseway Brook</v>
      </c>
      <c r="K824" t="s">
        <v>2288</v>
      </c>
      <c r="L824">
        <v>52.094423999999997</v>
      </c>
      <c r="M824">
        <v>-1.6759090000000001</v>
      </c>
      <c r="N824" t="s">
        <v>31</v>
      </c>
      <c r="O824">
        <v>493</v>
      </c>
      <c r="P824">
        <v>14.1</v>
      </c>
      <c r="Q824">
        <v>2</v>
      </c>
      <c r="R824" s="107" t="str">
        <f>IF(AllData[[#This Row],[Nitrate (PPM)]]&gt;2, "Very high", IF(AllData[[#This Row],[Nitrate (PPM)]]&gt;1, "High", IF(AllData[[#This Row],[Nitrate (PPM)]]&gt;0.5, "Some evidence", IF(AllData[[#This Row],[Nitrate (PPM)]]&gt;=0, "No evidence"))))</f>
        <v>High</v>
      </c>
      <c r="S824">
        <v>0.89</v>
      </c>
      <c r="T824" s="7" t="str">
        <f>IF(AllData[[#This Row],[Phosphate (PPM)]]&gt;0.5, "Very high", IF(AllData[[#This Row],[Phosphate (PPM)]]&gt;0.1, "High", IF(AllData[[#This Row],[Phosphate (PPM)]]&gt;0.05, "Some evidence", IF(AllData[[#This Row],[Phosphate (PPM)]]&lt;=0.05, "No Evidence", ""))))</f>
        <v>Very high</v>
      </c>
      <c r="U824">
        <v>0.5</v>
      </c>
      <c r="V824" t="s">
        <v>2289</v>
      </c>
    </row>
    <row r="825" spans="1:22" x14ac:dyDescent="0.35">
      <c r="A825" t="s">
        <v>2282</v>
      </c>
      <c r="B825" s="143">
        <v>45584</v>
      </c>
      <c r="C825" s="2" t="str" cm="1">
        <f t="array" ref="C8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5">
        <f>YEAR(AllData[[#This Row],[Date]])</f>
        <v>2024</v>
      </c>
      <c r="E825" s="1">
        <v>0.42708333333333331</v>
      </c>
      <c r="F825" t="str">
        <f>IF(AND(AllData[[#This Row],[Time]]&lt;0.5, AllData[[#This Row],[Time]]&gt;0.17)=TRUE, "Morning", IF(AND(AllData[[#This Row],[Time]]&lt;0.75, AllData[[#This Row],[Time]]&gt;=0.5)=TRUE, "Afternoon", IF(AND(AllData[[#This Row],[Time]]&lt;1, AllData[[#This Row],[Time]]&gt;=0.75)=TRUE, "Evening", "Night")))</f>
        <v>Morning</v>
      </c>
      <c r="G825" t="str">
        <f>_xlfn.XLOOKUP(AllData[[#This Row],[Location Name]], Locations[Location Name],Locations[Group As])</f>
        <v>Site 2  :  Cross Leys culvert</v>
      </c>
      <c r="H825" t="e" vm="1">
        <f>_xlfn.XLOOKUP(AllData[[#This Row],[Site Name]],LocationsKey[Site Name],LocationsKey[District])</f>
        <v>#VALUE!</v>
      </c>
      <c r="I825" t="e" vm="14">
        <f>_xlfn.XLOOKUP(AllData[[#This Row],[Site Name]],LocationsKey[Site Name],LocationsKey[Town])</f>
        <v>#VALUE!</v>
      </c>
      <c r="J825" t="str">
        <f>_xlfn.XLOOKUP(AllData[[#This Row],[Site Name]],LocationsKey[Site Name], LocationsKey[Waterway])</f>
        <v>Fosseway Brook</v>
      </c>
      <c r="K825" t="s">
        <v>2283</v>
      </c>
      <c r="L825">
        <v>52.092967999999999</v>
      </c>
      <c r="M825">
        <v>-1.6862710000000001</v>
      </c>
      <c r="N825" t="s">
        <v>68</v>
      </c>
      <c r="O825">
        <v>450</v>
      </c>
      <c r="P825">
        <v>14.8</v>
      </c>
      <c r="Q825">
        <v>2</v>
      </c>
      <c r="R825" s="107" t="str">
        <f>IF(AllData[[#This Row],[Nitrate (PPM)]]&gt;2, "Very high", IF(AllData[[#This Row],[Nitrate (PPM)]]&gt;1, "High", IF(AllData[[#This Row],[Nitrate (PPM)]]&gt;0.5, "Some evidence", IF(AllData[[#This Row],[Nitrate (PPM)]]&gt;=0, "No evidence"))))</f>
        <v>High</v>
      </c>
      <c r="S825">
        <v>0.55000000000000004</v>
      </c>
      <c r="T825" s="7" t="str">
        <f>IF(AllData[[#This Row],[Phosphate (PPM)]]&gt;0.5, "Very high", IF(AllData[[#This Row],[Phosphate (PPM)]]&gt;0.1, "High", IF(AllData[[#This Row],[Phosphate (PPM)]]&gt;0.05, "Some evidence", IF(AllData[[#This Row],[Phosphate (PPM)]]&lt;=0.05, "No Evidence", ""))))</f>
        <v>Very high</v>
      </c>
      <c r="U825">
        <v>0.5</v>
      </c>
      <c r="V825" t="s">
        <v>2284</v>
      </c>
    </row>
    <row r="826" spans="1:22" x14ac:dyDescent="0.35">
      <c r="A826" t="s">
        <v>2273</v>
      </c>
      <c r="B826" s="143">
        <v>45584</v>
      </c>
      <c r="C826" s="2" t="str" cm="1">
        <f t="array" ref="C8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6">
        <f>YEAR(AllData[[#This Row],[Date]])</f>
        <v>2024</v>
      </c>
      <c r="E826" s="1">
        <v>0.39583333333333331</v>
      </c>
      <c r="F826" t="str">
        <f>IF(AND(AllData[[#This Row],[Time]]&lt;0.5, AllData[[#This Row],[Time]]&gt;0.17)=TRUE, "Morning", IF(AND(AllData[[#This Row],[Time]]&lt;0.75, AllData[[#This Row],[Time]]&gt;=0.5)=TRUE, "Afternoon", IF(AND(AllData[[#This Row],[Time]]&lt;1, AllData[[#This Row],[Time]]&gt;=0.75)=TRUE, "Evening", "Night")))</f>
        <v>Morning</v>
      </c>
      <c r="G826" t="str">
        <f>_xlfn.XLOOKUP(AllData[[#This Row],[Location Name]], Locations[Location Name],Locations[Group As])</f>
        <v>Stour Willington</v>
      </c>
      <c r="H826" t="e" vm="1">
        <f>_xlfn.XLOOKUP(AllData[[#This Row],[Site Name]],LocationsKey[Site Name],LocationsKey[District])</f>
        <v>#VALUE!</v>
      </c>
      <c r="I826" t="str">
        <f>_xlfn.XLOOKUP(AllData[[#This Row],[Site Name]],LocationsKey[Site Name],LocationsKey[Town])</f>
        <v>Willington</v>
      </c>
      <c r="J826" t="str">
        <f>_xlfn.XLOOKUP(AllData[[#This Row],[Site Name]],LocationsKey[Site Name], LocationsKey[Waterway])</f>
        <v>Stour</v>
      </c>
      <c r="K826" t="s">
        <v>521</v>
      </c>
      <c r="L826">
        <v>52.053469999999997</v>
      </c>
      <c r="M826">
        <v>-1.6203270000000001</v>
      </c>
      <c r="N826" t="s">
        <v>25</v>
      </c>
      <c r="O826">
        <v>409</v>
      </c>
      <c r="P826">
        <v>13.9</v>
      </c>
      <c r="Q826">
        <v>2</v>
      </c>
      <c r="R826" s="107" t="str">
        <f>IF(AllData[[#This Row],[Nitrate (PPM)]]&gt;2, "Very high", IF(AllData[[#This Row],[Nitrate (PPM)]]&gt;1, "High", IF(AllData[[#This Row],[Nitrate (PPM)]]&gt;0.5, "Some evidence", IF(AllData[[#This Row],[Nitrate (PPM)]]&gt;=0, "No evidence"))))</f>
        <v>High</v>
      </c>
      <c r="S826">
        <v>0.46</v>
      </c>
      <c r="T826" s="7" t="str">
        <f>IF(AllData[[#This Row],[Phosphate (PPM)]]&gt;0.5, "Very high", IF(AllData[[#This Row],[Phosphate (PPM)]]&gt;0.1, "High", IF(AllData[[#This Row],[Phosphate (PPM)]]&gt;0.05, "Some evidence", IF(AllData[[#This Row],[Phosphate (PPM)]]&lt;=0.05, "No Evidence", ""))))</f>
        <v>High</v>
      </c>
      <c r="U826">
        <v>1.5</v>
      </c>
    </row>
    <row r="827" spans="1:22" x14ac:dyDescent="0.35">
      <c r="A827" t="s">
        <v>2285</v>
      </c>
      <c r="B827" s="143">
        <v>45584</v>
      </c>
      <c r="C827" s="2" t="str" cm="1">
        <f t="array" ref="C8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7">
        <f>YEAR(AllData[[#This Row],[Date]])</f>
        <v>2024</v>
      </c>
      <c r="E827" s="1">
        <v>0.41666666666666669</v>
      </c>
      <c r="F827" t="str">
        <f>IF(AND(AllData[[#This Row],[Time]]&lt;0.5, AllData[[#This Row],[Time]]&gt;0.17)=TRUE, "Morning", IF(AND(AllData[[#This Row],[Time]]&lt;0.75, AllData[[#This Row],[Time]]&gt;=0.5)=TRUE, "Afternoon", IF(AND(AllData[[#This Row],[Time]]&lt;1, AllData[[#This Row],[Time]]&gt;=0.75)=TRUE, "Evening", "Night")))</f>
        <v>Morning</v>
      </c>
      <c r="G827" t="str">
        <f>_xlfn.XLOOKUP(AllData[[#This Row],[Location Name]], Locations[Location Name],Locations[Group As])</f>
        <v>Site 1  :  Middle Street</v>
      </c>
      <c r="H827" t="e" vm="1">
        <f>_xlfn.XLOOKUP(AllData[[#This Row],[Site Name]],LocationsKey[Site Name],LocationsKey[District])</f>
        <v>#VALUE!</v>
      </c>
      <c r="I827" t="e" vm="14">
        <f>_xlfn.XLOOKUP(AllData[[#This Row],[Site Name]],LocationsKey[Site Name],LocationsKey[Town])</f>
        <v>#VALUE!</v>
      </c>
      <c r="J827" t="str">
        <f>_xlfn.XLOOKUP(AllData[[#This Row],[Site Name]],LocationsKey[Site Name], LocationsKey[Waterway])</f>
        <v>Fosseway Brook</v>
      </c>
      <c r="K827" t="s">
        <v>2286</v>
      </c>
      <c r="L827">
        <v>52.090085000000002</v>
      </c>
      <c r="M827">
        <v>-1.692593</v>
      </c>
      <c r="N827" t="s">
        <v>68</v>
      </c>
      <c r="O827">
        <v>380</v>
      </c>
      <c r="P827">
        <v>16.399999999999999</v>
      </c>
      <c r="Q827">
        <v>2</v>
      </c>
      <c r="R827" s="107" t="str">
        <f>IF(AllData[[#This Row],[Nitrate (PPM)]]&gt;2, "Very high", IF(AllData[[#This Row],[Nitrate (PPM)]]&gt;1, "High", IF(AllData[[#This Row],[Nitrate (PPM)]]&gt;0.5, "Some evidence", IF(AllData[[#This Row],[Nitrate (PPM)]]&gt;=0, "No evidence"))))</f>
        <v>High</v>
      </c>
      <c r="S827">
        <v>0.21</v>
      </c>
      <c r="T827" s="7" t="str">
        <f>IF(AllData[[#This Row],[Phosphate (PPM)]]&gt;0.5, "Very high", IF(AllData[[#This Row],[Phosphate (PPM)]]&gt;0.1, "High", IF(AllData[[#This Row],[Phosphate (PPM)]]&gt;0.05, "Some evidence", IF(AllData[[#This Row],[Phosphate (PPM)]]&lt;=0.05, "No Evidence", ""))))</f>
        <v>High</v>
      </c>
      <c r="U827">
        <v>0.15</v>
      </c>
      <c r="V827" t="s">
        <v>2284</v>
      </c>
    </row>
    <row r="828" spans="1:22" x14ac:dyDescent="0.35">
      <c r="A828" t="s">
        <v>2266</v>
      </c>
      <c r="B828" s="143">
        <v>45583</v>
      </c>
      <c r="C828" s="2" t="str" cm="1">
        <f t="array" ref="C8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8">
        <f>YEAR(AllData[[#This Row],[Date]])</f>
        <v>2024</v>
      </c>
      <c r="E828" s="1">
        <v>0.6020833333333333</v>
      </c>
      <c r="F828" t="str">
        <f>IF(AND(AllData[[#This Row],[Time]]&lt;0.5, AllData[[#This Row],[Time]]&gt;0.17)=TRUE, "Morning", IF(AND(AllData[[#This Row],[Time]]&lt;0.75, AllData[[#This Row],[Time]]&gt;=0.5)=TRUE, "Afternoon", IF(AND(AllData[[#This Row],[Time]]&lt;1, AllData[[#This Row],[Time]]&gt;=0.75)=TRUE, "Evening", "Night")))</f>
        <v>Afternoon</v>
      </c>
      <c r="G828" t="str">
        <f>_xlfn.XLOOKUP(AllData[[#This Row],[Location Name]], Locations[Location Name],Locations[Group As])</f>
        <v>Carrant Back Lane Beckford</v>
      </c>
      <c r="H828" t="e" vm="4">
        <f>_xlfn.XLOOKUP(AllData[[#This Row],[Site Name]],LocationsKey[Site Name],LocationsKey[District])</f>
        <v>#VALUE!</v>
      </c>
      <c r="I828" t="str">
        <f>_xlfn.XLOOKUP(AllData[[#This Row],[Site Name]],LocationsKey[Site Name],LocationsKey[Town])</f>
        <v>Beckford</v>
      </c>
      <c r="J828" t="str">
        <f>_xlfn.XLOOKUP(AllData[[#This Row],[Site Name]],LocationsKey[Site Name], LocationsKey[Waterway])</f>
        <v>Carrant</v>
      </c>
      <c r="K828" t="s">
        <v>1736</v>
      </c>
      <c r="L828">
        <v>52.018436000000001</v>
      </c>
      <c r="M828">
        <v>-2.0387439999999999</v>
      </c>
      <c r="N828" t="s">
        <v>68</v>
      </c>
      <c r="O828">
        <v>688</v>
      </c>
      <c r="P828">
        <v>14.3</v>
      </c>
      <c r="Q828">
        <v>7</v>
      </c>
      <c r="R828" s="107" t="str">
        <f>IF(AllData[[#This Row],[Nitrate (PPM)]]&gt;2, "Very high", IF(AllData[[#This Row],[Nitrate (PPM)]]&gt;1, "High", IF(AllData[[#This Row],[Nitrate (PPM)]]&gt;0.5, "Some evidence", IF(AllData[[#This Row],[Nitrate (PPM)]]&gt;=0, "No evidence"))))</f>
        <v>Very high</v>
      </c>
      <c r="S828">
        <v>0.08</v>
      </c>
      <c r="T828" s="7" t="str">
        <f>IF(AllData[[#This Row],[Phosphate (PPM)]]&gt;0.5, "Very high", IF(AllData[[#This Row],[Phosphate (PPM)]]&gt;0.1, "High", IF(AllData[[#This Row],[Phosphate (PPM)]]&gt;0.05, "Some evidence", IF(AllData[[#This Row],[Phosphate (PPM)]]&lt;=0.05, "No Evidence", ""))))</f>
        <v>Some evidence</v>
      </c>
      <c r="U828">
        <v>0.32</v>
      </c>
    </row>
    <row r="829" spans="1:22" x14ac:dyDescent="0.35">
      <c r="A829" t="s">
        <v>2267</v>
      </c>
      <c r="B829" s="143">
        <v>45583</v>
      </c>
      <c r="C829" s="2" t="str" cm="1">
        <f t="array" ref="C8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29">
        <f>YEAR(AllData[[#This Row],[Date]])</f>
        <v>2024</v>
      </c>
      <c r="E829" s="1">
        <v>0.64444444444444449</v>
      </c>
      <c r="F829" t="str">
        <f>IF(AND(AllData[[#This Row],[Time]]&lt;0.5, AllData[[#This Row],[Time]]&gt;0.17)=TRUE, "Morning", IF(AND(AllData[[#This Row],[Time]]&lt;0.75, AllData[[#This Row],[Time]]&gt;=0.5)=TRUE, "Afternoon", IF(AND(AllData[[#This Row],[Time]]&lt;1, AllData[[#This Row],[Time]]&gt;=0.75)=TRUE, "Evening", "Night")))</f>
        <v>Afternoon</v>
      </c>
      <c r="G829" t="str">
        <f>_xlfn.XLOOKUP(AllData[[#This Row],[Location Name]], Locations[Location Name],Locations[Group As])</f>
        <v>Stour Shipston Mill Bridge</v>
      </c>
      <c r="H829" t="e" vm="1">
        <f>_xlfn.XLOOKUP(AllData[[#This Row],[Site Name]],LocationsKey[Site Name],LocationsKey[District])</f>
        <v>#VALUE!</v>
      </c>
      <c r="I829" t="e" vm="15">
        <f>_xlfn.XLOOKUP(AllData[[#This Row],[Site Name]],LocationsKey[Site Name],LocationsKey[Town])</f>
        <v>#VALUE!</v>
      </c>
      <c r="J829" t="str">
        <f>_xlfn.XLOOKUP(AllData[[#This Row],[Site Name]],LocationsKey[Site Name], LocationsKey[Waterway])</f>
        <v>Stour</v>
      </c>
      <c r="K829" t="s">
        <v>2006</v>
      </c>
      <c r="L829">
        <v>52.062260000000002</v>
      </c>
      <c r="M829">
        <v>-1.621801</v>
      </c>
      <c r="N829" t="s">
        <v>25</v>
      </c>
      <c r="O829">
        <v>541</v>
      </c>
      <c r="P829">
        <v>12.7</v>
      </c>
      <c r="Q829">
        <v>3</v>
      </c>
      <c r="R829" s="107" t="str">
        <f>IF(AllData[[#This Row],[Nitrate (PPM)]]&gt;2, "Very high", IF(AllData[[#This Row],[Nitrate (PPM)]]&gt;1, "High", IF(AllData[[#This Row],[Nitrate (PPM)]]&gt;0.5, "Some evidence", IF(AllData[[#This Row],[Nitrate (PPM)]]&gt;=0, "No evidence"))))</f>
        <v>Very high</v>
      </c>
      <c r="S829">
        <v>0.26</v>
      </c>
      <c r="T829" s="7" t="str">
        <f>IF(AllData[[#This Row],[Phosphate (PPM)]]&gt;0.5, "Very high", IF(AllData[[#This Row],[Phosphate (PPM)]]&gt;0.1, "High", IF(AllData[[#This Row],[Phosphate (PPM)]]&gt;0.05, "Some evidence", IF(AllData[[#This Row],[Phosphate (PPM)]]&lt;=0.05, "No Evidence", ""))))</f>
        <v>High</v>
      </c>
      <c r="U829">
        <v>0.92</v>
      </c>
    </row>
    <row r="830" spans="1:22" x14ac:dyDescent="0.35">
      <c r="A830" t="s">
        <v>2265</v>
      </c>
      <c r="B830" s="143">
        <v>45582</v>
      </c>
      <c r="C830" s="2" t="str" cm="1">
        <f t="array" ref="C8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0">
        <f>YEAR(AllData[[#This Row],[Date]])</f>
        <v>2024</v>
      </c>
      <c r="E830" s="1">
        <v>0.625</v>
      </c>
      <c r="F830" t="str">
        <f>IF(AND(AllData[[#This Row],[Time]]&lt;0.5, AllData[[#This Row],[Time]]&gt;0.17)=TRUE, "Morning", IF(AND(AllData[[#This Row],[Time]]&lt;0.75, AllData[[#This Row],[Time]]&gt;=0.5)=TRUE, "Afternoon", IF(AND(AllData[[#This Row],[Time]]&lt;1, AllData[[#This Row],[Time]]&gt;=0.75)=TRUE, "Evening", "Night")))</f>
        <v>Afternoon</v>
      </c>
      <c r="G830" t="str">
        <f>_xlfn.XLOOKUP(AllData[[#This Row],[Location Name]], Locations[Location Name],Locations[Group As])</f>
        <v>Twyning Fleet</v>
      </c>
      <c r="H830" t="e" vm="4">
        <f>_xlfn.XLOOKUP(AllData[[#This Row],[Site Name]],LocationsKey[Site Name],LocationsKey[District])</f>
        <v>#VALUE!</v>
      </c>
      <c r="I830" t="str">
        <f>_xlfn.XLOOKUP(AllData[[#This Row],[Site Name]],LocationsKey[Site Name],LocationsKey[Town])</f>
        <v>Twyning Green</v>
      </c>
      <c r="J830" t="str">
        <f>_xlfn.XLOOKUP(AllData[[#This Row],[Site Name]],LocationsKey[Site Name], LocationsKey[Waterway])</f>
        <v>Avon</v>
      </c>
      <c r="K830" t="s">
        <v>2181</v>
      </c>
      <c r="L830">
        <v>52.027431999999997</v>
      </c>
      <c r="M830">
        <v>-2.1408909999999999</v>
      </c>
      <c r="O830">
        <v>731</v>
      </c>
      <c r="P830">
        <v>13.6</v>
      </c>
      <c r="Q830">
        <v>5</v>
      </c>
      <c r="R830" s="107" t="str">
        <f>IF(AllData[[#This Row],[Nitrate (PPM)]]&gt;2, "Very high", IF(AllData[[#This Row],[Nitrate (PPM)]]&gt;1, "High", IF(AllData[[#This Row],[Nitrate (PPM)]]&gt;0.5, "Some evidence", IF(AllData[[#This Row],[Nitrate (PPM)]]&gt;=0, "No evidence"))))</f>
        <v>Very high</v>
      </c>
      <c r="S830">
        <v>0.23</v>
      </c>
      <c r="T830" s="7" t="str">
        <f>IF(AllData[[#This Row],[Phosphate (PPM)]]&gt;0.5, "Very high", IF(AllData[[#This Row],[Phosphate (PPM)]]&gt;0.1, "High", IF(AllData[[#This Row],[Phosphate (PPM)]]&gt;0.05, "Some evidence", IF(AllData[[#This Row],[Phosphate (PPM)]]&lt;=0.05, "No Evidence", ""))))</f>
        <v>High</v>
      </c>
      <c r="U830">
        <v>0</v>
      </c>
    </row>
    <row r="831" spans="1:22" x14ac:dyDescent="0.35">
      <c r="A831" t="s">
        <v>2264</v>
      </c>
      <c r="B831" s="143">
        <v>45582</v>
      </c>
      <c r="C831" s="2" t="str" cm="1">
        <f t="array" ref="C8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1">
        <f>YEAR(AllData[[#This Row],[Date]])</f>
        <v>2024</v>
      </c>
      <c r="E831" s="1">
        <v>0.5</v>
      </c>
      <c r="F831" t="str">
        <f>IF(AND(AllData[[#This Row],[Time]]&lt;0.5, AllData[[#This Row],[Time]]&gt;0.17)=TRUE, "Morning", IF(AND(AllData[[#This Row],[Time]]&lt;0.75, AllData[[#This Row],[Time]]&gt;=0.5)=TRUE, "Afternoon", IF(AND(AllData[[#This Row],[Time]]&lt;1, AllData[[#This Row],[Time]]&gt;=0.75)=TRUE, "Evening", "Night")))</f>
        <v>Afternoon</v>
      </c>
      <c r="G831" t="str">
        <f>_xlfn.XLOOKUP(AllData[[#This Row],[Location Name]], Locations[Location Name],Locations[Group As])</f>
        <v>Swilgate</v>
      </c>
      <c r="H831" t="e" vm="4">
        <f>_xlfn.XLOOKUP(AllData[[#This Row],[Site Name]],LocationsKey[Site Name],LocationsKey[District])</f>
        <v>#VALUE!</v>
      </c>
      <c r="I831" t="e" vm="4">
        <f>_xlfn.XLOOKUP(AllData[[#This Row],[Site Name]],LocationsKey[Site Name],LocationsKey[Town])</f>
        <v>#VALUE!</v>
      </c>
      <c r="J831" t="str">
        <f>_xlfn.XLOOKUP(AllData[[#This Row],[Site Name]],LocationsKey[Site Name], LocationsKey[Waterway])</f>
        <v>Swilgate</v>
      </c>
      <c r="K831" t="s">
        <v>85</v>
      </c>
      <c r="N831" t="s">
        <v>25</v>
      </c>
      <c r="O831">
        <v>645</v>
      </c>
      <c r="P831">
        <v>15.1</v>
      </c>
      <c r="Q831">
        <v>3</v>
      </c>
      <c r="R831" s="107" t="str">
        <f>IF(AllData[[#This Row],[Nitrate (PPM)]]&gt;2, "Very high", IF(AllData[[#This Row],[Nitrate (PPM)]]&gt;1, "High", IF(AllData[[#This Row],[Nitrate (PPM)]]&gt;0.5, "Some evidence", IF(AllData[[#This Row],[Nitrate (PPM)]]&gt;=0, "No evidence"))))</f>
        <v>Very high</v>
      </c>
      <c r="S831">
        <v>0.55000000000000004</v>
      </c>
      <c r="T831" s="7" t="str">
        <f>IF(AllData[[#This Row],[Phosphate (PPM)]]&gt;0.5, "Very high", IF(AllData[[#This Row],[Phosphate (PPM)]]&gt;0.1, "High", IF(AllData[[#This Row],[Phosphate (PPM)]]&gt;0.05, "Some evidence", IF(AllData[[#This Row],[Phosphate (PPM)]]&lt;=0.05, "No Evidence", ""))))</f>
        <v>Very high</v>
      </c>
      <c r="U831">
        <v>2</v>
      </c>
      <c r="V831" t="s">
        <v>293</v>
      </c>
    </row>
    <row r="832" spans="1:22" x14ac:dyDescent="0.35">
      <c r="A832" t="s">
        <v>2260</v>
      </c>
      <c r="B832" s="143">
        <v>45581</v>
      </c>
      <c r="C832" s="2" t="str" cm="1">
        <f t="array" ref="C8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2">
        <f>YEAR(AllData[[#This Row],[Date]])</f>
        <v>2024</v>
      </c>
      <c r="E832" s="1">
        <v>0.4777777777777778</v>
      </c>
      <c r="F832" t="str">
        <f>IF(AND(AllData[[#This Row],[Time]]&lt;0.5, AllData[[#This Row],[Time]]&gt;0.17)=TRUE, "Morning", IF(AND(AllData[[#This Row],[Time]]&lt;0.75, AllData[[#This Row],[Time]]&gt;=0.5)=TRUE, "Afternoon", IF(AND(AllData[[#This Row],[Time]]&lt;1, AllData[[#This Row],[Time]]&gt;=0.75)=TRUE, "Evening", "Night")))</f>
        <v>Morning</v>
      </c>
      <c r="G832" t="str">
        <f>_xlfn.XLOOKUP(AllData[[#This Row],[Location Name]], Locations[Location Name],Locations[Group As])</f>
        <v>Swiffen Bank</v>
      </c>
      <c r="H832" t="e" vm="1">
        <f>_xlfn.XLOOKUP(AllData[[#This Row],[Site Name]],LocationsKey[Site Name],LocationsKey[District])</f>
        <v>#VALUE!</v>
      </c>
      <c r="I832" t="e" vm="2">
        <f>_xlfn.XLOOKUP(AllData[[#This Row],[Site Name]],LocationsKey[Site Name],LocationsKey[Town])</f>
        <v>#VALUE!</v>
      </c>
      <c r="J832" t="str">
        <f>_xlfn.XLOOKUP(AllData[[#This Row],[Site Name]],LocationsKey[Site Name], LocationsKey[Waterway])</f>
        <v>Avon</v>
      </c>
      <c r="K832" t="s">
        <v>286</v>
      </c>
      <c r="N832" t="s">
        <v>31</v>
      </c>
      <c r="O832">
        <v>644</v>
      </c>
      <c r="P832">
        <v>14.7</v>
      </c>
      <c r="Q832">
        <v>10</v>
      </c>
      <c r="R832" s="107" t="str">
        <f>IF(AllData[[#This Row],[Nitrate (PPM)]]&gt;2, "Very high", IF(AllData[[#This Row],[Nitrate (PPM)]]&gt;1, "High", IF(AllData[[#This Row],[Nitrate (PPM)]]&gt;0.5, "Some evidence", IF(AllData[[#This Row],[Nitrate (PPM)]]&gt;=0, "No evidence"))))</f>
        <v>Very high</v>
      </c>
      <c r="S832">
        <v>0.5</v>
      </c>
      <c r="T832" s="7" t="str">
        <f>IF(AllData[[#This Row],[Phosphate (PPM)]]&gt;0.5, "Very high", IF(AllData[[#This Row],[Phosphate (PPM)]]&gt;0.1, "High", IF(AllData[[#This Row],[Phosphate (PPM)]]&gt;0.05, "Some evidence", IF(AllData[[#This Row],[Phosphate (PPM)]]&lt;=0.05, "No Evidence", ""))))</f>
        <v>High</v>
      </c>
      <c r="U832">
        <v>0</v>
      </c>
      <c r="V832" t="s">
        <v>2261</v>
      </c>
    </row>
    <row r="833" spans="1:22" x14ac:dyDescent="0.35">
      <c r="A833" t="s">
        <v>2256</v>
      </c>
      <c r="B833" s="143">
        <v>45581</v>
      </c>
      <c r="C833" s="2" t="str" cm="1">
        <f t="array" ref="C8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3">
        <f>YEAR(AllData[[#This Row],[Date]])</f>
        <v>2024</v>
      </c>
      <c r="E833" s="1">
        <v>0.50555555555555554</v>
      </c>
      <c r="F833" t="str">
        <f>IF(AND(AllData[[#This Row],[Time]]&lt;0.5, AllData[[#This Row],[Time]]&gt;0.17)=TRUE, "Morning", IF(AND(AllData[[#This Row],[Time]]&lt;0.75, AllData[[#This Row],[Time]]&gt;=0.5)=TRUE, "Afternoon", IF(AND(AllData[[#This Row],[Time]]&lt;1, AllData[[#This Row],[Time]]&gt;=0.75)=TRUE, "Evening", "Night")))</f>
        <v>Afternoon</v>
      </c>
      <c r="G833" t="str">
        <f>_xlfn.XLOOKUP(AllData[[#This Row],[Location Name]], Locations[Location Name],Locations[Group As])</f>
        <v>Walcot Lane, Bow Brook Ford</v>
      </c>
      <c r="H833" t="e" vm="6">
        <f>_xlfn.XLOOKUP(AllData[[#This Row],[Site Name]],LocationsKey[Site Name],LocationsKey[District])</f>
        <v>#VALUE!</v>
      </c>
      <c r="I833" t="e" vm="7">
        <f>_xlfn.XLOOKUP(AllData[[#This Row],[Site Name]],LocationsKey[Site Name],LocationsKey[Town])</f>
        <v>#VALUE!</v>
      </c>
      <c r="J833" t="str">
        <f>_xlfn.XLOOKUP(AllData[[#This Row],[Site Name]],LocationsKey[Site Name], LocationsKey[Waterway])</f>
        <v>Bow Brook</v>
      </c>
      <c r="K833" t="s">
        <v>775</v>
      </c>
      <c r="L833">
        <v>52.106185000000004</v>
      </c>
      <c r="M833">
        <v>-2.0860690000000002</v>
      </c>
      <c r="N833" t="s">
        <v>25</v>
      </c>
      <c r="O833">
        <v>1010</v>
      </c>
      <c r="P833">
        <v>14</v>
      </c>
      <c r="Q833">
        <v>5</v>
      </c>
      <c r="R833" s="107" t="str">
        <f>IF(AllData[[#This Row],[Nitrate (PPM)]]&gt;2, "Very high", IF(AllData[[#This Row],[Nitrate (PPM)]]&gt;1, "High", IF(AllData[[#This Row],[Nitrate (PPM)]]&gt;0.5, "Some evidence", IF(AllData[[#This Row],[Nitrate (PPM)]]&gt;=0, "No evidence"))))</f>
        <v>Very high</v>
      </c>
      <c r="S833">
        <v>0.63</v>
      </c>
      <c r="T833" s="7" t="str">
        <f>IF(AllData[[#This Row],[Phosphate (PPM)]]&gt;0.5, "Very high", IF(AllData[[#This Row],[Phosphate (PPM)]]&gt;0.1, "High", IF(AllData[[#This Row],[Phosphate (PPM)]]&gt;0.05, "Some evidence", IF(AllData[[#This Row],[Phosphate (PPM)]]&lt;=0.05, "No Evidence", ""))))</f>
        <v>Very high</v>
      </c>
      <c r="U833">
        <v>0.5</v>
      </c>
      <c r="V833" t="s">
        <v>2257</v>
      </c>
    </row>
    <row r="834" spans="1:22" x14ac:dyDescent="0.35">
      <c r="A834" t="s">
        <v>2262</v>
      </c>
      <c r="B834" s="143">
        <v>45581</v>
      </c>
      <c r="C834" s="2" t="str" cm="1">
        <f t="array" ref="C8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4">
        <f>YEAR(AllData[[#This Row],[Date]])</f>
        <v>2024</v>
      </c>
      <c r="E834" s="1">
        <v>0.45208333333333334</v>
      </c>
      <c r="F834" t="str">
        <f>IF(AND(AllData[[#This Row],[Time]]&lt;0.5, AllData[[#This Row],[Time]]&gt;0.17)=TRUE, "Morning", IF(AND(AllData[[#This Row],[Time]]&lt;0.75, AllData[[#This Row],[Time]]&gt;=0.5)=TRUE, "Afternoon", IF(AND(AllData[[#This Row],[Time]]&lt;1, AllData[[#This Row],[Time]]&gt;=0.75)=TRUE, "Evening", "Night")))</f>
        <v>Morning</v>
      </c>
      <c r="G834" t="str">
        <f>_xlfn.XLOOKUP(AllData[[#This Row],[Location Name]], Locations[Location Name],Locations[Group As])</f>
        <v>SSC Bredons Norton</v>
      </c>
      <c r="H834" t="e" vm="6">
        <f>_xlfn.XLOOKUP(AllData[[#This Row],[Site Name]],LocationsKey[Site Name],LocationsKey[District])</f>
        <v>#VALUE!</v>
      </c>
      <c r="I834" t="str">
        <f>_xlfn.XLOOKUP(AllData[[#This Row],[Site Name]],LocationsKey[Site Name],LocationsKey[Town])</f>
        <v>Bredon's Norton</v>
      </c>
      <c r="J834" t="str">
        <f>_xlfn.XLOOKUP(AllData[[#This Row],[Site Name]],LocationsKey[Site Name], LocationsKey[Waterway])</f>
        <v>Avon</v>
      </c>
      <c r="K834" t="s">
        <v>2174</v>
      </c>
      <c r="L834">
        <v>52.050874</v>
      </c>
      <c r="M834">
        <v>-2.1170429999999998</v>
      </c>
      <c r="N834" t="s">
        <v>25</v>
      </c>
      <c r="O834">
        <v>712</v>
      </c>
      <c r="P834">
        <v>13.4</v>
      </c>
      <c r="Q834">
        <v>5</v>
      </c>
      <c r="R834" s="107" t="str">
        <f>IF(AllData[[#This Row],[Nitrate (PPM)]]&gt;2, "Very high", IF(AllData[[#This Row],[Nitrate (PPM)]]&gt;1, "High", IF(AllData[[#This Row],[Nitrate (PPM)]]&gt;0.5, "Some evidence", IF(AllData[[#This Row],[Nitrate (PPM)]]&gt;=0, "No evidence"))))</f>
        <v>Very high</v>
      </c>
      <c r="S834">
        <v>0.51</v>
      </c>
      <c r="T834" s="7" t="str">
        <f>IF(AllData[[#This Row],[Phosphate (PPM)]]&gt;0.5, "Very high", IF(AllData[[#This Row],[Phosphate (PPM)]]&gt;0.1, "High", IF(AllData[[#This Row],[Phosphate (PPM)]]&gt;0.05, "Some evidence", IF(AllData[[#This Row],[Phosphate (PPM)]]&lt;=0.05, "No Evidence", ""))))</f>
        <v>Very high</v>
      </c>
      <c r="U834">
        <v>0.9</v>
      </c>
      <c r="V834" t="s">
        <v>2263</v>
      </c>
    </row>
    <row r="835" spans="1:22" x14ac:dyDescent="0.35">
      <c r="A835" t="s">
        <v>2258</v>
      </c>
      <c r="B835" s="143">
        <v>45581</v>
      </c>
      <c r="C835" s="2" t="str" cm="1">
        <f t="array" ref="C8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5">
        <f>YEAR(AllData[[#This Row],[Date]])</f>
        <v>2024</v>
      </c>
      <c r="E835" s="1">
        <v>0.47916666666666669</v>
      </c>
      <c r="F835" t="str">
        <f>IF(AND(AllData[[#This Row],[Time]]&lt;0.5, AllData[[#This Row],[Time]]&gt;0.17)=TRUE, "Morning", IF(AND(AllData[[#This Row],[Time]]&lt;0.75, AllData[[#This Row],[Time]]&gt;=0.5)=TRUE, "Afternoon", IF(AND(AllData[[#This Row],[Time]]&lt;1, AllData[[#This Row],[Time]]&gt;=0.75)=TRUE, "Evening", "Night")))</f>
        <v>Morning</v>
      </c>
      <c r="G835" t="str">
        <f>_xlfn.XLOOKUP(AllData[[#This Row],[Location Name]], Locations[Location Name],Locations[Group As])</f>
        <v>Alveston Weir</v>
      </c>
      <c r="H835" t="e" vm="1">
        <f>_xlfn.XLOOKUP(AllData[[#This Row],[Site Name]],LocationsKey[Site Name],LocationsKey[District])</f>
        <v>#VALUE!</v>
      </c>
      <c r="I835" t="e" vm="2">
        <f>_xlfn.XLOOKUP(AllData[[#This Row],[Site Name]],LocationsKey[Site Name],LocationsKey[Town])</f>
        <v>#VALUE!</v>
      </c>
      <c r="J835" t="str">
        <f>_xlfn.XLOOKUP(AllData[[#This Row],[Site Name]],LocationsKey[Site Name], LocationsKey[Waterway])</f>
        <v>Avon</v>
      </c>
      <c r="K835" t="s">
        <v>288</v>
      </c>
      <c r="L835">
        <v>52.212288999999998</v>
      </c>
      <c r="M835">
        <v>-1.660045</v>
      </c>
      <c r="N835" t="s">
        <v>31</v>
      </c>
      <c r="O835">
        <v>621</v>
      </c>
      <c r="P835">
        <v>16.8</v>
      </c>
      <c r="Q835">
        <v>5</v>
      </c>
      <c r="R835" s="107" t="str">
        <f>IF(AllData[[#This Row],[Nitrate (PPM)]]&gt;2, "Very high", IF(AllData[[#This Row],[Nitrate (PPM)]]&gt;1, "High", IF(AllData[[#This Row],[Nitrate (PPM)]]&gt;0.5, "Some evidence", IF(AllData[[#This Row],[Nitrate (PPM)]]&gt;=0, "No evidence"))))</f>
        <v>Very high</v>
      </c>
      <c r="S835">
        <v>0.61</v>
      </c>
      <c r="T835" s="7" t="str">
        <f>IF(AllData[[#This Row],[Phosphate (PPM)]]&gt;0.5, "Very high", IF(AllData[[#This Row],[Phosphate (PPM)]]&gt;0.1, "High", IF(AllData[[#This Row],[Phosphate (PPM)]]&gt;0.05, "Some evidence", IF(AllData[[#This Row],[Phosphate (PPM)]]&lt;=0.05, "No Evidence", ""))))</f>
        <v>Very high</v>
      </c>
      <c r="U835">
        <v>0</v>
      </c>
      <c r="V835" t="s">
        <v>2259</v>
      </c>
    </row>
    <row r="836" spans="1:22" x14ac:dyDescent="0.35">
      <c r="A836" t="s">
        <v>2255</v>
      </c>
      <c r="B836" s="143">
        <v>45580</v>
      </c>
      <c r="C836" s="2" t="str" cm="1">
        <f t="array" ref="C8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6">
        <f>YEAR(AllData[[#This Row],[Date]])</f>
        <v>2024</v>
      </c>
      <c r="E836" s="1">
        <v>0.60486111111111107</v>
      </c>
      <c r="F836" t="str">
        <f>IF(AND(AllData[[#This Row],[Time]]&lt;0.5, AllData[[#This Row],[Time]]&gt;0.17)=TRUE, "Morning", IF(AND(AllData[[#This Row],[Time]]&lt;0.75, AllData[[#This Row],[Time]]&gt;=0.5)=TRUE, "Afternoon", IF(AND(AllData[[#This Row],[Time]]&lt;1, AllData[[#This Row],[Time]]&gt;=0.75)=TRUE, "Evening", "Night")))</f>
        <v>Afternoon</v>
      </c>
      <c r="G836" t="str">
        <f>_xlfn.XLOOKUP(AllData[[#This Row],[Location Name]], Locations[Location Name],Locations[Group As])</f>
        <v>Stour Whichford</v>
      </c>
      <c r="H836" t="e" vm="1">
        <f>_xlfn.XLOOKUP(AllData[[#This Row],[Site Name]],LocationsKey[Site Name],LocationsKey[District])</f>
        <v>#VALUE!</v>
      </c>
      <c r="I836" t="e" vm="24">
        <f>_xlfn.XLOOKUP(AllData[[#This Row],[Site Name]],LocationsKey[Site Name],LocationsKey[Town])</f>
        <v>#VALUE!</v>
      </c>
      <c r="J836" t="str">
        <f>_xlfn.XLOOKUP(AllData[[#This Row],[Site Name]],LocationsKey[Site Name], LocationsKey[Waterway])</f>
        <v>Stour</v>
      </c>
      <c r="K836" t="s">
        <v>980</v>
      </c>
      <c r="N836" t="s">
        <v>31</v>
      </c>
      <c r="O836">
        <v>609</v>
      </c>
      <c r="P836">
        <v>12.8</v>
      </c>
      <c r="Q836">
        <v>2</v>
      </c>
      <c r="R836" s="107" t="str">
        <f>IF(AllData[[#This Row],[Nitrate (PPM)]]&gt;2, "Very high", IF(AllData[[#This Row],[Nitrate (PPM)]]&gt;1, "High", IF(AllData[[#This Row],[Nitrate (PPM)]]&gt;0.5, "Some evidence", IF(AllData[[#This Row],[Nitrate (PPM)]]&gt;=0, "No evidence"))))</f>
        <v>High</v>
      </c>
      <c r="S836">
        <v>0.45</v>
      </c>
      <c r="T836" s="7" t="str">
        <f>IF(AllData[[#This Row],[Phosphate (PPM)]]&gt;0.5, "Very high", IF(AllData[[#This Row],[Phosphate (PPM)]]&gt;0.1, "High", IF(AllData[[#This Row],[Phosphate (PPM)]]&gt;0.05, "Some evidence", IF(AllData[[#This Row],[Phosphate (PPM)]]&lt;=0.05, "No Evidence", ""))))</f>
        <v>High</v>
      </c>
      <c r="U836">
        <v>19</v>
      </c>
    </row>
    <row r="837" spans="1:22" x14ac:dyDescent="0.35">
      <c r="A837" t="s">
        <v>2254</v>
      </c>
      <c r="B837" s="143">
        <v>45580</v>
      </c>
      <c r="C837" s="2" t="str" cm="1">
        <f t="array" ref="C8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7">
        <f>YEAR(AllData[[#This Row],[Date]])</f>
        <v>2024</v>
      </c>
      <c r="E837" s="1">
        <v>0.63541666666666663</v>
      </c>
      <c r="F837" t="str">
        <f>IF(AND(AllData[[#This Row],[Time]]&lt;0.5, AllData[[#This Row],[Time]]&gt;0.17)=TRUE, "Morning", IF(AND(AllData[[#This Row],[Time]]&lt;0.75, AllData[[#This Row],[Time]]&gt;=0.5)=TRUE, "Afternoon", IF(AND(AllData[[#This Row],[Time]]&lt;1, AllData[[#This Row],[Time]]&gt;=0.75)=TRUE, "Evening", "Night")))</f>
        <v>Afternoon</v>
      </c>
      <c r="G837" t="str">
        <f>_xlfn.XLOOKUP(AllData[[#This Row],[Location Name]], Locations[Location Name],Locations[Group As])</f>
        <v>Stour Ascott Village</v>
      </c>
      <c r="H837" t="e" vm="1">
        <f>_xlfn.XLOOKUP(AllData[[#This Row],[Site Name]],LocationsKey[Site Name],LocationsKey[District])</f>
        <v>#VALUE!</v>
      </c>
      <c r="I837" t="e" vm="25">
        <f>_xlfn.XLOOKUP(AllData[[#This Row],[Site Name]],LocationsKey[Site Name],LocationsKey[Town])</f>
        <v>#VALUE!</v>
      </c>
      <c r="J837" t="str">
        <f>_xlfn.XLOOKUP(AllData[[#This Row],[Site Name]],LocationsKey[Site Name], LocationsKey[Waterway])</f>
        <v>Stour</v>
      </c>
      <c r="K837" t="s">
        <v>927</v>
      </c>
      <c r="N837" t="s">
        <v>68</v>
      </c>
      <c r="O837">
        <v>502</v>
      </c>
      <c r="P837">
        <v>13.4</v>
      </c>
      <c r="Q837">
        <v>0.5</v>
      </c>
      <c r="R837" s="107" t="str">
        <f>IF(AllData[[#This Row],[Nitrate (PPM)]]&gt;2, "Very high", IF(AllData[[#This Row],[Nitrate (PPM)]]&gt;1, "High", IF(AllData[[#This Row],[Nitrate (PPM)]]&gt;0.5, "Some evidence", IF(AllData[[#This Row],[Nitrate (PPM)]]&gt;=0, "No evidence"))))</f>
        <v>No evidence</v>
      </c>
      <c r="S837">
        <v>0.28000000000000003</v>
      </c>
      <c r="T837" s="7" t="str">
        <f>IF(AllData[[#This Row],[Phosphate (PPM)]]&gt;0.5, "Very high", IF(AllData[[#This Row],[Phosphate (PPM)]]&gt;0.1, "High", IF(AllData[[#This Row],[Phosphate (PPM)]]&gt;0.05, "Some evidence", IF(AllData[[#This Row],[Phosphate (PPM)]]&lt;=0.05, "No Evidence", ""))))</f>
        <v>High</v>
      </c>
      <c r="U837">
        <v>11</v>
      </c>
    </row>
    <row r="838" spans="1:22" x14ac:dyDescent="0.35">
      <c r="A838" t="s">
        <v>2251</v>
      </c>
      <c r="B838" s="143">
        <v>45579</v>
      </c>
      <c r="C838" s="2" t="str" cm="1">
        <f t="array" ref="C8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8">
        <f>YEAR(AllData[[#This Row],[Date]])</f>
        <v>2024</v>
      </c>
      <c r="E838" s="1">
        <v>0.76736111111111116</v>
      </c>
      <c r="F838" t="str">
        <f>IF(AND(AllData[[#This Row],[Time]]&lt;0.5, AllData[[#This Row],[Time]]&gt;0.17)=TRUE, "Morning", IF(AND(AllData[[#This Row],[Time]]&lt;0.75, AllData[[#This Row],[Time]]&gt;=0.5)=TRUE, "Afternoon", IF(AND(AllData[[#This Row],[Time]]&lt;1, AllData[[#This Row],[Time]]&gt;=0.75)=TRUE, "Evening", "Night")))</f>
        <v>Evening</v>
      </c>
      <c r="G838" t="str">
        <f>_xlfn.XLOOKUP(AllData[[#This Row],[Location Name]], Locations[Location Name],Locations[Group As])</f>
        <v>School Lane</v>
      </c>
      <c r="H838" t="e" vm="1">
        <f>_xlfn.XLOOKUP(AllData[[#This Row],[Site Name]],LocationsKey[Site Name],LocationsKey[District])</f>
        <v>#VALUE!</v>
      </c>
      <c r="I838" t="e" vm="3">
        <f>_xlfn.XLOOKUP(AllData[[#This Row],[Site Name]],LocationsKey[Site Name],LocationsKey[Town])</f>
        <v>#VALUE!</v>
      </c>
      <c r="J838" t="str">
        <f>_xlfn.XLOOKUP(AllData[[#This Row],[Site Name]],LocationsKey[Site Name], LocationsKey[Waterway])</f>
        <v>Avon</v>
      </c>
      <c r="K838" t="s">
        <v>2252</v>
      </c>
      <c r="L838">
        <v>52.202354</v>
      </c>
      <c r="M838">
        <v>-1.678704</v>
      </c>
      <c r="N838" t="s">
        <v>31</v>
      </c>
      <c r="O838">
        <v>721</v>
      </c>
      <c r="P838">
        <v>12</v>
      </c>
      <c r="Q838">
        <v>10</v>
      </c>
      <c r="R838" s="107" t="str">
        <f>IF(AllData[[#This Row],[Nitrate (PPM)]]&gt;2, "Very high", IF(AllData[[#This Row],[Nitrate (PPM)]]&gt;1, "High", IF(AllData[[#This Row],[Nitrate (PPM)]]&gt;0.5, "Some evidence", IF(AllData[[#This Row],[Nitrate (PPM)]]&gt;=0, "No evidence"))))</f>
        <v>Very high</v>
      </c>
      <c r="S838">
        <v>0.54</v>
      </c>
      <c r="T838" s="7" t="str">
        <f>IF(AllData[[#This Row],[Phosphate (PPM)]]&gt;0.5, "Very high", IF(AllData[[#This Row],[Phosphate (PPM)]]&gt;0.1, "High", IF(AllData[[#This Row],[Phosphate (PPM)]]&gt;0.05, "Some evidence", IF(AllData[[#This Row],[Phosphate (PPM)]]&lt;=0.05, "No Evidence", ""))))</f>
        <v>Very high</v>
      </c>
      <c r="U838">
        <v>0.76</v>
      </c>
      <c r="V838" t="s">
        <v>2253</v>
      </c>
    </row>
    <row r="839" spans="1:22" x14ac:dyDescent="0.35">
      <c r="A839" t="s">
        <v>2249</v>
      </c>
      <c r="B839" s="143">
        <v>45579</v>
      </c>
      <c r="C839" s="2" t="str" cm="1">
        <f t="array" ref="C8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39">
        <f>YEAR(AllData[[#This Row],[Date]])</f>
        <v>2024</v>
      </c>
      <c r="E839" s="1">
        <v>0.75</v>
      </c>
      <c r="F839" t="str">
        <f>IF(AND(AllData[[#This Row],[Time]]&lt;0.5, AllData[[#This Row],[Time]]&gt;0.17)=TRUE, "Morning", IF(AND(AllData[[#This Row],[Time]]&lt;0.75, AllData[[#This Row],[Time]]&gt;=0.5)=TRUE, "Afternoon", IF(AND(AllData[[#This Row],[Time]]&lt;1, AllData[[#This Row],[Time]]&gt;=0.75)=TRUE, "Evening", "Night")))</f>
        <v>Evening</v>
      </c>
      <c r="G839" t="str">
        <f>_xlfn.XLOOKUP(AllData[[#This Row],[Location Name]], Locations[Location Name],Locations[Group As])</f>
        <v>Carters Lane</v>
      </c>
      <c r="H839" t="e" vm="1">
        <f>_xlfn.XLOOKUP(AllData[[#This Row],[Site Name]],LocationsKey[Site Name],LocationsKey[District])</f>
        <v>#VALUE!</v>
      </c>
      <c r="I839" t="e" vm="3">
        <f>_xlfn.XLOOKUP(AllData[[#This Row],[Site Name]],LocationsKey[Site Name],LocationsKey[Town])</f>
        <v>#VALUE!</v>
      </c>
      <c r="J839" t="str">
        <f>_xlfn.XLOOKUP(AllData[[#This Row],[Site Name]],LocationsKey[Site Name], LocationsKey[Waterway])</f>
        <v>Avon</v>
      </c>
      <c r="K839" t="s">
        <v>2250</v>
      </c>
      <c r="L839">
        <v>52.202421999999999</v>
      </c>
      <c r="M839">
        <v>-1.6769270000000001</v>
      </c>
      <c r="N839" t="s">
        <v>68</v>
      </c>
      <c r="O839">
        <v>716</v>
      </c>
      <c r="P839">
        <v>12.3</v>
      </c>
      <c r="Q839">
        <v>10</v>
      </c>
      <c r="R839" s="107" t="str">
        <f>IF(AllData[[#This Row],[Nitrate (PPM)]]&gt;2, "Very high", IF(AllData[[#This Row],[Nitrate (PPM)]]&gt;1, "High", IF(AllData[[#This Row],[Nitrate (PPM)]]&gt;0.5, "Some evidence", IF(AllData[[#This Row],[Nitrate (PPM)]]&gt;=0, "No evidence"))))</f>
        <v>Very high</v>
      </c>
      <c r="S839">
        <v>0.56000000000000005</v>
      </c>
      <c r="T839" s="7" t="str">
        <f>IF(AllData[[#This Row],[Phosphate (PPM)]]&gt;0.5, "Very high", IF(AllData[[#This Row],[Phosphate (PPM)]]&gt;0.1, "High", IF(AllData[[#This Row],[Phosphate (PPM)]]&gt;0.05, "Some evidence", IF(AllData[[#This Row],[Phosphate (PPM)]]&lt;=0.05, "No Evidence", ""))))</f>
        <v>Very high</v>
      </c>
      <c r="U839">
        <v>0.76</v>
      </c>
    </row>
    <row r="840" spans="1:22" x14ac:dyDescent="0.35">
      <c r="A840" t="s">
        <v>2247</v>
      </c>
      <c r="B840" s="143">
        <v>45579</v>
      </c>
      <c r="C840" s="2" t="str" cm="1">
        <f t="array" ref="C8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0">
        <f>YEAR(AllData[[#This Row],[Date]])</f>
        <v>2024</v>
      </c>
      <c r="E840" s="1">
        <v>0.57847222222222228</v>
      </c>
      <c r="F840" t="str">
        <f>IF(AND(AllData[[#This Row],[Time]]&lt;0.5, AllData[[#This Row],[Time]]&gt;0.17)=TRUE, "Morning", IF(AND(AllData[[#This Row],[Time]]&lt;0.75, AllData[[#This Row],[Time]]&gt;=0.5)=TRUE, "Afternoon", IF(AND(AllData[[#This Row],[Time]]&lt;1, AllData[[#This Row],[Time]]&gt;=0.75)=TRUE, "Evening", "Night")))</f>
        <v>Afternoon</v>
      </c>
      <c r="G840" t="str">
        <f>_xlfn.XLOOKUP(AllData[[#This Row],[Location Name]], Locations[Location Name],Locations[Group As])</f>
        <v>Black Bear</v>
      </c>
      <c r="H840" t="e" vm="4">
        <f>_xlfn.XLOOKUP(AllData[[#This Row],[Site Name]],LocationsKey[Site Name],LocationsKey[District])</f>
        <v>#VALUE!</v>
      </c>
      <c r="I840" t="e" vm="4">
        <f>_xlfn.XLOOKUP(AllData[[#This Row],[Site Name]],LocationsKey[Site Name],LocationsKey[Town])</f>
        <v>#VALUE!</v>
      </c>
      <c r="J840" t="str">
        <f>_xlfn.XLOOKUP(AllData[[#This Row],[Site Name]],LocationsKey[Site Name], LocationsKey[Waterway])</f>
        <v>Avon</v>
      </c>
      <c r="K840" t="s">
        <v>1175</v>
      </c>
      <c r="L840">
        <v>51.997577999999997</v>
      </c>
      <c r="M840">
        <v>-2.1561180000000002</v>
      </c>
      <c r="N840" t="s">
        <v>25</v>
      </c>
      <c r="O840">
        <v>659</v>
      </c>
      <c r="P840">
        <v>12.4</v>
      </c>
      <c r="Q840">
        <v>6</v>
      </c>
      <c r="R840" s="107" t="str">
        <f>IF(AllData[[#This Row],[Nitrate (PPM)]]&gt;2, "Very high", IF(AllData[[#This Row],[Nitrate (PPM)]]&gt;1, "High", IF(AllData[[#This Row],[Nitrate (PPM)]]&gt;0.5, "Some evidence", IF(AllData[[#This Row],[Nitrate (PPM)]]&gt;=0, "No evidence"))))</f>
        <v>Very high</v>
      </c>
      <c r="S840">
        <v>2.5</v>
      </c>
      <c r="T840" s="7" t="str">
        <f>IF(AllData[[#This Row],[Phosphate (PPM)]]&gt;0.5, "Very high", IF(AllData[[#This Row],[Phosphate (PPM)]]&gt;0.1, "High", IF(AllData[[#This Row],[Phosphate (PPM)]]&gt;0.05, "Some evidence", IF(AllData[[#This Row],[Phosphate (PPM)]]&lt;=0.05, "No Evidence", ""))))</f>
        <v>Very high</v>
      </c>
      <c r="U840">
        <v>2</v>
      </c>
    </row>
    <row r="841" spans="1:22" x14ac:dyDescent="0.35">
      <c r="A841" t="s">
        <v>2245</v>
      </c>
      <c r="B841" s="143">
        <v>45579</v>
      </c>
      <c r="C841" s="2" t="str" cm="1">
        <f t="array" ref="C8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1">
        <f>YEAR(AllData[[#This Row],[Date]])</f>
        <v>2024</v>
      </c>
      <c r="E841" s="1">
        <v>0.40625</v>
      </c>
      <c r="F841" t="str">
        <f>IF(AND(AllData[[#This Row],[Time]]&lt;0.5, AllData[[#This Row],[Time]]&gt;0.17)=TRUE, "Morning", IF(AND(AllData[[#This Row],[Time]]&lt;0.75, AllData[[#This Row],[Time]]&gt;=0.5)=TRUE, "Afternoon", IF(AND(AllData[[#This Row],[Time]]&lt;1, AllData[[#This Row],[Time]]&gt;=0.75)=TRUE, "Evening", "Night")))</f>
        <v>Morning</v>
      </c>
      <c r="G841" t="str">
        <f>_xlfn.XLOOKUP(AllData[[#This Row],[Location Name]], Locations[Location Name],Locations[Group As])</f>
        <v>Chipping Campden Sewage Works</v>
      </c>
      <c r="H841" t="e" vm="9">
        <f>_xlfn.XLOOKUP(AllData[[#This Row],[Site Name]],LocationsKey[Site Name],LocationsKey[District])</f>
        <v>#VALUE!</v>
      </c>
      <c r="I841" t="e" vm="10">
        <f>_xlfn.XLOOKUP(AllData[[#This Row],[Site Name]],LocationsKey[Site Name],LocationsKey[Town])</f>
        <v>#VALUE!</v>
      </c>
      <c r="J841" t="str">
        <f>_xlfn.XLOOKUP(AllData[[#This Row],[Site Name]],LocationsKey[Site Name], LocationsKey[Waterway])</f>
        <v>Cam Brook</v>
      </c>
      <c r="K841" t="s">
        <v>1570</v>
      </c>
      <c r="N841" t="s">
        <v>31</v>
      </c>
      <c r="O841">
        <v>531</v>
      </c>
      <c r="P841">
        <v>10.4</v>
      </c>
      <c r="Q841">
        <v>5</v>
      </c>
      <c r="R841" s="107" t="str">
        <f>IF(AllData[[#This Row],[Nitrate (PPM)]]&gt;2, "Very high", IF(AllData[[#This Row],[Nitrate (PPM)]]&gt;1, "High", IF(AllData[[#This Row],[Nitrate (PPM)]]&gt;0.5, "Some evidence", IF(AllData[[#This Row],[Nitrate (PPM)]]&gt;=0, "No evidence"))))</f>
        <v>Very high</v>
      </c>
      <c r="S841">
        <v>0.51</v>
      </c>
      <c r="T841" s="7" t="str">
        <f>IF(AllData[[#This Row],[Phosphate (PPM)]]&gt;0.5, "Very high", IF(AllData[[#This Row],[Phosphate (PPM)]]&gt;0.1, "High", IF(AllData[[#This Row],[Phosphate (PPM)]]&gt;0.05, "Some evidence", IF(AllData[[#This Row],[Phosphate (PPM)]]&lt;=0.05, "No Evidence", ""))))</f>
        <v>Very high</v>
      </c>
      <c r="U841">
        <v>0.43</v>
      </c>
    </row>
    <row r="842" spans="1:22" x14ac:dyDescent="0.35">
      <c r="A842" t="s">
        <v>2243</v>
      </c>
      <c r="B842" s="143">
        <v>45579</v>
      </c>
      <c r="C842" s="2" t="str" cm="1">
        <f t="array" ref="C8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2">
        <f>YEAR(AllData[[#This Row],[Date]])</f>
        <v>2024</v>
      </c>
      <c r="E842" s="1">
        <v>0.47499999999999998</v>
      </c>
      <c r="F842" t="str">
        <f>IF(AND(AllData[[#This Row],[Time]]&lt;0.5, AllData[[#This Row],[Time]]&gt;0.17)=TRUE, "Morning", IF(AND(AllData[[#This Row],[Time]]&lt;0.75, AllData[[#This Row],[Time]]&gt;=0.5)=TRUE, "Afternoon", IF(AND(AllData[[#This Row],[Time]]&lt;1, AllData[[#This Row],[Time]]&gt;=0.75)=TRUE, "Evening", "Night")))</f>
        <v>Morning</v>
      </c>
      <c r="G842" t="str">
        <f>_xlfn.XLOOKUP(AllData[[#This Row],[Location Name]], Locations[Location Name],Locations[Group As])</f>
        <v>Chipping Campden Craves</v>
      </c>
      <c r="H842" t="e" vm="9">
        <f>_xlfn.XLOOKUP(AllData[[#This Row],[Site Name]],LocationsKey[Site Name],LocationsKey[District])</f>
        <v>#VALUE!</v>
      </c>
      <c r="I842" t="e" vm="10">
        <f>_xlfn.XLOOKUP(AllData[[#This Row],[Site Name]],LocationsKey[Site Name],LocationsKey[Town])</f>
        <v>#VALUE!</v>
      </c>
      <c r="J842" t="str">
        <f>_xlfn.XLOOKUP(AllData[[#This Row],[Site Name]],LocationsKey[Site Name], LocationsKey[Waterway])</f>
        <v>Cam Brook</v>
      </c>
      <c r="K842" t="s">
        <v>2244</v>
      </c>
      <c r="L842">
        <v>52.048755</v>
      </c>
      <c r="M842">
        <v>-1.7863770000000001</v>
      </c>
      <c r="N842" t="s">
        <v>68</v>
      </c>
      <c r="O842">
        <v>502</v>
      </c>
      <c r="P842">
        <v>9.5</v>
      </c>
      <c r="Q842">
        <v>5</v>
      </c>
      <c r="R842" s="107" t="str">
        <f>IF(AllData[[#This Row],[Nitrate (PPM)]]&gt;2, "Very high", IF(AllData[[#This Row],[Nitrate (PPM)]]&gt;1, "High", IF(AllData[[#This Row],[Nitrate (PPM)]]&gt;0.5, "Some evidence", IF(AllData[[#This Row],[Nitrate (PPM)]]&gt;=0, "No evidence"))))</f>
        <v>Very high</v>
      </c>
      <c r="S842">
        <v>0.17</v>
      </c>
      <c r="T842" s="7" t="str">
        <f>IF(AllData[[#This Row],[Phosphate (PPM)]]&gt;0.5, "Very high", IF(AllData[[#This Row],[Phosphate (PPM)]]&gt;0.1, "High", IF(AllData[[#This Row],[Phosphate (PPM)]]&gt;0.05, "Some evidence", IF(AllData[[#This Row],[Phosphate (PPM)]]&lt;=0.05, "No Evidence", ""))))</f>
        <v>High</v>
      </c>
      <c r="U842">
        <v>32</v>
      </c>
    </row>
    <row r="843" spans="1:22" x14ac:dyDescent="0.35">
      <c r="A843" t="s">
        <v>2248</v>
      </c>
      <c r="B843" s="143">
        <v>45579</v>
      </c>
      <c r="C843" s="2" t="str" cm="1">
        <f t="array" ref="C8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3">
        <f>YEAR(AllData[[#This Row],[Date]])</f>
        <v>2024</v>
      </c>
      <c r="E843" s="1">
        <v>0.34375</v>
      </c>
      <c r="F843" t="str">
        <f>IF(AND(AllData[[#This Row],[Time]]&lt;0.5, AllData[[#This Row],[Time]]&gt;0.17)=TRUE, "Morning", IF(AND(AllData[[#This Row],[Time]]&lt;0.75, AllData[[#This Row],[Time]]&gt;=0.5)=TRUE, "Afternoon", IF(AND(AllData[[#This Row],[Time]]&lt;1, AllData[[#This Row],[Time]]&gt;=0.75)=TRUE, "Evening", "Night")))</f>
        <v>Morning</v>
      </c>
      <c r="G843" t="str">
        <f>_xlfn.XLOOKUP(AllData[[#This Row],[Location Name]], Locations[Location Name],Locations[Group As])</f>
        <v>Chipping Campden Lady J Gateway</v>
      </c>
      <c r="H843" t="e" vm="9">
        <f>_xlfn.XLOOKUP(AllData[[#This Row],[Site Name]],LocationsKey[Site Name],LocationsKey[District])</f>
        <v>#VALUE!</v>
      </c>
      <c r="I843" t="e" vm="10">
        <f>_xlfn.XLOOKUP(AllData[[#This Row],[Site Name]],LocationsKey[Site Name],LocationsKey[Town])</f>
        <v>#VALUE!</v>
      </c>
      <c r="J843" t="str">
        <f>_xlfn.XLOOKUP(AllData[[#This Row],[Site Name]],LocationsKey[Site Name], LocationsKey[Waterway])</f>
        <v>Cam Brook</v>
      </c>
      <c r="K843" t="s">
        <v>1573</v>
      </c>
      <c r="N843" t="s">
        <v>68</v>
      </c>
      <c r="O843">
        <v>481</v>
      </c>
      <c r="P843">
        <v>9.6999999999999993</v>
      </c>
      <c r="Q843">
        <v>5</v>
      </c>
      <c r="R843" s="107" t="str">
        <f>IF(AllData[[#This Row],[Nitrate (PPM)]]&gt;2, "Very high", IF(AllData[[#This Row],[Nitrate (PPM)]]&gt;1, "High", IF(AllData[[#This Row],[Nitrate (PPM)]]&gt;0.5, "Some evidence", IF(AllData[[#This Row],[Nitrate (PPM)]]&gt;=0, "No evidence"))))</f>
        <v>Very high</v>
      </c>
      <c r="S843">
        <v>0.16</v>
      </c>
      <c r="T843" s="7" t="str">
        <f>IF(AllData[[#This Row],[Phosphate (PPM)]]&gt;0.5, "Very high", IF(AllData[[#This Row],[Phosphate (PPM)]]&gt;0.1, "High", IF(AllData[[#This Row],[Phosphate (PPM)]]&gt;0.05, "Some evidence", IF(AllData[[#This Row],[Phosphate (PPM)]]&lt;=0.05, "No Evidence", ""))))</f>
        <v>High</v>
      </c>
      <c r="U843">
        <v>0.31</v>
      </c>
    </row>
    <row r="844" spans="1:22" x14ac:dyDescent="0.35">
      <c r="A844" t="s">
        <v>2246</v>
      </c>
      <c r="B844" s="143">
        <v>45579</v>
      </c>
      <c r="C844" s="2" t="str" cm="1">
        <f t="array" ref="C8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4">
        <f>YEAR(AllData[[#This Row],[Date]])</f>
        <v>2024</v>
      </c>
      <c r="E844" s="1">
        <v>0.60347222222222219</v>
      </c>
      <c r="F844" t="str">
        <f>IF(AND(AllData[[#This Row],[Time]]&lt;0.5, AllData[[#This Row],[Time]]&gt;0.17)=TRUE, "Morning", IF(AND(AllData[[#This Row],[Time]]&lt;0.75, AllData[[#This Row],[Time]]&gt;=0.5)=TRUE, "Afternoon", IF(AND(AllData[[#This Row],[Time]]&lt;1, AllData[[#This Row],[Time]]&gt;=0.75)=TRUE, "Evening", "Night")))</f>
        <v>Afternoon</v>
      </c>
      <c r="G844" t="str">
        <f>_xlfn.XLOOKUP(AllData[[#This Row],[Location Name]], Locations[Location Name],Locations[Group As])</f>
        <v>Carrant Mitton Path</v>
      </c>
      <c r="H844" t="e" vm="4">
        <f>_xlfn.XLOOKUP(AllData[[#This Row],[Site Name]],LocationsKey[Site Name],LocationsKey[District])</f>
        <v>#VALUE!</v>
      </c>
      <c r="I844" t="e" vm="4">
        <f>_xlfn.XLOOKUP(AllData[[#This Row],[Site Name]],LocationsKey[Site Name],LocationsKey[Town])</f>
        <v>#VALUE!</v>
      </c>
      <c r="J844" t="str">
        <f>_xlfn.XLOOKUP(AllData[[#This Row],[Site Name]],LocationsKey[Site Name], LocationsKey[Waterway])</f>
        <v>Carrant</v>
      </c>
      <c r="K844" t="s">
        <v>1064</v>
      </c>
      <c r="L844">
        <v>51.999732999999999</v>
      </c>
      <c r="M844">
        <v>-2.1409379999999998</v>
      </c>
      <c r="N844" t="s">
        <v>31</v>
      </c>
      <c r="O844">
        <v>6960</v>
      </c>
      <c r="P844">
        <v>12</v>
      </c>
      <c r="Q844">
        <v>2</v>
      </c>
      <c r="R844" s="107" t="str">
        <f>IF(AllData[[#This Row],[Nitrate (PPM)]]&gt;2, "Very high", IF(AllData[[#This Row],[Nitrate (PPM)]]&gt;1, "High", IF(AllData[[#This Row],[Nitrate (PPM)]]&gt;0.5, "Some evidence", IF(AllData[[#This Row],[Nitrate (PPM)]]&gt;=0, "No evidence"))))</f>
        <v>High</v>
      </c>
      <c r="S844">
        <v>0.41</v>
      </c>
      <c r="T844" s="7" t="str">
        <f>IF(AllData[[#This Row],[Phosphate (PPM)]]&gt;0.5, "Very high", IF(AllData[[#This Row],[Phosphate (PPM)]]&gt;0.1, "High", IF(AllData[[#This Row],[Phosphate (PPM)]]&gt;0.05, "Some evidence", IF(AllData[[#This Row],[Phosphate (PPM)]]&lt;=0.05, "No Evidence", ""))))</f>
        <v>High</v>
      </c>
      <c r="U844">
        <v>0</v>
      </c>
      <c r="V844" t="s">
        <v>228</v>
      </c>
    </row>
    <row r="845" spans="1:22" x14ac:dyDescent="0.35">
      <c r="A845" t="s">
        <v>2241</v>
      </c>
      <c r="B845" s="143">
        <v>45578</v>
      </c>
      <c r="C845" s="2" t="str" cm="1">
        <f t="array" ref="C8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5">
        <f>YEAR(AllData[[#This Row],[Date]])</f>
        <v>2024</v>
      </c>
      <c r="E845" s="1">
        <v>0.40625</v>
      </c>
      <c r="F845" t="str">
        <f>IF(AND(AllData[[#This Row],[Time]]&lt;0.5, AllData[[#This Row],[Time]]&gt;0.17)=TRUE, "Morning", IF(AND(AllData[[#This Row],[Time]]&lt;0.75, AllData[[#This Row],[Time]]&gt;=0.5)=TRUE, "Afternoon", IF(AND(AllData[[#This Row],[Time]]&lt;1, AllData[[#This Row],[Time]]&gt;=0.75)=TRUE, "Evening", "Night")))</f>
        <v>Morning</v>
      </c>
      <c r="G845" t="str">
        <f>_xlfn.XLOOKUP(AllData[[#This Row],[Location Name]], Locations[Location Name],Locations[Group As])</f>
        <v>Sherbourne Brook 1</v>
      </c>
      <c r="H845" t="e" vm="1">
        <f>_xlfn.XLOOKUP(AllData[[#This Row],[Site Name]],LocationsKey[Site Name],LocationsKey[District])</f>
        <v>#VALUE!</v>
      </c>
      <c r="I845" t="e" vm="23">
        <f>_xlfn.XLOOKUP(AllData[[#This Row],[Site Name]],LocationsKey[Site Name],LocationsKey[Town])</f>
        <v>#VALUE!</v>
      </c>
      <c r="J845" t="str">
        <f>_xlfn.XLOOKUP(AllData[[#This Row],[Site Name]],LocationsKey[Site Name], LocationsKey[Waterway])</f>
        <v>Sherbourne Brook</v>
      </c>
      <c r="K845" t="s">
        <v>541</v>
      </c>
      <c r="O845">
        <v>1080</v>
      </c>
      <c r="P845">
        <v>9.6</v>
      </c>
      <c r="Q845">
        <v>12</v>
      </c>
      <c r="R845" s="107" t="str">
        <f>IF(AllData[[#This Row],[Nitrate (PPM)]]&gt;2, "Very high", IF(AllData[[#This Row],[Nitrate (PPM)]]&gt;1, "High", IF(AllData[[#This Row],[Nitrate (PPM)]]&gt;0.5, "Some evidence", IF(AllData[[#This Row],[Nitrate (PPM)]]&gt;=0, "No evidence"))))</f>
        <v>Very high</v>
      </c>
      <c r="S845">
        <v>0.32</v>
      </c>
      <c r="T845" s="7" t="str">
        <f>IF(AllData[[#This Row],[Phosphate (PPM)]]&gt;0.5, "Very high", IF(AllData[[#This Row],[Phosphate (PPM)]]&gt;0.1, "High", IF(AllData[[#This Row],[Phosphate (PPM)]]&gt;0.05, "Some evidence", IF(AllData[[#This Row],[Phosphate (PPM)]]&lt;=0.05, "No Evidence", ""))))</f>
        <v>High</v>
      </c>
      <c r="U845">
        <v>0.2</v>
      </c>
      <c r="V845" t="s">
        <v>2240</v>
      </c>
    </row>
    <row r="846" spans="1:22" x14ac:dyDescent="0.35">
      <c r="A846" t="s">
        <v>2238</v>
      </c>
      <c r="B846" s="143">
        <v>45578</v>
      </c>
      <c r="C846" s="2" t="str" cm="1">
        <f t="array" ref="C8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6">
        <f>YEAR(AllData[[#This Row],[Date]])</f>
        <v>2024</v>
      </c>
      <c r="E846" s="1">
        <v>0.58333333333333337</v>
      </c>
      <c r="F846" t="str">
        <f>IF(AND(AllData[[#This Row],[Time]]&lt;0.5, AllData[[#This Row],[Time]]&gt;0.17)=TRUE, "Morning", IF(AND(AllData[[#This Row],[Time]]&lt;0.75, AllData[[#This Row],[Time]]&gt;=0.5)=TRUE, "Afternoon", IF(AND(AllData[[#This Row],[Time]]&lt;1, AllData[[#This Row],[Time]]&gt;=0.75)=TRUE, "Evening", "Night")))</f>
        <v>Afternoon</v>
      </c>
      <c r="G846" t="str">
        <f>_xlfn.XLOOKUP(AllData[[#This Row],[Location Name]], Locations[Location Name],Locations[Group As])</f>
        <v>Clifford Chambers Mill Bridge</v>
      </c>
      <c r="H846" t="e" vm="1">
        <f>_xlfn.XLOOKUP(AllData[[#This Row],[Site Name]],LocationsKey[Site Name],LocationsKey[District])</f>
        <v>#VALUE!</v>
      </c>
      <c r="I846" t="e" vm="22">
        <f>_xlfn.XLOOKUP(AllData[[#This Row],[Site Name]],LocationsKey[Site Name],LocationsKey[Town])</f>
        <v>#VALUE!</v>
      </c>
      <c r="J846" t="str">
        <f>_xlfn.XLOOKUP(AllData[[#This Row],[Site Name]],LocationsKey[Site Name], LocationsKey[Waterway])</f>
        <v>Stour</v>
      </c>
      <c r="K846" t="s">
        <v>266</v>
      </c>
      <c r="L846">
        <v>52.166370000000001</v>
      </c>
      <c r="M846">
        <v>-1.708032</v>
      </c>
      <c r="N846" t="s">
        <v>68</v>
      </c>
      <c r="O846">
        <v>620</v>
      </c>
      <c r="P846">
        <v>11.1</v>
      </c>
      <c r="Q846">
        <v>8</v>
      </c>
      <c r="R846" s="107" t="str">
        <f>IF(AllData[[#This Row],[Nitrate (PPM)]]&gt;2, "Very high", IF(AllData[[#This Row],[Nitrate (PPM)]]&gt;1, "High", IF(AllData[[#This Row],[Nitrate (PPM)]]&gt;0.5, "Some evidence", IF(AllData[[#This Row],[Nitrate (PPM)]]&gt;=0, "No evidence"))))</f>
        <v>Very high</v>
      </c>
      <c r="S846">
        <v>0.3</v>
      </c>
      <c r="T846" s="7" t="str">
        <f>IF(AllData[[#This Row],[Phosphate (PPM)]]&gt;0.5, "Very high", IF(AllData[[#This Row],[Phosphate (PPM)]]&gt;0.1, "High", IF(AllData[[#This Row],[Phosphate (PPM)]]&gt;0.05, "Some evidence", IF(AllData[[#This Row],[Phosphate (PPM)]]&lt;=0.05, "No Evidence", ""))))</f>
        <v>High</v>
      </c>
      <c r="U846">
        <v>1</v>
      </c>
    </row>
    <row r="847" spans="1:22" x14ac:dyDescent="0.35">
      <c r="A847" t="s">
        <v>2239</v>
      </c>
      <c r="B847" s="143">
        <v>45578</v>
      </c>
      <c r="C847" s="2" t="str" cm="1">
        <f t="array" ref="C8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7">
        <f>YEAR(AllData[[#This Row],[Date]])</f>
        <v>2024</v>
      </c>
      <c r="E847" s="1">
        <v>0.39583333333333331</v>
      </c>
      <c r="F847" t="str">
        <f>IF(AND(AllData[[#This Row],[Time]]&lt;0.5, AllData[[#This Row],[Time]]&gt;0.17)=TRUE, "Morning", IF(AND(AllData[[#This Row],[Time]]&lt;0.75, AllData[[#This Row],[Time]]&gt;=0.5)=TRUE, "Afternoon", IF(AND(AllData[[#This Row],[Time]]&lt;1, AllData[[#This Row],[Time]]&gt;=0.75)=TRUE, "Evening", "Night")))</f>
        <v>Morning</v>
      </c>
      <c r="G847" t="str">
        <f>_xlfn.XLOOKUP(AllData[[#This Row],[Location Name]], Locations[Location Name],Locations[Group As])</f>
        <v>Bell Brook 1</v>
      </c>
      <c r="H847" t="e" vm="1">
        <f>_xlfn.XLOOKUP(AllData[[#This Row],[Site Name]],LocationsKey[Site Name],LocationsKey[District])</f>
        <v>#VALUE!</v>
      </c>
      <c r="I847" t="e" vm="19">
        <f>_xlfn.XLOOKUP(AllData[[#This Row],[Site Name]],LocationsKey[Site Name],LocationsKey[Town])</f>
        <v>#VALUE!</v>
      </c>
      <c r="J847" t="str">
        <f>_xlfn.XLOOKUP(AllData[[#This Row],[Site Name]],LocationsKey[Site Name], LocationsKey[Waterway])</f>
        <v>Bell Brook</v>
      </c>
      <c r="K847" t="s">
        <v>538</v>
      </c>
      <c r="O847">
        <v>651</v>
      </c>
      <c r="P847">
        <v>10.5</v>
      </c>
      <c r="Q847">
        <v>5</v>
      </c>
      <c r="R847" s="107" t="str">
        <f>IF(AllData[[#This Row],[Nitrate (PPM)]]&gt;2, "Very high", IF(AllData[[#This Row],[Nitrate (PPM)]]&gt;1, "High", IF(AllData[[#This Row],[Nitrate (PPM)]]&gt;0.5, "Some evidence", IF(AllData[[#This Row],[Nitrate (PPM)]]&gt;=0, "No evidence"))))</f>
        <v>Very high</v>
      </c>
      <c r="S847">
        <v>0.33</v>
      </c>
      <c r="T847" s="7" t="str">
        <f>IF(AllData[[#This Row],[Phosphate (PPM)]]&gt;0.5, "Very high", IF(AllData[[#This Row],[Phosphate (PPM)]]&gt;0.1, "High", IF(AllData[[#This Row],[Phosphate (PPM)]]&gt;0.05, "Some evidence", IF(AllData[[#This Row],[Phosphate (PPM)]]&lt;=0.05, "No Evidence", ""))))</f>
        <v>High</v>
      </c>
      <c r="U847">
        <v>0.2</v>
      </c>
      <c r="V847" t="s">
        <v>2240</v>
      </c>
    </row>
    <row r="848" spans="1:22" x14ac:dyDescent="0.35">
      <c r="A848" t="s">
        <v>2242</v>
      </c>
      <c r="B848" s="143">
        <v>45578</v>
      </c>
      <c r="C848" s="2" t="str" cm="1">
        <f t="array" ref="C8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8">
        <f>YEAR(AllData[[#This Row],[Date]])</f>
        <v>2024</v>
      </c>
      <c r="E848" s="1">
        <v>0.61458333333333337</v>
      </c>
      <c r="F848" t="str">
        <f>IF(AND(AllData[[#This Row],[Time]]&lt;0.5, AllData[[#This Row],[Time]]&gt;0.17)=TRUE, "Morning", IF(AND(AllData[[#This Row],[Time]]&lt;0.75, AllData[[#This Row],[Time]]&gt;=0.5)=TRUE, "Afternoon", IF(AND(AllData[[#This Row],[Time]]&lt;1, AllData[[#This Row],[Time]]&gt;=0.75)=TRUE, "Evening", "Night")))</f>
        <v>Afternoon</v>
      </c>
      <c r="G848" t="str">
        <f>_xlfn.XLOOKUP(AllData[[#This Row],[Location Name]], Locations[Location Name],Locations[Group As])</f>
        <v>Fell Mill Footbridge</v>
      </c>
      <c r="H848" t="e" vm="1">
        <f>_xlfn.XLOOKUP(AllData[[#This Row],[Site Name]],LocationsKey[Site Name],LocationsKey[District])</f>
        <v>#VALUE!</v>
      </c>
      <c r="I848" t="e" vm="15">
        <f>_xlfn.XLOOKUP(AllData[[#This Row],[Site Name]],LocationsKey[Site Name],LocationsKey[Town])</f>
        <v>#VALUE!</v>
      </c>
      <c r="J848" t="str">
        <f>_xlfn.XLOOKUP(AllData[[#This Row],[Site Name]],LocationsKey[Site Name], LocationsKey[Waterway])</f>
        <v>Stour</v>
      </c>
      <c r="K848" t="s">
        <v>1968</v>
      </c>
      <c r="L848">
        <v>52.070086000000003</v>
      </c>
      <c r="M848">
        <v>-1.61145</v>
      </c>
      <c r="N848" t="s">
        <v>31</v>
      </c>
      <c r="O848">
        <v>500</v>
      </c>
      <c r="P848">
        <v>10.4</v>
      </c>
      <c r="Q848">
        <v>2</v>
      </c>
      <c r="R848" s="107" t="str">
        <f>IF(AllData[[#This Row],[Nitrate (PPM)]]&gt;2, "Very high", IF(AllData[[#This Row],[Nitrate (PPM)]]&gt;1, "High", IF(AllData[[#This Row],[Nitrate (PPM)]]&gt;0.5, "Some evidence", IF(AllData[[#This Row],[Nitrate (PPM)]]&gt;=0, "No evidence"))))</f>
        <v>High</v>
      </c>
      <c r="S848">
        <v>0.25</v>
      </c>
      <c r="T848" s="7" t="str">
        <f>IF(AllData[[#This Row],[Phosphate (PPM)]]&gt;0.5, "Very high", IF(AllData[[#This Row],[Phosphate (PPM)]]&gt;0.1, "High", IF(AllData[[#This Row],[Phosphate (PPM)]]&gt;0.05, "Some evidence", IF(AllData[[#This Row],[Phosphate (PPM)]]&lt;=0.05, "No Evidence", ""))))</f>
        <v>High</v>
      </c>
      <c r="U848">
        <v>1.8</v>
      </c>
    </row>
    <row r="849" spans="1:22" x14ac:dyDescent="0.35">
      <c r="A849" t="s">
        <v>2235</v>
      </c>
      <c r="B849" s="143">
        <v>45577</v>
      </c>
      <c r="C849" s="2" t="str" cm="1">
        <f t="array" ref="C8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49">
        <f>YEAR(AllData[[#This Row],[Date]])</f>
        <v>2024</v>
      </c>
      <c r="E849" s="1">
        <v>0.72013888888888888</v>
      </c>
      <c r="F849" t="str">
        <f>IF(AND(AllData[[#This Row],[Time]]&lt;0.5, AllData[[#This Row],[Time]]&gt;0.17)=TRUE, "Morning", IF(AND(AllData[[#This Row],[Time]]&lt;0.75, AllData[[#This Row],[Time]]&gt;=0.5)=TRUE, "Afternoon", IF(AND(AllData[[#This Row],[Time]]&lt;1, AllData[[#This Row],[Time]]&gt;=0.75)=TRUE, "Evening", "Night")))</f>
        <v>Afternoon</v>
      </c>
      <c r="G849" t="str">
        <f>_xlfn.XLOOKUP(AllData[[#This Row],[Location Name]], Locations[Location Name],Locations[Group As])</f>
        <v>Piddle Brook Wyre Piddle Bridge</v>
      </c>
      <c r="H849" t="e" vm="6">
        <f>_xlfn.XLOOKUP(AllData[[#This Row],[Site Name]],LocationsKey[Site Name],LocationsKey[District])</f>
        <v>#VALUE!</v>
      </c>
      <c r="I849" t="e" vm="13">
        <f>_xlfn.XLOOKUP(AllData[[#This Row],[Site Name]],LocationsKey[Site Name],LocationsKey[Town])</f>
        <v>#VALUE!</v>
      </c>
      <c r="J849" t="str">
        <f>_xlfn.XLOOKUP(AllData[[#This Row],[Site Name]],LocationsKey[Site Name], LocationsKey[Waterway])</f>
        <v>Piddle Brook</v>
      </c>
      <c r="K849" t="s">
        <v>2236</v>
      </c>
      <c r="L849">
        <v>52.126404000000001</v>
      </c>
      <c r="M849">
        <v>-2.0565410000000002</v>
      </c>
      <c r="N849" t="s">
        <v>25</v>
      </c>
      <c r="O849">
        <v>898</v>
      </c>
      <c r="P849">
        <v>11.2</v>
      </c>
      <c r="Q849">
        <v>5</v>
      </c>
      <c r="R849" s="107" t="str">
        <f>IF(AllData[[#This Row],[Nitrate (PPM)]]&gt;2, "Very high", IF(AllData[[#This Row],[Nitrate (PPM)]]&gt;1, "High", IF(AllData[[#This Row],[Nitrate (PPM)]]&gt;0.5, "Some evidence", IF(AllData[[#This Row],[Nitrate (PPM)]]&gt;=0, "No evidence"))))</f>
        <v>Very high</v>
      </c>
      <c r="S849">
        <v>0.44</v>
      </c>
      <c r="T849" s="7" t="str">
        <f>IF(AllData[[#This Row],[Phosphate (PPM)]]&gt;0.5, "Very high", IF(AllData[[#This Row],[Phosphate (PPM)]]&gt;0.1, "High", IF(AllData[[#This Row],[Phosphate (PPM)]]&gt;0.05, "Some evidence", IF(AllData[[#This Row],[Phosphate (PPM)]]&lt;=0.05, "No Evidence", ""))))</f>
        <v>High</v>
      </c>
      <c r="U849">
        <v>0.32</v>
      </c>
      <c r="V849" t="s">
        <v>2237</v>
      </c>
    </row>
    <row r="850" spans="1:22" x14ac:dyDescent="0.35">
      <c r="A850" t="s">
        <v>2232</v>
      </c>
      <c r="B850" s="143">
        <v>45577</v>
      </c>
      <c r="C850" s="2" t="str" cm="1">
        <f t="array" ref="C8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0">
        <f>YEAR(AllData[[#This Row],[Date]])</f>
        <v>2024</v>
      </c>
      <c r="E850" s="1">
        <v>0.46944444444444444</v>
      </c>
      <c r="F850" t="str">
        <f>IF(AND(AllData[[#This Row],[Time]]&lt;0.5, AllData[[#This Row],[Time]]&gt;0.17)=TRUE, "Morning", IF(AND(AllData[[#This Row],[Time]]&lt;0.75, AllData[[#This Row],[Time]]&gt;=0.5)=TRUE, "Afternoon", IF(AND(AllData[[#This Row],[Time]]&lt;1, AllData[[#This Row],[Time]]&gt;=0.75)=TRUE, "Evening", "Night")))</f>
        <v>Morning</v>
      </c>
      <c r="G850" t="str">
        <f>_xlfn.XLOOKUP(AllData[[#This Row],[Location Name]], Locations[Location Name],Locations[Group As])</f>
        <v>Avonbank Drive</v>
      </c>
      <c r="H850" t="e" vm="1">
        <f>_xlfn.XLOOKUP(AllData[[#This Row],[Site Name]],LocationsKey[Site Name],LocationsKey[District])</f>
        <v>#VALUE!</v>
      </c>
      <c r="I850" t="e" vm="12">
        <f>_xlfn.XLOOKUP(AllData[[#This Row],[Site Name]],LocationsKey[Site Name],LocationsKey[Town])</f>
        <v>#VALUE!</v>
      </c>
      <c r="J850" t="str">
        <f>_xlfn.XLOOKUP(AllData[[#This Row],[Site Name]],LocationsKey[Site Name], LocationsKey[Waterway])</f>
        <v>Avon</v>
      </c>
      <c r="K850" t="s">
        <v>104</v>
      </c>
      <c r="L850">
        <v>43.328878000000003</v>
      </c>
      <c r="M850">
        <v>-81.129401000000001</v>
      </c>
      <c r="N850" t="s">
        <v>68</v>
      </c>
      <c r="O850">
        <v>701</v>
      </c>
      <c r="P850">
        <v>14</v>
      </c>
      <c r="Q850">
        <v>5</v>
      </c>
      <c r="R850" s="107" t="str">
        <f>IF(AllData[[#This Row],[Nitrate (PPM)]]&gt;2, "Very high", IF(AllData[[#This Row],[Nitrate (PPM)]]&gt;1, "High", IF(AllData[[#This Row],[Nitrate (PPM)]]&gt;0.5, "Some evidence", IF(AllData[[#This Row],[Nitrate (PPM)]]&gt;=0, "No evidence"))))</f>
        <v>Very high</v>
      </c>
      <c r="S850">
        <v>0.43</v>
      </c>
      <c r="T850" s="7" t="str">
        <f>IF(AllData[[#This Row],[Phosphate (PPM)]]&gt;0.5, "Very high", IF(AllData[[#This Row],[Phosphate (PPM)]]&gt;0.1, "High", IF(AllData[[#This Row],[Phosphate (PPM)]]&gt;0.05, "Some evidence", IF(AllData[[#This Row],[Phosphate (PPM)]]&lt;=0.05, "No Evidence", ""))))</f>
        <v>High</v>
      </c>
      <c r="U850">
        <v>1</v>
      </c>
    </row>
    <row r="851" spans="1:22" x14ac:dyDescent="0.35">
      <c r="A851" t="s">
        <v>2233</v>
      </c>
      <c r="B851" s="143">
        <v>45577</v>
      </c>
      <c r="C851" s="2" t="str" cm="1">
        <f t="array" ref="C8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1">
        <f>YEAR(AllData[[#This Row],[Date]])</f>
        <v>2024</v>
      </c>
      <c r="E851" s="1">
        <v>0.46875</v>
      </c>
      <c r="F851" t="str">
        <f>IF(AND(AllData[[#This Row],[Time]]&lt;0.5, AllData[[#This Row],[Time]]&gt;0.17)=TRUE, "Morning", IF(AND(AllData[[#This Row],[Time]]&lt;0.75, AllData[[#This Row],[Time]]&gt;=0.5)=TRUE, "Afternoon", IF(AND(AllData[[#This Row],[Time]]&lt;1, AllData[[#This Row],[Time]]&gt;=0.75)=TRUE, "Evening", "Night")))</f>
        <v>Morning</v>
      </c>
      <c r="G851" t="str">
        <f>_xlfn.XLOOKUP(AllData[[#This Row],[Location Name]], Locations[Location Name],Locations[Group As])</f>
        <v>Pitch 16</v>
      </c>
      <c r="H851" t="e" vm="1">
        <f>_xlfn.XLOOKUP(AllData[[#This Row],[Site Name]],LocationsKey[Site Name],LocationsKey[District])</f>
        <v>#VALUE!</v>
      </c>
      <c r="I851" t="e" vm="12">
        <f>_xlfn.XLOOKUP(AllData[[#This Row],[Site Name]],LocationsKey[Site Name],LocationsKey[Town])</f>
        <v>#VALUE!</v>
      </c>
      <c r="J851" t="str">
        <f>_xlfn.XLOOKUP(AllData[[#This Row],[Site Name]],LocationsKey[Site Name], LocationsKey[Waterway])</f>
        <v>Avon</v>
      </c>
      <c r="K851" t="s">
        <v>71</v>
      </c>
      <c r="L851">
        <v>50.831715000000003</v>
      </c>
      <c r="M851">
        <v>0.306093</v>
      </c>
      <c r="N851" t="s">
        <v>31</v>
      </c>
      <c r="O851">
        <v>680</v>
      </c>
      <c r="P851">
        <v>14.2</v>
      </c>
      <c r="Q851">
        <v>5</v>
      </c>
      <c r="R851" s="107" t="str">
        <f>IF(AllData[[#This Row],[Nitrate (PPM)]]&gt;2, "Very high", IF(AllData[[#This Row],[Nitrate (PPM)]]&gt;1, "High", IF(AllData[[#This Row],[Nitrate (PPM)]]&gt;0.5, "Some evidence", IF(AllData[[#This Row],[Nitrate (PPM)]]&gt;=0, "No evidence"))))</f>
        <v>Very high</v>
      </c>
      <c r="S851">
        <v>0.45</v>
      </c>
      <c r="T851" s="7" t="str">
        <f>IF(AllData[[#This Row],[Phosphate (PPM)]]&gt;0.5, "Very high", IF(AllData[[#This Row],[Phosphate (PPM)]]&gt;0.1, "High", IF(AllData[[#This Row],[Phosphate (PPM)]]&gt;0.05, "Some evidence", IF(AllData[[#This Row],[Phosphate (PPM)]]&lt;=0.05, "No Evidence", ""))))</f>
        <v>High</v>
      </c>
      <c r="U851">
        <v>1</v>
      </c>
    </row>
    <row r="852" spans="1:22" x14ac:dyDescent="0.35">
      <c r="A852" t="s">
        <v>2229</v>
      </c>
      <c r="B852" s="143">
        <v>45577</v>
      </c>
      <c r="C852" s="2" t="str" cm="1">
        <f t="array" ref="C8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2">
        <f>YEAR(AllData[[#This Row],[Date]])</f>
        <v>2024</v>
      </c>
      <c r="E852" s="1">
        <v>0.7319444444444444</v>
      </c>
      <c r="F852" t="str">
        <f>IF(AND(AllData[[#This Row],[Time]]&lt;0.5, AllData[[#This Row],[Time]]&gt;0.17)=TRUE, "Morning", IF(AND(AllData[[#This Row],[Time]]&lt;0.75, AllData[[#This Row],[Time]]&gt;=0.5)=TRUE, "Afternoon", IF(AND(AllData[[#This Row],[Time]]&lt;1, AllData[[#This Row],[Time]]&gt;=0.75)=TRUE, "Evening", "Night")))</f>
        <v>Afternoon</v>
      </c>
      <c r="G852" t="str">
        <f>_xlfn.XLOOKUP(AllData[[#This Row],[Location Name]], Locations[Location Name],Locations[Group As])</f>
        <v>Avon Smiths Meadow Wyre Piddle</v>
      </c>
      <c r="H852" t="e" vm="6">
        <f>_xlfn.XLOOKUP(AllData[[#This Row],[Site Name]],LocationsKey[Site Name],LocationsKey[District])</f>
        <v>#VALUE!</v>
      </c>
      <c r="I852" t="e" vm="13">
        <f>_xlfn.XLOOKUP(AllData[[#This Row],[Site Name]],LocationsKey[Site Name],LocationsKey[Town])</f>
        <v>#VALUE!</v>
      </c>
      <c r="J852" t="str">
        <f>_xlfn.XLOOKUP(AllData[[#This Row],[Site Name]],LocationsKey[Site Name], LocationsKey[Waterway])</f>
        <v>Avon</v>
      </c>
      <c r="K852" t="s">
        <v>2230</v>
      </c>
      <c r="L852">
        <v>52.123233999999997</v>
      </c>
      <c r="M852">
        <v>-2.058173</v>
      </c>
      <c r="N852" t="s">
        <v>25</v>
      </c>
      <c r="O852">
        <v>604</v>
      </c>
      <c r="P852">
        <v>12.1</v>
      </c>
      <c r="Q852">
        <v>5</v>
      </c>
      <c r="R852" s="107" t="str">
        <f>IF(AllData[[#This Row],[Nitrate (PPM)]]&gt;2, "Very high", IF(AllData[[#This Row],[Nitrate (PPM)]]&gt;1, "High", IF(AllData[[#This Row],[Nitrate (PPM)]]&gt;0.5, "Some evidence", IF(AllData[[#This Row],[Nitrate (PPM)]]&gt;=0, "No evidence"))))</f>
        <v>Very high</v>
      </c>
      <c r="S852">
        <v>0.61</v>
      </c>
      <c r="T852" s="7" t="str">
        <f>IF(AllData[[#This Row],[Phosphate (PPM)]]&gt;0.5, "Very high", IF(AllData[[#This Row],[Phosphate (PPM)]]&gt;0.1, "High", IF(AllData[[#This Row],[Phosphate (PPM)]]&gt;0.05, "Some evidence", IF(AllData[[#This Row],[Phosphate (PPM)]]&lt;=0.05, "No Evidence", ""))))</f>
        <v>Very high</v>
      </c>
      <c r="U852">
        <v>1.07</v>
      </c>
      <c r="V852" t="s">
        <v>2231</v>
      </c>
    </row>
    <row r="853" spans="1:22" x14ac:dyDescent="0.35">
      <c r="A853" t="s">
        <v>2234</v>
      </c>
      <c r="B853" s="143">
        <v>45577</v>
      </c>
      <c r="C853" s="2" t="str" cm="1">
        <f t="array" ref="C8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3">
        <f>YEAR(AllData[[#This Row],[Date]])</f>
        <v>2024</v>
      </c>
      <c r="E853" s="1">
        <v>0.5625</v>
      </c>
      <c r="F853" t="str">
        <f>IF(AND(AllData[[#This Row],[Time]]&lt;0.5, AllData[[#This Row],[Time]]&gt;0.17)=TRUE, "Morning", IF(AND(AllData[[#This Row],[Time]]&lt;0.75, AllData[[#This Row],[Time]]&gt;=0.5)=TRUE, "Afternoon", IF(AND(AllData[[#This Row],[Time]]&lt;1, AllData[[#This Row],[Time]]&gt;=0.75)=TRUE, "Evening", "Night")))</f>
        <v>Afternoon</v>
      </c>
      <c r="G853" t="str">
        <f>_xlfn.XLOOKUP(AllData[[#This Row],[Location Name]], Locations[Location Name],Locations[Group As])</f>
        <v>Carrant Bredon Rd</v>
      </c>
      <c r="H853" t="e" vm="4">
        <f>_xlfn.XLOOKUP(AllData[[#This Row],[Site Name]],LocationsKey[Site Name],LocationsKey[District])</f>
        <v>#VALUE!</v>
      </c>
      <c r="I853" t="e" vm="4">
        <f>_xlfn.XLOOKUP(AllData[[#This Row],[Site Name]],LocationsKey[Site Name],LocationsKey[Town])</f>
        <v>#VALUE!</v>
      </c>
      <c r="J853" t="str">
        <f>_xlfn.XLOOKUP(AllData[[#This Row],[Site Name]],LocationsKey[Site Name], LocationsKey[Waterway])</f>
        <v>Carrant</v>
      </c>
      <c r="K853" t="s">
        <v>603</v>
      </c>
      <c r="L853">
        <v>51.996160000000003</v>
      </c>
      <c r="M853">
        <v>-2.156075</v>
      </c>
      <c r="N853" t="s">
        <v>25</v>
      </c>
      <c r="O853">
        <v>715</v>
      </c>
      <c r="P853">
        <v>13.3</v>
      </c>
      <c r="Q853">
        <v>4</v>
      </c>
      <c r="R853" s="107" t="str">
        <f>IF(AllData[[#This Row],[Nitrate (PPM)]]&gt;2, "Very high", IF(AllData[[#This Row],[Nitrate (PPM)]]&gt;1, "High", IF(AllData[[#This Row],[Nitrate (PPM)]]&gt;0.5, "Some evidence", IF(AllData[[#This Row],[Nitrate (PPM)]]&gt;=0, "No evidence"))))</f>
        <v>Very high</v>
      </c>
      <c r="S853">
        <v>0.3</v>
      </c>
      <c r="T853" s="7" t="str">
        <f>IF(AllData[[#This Row],[Phosphate (PPM)]]&gt;0.5, "Very high", IF(AllData[[#This Row],[Phosphate (PPM)]]&gt;0.1, "High", IF(AllData[[#This Row],[Phosphate (PPM)]]&gt;0.05, "Some evidence", IF(AllData[[#This Row],[Phosphate (PPM)]]&lt;=0.05, "No Evidence", ""))))</f>
        <v>High</v>
      </c>
      <c r="U853">
        <v>0.41</v>
      </c>
    </row>
    <row r="854" spans="1:22" x14ac:dyDescent="0.35">
      <c r="A854" t="s">
        <v>2228</v>
      </c>
      <c r="B854" s="143">
        <v>45576</v>
      </c>
      <c r="C854" s="2" t="str" cm="1">
        <f t="array" ref="C8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4">
        <f>YEAR(AllData[[#This Row],[Date]])</f>
        <v>2024</v>
      </c>
      <c r="E854" s="1">
        <v>0.37013888888888891</v>
      </c>
      <c r="F854" t="str">
        <f>IF(AND(AllData[[#This Row],[Time]]&lt;0.5, AllData[[#This Row],[Time]]&gt;0.17)=TRUE, "Morning", IF(AND(AllData[[#This Row],[Time]]&lt;0.75, AllData[[#This Row],[Time]]&gt;=0.5)=TRUE, "Afternoon", IF(AND(AllData[[#This Row],[Time]]&lt;1, AllData[[#This Row],[Time]]&gt;=0.75)=TRUE, "Evening", "Night")))</f>
        <v>Morning</v>
      </c>
      <c r="G854" t="str">
        <f>_xlfn.XLOOKUP(AllData[[#This Row],[Location Name]], Locations[Location Name],Locations[Group As])</f>
        <v>Lower Lode</v>
      </c>
      <c r="H854" t="e" vm="4">
        <f>_xlfn.XLOOKUP(AllData[[#This Row],[Site Name]],LocationsKey[Site Name],LocationsKey[District])</f>
        <v>#VALUE!</v>
      </c>
      <c r="I854" t="e" vm="4">
        <f>_xlfn.XLOOKUP(AllData[[#This Row],[Site Name]],LocationsKey[Site Name],LocationsKey[Town])</f>
        <v>#VALUE!</v>
      </c>
      <c r="J854" t="str">
        <f>_xlfn.XLOOKUP(AllData[[#This Row],[Site Name]],LocationsKey[Site Name], LocationsKey[Waterway])</f>
        <v>Avon</v>
      </c>
      <c r="K854" t="s">
        <v>595</v>
      </c>
      <c r="L854">
        <v>51.985087</v>
      </c>
      <c r="M854">
        <v>-2.1743600000000001</v>
      </c>
      <c r="N854" t="s">
        <v>31</v>
      </c>
      <c r="O854">
        <v>8550</v>
      </c>
      <c r="P854">
        <v>11.5</v>
      </c>
      <c r="Q854">
        <v>10</v>
      </c>
      <c r="R854" s="107" t="str">
        <f>IF(AllData[[#This Row],[Nitrate (PPM)]]&gt;2, "Very high", IF(AllData[[#This Row],[Nitrate (PPM)]]&gt;1, "High", IF(AllData[[#This Row],[Nitrate (PPM)]]&gt;0.5, "Some evidence", IF(AllData[[#This Row],[Nitrate (PPM)]]&gt;=0, "No evidence"))))</f>
        <v>Very high</v>
      </c>
      <c r="S854">
        <v>0.71</v>
      </c>
      <c r="T854" s="7" t="str">
        <f>IF(AllData[[#This Row],[Phosphate (PPM)]]&gt;0.5, "Very high", IF(AllData[[#This Row],[Phosphate (PPM)]]&gt;0.1, "High", IF(AllData[[#This Row],[Phosphate (PPM)]]&gt;0.05, "Some evidence", IF(AllData[[#This Row],[Phosphate (PPM)]]&lt;=0.05, "No Evidence", ""))))</f>
        <v>Very high</v>
      </c>
      <c r="U854">
        <v>3</v>
      </c>
    </row>
    <row r="855" spans="1:22" x14ac:dyDescent="0.35">
      <c r="A855" t="s">
        <v>2224</v>
      </c>
      <c r="B855" s="143">
        <v>45576</v>
      </c>
      <c r="C855" s="2" t="str" cm="1">
        <f t="array" ref="C8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5">
        <f>YEAR(AllData[[#This Row],[Date]])</f>
        <v>2024</v>
      </c>
      <c r="E855" s="1">
        <v>0.71597222222222223</v>
      </c>
      <c r="F855" t="str">
        <f>IF(AND(AllData[[#This Row],[Time]]&lt;0.5, AllData[[#This Row],[Time]]&gt;0.17)=TRUE, "Morning", IF(AND(AllData[[#This Row],[Time]]&lt;0.75, AllData[[#This Row],[Time]]&gt;=0.5)=TRUE, "Afternoon", IF(AND(AllData[[#This Row],[Time]]&lt;1, AllData[[#This Row],[Time]]&gt;=0.75)=TRUE, "Evening", "Night")))</f>
        <v>Afternoon</v>
      </c>
      <c r="G855" t="str">
        <f>_xlfn.XLOOKUP(AllData[[#This Row],[Location Name]], Locations[Location Name],Locations[Group As])</f>
        <v>Bredon Marina</v>
      </c>
      <c r="H855" t="e" vm="4">
        <f>_xlfn.XLOOKUP(AllData[[#This Row],[Site Name]],LocationsKey[Site Name],LocationsKey[District])</f>
        <v>#VALUE!</v>
      </c>
      <c r="I855" t="e" vm="11">
        <f>_xlfn.XLOOKUP(AllData[[#This Row],[Site Name]],LocationsKey[Site Name],LocationsKey[Town])</f>
        <v>#VALUE!</v>
      </c>
      <c r="J855" t="str">
        <f>_xlfn.XLOOKUP(AllData[[#This Row],[Site Name]],LocationsKey[Site Name], LocationsKey[Waterway])</f>
        <v>Avon</v>
      </c>
      <c r="K855" t="s">
        <v>1849</v>
      </c>
      <c r="L855">
        <v>52.033512000000002</v>
      </c>
      <c r="M855">
        <v>-2.1167099999999999</v>
      </c>
      <c r="N855" t="s">
        <v>31</v>
      </c>
      <c r="O855">
        <v>6980</v>
      </c>
      <c r="P855">
        <v>13.6</v>
      </c>
      <c r="Q855">
        <v>4</v>
      </c>
      <c r="R855" s="107" t="str">
        <f>IF(AllData[[#This Row],[Nitrate (PPM)]]&gt;2, "Very high", IF(AllData[[#This Row],[Nitrate (PPM)]]&gt;1, "High", IF(AllData[[#This Row],[Nitrate (PPM)]]&gt;0.5, "Some evidence", IF(AllData[[#This Row],[Nitrate (PPM)]]&gt;=0, "No evidence"))))</f>
        <v>Very high</v>
      </c>
      <c r="S855">
        <v>0.65</v>
      </c>
      <c r="T855" s="7" t="str">
        <f>IF(AllData[[#This Row],[Phosphate (PPM)]]&gt;0.5, "Very high", IF(AllData[[#This Row],[Phosphate (PPM)]]&gt;0.1, "High", IF(AllData[[#This Row],[Phosphate (PPM)]]&gt;0.05, "Some evidence", IF(AllData[[#This Row],[Phosphate (PPM)]]&lt;=0.05, "No Evidence", ""))))</f>
        <v>Very high</v>
      </c>
      <c r="U855">
        <v>0</v>
      </c>
      <c r="V855" t="s">
        <v>2225</v>
      </c>
    </row>
    <row r="856" spans="1:22" x14ac:dyDescent="0.35">
      <c r="A856" t="s">
        <v>2226</v>
      </c>
      <c r="B856" s="143">
        <v>45576</v>
      </c>
      <c r="C856" s="2" t="str" cm="1">
        <f t="array" ref="C8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6">
        <f>YEAR(AllData[[#This Row],[Date]])</f>
        <v>2024</v>
      </c>
      <c r="E856" s="1">
        <v>0.63055555555555554</v>
      </c>
      <c r="F856" t="str">
        <f>IF(AND(AllData[[#This Row],[Time]]&lt;0.5, AllData[[#This Row],[Time]]&gt;0.17)=TRUE, "Morning", IF(AND(AllData[[#This Row],[Time]]&lt;0.75, AllData[[#This Row],[Time]]&gt;=0.5)=TRUE, "Afternoon", IF(AND(AllData[[#This Row],[Time]]&lt;1, AllData[[#This Row],[Time]]&gt;=0.75)=TRUE, "Evening", "Night")))</f>
        <v>Afternoon</v>
      </c>
      <c r="G856" t="str">
        <f>_xlfn.XLOOKUP(AllData[[#This Row],[Location Name]], Locations[Location Name],Locations[Group As])</f>
        <v>Stour Shipston Mill Bridge</v>
      </c>
      <c r="H856" t="e" vm="1">
        <f>_xlfn.XLOOKUP(AllData[[#This Row],[Site Name]],LocationsKey[Site Name],LocationsKey[District])</f>
        <v>#VALUE!</v>
      </c>
      <c r="I856" t="e" vm="15">
        <f>_xlfn.XLOOKUP(AllData[[#This Row],[Site Name]],LocationsKey[Site Name],LocationsKey[Town])</f>
        <v>#VALUE!</v>
      </c>
      <c r="J856" t="str">
        <f>_xlfn.XLOOKUP(AllData[[#This Row],[Site Name]],LocationsKey[Site Name], LocationsKey[Waterway])</f>
        <v>Stour</v>
      </c>
      <c r="K856" t="s">
        <v>2227</v>
      </c>
      <c r="L856">
        <v>52.062192000000003</v>
      </c>
      <c r="M856">
        <v>-1.622001</v>
      </c>
      <c r="N856" t="s">
        <v>25</v>
      </c>
      <c r="O856">
        <v>555</v>
      </c>
      <c r="P856">
        <v>11.6</v>
      </c>
      <c r="Q856">
        <v>3</v>
      </c>
      <c r="R856" s="107" t="str">
        <f>IF(AllData[[#This Row],[Nitrate (PPM)]]&gt;2, "Very high", IF(AllData[[#This Row],[Nitrate (PPM)]]&gt;1, "High", IF(AllData[[#This Row],[Nitrate (PPM)]]&gt;0.5, "Some evidence", IF(AllData[[#This Row],[Nitrate (PPM)]]&gt;=0, "No evidence"))))</f>
        <v>Very high</v>
      </c>
      <c r="S856">
        <v>0.14000000000000001</v>
      </c>
      <c r="T856" s="7" t="str">
        <f>IF(AllData[[#This Row],[Phosphate (PPM)]]&gt;0.5, "Very high", IF(AllData[[#This Row],[Phosphate (PPM)]]&gt;0.1, "High", IF(AllData[[#This Row],[Phosphate (PPM)]]&gt;0.05, "Some evidence", IF(AllData[[#This Row],[Phosphate (PPM)]]&lt;=0.05, "No Evidence", ""))))</f>
        <v>High</v>
      </c>
      <c r="U856">
        <v>1.5</v>
      </c>
    </row>
    <row r="857" spans="1:22" x14ac:dyDescent="0.35">
      <c r="A857" t="s">
        <v>2222</v>
      </c>
      <c r="B857" s="143">
        <v>45575</v>
      </c>
      <c r="C857" s="2" t="str" cm="1">
        <f t="array" ref="C8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7">
        <f>YEAR(AllData[[#This Row],[Date]])</f>
        <v>2024</v>
      </c>
      <c r="E857" s="1">
        <v>0.53749999999999998</v>
      </c>
      <c r="F857" t="str">
        <f>IF(AND(AllData[[#This Row],[Time]]&lt;0.5, AllData[[#This Row],[Time]]&gt;0.17)=TRUE, "Morning", IF(AND(AllData[[#This Row],[Time]]&lt;0.75, AllData[[#This Row],[Time]]&gt;=0.5)=TRUE, "Afternoon", IF(AND(AllData[[#This Row],[Time]]&lt;1, AllData[[#This Row],[Time]]&gt;=0.75)=TRUE, "Evening", "Night")))</f>
        <v>Afternoon</v>
      </c>
      <c r="G857" t="str">
        <f>_xlfn.XLOOKUP(AllData[[#This Row],[Location Name]], Locations[Location Name],Locations[Group As])</f>
        <v>Preston-on-Stour River Bridge</v>
      </c>
      <c r="H857" t="e" vm="1">
        <f>_xlfn.XLOOKUP(AllData[[#This Row],[Site Name]],LocationsKey[Site Name],LocationsKey[District])</f>
        <v>#VALUE!</v>
      </c>
      <c r="I857" t="e" vm="20">
        <f>_xlfn.XLOOKUP(AllData[[#This Row],[Site Name]],LocationsKey[Site Name],LocationsKey[Town])</f>
        <v>#VALUE!</v>
      </c>
      <c r="J857" t="str">
        <f>_xlfn.XLOOKUP(AllData[[#This Row],[Site Name]],LocationsKey[Site Name], LocationsKey[Waterway])</f>
        <v>Stour</v>
      </c>
      <c r="K857" t="s">
        <v>164</v>
      </c>
      <c r="L857">
        <v>52.146464999999999</v>
      </c>
      <c r="M857">
        <v>-1.699835</v>
      </c>
      <c r="N857" t="s">
        <v>31</v>
      </c>
      <c r="O857">
        <v>525</v>
      </c>
      <c r="P857">
        <v>13.3</v>
      </c>
      <c r="Q857">
        <v>5</v>
      </c>
      <c r="R857" s="107" t="str">
        <f>IF(AllData[[#This Row],[Nitrate (PPM)]]&gt;2, "Very high", IF(AllData[[#This Row],[Nitrate (PPM)]]&gt;1, "High", IF(AllData[[#This Row],[Nitrate (PPM)]]&gt;0.5, "Some evidence", IF(AllData[[#This Row],[Nitrate (PPM)]]&gt;=0, "No evidence"))))</f>
        <v>Very high</v>
      </c>
      <c r="S857">
        <v>0.26</v>
      </c>
      <c r="T857" s="7" t="str">
        <f>IF(AllData[[#This Row],[Phosphate (PPM)]]&gt;0.5, "Very high", IF(AllData[[#This Row],[Phosphate (PPM)]]&gt;0.1, "High", IF(AllData[[#This Row],[Phosphate (PPM)]]&gt;0.05, "Some evidence", IF(AllData[[#This Row],[Phosphate (PPM)]]&lt;=0.05, "No Evidence", ""))))</f>
        <v>High</v>
      </c>
      <c r="U857">
        <v>2</v>
      </c>
      <c r="V857" t="s">
        <v>2223</v>
      </c>
    </row>
    <row r="858" spans="1:22" x14ac:dyDescent="0.35">
      <c r="A858" t="s">
        <v>2219</v>
      </c>
      <c r="B858" s="143">
        <v>45575</v>
      </c>
      <c r="C858" s="2" t="str" cm="1">
        <f t="array" ref="C8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8">
        <f>YEAR(AllData[[#This Row],[Date]])</f>
        <v>2024</v>
      </c>
      <c r="E858" s="1">
        <v>0.40625</v>
      </c>
      <c r="F858" t="str">
        <f>IF(AND(AllData[[#This Row],[Time]]&lt;0.5, AllData[[#This Row],[Time]]&gt;0.17)=TRUE, "Morning", IF(AND(AllData[[#This Row],[Time]]&lt;0.75, AllData[[#This Row],[Time]]&gt;=0.5)=TRUE, "Afternoon", IF(AND(AllData[[#This Row],[Time]]&lt;1, AllData[[#This Row],[Time]]&gt;=0.75)=TRUE, "Evening", "Night")))</f>
        <v>Morning</v>
      </c>
      <c r="G858" t="str">
        <f>_xlfn.XLOOKUP(AllData[[#This Row],[Location Name]], Locations[Location Name],Locations[Group As])</f>
        <v>Swilgate</v>
      </c>
      <c r="H858" t="e" vm="4">
        <f>_xlfn.XLOOKUP(AllData[[#This Row],[Site Name]],LocationsKey[Site Name],LocationsKey[District])</f>
        <v>#VALUE!</v>
      </c>
      <c r="I858" t="e" vm="4">
        <f>_xlfn.XLOOKUP(AllData[[#This Row],[Site Name]],LocationsKey[Site Name],LocationsKey[Town])</f>
        <v>#VALUE!</v>
      </c>
      <c r="J858" t="str">
        <f>_xlfn.XLOOKUP(AllData[[#This Row],[Site Name]],LocationsKey[Site Name], LocationsKey[Waterway])</f>
        <v>Swilgate</v>
      </c>
      <c r="K858" t="s">
        <v>85</v>
      </c>
      <c r="N858" t="s">
        <v>25</v>
      </c>
      <c r="O858">
        <v>618</v>
      </c>
      <c r="P858">
        <v>12.5</v>
      </c>
      <c r="Q858">
        <v>2</v>
      </c>
      <c r="R858" s="107" t="str">
        <f>IF(AllData[[#This Row],[Nitrate (PPM)]]&gt;2, "Very high", IF(AllData[[#This Row],[Nitrate (PPM)]]&gt;1, "High", IF(AllData[[#This Row],[Nitrate (PPM)]]&gt;0.5, "Some evidence", IF(AllData[[#This Row],[Nitrate (PPM)]]&gt;=0, "No evidence"))))</f>
        <v>High</v>
      </c>
      <c r="S858">
        <v>0.54</v>
      </c>
      <c r="T858" s="7" t="str">
        <f>IF(AllData[[#This Row],[Phosphate (PPM)]]&gt;0.5, "Very high", IF(AllData[[#This Row],[Phosphate (PPM)]]&gt;0.1, "High", IF(AllData[[#This Row],[Phosphate (PPM)]]&gt;0.05, "Some evidence", IF(AllData[[#This Row],[Phosphate (PPM)]]&lt;=0.05, "No Evidence", ""))))</f>
        <v>Very high</v>
      </c>
      <c r="U858">
        <v>2</v>
      </c>
    </row>
    <row r="859" spans="1:22" x14ac:dyDescent="0.35">
      <c r="A859" t="s">
        <v>2220</v>
      </c>
      <c r="B859" s="143">
        <v>45575</v>
      </c>
      <c r="C859" s="2" t="str" cm="1">
        <f t="array" ref="C8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59">
        <f>YEAR(AllData[[#This Row],[Date]])</f>
        <v>2024</v>
      </c>
      <c r="E859" s="1">
        <v>0.625</v>
      </c>
      <c r="F859" t="str">
        <f>IF(AND(AllData[[#This Row],[Time]]&lt;0.5, AllData[[#This Row],[Time]]&gt;0.17)=TRUE, "Morning", IF(AND(AllData[[#This Row],[Time]]&lt;0.75, AllData[[#This Row],[Time]]&gt;=0.5)=TRUE, "Afternoon", IF(AND(AllData[[#This Row],[Time]]&lt;1, AllData[[#This Row],[Time]]&gt;=0.75)=TRUE, "Evening", "Night")))</f>
        <v>Afternoon</v>
      </c>
      <c r="G859" t="str">
        <f>_xlfn.XLOOKUP(AllData[[#This Row],[Location Name]], Locations[Location Name],Locations[Group As])</f>
        <v>Stour Whichford</v>
      </c>
      <c r="H859" t="e" vm="1">
        <f>_xlfn.XLOOKUP(AllData[[#This Row],[Site Name]],LocationsKey[Site Name],LocationsKey[District])</f>
        <v>#VALUE!</v>
      </c>
      <c r="I859" t="e" vm="24">
        <f>_xlfn.XLOOKUP(AllData[[#This Row],[Site Name]],LocationsKey[Site Name],LocationsKey[Town])</f>
        <v>#VALUE!</v>
      </c>
      <c r="J859" t="str">
        <f>_xlfn.XLOOKUP(AllData[[#This Row],[Site Name]],LocationsKey[Site Name], LocationsKey[Waterway])</f>
        <v>Stour</v>
      </c>
      <c r="K859" t="s">
        <v>980</v>
      </c>
      <c r="N859" t="s">
        <v>31</v>
      </c>
      <c r="O859">
        <v>525</v>
      </c>
      <c r="P859">
        <v>12</v>
      </c>
      <c r="Q859">
        <v>2</v>
      </c>
      <c r="R859" s="107" t="str">
        <f>IF(AllData[[#This Row],[Nitrate (PPM)]]&gt;2, "Very high", IF(AllData[[#This Row],[Nitrate (PPM)]]&gt;1, "High", IF(AllData[[#This Row],[Nitrate (PPM)]]&gt;0.5, "Some evidence", IF(AllData[[#This Row],[Nitrate (PPM)]]&gt;=0, "No evidence"))))</f>
        <v>High</v>
      </c>
      <c r="S859">
        <v>0.54</v>
      </c>
      <c r="T859" s="7" t="str">
        <f>IF(AllData[[#This Row],[Phosphate (PPM)]]&gt;0.5, "Very high", IF(AllData[[#This Row],[Phosphate (PPM)]]&gt;0.1, "High", IF(AllData[[#This Row],[Phosphate (PPM)]]&gt;0.05, "Some evidence", IF(AllData[[#This Row],[Phosphate (PPM)]]&lt;=0.05, "No Evidence", ""))))</f>
        <v>Very high</v>
      </c>
      <c r="U859">
        <v>23</v>
      </c>
    </row>
    <row r="860" spans="1:22" x14ac:dyDescent="0.35">
      <c r="A860" t="s">
        <v>2218</v>
      </c>
      <c r="B860" s="143">
        <v>45575</v>
      </c>
      <c r="C860" s="2" t="str" cm="1">
        <f t="array" ref="C8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0">
        <f>YEAR(AllData[[#This Row],[Date]])</f>
        <v>2024</v>
      </c>
      <c r="E860" s="1">
        <v>0.4375</v>
      </c>
      <c r="F860" t="str">
        <f>IF(AND(AllData[[#This Row],[Time]]&lt;0.5, AllData[[#This Row],[Time]]&gt;0.17)=TRUE, "Morning", IF(AND(AllData[[#This Row],[Time]]&lt;0.75, AllData[[#This Row],[Time]]&gt;=0.5)=TRUE, "Afternoon", IF(AND(AllData[[#This Row],[Time]]&lt;1, AllData[[#This Row],[Time]]&gt;=0.75)=TRUE, "Evening", "Night")))</f>
        <v>Morning</v>
      </c>
      <c r="G860" t="str">
        <f>_xlfn.XLOOKUP(AllData[[#This Row],[Location Name]], Locations[Location Name],Locations[Group As])</f>
        <v>Stour Willington</v>
      </c>
      <c r="H860" t="e" vm="1">
        <f>_xlfn.XLOOKUP(AllData[[#This Row],[Site Name]],LocationsKey[Site Name],LocationsKey[District])</f>
        <v>#VALUE!</v>
      </c>
      <c r="I860" t="str">
        <f>_xlfn.XLOOKUP(AllData[[#This Row],[Site Name]],LocationsKey[Site Name],LocationsKey[Town])</f>
        <v>Willington</v>
      </c>
      <c r="J860" t="str">
        <f>_xlfn.XLOOKUP(AllData[[#This Row],[Site Name]],LocationsKey[Site Name], LocationsKey[Waterway])</f>
        <v>Stour</v>
      </c>
      <c r="K860" t="s">
        <v>521</v>
      </c>
      <c r="L860">
        <v>52.053460999999999</v>
      </c>
      <c r="M860">
        <v>-1.6203369999999999</v>
      </c>
      <c r="N860" t="s">
        <v>25</v>
      </c>
      <c r="O860">
        <v>501</v>
      </c>
      <c r="P860">
        <v>13.1</v>
      </c>
      <c r="Q860">
        <v>2</v>
      </c>
      <c r="R860" s="107" t="str">
        <f>IF(AllData[[#This Row],[Nitrate (PPM)]]&gt;2, "Very high", IF(AllData[[#This Row],[Nitrate (PPM)]]&gt;1, "High", IF(AllData[[#This Row],[Nitrate (PPM)]]&gt;0.5, "Some evidence", IF(AllData[[#This Row],[Nitrate (PPM)]]&gt;=0, "No evidence"))))</f>
        <v>High</v>
      </c>
      <c r="S860">
        <v>0.26</v>
      </c>
      <c r="T860" s="7" t="str">
        <f>IF(AllData[[#This Row],[Phosphate (PPM)]]&gt;0.5, "Very high", IF(AllData[[#This Row],[Phosphate (PPM)]]&gt;0.1, "High", IF(AllData[[#This Row],[Phosphate (PPM)]]&gt;0.05, "Some evidence", IF(AllData[[#This Row],[Phosphate (PPM)]]&lt;=0.05, "No Evidence", ""))))</f>
        <v>High</v>
      </c>
      <c r="U860">
        <v>1</v>
      </c>
    </row>
    <row r="861" spans="1:22" x14ac:dyDescent="0.35">
      <c r="A861" t="s">
        <v>2221</v>
      </c>
      <c r="B861" s="143">
        <v>45575</v>
      </c>
      <c r="C861" s="2" t="str" cm="1">
        <f t="array" ref="C8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1">
        <f>YEAR(AllData[[#This Row],[Date]])</f>
        <v>2024</v>
      </c>
      <c r="E861" s="1">
        <v>0.64236111111111116</v>
      </c>
      <c r="F861" t="str">
        <f>IF(AND(AllData[[#This Row],[Time]]&lt;0.5, AllData[[#This Row],[Time]]&gt;0.17)=TRUE, "Morning", IF(AND(AllData[[#This Row],[Time]]&lt;0.75, AllData[[#This Row],[Time]]&gt;=0.5)=TRUE, "Afternoon", IF(AND(AllData[[#This Row],[Time]]&lt;1, AllData[[#This Row],[Time]]&gt;=0.75)=TRUE, "Evening", "Night")))</f>
        <v>Afternoon</v>
      </c>
      <c r="G861" t="str">
        <f>_xlfn.XLOOKUP(AllData[[#This Row],[Location Name]], Locations[Location Name],Locations[Group As])</f>
        <v>Stour Ascott Village</v>
      </c>
      <c r="H861" t="e" vm="1">
        <f>_xlfn.XLOOKUP(AllData[[#This Row],[Site Name]],LocationsKey[Site Name],LocationsKey[District])</f>
        <v>#VALUE!</v>
      </c>
      <c r="I861" t="e" vm="25">
        <f>_xlfn.XLOOKUP(AllData[[#This Row],[Site Name]],LocationsKey[Site Name],LocationsKey[Town])</f>
        <v>#VALUE!</v>
      </c>
      <c r="J861" t="str">
        <f>_xlfn.XLOOKUP(AllData[[#This Row],[Site Name]],LocationsKey[Site Name], LocationsKey[Waterway])</f>
        <v>Stour</v>
      </c>
      <c r="K861" t="s">
        <v>927</v>
      </c>
      <c r="N861" t="s">
        <v>68</v>
      </c>
      <c r="O861">
        <v>467</v>
      </c>
      <c r="P861">
        <v>12.1</v>
      </c>
      <c r="Q861">
        <v>0.4</v>
      </c>
      <c r="R861" s="107" t="str">
        <f>IF(AllData[[#This Row],[Nitrate (PPM)]]&gt;2, "Very high", IF(AllData[[#This Row],[Nitrate (PPM)]]&gt;1, "High", IF(AllData[[#This Row],[Nitrate (PPM)]]&gt;0.5, "Some evidence", IF(AllData[[#This Row],[Nitrate (PPM)]]&gt;=0, "No evidence"))))</f>
        <v>No evidence</v>
      </c>
      <c r="S861">
        <v>0.22</v>
      </c>
      <c r="T861" s="7" t="str">
        <f>IF(AllData[[#This Row],[Phosphate (PPM)]]&gt;0.5, "Very high", IF(AllData[[#This Row],[Phosphate (PPM)]]&gt;0.1, "High", IF(AllData[[#This Row],[Phosphate (PPM)]]&gt;0.05, "Some evidence", IF(AllData[[#This Row],[Phosphate (PPM)]]&lt;=0.05, "No Evidence", ""))))</f>
        <v>High</v>
      </c>
      <c r="U861">
        <v>14</v>
      </c>
    </row>
    <row r="862" spans="1:22" x14ac:dyDescent="0.35">
      <c r="A862" t="s">
        <v>2216</v>
      </c>
      <c r="B862" s="143">
        <v>45574</v>
      </c>
      <c r="C862" s="2" t="str" cm="1">
        <f t="array" ref="C8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2">
        <f>YEAR(AllData[[#This Row],[Date]])</f>
        <v>2024</v>
      </c>
      <c r="E862" s="1">
        <v>0.52222222222222225</v>
      </c>
      <c r="F862" t="str">
        <f>IF(AND(AllData[[#This Row],[Time]]&lt;0.5, AllData[[#This Row],[Time]]&gt;0.17)=TRUE, "Morning", IF(AND(AllData[[#This Row],[Time]]&lt;0.75, AllData[[#This Row],[Time]]&gt;=0.5)=TRUE, "Afternoon", IF(AND(AllData[[#This Row],[Time]]&lt;1, AllData[[#This Row],[Time]]&gt;=0.75)=TRUE, "Evening", "Night")))</f>
        <v>Afternoon</v>
      </c>
      <c r="G862" t="str">
        <f>_xlfn.XLOOKUP(AllData[[#This Row],[Location Name]], Locations[Location Name],Locations[Group As])</f>
        <v>SSC Bredons Norton</v>
      </c>
      <c r="H862" t="e" vm="6">
        <f>_xlfn.XLOOKUP(AllData[[#This Row],[Site Name]],LocationsKey[Site Name],LocationsKey[District])</f>
        <v>#VALUE!</v>
      </c>
      <c r="I862" t="str">
        <f>_xlfn.XLOOKUP(AllData[[#This Row],[Site Name]],LocationsKey[Site Name],LocationsKey[Town])</f>
        <v>Bredon's Norton</v>
      </c>
      <c r="J862" t="str">
        <f>_xlfn.XLOOKUP(AllData[[#This Row],[Site Name]],LocationsKey[Site Name], LocationsKey[Waterway])</f>
        <v>Avon</v>
      </c>
      <c r="K862" t="s">
        <v>2217</v>
      </c>
      <c r="L862">
        <v>52.050851999999999</v>
      </c>
      <c r="M862">
        <v>-2.1169989999999999</v>
      </c>
      <c r="N862" t="s">
        <v>25</v>
      </c>
      <c r="O862">
        <v>648</v>
      </c>
      <c r="P862">
        <v>13.7</v>
      </c>
      <c r="Q862">
        <v>5</v>
      </c>
      <c r="R862" s="107" t="str">
        <f>IF(AllData[[#This Row],[Nitrate (PPM)]]&gt;2, "Very high", IF(AllData[[#This Row],[Nitrate (PPM)]]&gt;1, "High", IF(AllData[[#This Row],[Nitrate (PPM)]]&gt;0.5, "Some evidence", IF(AllData[[#This Row],[Nitrate (PPM)]]&gt;=0, "No evidence"))))</f>
        <v>Very high</v>
      </c>
      <c r="S862">
        <v>0.7</v>
      </c>
      <c r="T862" s="7" t="str">
        <f>IF(AllData[[#This Row],[Phosphate (PPM)]]&gt;0.5, "Very high", IF(AllData[[#This Row],[Phosphate (PPM)]]&gt;0.1, "High", IF(AllData[[#This Row],[Phosphate (PPM)]]&gt;0.05, "Some evidence", IF(AllData[[#This Row],[Phosphate (PPM)]]&lt;=0.05, "No Evidence", ""))))</f>
        <v>Very high</v>
      </c>
      <c r="U862">
        <v>1.8</v>
      </c>
      <c r="V862" t="s">
        <v>882</v>
      </c>
    </row>
    <row r="863" spans="1:22" x14ac:dyDescent="0.35">
      <c r="A863" t="s">
        <v>2213</v>
      </c>
      <c r="B863" s="143">
        <v>45573</v>
      </c>
      <c r="C863" s="2" t="str" cm="1">
        <f t="array" ref="C8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3">
        <f>YEAR(AllData[[#This Row],[Date]])</f>
        <v>2024</v>
      </c>
      <c r="E863" s="1">
        <v>0.59305555555555556</v>
      </c>
      <c r="F863" t="str">
        <f>IF(AND(AllData[[#This Row],[Time]]&lt;0.5, AllData[[#This Row],[Time]]&gt;0.17)=TRUE, "Morning", IF(AND(AllData[[#This Row],[Time]]&lt;0.75, AllData[[#This Row],[Time]]&gt;=0.5)=TRUE, "Afternoon", IF(AND(AllData[[#This Row],[Time]]&lt;1, AllData[[#This Row],[Time]]&gt;=0.75)=TRUE, "Evening", "Night")))</f>
        <v>Afternoon</v>
      </c>
      <c r="G863" t="str">
        <f>_xlfn.XLOOKUP(AllData[[#This Row],[Location Name]], Locations[Location Name],Locations[Group As])</f>
        <v>Abbey Mill</v>
      </c>
      <c r="H863" t="e" vm="4">
        <f>_xlfn.XLOOKUP(AllData[[#This Row],[Site Name]],LocationsKey[Site Name],LocationsKey[District])</f>
        <v>#VALUE!</v>
      </c>
      <c r="I863" t="e" vm="4">
        <f>_xlfn.XLOOKUP(AllData[[#This Row],[Site Name]],LocationsKey[Site Name],LocationsKey[Town])</f>
        <v>#VALUE!</v>
      </c>
      <c r="J863" t="str">
        <f>_xlfn.XLOOKUP(AllData[[#This Row],[Site Name]],LocationsKey[Site Name], LocationsKey[Waterway])</f>
        <v>Avon</v>
      </c>
      <c r="K863" t="s">
        <v>27</v>
      </c>
      <c r="L863">
        <v>51.991638000000002</v>
      </c>
      <c r="M863">
        <v>-2.162455</v>
      </c>
      <c r="N863" t="s">
        <v>31</v>
      </c>
      <c r="O863">
        <v>663</v>
      </c>
      <c r="P863">
        <v>14.1</v>
      </c>
      <c r="Q863">
        <v>12</v>
      </c>
      <c r="R863" s="107" t="str">
        <f>IF(AllData[[#This Row],[Nitrate (PPM)]]&gt;2, "Very high", IF(AllData[[#This Row],[Nitrate (PPM)]]&gt;1, "High", IF(AllData[[#This Row],[Nitrate (PPM)]]&gt;0.5, "Some evidence", IF(AllData[[#This Row],[Nitrate (PPM)]]&gt;=0, "No evidence"))))</f>
        <v>Very high</v>
      </c>
      <c r="S863">
        <v>0.55000000000000004</v>
      </c>
      <c r="T863" s="7" t="str">
        <f>IF(AllData[[#This Row],[Phosphate (PPM)]]&gt;0.5, "Very high", IF(AllData[[#This Row],[Phosphate (PPM)]]&gt;0.1, "High", IF(AllData[[#This Row],[Phosphate (PPM)]]&gt;0.05, "Some evidence", IF(AllData[[#This Row],[Phosphate (PPM)]]&lt;=0.05, "No Evidence", ""))))</f>
        <v>Very high</v>
      </c>
      <c r="U863">
        <v>0.8</v>
      </c>
      <c r="V863" t="s">
        <v>2214</v>
      </c>
    </row>
    <row r="864" spans="1:22" x14ac:dyDescent="0.35">
      <c r="A864" t="s">
        <v>2215</v>
      </c>
      <c r="B864" s="143">
        <v>45573</v>
      </c>
      <c r="C864" s="2" t="str" cm="1">
        <f t="array" ref="C8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4">
        <f>YEAR(AllData[[#This Row],[Date]])</f>
        <v>2024</v>
      </c>
      <c r="E864" s="1">
        <v>0.56319444444444444</v>
      </c>
      <c r="F864" t="str">
        <f>IF(AND(AllData[[#This Row],[Time]]&lt;0.5, AllData[[#This Row],[Time]]&gt;0.17)=TRUE, "Morning", IF(AND(AllData[[#This Row],[Time]]&lt;0.75, AllData[[#This Row],[Time]]&gt;=0.5)=TRUE, "Afternoon", IF(AND(AllData[[#This Row],[Time]]&lt;1, AllData[[#This Row],[Time]]&gt;=0.75)=TRUE, "Evening", "Night")))</f>
        <v>Afternoon</v>
      </c>
      <c r="G864" t="str">
        <f>_xlfn.XLOOKUP(AllData[[#This Row],[Location Name]], Locations[Location Name],Locations[Group As])</f>
        <v>Twyning Fleet</v>
      </c>
      <c r="H864" t="e" vm="4">
        <f>_xlfn.XLOOKUP(AllData[[#This Row],[Site Name]],LocationsKey[Site Name],LocationsKey[District])</f>
        <v>#VALUE!</v>
      </c>
      <c r="I864" t="str">
        <f>_xlfn.XLOOKUP(AllData[[#This Row],[Site Name]],LocationsKey[Site Name],LocationsKey[Town])</f>
        <v>Twyning Green</v>
      </c>
      <c r="J864" t="str">
        <f>_xlfn.XLOOKUP(AllData[[#This Row],[Site Name]],LocationsKey[Site Name], LocationsKey[Waterway])</f>
        <v>Avon</v>
      </c>
      <c r="K864" t="s">
        <v>2117</v>
      </c>
      <c r="L864">
        <v>52.027169999999998</v>
      </c>
      <c r="M864">
        <v>-2.1404749999999999</v>
      </c>
      <c r="O864">
        <v>659</v>
      </c>
      <c r="P864">
        <v>14.1</v>
      </c>
      <c r="Q864">
        <v>10</v>
      </c>
      <c r="R864" s="107" t="str">
        <f>IF(AllData[[#This Row],[Nitrate (PPM)]]&gt;2, "Very high", IF(AllData[[#This Row],[Nitrate (PPM)]]&gt;1, "High", IF(AllData[[#This Row],[Nitrate (PPM)]]&gt;0.5, "Some evidence", IF(AllData[[#This Row],[Nitrate (PPM)]]&gt;=0, "No evidence"))))</f>
        <v>Very high</v>
      </c>
      <c r="S864">
        <v>0.57999999999999996</v>
      </c>
      <c r="T864" s="7" t="str">
        <f>IF(AllData[[#This Row],[Phosphate (PPM)]]&gt;0.5, "Very high", IF(AllData[[#This Row],[Phosphate (PPM)]]&gt;0.1, "High", IF(AllData[[#This Row],[Phosphate (PPM)]]&gt;0.05, "Some evidence", IF(AllData[[#This Row],[Phosphate (PPM)]]&lt;=0.05, "No Evidence", ""))))</f>
        <v>Very high</v>
      </c>
      <c r="U864">
        <v>0</v>
      </c>
    </row>
    <row r="865" spans="1:22" x14ac:dyDescent="0.35">
      <c r="A865" t="s">
        <v>2201</v>
      </c>
      <c r="B865" s="143">
        <v>45572</v>
      </c>
      <c r="C865" s="2" t="str" cm="1">
        <f t="array" ref="C8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5">
        <f>YEAR(AllData[[#This Row],[Date]])</f>
        <v>2024</v>
      </c>
      <c r="E865" s="1">
        <v>0.70833333333333337</v>
      </c>
      <c r="F865" t="str">
        <f>IF(AND(AllData[[#This Row],[Time]]&lt;0.5, AllData[[#This Row],[Time]]&gt;0.17)=TRUE, "Morning", IF(AND(AllData[[#This Row],[Time]]&lt;0.75, AllData[[#This Row],[Time]]&gt;=0.5)=TRUE, "Afternoon", IF(AND(AllData[[#This Row],[Time]]&lt;1, AllData[[#This Row],[Time]]&gt;=0.75)=TRUE, "Evening", "Night")))</f>
        <v>Afternoon</v>
      </c>
      <c r="G865" t="str">
        <f>_xlfn.XLOOKUP(AllData[[#This Row],[Location Name]], Locations[Location Name],Locations[Group As])</f>
        <v>Swiffen Bank</v>
      </c>
      <c r="H865" t="e" vm="1">
        <f>_xlfn.XLOOKUP(AllData[[#This Row],[Site Name]],LocationsKey[Site Name],LocationsKey[District])</f>
        <v>#VALUE!</v>
      </c>
      <c r="I865" t="e" vm="2">
        <f>_xlfn.XLOOKUP(AllData[[#This Row],[Site Name]],LocationsKey[Site Name],LocationsKey[Town])</f>
        <v>#VALUE!</v>
      </c>
      <c r="J865" t="str">
        <f>_xlfn.XLOOKUP(AllData[[#This Row],[Site Name]],LocationsKey[Site Name], LocationsKey[Waterway])</f>
        <v>Avon</v>
      </c>
      <c r="K865" t="s">
        <v>1448</v>
      </c>
      <c r="L865">
        <v>52.206477999999997</v>
      </c>
      <c r="M865">
        <v>-1.653894</v>
      </c>
      <c r="N865" t="s">
        <v>31</v>
      </c>
      <c r="O865">
        <v>566</v>
      </c>
      <c r="P865">
        <v>15.2</v>
      </c>
      <c r="Q865">
        <v>10</v>
      </c>
      <c r="R865" s="107" t="str">
        <f>IF(AllData[[#This Row],[Nitrate (PPM)]]&gt;2, "Very high", IF(AllData[[#This Row],[Nitrate (PPM)]]&gt;1, "High", IF(AllData[[#This Row],[Nitrate (PPM)]]&gt;0.5, "Some evidence", IF(AllData[[#This Row],[Nitrate (PPM)]]&gt;=0, "No evidence"))))</f>
        <v>Very high</v>
      </c>
      <c r="S865">
        <v>0.38</v>
      </c>
      <c r="T865" s="7" t="str">
        <f>IF(AllData[[#This Row],[Phosphate (PPM)]]&gt;0.5, "Very high", IF(AllData[[#This Row],[Phosphate (PPM)]]&gt;0.1, "High", IF(AllData[[#This Row],[Phosphate (PPM)]]&gt;0.05, "Some evidence", IF(AllData[[#This Row],[Phosphate (PPM)]]&lt;=0.05, "No Evidence", ""))))</f>
        <v>High</v>
      </c>
      <c r="U865">
        <v>0.5</v>
      </c>
      <c r="V865" t="s">
        <v>2202</v>
      </c>
    </row>
    <row r="866" spans="1:22" x14ac:dyDescent="0.35">
      <c r="A866" t="s">
        <v>2211</v>
      </c>
      <c r="B866" s="143">
        <v>45572</v>
      </c>
      <c r="C866" s="2" t="str" cm="1">
        <f t="array" ref="C8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6">
        <f>YEAR(AllData[[#This Row],[Date]])</f>
        <v>2024</v>
      </c>
      <c r="E866" s="1">
        <v>0.76875000000000004</v>
      </c>
      <c r="F866" t="str">
        <f>IF(AND(AllData[[#This Row],[Time]]&lt;0.5, AllData[[#This Row],[Time]]&gt;0.17)=TRUE, "Morning", IF(AND(AllData[[#This Row],[Time]]&lt;0.75, AllData[[#This Row],[Time]]&gt;=0.5)=TRUE, "Afternoon", IF(AND(AllData[[#This Row],[Time]]&lt;1, AllData[[#This Row],[Time]]&gt;=0.75)=TRUE, "Evening", "Night")))</f>
        <v>Evening</v>
      </c>
      <c r="G866" t="str">
        <f>_xlfn.XLOOKUP(AllData[[#This Row],[Location Name]], Locations[Location Name],Locations[Group As])</f>
        <v>School Lane</v>
      </c>
      <c r="H866" t="e" vm="1">
        <f>_xlfn.XLOOKUP(AllData[[#This Row],[Site Name]],LocationsKey[Site Name],LocationsKey[District])</f>
        <v>#VALUE!</v>
      </c>
      <c r="I866" t="e" vm="3">
        <f>_xlfn.XLOOKUP(AllData[[#This Row],[Site Name]],LocationsKey[Site Name],LocationsKey[Town])</f>
        <v>#VALUE!</v>
      </c>
      <c r="J866" t="str">
        <f>_xlfn.XLOOKUP(AllData[[#This Row],[Site Name]],LocationsKey[Site Name], LocationsKey[Waterway])</f>
        <v>Avon</v>
      </c>
      <c r="K866" t="s">
        <v>2212</v>
      </c>
      <c r="L866">
        <v>52.202424999999998</v>
      </c>
      <c r="M866">
        <v>-1.678431</v>
      </c>
      <c r="N866" t="s">
        <v>31</v>
      </c>
      <c r="O866">
        <v>712</v>
      </c>
      <c r="P866">
        <v>14.5</v>
      </c>
      <c r="Q866">
        <v>8</v>
      </c>
      <c r="R866" s="107" t="str">
        <f>IF(AllData[[#This Row],[Nitrate (PPM)]]&gt;2, "Very high", IF(AllData[[#This Row],[Nitrate (PPM)]]&gt;1, "High", IF(AllData[[#This Row],[Nitrate (PPM)]]&gt;0.5, "Some evidence", IF(AllData[[#This Row],[Nitrate (PPM)]]&gt;=0, "No evidence"))))</f>
        <v>Very high</v>
      </c>
      <c r="S866">
        <v>1.07</v>
      </c>
      <c r="T866" s="7" t="str">
        <f>IF(AllData[[#This Row],[Phosphate (PPM)]]&gt;0.5, "Very high", IF(AllData[[#This Row],[Phosphate (PPM)]]&gt;0.1, "High", IF(AllData[[#This Row],[Phosphate (PPM)]]&gt;0.05, "Some evidence", IF(AllData[[#This Row],[Phosphate (PPM)]]&lt;=0.05, "No Evidence", ""))))</f>
        <v>Very high</v>
      </c>
      <c r="U866">
        <v>0.8</v>
      </c>
    </row>
    <row r="867" spans="1:22" x14ac:dyDescent="0.35">
      <c r="A867" t="s">
        <v>2199</v>
      </c>
      <c r="B867" s="143">
        <v>45572</v>
      </c>
      <c r="C867" s="2" t="str" cm="1">
        <f t="array" ref="C8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7">
        <f>YEAR(AllData[[#This Row],[Date]])</f>
        <v>2024</v>
      </c>
      <c r="E867" s="1">
        <v>0.57638888888888884</v>
      </c>
      <c r="F867" t="str">
        <f>IF(AND(AllData[[#This Row],[Time]]&lt;0.5, AllData[[#This Row],[Time]]&gt;0.17)=TRUE, "Morning", IF(AND(AllData[[#This Row],[Time]]&lt;0.75, AllData[[#This Row],[Time]]&gt;=0.5)=TRUE, "Afternoon", IF(AND(AllData[[#This Row],[Time]]&lt;1, AllData[[#This Row],[Time]]&gt;=0.75)=TRUE, "Evening", "Night")))</f>
        <v>Afternoon</v>
      </c>
      <c r="G867" t="str">
        <f>_xlfn.XLOOKUP(AllData[[#This Row],[Location Name]], Locations[Location Name],Locations[Group As])</f>
        <v>The Ford, Langley</v>
      </c>
      <c r="H867" t="e" vm="1">
        <f>_xlfn.XLOOKUP(AllData[[#This Row],[Site Name]],LocationsKey[Site Name],LocationsKey[District])</f>
        <v>#VALUE!</v>
      </c>
      <c r="I867" t="str">
        <f>_xlfn.XLOOKUP(AllData[[#This Row],[Site Name]],LocationsKey[Site Name],LocationsKey[Town])</f>
        <v>Langley</v>
      </c>
      <c r="J867" t="str">
        <f>_xlfn.XLOOKUP(AllData[[#This Row],[Site Name]],LocationsKey[Site Name], LocationsKey[Waterway])</f>
        <v>Langley Ford</v>
      </c>
      <c r="K867" t="s">
        <v>561</v>
      </c>
      <c r="L867">
        <v>52.259903999999999</v>
      </c>
      <c r="M867">
        <v>-1.7185010000000001</v>
      </c>
      <c r="N867" t="s">
        <v>31</v>
      </c>
      <c r="O867">
        <v>723</v>
      </c>
      <c r="P867">
        <v>15.3</v>
      </c>
      <c r="Q867">
        <v>5</v>
      </c>
      <c r="R867" s="107" t="str">
        <f>IF(AllData[[#This Row],[Nitrate (PPM)]]&gt;2, "Very high", IF(AllData[[#This Row],[Nitrate (PPM)]]&gt;1, "High", IF(AllData[[#This Row],[Nitrate (PPM)]]&gt;0.5, "Some evidence", IF(AllData[[#This Row],[Nitrate (PPM)]]&gt;=0, "No evidence"))))</f>
        <v>Very high</v>
      </c>
      <c r="S867">
        <v>0.53</v>
      </c>
      <c r="T867" s="7" t="str">
        <f>IF(AllData[[#This Row],[Phosphate (PPM)]]&gt;0.5, "Very high", IF(AllData[[#This Row],[Phosphate (PPM)]]&gt;0.1, "High", IF(AllData[[#This Row],[Phosphate (PPM)]]&gt;0.05, "Some evidence", IF(AllData[[#This Row],[Phosphate (PPM)]]&lt;=0.05, "No Evidence", ""))))</f>
        <v>Very high</v>
      </c>
      <c r="U867">
        <v>0.15</v>
      </c>
      <c r="V867" t="s">
        <v>2200</v>
      </c>
    </row>
    <row r="868" spans="1:22" x14ac:dyDescent="0.35">
      <c r="A868" t="s">
        <v>2209</v>
      </c>
      <c r="B868" s="143">
        <v>45572</v>
      </c>
      <c r="C868" s="2" t="str" cm="1">
        <f t="array" ref="C8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8">
        <f>YEAR(AllData[[#This Row],[Date]])</f>
        <v>2024</v>
      </c>
      <c r="E868" s="1">
        <v>0.34375</v>
      </c>
      <c r="F868" t="str">
        <f>IF(AND(AllData[[#This Row],[Time]]&lt;0.5, AllData[[#This Row],[Time]]&gt;0.17)=TRUE, "Morning", IF(AND(AllData[[#This Row],[Time]]&lt;0.75, AllData[[#This Row],[Time]]&gt;=0.5)=TRUE, "Afternoon", IF(AND(AllData[[#This Row],[Time]]&lt;1, AllData[[#This Row],[Time]]&gt;=0.75)=TRUE, "Evening", "Night")))</f>
        <v>Morning</v>
      </c>
      <c r="G868" t="str">
        <f>_xlfn.XLOOKUP(AllData[[#This Row],[Location Name]], Locations[Location Name],Locations[Group As])</f>
        <v>Chipping Campden Sewage Works</v>
      </c>
      <c r="H868" t="e" vm="9">
        <f>_xlfn.XLOOKUP(AllData[[#This Row],[Site Name]],LocationsKey[Site Name],LocationsKey[District])</f>
        <v>#VALUE!</v>
      </c>
      <c r="I868" t="e" vm="10">
        <f>_xlfn.XLOOKUP(AllData[[#This Row],[Site Name]],LocationsKey[Site Name],LocationsKey[Town])</f>
        <v>#VALUE!</v>
      </c>
      <c r="J868" t="str">
        <f>_xlfn.XLOOKUP(AllData[[#This Row],[Site Name]],LocationsKey[Site Name], LocationsKey[Waterway])</f>
        <v>Cam Brook</v>
      </c>
      <c r="K868" t="s">
        <v>2210</v>
      </c>
      <c r="N868" t="s">
        <v>31</v>
      </c>
      <c r="O868">
        <v>598</v>
      </c>
      <c r="P868">
        <v>12.8</v>
      </c>
      <c r="Q868">
        <v>5</v>
      </c>
      <c r="R868" s="107" t="str">
        <f>IF(AllData[[#This Row],[Nitrate (PPM)]]&gt;2, "Very high", IF(AllData[[#This Row],[Nitrate (PPM)]]&gt;1, "High", IF(AllData[[#This Row],[Nitrate (PPM)]]&gt;0.5, "Some evidence", IF(AllData[[#This Row],[Nitrate (PPM)]]&gt;=0, "No evidence"))))</f>
        <v>Very high</v>
      </c>
      <c r="S868">
        <v>7.0000000000000007E-2</v>
      </c>
      <c r="T868" s="7" t="str">
        <f>IF(AllData[[#This Row],[Phosphate (PPM)]]&gt;0.5, "Very high", IF(AllData[[#This Row],[Phosphate (PPM)]]&gt;0.1, "High", IF(AllData[[#This Row],[Phosphate (PPM)]]&gt;0.05, "Some evidence", IF(AllData[[#This Row],[Phosphate (PPM)]]&lt;=0.05, "No Evidence", ""))))</f>
        <v>Some evidence</v>
      </c>
      <c r="U868">
        <v>0.43</v>
      </c>
    </row>
    <row r="869" spans="1:22" x14ac:dyDescent="0.35">
      <c r="A869" t="s">
        <v>2205</v>
      </c>
      <c r="B869" s="143">
        <v>45572</v>
      </c>
      <c r="C869" s="2" t="str" cm="1">
        <f t="array" ref="C8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69">
        <f>YEAR(AllData[[#This Row],[Date]])</f>
        <v>2024</v>
      </c>
      <c r="E869" s="1">
        <v>0.59722222222222221</v>
      </c>
      <c r="F869" t="str">
        <f>IF(AND(AllData[[#This Row],[Time]]&lt;0.5, AllData[[#This Row],[Time]]&gt;0.17)=TRUE, "Morning", IF(AND(AllData[[#This Row],[Time]]&lt;0.75, AllData[[#This Row],[Time]]&gt;=0.5)=TRUE, "Afternoon", IF(AND(AllData[[#This Row],[Time]]&lt;1, AllData[[#This Row],[Time]]&gt;=0.75)=TRUE, "Evening", "Night")))</f>
        <v>Afternoon</v>
      </c>
      <c r="G869" t="str">
        <f>_xlfn.XLOOKUP(AllData[[#This Row],[Location Name]], Locations[Location Name],Locations[Group As])</f>
        <v>Alveston Weir</v>
      </c>
      <c r="H869" t="e" vm="1">
        <f>_xlfn.XLOOKUP(AllData[[#This Row],[Site Name]],LocationsKey[Site Name],LocationsKey[District])</f>
        <v>#VALUE!</v>
      </c>
      <c r="I869" t="e" vm="2">
        <f>_xlfn.XLOOKUP(AllData[[#This Row],[Site Name]],LocationsKey[Site Name],LocationsKey[Town])</f>
        <v>#VALUE!</v>
      </c>
      <c r="J869" t="str">
        <f>_xlfn.XLOOKUP(AllData[[#This Row],[Site Name]],LocationsKey[Site Name], LocationsKey[Waterway])</f>
        <v>Avon</v>
      </c>
      <c r="K869" t="s">
        <v>288</v>
      </c>
      <c r="L869">
        <v>52.212288999999998</v>
      </c>
      <c r="M869">
        <v>-1.660452</v>
      </c>
      <c r="N869" t="s">
        <v>31</v>
      </c>
      <c r="O869">
        <v>571</v>
      </c>
      <c r="P869">
        <v>15.6</v>
      </c>
      <c r="Q869">
        <v>5</v>
      </c>
      <c r="R869" s="107" t="str">
        <f>IF(AllData[[#This Row],[Nitrate (PPM)]]&gt;2, "Very high", IF(AllData[[#This Row],[Nitrate (PPM)]]&gt;1, "High", IF(AllData[[#This Row],[Nitrate (PPM)]]&gt;0.5, "Some evidence", IF(AllData[[#This Row],[Nitrate (PPM)]]&gt;=0, "No evidence"))))</f>
        <v>Very high</v>
      </c>
      <c r="S869">
        <v>0.45</v>
      </c>
      <c r="T869" s="107" t="str">
        <f>IF(AllData[[#This Row],[Phosphate (PPM)]]&gt;0.5, "Very high", IF(AllData[[#This Row],[Phosphate (PPM)]]&gt;0.1, "High", IF(AllData[[#This Row],[Phosphate (PPM)]]&gt;0.05, "Some evidence", IF(AllData[[#This Row],[Phosphate (PPM)]]&lt;=0.05, "No Evidence", ""))))</f>
        <v>High</v>
      </c>
      <c r="U869">
        <v>0.5</v>
      </c>
    </row>
    <row r="870" spans="1:22" x14ac:dyDescent="0.35">
      <c r="A870" t="s">
        <v>2207</v>
      </c>
      <c r="B870" s="143">
        <v>45572</v>
      </c>
      <c r="C870" s="2" t="str" cm="1">
        <f t="array" ref="C8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0">
        <f>YEAR(AllData[[#This Row],[Date]])</f>
        <v>2024</v>
      </c>
      <c r="E870" s="1">
        <v>0.3263888888888889</v>
      </c>
      <c r="F870" t="str">
        <f>IF(AND(AllData[[#This Row],[Time]]&lt;0.5, AllData[[#This Row],[Time]]&gt;0.17)=TRUE, "Morning", IF(AND(AllData[[#This Row],[Time]]&lt;0.75, AllData[[#This Row],[Time]]&gt;=0.5)=TRUE, "Afternoon", IF(AND(AllData[[#This Row],[Time]]&lt;1, AllData[[#This Row],[Time]]&gt;=0.75)=TRUE, "Evening", "Night")))</f>
        <v>Morning</v>
      </c>
      <c r="G870" t="str">
        <f>_xlfn.XLOOKUP(AllData[[#This Row],[Location Name]], Locations[Location Name],Locations[Group As])</f>
        <v>Chipping Campden Lady J Gateway</v>
      </c>
      <c r="H870" t="e" vm="9">
        <f>_xlfn.XLOOKUP(AllData[[#This Row],[Site Name]],LocationsKey[Site Name],LocationsKey[District])</f>
        <v>#VALUE!</v>
      </c>
      <c r="I870" t="e" vm="10">
        <f>_xlfn.XLOOKUP(AllData[[#This Row],[Site Name]],LocationsKey[Site Name],LocationsKey[Town])</f>
        <v>#VALUE!</v>
      </c>
      <c r="J870" t="str">
        <f>_xlfn.XLOOKUP(AllData[[#This Row],[Site Name]],LocationsKey[Site Name], LocationsKey[Waterway])</f>
        <v>Cam Brook</v>
      </c>
      <c r="K870" t="s">
        <v>1573</v>
      </c>
      <c r="N870" t="s">
        <v>68</v>
      </c>
      <c r="O870">
        <v>530</v>
      </c>
      <c r="P870">
        <v>11.5</v>
      </c>
      <c r="Q870">
        <v>5</v>
      </c>
      <c r="R870" s="107" t="str">
        <f>IF(AllData[[#This Row],[Nitrate (PPM)]]&gt;2, "Very high", IF(AllData[[#This Row],[Nitrate (PPM)]]&gt;1, "High", IF(AllData[[#This Row],[Nitrate (PPM)]]&gt;0.5, "Some evidence", IF(AllData[[#This Row],[Nitrate (PPM)]]&gt;=0, "No evidence"))))</f>
        <v>Very high</v>
      </c>
      <c r="S870">
        <v>0.06</v>
      </c>
      <c r="T870" s="7" t="str">
        <f>IF(AllData[[#This Row],[Phosphate (PPM)]]&gt;0.5, "Very high", IF(AllData[[#This Row],[Phosphate (PPM)]]&gt;0.1, "High", IF(AllData[[#This Row],[Phosphate (PPM)]]&gt;0.05, "Some evidence", IF(AllData[[#This Row],[Phosphate (PPM)]]&lt;=0.05, "No Evidence", ""))))</f>
        <v>Some evidence</v>
      </c>
      <c r="U870">
        <v>0.23</v>
      </c>
    </row>
    <row r="871" spans="1:22" x14ac:dyDescent="0.35">
      <c r="A871" t="s">
        <v>2208</v>
      </c>
      <c r="B871" s="143">
        <v>45572</v>
      </c>
      <c r="C871" s="2" t="str" cm="1">
        <f t="array" ref="C8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1">
        <f>YEAR(AllData[[#This Row],[Date]])</f>
        <v>2024</v>
      </c>
      <c r="E871" s="1">
        <v>0.35069444444444442</v>
      </c>
      <c r="F871" t="str">
        <f>IF(AND(AllData[[#This Row],[Time]]&lt;0.5, AllData[[#This Row],[Time]]&gt;0.17)=TRUE, "Morning", IF(AND(AllData[[#This Row],[Time]]&lt;0.75, AllData[[#This Row],[Time]]&gt;=0.5)=TRUE, "Afternoon", IF(AND(AllData[[#This Row],[Time]]&lt;1, AllData[[#This Row],[Time]]&gt;=0.75)=TRUE, "Evening", "Night")))</f>
        <v>Morning</v>
      </c>
      <c r="G871" t="str">
        <f>_xlfn.XLOOKUP(AllData[[#This Row],[Location Name]], Locations[Location Name],Locations[Group As])</f>
        <v>Chipping Campden Craves</v>
      </c>
      <c r="H871" t="e" vm="9">
        <f>_xlfn.XLOOKUP(AllData[[#This Row],[Site Name]],LocationsKey[Site Name],LocationsKey[District])</f>
        <v>#VALUE!</v>
      </c>
      <c r="I871" t="e" vm="10">
        <f>_xlfn.XLOOKUP(AllData[[#This Row],[Site Name]],LocationsKey[Site Name],LocationsKey[Town])</f>
        <v>#VALUE!</v>
      </c>
      <c r="J871" t="str">
        <f>_xlfn.XLOOKUP(AllData[[#This Row],[Site Name]],LocationsKey[Site Name], LocationsKey[Waterway])</f>
        <v>Cam Brook</v>
      </c>
      <c r="K871" t="s">
        <v>2052</v>
      </c>
      <c r="L871">
        <v>52.048676</v>
      </c>
      <c r="M871">
        <v>-1.786324</v>
      </c>
      <c r="N871" t="s">
        <v>68</v>
      </c>
      <c r="O871">
        <v>515</v>
      </c>
      <c r="P871">
        <v>11.8</v>
      </c>
      <c r="Q871">
        <v>5</v>
      </c>
      <c r="R871" s="107" t="str">
        <f>IF(AllData[[#This Row],[Nitrate (PPM)]]&gt;2, "Very high", IF(AllData[[#This Row],[Nitrate (PPM)]]&gt;1, "High", IF(AllData[[#This Row],[Nitrate (PPM)]]&gt;0.5, "Some evidence", IF(AllData[[#This Row],[Nitrate (PPM)]]&gt;=0, "No evidence"))))</f>
        <v>Very high</v>
      </c>
      <c r="S871">
        <v>0.11</v>
      </c>
      <c r="T871" s="7" t="str">
        <f>IF(AllData[[#This Row],[Phosphate (PPM)]]&gt;0.5, "Very high", IF(AllData[[#This Row],[Phosphate (PPM)]]&gt;0.1, "High", IF(AllData[[#This Row],[Phosphate (PPM)]]&gt;0.05, "Some evidence", IF(AllData[[#This Row],[Phosphate (PPM)]]&lt;=0.05, "No Evidence", ""))))</f>
        <v>High</v>
      </c>
      <c r="U871">
        <v>19</v>
      </c>
    </row>
    <row r="872" spans="1:22" x14ac:dyDescent="0.35">
      <c r="A872" t="s">
        <v>2203</v>
      </c>
      <c r="B872" s="143">
        <v>45572</v>
      </c>
      <c r="C872" s="2" t="str" cm="1">
        <f t="array" ref="C8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2">
        <f>YEAR(AllData[[#This Row],[Date]])</f>
        <v>2024</v>
      </c>
      <c r="E872" s="1">
        <v>0.63958333333333328</v>
      </c>
      <c r="F872" t="str">
        <f>IF(AND(AllData[[#This Row],[Time]]&lt;0.5, AllData[[#This Row],[Time]]&gt;0.17)=TRUE, "Morning", IF(AND(AllData[[#This Row],[Time]]&lt;0.75, AllData[[#This Row],[Time]]&gt;=0.5)=TRUE, "Afternoon", IF(AND(AllData[[#This Row],[Time]]&lt;1, AllData[[#This Row],[Time]]&gt;=0.75)=TRUE, "Evening", "Night")))</f>
        <v>Afternoon</v>
      </c>
      <c r="G872" t="str">
        <f>_xlfn.XLOOKUP(AllData[[#This Row],[Location Name]], Locations[Location Name],Locations[Group As])</f>
        <v>Carrant Back Lane Beckford</v>
      </c>
      <c r="H872" t="e" vm="4">
        <f>_xlfn.XLOOKUP(AllData[[#This Row],[Site Name]],LocationsKey[Site Name],LocationsKey[District])</f>
        <v>#VALUE!</v>
      </c>
      <c r="I872" t="str">
        <f>_xlfn.XLOOKUP(AllData[[#This Row],[Site Name]],LocationsKey[Site Name],LocationsKey[Town])</f>
        <v>Beckford</v>
      </c>
      <c r="J872" t="str">
        <f>_xlfn.XLOOKUP(AllData[[#This Row],[Site Name]],LocationsKey[Site Name], LocationsKey[Waterway])</f>
        <v>Carrant</v>
      </c>
      <c r="K872" t="s">
        <v>1736</v>
      </c>
      <c r="L872">
        <v>52.018433999999999</v>
      </c>
      <c r="M872">
        <v>-2.038783</v>
      </c>
      <c r="N872" t="s">
        <v>68</v>
      </c>
      <c r="O872">
        <v>759</v>
      </c>
      <c r="P872">
        <v>15.6</v>
      </c>
      <c r="Q872">
        <v>4</v>
      </c>
      <c r="R872" s="107" t="str">
        <f>IF(AllData[[#This Row],[Nitrate (PPM)]]&gt;2, "Very high", IF(AllData[[#This Row],[Nitrate (PPM)]]&gt;1, "High", IF(AllData[[#This Row],[Nitrate (PPM)]]&gt;0.5, "Some evidence", IF(AllData[[#This Row],[Nitrate (PPM)]]&gt;=0, "No evidence"))))</f>
        <v>Very high</v>
      </c>
      <c r="S872">
        <v>0.06</v>
      </c>
      <c r="T872" s="7" t="str">
        <f>IF(AllData[[#This Row],[Phosphate (PPM)]]&gt;0.5, "Very high", IF(AllData[[#This Row],[Phosphate (PPM)]]&gt;0.1, "High", IF(AllData[[#This Row],[Phosphate (PPM)]]&gt;0.05, "Some evidence", IF(AllData[[#This Row],[Phosphate (PPM)]]&lt;=0.05, "No Evidence", ""))))</f>
        <v>Some evidence</v>
      </c>
      <c r="U872">
        <v>0.15</v>
      </c>
      <c r="V872" t="s">
        <v>2204</v>
      </c>
    </row>
    <row r="873" spans="1:22" x14ac:dyDescent="0.35">
      <c r="A873" t="s">
        <v>2206</v>
      </c>
      <c r="B873" s="143">
        <v>45572</v>
      </c>
      <c r="C873" s="2" t="str" cm="1">
        <f t="array" ref="C8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3">
        <f>YEAR(AllData[[#This Row],[Date]])</f>
        <v>2024</v>
      </c>
      <c r="E873" s="1">
        <v>0.60486111111111107</v>
      </c>
      <c r="F873" t="str">
        <f>IF(AND(AllData[[#This Row],[Time]]&lt;0.5, AllData[[#This Row],[Time]]&gt;0.17)=TRUE, "Morning", IF(AND(AllData[[#This Row],[Time]]&lt;0.75, AllData[[#This Row],[Time]]&gt;=0.5)=TRUE, "Afternoon", IF(AND(AllData[[#This Row],[Time]]&lt;1, AllData[[#This Row],[Time]]&gt;=0.75)=TRUE, "Evening", "Night")))</f>
        <v>Afternoon</v>
      </c>
      <c r="G873" t="str">
        <f>_xlfn.XLOOKUP(AllData[[#This Row],[Location Name]], Locations[Location Name],Locations[Group As])</f>
        <v>Carrant Mitton Path</v>
      </c>
      <c r="H873" t="e" vm="4">
        <f>_xlfn.XLOOKUP(AllData[[#This Row],[Site Name]],LocationsKey[Site Name],LocationsKey[District])</f>
        <v>#VALUE!</v>
      </c>
      <c r="I873" t="e" vm="4">
        <f>_xlfn.XLOOKUP(AllData[[#This Row],[Site Name]],LocationsKey[Site Name],LocationsKey[Town])</f>
        <v>#VALUE!</v>
      </c>
      <c r="J873" t="str">
        <f>_xlfn.XLOOKUP(AllData[[#This Row],[Site Name]],LocationsKey[Site Name], LocationsKey[Waterway])</f>
        <v>Carrant</v>
      </c>
      <c r="K873" t="s">
        <v>1064</v>
      </c>
      <c r="L873">
        <v>51.999797000000001</v>
      </c>
      <c r="M873">
        <v>-2.1410640000000001</v>
      </c>
      <c r="N873" t="s">
        <v>31</v>
      </c>
      <c r="O873">
        <v>7430</v>
      </c>
      <c r="P873">
        <v>15</v>
      </c>
      <c r="Q873">
        <v>2</v>
      </c>
      <c r="R873" s="107" t="str">
        <f>IF(AllData[[#This Row],[Nitrate (PPM)]]&gt;2, "Very high", IF(AllData[[#This Row],[Nitrate (PPM)]]&gt;1, "High", IF(AllData[[#This Row],[Nitrate (PPM)]]&gt;0.5, "Some evidence", IF(AllData[[#This Row],[Nitrate (PPM)]]&gt;=0, "No evidence"))))</f>
        <v>High</v>
      </c>
      <c r="S873">
        <v>0.45</v>
      </c>
      <c r="T873" s="7" t="str">
        <f>IF(AllData[[#This Row],[Phosphate (PPM)]]&gt;0.5, "Very high", IF(AllData[[#This Row],[Phosphate (PPM)]]&gt;0.1, "High", IF(AllData[[#This Row],[Phosphate (PPM)]]&gt;0.05, "Some evidence", IF(AllData[[#This Row],[Phosphate (PPM)]]&lt;=0.05, "No Evidence", ""))))</f>
        <v>High</v>
      </c>
      <c r="U873">
        <v>0</v>
      </c>
    </row>
    <row r="874" spans="1:22" x14ac:dyDescent="0.35">
      <c r="A874" t="s">
        <v>2190</v>
      </c>
      <c r="B874" s="143">
        <v>45571</v>
      </c>
      <c r="C874" s="2" t="str" cm="1">
        <f t="array" ref="C8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4">
        <f>YEAR(AllData[[#This Row],[Date]])</f>
        <v>2024</v>
      </c>
      <c r="E874" s="1">
        <v>0.58333333333333337</v>
      </c>
      <c r="F874" t="str">
        <f>IF(AND(AllData[[#This Row],[Time]]&lt;0.5, AllData[[#This Row],[Time]]&gt;0.17)=TRUE, "Morning", IF(AND(AllData[[#This Row],[Time]]&lt;0.75, AllData[[#This Row],[Time]]&gt;=0.5)=TRUE, "Afternoon", IF(AND(AllData[[#This Row],[Time]]&lt;1, AllData[[#This Row],[Time]]&gt;=0.75)=TRUE, "Evening", "Night")))</f>
        <v>Afternoon</v>
      </c>
      <c r="G874" t="str">
        <f>_xlfn.XLOOKUP(AllData[[#This Row],[Location Name]], Locations[Location Name],Locations[Group As])</f>
        <v>Clifford Chambers Mill Bridge</v>
      </c>
      <c r="H874" t="e" vm="1">
        <f>_xlfn.XLOOKUP(AllData[[#This Row],[Site Name]],LocationsKey[Site Name],LocationsKey[District])</f>
        <v>#VALUE!</v>
      </c>
      <c r="I874" t="e" vm="22">
        <f>_xlfn.XLOOKUP(AllData[[#This Row],[Site Name]],LocationsKey[Site Name],LocationsKey[Town])</f>
        <v>#VALUE!</v>
      </c>
      <c r="J874" t="str">
        <f>_xlfn.XLOOKUP(AllData[[#This Row],[Site Name]],LocationsKey[Site Name], LocationsKey[Waterway])</f>
        <v>Stour</v>
      </c>
      <c r="K874" t="s">
        <v>266</v>
      </c>
      <c r="L874">
        <v>52.166370000000001</v>
      </c>
      <c r="M874">
        <v>-1.708032</v>
      </c>
      <c r="N874" t="s">
        <v>68</v>
      </c>
      <c r="O874">
        <v>624</v>
      </c>
      <c r="P874">
        <v>13.8</v>
      </c>
      <c r="Q874">
        <v>8</v>
      </c>
      <c r="R874" s="107" t="str">
        <f>IF(AllData[[#This Row],[Nitrate (PPM)]]&gt;2, "Very high", IF(AllData[[#This Row],[Nitrate (PPM)]]&gt;1, "High", IF(AllData[[#This Row],[Nitrate (PPM)]]&gt;0.5, "Some evidence", IF(AllData[[#This Row],[Nitrate (PPM)]]&gt;=0, "No evidence"))))</f>
        <v>Very high</v>
      </c>
      <c r="S874">
        <v>0.27</v>
      </c>
      <c r="T874" s="7" t="str">
        <f>IF(AllData[[#This Row],[Phosphate (PPM)]]&gt;0.5, "Very high", IF(AllData[[#This Row],[Phosphate (PPM)]]&gt;0.1, "High", IF(AllData[[#This Row],[Phosphate (PPM)]]&gt;0.05, "Some evidence", IF(AllData[[#This Row],[Phosphate (PPM)]]&lt;=0.05, "No Evidence", ""))))</f>
        <v>High</v>
      </c>
      <c r="U874">
        <v>1</v>
      </c>
    </row>
    <row r="875" spans="1:22" x14ac:dyDescent="0.35">
      <c r="A875" t="s">
        <v>2197</v>
      </c>
      <c r="B875" s="143">
        <v>45571</v>
      </c>
      <c r="C875" s="2" t="str" cm="1">
        <f t="array" ref="C8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5">
        <f>YEAR(AllData[[#This Row],[Date]])</f>
        <v>2024</v>
      </c>
      <c r="E875" s="1">
        <v>0.41944444444444445</v>
      </c>
      <c r="F875" t="str">
        <f>IF(AND(AllData[[#This Row],[Time]]&lt;0.5, AllData[[#This Row],[Time]]&gt;0.17)=TRUE, "Morning", IF(AND(AllData[[#This Row],[Time]]&lt;0.75, AllData[[#This Row],[Time]]&gt;=0.5)=TRUE, "Afternoon", IF(AND(AllData[[#This Row],[Time]]&lt;1, AllData[[#This Row],[Time]]&gt;=0.75)=TRUE, "Evening", "Night")))</f>
        <v>Morning</v>
      </c>
      <c r="G875" t="str">
        <f>_xlfn.XLOOKUP(AllData[[#This Row],[Location Name]], Locations[Location Name],Locations[Group As])</f>
        <v>Black Bear</v>
      </c>
      <c r="H875" t="e" vm="4">
        <f>_xlfn.XLOOKUP(AllData[[#This Row],[Site Name]],LocationsKey[Site Name],LocationsKey[District])</f>
        <v>#VALUE!</v>
      </c>
      <c r="I875" t="e" vm="4">
        <f>_xlfn.XLOOKUP(AllData[[#This Row],[Site Name]],LocationsKey[Site Name],LocationsKey[Town])</f>
        <v>#VALUE!</v>
      </c>
      <c r="J875" t="str">
        <f>_xlfn.XLOOKUP(AllData[[#This Row],[Site Name]],LocationsKey[Site Name], LocationsKey[Waterway])</f>
        <v>Avon</v>
      </c>
      <c r="K875" t="s">
        <v>1175</v>
      </c>
      <c r="L875">
        <v>51.997354000000001</v>
      </c>
      <c r="M875">
        <v>-2.1560269999999999</v>
      </c>
      <c r="N875" t="s">
        <v>25</v>
      </c>
      <c r="O875">
        <v>587</v>
      </c>
      <c r="P875">
        <v>13.5</v>
      </c>
      <c r="Q875">
        <v>8</v>
      </c>
      <c r="R875" s="107" t="str">
        <f>IF(AllData[[#This Row],[Nitrate (PPM)]]&gt;2, "Very high", IF(AllData[[#This Row],[Nitrate (PPM)]]&gt;1, "High", IF(AllData[[#This Row],[Nitrate (PPM)]]&gt;0.5, "Some evidence", IF(AllData[[#This Row],[Nitrate (PPM)]]&gt;=0, "No evidence"))))</f>
        <v>Very high</v>
      </c>
      <c r="S875">
        <v>0.81</v>
      </c>
      <c r="T875" s="7" t="str">
        <f>IF(AllData[[#This Row],[Phosphate (PPM)]]&gt;0.5, "Very high", IF(AllData[[#This Row],[Phosphate (PPM)]]&gt;0.1, "High", IF(AllData[[#This Row],[Phosphate (PPM)]]&gt;0.05, "Some evidence", IF(AllData[[#This Row],[Phosphate (PPM)]]&lt;=0.05, "No Evidence", ""))))</f>
        <v>Very high</v>
      </c>
      <c r="U875">
        <v>1</v>
      </c>
    </row>
    <row r="876" spans="1:22" x14ac:dyDescent="0.35">
      <c r="A876" t="s">
        <v>2198</v>
      </c>
      <c r="B876" s="143">
        <v>45571</v>
      </c>
      <c r="C876" s="2" t="str" cm="1">
        <f t="array" ref="C8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6">
        <f>YEAR(AllData[[#This Row],[Date]])</f>
        <v>2024</v>
      </c>
      <c r="E876" s="1">
        <v>0.39861111111111114</v>
      </c>
      <c r="F876" t="str">
        <f>IF(AND(AllData[[#This Row],[Time]]&lt;0.5, AllData[[#This Row],[Time]]&gt;0.17)=TRUE, "Morning", IF(AND(AllData[[#This Row],[Time]]&lt;0.75, AllData[[#This Row],[Time]]&gt;=0.5)=TRUE, "Afternoon", IF(AND(AllData[[#This Row],[Time]]&lt;1, AllData[[#This Row],[Time]]&gt;=0.75)=TRUE, "Evening", "Night")))</f>
        <v>Morning</v>
      </c>
      <c r="G876" t="str">
        <f>_xlfn.XLOOKUP(AllData[[#This Row],[Location Name]], Locations[Location Name],Locations[Group As])</f>
        <v>Carrant Mitton Path</v>
      </c>
      <c r="H876" t="e" vm="4">
        <f>_xlfn.XLOOKUP(AllData[[#This Row],[Site Name]],LocationsKey[Site Name],LocationsKey[District])</f>
        <v>#VALUE!</v>
      </c>
      <c r="I876" t="e" vm="4">
        <f>_xlfn.XLOOKUP(AllData[[#This Row],[Site Name]],LocationsKey[Site Name],LocationsKey[Town])</f>
        <v>#VALUE!</v>
      </c>
      <c r="J876" t="str">
        <f>_xlfn.XLOOKUP(AllData[[#This Row],[Site Name]],LocationsKey[Site Name], LocationsKey[Waterway])</f>
        <v>Carrant</v>
      </c>
      <c r="K876" t="s">
        <v>1064</v>
      </c>
      <c r="L876">
        <v>51.9998</v>
      </c>
      <c r="M876">
        <v>-2.140987</v>
      </c>
      <c r="N876" t="s">
        <v>25</v>
      </c>
      <c r="O876">
        <v>753</v>
      </c>
      <c r="P876">
        <v>13.3</v>
      </c>
      <c r="Q876">
        <v>7</v>
      </c>
      <c r="R876" s="107" t="str">
        <f>IF(AllData[[#This Row],[Nitrate (PPM)]]&gt;2, "Very high", IF(AllData[[#This Row],[Nitrate (PPM)]]&gt;1, "High", IF(AllData[[#This Row],[Nitrate (PPM)]]&gt;0.5, "Some evidence", IF(AllData[[#This Row],[Nitrate (PPM)]]&gt;=0, "No evidence"))))</f>
        <v>Very high</v>
      </c>
      <c r="S876">
        <v>0.5</v>
      </c>
      <c r="T876" s="7" t="str">
        <f>IF(AllData[[#This Row],[Phosphate (PPM)]]&gt;0.5, "Very high", IF(AllData[[#This Row],[Phosphate (PPM)]]&gt;0.1, "High", IF(AllData[[#This Row],[Phosphate (PPM)]]&gt;0.05, "Some evidence", IF(AllData[[#This Row],[Phosphate (PPM)]]&lt;=0.05, "No Evidence", ""))))</f>
        <v>High</v>
      </c>
      <c r="U876">
        <v>0.5</v>
      </c>
    </row>
    <row r="877" spans="1:22" x14ac:dyDescent="0.35">
      <c r="A877" t="s">
        <v>2193</v>
      </c>
      <c r="B877" s="143">
        <v>45571</v>
      </c>
      <c r="C877" s="2" t="str" cm="1">
        <f t="array" ref="C8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7">
        <f>YEAR(AllData[[#This Row],[Date]])</f>
        <v>2024</v>
      </c>
      <c r="E877" s="1">
        <v>0.4826388888888889</v>
      </c>
      <c r="F877" t="str">
        <f>IF(AND(AllData[[#This Row],[Time]]&lt;0.5, AllData[[#This Row],[Time]]&gt;0.17)=TRUE, "Morning", IF(AND(AllData[[#This Row],[Time]]&lt;0.75, AllData[[#This Row],[Time]]&gt;=0.5)=TRUE, "Afternoon", IF(AND(AllData[[#This Row],[Time]]&lt;1, AllData[[#This Row],[Time]]&gt;=0.75)=TRUE, "Evening", "Night")))</f>
        <v>Morning</v>
      </c>
      <c r="G877" t="str">
        <f>_xlfn.XLOOKUP(AllData[[#This Row],[Location Name]], Locations[Location Name],Locations[Group As])</f>
        <v>Site 3  :  Severn Trent Water processing plant outflow</v>
      </c>
      <c r="H877" t="e" vm="1">
        <f>_xlfn.XLOOKUP(AllData[[#This Row],[Site Name]],LocationsKey[Site Name],LocationsKey[District])</f>
        <v>#VALUE!</v>
      </c>
      <c r="I877" t="e" vm="14">
        <f>_xlfn.XLOOKUP(AllData[[#This Row],[Site Name]],LocationsKey[Site Name],LocationsKey[Town])</f>
        <v>#VALUE!</v>
      </c>
      <c r="J877" t="str">
        <f>_xlfn.XLOOKUP(AllData[[#This Row],[Site Name]],LocationsKey[Site Name], LocationsKey[Waterway])</f>
        <v>Fosseway Brook</v>
      </c>
      <c r="K877" t="s">
        <v>2041</v>
      </c>
      <c r="L877">
        <v>52.094436999999999</v>
      </c>
      <c r="M877">
        <v>-1.67574</v>
      </c>
      <c r="N877" t="s">
        <v>31</v>
      </c>
      <c r="O877">
        <v>738</v>
      </c>
      <c r="P877">
        <v>13.7</v>
      </c>
      <c r="Q877">
        <v>5</v>
      </c>
      <c r="R877" s="107" t="str">
        <f>IF(AllData[[#This Row],[Nitrate (PPM)]]&gt;2, "Very high", IF(AllData[[#This Row],[Nitrate (PPM)]]&gt;1, "High", IF(AllData[[#This Row],[Nitrate (PPM)]]&gt;0.5, "Some evidence", IF(AllData[[#This Row],[Nitrate (PPM)]]&gt;=0, "No evidence"))))</f>
        <v>Very high</v>
      </c>
      <c r="S877">
        <v>2.5</v>
      </c>
      <c r="T877" s="7" t="str">
        <f>IF(AllData[[#This Row],[Phosphate (PPM)]]&gt;0.5, "Very high", IF(AllData[[#This Row],[Phosphate (PPM)]]&gt;0.1, "High", IF(AllData[[#This Row],[Phosphate (PPM)]]&gt;0.05, "Some evidence", IF(AllData[[#This Row],[Phosphate (PPM)]]&lt;=0.05, "No Evidence", ""))))</f>
        <v>Very high</v>
      </c>
      <c r="U877">
        <v>0.2</v>
      </c>
      <c r="V877" t="s">
        <v>2194</v>
      </c>
    </row>
    <row r="878" spans="1:22" x14ac:dyDescent="0.35">
      <c r="A878" t="s">
        <v>2196</v>
      </c>
      <c r="B878" s="143">
        <v>45571</v>
      </c>
      <c r="C878" s="2" t="str" cm="1">
        <f t="array" ref="C8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8">
        <f>YEAR(AllData[[#This Row],[Date]])</f>
        <v>2024</v>
      </c>
      <c r="E878" s="1">
        <v>0.46180555555555558</v>
      </c>
      <c r="F878" t="str">
        <f>IF(AND(AllData[[#This Row],[Time]]&lt;0.5, AllData[[#This Row],[Time]]&gt;0.17)=TRUE, "Morning", IF(AND(AllData[[#This Row],[Time]]&lt;0.75, AllData[[#This Row],[Time]]&gt;=0.5)=TRUE, "Afternoon", IF(AND(AllData[[#This Row],[Time]]&lt;1, AllData[[#This Row],[Time]]&gt;=0.75)=TRUE, "Evening", "Night")))</f>
        <v>Morning</v>
      </c>
      <c r="G878" t="str">
        <f>_xlfn.XLOOKUP(AllData[[#This Row],[Location Name]], Locations[Location Name],Locations[Group As])</f>
        <v>Site 1  :  Middle Street</v>
      </c>
      <c r="H878" t="e" vm="1">
        <f>_xlfn.XLOOKUP(AllData[[#This Row],[Site Name]],LocationsKey[Site Name],LocationsKey[District])</f>
        <v>#VALUE!</v>
      </c>
      <c r="I878" t="e" vm="14">
        <f>_xlfn.XLOOKUP(AllData[[#This Row],[Site Name]],LocationsKey[Site Name],LocationsKey[Town])</f>
        <v>#VALUE!</v>
      </c>
      <c r="J878" t="str">
        <f>_xlfn.XLOOKUP(AllData[[#This Row],[Site Name]],LocationsKey[Site Name], LocationsKey[Waterway])</f>
        <v>Fosseway Brook</v>
      </c>
      <c r="K878" t="s">
        <v>670</v>
      </c>
      <c r="L878">
        <v>52.090077999999998</v>
      </c>
      <c r="M878">
        <v>-1.6924269999999999</v>
      </c>
      <c r="N878" t="s">
        <v>68</v>
      </c>
      <c r="O878">
        <v>594</v>
      </c>
      <c r="P878">
        <v>13</v>
      </c>
      <c r="Q878">
        <v>3.5</v>
      </c>
      <c r="R878" s="107" t="str">
        <f>IF(AllData[[#This Row],[Nitrate (PPM)]]&gt;2, "Very high", IF(AllData[[#This Row],[Nitrate (PPM)]]&gt;1, "High", IF(AllData[[#This Row],[Nitrate (PPM)]]&gt;0.5, "Some evidence", IF(AllData[[#This Row],[Nitrate (PPM)]]&gt;=0, "No evidence"))))</f>
        <v>Very high</v>
      </c>
      <c r="S878">
        <v>0.47</v>
      </c>
      <c r="T878" s="7" t="str">
        <f>IF(AllData[[#This Row],[Phosphate (PPM)]]&gt;0.5, "Very high", IF(AllData[[#This Row],[Phosphate (PPM)]]&gt;0.1, "High", IF(AllData[[#This Row],[Phosphate (PPM)]]&gt;0.05, "Some evidence", IF(AllData[[#This Row],[Phosphate (PPM)]]&lt;=0.05, "No Evidence", ""))))</f>
        <v>High</v>
      </c>
      <c r="U878">
        <v>0.08</v>
      </c>
      <c r="V878" t="s">
        <v>2194</v>
      </c>
    </row>
    <row r="879" spans="1:22" x14ac:dyDescent="0.35">
      <c r="A879" t="s">
        <v>2195</v>
      </c>
      <c r="B879" s="143">
        <v>45571</v>
      </c>
      <c r="C879" s="2" t="str" cm="1">
        <f t="array" ref="C8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79">
        <f>YEAR(AllData[[#This Row],[Date]])</f>
        <v>2024</v>
      </c>
      <c r="E879" s="1">
        <v>0.47638888888888886</v>
      </c>
      <c r="F879" t="str">
        <f>IF(AND(AllData[[#This Row],[Time]]&lt;0.5, AllData[[#This Row],[Time]]&gt;0.17)=TRUE, "Morning", IF(AND(AllData[[#This Row],[Time]]&lt;0.75, AllData[[#This Row],[Time]]&gt;=0.5)=TRUE, "Afternoon", IF(AND(AllData[[#This Row],[Time]]&lt;1, AllData[[#This Row],[Time]]&gt;=0.75)=TRUE, "Evening", "Night")))</f>
        <v>Morning</v>
      </c>
      <c r="G879" t="str">
        <f>_xlfn.XLOOKUP(AllData[[#This Row],[Location Name]], Locations[Location Name],Locations[Group As])</f>
        <v>Site 2  :  Cross Leys culvert</v>
      </c>
      <c r="H879" t="e" vm="1">
        <f>_xlfn.XLOOKUP(AllData[[#This Row],[Site Name]],LocationsKey[Site Name],LocationsKey[District])</f>
        <v>#VALUE!</v>
      </c>
      <c r="I879" t="e" vm="14">
        <f>_xlfn.XLOOKUP(AllData[[#This Row],[Site Name]],LocationsKey[Site Name],LocationsKey[Town])</f>
        <v>#VALUE!</v>
      </c>
      <c r="J879" t="str">
        <f>_xlfn.XLOOKUP(AllData[[#This Row],[Site Name]],LocationsKey[Site Name], LocationsKey[Waterway])</f>
        <v>Fosseway Brook</v>
      </c>
      <c r="K879" t="s">
        <v>1915</v>
      </c>
      <c r="L879">
        <v>52.093040000000002</v>
      </c>
      <c r="M879">
        <v>-1.6861889999999999</v>
      </c>
      <c r="N879" t="s">
        <v>68</v>
      </c>
      <c r="O879">
        <v>653</v>
      </c>
      <c r="P879">
        <v>13.4</v>
      </c>
      <c r="Q879">
        <v>2</v>
      </c>
      <c r="R879" s="107" t="str">
        <f>IF(AllData[[#This Row],[Nitrate (PPM)]]&gt;2, "Very high", IF(AllData[[#This Row],[Nitrate (PPM)]]&gt;1, "High", IF(AllData[[#This Row],[Nitrate (PPM)]]&gt;0.5, "Some evidence", IF(AllData[[#This Row],[Nitrate (PPM)]]&gt;=0, "No evidence"))))</f>
        <v>High</v>
      </c>
      <c r="S879">
        <v>0.57999999999999996</v>
      </c>
      <c r="T879" s="7" t="str">
        <f>IF(AllData[[#This Row],[Phosphate (PPM)]]&gt;0.5, "Very high", IF(AllData[[#This Row],[Phosphate (PPM)]]&gt;0.1, "High", IF(AllData[[#This Row],[Phosphate (PPM)]]&gt;0.05, "Some evidence", IF(AllData[[#This Row],[Phosphate (PPM)]]&lt;=0.05, "No Evidence", ""))))</f>
        <v>Very high</v>
      </c>
      <c r="U879">
        <v>0.15</v>
      </c>
      <c r="V879" t="s">
        <v>2194</v>
      </c>
    </row>
    <row r="880" spans="1:22" x14ac:dyDescent="0.35">
      <c r="A880" t="s">
        <v>2191</v>
      </c>
      <c r="B880" s="143">
        <v>45571</v>
      </c>
      <c r="C880" s="2" t="str" cm="1">
        <f t="array" ref="C8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0">
        <f>YEAR(AllData[[#This Row],[Date]])</f>
        <v>2024</v>
      </c>
      <c r="E880" s="1">
        <v>0.67361111111111116</v>
      </c>
      <c r="F880" t="str">
        <f>IF(AND(AllData[[#This Row],[Time]]&lt;0.5, AllData[[#This Row],[Time]]&gt;0.17)=TRUE, "Morning", IF(AND(AllData[[#This Row],[Time]]&lt;0.75, AllData[[#This Row],[Time]]&gt;=0.5)=TRUE, "Afternoon", IF(AND(AllData[[#This Row],[Time]]&lt;1, AllData[[#This Row],[Time]]&gt;=0.75)=TRUE, "Evening", "Night")))</f>
        <v>Afternoon</v>
      </c>
      <c r="G880" t="str">
        <f>_xlfn.XLOOKUP(AllData[[#This Row],[Location Name]], Locations[Location Name],Locations[Group As])</f>
        <v>Fell Mill Footbridge</v>
      </c>
      <c r="H880" t="e" vm="1">
        <f>_xlfn.XLOOKUP(AllData[[#This Row],[Site Name]],LocationsKey[Site Name],LocationsKey[District])</f>
        <v>#VALUE!</v>
      </c>
      <c r="I880" t="e" vm="15">
        <f>_xlfn.XLOOKUP(AllData[[#This Row],[Site Name]],LocationsKey[Site Name],LocationsKey[Town])</f>
        <v>#VALUE!</v>
      </c>
      <c r="J880" t="str">
        <f>_xlfn.XLOOKUP(AllData[[#This Row],[Site Name]],LocationsKey[Site Name], LocationsKey[Waterway])</f>
        <v>Stour</v>
      </c>
      <c r="K880" t="s">
        <v>1968</v>
      </c>
      <c r="L880">
        <v>52.070086000000003</v>
      </c>
      <c r="M880">
        <v>-1.61145</v>
      </c>
      <c r="N880" t="s">
        <v>31</v>
      </c>
      <c r="O880">
        <v>545</v>
      </c>
      <c r="P880">
        <v>12.2</v>
      </c>
      <c r="Q880">
        <v>1</v>
      </c>
      <c r="R880" s="107" t="str">
        <f>IF(AllData[[#This Row],[Nitrate (PPM)]]&gt;2, "Very high", IF(AllData[[#This Row],[Nitrate (PPM)]]&gt;1, "High", IF(AllData[[#This Row],[Nitrate (PPM)]]&gt;0.5, "Some evidence", IF(AllData[[#This Row],[Nitrate (PPM)]]&gt;=0, "No evidence"))))</f>
        <v>Some evidence</v>
      </c>
      <c r="S880">
        <v>0.22</v>
      </c>
      <c r="T880" s="7" t="str">
        <f>IF(AllData[[#This Row],[Phosphate (PPM)]]&gt;0.5, "Very high", IF(AllData[[#This Row],[Phosphate (PPM)]]&gt;0.1, "High", IF(AllData[[#This Row],[Phosphate (PPM)]]&gt;0.05, "Some evidence", IF(AllData[[#This Row],[Phosphate (PPM)]]&lt;=0.05, "No Evidence", ""))))</f>
        <v>High</v>
      </c>
      <c r="U880">
        <v>1.8</v>
      </c>
      <c r="V880" t="s">
        <v>2192</v>
      </c>
    </row>
    <row r="881" spans="1:22" x14ac:dyDescent="0.35">
      <c r="A881" t="s">
        <v>2189</v>
      </c>
      <c r="B881" s="143">
        <v>45570</v>
      </c>
      <c r="C881" s="2" t="str" cm="1">
        <f t="array" ref="C8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1">
        <f>YEAR(AllData[[#This Row],[Date]])</f>
        <v>2024</v>
      </c>
      <c r="E881" s="1">
        <v>0.39374999999999999</v>
      </c>
      <c r="F881" t="str">
        <f>IF(AND(AllData[[#This Row],[Time]]&lt;0.5, AllData[[#This Row],[Time]]&gt;0.17)=TRUE, "Morning", IF(AND(AllData[[#This Row],[Time]]&lt;0.75, AllData[[#This Row],[Time]]&gt;=0.5)=TRUE, "Afternoon", IF(AND(AllData[[#This Row],[Time]]&lt;1, AllData[[#This Row],[Time]]&gt;=0.75)=TRUE, "Evening", "Night")))</f>
        <v>Morning</v>
      </c>
      <c r="G881" t="str">
        <f>_xlfn.XLOOKUP(AllData[[#This Row],[Location Name]], Locations[Location Name],Locations[Group As])</f>
        <v>Lower Lode</v>
      </c>
      <c r="H881" t="e" vm="4">
        <f>_xlfn.XLOOKUP(AllData[[#This Row],[Site Name]],LocationsKey[Site Name],LocationsKey[District])</f>
        <v>#VALUE!</v>
      </c>
      <c r="I881" t="e" vm="4">
        <f>_xlfn.XLOOKUP(AllData[[#This Row],[Site Name]],LocationsKey[Site Name],LocationsKey[Town])</f>
        <v>#VALUE!</v>
      </c>
      <c r="J881" t="str">
        <f>_xlfn.XLOOKUP(AllData[[#This Row],[Site Name]],LocationsKey[Site Name], LocationsKey[Waterway])</f>
        <v>Avon</v>
      </c>
      <c r="K881" t="s">
        <v>595</v>
      </c>
      <c r="L881">
        <v>51.985129000000001</v>
      </c>
      <c r="M881">
        <v>-2.174121</v>
      </c>
      <c r="N881" t="s">
        <v>31</v>
      </c>
      <c r="O881">
        <v>6750</v>
      </c>
      <c r="P881">
        <v>13.8</v>
      </c>
      <c r="Q881">
        <v>10</v>
      </c>
      <c r="R881" s="107" t="str">
        <f>IF(AllData[[#This Row],[Nitrate (PPM)]]&gt;2, "Very high", IF(AllData[[#This Row],[Nitrate (PPM)]]&gt;1, "High", IF(AllData[[#This Row],[Nitrate (PPM)]]&gt;0.5, "Some evidence", IF(AllData[[#This Row],[Nitrate (PPM)]]&gt;=0, "No evidence"))))</f>
        <v>Very high</v>
      </c>
      <c r="S881">
        <v>0.65</v>
      </c>
      <c r="T881" s="7" t="str">
        <f>IF(AllData[[#This Row],[Phosphate (PPM)]]&gt;0.5, "Very high", IF(AllData[[#This Row],[Phosphate (PPM)]]&gt;0.1, "High", IF(AllData[[#This Row],[Phosphate (PPM)]]&gt;0.05, "Some evidence", IF(AllData[[#This Row],[Phosphate (PPM)]]&lt;=0.05, "No Evidence", ""))))</f>
        <v>Very high</v>
      </c>
      <c r="U881">
        <v>2</v>
      </c>
    </row>
    <row r="882" spans="1:22" x14ac:dyDescent="0.35">
      <c r="A882" t="s">
        <v>2184</v>
      </c>
      <c r="B882" s="143">
        <v>45570</v>
      </c>
      <c r="C882" s="2" t="str" cm="1">
        <f t="array" ref="C8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2">
        <f>YEAR(AllData[[#This Row],[Date]])</f>
        <v>2024</v>
      </c>
      <c r="E882" s="1">
        <v>0.38680555555555557</v>
      </c>
      <c r="F882" t="str">
        <f>IF(AND(AllData[[#This Row],[Time]]&lt;0.5, AllData[[#This Row],[Time]]&gt;0.17)=TRUE, "Morning", IF(AND(AllData[[#This Row],[Time]]&lt;0.75, AllData[[#This Row],[Time]]&gt;=0.5)=TRUE, "Afternoon", IF(AND(AllData[[#This Row],[Time]]&lt;1, AllData[[#This Row],[Time]]&gt;=0.75)=TRUE, "Evening", "Night")))</f>
        <v>Morning</v>
      </c>
      <c r="G882" t="str">
        <f>_xlfn.XLOOKUP(AllData[[#This Row],[Location Name]], Locations[Location Name],Locations[Group As])</f>
        <v>Piddle Brook Wyre Piddle Bridge</v>
      </c>
      <c r="H882" t="e" vm="6">
        <f>_xlfn.XLOOKUP(AllData[[#This Row],[Site Name]],LocationsKey[Site Name],LocationsKey[District])</f>
        <v>#VALUE!</v>
      </c>
      <c r="I882" t="e" vm="13">
        <f>_xlfn.XLOOKUP(AllData[[#This Row],[Site Name]],LocationsKey[Site Name],LocationsKey[Town])</f>
        <v>#VALUE!</v>
      </c>
      <c r="J882" t="str">
        <f>_xlfn.XLOOKUP(AllData[[#This Row],[Site Name]],LocationsKey[Site Name], LocationsKey[Waterway])</f>
        <v>Piddle Brook</v>
      </c>
      <c r="K882" t="s">
        <v>787</v>
      </c>
      <c r="L882">
        <v>52.126404000000001</v>
      </c>
      <c r="M882">
        <v>-2.0565410000000002</v>
      </c>
      <c r="N882" t="s">
        <v>25</v>
      </c>
      <c r="O882">
        <v>1180</v>
      </c>
      <c r="P882">
        <v>10.7</v>
      </c>
      <c r="Q882">
        <v>5</v>
      </c>
      <c r="R882" s="107" t="str">
        <f>IF(AllData[[#This Row],[Nitrate (PPM)]]&gt;2, "Very high", IF(AllData[[#This Row],[Nitrate (PPM)]]&gt;1, "High", IF(AllData[[#This Row],[Nitrate (PPM)]]&gt;0.5, "Some evidence", IF(AllData[[#This Row],[Nitrate (PPM)]]&gt;=0, "No evidence"))))</f>
        <v>Very high</v>
      </c>
      <c r="S882">
        <v>0.56000000000000005</v>
      </c>
      <c r="T882" s="7" t="str">
        <f>IF(AllData[[#This Row],[Phosphate (PPM)]]&gt;0.5, "Very high", IF(AllData[[#This Row],[Phosphate (PPM)]]&gt;0.1, "High", IF(AllData[[#This Row],[Phosphate (PPM)]]&gt;0.05, "Some evidence", IF(AllData[[#This Row],[Phosphate (PPM)]]&lt;=0.05, "No Evidence", ""))))</f>
        <v>Very high</v>
      </c>
      <c r="U882">
        <v>0.23</v>
      </c>
      <c r="V882" t="s">
        <v>2185</v>
      </c>
    </row>
    <row r="883" spans="1:22" x14ac:dyDescent="0.35">
      <c r="A883" t="s">
        <v>2188</v>
      </c>
      <c r="B883" s="143">
        <v>45570</v>
      </c>
      <c r="C883" s="2" t="str" cm="1">
        <f t="array" ref="C8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3">
        <f>YEAR(AllData[[#This Row],[Date]])</f>
        <v>2024</v>
      </c>
      <c r="E883" s="1">
        <v>0.5</v>
      </c>
      <c r="F883" t="str">
        <f>IF(AND(AllData[[#This Row],[Time]]&lt;0.5, AllData[[#This Row],[Time]]&gt;0.17)=TRUE, "Morning", IF(AND(AllData[[#This Row],[Time]]&lt;0.75, AllData[[#This Row],[Time]]&gt;=0.5)=TRUE, "Afternoon", IF(AND(AllData[[#This Row],[Time]]&lt;1, AllData[[#This Row],[Time]]&gt;=0.75)=TRUE, "Evening", "Night")))</f>
        <v>Afternoon</v>
      </c>
      <c r="G883" t="str">
        <f>_xlfn.XLOOKUP(AllData[[#This Row],[Location Name]], Locations[Location Name],Locations[Group As])</f>
        <v>Carrant Bredon Rd</v>
      </c>
      <c r="H883" t="e" vm="4">
        <f>_xlfn.XLOOKUP(AllData[[#This Row],[Site Name]],LocationsKey[Site Name],LocationsKey[District])</f>
        <v>#VALUE!</v>
      </c>
      <c r="I883" t="e" vm="4">
        <f>_xlfn.XLOOKUP(AllData[[#This Row],[Site Name]],LocationsKey[Site Name],LocationsKey[Town])</f>
        <v>#VALUE!</v>
      </c>
      <c r="J883" t="str">
        <f>_xlfn.XLOOKUP(AllData[[#This Row],[Site Name]],LocationsKey[Site Name], LocationsKey[Waterway])</f>
        <v>Carrant</v>
      </c>
      <c r="K883" t="s">
        <v>603</v>
      </c>
      <c r="L883">
        <v>51.996225000000003</v>
      </c>
      <c r="M883">
        <v>-2.156164</v>
      </c>
      <c r="N883" t="s">
        <v>25</v>
      </c>
      <c r="O883">
        <v>781</v>
      </c>
      <c r="P883">
        <v>13.3</v>
      </c>
      <c r="Q883">
        <v>5</v>
      </c>
      <c r="R883" s="107" t="str">
        <f>IF(AllData[[#This Row],[Nitrate (PPM)]]&gt;2, "Very high", IF(AllData[[#This Row],[Nitrate (PPM)]]&gt;1, "High", IF(AllData[[#This Row],[Nitrate (PPM)]]&gt;0.5, "Some evidence", IF(AllData[[#This Row],[Nitrate (PPM)]]&gt;=0, "No evidence"))))</f>
        <v>Very high</v>
      </c>
      <c r="S883">
        <v>0.33</v>
      </c>
      <c r="T883" s="7" t="str">
        <f>IF(AllData[[#This Row],[Phosphate (PPM)]]&gt;0.5, "Very high", IF(AllData[[#This Row],[Phosphate (PPM)]]&gt;0.1, "High", IF(AllData[[#This Row],[Phosphate (PPM)]]&gt;0.05, "Some evidence", IF(AllData[[#This Row],[Phosphate (PPM)]]&lt;=0.05, "No Evidence", ""))))</f>
        <v>High</v>
      </c>
      <c r="U883">
        <v>0.48</v>
      </c>
    </row>
    <row r="884" spans="1:22" x14ac:dyDescent="0.35">
      <c r="A884" t="s">
        <v>2183</v>
      </c>
      <c r="B884" s="143">
        <v>45570</v>
      </c>
      <c r="C884" s="2" t="str" cm="1">
        <f t="array" ref="C8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4">
        <f>YEAR(AllData[[#This Row],[Date]])</f>
        <v>2024</v>
      </c>
      <c r="E884" s="1">
        <v>0.4597222222222222</v>
      </c>
      <c r="F884" t="str">
        <f>IF(AND(AllData[[#This Row],[Time]]&lt;0.5, AllData[[#This Row],[Time]]&gt;0.17)=TRUE, "Morning", IF(AND(AllData[[#This Row],[Time]]&lt;0.75, AllData[[#This Row],[Time]]&gt;=0.5)=TRUE, "Afternoon", IF(AND(AllData[[#This Row],[Time]]&lt;1, AllData[[#This Row],[Time]]&gt;=0.75)=TRUE, "Evening", "Night")))</f>
        <v>Morning</v>
      </c>
      <c r="G884" t="str">
        <f>_xlfn.XLOOKUP(AllData[[#This Row],[Location Name]], Locations[Location Name],Locations[Group As])</f>
        <v>Pitch 16</v>
      </c>
      <c r="H884" t="e" vm="1">
        <f>_xlfn.XLOOKUP(AllData[[#This Row],[Site Name]],LocationsKey[Site Name],LocationsKey[District])</f>
        <v>#VALUE!</v>
      </c>
      <c r="I884" t="e" vm="12">
        <f>_xlfn.XLOOKUP(AllData[[#This Row],[Site Name]],LocationsKey[Site Name],LocationsKey[Town])</f>
        <v>#VALUE!</v>
      </c>
      <c r="J884" t="str">
        <f>_xlfn.XLOOKUP(AllData[[#This Row],[Site Name]],LocationsKey[Site Name], LocationsKey[Waterway])</f>
        <v>Avon</v>
      </c>
      <c r="K884" t="s">
        <v>71</v>
      </c>
      <c r="L884">
        <v>50.831715000000003</v>
      </c>
      <c r="M884">
        <v>-0.306093</v>
      </c>
      <c r="N884" t="s">
        <v>31</v>
      </c>
      <c r="O884">
        <v>624</v>
      </c>
      <c r="P884">
        <v>16.3</v>
      </c>
      <c r="Q884">
        <v>5</v>
      </c>
      <c r="R884" s="107" t="str">
        <f>IF(AllData[[#This Row],[Nitrate (PPM)]]&gt;2, "Very high", IF(AllData[[#This Row],[Nitrate (PPM)]]&gt;1, "High", IF(AllData[[#This Row],[Nitrate (PPM)]]&gt;0.5, "Some evidence", IF(AllData[[#This Row],[Nitrate (PPM)]]&gt;=0, "No evidence"))))</f>
        <v>Very high</v>
      </c>
      <c r="S884">
        <v>0.43</v>
      </c>
      <c r="T884" s="7" t="str">
        <f>IF(AllData[[#This Row],[Phosphate (PPM)]]&gt;0.5, "Very high", IF(AllData[[#This Row],[Phosphate (PPM)]]&gt;0.1, "High", IF(AllData[[#This Row],[Phosphate (PPM)]]&gt;0.05, "Some evidence", IF(AllData[[#This Row],[Phosphate (PPM)]]&lt;=0.05, "No Evidence", ""))))</f>
        <v>High</v>
      </c>
      <c r="U884">
        <v>1</v>
      </c>
    </row>
    <row r="885" spans="1:22" x14ac:dyDescent="0.35">
      <c r="A885" t="s">
        <v>2186</v>
      </c>
      <c r="B885" s="143">
        <v>45570</v>
      </c>
      <c r="C885" s="2" t="str" cm="1">
        <f t="array" ref="C8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5">
        <f>YEAR(AllData[[#This Row],[Date]])</f>
        <v>2024</v>
      </c>
      <c r="E885" s="1">
        <v>0.35208333333333336</v>
      </c>
      <c r="F885" t="str">
        <f>IF(AND(AllData[[#This Row],[Time]]&lt;0.5, AllData[[#This Row],[Time]]&gt;0.17)=TRUE, "Morning", IF(AND(AllData[[#This Row],[Time]]&lt;0.75, AllData[[#This Row],[Time]]&gt;=0.5)=TRUE, "Afternoon", IF(AND(AllData[[#This Row],[Time]]&lt;1, AllData[[#This Row],[Time]]&gt;=0.75)=TRUE, "Evening", "Night")))</f>
        <v>Morning</v>
      </c>
      <c r="G885" t="str">
        <f>_xlfn.XLOOKUP(AllData[[#This Row],[Location Name]], Locations[Location Name],Locations[Group As])</f>
        <v>Avon Smiths Meadow Wyre Piddle</v>
      </c>
      <c r="H885" t="e" vm="6">
        <f>_xlfn.XLOOKUP(AllData[[#This Row],[Site Name]],LocationsKey[Site Name],LocationsKey[District])</f>
        <v>#VALUE!</v>
      </c>
      <c r="I885" t="e" vm="13">
        <f>_xlfn.XLOOKUP(AllData[[#This Row],[Site Name]],LocationsKey[Site Name],LocationsKey[Town])</f>
        <v>#VALUE!</v>
      </c>
      <c r="J885" t="str">
        <f>_xlfn.XLOOKUP(AllData[[#This Row],[Site Name]],LocationsKey[Site Name], LocationsKey[Waterway])</f>
        <v>Avon</v>
      </c>
      <c r="K885" t="s">
        <v>784</v>
      </c>
      <c r="L885">
        <v>52.122858999999998</v>
      </c>
      <c r="M885">
        <v>-2.0575389999999998</v>
      </c>
      <c r="N885" t="s">
        <v>25</v>
      </c>
      <c r="O885">
        <v>549</v>
      </c>
      <c r="P885">
        <v>12.1</v>
      </c>
      <c r="Q885">
        <v>5</v>
      </c>
      <c r="R885" s="107" t="str">
        <f>IF(AllData[[#This Row],[Nitrate (PPM)]]&gt;2, "Very high", IF(AllData[[#This Row],[Nitrate (PPM)]]&gt;1, "High", IF(AllData[[#This Row],[Nitrate (PPM)]]&gt;0.5, "Some evidence", IF(AllData[[#This Row],[Nitrate (PPM)]]&gt;=0, "No evidence"))))</f>
        <v>Very high</v>
      </c>
      <c r="S885">
        <v>0.44</v>
      </c>
      <c r="T885" s="7" t="str">
        <f>IF(AllData[[#This Row],[Phosphate (PPM)]]&gt;0.5, "Very high", IF(AllData[[#This Row],[Phosphate (PPM)]]&gt;0.1, "High", IF(AllData[[#This Row],[Phosphate (PPM)]]&gt;0.05, "Some evidence", IF(AllData[[#This Row],[Phosphate (PPM)]]&lt;=0.05, "No Evidence", ""))))</f>
        <v>High</v>
      </c>
      <c r="U885">
        <v>1.24</v>
      </c>
      <c r="V885" t="s">
        <v>2187</v>
      </c>
    </row>
    <row r="886" spans="1:22" x14ac:dyDescent="0.35">
      <c r="A886" t="s">
        <v>2182</v>
      </c>
      <c r="B886" s="143">
        <v>45570</v>
      </c>
      <c r="C886" s="2" t="str" cm="1">
        <f t="array" ref="C8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6">
        <f>YEAR(AllData[[#This Row],[Date]])</f>
        <v>2024</v>
      </c>
      <c r="E886" s="1">
        <v>0.46111111111111114</v>
      </c>
      <c r="F886" t="str">
        <f>IF(AND(AllData[[#This Row],[Time]]&lt;0.5, AllData[[#This Row],[Time]]&gt;0.17)=TRUE, "Morning", IF(AND(AllData[[#This Row],[Time]]&lt;0.75, AllData[[#This Row],[Time]]&gt;=0.5)=TRUE, "Afternoon", IF(AND(AllData[[#This Row],[Time]]&lt;1, AllData[[#This Row],[Time]]&gt;=0.75)=TRUE, "Evening", "Night")))</f>
        <v>Morning</v>
      </c>
      <c r="G886" t="str">
        <f>_xlfn.XLOOKUP(AllData[[#This Row],[Location Name]], Locations[Location Name],Locations[Group As])</f>
        <v>Avonbank Drive</v>
      </c>
      <c r="H886" t="e" vm="1">
        <f>_xlfn.XLOOKUP(AllData[[#This Row],[Site Name]],LocationsKey[Site Name],LocationsKey[District])</f>
        <v>#VALUE!</v>
      </c>
      <c r="I886" t="e" vm="12">
        <f>_xlfn.XLOOKUP(AllData[[#This Row],[Site Name]],LocationsKey[Site Name],LocationsKey[Town])</f>
        <v>#VALUE!</v>
      </c>
      <c r="J886" t="str">
        <f>_xlfn.XLOOKUP(AllData[[#This Row],[Site Name]],LocationsKey[Site Name], LocationsKey[Waterway])</f>
        <v>Avon</v>
      </c>
      <c r="K886" t="s">
        <v>104</v>
      </c>
      <c r="L886">
        <v>43.328878000000003</v>
      </c>
      <c r="M886">
        <v>-81.129401000000001</v>
      </c>
      <c r="N886" t="s">
        <v>68</v>
      </c>
      <c r="O886">
        <v>648</v>
      </c>
      <c r="P886">
        <v>15.8</v>
      </c>
      <c r="Q886">
        <v>2</v>
      </c>
      <c r="R886" s="107" t="str">
        <f>IF(AllData[[#This Row],[Nitrate (PPM)]]&gt;2, "Very high", IF(AllData[[#This Row],[Nitrate (PPM)]]&gt;1, "High", IF(AllData[[#This Row],[Nitrate (PPM)]]&gt;0.5, "Some evidence", IF(AllData[[#This Row],[Nitrate (PPM)]]&gt;=0, "No evidence"))))</f>
        <v>High</v>
      </c>
      <c r="S886">
        <v>0.46</v>
      </c>
      <c r="T886" s="7" t="str">
        <f>IF(AllData[[#This Row],[Phosphate (PPM)]]&gt;0.5, "Very high", IF(AllData[[#This Row],[Phosphate (PPM)]]&gt;0.1, "High", IF(AllData[[#This Row],[Phosphate (PPM)]]&gt;0.05, "Some evidence", IF(AllData[[#This Row],[Phosphate (PPM)]]&lt;=0.05, "No Evidence", ""))))</f>
        <v>High</v>
      </c>
      <c r="U886">
        <v>1</v>
      </c>
    </row>
    <row r="887" spans="1:22" x14ac:dyDescent="0.35">
      <c r="A887" t="s">
        <v>2180</v>
      </c>
      <c r="B887" s="143">
        <v>45569</v>
      </c>
      <c r="C887" s="2" t="str" cm="1">
        <f t="array" ref="C8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7">
        <f>YEAR(AllData[[#This Row],[Date]])</f>
        <v>2024</v>
      </c>
      <c r="E887" s="1">
        <v>0.62638888888888888</v>
      </c>
      <c r="F887" t="str">
        <f>IF(AND(AllData[[#This Row],[Time]]&lt;0.5, AllData[[#This Row],[Time]]&gt;0.17)=TRUE, "Morning", IF(AND(AllData[[#This Row],[Time]]&lt;0.75, AllData[[#This Row],[Time]]&gt;=0.5)=TRUE, "Afternoon", IF(AND(AllData[[#This Row],[Time]]&lt;1, AllData[[#This Row],[Time]]&gt;=0.75)=TRUE, "Evening", "Night")))</f>
        <v>Afternoon</v>
      </c>
      <c r="G887" t="str">
        <f>_xlfn.XLOOKUP(AllData[[#This Row],[Location Name]], Locations[Location Name],Locations[Group As])</f>
        <v>Twyning Fleet</v>
      </c>
      <c r="H887" t="e" vm="4">
        <f>_xlfn.XLOOKUP(AllData[[#This Row],[Site Name]],LocationsKey[Site Name],LocationsKey[District])</f>
        <v>#VALUE!</v>
      </c>
      <c r="I887" t="str">
        <f>_xlfn.XLOOKUP(AllData[[#This Row],[Site Name]],LocationsKey[Site Name],LocationsKey[Town])</f>
        <v>Twyning Green</v>
      </c>
      <c r="J887" t="str">
        <f>_xlfn.XLOOKUP(AllData[[#This Row],[Site Name]],LocationsKey[Site Name], LocationsKey[Waterway])</f>
        <v>Avon</v>
      </c>
      <c r="K887" t="s">
        <v>2181</v>
      </c>
      <c r="L887">
        <v>52.027031999999998</v>
      </c>
      <c r="M887">
        <v>-2.1405799999999999</v>
      </c>
      <c r="O887">
        <v>563</v>
      </c>
      <c r="P887">
        <v>14.1</v>
      </c>
      <c r="Q887">
        <v>8</v>
      </c>
      <c r="R887" s="107" t="str">
        <f>IF(AllData[[#This Row],[Nitrate (PPM)]]&gt;2, "Very high", IF(AllData[[#This Row],[Nitrate (PPM)]]&gt;1, "High", IF(AllData[[#This Row],[Nitrate (PPM)]]&gt;0.5, "Some evidence", IF(AllData[[#This Row],[Nitrate (PPM)]]&gt;=0, "No evidence"))))</f>
        <v>Very high</v>
      </c>
      <c r="S887">
        <v>0.46</v>
      </c>
      <c r="T887" s="7" t="str">
        <f>IF(AllData[[#This Row],[Phosphate (PPM)]]&gt;0.5, "Very high", IF(AllData[[#This Row],[Phosphate (PPM)]]&gt;0.1, "High", IF(AllData[[#This Row],[Phosphate (PPM)]]&gt;0.05, "Some evidence", IF(AllData[[#This Row],[Phosphate (PPM)]]&lt;=0.05, "No Evidence", ""))))</f>
        <v>High</v>
      </c>
      <c r="U887">
        <v>1</v>
      </c>
    </row>
    <row r="888" spans="1:22" x14ac:dyDescent="0.35">
      <c r="A888" t="s">
        <v>2178</v>
      </c>
      <c r="B888" s="143">
        <v>45569</v>
      </c>
      <c r="C888" s="2" t="str" cm="1">
        <f t="array" ref="C8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8">
        <f>YEAR(AllData[[#This Row],[Date]])</f>
        <v>2024</v>
      </c>
      <c r="E888" s="1">
        <v>0.63958333333333328</v>
      </c>
      <c r="F888" t="str">
        <f>IF(AND(AllData[[#This Row],[Time]]&lt;0.5, AllData[[#This Row],[Time]]&gt;0.17)=TRUE, "Morning", IF(AND(AllData[[#This Row],[Time]]&lt;0.75, AllData[[#This Row],[Time]]&gt;=0.5)=TRUE, "Afternoon", IF(AND(AllData[[#This Row],[Time]]&lt;1, AllData[[#This Row],[Time]]&gt;=0.75)=TRUE, "Evening", "Night")))</f>
        <v>Afternoon</v>
      </c>
      <c r="G888" t="str">
        <f>_xlfn.XLOOKUP(AllData[[#This Row],[Location Name]], Locations[Location Name],Locations[Group As])</f>
        <v>Mill Bridge Peopleton</v>
      </c>
      <c r="H888" t="e" vm="6">
        <f>_xlfn.XLOOKUP(AllData[[#This Row],[Site Name]],LocationsKey[Site Name],LocationsKey[District])</f>
        <v>#VALUE!</v>
      </c>
      <c r="I888" t="str">
        <f>_xlfn.XLOOKUP(AllData[[#This Row],[Site Name]],LocationsKey[Site Name],LocationsKey[Town])</f>
        <v>Peopleton</v>
      </c>
      <c r="J888" t="str">
        <f>_xlfn.XLOOKUP(AllData[[#This Row],[Site Name]],LocationsKey[Site Name], LocationsKey[Waterway])</f>
        <v>Bow Brook</v>
      </c>
      <c r="K888" t="s">
        <v>1015</v>
      </c>
      <c r="L888">
        <v>52.151622000000003</v>
      </c>
      <c r="M888">
        <v>-2.0961129999999999</v>
      </c>
      <c r="N888" t="s">
        <v>31</v>
      </c>
      <c r="O888">
        <v>904</v>
      </c>
      <c r="P888">
        <v>14.2</v>
      </c>
      <c r="Q888">
        <v>5</v>
      </c>
      <c r="R888" s="107" t="str">
        <f>IF(AllData[[#This Row],[Nitrate (PPM)]]&gt;2, "Very high", IF(AllData[[#This Row],[Nitrate (PPM)]]&gt;1, "High", IF(AllData[[#This Row],[Nitrate (PPM)]]&gt;0.5, "Some evidence", IF(AllData[[#This Row],[Nitrate (PPM)]]&gt;=0, "No evidence"))))</f>
        <v>Very high</v>
      </c>
      <c r="S888">
        <v>1.59</v>
      </c>
      <c r="T888" s="7" t="str">
        <f>IF(AllData[[#This Row],[Phosphate (PPM)]]&gt;0.5, "Very high", IF(AllData[[#This Row],[Phosphate (PPM)]]&gt;0.1, "High", IF(AllData[[#This Row],[Phosphate (PPM)]]&gt;0.05, "Some evidence", IF(AllData[[#This Row],[Phosphate (PPM)]]&lt;=0.05, "No Evidence", ""))))</f>
        <v>Very high</v>
      </c>
      <c r="U888">
        <v>0.45</v>
      </c>
      <c r="V888" t="s">
        <v>2179</v>
      </c>
    </row>
    <row r="889" spans="1:22" x14ac:dyDescent="0.35">
      <c r="A889" t="s">
        <v>2177</v>
      </c>
      <c r="B889" s="143">
        <v>45568</v>
      </c>
      <c r="C889" s="2" t="str" cm="1">
        <f t="array" ref="C8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89">
        <f>YEAR(AllData[[#This Row],[Date]])</f>
        <v>2024</v>
      </c>
      <c r="E889" s="1">
        <v>0.41666666666666669</v>
      </c>
      <c r="F889" t="str">
        <f>IF(AND(AllData[[#This Row],[Time]]&lt;0.5, AllData[[#This Row],[Time]]&gt;0.17)=TRUE, "Morning", IF(AND(AllData[[#This Row],[Time]]&lt;0.75, AllData[[#This Row],[Time]]&gt;=0.5)=TRUE, "Afternoon", IF(AND(AllData[[#This Row],[Time]]&lt;1, AllData[[#This Row],[Time]]&gt;=0.75)=TRUE, "Evening", "Night")))</f>
        <v>Morning</v>
      </c>
      <c r="G889" t="str">
        <f>_xlfn.XLOOKUP(AllData[[#This Row],[Location Name]], Locations[Location Name],Locations[Group As])</f>
        <v>Swilgate</v>
      </c>
      <c r="H889" t="e" vm="4">
        <f>_xlfn.XLOOKUP(AllData[[#This Row],[Site Name]],LocationsKey[Site Name],LocationsKey[District])</f>
        <v>#VALUE!</v>
      </c>
      <c r="I889" t="e" vm="4">
        <f>_xlfn.XLOOKUP(AllData[[#This Row],[Site Name]],LocationsKey[Site Name],LocationsKey[Town])</f>
        <v>#VALUE!</v>
      </c>
      <c r="J889" t="str">
        <f>_xlfn.XLOOKUP(AllData[[#This Row],[Site Name]],LocationsKey[Site Name], LocationsKey[Waterway])</f>
        <v>Swilgate</v>
      </c>
      <c r="K889" t="s">
        <v>85</v>
      </c>
      <c r="N889" t="s">
        <v>25</v>
      </c>
      <c r="O889">
        <v>772</v>
      </c>
      <c r="P889">
        <v>12.6</v>
      </c>
      <c r="Q889">
        <v>3</v>
      </c>
      <c r="R889" s="107" t="str">
        <f>IF(AllData[[#This Row],[Nitrate (PPM)]]&gt;2, "Very high", IF(AllData[[#This Row],[Nitrate (PPM)]]&gt;1, "High", IF(AllData[[#This Row],[Nitrate (PPM)]]&gt;0.5, "Some evidence", IF(AllData[[#This Row],[Nitrate (PPM)]]&gt;=0, "No evidence"))))</f>
        <v>Very high</v>
      </c>
      <c r="S889">
        <v>0.43</v>
      </c>
      <c r="T889" s="7" t="str">
        <f>IF(AllData[[#This Row],[Phosphate (PPM)]]&gt;0.5, "Very high", IF(AllData[[#This Row],[Phosphate (PPM)]]&gt;0.1, "High", IF(AllData[[#This Row],[Phosphate (PPM)]]&gt;0.05, "Some evidence", IF(AllData[[#This Row],[Phosphate (PPM)]]&lt;=0.05, "No Evidence", ""))))</f>
        <v>High</v>
      </c>
      <c r="U889">
        <v>1.5</v>
      </c>
    </row>
    <row r="890" spans="1:22" x14ac:dyDescent="0.35">
      <c r="A890" t="s">
        <v>2176</v>
      </c>
      <c r="B890" s="143">
        <v>45568</v>
      </c>
      <c r="C890" s="2" t="str" cm="1">
        <f t="array" ref="C8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0">
        <f>YEAR(AllData[[#This Row],[Date]])</f>
        <v>2024</v>
      </c>
      <c r="E890" s="1">
        <v>0.47916666666666669</v>
      </c>
      <c r="F890" t="str">
        <f>IF(AND(AllData[[#This Row],[Time]]&lt;0.5, AllData[[#This Row],[Time]]&gt;0.17)=TRUE, "Morning", IF(AND(AllData[[#This Row],[Time]]&lt;0.75, AllData[[#This Row],[Time]]&gt;=0.5)=TRUE, "Afternoon", IF(AND(AllData[[#This Row],[Time]]&lt;1, AllData[[#This Row],[Time]]&gt;=0.75)=TRUE, "Evening", "Night")))</f>
        <v>Morning</v>
      </c>
      <c r="G890" t="str">
        <f>_xlfn.XLOOKUP(AllData[[#This Row],[Location Name]], Locations[Location Name],Locations[Group As])</f>
        <v>Stour Willington</v>
      </c>
      <c r="H890" t="e" vm="1">
        <f>_xlfn.XLOOKUP(AllData[[#This Row],[Site Name]],LocationsKey[Site Name],LocationsKey[District])</f>
        <v>#VALUE!</v>
      </c>
      <c r="I890" t="str">
        <f>_xlfn.XLOOKUP(AllData[[#This Row],[Site Name]],LocationsKey[Site Name],LocationsKey[Town])</f>
        <v>Willington</v>
      </c>
      <c r="J890" t="str">
        <f>_xlfn.XLOOKUP(AllData[[#This Row],[Site Name]],LocationsKey[Site Name], LocationsKey[Waterway])</f>
        <v>Stour</v>
      </c>
      <c r="K890" t="s">
        <v>521</v>
      </c>
      <c r="L890">
        <v>52.053463999999998</v>
      </c>
      <c r="M890">
        <v>-1.62035</v>
      </c>
      <c r="N890" t="s">
        <v>25</v>
      </c>
      <c r="O890">
        <v>521</v>
      </c>
      <c r="P890">
        <v>15.2</v>
      </c>
      <c r="Q890">
        <v>2</v>
      </c>
      <c r="R890" s="107" t="str">
        <f>IF(AllData[[#This Row],[Nitrate (PPM)]]&gt;2, "Very high", IF(AllData[[#This Row],[Nitrate (PPM)]]&gt;1, "High", IF(AllData[[#This Row],[Nitrate (PPM)]]&gt;0.5, "Some evidence", IF(AllData[[#This Row],[Nitrate (PPM)]]&gt;=0, "No evidence"))))</f>
        <v>High</v>
      </c>
      <c r="S890">
        <v>0.27</v>
      </c>
      <c r="T890" s="7" t="str">
        <f>IF(AllData[[#This Row],[Phosphate (PPM)]]&gt;0.5, "Very high", IF(AllData[[#This Row],[Phosphate (PPM)]]&gt;0.1, "High", IF(AllData[[#This Row],[Phosphate (PPM)]]&gt;0.05, "Some evidence", IF(AllData[[#This Row],[Phosphate (PPM)]]&lt;=0.05, "No Evidence", ""))))</f>
        <v>High</v>
      </c>
      <c r="U890">
        <v>1</v>
      </c>
    </row>
    <row r="891" spans="1:22" x14ac:dyDescent="0.35">
      <c r="A891" t="s">
        <v>2169</v>
      </c>
      <c r="B891" s="143">
        <v>45567</v>
      </c>
      <c r="C891" s="2" t="str" cm="1">
        <f t="array" ref="C8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1">
        <f>YEAR(AllData[[#This Row],[Date]])</f>
        <v>2024</v>
      </c>
      <c r="E891" s="1">
        <v>0.50972222222222219</v>
      </c>
      <c r="F891" t="str">
        <f>IF(AND(AllData[[#This Row],[Time]]&lt;0.5, AllData[[#This Row],[Time]]&gt;0.17)=TRUE, "Morning", IF(AND(AllData[[#This Row],[Time]]&lt;0.75, AllData[[#This Row],[Time]]&gt;=0.5)=TRUE, "Afternoon", IF(AND(AllData[[#This Row],[Time]]&lt;1, AllData[[#This Row],[Time]]&gt;=0.75)=TRUE, "Evening", "Night")))</f>
        <v>Afternoon</v>
      </c>
      <c r="G891" t="str">
        <f>_xlfn.XLOOKUP(AllData[[#This Row],[Location Name]], Locations[Location Name],Locations[Group As])</f>
        <v>Walcot Lane, Bow Brook Ford</v>
      </c>
      <c r="H891" t="e" vm="6">
        <f>_xlfn.XLOOKUP(AllData[[#This Row],[Site Name]],LocationsKey[Site Name],LocationsKey[District])</f>
        <v>#VALUE!</v>
      </c>
      <c r="I891" t="e" vm="7">
        <f>_xlfn.XLOOKUP(AllData[[#This Row],[Site Name]],LocationsKey[Site Name],LocationsKey[Town])</f>
        <v>#VALUE!</v>
      </c>
      <c r="J891" t="str">
        <f>_xlfn.XLOOKUP(AllData[[#This Row],[Site Name]],LocationsKey[Site Name], LocationsKey[Waterway])</f>
        <v>Bow Brook</v>
      </c>
      <c r="K891" t="s">
        <v>775</v>
      </c>
      <c r="L891">
        <v>52.106185000000004</v>
      </c>
      <c r="M891">
        <v>-2.086074</v>
      </c>
      <c r="N891" t="s">
        <v>25</v>
      </c>
      <c r="O891">
        <v>731</v>
      </c>
      <c r="P891">
        <v>14.3</v>
      </c>
      <c r="Q891">
        <v>5</v>
      </c>
      <c r="R891" s="107" t="str">
        <f>IF(AllData[[#This Row],[Nitrate (PPM)]]&gt;2, "Very high", IF(AllData[[#This Row],[Nitrate (PPM)]]&gt;1, "High", IF(AllData[[#This Row],[Nitrate (PPM)]]&gt;0.5, "Some evidence", IF(AllData[[#This Row],[Nitrate (PPM)]]&gt;=0, "No evidence"))))</f>
        <v>Very high</v>
      </c>
      <c r="S891">
        <v>0.67</v>
      </c>
      <c r="T891" s="7" t="str">
        <f>IF(AllData[[#This Row],[Phosphate (PPM)]]&gt;0.5, "Very high", IF(AllData[[#This Row],[Phosphate (PPM)]]&gt;0.1, "High", IF(AllData[[#This Row],[Phosphate (PPM)]]&gt;0.05, "Some evidence", IF(AllData[[#This Row],[Phosphate (PPM)]]&lt;=0.05, "No Evidence", ""))))</f>
        <v>Very high</v>
      </c>
      <c r="U891">
        <v>1.2</v>
      </c>
      <c r="V891" t="s">
        <v>2170</v>
      </c>
    </row>
    <row r="892" spans="1:22" x14ac:dyDescent="0.35">
      <c r="A892" t="s">
        <v>2173</v>
      </c>
      <c r="B892" s="143">
        <v>45567</v>
      </c>
      <c r="C892" s="2" t="str" cm="1">
        <f t="array" ref="C8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2">
        <f>YEAR(AllData[[#This Row],[Date]])</f>
        <v>2024</v>
      </c>
      <c r="E892" s="1">
        <v>0.43194444444444446</v>
      </c>
      <c r="F892" t="str">
        <f>IF(AND(AllData[[#This Row],[Time]]&lt;0.5, AllData[[#This Row],[Time]]&gt;0.17)=TRUE, "Morning", IF(AND(AllData[[#This Row],[Time]]&lt;0.75, AllData[[#This Row],[Time]]&gt;=0.5)=TRUE, "Afternoon", IF(AND(AllData[[#This Row],[Time]]&lt;1, AllData[[#This Row],[Time]]&gt;=0.75)=TRUE, "Evening", "Night")))</f>
        <v>Morning</v>
      </c>
      <c r="G892" t="str">
        <f>_xlfn.XLOOKUP(AllData[[#This Row],[Location Name]], Locations[Location Name],Locations[Group As])</f>
        <v>SSC Bredons Norton</v>
      </c>
      <c r="H892" t="e" vm="6">
        <f>_xlfn.XLOOKUP(AllData[[#This Row],[Site Name]],LocationsKey[Site Name],LocationsKey[District])</f>
        <v>#VALUE!</v>
      </c>
      <c r="I892" t="str">
        <f>_xlfn.XLOOKUP(AllData[[#This Row],[Site Name]],LocationsKey[Site Name],LocationsKey[Town])</f>
        <v>Bredon's Norton</v>
      </c>
      <c r="J892" t="str">
        <f>_xlfn.XLOOKUP(AllData[[#This Row],[Site Name]],LocationsKey[Site Name], LocationsKey[Waterway])</f>
        <v>Avon</v>
      </c>
      <c r="K892" t="s">
        <v>2174</v>
      </c>
      <c r="L892">
        <v>52.041533999999999</v>
      </c>
      <c r="M892">
        <v>-2.1322489999999998</v>
      </c>
      <c r="N892" t="s">
        <v>25</v>
      </c>
      <c r="O892">
        <v>537</v>
      </c>
      <c r="P892">
        <v>13.1</v>
      </c>
      <c r="Q892">
        <v>5</v>
      </c>
      <c r="R892" s="107" t="str">
        <f>IF(AllData[[#This Row],[Nitrate (PPM)]]&gt;2, "Very high", IF(AllData[[#This Row],[Nitrate (PPM)]]&gt;1, "High", IF(AllData[[#This Row],[Nitrate (PPM)]]&gt;0.5, "Some evidence", IF(AllData[[#This Row],[Nitrate (PPM)]]&gt;=0, "No evidence"))))</f>
        <v>Very high</v>
      </c>
      <c r="S892">
        <v>0.56999999999999995</v>
      </c>
      <c r="T892" s="7" t="str">
        <f>IF(AllData[[#This Row],[Phosphate (PPM)]]&gt;0.5, "Very high", IF(AllData[[#This Row],[Phosphate (PPM)]]&gt;0.1, "High", IF(AllData[[#This Row],[Phosphate (PPM)]]&gt;0.05, "Some evidence", IF(AllData[[#This Row],[Phosphate (PPM)]]&lt;=0.05, "No Evidence", ""))))</f>
        <v>Very high</v>
      </c>
      <c r="U892">
        <v>1.66</v>
      </c>
      <c r="V892" t="s">
        <v>2175</v>
      </c>
    </row>
    <row r="893" spans="1:22" x14ac:dyDescent="0.35">
      <c r="A893" t="s">
        <v>2167</v>
      </c>
      <c r="B893" s="143">
        <v>45567</v>
      </c>
      <c r="C893" s="2" t="str" cm="1">
        <f t="array" ref="C8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3">
        <f>YEAR(AllData[[#This Row],[Date]])</f>
        <v>2024</v>
      </c>
      <c r="E893" s="1">
        <v>0.57430555555555551</v>
      </c>
      <c r="F893" t="str">
        <f>IF(AND(AllData[[#This Row],[Time]]&lt;0.5, AllData[[#This Row],[Time]]&gt;0.17)=TRUE, "Morning", IF(AND(AllData[[#This Row],[Time]]&lt;0.75, AllData[[#This Row],[Time]]&gt;=0.5)=TRUE, "Afternoon", IF(AND(AllData[[#This Row],[Time]]&lt;1, AllData[[#This Row],[Time]]&gt;=0.75)=TRUE, "Evening", "Night")))</f>
        <v>Afternoon</v>
      </c>
      <c r="G893" t="str">
        <f>_xlfn.XLOOKUP(AllData[[#This Row],[Location Name]], Locations[Location Name],Locations[Group As])</f>
        <v>Swiffen Bank</v>
      </c>
      <c r="H893" t="e" vm="1">
        <f>_xlfn.XLOOKUP(AllData[[#This Row],[Site Name]],LocationsKey[Site Name],LocationsKey[District])</f>
        <v>#VALUE!</v>
      </c>
      <c r="I893" t="e" vm="2">
        <f>_xlfn.XLOOKUP(AllData[[#This Row],[Site Name]],LocationsKey[Site Name],LocationsKey[Town])</f>
        <v>#VALUE!</v>
      </c>
      <c r="J893" t="str">
        <f>_xlfn.XLOOKUP(AllData[[#This Row],[Site Name]],LocationsKey[Site Name], LocationsKey[Waterway])</f>
        <v>Avon</v>
      </c>
      <c r="K893" t="s">
        <v>286</v>
      </c>
      <c r="L893">
        <v>52.206386000000002</v>
      </c>
      <c r="M893">
        <v>-1.6545129999999999</v>
      </c>
      <c r="N893" t="s">
        <v>31</v>
      </c>
      <c r="O893">
        <v>487</v>
      </c>
      <c r="P893">
        <v>14.1</v>
      </c>
      <c r="Q893">
        <v>5</v>
      </c>
      <c r="R893" s="107" t="str">
        <f>IF(AllData[[#This Row],[Nitrate (PPM)]]&gt;2, "Very high", IF(AllData[[#This Row],[Nitrate (PPM)]]&gt;1, "High", IF(AllData[[#This Row],[Nitrate (PPM)]]&gt;0.5, "Some evidence", IF(AllData[[#This Row],[Nitrate (PPM)]]&gt;=0, "No evidence"))))</f>
        <v>Very high</v>
      </c>
      <c r="S893">
        <v>0.87</v>
      </c>
      <c r="T893" s="7" t="str">
        <f>IF(AllData[[#This Row],[Phosphate (PPM)]]&gt;0.5, "Very high", IF(AllData[[#This Row],[Phosphate (PPM)]]&gt;0.1, "High", IF(AllData[[#This Row],[Phosphate (PPM)]]&gt;0.05, "Some evidence", IF(AllData[[#This Row],[Phosphate (PPM)]]&lt;=0.05, "No Evidence", ""))))</f>
        <v>Very high</v>
      </c>
      <c r="U893">
        <v>1.75</v>
      </c>
      <c r="V893" t="s">
        <v>2168</v>
      </c>
    </row>
    <row r="894" spans="1:22" x14ac:dyDescent="0.35">
      <c r="A894" t="s">
        <v>2165</v>
      </c>
      <c r="B894" s="143">
        <v>45567</v>
      </c>
      <c r="C894" s="2" t="str" cm="1">
        <f t="array" ref="C8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4">
        <f>YEAR(AllData[[#This Row],[Date]])</f>
        <v>2024</v>
      </c>
      <c r="E894" s="1">
        <v>0.59027777777777779</v>
      </c>
      <c r="F894" t="str">
        <f>IF(AND(AllData[[#This Row],[Time]]&lt;0.5, AllData[[#This Row],[Time]]&gt;0.17)=TRUE, "Morning", IF(AND(AllData[[#This Row],[Time]]&lt;0.75, AllData[[#This Row],[Time]]&gt;=0.5)=TRUE, "Afternoon", IF(AND(AllData[[#This Row],[Time]]&lt;1, AllData[[#This Row],[Time]]&gt;=0.75)=TRUE, "Evening", "Night")))</f>
        <v>Afternoon</v>
      </c>
      <c r="G894" t="str">
        <f>_xlfn.XLOOKUP(AllData[[#This Row],[Location Name]], Locations[Location Name],Locations[Group As])</f>
        <v>Alveston Weir</v>
      </c>
      <c r="H894" t="e" vm="1">
        <f>_xlfn.XLOOKUP(AllData[[#This Row],[Site Name]],LocationsKey[Site Name],LocationsKey[District])</f>
        <v>#VALUE!</v>
      </c>
      <c r="I894" t="e" vm="2">
        <f>_xlfn.XLOOKUP(AllData[[#This Row],[Site Name]],LocationsKey[Site Name],LocationsKey[Town])</f>
        <v>#VALUE!</v>
      </c>
      <c r="J894" t="str">
        <f>_xlfn.XLOOKUP(AllData[[#This Row],[Site Name]],LocationsKey[Site Name], LocationsKey[Waterway])</f>
        <v>Avon</v>
      </c>
      <c r="K894" t="s">
        <v>288</v>
      </c>
      <c r="L894">
        <v>52.214388999999997</v>
      </c>
      <c r="M894">
        <v>-1.6601520000000001</v>
      </c>
      <c r="N894" t="s">
        <v>31</v>
      </c>
      <c r="O894">
        <v>477</v>
      </c>
      <c r="P894">
        <v>14.4</v>
      </c>
      <c r="Q894">
        <v>5</v>
      </c>
      <c r="R894" s="107" t="str">
        <f>IF(AllData[[#This Row],[Nitrate (PPM)]]&gt;2, "Very high", IF(AllData[[#This Row],[Nitrate (PPM)]]&gt;1, "High", IF(AllData[[#This Row],[Nitrate (PPM)]]&gt;0.5, "Some evidence", IF(AllData[[#This Row],[Nitrate (PPM)]]&gt;=0, "No evidence"))))</f>
        <v>Very high</v>
      </c>
      <c r="S894">
        <v>0.56000000000000005</v>
      </c>
      <c r="T894" s="7" t="str">
        <f>IF(AllData[[#This Row],[Phosphate (PPM)]]&gt;0.5, "Very high", IF(AllData[[#This Row],[Phosphate (PPM)]]&gt;0.1, "High", IF(AllData[[#This Row],[Phosphate (PPM)]]&gt;0.05, "Some evidence", IF(AllData[[#This Row],[Phosphate (PPM)]]&lt;=0.05, "No Evidence", ""))))</f>
        <v>Very high</v>
      </c>
      <c r="U894">
        <v>1.76</v>
      </c>
      <c r="V894" t="s">
        <v>2166</v>
      </c>
    </row>
    <row r="895" spans="1:22" x14ac:dyDescent="0.35">
      <c r="A895" t="s">
        <v>2163</v>
      </c>
      <c r="B895" s="143">
        <v>45567</v>
      </c>
      <c r="C895" s="2" t="str" cm="1">
        <f t="array" ref="C8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5">
        <f>YEAR(AllData[[#This Row],[Date]])</f>
        <v>2024</v>
      </c>
      <c r="E895" s="1">
        <v>0.70833333333333337</v>
      </c>
      <c r="F895" t="str">
        <f>IF(AND(AllData[[#This Row],[Time]]&lt;0.5, AllData[[#This Row],[Time]]&gt;0.17)=TRUE, "Morning", IF(AND(AllData[[#This Row],[Time]]&lt;0.75, AllData[[#This Row],[Time]]&gt;=0.5)=TRUE, "Afternoon", IF(AND(AllData[[#This Row],[Time]]&lt;1, AllData[[#This Row],[Time]]&gt;=0.75)=TRUE, "Evening", "Night")))</f>
        <v>Afternoon</v>
      </c>
      <c r="G895" t="str">
        <f>_xlfn.XLOOKUP(AllData[[#This Row],[Location Name]], Locations[Location Name],Locations[Group As])</f>
        <v>Stour Newbold Mill</v>
      </c>
      <c r="H895" t="e" vm="1">
        <f>_xlfn.XLOOKUP(AllData[[#This Row],[Site Name]],LocationsKey[Site Name],LocationsKey[District])</f>
        <v>#VALUE!</v>
      </c>
      <c r="I895" t="e" vm="27">
        <f>_xlfn.XLOOKUP(AllData[[#This Row],[Site Name]],LocationsKey[Site Name],LocationsKey[Town])</f>
        <v>#VALUE!</v>
      </c>
      <c r="J895" t="str">
        <f>_xlfn.XLOOKUP(AllData[[#This Row],[Site Name]],LocationsKey[Site Name], LocationsKey[Waterway])</f>
        <v>Stour</v>
      </c>
      <c r="K895" t="s">
        <v>141</v>
      </c>
      <c r="N895" t="s">
        <v>68</v>
      </c>
      <c r="O895">
        <v>386</v>
      </c>
      <c r="P895">
        <v>14.9</v>
      </c>
      <c r="Q895">
        <v>5</v>
      </c>
      <c r="R895" s="107" t="str">
        <f>IF(AllData[[#This Row],[Nitrate (PPM)]]&gt;2, "Very high", IF(AllData[[#This Row],[Nitrate (PPM)]]&gt;1, "High", IF(AllData[[#This Row],[Nitrate (PPM)]]&gt;0.5, "Some evidence", IF(AllData[[#This Row],[Nitrate (PPM)]]&gt;=0, "No evidence"))))</f>
        <v>Very high</v>
      </c>
      <c r="S895">
        <v>0.46</v>
      </c>
      <c r="T895" s="7" t="str">
        <f>IF(AllData[[#This Row],[Phosphate (PPM)]]&gt;0.5, "Very high", IF(AllData[[#This Row],[Phosphate (PPM)]]&gt;0.1, "High", IF(AllData[[#This Row],[Phosphate (PPM)]]&gt;0.05, "Some evidence", IF(AllData[[#This Row],[Phosphate (PPM)]]&lt;=0.05, "No Evidence", ""))))</f>
        <v>High</v>
      </c>
      <c r="U895">
        <v>3</v>
      </c>
      <c r="V895" t="s">
        <v>2164</v>
      </c>
    </row>
    <row r="896" spans="1:22" x14ac:dyDescent="0.35">
      <c r="A896" t="s">
        <v>2172</v>
      </c>
      <c r="B896" s="143">
        <v>45567</v>
      </c>
      <c r="C896" s="2" t="str" cm="1">
        <f t="array" ref="C8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6">
        <f>YEAR(AllData[[#This Row],[Date]])</f>
        <v>2024</v>
      </c>
      <c r="E896" s="1">
        <v>0.37708333333333333</v>
      </c>
      <c r="F896" t="str">
        <f>IF(AND(AllData[[#This Row],[Time]]&lt;0.5, AllData[[#This Row],[Time]]&gt;0.17)=TRUE, "Morning", IF(AND(AllData[[#This Row],[Time]]&lt;0.75, AllData[[#This Row],[Time]]&gt;=0.5)=TRUE, "Afternoon", IF(AND(AllData[[#This Row],[Time]]&lt;1, AllData[[#This Row],[Time]]&gt;=0.75)=TRUE, "Evening", "Night")))</f>
        <v>Morning</v>
      </c>
      <c r="G896" t="str">
        <f>_xlfn.XLOOKUP(AllData[[#This Row],[Location Name]], Locations[Location Name],Locations[Group As])</f>
        <v>Stour Whichford</v>
      </c>
      <c r="H896" t="e" vm="1">
        <f>_xlfn.XLOOKUP(AllData[[#This Row],[Site Name]],LocationsKey[Site Name],LocationsKey[District])</f>
        <v>#VALUE!</v>
      </c>
      <c r="I896" t="e" vm="24">
        <f>_xlfn.XLOOKUP(AllData[[#This Row],[Site Name]],LocationsKey[Site Name],LocationsKey[Town])</f>
        <v>#VALUE!</v>
      </c>
      <c r="J896" t="str">
        <f>_xlfn.XLOOKUP(AllData[[#This Row],[Site Name]],LocationsKey[Site Name], LocationsKey[Waterway])</f>
        <v>Stour</v>
      </c>
      <c r="K896" t="s">
        <v>980</v>
      </c>
      <c r="N896" t="s">
        <v>31</v>
      </c>
      <c r="O896">
        <v>494</v>
      </c>
      <c r="P896">
        <v>12.9</v>
      </c>
      <c r="Q896">
        <v>2</v>
      </c>
      <c r="R896" s="107" t="str">
        <f>IF(AllData[[#This Row],[Nitrate (PPM)]]&gt;2, "Very high", IF(AllData[[#This Row],[Nitrate (PPM)]]&gt;1, "High", IF(AllData[[#This Row],[Nitrate (PPM)]]&gt;0.5, "Some evidence", IF(AllData[[#This Row],[Nitrate (PPM)]]&gt;=0, "No evidence"))))</f>
        <v>High</v>
      </c>
      <c r="S896">
        <v>0.36</v>
      </c>
      <c r="T896" s="7" t="str">
        <f>IF(AllData[[#This Row],[Phosphate (PPM)]]&gt;0.5, "Very high", IF(AllData[[#This Row],[Phosphate (PPM)]]&gt;0.1, "High", IF(AllData[[#This Row],[Phosphate (PPM)]]&gt;0.05, "Some evidence", IF(AllData[[#This Row],[Phosphate (PPM)]]&lt;=0.05, "No Evidence", ""))))</f>
        <v>High</v>
      </c>
      <c r="U896">
        <v>23</v>
      </c>
    </row>
    <row r="897" spans="1:22" x14ac:dyDescent="0.35">
      <c r="A897" t="s">
        <v>2171</v>
      </c>
      <c r="B897" s="143">
        <v>45567</v>
      </c>
      <c r="C897" s="2" t="str" cm="1">
        <f t="array" ref="C8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7">
        <f>YEAR(AllData[[#This Row],[Date]])</f>
        <v>2024</v>
      </c>
      <c r="E897" s="1">
        <v>0.39305555555555555</v>
      </c>
      <c r="F897" t="str">
        <f>IF(AND(AllData[[#This Row],[Time]]&lt;0.5, AllData[[#This Row],[Time]]&gt;0.17)=TRUE, "Morning", IF(AND(AllData[[#This Row],[Time]]&lt;0.75, AllData[[#This Row],[Time]]&gt;=0.5)=TRUE, "Afternoon", IF(AND(AllData[[#This Row],[Time]]&lt;1, AllData[[#This Row],[Time]]&gt;=0.75)=TRUE, "Evening", "Night")))</f>
        <v>Morning</v>
      </c>
      <c r="G897" t="str">
        <f>_xlfn.XLOOKUP(AllData[[#This Row],[Location Name]], Locations[Location Name],Locations[Group As])</f>
        <v>Stour Ascott Village</v>
      </c>
      <c r="H897" t="e" vm="1">
        <f>_xlfn.XLOOKUP(AllData[[#This Row],[Site Name]],LocationsKey[Site Name],LocationsKey[District])</f>
        <v>#VALUE!</v>
      </c>
      <c r="I897" t="e" vm="25">
        <f>_xlfn.XLOOKUP(AllData[[#This Row],[Site Name]],LocationsKey[Site Name],LocationsKey[Town])</f>
        <v>#VALUE!</v>
      </c>
      <c r="J897" t="str">
        <f>_xlfn.XLOOKUP(AllData[[#This Row],[Site Name]],LocationsKey[Site Name], LocationsKey[Waterway])</f>
        <v>Stour</v>
      </c>
      <c r="K897" t="s">
        <v>927</v>
      </c>
      <c r="N897" t="s">
        <v>68</v>
      </c>
      <c r="O897">
        <v>439</v>
      </c>
      <c r="P897">
        <v>13.1</v>
      </c>
      <c r="Q897">
        <v>0.2</v>
      </c>
      <c r="R897" s="107" t="str">
        <f>IF(AllData[[#This Row],[Nitrate (PPM)]]&gt;2, "Very high", IF(AllData[[#This Row],[Nitrate (PPM)]]&gt;1, "High", IF(AllData[[#This Row],[Nitrate (PPM)]]&gt;0.5, "Some evidence", IF(AllData[[#This Row],[Nitrate (PPM)]]&gt;=0, "No evidence"))))</f>
        <v>No evidence</v>
      </c>
      <c r="S897">
        <v>0.3</v>
      </c>
      <c r="T897" s="7" t="str">
        <f>IF(AllData[[#This Row],[Phosphate (PPM)]]&gt;0.5, "Very high", IF(AllData[[#This Row],[Phosphate (PPM)]]&gt;0.1, "High", IF(AllData[[#This Row],[Phosphate (PPM)]]&gt;0.05, "Some evidence", IF(AllData[[#This Row],[Phosphate (PPM)]]&lt;=0.05, "No Evidence", ""))))</f>
        <v>High</v>
      </c>
      <c r="U897">
        <v>14</v>
      </c>
    </row>
    <row r="898" spans="1:22" x14ac:dyDescent="0.35">
      <c r="A898" t="s">
        <v>2157</v>
      </c>
      <c r="B898" s="143">
        <v>45566</v>
      </c>
      <c r="C898" s="2" t="str" cm="1">
        <f t="array" ref="C8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8">
        <f>YEAR(AllData[[#This Row],[Date]])</f>
        <v>2024</v>
      </c>
      <c r="E898" s="1">
        <v>0.65555555555555556</v>
      </c>
      <c r="F898" t="str">
        <f>IF(AND(AllData[[#This Row],[Time]]&lt;0.5, AllData[[#This Row],[Time]]&gt;0.17)=TRUE, "Morning", IF(AND(AllData[[#This Row],[Time]]&lt;0.75, AllData[[#This Row],[Time]]&gt;=0.5)=TRUE, "Afternoon", IF(AND(AllData[[#This Row],[Time]]&lt;1, AllData[[#This Row],[Time]]&gt;=0.75)=TRUE, "Evening", "Night")))</f>
        <v>Afternoon</v>
      </c>
      <c r="G898" t="str">
        <f>_xlfn.XLOOKUP(AllData[[#This Row],[Location Name]], Locations[Location Name],Locations[Group As])</f>
        <v>Abbey Mill</v>
      </c>
      <c r="H898" t="e" vm="4">
        <f>_xlfn.XLOOKUP(AllData[[#This Row],[Site Name]],LocationsKey[Site Name],LocationsKey[District])</f>
        <v>#VALUE!</v>
      </c>
      <c r="I898" t="e" vm="4">
        <f>_xlfn.XLOOKUP(AllData[[#This Row],[Site Name]],LocationsKey[Site Name],LocationsKey[Town])</f>
        <v>#VALUE!</v>
      </c>
      <c r="J898" t="str">
        <f>_xlfn.XLOOKUP(AllData[[#This Row],[Site Name]],LocationsKey[Site Name], LocationsKey[Waterway])</f>
        <v>Avon</v>
      </c>
      <c r="K898" t="s">
        <v>24</v>
      </c>
      <c r="L898">
        <v>51.991295000000001</v>
      </c>
      <c r="M898">
        <v>-2.1624859999999999</v>
      </c>
      <c r="N898" t="s">
        <v>31</v>
      </c>
      <c r="O898">
        <v>573</v>
      </c>
      <c r="P898">
        <v>13.7</v>
      </c>
      <c r="Q898">
        <v>10</v>
      </c>
      <c r="R898" s="107" t="str">
        <f>IF(AllData[[#This Row],[Nitrate (PPM)]]&gt;2, "Very high", IF(AllData[[#This Row],[Nitrate (PPM)]]&gt;1, "High", IF(AllData[[#This Row],[Nitrate (PPM)]]&gt;0.5, "Some evidence", IF(AllData[[#This Row],[Nitrate (PPM)]]&gt;=0, "No evidence"))))</f>
        <v>Very high</v>
      </c>
      <c r="S898">
        <v>0.67</v>
      </c>
      <c r="T898" s="7" t="str">
        <f>IF(AllData[[#This Row],[Phosphate (PPM)]]&gt;0.5, "Very high", IF(AllData[[#This Row],[Phosphate (PPM)]]&gt;0.1, "High", IF(AllData[[#This Row],[Phosphate (PPM)]]&gt;0.05, "Some evidence", IF(AllData[[#This Row],[Phosphate (PPM)]]&lt;=0.05, "No Evidence", ""))))</f>
        <v>Very high</v>
      </c>
      <c r="U898">
        <v>2.25</v>
      </c>
      <c r="V898" t="s">
        <v>2158</v>
      </c>
    </row>
    <row r="899" spans="1:22" x14ac:dyDescent="0.35">
      <c r="A899" t="s">
        <v>2160</v>
      </c>
      <c r="B899" s="143">
        <v>45566</v>
      </c>
      <c r="C899" s="2" t="str" cm="1">
        <f t="array" ref="C8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899">
        <f>YEAR(AllData[[#This Row],[Date]])</f>
        <v>2024</v>
      </c>
      <c r="E899" s="1">
        <v>0.39930555555555558</v>
      </c>
      <c r="F899" t="str">
        <f>IF(AND(AllData[[#This Row],[Time]]&lt;0.5, AllData[[#This Row],[Time]]&gt;0.17)=TRUE, "Morning", IF(AND(AllData[[#This Row],[Time]]&lt;0.75, AllData[[#This Row],[Time]]&gt;=0.5)=TRUE, "Afternoon", IF(AND(AllData[[#This Row],[Time]]&lt;1, AllData[[#This Row],[Time]]&gt;=0.75)=TRUE, "Evening", "Night")))</f>
        <v>Morning</v>
      </c>
      <c r="G899" t="str">
        <f>_xlfn.XLOOKUP(AllData[[#This Row],[Location Name]], Locations[Location Name],Locations[Group As])</f>
        <v>Carrant M5 Bridge</v>
      </c>
      <c r="H899" t="e" vm="4">
        <f>_xlfn.XLOOKUP(AllData[[#This Row],[Site Name]],LocationsKey[Site Name],LocationsKey[District])</f>
        <v>#VALUE!</v>
      </c>
      <c r="I899" t="e" vm="4">
        <f>_xlfn.XLOOKUP(AllData[[#This Row],[Site Name]],LocationsKey[Site Name],LocationsKey[Town])</f>
        <v>#VALUE!</v>
      </c>
      <c r="J899" t="str">
        <f>_xlfn.XLOOKUP(AllData[[#This Row],[Site Name]],LocationsKey[Site Name], LocationsKey[Waterway])</f>
        <v>Carrant</v>
      </c>
      <c r="K899" t="s">
        <v>2103</v>
      </c>
      <c r="L899">
        <v>52.011772000000001</v>
      </c>
      <c r="M899">
        <v>-2.1199949999999999</v>
      </c>
      <c r="O899">
        <v>440</v>
      </c>
      <c r="P899">
        <v>16.100000000000001</v>
      </c>
      <c r="Q899">
        <v>10</v>
      </c>
      <c r="R899" s="107" t="str">
        <f>IF(AllData[[#This Row],[Nitrate (PPM)]]&gt;2, "Very high", IF(AllData[[#This Row],[Nitrate (PPM)]]&gt;1, "High", IF(AllData[[#This Row],[Nitrate (PPM)]]&gt;0.5, "Some evidence", IF(AllData[[#This Row],[Nitrate (PPM)]]&gt;=0, "No evidence"))))</f>
        <v>Very high</v>
      </c>
      <c r="S899">
        <v>0.57999999999999996</v>
      </c>
      <c r="T899" s="7" t="str">
        <f>IF(AllData[[#This Row],[Phosphate (PPM)]]&gt;0.5, "Very high", IF(AllData[[#This Row],[Phosphate (PPM)]]&gt;0.1, "High", IF(AllData[[#This Row],[Phosphate (PPM)]]&gt;0.05, "Some evidence", IF(AllData[[#This Row],[Phosphate (PPM)]]&lt;=0.05, "No Evidence", ""))))</f>
        <v>Very high</v>
      </c>
      <c r="U899">
        <v>0.5</v>
      </c>
    </row>
    <row r="900" spans="1:22" x14ac:dyDescent="0.35">
      <c r="A900" t="s">
        <v>2159</v>
      </c>
      <c r="B900" s="143">
        <v>45566</v>
      </c>
      <c r="C900" s="2" t="str" cm="1">
        <f t="array" ref="C9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0">
        <f>YEAR(AllData[[#This Row],[Date]])</f>
        <v>2024</v>
      </c>
      <c r="E900" s="1">
        <v>0.4597222222222222</v>
      </c>
      <c r="F900" t="str">
        <f>IF(AND(AllData[[#This Row],[Time]]&lt;0.5, AllData[[#This Row],[Time]]&gt;0.17)=TRUE, "Morning", IF(AND(AllData[[#This Row],[Time]]&lt;0.75, AllData[[#This Row],[Time]]&gt;=0.5)=TRUE, "Afternoon", IF(AND(AllData[[#This Row],[Time]]&lt;1, AllData[[#This Row],[Time]]&gt;=0.75)=TRUE, "Evening", "Night")))</f>
        <v>Morning</v>
      </c>
      <c r="G900" t="str">
        <f>_xlfn.XLOOKUP(AllData[[#This Row],[Location Name]], Locations[Location Name],Locations[Group As])</f>
        <v>Bredon Marina</v>
      </c>
      <c r="H900" t="e" vm="4">
        <f>_xlfn.XLOOKUP(AllData[[#This Row],[Site Name]],LocationsKey[Site Name],LocationsKey[District])</f>
        <v>#VALUE!</v>
      </c>
      <c r="I900" t="e" vm="11">
        <f>_xlfn.XLOOKUP(AllData[[#This Row],[Site Name]],LocationsKey[Site Name],LocationsKey[Town])</f>
        <v>#VALUE!</v>
      </c>
      <c r="J900" t="str">
        <f>_xlfn.XLOOKUP(AllData[[#This Row],[Site Name]],LocationsKey[Site Name], LocationsKey[Waterway])</f>
        <v>Avon</v>
      </c>
      <c r="K900" t="s">
        <v>1661</v>
      </c>
      <c r="L900">
        <v>52.033575999999996</v>
      </c>
      <c r="M900">
        <v>-2.11612</v>
      </c>
      <c r="N900" t="s">
        <v>25</v>
      </c>
      <c r="O900">
        <v>546</v>
      </c>
      <c r="P900">
        <v>13.3</v>
      </c>
      <c r="Q900">
        <v>8</v>
      </c>
      <c r="R900" s="107" t="str">
        <f>IF(AllData[[#This Row],[Nitrate (PPM)]]&gt;2, "Very high", IF(AllData[[#This Row],[Nitrate (PPM)]]&gt;1, "High", IF(AllData[[#This Row],[Nitrate (PPM)]]&gt;0.5, "Some evidence", IF(AllData[[#This Row],[Nitrate (PPM)]]&gt;=0, "No evidence"))))</f>
        <v>Very high</v>
      </c>
      <c r="S900">
        <v>0.34</v>
      </c>
      <c r="T900" s="7" t="str">
        <f>IF(AllData[[#This Row],[Phosphate (PPM)]]&gt;0.5, "Very high", IF(AllData[[#This Row],[Phosphate (PPM)]]&gt;0.1, "High", IF(AllData[[#This Row],[Phosphate (PPM)]]&gt;0.05, "Some evidence", IF(AllData[[#This Row],[Phosphate (PPM)]]&lt;=0.05, "No Evidence", ""))))</f>
        <v>High</v>
      </c>
      <c r="U900">
        <v>1</v>
      </c>
    </row>
    <row r="901" spans="1:22" x14ac:dyDescent="0.35">
      <c r="A901" t="s">
        <v>2155</v>
      </c>
      <c r="B901" s="143">
        <v>45566</v>
      </c>
      <c r="C901" s="2" t="str" cm="1">
        <f t="array" ref="C9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1">
        <f>YEAR(AllData[[#This Row],[Date]])</f>
        <v>2024</v>
      </c>
      <c r="E901" s="1">
        <v>0.75</v>
      </c>
      <c r="F901" t="str">
        <f>IF(AND(AllData[[#This Row],[Time]]&lt;0.5, AllData[[#This Row],[Time]]&gt;0.17)=TRUE, "Morning", IF(AND(AllData[[#This Row],[Time]]&lt;0.75, AllData[[#This Row],[Time]]&gt;=0.5)=TRUE, "Afternoon", IF(AND(AllData[[#This Row],[Time]]&lt;1, AllData[[#This Row],[Time]]&gt;=0.75)=TRUE, "Evening", "Night")))</f>
        <v>Evening</v>
      </c>
      <c r="G901" t="str">
        <f>_xlfn.XLOOKUP(AllData[[#This Row],[Location Name]], Locations[Location Name],Locations[Group As])</f>
        <v>Stour Newbold Mill</v>
      </c>
      <c r="H901" t="e" vm="1">
        <f>_xlfn.XLOOKUP(AllData[[#This Row],[Site Name]],LocationsKey[Site Name],LocationsKey[District])</f>
        <v>#VALUE!</v>
      </c>
      <c r="I901" t="e" vm="27">
        <f>_xlfn.XLOOKUP(AllData[[#This Row],[Site Name]],LocationsKey[Site Name],LocationsKey[Town])</f>
        <v>#VALUE!</v>
      </c>
      <c r="J901" t="str">
        <f>_xlfn.XLOOKUP(AllData[[#This Row],[Site Name]],LocationsKey[Site Name], LocationsKey[Waterway])</f>
        <v>Stour</v>
      </c>
      <c r="K901" t="s">
        <v>141</v>
      </c>
      <c r="N901" t="s">
        <v>68</v>
      </c>
      <c r="O901">
        <v>682</v>
      </c>
      <c r="P901">
        <v>15.3</v>
      </c>
      <c r="Q901">
        <v>5</v>
      </c>
      <c r="R901" s="107" t="str">
        <f>IF(AllData[[#This Row],[Nitrate (PPM)]]&gt;2, "Very high", IF(AllData[[#This Row],[Nitrate (PPM)]]&gt;1, "High", IF(AllData[[#This Row],[Nitrate (PPM)]]&gt;0.5, "Some evidence", IF(AllData[[#This Row],[Nitrate (PPM)]]&gt;=0, "No evidence"))))</f>
        <v>Very high</v>
      </c>
      <c r="S901">
        <v>0.94</v>
      </c>
      <c r="T901" s="7" t="str">
        <f>IF(AllData[[#This Row],[Phosphate (PPM)]]&gt;0.5, "Very high", IF(AllData[[#This Row],[Phosphate (PPM)]]&gt;0.1, "High", IF(AllData[[#This Row],[Phosphate (PPM)]]&gt;0.05, "Some evidence", IF(AllData[[#This Row],[Phosphate (PPM)]]&lt;=0.05, "No Evidence", ""))))</f>
        <v>Very high</v>
      </c>
      <c r="U901">
        <v>2.5</v>
      </c>
      <c r="V901" t="s">
        <v>2156</v>
      </c>
    </row>
    <row r="902" spans="1:22" x14ac:dyDescent="0.35">
      <c r="A902" t="s">
        <v>2162</v>
      </c>
      <c r="B902" s="143">
        <v>45566</v>
      </c>
      <c r="C902" s="2" t="str" cm="1">
        <f t="array" ref="C9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2">
        <f>YEAR(AllData[[#This Row],[Date]])</f>
        <v>2024</v>
      </c>
      <c r="E902" s="1">
        <v>0.43402777777777779</v>
      </c>
      <c r="F902" t="str">
        <f>IF(AND(AllData[[#This Row],[Time]]&lt;0.5, AllData[[#This Row],[Time]]&gt;0.17)=TRUE, "Morning", IF(AND(AllData[[#This Row],[Time]]&lt;0.75, AllData[[#This Row],[Time]]&gt;=0.5)=TRUE, "Afternoon", IF(AND(AllData[[#This Row],[Time]]&lt;1, AllData[[#This Row],[Time]]&gt;=0.75)=TRUE, "Evening", "Night")))</f>
        <v>Morning</v>
      </c>
      <c r="G902" t="str">
        <f>_xlfn.XLOOKUP(AllData[[#This Row],[Location Name]], Locations[Location Name],Locations[Group As])</f>
        <v>Black Bear</v>
      </c>
      <c r="H902" t="e" vm="4">
        <f>_xlfn.XLOOKUP(AllData[[#This Row],[Site Name]],LocationsKey[Site Name],LocationsKey[District])</f>
        <v>#VALUE!</v>
      </c>
      <c r="I902" t="e" vm="4">
        <f>_xlfn.XLOOKUP(AllData[[#This Row],[Site Name]],LocationsKey[Site Name],LocationsKey[Town])</f>
        <v>#VALUE!</v>
      </c>
      <c r="J902" t="str">
        <f>_xlfn.XLOOKUP(AllData[[#This Row],[Site Name]],LocationsKey[Site Name], LocationsKey[Waterway])</f>
        <v>Avon</v>
      </c>
      <c r="K902" t="s">
        <v>1175</v>
      </c>
      <c r="L902">
        <v>51.998066000000001</v>
      </c>
      <c r="M902">
        <v>-2.156622</v>
      </c>
      <c r="N902" t="s">
        <v>25</v>
      </c>
      <c r="O902">
        <v>541</v>
      </c>
      <c r="P902">
        <v>13.6</v>
      </c>
      <c r="Q902">
        <v>5</v>
      </c>
      <c r="R902" s="107" t="str">
        <f>IF(AllData[[#This Row],[Nitrate (PPM)]]&gt;2, "Very high", IF(AllData[[#This Row],[Nitrate (PPM)]]&gt;1, "High", IF(AllData[[#This Row],[Nitrate (PPM)]]&gt;0.5, "Some evidence", IF(AllData[[#This Row],[Nitrate (PPM)]]&gt;=0, "No evidence"))))</f>
        <v>Very high</v>
      </c>
      <c r="S902">
        <v>0.62</v>
      </c>
      <c r="T902" s="7" t="str">
        <f>IF(AllData[[#This Row],[Phosphate (PPM)]]&gt;0.5, "Very high", IF(AllData[[#This Row],[Phosphate (PPM)]]&gt;0.1, "High", IF(AllData[[#This Row],[Phosphate (PPM)]]&gt;0.05, "Some evidence", IF(AllData[[#This Row],[Phosphate (PPM)]]&lt;=0.05, "No Evidence", ""))))</f>
        <v>Very high</v>
      </c>
      <c r="U902">
        <v>1</v>
      </c>
    </row>
    <row r="903" spans="1:22" x14ac:dyDescent="0.35">
      <c r="A903" t="s">
        <v>2161</v>
      </c>
      <c r="B903" s="143">
        <v>45566</v>
      </c>
      <c r="C903" s="2" t="str" cm="1">
        <f t="array" ref="C9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3">
        <f>YEAR(AllData[[#This Row],[Date]])</f>
        <v>2024</v>
      </c>
      <c r="E903" s="1">
        <v>0.4465277777777778</v>
      </c>
      <c r="F903" t="str">
        <f>IF(AND(AllData[[#This Row],[Time]]&lt;0.5, AllData[[#This Row],[Time]]&gt;0.17)=TRUE, "Morning", IF(AND(AllData[[#This Row],[Time]]&lt;0.75, AllData[[#This Row],[Time]]&gt;=0.5)=TRUE, "Afternoon", IF(AND(AllData[[#This Row],[Time]]&lt;1, AllData[[#This Row],[Time]]&gt;=0.75)=TRUE, "Evening", "Night")))</f>
        <v>Morning</v>
      </c>
      <c r="G903" t="str">
        <f>_xlfn.XLOOKUP(AllData[[#This Row],[Location Name]], Locations[Location Name],Locations[Group As])</f>
        <v>Carrant Mitton Path</v>
      </c>
      <c r="H903" t="e" vm="4">
        <f>_xlfn.XLOOKUP(AllData[[#This Row],[Site Name]],LocationsKey[Site Name],LocationsKey[District])</f>
        <v>#VALUE!</v>
      </c>
      <c r="I903" t="e" vm="4">
        <f>_xlfn.XLOOKUP(AllData[[#This Row],[Site Name]],LocationsKey[Site Name],LocationsKey[Town])</f>
        <v>#VALUE!</v>
      </c>
      <c r="J903" t="str">
        <f>_xlfn.XLOOKUP(AllData[[#This Row],[Site Name]],LocationsKey[Site Name], LocationsKey[Waterway])</f>
        <v>Carrant</v>
      </c>
      <c r="K903" t="s">
        <v>1064</v>
      </c>
      <c r="L903">
        <v>51.999626999999997</v>
      </c>
      <c r="M903">
        <v>-2.141289</v>
      </c>
      <c r="N903" t="s">
        <v>25</v>
      </c>
      <c r="O903">
        <v>653</v>
      </c>
      <c r="P903">
        <v>13.6</v>
      </c>
      <c r="Q903">
        <v>4</v>
      </c>
      <c r="R903" s="107" t="str">
        <f>IF(AllData[[#This Row],[Nitrate (PPM)]]&gt;2, "Very high", IF(AllData[[#This Row],[Nitrate (PPM)]]&gt;1, "High", IF(AllData[[#This Row],[Nitrate (PPM)]]&gt;0.5, "Some evidence", IF(AllData[[#This Row],[Nitrate (PPM)]]&gt;=0, "No evidence"))))</f>
        <v>Very high</v>
      </c>
      <c r="S903">
        <v>0.42</v>
      </c>
      <c r="T903" s="107" t="str">
        <f>IF(AllData[[#This Row],[Phosphate (PPM)]]&gt;0.5, "Very high", IF(AllData[[#This Row],[Phosphate (PPM)]]&gt;0.1, "High", IF(AllData[[#This Row],[Phosphate (PPM)]]&gt;0.05, "Some evidence", IF(AllData[[#This Row],[Phosphate (PPM)]]&lt;=0.05, "No Evidence", ""))))</f>
        <v>High</v>
      </c>
      <c r="U903">
        <v>1.5</v>
      </c>
    </row>
    <row r="904" spans="1:22" x14ac:dyDescent="0.35">
      <c r="A904" t="s">
        <v>2147</v>
      </c>
      <c r="B904" s="143">
        <v>45565</v>
      </c>
      <c r="C904" s="2" t="str" cm="1">
        <f t="array" ref="C9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4">
        <f>YEAR(AllData[[#This Row],[Date]])</f>
        <v>2024</v>
      </c>
      <c r="E904" s="1">
        <v>0.58333333333333337</v>
      </c>
      <c r="F904" t="str">
        <f>IF(AND(AllData[[#This Row],[Time]]&lt;0.5, AllData[[#This Row],[Time]]&gt;0.17)=TRUE, "Morning", IF(AND(AllData[[#This Row],[Time]]&lt;0.75, AllData[[#This Row],[Time]]&gt;=0.5)=TRUE, "Afternoon", IF(AND(AllData[[#This Row],[Time]]&lt;1, AllData[[#This Row],[Time]]&gt;=0.75)=TRUE, "Evening", "Night")))</f>
        <v>Afternoon</v>
      </c>
      <c r="G904" t="str">
        <f>_xlfn.XLOOKUP(AllData[[#This Row],[Location Name]], Locations[Location Name],Locations[Group As])</f>
        <v>Clifford Chambers Mill Bridge</v>
      </c>
      <c r="H904" t="e" vm="1">
        <f>_xlfn.XLOOKUP(AllData[[#This Row],[Site Name]],LocationsKey[Site Name],LocationsKey[District])</f>
        <v>#VALUE!</v>
      </c>
      <c r="I904" t="e" vm="22">
        <f>_xlfn.XLOOKUP(AllData[[#This Row],[Site Name]],LocationsKey[Site Name],LocationsKey[Town])</f>
        <v>#VALUE!</v>
      </c>
      <c r="J904" t="str">
        <f>_xlfn.XLOOKUP(AllData[[#This Row],[Site Name]],LocationsKey[Site Name], LocationsKey[Waterway])</f>
        <v>Stour</v>
      </c>
      <c r="K904" t="s">
        <v>266</v>
      </c>
      <c r="L904">
        <v>52.166370000000001</v>
      </c>
      <c r="M904">
        <v>-1.708032</v>
      </c>
      <c r="N904" t="s">
        <v>68</v>
      </c>
      <c r="O904">
        <v>545</v>
      </c>
      <c r="P904">
        <v>13.4</v>
      </c>
      <c r="Q904">
        <v>8</v>
      </c>
      <c r="R904" s="107" t="str">
        <f>IF(AllData[[#This Row],[Nitrate (PPM)]]&gt;2, "Very high", IF(AllData[[#This Row],[Nitrate (PPM)]]&gt;1, "High", IF(AllData[[#This Row],[Nitrate (PPM)]]&gt;0.5, "Some evidence", IF(AllData[[#This Row],[Nitrate (PPM)]]&gt;=0, "No evidence"))))</f>
        <v>Very high</v>
      </c>
      <c r="S904">
        <v>0.36</v>
      </c>
      <c r="T904" s="107" t="str">
        <f>IF(AllData[[#This Row],[Phosphate (PPM)]]&gt;0.5, "Very high", IF(AllData[[#This Row],[Phosphate (PPM)]]&gt;0.1, "High", IF(AllData[[#This Row],[Phosphate (PPM)]]&gt;0.05, "Some evidence", IF(AllData[[#This Row],[Phosphate (PPM)]]&lt;=0.05, "No Evidence", ""))))</f>
        <v>High</v>
      </c>
      <c r="U904">
        <v>1.3</v>
      </c>
    </row>
    <row r="905" spans="1:22" x14ac:dyDescent="0.35">
      <c r="A905" t="s">
        <v>2148</v>
      </c>
      <c r="B905" s="143">
        <v>45565</v>
      </c>
      <c r="C905" s="2" t="str" cm="1">
        <f t="array" ref="C9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5">
        <f>YEAR(AllData[[#This Row],[Date]])</f>
        <v>2024</v>
      </c>
      <c r="E905" s="1">
        <v>0.53472222222222221</v>
      </c>
      <c r="F905" t="str">
        <f>IF(AND(AllData[[#This Row],[Time]]&lt;0.5, AllData[[#This Row],[Time]]&gt;0.17)=TRUE, "Morning", IF(AND(AllData[[#This Row],[Time]]&lt;0.75, AllData[[#This Row],[Time]]&gt;=0.5)=TRUE, "Afternoon", IF(AND(AllData[[#This Row],[Time]]&lt;1, AllData[[#This Row],[Time]]&gt;=0.75)=TRUE, "Evening", "Night")))</f>
        <v>Afternoon</v>
      </c>
      <c r="G905" t="str">
        <f>_xlfn.XLOOKUP(AllData[[#This Row],[Location Name]], Locations[Location Name],Locations[Group As])</f>
        <v>The Ford, Langley</v>
      </c>
      <c r="H905" t="e" vm="1">
        <f>_xlfn.XLOOKUP(AllData[[#This Row],[Site Name]],LocationsKey[Site Name],LocationsKey[District])</f>
        <v>#VALUE!</v>
      </c>
      <c r="I905" t="str">
        <f>_xlfn.XLOOKUP(AllData[[#This Row],[Site Name]],LocationsKey[Site Name],LocationsKey[Town])</f>
        <v>Langley</v>
      </c>
      <c r="J905" t="str">
        <f>_xlfn.XLOOKUP(AllData[[#This Row],[Site Name]],LocationsKey[Site Name], LocationsKey[Waterway])</f>
        <v>Langley Ford</v>
      </c>
      <c r="K905" t="s">
        <v>561</v>
      </c>
      <c r="L905">
        <v>52.259903999999999</v>
      </c>
      <c r="M905">
        <v>-1.7185010000000001</v>
      </c>
      <c r="N905" t="s">
        <v>31</v>
      </c>
      <c r="O905">
        <v>753</v>
      </c>
      <c r="P905">
        <v>15.9</v>
      </c>
      <c r="Q905">
        <v>5</v>
      </c>
      <c r="R905" s="107" t="str">
        <f>IF(AllData[[#This Row],[Nitrate (PPM)]]&gt;2, "Very high", IF(AllData[[#This Row],[Nitrate (PPM)]]&gt;1, "High", IF(AllData[[#This Row],[Nitrate (PPM)]]&gt;0.5, "Some evidence", IF(AllData[[#This Row],[Nitrate (PPM)]]&gt;=0, "No evidence"))))</f>
        <v>Very high</v>
      </c>
      <c r="S905">
        <v>0.56000000000000005</v>
      </c>
      <c r="T905" s="7" t="str">
        <f>IF(AllData[[#This Row],[Phosphate (PPM)]]&gt;0.5, "Very high", IF(AllData[[#This Row],[Phosphate (PPM)]]&gt;0.1, "High", IF(AllData[[#This Row],[Phosphate (PPM)]]&gt;0.05, "Some evidence", IF(AllData[[#This Row],[Phosphate (PPM)]]&lt;=0.05, "No Evidence", ""))))</f>
        <v>Very high</v>
      </c>
      <c r="U905">
        <v>0.18</v>
      </c>
      <c r="V905" t="s">
        <v>2149</v>
      </c>
    </row>
    <row r="906" spans="1:22" x14ac:dyDescent="0.35">
      <c r="A906" t="s">
        <v>2150</v>
      </c>
      <c r="B906" s="143">
        <v>45565</v>
      </c>
      <c r="C906" s="2" t="str" cm="1">
        <f t="array" ref="C9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6">
        <f>YEAR(AllData[[#This Row],[Date]])</f>
        <v>2024</v>
      </c>
      <c r="E906" s="1">
        <v>0.32291666666666669</v>
      </c>
      <c r="F906" t="str">
        <f>IF(AND(AllData[[#This Row],[Time]]&lt;0.5, AllData[[#This Row],[Time]]&gt;0.17)=TRUE, "Morning", IF(AND(AllData[[#This Row],[Time]]&lt;0.75, AllData[[#This Row],[Time]]&gt;=0.5)=TRUE, "Afternoon", IF(AND(AllData[[#This Row],[Time]]&lt;1, AllData[[#This Row],[Time]]&gt;=0.75)=TRUE, "Evening", "Night")))</f>
        <v>Morning</v>
      </c>
      <c r="G906" t="str">
        <f>_xlfn.XLOOKUP(AllData[[#This Row],[Location Name]], Locations[Location Name],Locations[Group As])</f>
        <v>Chipping Campden Lady J Gateway</v>
      </c>
      <c r="H906" t="e" vm="9">
        <f>_xlfn.XLOOKUP(AllData[[#This Row],[Site Name]],LocationsKey[Site Name],LocationsKey[District])</f>
        <v>#VALUE!</v>
      </c>
      <c r="I906" t="e" vm="10">
        <f>_xlfn.XLOOKUP(AllData[[#This Row],[Site Name]],LocationsKey[Site Name],LocationsKey[Town])</f>
        <v>#VALUE!</v>
      </c>
      <c r="J906" t="str">
        <f>_xlfn.XLOOKUP(AllData[[#This Row],[Site Name]],LocationsKey[Site Name], LocationsKey[Waterway])</f>
        <v>Cam Brook</v>
      </c>
      <c r="K906" t="s">
        <v>1573</v>
      </c>
      <c r="N906" t="s">
        <v>68</v>
      </c>
      <c r="O906">
        <v>452</v>
      </c>
      <c r="P906">
        <v>12.2</v>
      </c>
      <c r="Q906">
        <v>5</v>
      </c>
      <c r="R906" s="107" t="str">
        <f>IF(AllData[[#This Row],[Nitrate (PPM)]]&gt;2, "Very high", IF(AllData[[#This Row],[Nitrate (PPM)]]&gt;1, "High", IF(AllData[[#This Row],[Nitrate (PPM)]]&gt;0.5, "Some evidence", IF(AllData[[#This Row],[Nitrate (PPM)]]&gt;=0, "No evidence"))))</f>
        <v>Very high</v>
      </c>
      <c r="S906">
        <v>0.13</v>
      </c>
      <c r="T906" s="7" t="str">
        <f>IF(AllData[[#This Row],[Phosphate (PPM)]]&gt;0.5, "Very high", IF(AllData[[#This Row],[Phosphate (PPM)]]&gt;0.1, "High", IF(AllData[[#This Row],[Phosphate (PPM)]]&gt;0.05, "Some evidence", IF(AllData[[#This Row],[Phosphate (PPM)]]&lt;=0.05, "No Evidence", ""))))</f>
        <v>High</v>
      </c>
      <c r="U906">
        <v>0.47</v>
      </c>
    </row>
    <row r="907" spans="1:22" x14ac:dyDescent="0.35">
      <c r="A907" t="s">
        <v>2153</v>
      </c>
      <c r="B907" s="143">
        <v>45565</v>
      </c>
      <c r="C907" s="2" t="str" cm="1">
        <f t="array" ref="C9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7">
        <f>YEAR(AllData[[#This Row],[Date]])</f>
        <v>2024</v>
      </c>
      <c r="E907" s="1">
        <v>0.34375</v>
      </c>
      <c r="F907" t="str">
        <f>IF(AND(AllData[[#This Row],[Time]]&lt;0.5, AllData[[#This Row],[Time]]&gt;0.17)=TRUE, "Morning", IF(AND(AllData[[#This Row],[Time]]&lt;0.75, AllData[[#This Row],[Time]]&gt;=0.5)=TRUE, "Afternoon", IF(AND(AllData[[#This Row],[Time]]&lt;1, AllData[[#This Row],[Time]]&gt;=0.75)=TRUE, "Evening", "Night")))</f>
        <v>Morning</v>
      </c>
      <c r="G907" t="str">
        <f>_xlfn.XLOOKUP(AllData[[#This Row],[Location Name]], Locations[Location Name],Locations[Group As])</f>
        <v>Chipping Campden Craves</v>
      </c>
      <c r="H907" t="e" vm="9">
        <f>_xlfn.XLOOKUP(AllData[[#This Row],[Site Name]],LocationsKey[Site Name],LocationsKey[District])</f>
        <v>#VALUE!</v>
      </c>
      <c r="I907" t="e" vm="10">
        <f>_xlfn.XLOOKUP(AllData[[#This Row],[Site Name]],LocationsKey[Site Name],LocationsKey[Town])</f>
        <v>#VALUE!</v>
      </c>
      <c r="J907" t="str">
        <f>_xlfn.XLOOKUP(AllData[[#This Row],[Site Name]],LocationsKey[Site Name], LocationsKey[Waterway])</f>
        <v>Cam Brook</v>
      </c>
      <c r="K907" t="s">
        <v>2154</v>
      </c>
      <c r="L907">
        <v>52.048676</v>
      </c>
      <c r="M907">
        <v>-1.786324</v>
      </c>
      <c r="N907" t="s">
        <v>68</v>
      </c>
      <c r="O907">
        <v>435</v>
      </c>
      <c r="P907">
        <v>12.3</v>
      </c>
      <c r="Q907">
        <v>5</v>
      </c>
      <c r="R907" s="107" t="str">
        <f>IF(AllData[[#This Row],[Nitrate (PPM)]]&gt;2, "Very high", IF(AllData[[#This Row],[Nitrate (PPM)]]&gt;1, "High", IF(AllData[[#This Row],[Nitrate (PPM)]]&gt;0.5, "Some evidence", IF(AllData[[#This Row],[Nitrate (PPM)]]&gt;=0, "No evidence"))))</f>
        <v>Very high</v>
      </c>
      <c r="S907">
        <v>0.14000000000000001</v>
      </c>
      <c r="T907" s="7" t="str">
        <f>IF(AllData[[#This Row],[Phosphate (PPM)]]&gt;0.5, "Very high", IF(AllData[[#This Row],[Phosphate (PPM)]]&gt;0.1, "High", IF(AllData[[#This Row],[Phosphate (PPM)]]&gt;0.05, "Some evidence", IF(AllData[[#This Row],[Phosphate (PPM)]]&lt;=0.05, "No Evidence", ""))))</f>
        <v>High</v>
      </c>
      <c r="U907">
        <v>52</v>
      </c>
    </row>
    <row r="908" spans="1:22" x14ac:dyDescent="0.35">
      <c r="A908" t="s">
        <v>2151</v>
      </c>
      <c r="B908" s="143">
        <v>45565</v>
      </c>
      <c r="C908" s="2" t="str" cm="1">
        <f t="array" ref="C9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8">
        <f>YEAR(AllData[[#This Row],[Date]])</f>
        <v>2024</v>
      </c>
      <c r="E908" s="1">
        <v>0.34722222222222221</v>
      </c>
      <c r="F908" t="str">
        <f>IF(AND(AllData[[#This Row],[Time]]&lt;0.5, AllData[[#This Row],[Time]]&gt;0.17)=TRUE, "Morning", IF(AND(AllData[[#This Row],[Time]]&lt;0.75, AllData[[#This Row],[Time]]&gt;=0.5)=TRUE, "Afternoon", IF(AND(AllData[[#This Row],[Time]]&lt;1, AllData[[#This Row],[Time]]&gt;=0.75)=TRUE, "Evening", "Night")))</f>
        <v>Morning</v>
      </c>
      <c r="G908" t="str">
        <f>_xlfn.XLOOKUP(AllData[[#This Row],[Location Name]], Locations[Location Name],Locations[Group As])</f>
        <v>Chipping Campden Sewage Works</v>
      </c>
      <c r="H908" t="e" vm="9">
        <f>_xlfn.XLOOKUP(AllData[[#This Row],[Site Name]],LocationsKey[Site Name],LocationsKey[District])</f>
        <v>#VALUE!</v>
      </c>
      <c r="I908" t="e" vm="10">
        <f>_xlfn.XLOOKUP(AllData[[#This Row],[Site Name]],LocationsKey[Site Name],LocationsKey[Town])</f>
        <v>#VALUE!</v>
      </c>
      <c r="J908" t="str">
        <f>_xlfn.XLOOKUP(AllData[[#This Row],[Site Name]],LocationsKey[Site Name], LocationsKey[Waterway])</f>
        <v>Cam Brook</v>
      </c>
      <c r="K908" t="s">
        <v>1570</v>
      </c>
      <c r="N908" t="s">
        <v>31</v>
      </c>
      <c r="O908">
        <v>493</v>
      </c>
      <c r="P908">
        <v>12.7</v>
      </c>
      <c r="Q908">
        <v>2</v>
      </c>
      <c r="R908" s="107" t="str">
        <f>IF(AllData[[#This Row],[Nitrate (PPM)]]&gt;2, "Very high", IF(AllData[[#This Row],[Nitrate (PPM)]]&gt;1, "High", IF(AllData[[#This Row],[Nitrate (PPM)]]&gt;0.5, "Some evidence", IF(AllData[[#This Row],[Nitrate (PPM)]]&gt;=0, "No evidence"))))</f>
        <v>High</v>
      </c>
      <c r="S908">
        <v>0.64</v>
      </c>
      <c r="T908" s="7" t="str">
        <f>IF(AllData[[#This Row],[Phosphate (PPM)]]&gt;0.5, "Very high", IF(AllData[[#This Row],[Phosphate (PPM)]]&gt;0.1, "High", IF(AllData[[#This Row],[Phosphate (PPM)]]&gt;0.05, "Some evidence", IF(AllData[[#This Row],[Phosphate (PPM)]]&lt;=0.05, "No Evidence", ""))))</f>
        <v>Very high</v>
      </c>
      <c r="U908">
        <v>0.55000000000000004</v>
      </c>
      <c r="V908" t="s">
        <v>2152</v>
      </c>
    </row>
    <row r="909" spans="1:22" x14ac:dyDescent="0.35">
      <c r="A909" t="s">
        <v>2145</v>
      </c>
      <c r="B909" s="143">
        <v>45564</v>
      </c>
      <c r="C909" s="2" t="str" cm="1">
        <f t="array" ref="C9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09">
        <f>YEAR(AllData[[#This Row],[Date]])</f>
        <v>2024</v>
      </c>
      <c r="E909" s="1">
        <v>0.39861111111111114</v>
      </c>
      <c r="F909" t="str">
        <f>IF(AND(AllData[[#This Row],[Time]]&lt;0.5, AllData[[#This Row],[Time]]&gt;0.17)=TRUE, "Morning", IF(AND(AllData[[#This Row],[Time]]&lt;0.75, AllData[[#This Row],[Time]]&gt;=0.5)=TRUE, "Afternoon", IF(AND(AllData[[#This Row],[Time]]&lt;1, AllData[[#This Row],[Time]]&gt;=0.75)=TRUE, "Evening", "Night")))</f>
        <v>Morning</v>
      </c>
      <c r="G909" t="str">
        <f>_xlfn.XLOOKUP(AllData[[#This Row],[Location Name]], Locations[Location Name],Locations[Group As])</f>
        <v>Lower Lode</v>
      </c>
      <c r="H909" t="e" vm="4">
        <f>_xlfn.XLOOKUP(AllData[[#This Row],[Site Name]],LocationsKey[Site Name],LocationsKey[District])</f>
        <v>#VALUE!</v>
      </c>
      <c r="I909" t="e" vm="4">
        <f>_xlfn.XLOOKUP(AllData[[#This Row],[Site Name]],LocationsKey[Site Name],LocationsKey[Town])</f>
        <v>#VALUE!</v>
      </c>
      <c r="J909" t="str">
        <f>_xlfn.XLOOKUP(AllData[[#This Row],[Site Name]],LocationsKey[Site Name], LocationsKey[Waterway])</f>
        <v>Avon</v>
      </c>
      <c r="K909" t="s">
        <v>595</v>
      </c>
      <c r="L909">
        <v>51.985201000000004</v>
      </c>
      <c r="M909">
        <v>-2.1741009999999998</v>
      </c>
      <c r="N909" t="s">
        <v>31</v>
      </c>
      <c r="O909">
        <v>4650</v>
      </c>
      <c r="P909">
        <v>13.5</v>
      </c>
      <c r="Q909">
        <v>10</v>
      </c>
      <c r="R909" s="107" t="str">
        <f>IF(AllData[[#This Row],[Nitrate (PPM)]]&gt;2, "Very high", IF(AllData[[#This Row],[Nitrate (PPM)]]&gt;1, "High", IF(AllData[[#This Row],[Nitrate (PPM)]]&gt;0.5, "Some evidence", IF(AllData[[#This Row],[Nitrate (PPM)]]&gt;=0, "No evidence"))))</f>
        <v>Very high</v>
      </c>
      <c r="S909">
        <v>0.9</v>
      </c>
      <c r="T909" s="7" t="str">
        <f>IF(AllData[[#This Row],[Phosphate (PPM)]]&gt;0.5, "Very high", IF(AllData[[#This Row],[Phosphate (PPM)]]&gt;0.1, "High", IF(AllData[[#This Row],[Phosphate (PPM)]]&gt;0.05, "Some evidence", IF(AllData[[#This Row],[Phosphate (PPM)]]&lt;=0.05, "No Evidence", ""))))</f>
        <v>Very high</v>
      </c>
      <c r="U909">
        <v>4</v>
      </c>
    </row>
    <row r="910" spans="1:22" x14ac:dyDescent="0.35">
      <c r="A910" t="s">
        <v>2146</v>
      </c>
      <c r="B910" s="143">
        <v>45564</v>
      </c>
      <c r="C910" s="2" t="str" cm="1">
        <f t="array" ref="C9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0">
        <f>YEAR(AllData[[#This Row],[Date]])</f>
        <v>2024</v>
      </c>
      <c r="E910" s="1">
        <v>0.41666666666666669</v>
      </c>
      <c r="F910" t="str">
        <f>IF(AND(AllData[[#This Row],[Time]]&lt;0.5, AllData[[#This Row],[Time]]&gt;0.17)=TRUE, "Morning", IF(AND(AllData[[#This Row],[Time]]&lt;0.75, AllData[[#This Row],[Time]]&gt;=0.5)=TRUE, "Afternoon", IF(AND(AllData[[#This Row],[Time]]&lt;1, AllData[[#This Row],[Time]]&gt;=0.75)=TRUE, "Evening", "Night")))</f>
        <v>Morning</v>
      </c>
      <c r="G910" t="str">
        <f>_xlfn.XLOOKUP(AllData[[#This Row],[Location Name]], Locations[Location Name],Locations[Group As])</f>
        <v>Sherbourne Brook 1</v>
      </c>
      <c r="H910" t="e" vm="1">
        <f>_xlfn.XLOOKUP(AllData[[#This Row],[Site Name]],LocationsKey[Site Name],LocationsKey[District])</f>
        <v>#VALUE!</v>
      </c>
      <c r="I910" t="e" vm="23">
        <f>_xlfn.XLOOKUP(AllData[[#This Row],[Site Name]],LocationsKey[Site Name],LocationsKey[Town])</f>
        <v>#VALUE!</v>
      </c>
      <c r="J910" t="str">
        <f>_xlfn.XLOOKUP(AllData[[#This Row],[Site Name]],LocationsKey[Site Name], LocationsKey[Waterway])</f>
        <v>Sherbourne Brook</v>
      </c>
      <c r="K910" t="s">
        <v>541</v>
      </c>
      <c r="O910">
        <v>1050</v>
      </c>
      <c r="P910">
        <v>11.9</v>
      </c>
      <c r="Q910">
        <v>10</v>
      </c>
      <c r="R910" s="107" t="str">
        <f>IF(AllData[[#This Row],[Nitrate (PPM)]]&gt;2, "Very high", IF(AllData[[#This Row],[Nitrate (PPM)]]&gt;1, "High", IF(AllData[[#This Row],[Nitrate (PPM)]]&gt;0.5, "Some evidence", IF(AllData[[#This Row],[Nitrate (PPM)]]&gt;=0, "No evidence"))))</f>
        <v>Very high</v>
      </c>
      <c r="S910">
        <v>0.3</v>
      </c>
      <c r="T910" s="7" t="str">
        <f>IF(AllData[[#This Row],[Phosphate (PPM)]]&gt;0.5, "Very high", IF(AllData[[#This Row],[Phosphate (PPM)]]&gt;0.1, "High", IF(AllData[[#This Row],[Phosphate (PPM)]]&gt;0.05, "Some evidence", IF(AllData[[#This Row],[Phosphate (PPM)]]&lt;=0.05, "No Evidence", ""))))</f>
        <v>High</v>
      </c>
      <c r="U910">
        <v>0.15</v>
      </c>
    </row>
    <row r="911" spans="1:22" x14ac:dyDescent="0.35">
      <c r="A911" t="s">
        <v>2142</v>
      </c>
      <c r="B911" s="143">
        <v>45564</v>
      </c>
      <c r="C911" s="2" t="str" cm="1">
        <f t="array" ref="C9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1">
        <f>YEAR(AllData[[#This Row],[Date]])</f>
        <v>2024</v>
      </c>
      <c r="E911" s="1">
        <v>0.42708333333333331</v>
      </c>
      <c r="F911" t="str">
        <f>IF(AND(AllData[[#This Row],[Time]]&lt;0.5, AllData[[#This Row],[Time]]&gt;0.17)=TRUE, "Morning", IF(AND(AllData[[#This Row],[Time]]&lt;0.75, AllData[[#This Row],[Time]]&gt;=0.5)=TRUE, "Afternoon", IF(AND(AllData[[#This Row],[Time]]&lt;1, AllData[[#This Row],[Time]]&gt;=0.75)=TRUE, "Evening", "Night")))</f>
        <v>Morning</v>
      </c>
      <c r="G911" t="str">
        <f>_xlfn.XLOOKUP(AllData[[#This Row],[Location Name]], Locations[Location Name],Locations[Group As])</f>
        <v>Bell Brook 1</v>
      </c>
      <c r="H911" t="e" vm="1">
        <f>_xlfn.XLOOKUP(AllData[[#This Row],[Site Name]],LocationsKey[Site Name],LocationsKey[District])</f>
        <v>#VALUE!</v>
      </c>
      <c r="I911" t="e" vm="19">
        <f>_xlfn.XLOOKUP(AllData[[#This Row],[Site Name]],LocationsKey[Site Name],LocationsKey[Town])</f>
        <v>#VALUE!</v>
      </c>
      <c r="J911" t="str">
        <f>_xlfn.XLOOKUP(AllData[[#This Row],[Site Name]],LocationsKey[Site Name], LocationsKey[Waterway])</f>
        <v>Bell Brook</v>
      </c>
      <c r="K911" t="s">
        <v>538</v>
      </c>
      <c r="O911">
        <v>670</v>
      </c>
      <c r="P911">
        <v>11.7</v>
      </c>
      <c r="Q911">
        <v>10</v>
      </c>
      <c r="R911" s="107" t="str">
        <f>IF(AllData[[#This Row],[Nitrate (PPM)]]&gt;2, "Very high", IF(AllData[[#This Row],[Nitrate (PPM)]]&gt;1, "High", IF(AllData[[#This Row],[Nitrate (PPM)]]&gt;0.5, "Some evidence", IF(AllData[[#This Row],[Nitrate (PPM)]]&gt;=0, "No evidence"))))</f>
        <v>Very high</v>
      </c>
      <c r="S911">
        <v>0.7</v>
      </c>
      <c r="T911" s="7" t="str">
        <f>IF(AllData[[#This Row],[Phosphate (PPM)]]&gt;0.5, "Very high", IF(AllData[[#This Row],[Phosphate (PPM)]]&gt;0.1, "High", IF(AllData[[#This Row],[Phosphate (PPM)]]&gt;0.05, "Some evidence", IF(AllData[[#This Row],[Phosphate (PPM)]]&lt;=0.05, "No Evidence", ""))))</f>
        <v>Very high</v>
      </c>
      <c r="U911">
        <v>0.1</v>
      </c>
    </row>
    <row r="912" spans="1:22" x14ac:dyDescent="0.35">
      <c r="A912" t="s">
        <v>2143</v>
      </c>
      <c r="B912" s="143">
        <v>45564</v>
      </c>
      <c r="C912" s="2" t="str" cm="1">
        <f t="array" ref="C9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2">
        <f>YEAR(AllData[[#This Row],[Date]])</f>
        <v>2024</v>
      </c>
      <c r="E912" s="1">
        <v>0.625</v>
      </c>
      <c r="F912" t="str">
        <f>IF(AND(AllData[[#This Row],[Time]]&lt;0.5, AllData[[#This Row],[Time]]&gt;0.17)=TRUE, "Morning", IF(AND(AllData[[#This Row],[Time]]&lt;0.75, AllData[[#This Row],[Time]]&gt;=0.5)=TRUE, "Afternoon", IF(AND(AllData[[#This Row],[Time]]&lt;1, AllData[[#This Row],[Time]]&gt;=0.75)=TRUE, "Evening", "Night")))</f>
        <v>Afternoon</v>
      </c>
      <c r="G912" t="str">
        <f>_xlfn.XLOOKUP(AllData[[#This Row],[Location Name]], Locations[Location Name],Locations[Group As])</f>
        <v>Stour Newbold Mill</v>
      </c>
      <c r="H912" t="e" vm="1">
        <f>_xlfn.XLOOKUP(AllData[[#This Row],[Site Name]],LocationsKey[Site Name],LocationsKey[District])</f>
        <v>#VALUE!</v>
      </c>
      <c r="I912" t="e" vm="27">
        <f>_xlfn.XLOOKUP(AllData[[#This Row],[Site Name]],LocationsKey[Site Name],LocationsKey[Town])</f>
        <v>#VALUE!</v>
      </c>
      <c r="J912" t="str">
        <f>_xlfn.XLOOKUP(AllData[[#This Row],[Site Name]],LocationsKey[Site Name], LocationsKey[Waterway])</f>
        <v>Stour</v>
      </c>
      <c r="K912" t="s">
        <v>141</v>
      </c>
      <c r="N912" t="s">
        <v>68</v>
      </c>
      <c r="O912">
        <v>647</v>
      </c>
      <c r="P912">
        <v>14.2</v>
      </c>
      <c r="Q912">
        <v>5</v>
      </c>
      <c r="R912" s="107" t="str">
        <f>IF(AllData[[#This Row],[Nitrate (PPM)]]&gt;2, "Very high", IF(AllData[[#This Row],[Nitrate (PPM)]]&gt;1, "High", IF(AllData[[#This Row],[Nitrate (PPM)]]&gt;0.5, "Some evidence", IF(AllData[[#This Row],[Nitrate (PPM)]]&gt;=0, "No evidence"))))</f>
        <v>Very high</v>
      </c>
      <c r="S912">
        <v>1.25</v>
      </c>
      <c r="T912" s="7" t="str">
        <f>IF(AllData[[#This Row],[Phosphate (PPM)]]&gt;0.5, "Very high", IF(AllData[[#This Row],[Phosphate (PPM)]]&gt;0.1, "High", IF(AllData[[#This Row],[Phosphate (PPM)]]&gt;0.05, "Some evidence", IF(AllData[[#This Row],[Phosphate (PPM)]]&lt;=0.05, "No Evidence", ""))))</f>
        <v>Very high</v>
      </c>
      <c r="U912">
        <v>2.5</v>
      </c>
      <c r="V912" t="s">
        <v>2144</v>
      </c>
    </row>
    <row r="913" spans="1:22" x14ac:dyDescent="0.35">
      <c r="A913" t="s">
        <v>2139</v>
      </c>
      <c r="B913" s="143">
        <v>45563</v>
      </c>
      <c r="C913" s="2" t="str" cm="1">
        <f t="array" ref="C9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3">
        <f>YEAR(AllData[[#This Row],[Date]])</f>
        <v>2024</v>
      </c>
      <c r="E913" s="1">
        <v>0.46875</v>
      </c>
      <c r="F913" t="str">
        <f>IF(AND(AllData[[#This Row],[Time]]&lt;0.5, AllData[[#This Row],[Time]]&gt;0.17)=TRUE, "Morning", IF(AND(AllData[[#This Row],[Time]]&lt;0.75, AllData[[#This Row],[Time]]&gt;=0.5)=TRUE, "Afternoon", IF(AND(AllData[[#This Row],[Time]]&lt;1, AllData[[#This Row],[Time]]&gt;=0.75)=TRUE, "Evening", "Night")))</f>
        <v>Morning</v>
      </c>
      <c r="G913" t="str">
        <f>_xlfn.XLOOKUP(AllData[[#This Row],[Location Name]], Locations[Location Name],Locations[Group As])</f>
        <v>Site 3  :  Severn Trent Water processing plant outflow</v>
      </c>
      <c r="H913" t="e" vm="1">
        <f>_xlfn.XLOOKUP(AllData[[#This Row],[Site Name]],LocationsKey[Site Name],LocationsKey[District])</f>
        <v>#VALUE!</v>
      </c>
      <c r="I913" t="e" vm="14">
        <f>_xlfn.XLOOKUP(AllData[[#This Row],[Site Name]],LocationsKey[Site Name],LocationsKey[Town])</f>
        <v>#VALUE!</v>
      </c>
      <c r="J913" t="str">
        <f>_xlfn.XLOOKUP(AllData[[#This Row],[Site Name]],LocationsKey[Site Name], LocationsKey[Waterway])</f>
        <v>Fosseway Brook</v>
      </c>
      <c r="K913" t="s">
        <v>2140</v>
      </c>
      <c r="L913">
        <v>52.094423999999997</v>
      </c>
      <c r="M913">
        <v>-1.6759090000000001</v>
      </c>
      <c r="N913" t="s">
        <v>31</v>
      </c>
      <c r="O913">
        <v>654</v>
      </c>
      <c r="P913">
        <v>12.2</v>
      </c>
      <c r="Q913">
        <v>10</v>
      </c>
      <c r="R913" s="107" t="str">
        <f>IF(AllData[[#This Row],[Nitrate (PPM)]]&gt;2, "Very high", IF(AllData[[#This Row],[Nitrate (PPM)]]&gt;1, "High", IF(AllData[[#This Row],[Nitrate (PPM)]]&gt;0.5, "Some evidence", IF(AllData[[#This Row],[Nitrate (PPM)]]&gt;=0, "No evidence"))))</f>
        <v>Very high</v>
      </c>
      <c r="S913">
        <v>0.64</v>
      </c>
      <c r="T913" s="7" t="str">
        <f>IF(AllData[[#This Row],[Phosphate (PPM)]]&gt;0.5, "Very high", IF(AllData[[#This Row],[Phosphate (PPM)]]&gt;0.1, "High", IF(AllData[[#This Row],[Phosphate (PPM)]]&gt;0.05, "Some evidence", IF(AllData[[#This Row],[Phosphate (PPM)]]&lt;=0.05, "No Evidence", ""))))</f>
        <v>Very high</v>
      </c>
      <c r="U913">
        <v>0.45</v>
      </c>
      <c r="V913" t="s">
        <v>2141</v>
      </c>
    </row>
    <row r="914" spans="1:22" x14ac:dyDescent="0.35">
      <c r="A914" t="s">
        <v>2125</v>
      </c>
      <c r="B914" s="143">
        <v>45563</v>
      </c>
      <c r="C914" s="2" t="str" cm="1">
        <f t="array" ref="C9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4">
        <f>YEAR(AllData[[#This Row],[Date]])</f>
        <v>2024</v>
      </c>
      <c r="E914" s="1">
        <v>0.46180555555555558</v>
      </c>
      <c r="F914" t="str">
        <f>IF(AND(AllData[[#This Row],[Time]]&lt;0.5, AllData[[#This Row],[Time]]&gt;0.17)=TRUE, "Morning", IF(AND(AllData[[#This Row],[Time]]&lt;0.75, AllData[[#This Row],[Time]]&gt;=0.5)=TRUE, "Afternoon", IF(AND(AllData[[#This Row],[Time]]&lt;1, AllData[[#This Row],[Time]]&gt;=0.75)=TRUE, "Evening", "Night")))</f>
        <v>Morning</v>
      </c>
      <c r="G914" t="str">
        <f>_xlfn.XLOOKUP(AllData[[#This Row],[Location Name]], Locations[Location Name],Locations[Group As])</f>
        <v>Piddle Brook Wyre Piddle Bridge</v>
      </c>
      <c r="H914" t="e" vm="6">
        <f>_xlfn.XLOOKUP(AllData[[#This Row],[Site Name]],LocationsKey[Site Name],LocationsKey[District])</f>
        <v>#VALUE!</v>
      </c>
      <c r="I914" t="e" vm="13">
        <f>_xlfn.XLOOKUP(AllData[[#This Row],[Site Name]],LocationsKey[Site Name],LocationsKey[Town])</f>
        <v>#VALUE!</v>
      </c>
      <c r="J914" t="str">
        <f>_xlfn.XLOOKUP(AllData[[#This Row],[Site Name]],LocationsKey[Site Name], LocationsKey[Waterway])</f>
        <v>Piddle Brook</v>
      </c>
      <c r="K914" t="s">
        <v>787</v>
      </c>
      <c r="L914">
        <v>52.126404000000001</v>
      </c>
      <c r="M914">
        <v>-2.0565410000000002</v>
      </c>
      <c r="N914" t="s">
        <v>25</v>
      </c>
      <c r="O914">
        <v>665</v>
      </c>
      <c r="P914">
        <v>11.8</v>
      </c>
      <c r="Q914">
        <v>9</v>
      </c>
      <c r="R914" s="107" t="str">
        <f>IF(AllData[[#This Row],[Nitrate (PPM)]]&gt;2, "Very high", IF(AllData[[#This Row],[Nitrate (PPM)]]&gt;1, "High", IF(AllData[[#This Row],[Nitrate (PPM)]]&gt;0.5, "Some evidence", IF(AllData[[#This Row],[Nitrate (PPM)]]&gt;=0, "No evidence"))))</f>
        <v>Very high</v>
      </c>
      <c r="S914">
        <v>0.76</v>
      </c>
      <c r="T914" s="7" t="str">
        <f>IF(AllData[[#This Row],[Phosphate (PPM)]]&gt;0.5, "Very high", IF(AllData[[#This Row],[Phosphate (PPM)]]&gt;0.1, "High", IF(AllData[[#This Row],[Phosphate (PPM)]]&gt;0.05, "Some evidence", IF(AllData[[#This Row],[Phosphate (PPM)]]&lt;=0.05, "No Evidence", ""))))</f>
        <v>Very high</v>
      </c>
      <c r="U914">
        <v>1.06</v>
      </c>
      <c r="V914" t="s">
        <v>2126</v>
      </c>
    </row>
    <row r="915" spans="1:22" x14ac:dyDescent="0.35">
      <c r="A915" t="s">
        <v>2130</v>
      </c>
      <c r="B915" s="143">
        <v>45563</v>
      </c>
      <c r="C915" s="2" t="str" cm="1">
        <f t="array" ref="C9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5">
        <f>YEAR(AllData[[#This Row],[Date]])</f>
        <v>2024</v>
      </c>
      <c r="E915" s="1">
        <v>0.52083333333333337</v>
      </c>
      <c r="F915" t="str">
        <f>IF(AND(AllData[[#This Row],[Time]]&lt;0.5, AllData[[#This Row],[Time]]&gt;0.17)=TRUE, "Morning", IF(AND(AllData[[#This Row],[Time]]&lt;0.75, AllData[[#This Row],[Time]]&gt;=0.5)=TRUE, "Afternoon", IF(AND(AllData[[#This Row],[Time]]&lt;1, AllData[[#This Row],[Time]]&gt;=0.75)=TRUE, "Evening", "Night")))</f>
        <v>Afternoon</v>
      </c>
      <c r="G915" t="str">
        <f>_xlfn.XLOOKUP(AllData[[#This Row],[Location Name]], Locations[Location Name],Locations[Group As])</f>
        <v>Carrant Bredon Rd</v>
      </c>
      <c r="H915" t="e" vm="4">
        <f>_xlfn.XLOOKUP(AllData[[#This Row],[Site Name]],LocationsKey[Site Name],LocationsKey[District])</f>
        <v>#VALUE!</v>
      </c>
      <c r="I915" t="e" vm="4">
        <f>_xlfn.XLOOKUP(AllData[[#This Row],[Site Name]],LocationsKey[Site Name],LocationsKey[Town])</f>
        <v>#VALUE!</v>
      </c>
      <c r="J915" t="str">
        <f>_xlfn.XLOOKUP(AllData[[#This Row],[Site Name]],LocationsKey[Site Name], LocationsKey[Waterway])</f>
        <v>Carrant</v>
      </c>
      <c r="K915" t="s">
        <v>603</v>
      </c>
      <c r="L915">
        <v>51.996271999999998</v>
      </c>
      <c r="M915">
        <v>-2.1561710000000001</v>
      </c>
      <c r="N915" t="s">
        <v>25</v>
      </c>
      <c r="O915">
        <v>468</v>
      </c>
      <c r="P915">
        <v>13.6</v>
      </c>
      <c r="Q915">
        <v>6</v>
      </c>
      <c r="R915" s="107" t="str">
        <f>IF(AllData[[#This Row],[Nitrate (PPM)]]&gt;2, "Very high", IF(AllData[[#This Row],[Nitrate (PPM)]]&gt;1, "High", IF(AllData[[#This Row],[Nitrate (PPM)]]&gt;0.5, "Some evidence", IF(AllData[[#This Row],[Nitrate (PPM)]]&gt;=0, "No evidence"))))</f>
        <v>Very high</v>
      </c>
      <c r="S915">
        <v>0.56999999999999995</v>
      </c>
      <c r="T915" s="7" t="str">
        <f>IF(AllData[[#This Row],[Phosphate (PPM)]]&gt;0.5, "Very high", IF(AllData[[#This Row],[Phosphate (PPM)]]&gt;0.1, "High", IF(AllData[[#This Row],[Phosphate (PPM)]]&gt;0.05, "Some evidence", IF(AllData[[#This Row],[Phosphate (PPM)]]&lt;=0.05, "No Evidence", ""))))</f>
        <v>Very high</v>
      </c>
      <c r="U915">
        <v>1.3</v>
      </c>
      <c r="V915" t="s">
        <v>2131</v>
      </c>
    </row>
    <row r="916" spans="1:22" x14ac:dyDescent="0.35">
      <c r="A916" t="s">
        <v>2132</v>
      </c>
      <c r="B916" s="143">
        <v>45563</v>
      </c>
      <c r="C916" s="2" t="str" cm="1">
        <f t="array" ref="C9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6">
        <f>YEAR(AllData[[#This Row],[Date]])</f>
        <v>2024</v>
      </c>
      <c r="E916" s="1">
        <v>0.66666666666666663</v>
      </c>
      <c r="F916" t="str">
        <f>IF(AND(AllData[[#This Row],[Time]]&lt;0.5, AllData[[#This Row],[Time]]&gt;0.17)=TRUE, "Morning", IF(AND(AllData[[#This Row],[Time]]&lt;0.75, AllData[[#This Row],[Time]]&gt;=0.5)=TRUE, "Afternoon", IF(AND(AllData[[#This Row],[Time]]&lt;1, AllData[[#This Row],[Time]]&gt;=0.75)=TRUE, "Evening", "Night")))</f>
        <v>Afternoon</v>
      </c>
      <c r="G916" t="str">
        <f>_xlfn.XLOOKUP(AllData[[#This Row],[Location Name]], Locations[Location Name],Locations[Group As])</f>
        <v>Fell Mill Footbridge</v>
      </c>
      <c r="H916" t="e" vm="1">
        <f>_xlfn.XLOOKUP(AllData[[#This Row],[Site Name]],LocationsKey[Site Name],LocationsKey[District])</f>
        <v>#VALUE!</v>
      </c>
      <c r="I916" t="e" vm="15">
        <f>_xlfn.XLOOKUP(AllData[[#This Row],[Site Name]],LocationsKey[Site Name],LocationsKey[Town])</f>
        <v>#VALUE!</v>
      </c>
      <c r="J916" t="str">
        <f>_xlfn.XLOOKUP(AllData[[#This Row],[Site Name]],LocationsKey[Site Name], LocationsKey[Waterway])</f>
        <v>Stour</v>
      </c>
      <c r="K916" t="s">
        <v>1968</v>
      </c>
      <c r="L916">
        <v>52.070086000000003</v>
      </c>
      <c r="M916">
        <v>-1.61145</v>
      </c>
      <c r="N916" t="s">
        <v>31</v>
      </c>
      <c r="O916">
        <v>645</v>
      </c>
      <c r="P916">
        <v>12.9</v>
      </c>
      <c r="Q916">
        <v>5</v>
      </c>
      <c r="R916" s="107" t="str">
        <f>IF(AllData[[#This Row],[Nitrate (PPM)]]&gt;2, "Very high", IF(AllData[[#This Row],[Nitrate (PPM)]]&gt;1, "High", IF(AllData[[#This Row],[Nitrate (PPM)]]&gt;0.5, "Some evidence", IF(AllData[[#This Row],[Nitrate (PPM)]]&gt;=0, "No evidence"))))</f>
        <v>Very high</v>
      </c>
      <c r="S916">
        <v>0.68</v>
      </c>
      <c r="T916" s="7" t="str">
        <f>IF(AllData[[#This Row],[Phosphate (PPM)]]&gt;0.5, "Very high", IF(AllData[[#This Row],[Phosphate (PPM)]]&gt;0.1, "High", IF(AllData[[#This Row],[Phosphate (PPM)]]&gt;0.05, "Some evidence", IF(AllData[[#This Row],[Phosphate (PPM)]]&lt;=0.05, "No Evidence", ""))))</f>
        <v>Very high</v>
      </c>
      <c r="U916">
        <v>1.05</v>
      </c>
      <c r="V916" t="s">
        <v>37</v>
      </c>
    </row>
    <row r="917" spans="1:22" x14ac:dyDescent="0.35">
      <c r="A917" t="s">
        <v>2127</v>
      </c>
      <c r="B917" s="143">
        <v>45563</v>
      </c>
      <c r="C917" s="2" t="str" cm="1">
        <f t="array" ref="C9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7">
        <f>YEAR(AllData[[#This Row],[Date]])</f>
        <v>2024</v>
      </c>
      <c r="E917" s="1">
        <v>0.41041666666666665</v>
      </c>
      <c r="F917" t="str">
        <f>IF(AND(AllData[[#This Row],[Time]]&lt;0.5, AllData[[#This Row],[Time]]&gt;0.17)=TRUE, "Morning", IF(AND(AllData[[#This Row],[Time]]&lt;0.75, AllData[[#This Row],[Time]]&gt;=0.5)=TRUE, "Afternoon", IF(AND(AllData[[#This Row],[Time]]&lt;1, AllData[[#This Row],[Time]]&gt;=0.75)=TRUE, "Evening", "Night")))</f>
        <v>Morning</v>
      </c>
      <c r="G917" t="str">
        <f>_xlfn.XLOOKUP(AllData[[#This Row],[Location Name]], Locations[Location Name],Locations[Group As])</f>
        <v>Avon Smiths Meadow Wyre Piddle</v>
      </c>
      <c r="H917" t="e" vm="6">
        <f>_xlfn.XLOOKUP(AllData[[#This Row],[Site Name]],LocationsKey[Site Name],LocationsKey[District])</f>
        <v>#VALUE!</v>
      </c>
      <c r="I917" t="e" vm="13">
        <f>_xlfn.XLOOKUP(AllData[[#This Row],[Site Name]],LocationsKey[Site Name],LocationsKey[Town])</f>
        <v>#VALUE!</v>
      </c>
      <c r="J917" t="str">
        <f>_xlfn.XLOOKUP(AllData[[#This Row],[Site Name]],LocationsKey[Site Name], LocationsKey[Waterway])</f>
        <v>Avon</v>
      </c>
      <c r="K917" t="s">
        <v>2128</v>
      </c>
      <c r="L917">
        <v>52.125059</v>
      </c>
      <c r="M917">
        <v>-2.053887</v>
      </c>
      <c r="N917" t="s">
        <v>25</v>
      </c>
      <c r="O917">
        <v>436</v>
      </c>
      <c r="P917">
        <v>13</v>
      </c>
      <c r="Q917">
        <v>5</v>
      </c>
      <c r="R917" s="107" t="str">
        <f>IF(AllData[[#This Row],[Nitrate (PPM)]]&gt;2, "Very high", IF(AllData[[#This Row],[Nitrate (PPM)]]&gt;1, "High", IF(AllData[[#This Row],[Nitrate (PPM)]]&gt;0.5, "Some evidence", IF(AllData[[#This Row],[Nitrate (PPM)]]&gt;=0, "No evidence"))))</f>
        <v>Very high</v>
      </c>
      <c r="S917">
        <v>0.79</v>
      </c>
      <c r="T917" s="7" t="str">
        <f>IF(AllData[[#This Row],[Phosphate (PPM)]]&gt;0.5, "Very high", IF(AllData[[#This Row],[Phosphate (PPM)]]&gt;0.1, "High", IF(AllData[[#This Row],[Phosphate (PPM)]]&gt;0.05, "Some evidence", IF(AllData[[#This Row],[Phosphate (PPM)]]&lt;=0.05, "No Evidence", ""))))</f>
        <v>Very high</v>
      </c>
      <c r="U917">
        <v>2.76</v>
      </c>
      <c r="V917" t="s">
        <v>2129</v>
      </c>
    </row>
    <row r="918" spans="1:22" x14ac:dyDescent="0.35">
      <c r="A918" t="s">
        <v>2133</v>
      </c>
      <c r="B918" s="143">
        <v>45563</v>
      </c>
      <c r="C918" s="2" t="str" cm="1">
        <f t="array" ref="C9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8">
        <f>YEAR(AllData[[#This Row],[Date]])</f>
        <v>2024</v>
      </c>
      <c r="E918" s="1">
        <v>0.68819444444444444</v>
      </c>
      <c r="F918" t="str">
        <f>IF(AND(AllData[[#This Row],[Time]]&lt;0.5, AllData[[#This Row],[Time]]&gt;0.17)=TRUE, "Morning", IF(AND(AllData[[#This Row],[Time]]&lt;0.75, AllData[[#This Row],[Time]]&gt;=0.5)=TRUE, "Afternoon", IF(AND(AllData[[#This Row],[Time]]&lt;1, AllData[[#This Row],[Time]]&gt;=0.75)=TRUE, "Evening", "Night")))</f>
        <v>Afternoon</v>
      </c>
      <c r="G918" t="str">
        <f>_xlfn.XLOOKUP(AllData[[#This Row],[Location Name]], Locations[Location Name],Locations[Group As])</f>
        <v>Swiffen Bank</v>
      </c>
      <c r="H918" t="e" vm="1">
        <f>_xlfn.XLOOKUP(AllData[[#This Row],[Site Name]],LocationsKey[Site Name],LocationsKey[District])</f>
        <v>#VALUE!</v>
      </c>
      <c r="I918" t="e" vm="2">
        <f>_xlfn.XLOOKUP(AllData[[#This Row],[Site Name]],LocationsKey[Site Name],LocationsKey[Town])</f>
        <v>#VALUE!</v>
      </c>
      <c r="J918" t="str">
        <f>_xlfn.XLOOKUP(AllData[[#This Row],[Site Name]],LocationsKey[Site Name], LocationsKey[Waterway])</f>
        <v>Avon</v>
      </c>
      <c r="K918" t="s">
        <v>286</v>
      </c>
      <c r="L918">
        <v>52.206420000000001</v>
      </c>
      <c r="M918">
        <v>-1.654844</v>
      </c>
      <c r="N918" t="s">
        <v>31</v>
      </c>
      <c r="O918">
        <v>432</v>
      </c>
      <c r="P918">
        <v>14.5</v>
      </c>
      <c r="Q918">
        <v>5</v>
      </c>
      <c r="R918" s="107" t="str">
        <f>IF(AllData[[#This Row],[Nitrate (PPM)]]&gt;2, "Very high", IF(AllData[[#This Row],[Nitrate (PPM)]]&gt;1, "High", IF(AllData[[#This Row],[Nitrate (PPM)]]&gt;0.5, "Some evidence", IF(AllData[[#This Row],[Nitrate (PPM)]]&gt;=0, "No evidence"))))</f>
        <v>Very high</v>
      </c>
      <c r="S918">
        <v>0.69</v>
      </c>
      <c r="T918" s="7" t="str">
        <f>IF(AllData[[#This Row],[Phosphate (PPM)]]&gt;0.5, "Very high", IF(AllData[[#This Row],[Phosphate (PPM)]]&gt;0.1, "High", IF(AllData[[#This Row],[Phosphate (PPM)]]&gt;0.05, "Some evidence", IF(AllData[[#This Row],[Phosphate (PPM)]]&lt;=0.05, "No Evidence", ""))))</f>
        <v>Very high</v>
      </c>
      <c r="U918">
        <v>2</v>
      </c>
      <c r="V918" t="s">
        <v>2134</v>
      </c>
    </row>
    <row r="919" spans="1:22" x14ac:dyDescent="0.35">
      <c r="A919" t="s">
        <v>2138</v>
      </c>
      <c r="B919" s="143">
        <v>45563</v>
      </c>
      <c r="C919" s="2" t="str" cm="1">
        <f t="array" ref="C9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19">
        <f>YEAR(AllData[[#This Row],[Date]])</f>
        <v>2024</v>
      </c>
      <c r="E919" s="1">
        <v>0.65</v>
      </c>
      <c r="F919" t="str">
        <f>IF(AND(AllData[[#This Row],[Time]]&lt;0.5, AllData[[#This Row],[Time]]&gt;0.17)=TRUE, "Morning", IF(AND(AllData[[#This Row],[Time]]&lt;0.75, AllData[[#This Row],[Time]]&gt;=0.5)=TRUE, "Afternoon", IF(AND(AllData[[#This Row],[Time]]&lt;1, AllData[[#This Row],[Time]]&gt;=0.75)=TRUE, "Evening", "Night")))</f>
        <v>Afternoon</v>
      </c>
      <c r="G919" t="str">
        <f>_xlfn.XLOOKUP(AllData[[#This Row],[Location Name]], Locations[Location Name],Locations[Group As])</f>
        <v>Preston Bagot Brook</v>
      </c>
      <c r="H919" t="e" vm="1">
        <f>_xlfn.XLOOKUP(AllData[[#This Row],[Site Name]],LocationsKey[Site Name],LocationsKey[District])</f>
        <v>#VALUE!</v>
      </c>
      <c r="I919" t="e" vm="21">
        <f>_xlfn.XLOOKUP(AllData[[#This Row],[Site Name]],LocationsKey[Site Name],LocationsKey[Town])</f>
        <v>#VALUE!</v>
      </c>
      <c r="J919" t="str">
        <f>_xlfn.XLOOKUP(AllData[[#This Row],[Site Name]],LocationsKey[Site Name], LocationsKey[Waterway])</f>
        <v>Preston Bagot Brook</v>
      </c>
      <c r="K919" t="s">
        <v>621</v>
      </c>
      <c r="L919">
        <v>52.286000000000001</v>
      </c>
      <c r="M919">
        <v>-1.7470000000000001</v>
      </c>
      <c r="N919" t="s">
        <v>25</v>
      </c>
      <c r="O919">
        <v>1103</v>
      </c>
      <c r="P919">
        <v>17</v>
      </c>
      <c r="Q919">
        <v>4</v>
      </c>
      <c r="R919" s="107" t="str">
        <f>IF(AllData[[#This Row],[Nitrate (PPM)]]&gt;2, "Very high", IF(AllData[[#This Row],[Nitrate (PPM)]]&gt;1, "High", IF(AllData[[#This Row],[Nitrate (PPM)]]&gt;0.5, "Some evidence", IF(AllData[[#This Row],[Nitrate (PPM)]]&gt;=0, "No evidence"))))</f>
        <v>Very high</v>
      </c>
      <c r="S919">
        <v>0.7</v>
      </c>
      <c r="T919" s="7" t="str">
        <f>IF(AllData[[#This Row],[Phosphate (PPM)]]&gt;0.5, "Very high", IF(AllData[[#This Row],[Phosphate (PPM)]]&gt;0.1, "High", IF(AllData[[#This Row],[Phosphate (PPM)]]&gt;0.05, "Some evidence", IF(AllData[[#This Row],[Phosphate (PPM)]]&lt;=0.05, "No Evidence", ""))))</f>
        <v>Very high</v>
      </c>
      <c r="U919">
        <v>1</v>
      </c>
      <c r="V919" t="s">
        <v>970</v>
      </c>
    </row>
    <row r="920" spans="1:22" x14ac:dyDescent="0.35">
      <c r="A920" t="s">
        <v>2137</v>
      </c>
      <c r="B920" s="143">
        <v>45563</v>
      </c>
      <c r="C920" s="2" t="str" cm="1">
        <f t="array" ref="C9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0">
        <f>YEAR(AllData[[#This Row],[Date]])</f>
        <v>2024</v>
      </c>
      <c r="E920" s="1">
        <v>0.47083333333333333</v>
      </c>
      <c r="F920" t="str">
        <f>IF(AND(AllData[[#This Row],[Time]]&lt;0.5, AllData[[#This Row],[Time]]&gt;0.17)=TRUE, "Morning", IF(AND(AllData[[#This Row],[Time]]&lt;0.75, AllData[[#This Row],[Time]]&gt;=0.5)=TRUE, "Afternoon", IF(AND(AllData[[#This Row],[Time]]&lt;1, AllData[[#This Row],[Time]]&gt;=0.75)=TRUE, "Evening", "Night")))</f>
        <v>Morning</v>
      </c>
      <c r="G920" t="str">
        <f>_xlfn.XLOOKUP(AllData[[#This Row],[Location Name]], Locations[Location Name],Locations[Group As])</f>
        <v>Site 2  :  Cross Leys culvert</v>
      </c>
      <c r="H920" t="e" vm="1">
        <f>_xlfn.XLOOKUP(AllData[[#This Row],[Site Name]],LocationsKey[Site Name],LocationsKey[District])</f>
        <v>#VALUE!</v>
      </c>
      <c r="I920" t="e" vm="14">
        <f>_xlfn.XLOOKUP(AllData[[#This Row],[Site Name]],LocationsKey[Site Name],LocationsKey[Town])</f>
        <v>#VALUE!</v>
      </c>
      <c r="J920" t="str">
        <f>_xlfn.XLOOKUP(AllData[[#This Row],[Site Name]],LocationsKey[Site Name], LocationsKey[Waterway])</f>
        <v>Fosseway Brook</v>
      </c>
      <c r="K920" t="s">
        <v>1821</v>
      </c>
      <c r="L920">
        <v>52.092967999999999</v>
      </c>
      <c r="M920">
        <v>-1.6827099999999999</v>
      </c>
      <c r="N920" t="s">
        <v>68</v>
      </c>
      <c r="O920">
        <v>563</v>
      </c>
      <c r="P920">
        <v>12.2</v>
      </c>
      <c r="Q920">
        <v>2</v>
      </c>
      <c r="R920" s="107" t="str">
        <f>IF(AllData[[#This Row],[Nitrate (PPM)]]&gt;2, "Very high", IF(AllData[[#This Row],[Nitrate (PPM)]]&gt;1, "High", IF(AllData[[#This Row],[Nitrate (PPM)]]&gt;0.5, "Some evidence", IF(AllData[[#This Row],[Nitrate (PPM)]]&gt;=0, "No evidence"))))</f>
        <v>High</v>
      </c>
      <c r="S920">
        <v>0.65</v>
      </c>
      <c r="T920" s="7" t="str">
        <f>IF(AllData[[#This Row],[Phosphate (PPM)]]&gt;0.5, "Very high", IF(AllData[[#This Row],[Phosphate (PPM)]]&gt;0.1, "High", IF(AllData[[#This Row],[Phosphate (PPM)]]&gt;0.05, "Some evidence", IF(AllData[[#This Row],[Phosphate (PPM)]]&lt;=0.05, "No Evidence", ""))))</f>
        <v>Very high</v>
      </c>
      <c r="U920">
        <v>0.25</v>
      </c>
      <c r="V920" t="s">
        <v>2136</v>
      </c>
    </row>
    <row r="921" spans="1:22" x14ac:dyDescent="0.35">
      <c r="A921" t="s">
        <v>2135</v>
      </c>
      <c r="B921" s="143">
        <v>45563</v>
      </c>
      <c r="C921" s="2" t="str" cm="1">
        <f t="array" ref="C9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1">
        <f>YEAR(AllData[[#This Row],[Date]])</f>
        <v>2024</v>
      </c>
      <c r="E921" s="1">
        <v>0.47430555555555554</v>
      </c>
      <c r="F921" t="str">
        <f>IF(AND(AllData[[#This Row],[Time]]&lt;0.5, AllData[[#This Row],[Time]]&gt;0.17)=TRUE, "Morning", IF(AND(AllData[[#This Row],[Time]]&lt;0.75, AllData[[#This Row],[Time]]&gt;=0.5)=TRUE, "Afternoon", IF(AND(AllData[[#This Row],[Time]]&lt;1, AllData[[#This Row],[Time]]&gt;=0.75)=TRUE, "Evening", "Night")))</f>
        <v>Morning</v>
      </c>
      <c r="G921" t="str">
        <f>_xlfn.XLOOKUP(AllData[[#This Row],[Location Name]], Locations[Location Name],Locations[Group As])</f>
        <v>Site 1  :  Middle Street</v>
      </c>
      <c r="H921" t="e" vm="1">
        <f>_xlfn.XLOOKUP(AllData[[#This Row],[Site Name]],LocationsKey[Site Name],LocationsKey[District])</f>
        <v>#VALUE!</v>
      </c>
      <c r="I921" t="e" vm="14">
        <f>_xlfn.XLOOKUP(AllData[[#This Row],[Site Name]],LocationsKey[Site Name],LocationsKey[Town])</f>
        <v>#VALUE!</v>
      </c>
      <c r="J921" t="str">
        <f>_xlfn.XLOOKUP(AllData[[#This Row],[Site Name]],LocationsKey[Site Name], LocationsKey[Waterway])</f>
        <v>Fosseway Brook</v>
      </c>
      <c r="K921" t="s">
        <v>678</v>
      </c>
      <c r="L921">
        <v>52.090085000000002</v>
      </c>
      <c r="M921">
        <v>-1.692593</v>
      </c>
      <c r="N921" t="s">
        <v>68</v>
      </c>
      <c r="O921">
        <v>474</v>
      </c>
      <c r="P921">
        <v>13.7</v>
      </c>
      <c r="Q921">
        <v>2</v>
      </c>
      <c r="R921" s="107" t="str">
        <f>IF(AllData[[#This Row],[Nitrate (PPM)]]&gt;2, "Very high", IF(AllData[[#This Row],[Nitrate (PPM)]]&gt;1, "High", IF(AllData[[#This Row],[Nitrate (PPM)]]&gt;0.5, "Some evidence", IF(AllData[[#This Row],[Nitrate (PPM)]]&gt;=0, "No evidence"))))</f>
        <v>High</v>
      </c>
      <c r="S921">
        <v>0.3</v>
      </c>
      <c r="T921" s="7" t="str">
        <f>IF(AllData[[#This Row],[Phosphate (PPM)]]&gt;0.5, "Very high", IF(AllData[[#This Row],[Phosphate (PPM)]]&gt;0.1, "High", IF(AllData[[#This Row],[Phosphate (PPM)]]&gt;0.05, "Some evidence", IF(AllData[[#This Row],[Phosphate (PPM)]]&lt;=0.05, "No Evidence", ""))))</f>
        <v>High</v>
      </c>
      <c r="U921">
        <v>0.1</v>
      </c>
      <c r="V921" t="s">
        <v>2136</v>
      </c>
    </row>
    <row r="922" spans="1:22" x14ac:dyDescent="0.35">
      <c r="A922" t="s">
        <v>2124</v>
      </c>
      <c r="B922" s="143">
        <v>45561</v>
      </c>
      <c r="C922" s="2" t="str" cm="1">
        <f t="array" ref="C9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2">
        <f>YEAR(AllData[[#This Row],[Date]])</f>
        <v>2024</v>
      </c>
      <c r="E922" s="1">
        <v>0.41666666666666669</v>
      </c>
      <c r="F922" t="str">
        <f>IF(AND(AllData[[#This Row],[Time]]&lt;0.5, AllData[[#This Row],[Time]]&gt;0.17)=TRUE, "Morning", IF(AND(AllData[[#This Row],[Time]]&lt;0.75, AllData[[#This Row],[Time]]&gt;=0.5)=TRUE, "Afternoon", IF(AND(AllData[[#This Row],[Time]]&lt;1, AllData[[#This Row],[Time]]&gt;=0.75)=TRUE, "Evening", "Night")))</f>
        <v>Morning</v>
      </c>
      <c r="G922" t="str">
        <f>_xlfn.XLOOKUP(AllData[[#This Row],[Location Name]], Locations[Location Name],Locations[Group As])</f>
        <v>Swilgate</v>
      </c>
      <c r="H922" t="e" vm="4">
        <f>_xlfn.XLOOKUP(AllData[[#This Row],[Site Name]],LocationsKey[Site Name],LocationsKey[District])</f>
        <v>#VALUE!</v>
      </c>
      <c r="I922" t="e" vm="4">
        <f>_xlfn.XLOOKUP(AllData[[#This Row],[Site Name]],LocationsKey[Site Name],LocationsKey[Town])</f>
        <v>#VALUE!</v>
      </c>
      <c r="J922" t="str">
        <f>_xlfn.XLOOKUP(AllData[[#This Row],[Site Name]],LocationsKey[Site Name], LocationsKey[Waterway])</f>
        <v>Swilgate</v>
      </c>
      <c r="K922" t="s">
        <v>85</v>
      </c>
      <c r="N922" t="s">
        <v>25</v>
      </c>
      <c r="O922">
        <v>618</v>
      </c>
      <c r="P922">
        <v>14.7</v>
      </c>
      <c r="Q922">
        <v>3</v>
      </c>
      <c r="R922" s="107" t="str">
        <f>IF(AllData[[#This Row],[Nitrate (PPM)]]&gt;2, "Very high", IF(AllData[[#This Row],[Nitrate (PPM)]]&gt;1, "High", IF(AllData[[#This Row],[Nitrate (PPM)]]&gt;0.5, "Some evidence", IF(AllData[[#This Row],[Nitrate (PPM)]]&gt;=0, "No evidence"))))</f>
        <v>Very high</v>
      </c>
      <c r="S922">
        <v>0.44</v>
      </c>
      <c r="T922" s="7" t="str">
        <f>IF(AllData[[#This Row],[Phosphate (PPM)]]&gt;0.5, "Very high", IF(AllData[[#This Row],[Phosphate (PPM)]]&gt;0.1, "High", IF(AllData[[#This Row],[Phosphate (PPM)]]&gt;0.05, "Some evidence", IF(AllData[[#This Row],[Phosphate (PPM)]]&lt;=0.05, "No Evidence", ""))))</f>
        <v>High</v>
      </c>
      <c r="U922">
        <v>2</v>
      </c>
    </row>
    <row r="923" spans="1:22" x14ac:dyDescent="0.35">
      <c r="A923" t="s">
        <v>2123</v>
      </c>
      <c r="B923" s="143">
        <v>45561</v>
      </c>
      <c r="C923" s="2" t="str" cm="1">
        <f t="array" ref="C9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3">
        <f>YEAR(AllData[[#This Row],[Date]])</f>
        <v>2024</v>
      </c>
      <c r="E923" s="1">
        <v>0.47916666666666669</v>
      </c>
      <c r="F923" t="str">
        <f>IF(AND(AllData[[#This Row],[Time]]&lt;0.5, AllData[[#This Row],[Time]]&gt;0.17)=TRUE, "Morning", IF(AND(AllData[[#This Row],[Time]]&lt;0.75, AllData[[#This Row],[Time]]&gt;=0.5)=TRUE, "Afternoon", IF(AND(AllData[[#This Row],[Time]]&lt;1, AllData[[#This Row],[Time]]&gt;=0.75)=TRUE, "Evening", "Night")))</f>
        <v>Morning</v>
      </c>
      <c r="G923" t="str">
        <f>_xlfn.XLOOKUP(AllData[[#This Row],[Location Name]], Locations[Location Name],Locations[Group As])</f>
        <v>Stour Willington</v>
      </c>
      <c r="H923" t="e" vm="1">
        <f>_xlfn.XLOOKUP(AllData[[#This Row],[Site Name]],LocationsKey[Site Name],LocationsKey[District])</f>
        <v>#VALUE!</v>
      </c>
      <c r="I923" t="str">
        <f>_xlfn.XLOOKUP(AllData[[#This Row],[Site Name]],LocationsKey[Site Name],LocationsKey[Town])</f>
        <v>Willington</v>
      </c>
      <c r="J923" t="str">
        <f>_xlfn.XLOOKUP(AllData[[#This Row],[Site Name]],LocationsKey[Site Name], LocationsKey[Waterway])</f>
        <v>Stour</v>
      </c>
      <c r="K923" t="s">
        <v>521</v>
      </c>
      <c r="L923">
        <v>52.053466</v>
      </c>
      <c r="M923">
        <v>-1.6203449999999999</v>
      </c>
      <c r="N923" t="s">
        <v>25</v>
      </c>
      <c r="O923">
        <v>476</v>
      </c>
      <c r="P923">
        <v>15.2</v>
      </c>
      <c r="Q923">
        <v>2</v>
      </c>
      <c r="R923" s="107" t="str">
        <f>IF(AllData[[#This Row],[Nitrate (PPM)]]&gt;2, "Very high", IF(AllData[[#This Row],[Nitrate (PPM)]]&gt;1, "High", IF(AllData[[#This Row],[Nitrate (PPM)]]&gt;0.5, "Some evidence", IF(AllData[[#This Row],[Nitrate (PPM)]]&gt;=0, "No evidence"))))</f>
        <v>High</v>
      </c>
      <c r="S923">
        <v>0.24</v>
      </c>
      <c r="T923" s="7" t="str">
        <f>IF(AllData[[#This Row],[Phosphate (PPM)]]&gt;0.5, "Very high", IF(AllData[[#This Row],[Phosphate (PPM)]]&gt;0.1, "High", IF(AllData[[#This Row],[Phosphate (PPM)]]&gt;0.05, "Some evidence", IF(AllData[[#This Row],[Phosphate (PPM)]]&lt;=0.05, "No Evidence", ""))))</f>
        <v>High</v>
      </c>
      <c r="U923">
        <v>1</v>
      </c>
    </row>
    <row r="924" spans="1:22" x14ac:dyDescent="0.35">
      <c r="A924" t="s">
        <v>2120</v>
      </c>
      <c r="B924" s="143">
        <v>45560</v>
      </c>
      <c r="C924" s="2" t="str" cm="1">
        <f t="array" ref="C9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4">
        <f>YEAR(AllData[[#This Row],[Date]])</f>
        <v>2024</v>
      </c>
      <c r="E924" s="1">
        <v>0.50069444444444444</v>
      </c>
      <c r="F924" t="str">
        <f>IF(AND(AllData[[#This Row],[Time]]&lt;0.5, AllData[[#This Row],[Time]]&gt;0.17)=TRUE, "Morning", IF(AND(AllData[[#This Row],[Time]]&lt;0.75, AllData[[#This Row],[Time]]&gt;=0.5)=TRUE, "Afternoon", IF(AND(AllData[[#This Row],[Time]]&lt;1, AllData[[#This Row],[Time]]&gt;=0.75)=TRUE, "Evening", "Night")))</f>
        <v>Afternoon</v>
      </c>
      <c r="G924" t="str">
        <f>_xlfn.XLOOKUP(AllData[[#This Row],[Location Name]], Locations[Location Name],Locations[Group As])</f>
        <v>SSC Bredons Norton</v>
      </c>
      <c r="H924" t="e" vm="6">
        <f>_xlfn.XLOOKUP(AllData[[#This Row],[Site Name]],LocationsKey[Site Name],LocationsKey[District])</f>
        <v>#VALUE!</v>
      </c>
      <c r="I924" t="str">
        <f>_xlfn.XLOOKUP(AllData[[#This Row],[Site Name]],LocationsKey[Site Name],LocationsKey[Town])</f>
        <v>Bredon's Norton</v>
      </c>
      <c r="J924" t="str">
        <f>_xlfn.XLOOKUP(AllData[[#This Row],[Site Name]],LocationsKey[Site Name], LocationsKey[Waterway])</f>
        <v>Avon</v>
      </c>
      <c r="K924" t="s">
        <v>2121</v>
      </c>
      <c r="L924">
        <v>52.050823999999999</v>
      </c>
      <c r="M924">
        <v>-2.1170719999999998</v>
      </c>
      <c r="N924" t="s">
        <v>25</v>
      </c>
      <c r="O924">
        <v>453</v>
      </c>
      <c r="P924">
        <v>15.3</v>
      </c>
      <c r="Q924">
        <v>10</v>
      </c>
      <c r="R924" s="107" t="str">
        <f>IF(AllData[[#This Row],[Nitrate (PPM)]]&gt;2, "Very high", IF(AllData[[#This Row],[Nitrate (PPM)]]&gt;1, "High", IF(AllData[[#This Row],[Nitrate (PPM)]]&gt;0.5, "Some evidence", IF(AllData[[#This Row],[Nitrate (PPM)]]&gt;=0, "No evidence"))))</f>
        <v>Very high</v>
      </c>
      <c r="S924">
        <v>0.87</v>
      </c>
      <c r="T924" s="7" t="str">
        <f>IF(AllData[[#This Row],[Phosphate (PPM)]]&gt;0.5, "Very high", IF(AllData[[#This Row],[Phosphate (PPM)]]&gt;0.1, "High", IF(AllData[[#This Row],[Phosphate (PPM)]]&gt;0.05, "Some evidence", IF(AllData[[#This Row],[Phosphate (PPM)]]&lt;=0.05, "No Evidence", ""))))</f>
        <v>Very high</v>
      </c>
      <c r="U924">
        <v>1.68</v>
      </c>
      <c r="V924" t="s">
        <v>2122</v>
      </c>
    </row>
    <row r="925" spans="1:22" x14ac:dyDescent="0.35">
      <c r="A925" t="s">
        <v>2118</v>
      </c>
      <c r="B925" s="143">
        <v>45560</v>
      </c>
      <c r="C925" s="2" t="str" cm="1">
        <f t="array" ref="C9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5">
        <f>YEAR(AllData[[#This Row],[Date]])</f>
        <v>2024</v>
      </c>
      <c r="E925" s="1">
        <v>0.40902777777777777</v>
      </c>
      <c r="F925" t="str">
        <f>IF(AND(AllData[[#This Row],[Time]]&lt;0.5, AllData[[#This Row],[Time]]&gt;0.17)=TRUE, "Morning", IF(AND(AllData[[#This Row],[Time]]&lt;0.75, AllData[[#This Row],[Time]]&gt;=0.5)=TRUE, "Afternoon", IF(AND(AllData[[#This Row],[Time]]&lt;1, AllData[[#This Row],[Time]]&gt;=0.75)=TRUE, "Evening", "Night")))</f>
        <v>Morning</v>
      </c>
      <c r="G925" t="str">
        <f>_xlfn.XLOOKUP(AllData[[#This Row],[Location Name]], Locations[Location Name],Locations[Group As])</f>
        <v>Alveston Weir</v>
      </c>
      <c r="H925" t="e" vm="1">
        <f>_xlfn.XLOOKUP(AllData[[#This Row],[Site Name]],LocationsKey[Site Name],LocationsKey[District])</f>
        <v>#VALUE!</v>
      </c>
      <c r="I925" t="e" vm="2">
        <f>_xlfn.XLOOKUP(AllData[[#This Row],[Site Name]],LocationsKey[Site Name],LocationsKey[Town])</f>
        <v>#VALUE!</v>
      </c>
      <c r="J925" t="str">
        <f>_xlfn.XLOOKUP(AllData[[#This Row],[Site Name]],LocationsKey[Site Name], LocationsKey[Waterway])</f>
        <v>Avon</v>
      </c>
      <c r="K925" t="s">
        <v>288</v>
      </c>
      <c r="L925">
        <v>52.205767999999999</v>
      </c>
      <c r="M925">
        <v>-1.65557</v>
      </c>
      <c r="N925" t="s">
        <v>31</v>
      </c>
      <c r="O925">
        <v>473</v>
      </c>
      <c r="P925">
        <v>15.5</v>
      </c>
      <c r="Q925">
        <v>5</v>
      </c>
      <c r="R925" s="107" t="str">
        <f>IF(AllData[[#This Row],[Nitrate (PPM)]]&gt;2, "Very high", IF(AllData[[#This Row],[Nitrate (PPM)]]&gt;1, "High", IF(AllData[[#This Row],[Nitrate (PPM)]]&gt;0.5, "Some evidence", IF(AllData[[#This Row],[Nitrate (PPM)]]&gt;=0, "No evidence"))))</f>
        <v>Very high</v>
      </c>
      <c r="S925">
        <v>0.84</v>
      </c>
      <c r="T925" s="7" t="str">
        <f>IF(AllData[[#This Row],[Phosphate (PPM)]]&gt;0.5, "Very high", IF(AllData[[#This Row],[Phosphate (PPM)]]&gt;0.1, "High", IF(AllData[[#This Row],[Phosphate (PPM)]]&gt;0.05, "Some evidence", IF(AllData[[#This Row],[Phosphate (PPM)]]&lt;=0.05, "No Evidence", ""))))</f>
        <v>Very high</v>
      </c>
      <c r="U925">
        <v>1.5</v>
      </c>
      <c r="V925" t="s">
        <v>2119</v>
      </c>
    </row>
    <row r="926" spans="1:22" x14ac:dyDescent="0.35">
      <c r="A926" t="s">
        <v>2116</v>
      </c>
      <c r="B926" s="143">
        <v>45559</v>
      </c>
      <c r="C926" s="2" t="str" cm="1">
        <f t="array" ref="C9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6">
        <f>YEAR(AllData[[#This Row],[Date]])</f>
        <v>2024</v>
      </c>
      <c r="E926" s="1">
        <v>0.56458333333333333</v>
      </c>
      <c r="F926" t="str">
        <f>IF(AND(AllData[[#This Row],[Time]]&lt;0.5, AllData[[#This Row],[Time]]&gt;0.17)=TRUE, "Morning", IF(AND(AllData[[#This Row],[Time]]&lt;0.75, AllData[[#This Row],[Time]]&gt;=0.5)=TRUE, "Afternoon", IF(AND(AllData[[#This Row],[Time]]&lt;1, AllData[[#This Row],[Time]]&gt;=0.75)=TRUE, "Evening", "Night")))</f>
        <v>Afternoon</v>
      </c>
      <c r="G926" t="str">
        <f>_xlfn.XLOOKUP(AllData[[#This Row],[Location Name]], Locations[Location Name],Locations[Group As])</f>
        <v>Twyning Fleet</v>
      </c>
      <c r="H926" t="e" vm="4">
        <f>_xlfn.XLOOKUP(AllData[[#This Row],[Site Name]],LocationsKey[Site Name],LocationsKey[District])</f>
        <v>#VALUE!</v>
      </c>
      <c r="I926" t="str">
        <f>_xlfn.XLOOKUP(AllData[[#This Row],[Site Name]],LocationsKey[Site Name],LocationsKey[Town])</f>
        <v>Twyning Green</v>
      </c>
      <c r="J926" t="str">
        <f>_xlfn.XLOOKUP(AllData[[#This Row],[Site Name]],LocationsKey[Site Name], LocationsKey[Waterway])</f>
        <v>Avon</v>
      </c>
      <c r="K926" t="s">
        <v>2117</v>
      </c>
      <c r="L926">
        <v>52.027222000000002</v>
      </c>
      <c r="M926">
        <v>-2.1405419999999999</v>
      </c>
      <c r="O926">
        <v>681</v>
      </c>
      <c r="P926">
        <v>16.2</v>
      </c>
      <c r="Q926">
        <v>17</v>
      </c>
      <c r="R926" s="107" t="str">
        <f>IF(AllData[[#This Row],[Nitrate (PPM)]]&gt;2, "Very high", IF(AllData[[#This Row],[Nitrate (PPM)]]&gt;1, "High", IF(AllData[[#This Row],[Nitrate (PPM)]]&gt;0.5, "Some evidence", IF(AllData[[#This Row],[Nitrate (PPM)]]&gt;=0, "No evidence"))))</f>
        <v>Very high</v>
      </c>
      <c r="S926">
        <v>1.05</v>
      </c>
      <c r="T926" s="7" t="str">
        <f>IF(AllData[[#This Row],[Phosphate (PPM)]]&gt;0.5, "Very high", IF(AllData[[#This Row],[Phosphate (PPM)]]&gt;0.1, "High", IF(AllData[[#This Row],[Phosphate (PPM)]]&gt;0.05, "Some evidence", IF(AllData[[#This Row],[Phosphate (PPM)]]&lt;=0.05, "No Evidence", ""))))</f>
        <v>Very high</v>
      </c>
      <c r="U926">
        <v>1</v>
      </c>
    </row>
    <row r="927" spans="1:22" x14ac:dyDescent="0.35">
      <c r="A927" t="s">
        <v>2110</v>
      </c>
      <c r="B927" s="143">
        <v>45559</v>
      </c>
      <c r="C927" s="2" t="str" cm="1">
        <f t="array" ref="C9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7">
        <f>YEAR(AllData[[#This Row],[Date]])</f>
        <v>2024</v>
      </c>
      <c r="E927" s="1">
        <v>0.44861111111111113</v>
      </c>
      <c r="F927" t="str">
        <f>IF(AND(AllData[[#This Row],[Time]]&lt;0.5, AllData[[#This Row],[Time]]&gt;0.17)=TRUE, "Morning", IF(AND(AllData[[#This Row],[Time]]&lt;0.75, AllData[[#This Row],[Time]]&gt;=0.5)=TRUE, "Afternoon", IF(AND(AllData[[#This Row],[Time]]&lt;1, AllData[[#This Row],[Time]]&gt;=0.75)=TRUE, "Evening", "Night")))</f>
        <v>Morning</v>
      </c>
      <c r="G927" t="str">
        <f>_xlfn.XLOOKUP(AllData[[#This Row],[Location Name]], Locations[Location Name],Locations[Group As])</f>
        <v>Bredon Marina</v>
      </c>
      <c r="H927" t="e" vm="4">
        <f>_xlfn.XLOOKUP(AllData[[#This Row],[Site Name]],LocationsKey[Site Name],LocationsKey[District])</f>
        <v>#VALUE!</v>
      </c>
      <c r="I927" t="e" vm="11">
        <f>_xlfn.XLOOKUP(AllData[[#This Row],[Site Name]],LocationsKey[Site Name],LocationsKey[Town])</f>
        <v>#VALUE!</v>
      </c>
      <c r="J927" t="str">
        <f>_xlfn.XLOOKUP(AllData[[#This Row],[Site Name]],LocationsKey[Site Name], LocationsKey[Waterway])</f>
        <v>Avon</v>
      </c>
      <c r="K927" t="s">
        <v>1661</v>
      </c>
      <c r="L927">
        <v>52.033295000000003</v>
      </c>
      <c r="M927">
        <v>-2.11639</v>
      </c>
      <c r="N927" t="s">
        <v>25</v>
      </c>
      <c r="O927">
        <v>715</v>
      </c>
      <c r="P927">
        <v>16.600000000000001</v>
      </c>
      <c r="Q927">
        <v>10</v>
      </c>
      <c r="R927" s="107" t="str">
        <f>IF(AllData[[#This Row],[Nitrate (PPM)]]&gt;2, "Very high", IF(AllData[[#This Row],[Nitrate (PPM)]]&gt;1, "High", IF(AllData[[#This Row],[Nitrate (PPM)]]&gt;0.5, "Some evidence", IF(AllData[[#This Row],[Nitrate (PPM)]]&gt;=0, "No evidence"))))</f>
        <v>Very high</v>
      </c>
      <c r="S927">
        <v>0.49</v>
      </c>
      <c r="T927" s="7" t="str">
        <f>IF(AllData[[#This Row],[Phosphate (PPM)]]&gt;0.5, "Very high", IF(AllData[[#This Row],[Phosphate (PPM)]]&gt;0.1, "High", IF(AllData[[#This Row],[Phosphate (PPM)]]&gt;0.05, "Some evidence", IF(AllData[[#This Row],[Phosphate (PPM)]]&lt;=0.05, "No Evidence", ""))))</f>
        <v>High</v>
      </c>
      <c r="U927">
        <v>2</v>
      </c>
      <c r="V927" t="s">
        <v>2111</v>
      </c>
    </row>
    <row r="928" spans="1:22" x14ac:dyDescent="0.35">
      <c r="A928" t="s">
        <v>2114</v>
      </c>
      <c r="B928" s="143">
        <v>45559</v>
      </c>
      <c r="C928" s="2" t="str" cm="1">
        <f t="array" ref="C9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8">
        <f>YEAR(AllData[[#This Row],[Date]])</f>
        <v>2024</v>
      </c>
      <c r="E928" s="1">
        <v>0.41944444444444445</v>
      </c>
      <c r="F928" t="str">
        <f>IF(AND(AllData[[#This Row],[Time]]&lt;0.5, AllData[[#This Row],[Time]]&gt;0.17)=TRUE, "Morning", IF(AND(AllData[[#This Row],[Time]]&lt;0.75, AllData[[#This Row],[Time]]&gt;=0.5)=TRUE, "Afternoon", IF(AND(AllData[[#This Row],[Time]]&lt;1, AllData[[#This Row],[Time]]&gt;=0.75)=TRUE, "Evening", "Night")))</f>
        <v>Morning</v>
      </c>
      <c r="G928" t="str">
        <f>_xlfn.XLOOKUP(AllData[[#This Row],[Location Name]], Locations[Location Name],Locations[Group As])</f>
        <v>Black Bear</v>
      </c>
      <c r="H928" t="e" vm="4">
        <f>_xlfn.XLOOKUP(AllData[[#This Row],[Site Name]],LocationsKey[Site Name],LocationsKey[District])</f>
        <v>#VALUE!</v>
      </c>
      <c r="I928" t="e" vm="4">
        <f>_xlfn.XLOOKUP(AllData[[#This Row],[Site Name]],LocationsKey[Site Name],LocationsKey[Town])</f>
        <v>#VALUE!</v>
      </c>
      <c r="J928" t="str">
        <f>_xlfn.XLOOKUP(AllData[[#This Row],[Site Name]],LocationsKey[Site Name], LocationsKey[Waterway])</f>
        <v>Avon</v>
      </c>
      <c r="K928" t="s">
        <v>1175</v>
      </c>
      <c r="L928">
        <v>51.997401000000004</v>
      </c>
      <c r="M928">
        <v>-2.1560869999999999</v>
      </c>
      <c r="N928" t="s">
        <v>25</v>
      </c>
      <c r="O928">
        <v>712</v>
      </c>
      <c r="P928">
        <v>16.399999999999999</v>
      </c>
      <c r="Q928">
        <v>10</v>
      </c>
      <c r="R928" s="107" t="str">
        <f>IF(AllData[[#This Row],[Nitrate (PPM)]]&gt;2, "Very high", IF(AllData[[#This Row],[Nitrate (PPM)]]&gt;1, "High", IF(AllData[[#This Row],[Nitrate (PPM)]]&gt;0.5, "Some evidence", IF(AllData[[#This Row],[Nitrate (PPM)]]&gt;=0, "No evidence"))))</f>
        <v>Very high</v>
      </c>
      <c r="S928">
        <v>0.82</v>
      </c>
      <c r="T928" s="7" t="str">
        <f>IF(AllData[[#This Row],[Phosphate (PPM)]]&gt;0.5, "Very high", IF(AllData[[#This Row],[Phosphate (PPM)]]&gt;0.1, "High", IF(AllData[[#This Row],[Phosphate (PPM)]]&gt;0.05, "Some evidence", IF(AllData[[#This Row],[Phosphate (PPM)]]&lt;=0.05, "No Evidence", ""))))</f>
        <v>Very high</v>
      </c>
      <c r="U928">
        <v>2</v>
      </c>
      <c r="V928" t="s">
        <v>2115</v>
      </c>
    </row>
    <row r="929" spans="1:22" x14ac:dyDescent="0.35">
      <c r="A929" t="s">
        <v>2108</v>
      </c>
      <c r="B929" s="143">
        <v>45559</v>
      </c>
      <c r="C929" s="2" t="str" cm="1">
        <f t="array" ref="C9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29">
        <f>YEAR(AllData[[#This Row],[Date]])</f>
        <v>2024</v>
      </c>
      <c r="E929" s="1">
        <v>0.65625</v>
      </c>
      <c r="F929" t="str">
        <f>IF(AND(AllData[[#This Row],[Time]]&lt;0.5, AllData[[#This Row],[Time]]&gt;0.17)=TRUE, "Morning", IF(AND(AllData[[#This Row],[Time]]&lt;0.75, AllData[[#This Row],[Time]]&gt;=0.5)=TRUE, "Afternoon", IF(AND(AllData[[#This Row],[Time]]&lt;1, AllData[[#This Row],[Time]]&gt;=0.75)=TRUE, "Evening", "Night")))</f>
        <v>Afternoon</v>
      </c>
      <c r="G929" t="str">
        <f>_xlfn.XLOOKUP(AllData[[#This Row],[Location Name]], Locations[Location Name],Locations[Group As])</f>
        <v>Abbey Mill</v>
      </c>
      <c r="H929" t="e" vm="4">
        <f>_xlfn.XLOOKUP(AllData[[#This Row],[Site Name]],LocationsKey[Site Name],LocationsKey[District])</f>
        <v>#VALUE!</v>
      </c>
      <c r="I929" t="e" vm="4">
        <f>_xlfn.XLOOKUP(AllData[[#This Row],[Site Name]],LocationsKey[Site Name],LocationsKey[Town])</f>
        <v>#VALUE!</v>
      </c>
      <c r="J929" t="str">
        <f>_xlfn.XLOOKUP(AllData[[#This Row],[Site Name]],LocationsKey[Site Name], LocationsKey[Waterway])</f>
        <v>Avon</v>
      </c>
      <c r="K929" t="s">
        <v>24</v>
      </c>
      <c r="L929">
        <v>51.991224000000003</v>
      </c>
      <c r="M929">
        <v>-2.1624439999999998</v>
      </c>
      <c r="N929" t="s">
        <v>31</v>
      </c>
      <c r="O929">
        <v>651</v>
      </c>
      <c r="P929">
        <v>15.6</v>
      </c>
      <c r="Q929">
        <v>10</v>
      </c>
      <c r="R929" s="107" t="str">
        <f>IF(AllData[[#This Row],[Nitrate (PPM)]]&gt;2, "Very high", IF(AllData[[#This Row],[Nitrate (PPM)]]&gt;1, "High", IF(AllData[[#This Row],[Nitrate (PPM)]]&gt;0.5, "Some evidence", IF(AllData[[#This Row],[Nitrate (PPM)]]&gt;=0, "No evidence"))))</f>
        <v>Very high</v>
      </c>
      <c r="S929">
        <v>0.83</v>
      </c>
      <c r="T929" s="7" t="str">
        <f>IF(AllData[[#This Row],[Phosphate (PPM)]]&gt;0.5, "Very high", IF(AllData[[#This Row],[Phosphate (PPM)]]&gt;0.1, "High", IF(AllData[[#This Row],[Phosphate (PPM)]]&gt;0.05, "Some evidence", IF(AllData[[#This Row],[Phosphate (PPM)]]&lt;=0.05, "No Evidence", ""))))</f>
        <v>Very high</v>
      </c>
      <c r="U929">
        <v>2</v>
      </c>
      <c r="V929" t="s">
        <v>2109</v>
      </c>
    </row>
    <row r="930" spans="1:22" x14ac:dyDescent="0.35">
      <c r="A930" t="s">
        <v>2102</v>
      </c>
      <c r="B930" s="143">
        <v>45559</v>
      </c>
      <c r="C930" s="2" t="str" cm="1">
        <f t="array" ref="C9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0">
        <f>YEAR(AllData[[#This Row],[Date]])</f>
        <v>2024</v>
      </c>
      <c r="E930" s="1">
        <v>0.4236111111111111</v>
      </c>
      <c r="F930" t="str">
        <f>IF(AND(AllData[[#This Row],[Time]]&lt;0.5, AllData[[#This Row],[Time]]&gt;0.17)=TRUE, "Morning", IF(AND(AllData[[#This Row],[Time]]&lt;0.75, AllData[[#This Row],[Time]]&gt;=0.5)=TRUE, "Afternoon", IF(AND(AllData[[#This Row],[Time]]&lt;1, AllData[[#This Row],[Time]]&gt;=0.75)=TRUE, "Evening", "Night")))</f>
        <v>Morning</v>
      </c>
      <c r="G930" t="str">
        <f>_xlfn.XLOOKUP(AllData[[#This Row],[Location Name]], Locations[Location Name],Locations[Group As])</f>
        <v>Carrant M5 Bridge</v>
      </c>
      <c r="H930" t="e" vm="4">
        <f>_xlfn.XLOOKUP(AllData[[#This Row],[Site Name]],LocationsKey[Site Name],LocationsKey[District])</f>
        <v>#VALUE!</v>
      </c>
      <c r="I930" t="e" vm="4">
        <f>_xlfn.XLOOKUP(AllData[[#This Row],[Site Name]],LocationsKey[Site Name],LocationsKey[Town])</f>
        <v>#VALUE!</v>
      </c>
      <c r="J930" t="str">
        <f>_xlfn.XLOOKUP(AllData[[#This Row],[Site Name]],LocationsKey[Site Name], LocationsKey[Waterway])</f>
        <v>Carrant</v>
      </c>
      <c r="K930" t="s">
        <v>2103</v>
      </c>
      <c r="L930">
        <v>52.011854</v>
      </c>
      <c r="M930">
        <v>-2.1202269999999999</v>
      </c>
      <c r="O930">
        <v>460</v>
      </c>
      <c r="P930">
        <v>16.8</v>
      </c>
      <c r="Q930">
        <v>10</v>
      </c>
      <c r="R930" s="107" t="str">
        <f>IF(AllData[[#This Row],[Nitrate (PPM)]]&gt;2, "Very high", IF(AllData[[#This Row],[Nitrate (PPM)]]&gt;1, "High", IF(AllData[[#This Row],[Nitrate (PPM)]]&gt;0.5, "Some evidence", IF(AllData[[#This Row],[Nitrate (PPM)]]&gt;=0, "No evidence"))))</f>
        <v>Very high</v>
      </c>
      <c r="S930">
        <v>0.56000000000000005</v>
      </c>
      <c r="T930" s="7" t="str">
        <f>IF(AllData[[#This Row],[Phosphate (PPM)]]&gt;0.5, "Very high", IF(AllData[[#This Row],[Phosphate (PPM)]]&gt;0.1, "High", IF(AllData[[#This Row],[Phosphate (PPM)]]&gt;0.05, "Some evidence", IF(AllData[[#This Row],[Phosphate (PPM)]]&lt;=0.05, "No Evidence", ""))))</f>
        <v>Very high</v>
      </c>
      <c r="U930">
        <v>1.5</v>
      </c>
      <c r="V930" t="s">
        <v>739</v>
      </c>
    </row>
    <row r="931" spans="1:22" x14ac:dyDescent="0.35">
      <c r="A931" t="s">
        <v>2106</v>
      </c>
      <c r="B931" s="143">
        <v>45559</v>
      </c>
      <c r="C931" s="2" t="str" cm="1">
        <f t="array" ref="C9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1">
        <f>YEAR(AllData[[#This Row],[Date]])</f>
        <v>2024</v>
      </c>
      <c r="E931" s="1">
        <v>0.69791666666666663</v>
      </c>
      <c r="F931" t="str">
        <f>IF(AND(AllData[[#This Row],[Time]]&lt;0.5, AllData[[#This Row],[Time]]&gt;0.17)=TRUE, "Morning", IF(AND(AllData[[#This Row],[Time]]&lt;0.75, AllData[[#This Row],[Time]]&gt;=0.5)=TRUE, "Afternoon", IF(AND(AllData[[#This Row],[Time]]&lt;1, AllData[[#This Row],[Time]]&gt;=0.75)=TRUE, "Evening", "Night")))</f>
        <v>Afternoon</v>
      </c>
      <c r="G931" t="str">
        <f>_xlfn.XLOOKUP(AllData[[#This Row],[Location Name]], Locations[Location Name],Locations[Group As])</f>
        <v>Carrant Back Lane Beckford</v>
      </c>
      <c r="H931" t="e" vm="4">
        <f>_xlfn.XLOOKUP(AllData[[#This Row],[Site Name]],LocationsKey[Site Name],LocationsKey[District])</f>
        <v>#VALUE!</v>
      </c>
      <c r="I931" t="str">
        <f>_xlfn.XLOOKUP(AllData[[#This Row],[Site Name]],LocationsKey[Site Name],LocationsKey[Town])</f>
        <v>Beckford</v>
      </c>
      <c r="J931" t="str">
        <f>_xlfn.XLOOKUP(AllData[[#This Row],[Site Name]],LocationsKey[Site Name], LocationsKey[Waterway])</f>
        <v>Carrant</v>
      </c>
      <c r="K931" t="s">
        <v>1736</v>
      </c>
      <c r="L931">
        <v>52.018456999999998</v>
      </c>
      <c r="M931">
        <v>-2.038853</v>
      </c>
      <c r="N931" t="s">
        <v>68</v>
      </c>
      <c r="O931">
        <v>579</v>
      </c>
      <c r="P931">
        <v>15.4</v>
      </c>
      <c r="Q931">
        <v>9</v>
      </c>
      <c r="R931" s="107" t="str">
        <f>IF(AllData[[#This Row],[Nitrate (PPM)]]&gt;2, "Very high", IF(AllData[[#This Row],[Nitrate (PPM)]]&gt;1, "High", IF(AllData[[#This Row],[Nitrate (PPM)]]&gt;0.5, "Some evidence", IF(AllData[[#This Row],[Nitrate (PPM)]]&gt;=0, "No evidence"))))</f>
        <v>Very high</v>
      </c>
      <c r="S931">
        <v>0.04</v>
      </c>
      <c r="T931" s="7" t="str">
        <f>IF(AllData[[#This Row],[Phosphate (PPM)]]&gt;0.5, "Very high", IF(AllData[[#This Row],[Phosphate (PPM)]]&gt;0.1, "High", IF(AllData[[#This Row],[Phosphate (PPM)]]&gt;0.05, "Some evidence", IF(AllData[[#This Row],[Phosphate (PPM)]]&lt;=0.05, "No Evidence", ""))))</f>
        <v>No Evidence</v>
      </c>
      <c r="U931">
        <v>0.91</v>
      </c>
      <c r="V931" t="s">
        <v>2107</v>
      </c>
    </row>
    <row r="932" spans="1:22" x14ac:dyDescent="0.35">
      <c r="A932" t="s">
        <v>2112</v>
      </c>
      <c r="B932" s="143">
        <v>45559</v>
      </c>
      <c r="C932" s="2" t="str" cm="1">
        <f t="array" ref="C9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2">
        <f>YEAR(AllData[[#This Row],[Date]])</f>
        <v>2024</v>
      </c>
      <c r="E932" s="1">
        <v>0.43333333333333335</v>
      </c>
      <c r="F932" t="str">
        <f>IF(AND(AllData[[#This Row],[Time]]&lt;0.5, AllData[[#This Row],[Time]]&gt;0.17)=TRUE, "Morning", IF(AND(AllData[[#This Row],[Time]]&lt;0.75, AllData[[#This Row],[Time]]&gt;=0.5)=TRUE, "Afternoon", IF(AND(AllData[[#This Row],[Time]]&lt;1, AllData[[#This Row],[Time]]&gt;=0.75)=TRUE, "Evening", "Night")))</f>
        <v>Morning</v>
      </c>
      <c r="G932" t="str">
        <f>_xlfn.XLOOKUP(AllData[[#This Row],[Location Name]], Locations[Location Name],Locations[Group As])</f>
        <v>Carrant Mitton Path</v>
      </c>
      <c r="H932" t="e" vm="4">
        <f>_xlfn.XLOOKUP(AllData[[#This Row],[Site Name]],LocationsKey[Site Name],LocationsKey[District])</f>
        <v>#VALUE!</v>
      </c>
      <c r="I932" t="e" vm="4">
        <f>_xlfn.XLOOKUP(AllData[[#This Row],[Site Name]],LocationsKey[Site Name],LocationsKey[Town])</f>
        <v>#VALUE!</v>
      </c>
      <c r="J932" t="str">
        <f>_xlfn.XLOOKUP(AllData[[#This Row],[Site Name]],LocationsKey[Site Name], LocationsKey[Waterway])</f>
        <v>Carrant</v>
      </c>
      <c r="K932" t="s">
        <v>1064</v>
      </c>
      <c r="L932">
        <v>51.999944999999997</v>
      </c>
      <c r="M932">
        <v>-2.1411069999999999</v>
      </c>
      <c r="N932" t="s">
        <v>25</v>
      </c>
      <c r="O932">
        <v>464</v>
      </c>
      <c r="P932">
        <v>15.7</v>
      </c>
      <c r="Q932">
        <v>5</v>
      </c>
      <c r="R932" s="107" t="str">
        <f>IF(AllData[[#This Row],[Nitrate (PPM)]]&gt;2, "Very high", IF(AllData[[#This Row],[Nitrate (PPM)]]&gt;1, "High", IF(AllData[[#This Row],[Nitrate (PPM)]]&gt;0.5, "Some evidence", IF(AllData[[#This Row],[Nitrate (PPM)]]&gt;=0, "No evidence"))))</f>
        <v>Very high</v>
      </c>
      <c r="S932">
        <v>0.83</v>
      </c>
      <c r="T932" s="7" t="str">
        <f>IF(AllData[[#This Row],[Phosphate (PPM)]]&gt;0.5, "Very high", IF(AllData[[#This Row],[Phosphate (PPM)]]&gt;0.1, "High", IF(AllData[[#This Row],[Phosphate (PPM)]]&gt;0.05, "Some evidence", IF(AllData[[#This Row],[Phosphate (PPM)]]&lt;=0.05, "No Evidence", ""))))</f>
        <v>Very high</v>
      </c>
      <c r="U932">
        <v>2</v>
      </c>
      <c r="V932" t="s">
        <v>2113</v>
      </c>
    </row>
    <row r="933" spans="1:22" x14ac:dyDescent="0.35">
      <c r="A933" t="s">
        <v>2104</v>
      </c>
      <c r="B933" s="143">
        <v>45559</v>
      </c>
      <c r="C933" s="2" t="str" cm="1">
        <f t="array" ref="C9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3">
        <f>YEAR(AllData[[#This Row],[Date]])</f>
        <v>2024</v>
      </c>
      <c r="E933" s="1">
        <v>0.41944444444444445</v>
      </c>
      <c r="F933" t="str">
        <f>IF(AND(AllData[[#This Row],[Time]]&lt;0.5, AllData[[#This Row],[Time]]&gt;0.17)=TRUE, "Morning", IF(AND(AllData[[#This Row],[Time]]&lt;0.75, AllData[[#This Row],[Time]]&gt;=0.5)=TRUE, "Afternoon", IF(AND(AllData[[#This Row],[Time]]&lt;1, AllData[[#This Row],[Time]]&gt;=0.75)=TRUE, "Evening", "Night")))</f>
        <v>Morning</v>
      </c>
      <c r="G933" t="str">
        <f>_xlfn.XLOOKUP(AllData[[#This Row],[Location Name]], Locations[Location Name],Locations[Group As])</f>
        <v>Stour Ascott Village</v>
      </c>
      <c r="H933" t="e" vm="1">
        <f>_xlfn.XLOOKUP(AllData[[#This Row],[Site Name]],LocationsKey[Site Name],LocationsKey[District])</f>
        <v>#VALUE!</v>
      </c>
      <c r="I933" t="e" vm="25">
        <f>_xlfn.XLOOKUP(AllData[[#This Row],[Site Name]],LocationsKey[Site Name],LocationsKey[Town])</f>
        <v>#VALUE!</v>
      </c>
      <c r="J933" t="str">
        <f>_xlfn.XLOOKUP(AllData[[#This Row],[Site Name]],LocationsKey[Site Name], LocationsKey[Waterway])</f>
        <v>Stour</v>
      </c>
      <c r="K933" t="s">
        <v>1441</v>
      </c>
      <c r="N933" t="s">
        <v>68</v>
      </c>
      <c r="O933">
        <v>365</v>
      </c>
      <c r="P933">
        <v>14.1</v>
      </c>
      <c r="Q933">
        <v>0.5</v>
      </c>
      <c r="R933" s="107" t="str">
        <f>IF(AllData[[#This Row],[Nitrate (PPM)]]&gt;2, "Very high", IF(AllData[[#This Row],[Nitrate (PPM)]]&gt;1, "High", IF(AllData[[#This Row],[Nitrate (PPM)]]&gt;0.5, "Some evidence", IF(AllData[[#This Row],[Nitrate (PPM)]]&gt;=0, "No evidence"))))</f>
        <v>No evidence</v>
      </c>
      <c r="S933">
        <v>0.47</v>
      </c>
      <c r="T933" s="7" t="str">
        <f>IF(AllData[[#This Row],[Phosphate (PPM)]]&gt;0.5, "Very high", IF(AllData[[#This Row],[Phosphate (PPM)]]&gt;0.1, "High", IF(AllData[[#This Row],[Phosphate (PPM)]]&gt;0.05, "Some evidence", IF(AllData[[#This Row],[Phosphate (PPM)]]&lt;=0.05, "No Evidence", ""))))</f>
        <v>High</v>
      </c>
      <c r="U933">
        <v>22</v>
      </c>
    </row>
    <row r="934" spans="1:22" x14ac:dyDescent="0.35">
      <c r="A934" t="s">
        <v>2105</v>
      </c>
      <c r="B934" s="143">
        <v>45559</v>
      </c>
      <c r="C934" s="2" t="str" cm="1">
        <f t="array" ref="C9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4">
        <f>YEAR(AllData[[#This Row],[Date]])</f>
        <v>2024</v>
      </c>
      <c r="E934" s="1">
        <v>0.40069444444444446</v>
      </c>
      <c r="F934" t="str">
        <f>IF(AND(AllData[[#This Row],[Time]]&lt;0.5, AllData[[#This Row],[Time]]&gt;0.17)=TRUE, "Morning", IF(AND(AllData[[#This Row],[Time]]&lt;0.75, AllData[[#This Row],[Time]]&gt;=0.5)=TRUE, "Afternoon", IF(AND(AllData[[#This Row],[Time]]&lt;1, AllData[[#This Row],[Time]]&gt;=0.75)=TRUE, "Evening", "Night")))</f>
        <v>Morning</v>
      </c>
      <c r="G934" t="str">
        <f>_xlfn.XLOOKUP(AllData[[#This Row],[Location Name]], Locations[Location Name],Locations[Group As])</f>
        <v>Stour Whichford</v>
      </c>
      <c r="H934" t="e" vm="1">
        <f>_xlfn.XLOOKUP(AllData[[#This Row],[Site Name]],LocationsKey[Site Name],LocationsKey[District])</f>
        <v>#VALUE!</v>
      </c>
      <c r="I934" t="e" vm="24">
        <f>_xlfn.XLOOKUP(AllData[[#This Row],[Site Name]],LocationsKey[Site Name],LocationsKey[Town])</f>
        <v>#VALUE!</v>
      </c>
      <c r="J934" t="str">
        <f>_xlfn.XLOOKUP(AllData[[#This Row],[Site Name]],LocationsKey[Site Name], LocationsKey[Waterway])</f>
        <v>Stour</v>
      </c>
      <c r="K934" t="s">
        <v>980</v>
      </c>
      <c r="N934" t="s">
        <v>31</v>
      </c>
      <c r="O934">
        <v>343</v>
      </c>
      <c r="P934">
        <v>14.3</v>
      </c>
      <c r="Q934">
        <v>0.5</v>
      </c>
      <c r="R934" s="107" t="str">
        <f>IF(AllData[[#This Row],[Nitrate (PPM)]]&gt;2, "Very high", IF(AllData[[#This Row],[Nitrate (PPM)]]&gt;1, "High", IF(AllData[[#This Row],[Nitrate (PPM)]]&gt;0.5, "Some evidence", IF(AllData[[#This Row],[Nitrate (PPM)]]&gt;=0, "No evidence"))))</f>
        <v>No evidence</v>
      </c>
      <c r="S934">
        <v>0.19</v>
      </c>
      <c r="T934" s="7" t="str">
        <f>IF(AllData[[#This Row],[Phosphate (PPM)]]&gt;0.5, "Very high", IF(AllData[[#This Row],[Phosphate (PPM)]]&gt;0.1, "High", IF(AllData[[#This Row],[Phosphate (PPM)]]&gt;0.05, "Some evidence", IF(AllData[[#This Row],[Phosphate (PPM)]]&lt;=0.05, "No Evidence", ""))))</f>
        <v>High</v>
      </c>
      <c r="U934">
        <v>33</v>
      </c>
    </row>
    <row r="935" spans="1:22" x14ac:dyDescent="0.35">
      <c r="A935" t="s">
        <v>2101</v>
      </c>
      <c r="B935" s="143">
        <v>45558</v>
      </c>
      <c r="C935" s="2" t="str" cm="1">
        <f t="array" ref="C9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5">
        <f>YEAR(AllData[[#This Row],[Date]])</f>
        <v>2024</v>
      </c>
      <c r="E935" s="1">
        <v>0.59722222222222221</v>
      </c>
      <c r="F935" t="str">
        <f>IF(AND(AllData[[#This Row],[Time]]&lt;0.5, AllData[[#This Row],[Time]]&gt;0.17)=TRUE, "Morning", IF(AND(AllData[[#This Row],[Time]]&lt;0.75, AllData[[#This Row],[Time]]&gt;=0.5)=TRUE, "Afternoon", IF(AND(AllData[[#This Row],[Time]]&lt;1, AllData[[#This Row],[Time]]&gt;=0.75)=TRUE, "Evening", "Night")))</f>
        <v>Afternoon</v>
      </c>
      <c r="G935" t="str">
        <f>_xlfn.XLOOKUP(AllData[[#This Row],[Location Name]], Locations[Location Name],Locations[Group As])</f>
        <v>Chipping Campden Craves</v>
      </c>
      <c r="H935" t="e" vm="9">
        <f>_xlfn.XLOOKUP(AllData[[#This Row],[Site Name]],LocationsKey[Site Name],LocationsKey[District])</f>
        <v>#VALUE!</v>
      </c>
      <c r="I935" t="e" vm="10">
        <f>_xlfn.XLOOKUP(AllData[[#This Row],[Site Name]],LocationsKey[Site Name],LocationsKey[Town])</f>
        <v>#VALUE!</v>
      </c>
      <c r="J935" t="str">
        <f>_xlfn.XLOOKUP(AllData[[#This Row],[Site Name]],LocationsKey[Site Name], LocationsKey[Waterway])</f>
        <v>Cam Brook</v>
      </c>
      <c r="K935" t="s">
        <v>2052</v>
      </c>
      <c r="L935">
        <v>52.048676</v>
      </c>
      <c r="M935">
        <v>-1.786324</v>
      </c>
      <c r="N935" t="s">
        <v>68</v>
      </c>
      <c r="O935">
        <v>342</v>
      </c>
      <c r="P935">
        <v>14.6</v>
      </c>
      <c r="Q935">
        <v>5</v>
      </c>
      <c r="R935" s="107" t="str">
        <f>IF(AllData[[#This Row],[Nitrate (PPM)]]&gt;2, "Very high", IF(AllData[[#This Row],[Nitrate (PPM)]]&gt;1, "High", IF(AllData[[#This Row],[Nitrate (PPM)]]&gt;0.5, "Some evidence", IF(AllData[[#This Row],[Nitrate (PPM)]]&gt;=0, "No evidence"))))</f>
        <v>Very high</v>
      </c>
      <c r="S935">
        <v>0.46</v>
      </c>
      <c r="T935" s="7" t="str">
        <f>IF(AllData[[#This Row],[Phosphate (PPM)]]&gt;0.5, "Very high", IF(AllData[[#This Row],[Phosphate (PPM)]]&gt;0.1, "High", IF(AllData[[#This Row],[Phosphate (PPM)]]&gt;0.05, "Some evidence", IF(AllData[[#This Row],[Phosphate (PPM)]]&lt;=0.05, "No Evidence", ""))))</f>
        <v>High</v>
      </c>
      <c r="U935">
        <v>46</v>
      </c>
    </row>
    <row r="936" spans="1:22" x14ac:dyDescent="0.35">
      <c r="A936" t="s">
        <v>2097</v>
      </c>
      <c r="B936" s="143">
        <v>45558</v>
      </c>
      <c r="C936" s="2" t="str" cm="1">
        <f t="array" ref="C9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6">
        <f>YEAR(AllData[[#This Row],[Date]])</f>
        <v>2024</v>
      </c>
      <c r="E936" s="1">
        <v>0.5</v>
      </c>
      <c r="F936" t="str">
        <f>IF(AND(AllData[[#This Row],[Time]]&lt;0.5, AllData[[#This Row],[Time]]&gt;0.17)=TRUE, "Morning", IF(AND(AllData[[#This Row],[Time]]&lt;0.75, AllData[[#This Row],[Time]]&gt;=0.5)=TRUE, "Afternoon", IF(AND(AllData[[#This Row],[Time]]&lt;1, AllData[[#This Row],[Time]]&gt;=0.75)=TRUE, "Evening", "Night")))</f>
        <v>Afternoon</v>
      </c>
      <c r="G936" t="str">
        <f>_xlfn.XLOOKUP(AllData[[#This Row],[Location Name]], Locations[Location Name],Locations[Group As])</f>
        <v>Chipping Campden Sewage Works</v>
      </c>
      <c r="H936" t="e" vm="9">
        <f>_xlfn.XLOOKUP(AllData[[#This Row],[Site Name]],LocationsKey[Site Name],LocationsKey[District])</f>
        <v>#VALUE!</v>
      </c>
      <c r="I936" t="e" vm="10">
        <f>_xlfn.XLOOKUP(AllData[[#This Row],[Site Name]],LocationsKey[Site Name],LocationsKey[Town])</f>
        <v>#VALUE!</v>
      </c>
      <c r="J936" t="str">
        <f>_xlfn.XLOOKUP(AllData[[#This Row],[Site Name]],LocationsKey[Site Name], LocationsKey[Waterway])</f>
        <v>Cam Brook</v>
      </c>
      <c r="K936" t="s">
        <v>1570</v>
      </c>
      <c r="N936" t="s">
        <v>31</v>
      </c>
      <c r="O936">
        <v>338</v>
      </c>
      <c r="P936">
        <v>15.7</v>
      </c>
      <c r="Q936">
        <v>2</v>
      </c>
      <c r="R936" s="107" t="str">
        <f>IF(AllData[[#This Row],[Nitrate (PPM)]]&gt;2, "Very high", IF(AllData[[#This Row],[Nitrate (PPM)]]&gt;1, "High", IF(AllData[[#This Row],[Nitrate (PPM)]]&gt;0.5, "Some evidence", IF(AllData[[#This Row],[Nitrate (PPM)]]&gt;=0, "No evidence"))))</f>
        <v>High</v>
      </c>
      <c r="S936">
        <v>0.49</v>
      </c>
      <c r="T936" s="7" t="str">
        <f>IF(AllData[[#This Row],[Phosphate (PPM)]]&gt;0.5, "Very high", IF(AllData[[#This Row],[Phosphate (PPM)]]&gt;0.1, "High", IF(AllData[[#This Row],[Phosphate (PPM)]]&gt;0.05, "Some evidence", IF(AllData[[#This Row],[Phosphate (PPM)]]&lt;=0.05, "No Evidence", ""))))</f>
        <v>High</v>
      </c>
      <c r="U936">
        <v>0.56000000000000005</v>
      </c>
      <c r="V936" t="s">
        <v>2098</v>
      </c>
    </row>
    <row r="937" spans="1:22" x14ac:dyDescent="0.35">
      <c r="A937" t="s">
        <v>2099</v>
      </c>
      <c r="B937" s="143">
        <v>45558</v>
      </c>
      <c r="C937" s="2" t="str" cm="1">
        <f t="array" ref="C9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7">
        <f>YEAR(AllData[[#This Row],[Date]])</f>
        <v>2024</v>
      </c>
      <c r="E937" s="1">
        <v>0.33333333333333331</v>
      </c>
      <c r="F937" t="str">
        <f>IF(AND(AllData[[#This Row],[Time]]&lt;0.5, AllData[[#This Row],[Time]]&gt;0.17)=TRUE, "Morning", IF(AND(AllData[[#This Row],[Time]]&lt;0.75, AllData[[#This Row],[Time]]&gt;=0.5)=TRUE, "Afternoon", IF(AND(AllData[[#This Row],[Time]]&lt;1, AllData[[#This Row],[Time]]&gt;=0.75)=TRUE, "Evening", "Night")))</f>
        <v>Morning</v>
      </c>
      <c r="G937" t="str">
        <f>_xlfn.XLOOKUP(AllData[[#This Row],[Location Name]], Locations[Location Name],Locations[Group As])</f>
        <v>Chipping Campden Lady J Gateway</v>
      </c>
      <c r="H937" t="e" vm="9">
        <f>_xlfn.XLOOKUP(AllData[[#This Row],[Site Name]],LocationsKey[Site Name],LocationsKey[District])</f>
        <v>#VALUE!</v>
      </c>
      <c r="I937" t="e" vm="10">
        <f>_xlfn.XLOOKUP(AllData[[#This Row],[Site Name]],LocationsKey[Site Name],LocationsKey[Town])</f>
        <v>#VALUE!</v>
      </c>
      <c r="J937" t="str">
        <f>_xlfn.XLOOKUP(AllData[[#This Row],[Site Name]],LocationsKey[Site Name], LocationsKey[Waterway])</f>
        <v>Cam Brook</v>
      </c>
      <c r="K937" t="s">
        <v>1573</v>
      </c>
      <c r="N937" t="s">
        <v>68</v>
      </c>
      <c r="O937">
        <v>257</v>
      </c>
      <c r="P937">
        <v>14.8</v>
      </c>
      <c r="Q937">
        <v>2</v>
      </c>
      <c r="R937" s="107" t="str">
        <f>IF(AllData[[#This Row],[Nitrate (PPM)]]&gt;2, "Very high", IF(AllData[[#This Row],[Nitrate (PPM)]]&gt;1, "High", IF(AllData[[#This Row],[Nitrate (PPM)]]&gt;0.5, "Some evidence", IF(AllData[[#This Row],[Nitrate (PPM)]]&gt;=0, "No evidence"))))</f>
        <v>High</v>
      </c>
      <c r="S937">
        <v>0.06</v>
      </c>
      <c r="T937" s="7" t="str">
        <f>IF(AllData[[#This Row],[Phosphate (PPM)]]&gt;0.5, "Very high", IF(AllData[[#This Row],[Phosphate (PPM)]]&gt;0.1, "High", IF(AllData[[#This Row],[Phosphate (PPM)]]&gt;0.05, "Some evidence", IF(AllData[[#This Row],[Phosphate (PPM)]]&lt;=0.05, "No Evidence", ""))))</f>
        <v>Some evidence</v>
      </c>
      <c r="U937">
        <v>0.59</v>
      </c>
      <c r="V937" t="s">
        <v>2100</v>
      </c>
    </row>
    <row r="938" spans="1:22" x14ac:dyDescent="0.35">
      <c r="A938" t="s">
        <v>2091</v>
      </c>
      <c r="B938" s="143">
        <v>45557</v>
      </c>
      <c r="C938" s="2" t="str" cm="1">
        <f t="array" ref="C9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8">
        <f>YEAR(AllData[[#This Row],[Date]])</f>
        <v>2024</v>
      </c>
      <c r="E938" s="1">
        <v>0.39583333333333331</v>
      </c>
      <c r="F938" t="str">
        <f>IF(AND(AllData[[#This Row],[Time]]&lt;0.5, AllData[[#This Row],[Time]]&gt;0.17)=TRUE, "Morning", IF(AND(AllData[[#This Row],[Time]]&lt;0.75, AllData[[#This Row],[Time]]&gt;=0.5)=TRUE, "Afternoon", IF(AND(AllData[[#This Row],[Time]]&lt;1, AllData[[#This Row],[Time]]&gt;=0.75)=TRUE, "Evening", "Night")))</f>
        <v>Morning</v>
      </c>
      <c r="G938" t="str">
        <f>_xlfn.XLOOKUP(AllData[[#This Row],[Location Name]], Locations[Location Name],Locations[Group As])</f>
        <v>Bell Brook 1</v>
      </c>
      <c r="H938" t="e" vm="1">
        <f>_xlfn.XLOOKUP(AllData[[#This Row],[Site Name]],LocationsKey[Site Name],LocationsKey[District])</f>
        <v>#VALUE!</v>
      </c>
      <c r="I938" t="e" vm="19">
        <f>_xlfn.XLOOKUP(AllData[[#This Row],[Site Name]],LocationsKey[Site Name],LocationsKey[Town])</f>
        <v>#VALUE!</v>
      </c>
      <c r="J938" t="str">
        <f>_xlfn.XLOOKUP(AllData[[#This Row],[Site Name]],LocationsKey[Site Name], LocationsKey[Waterway])</f>
        <v>Bell Brook</v>
      </c>
      <c r="K938" t="s">
        <v>538</v>
      </c>
      <c r="O938">
        <v>842</v>
      </c>
      <c r="P938">
        <v>15.2</v>
      </c>
      <c r="Q938">
        <v>30</v>
      </c>
      <c r="R938" s="107" t="str">
        <f>IF(AllData[[#This Row],[Nitrate (PPM)]]&gt;2, "Very high", IF(AllData[[#This Row],[Nitrate (PPM)]]&gt;1, "High", IF(AllData[[#This Row],[Nitrate (PPM)]]&gt;0.5, "Some evidence", IF(AllData[[#This Row],[Nitrate (PPM)]]&gt;=0, "No evidence"))))</f>
        <v>Very high</v>
      </c>
      <c r="S938">
        <v>0.93</v>
      </c>
      <c r="T938" s="7" t="str">
        <f>IF(AllData[[#This Row],[Phosphate (PPM)]]&gt;0.5, "Very high", IF(AllData[[#This Row],[Phosphate (PPM)]]&gt;0.1, "High", IF(AllData[[#This Row],[Phosphate (PPM)]]&gt;0.05, "Some evidence", IF(AllData[[#This Row],[Phosphate (PPM)]]&lt;=0.05, "No Evidence", ""))))</f>
        <v>Very high</v>
      </c>
      <c r="U938">
        <v>0.2</v>
      </c>
      <c r="V938" t="s">
        <v>2092</v>
      </c>
    </row>
    <row r="939" spans="1:22" x14ac:dyDescent="0.35">
      <c r="A939" t="s">
        <v>2094</v>
      </c>
      <c r="B939" s="143">
        <v>45557</v>
      </c>
      <c r="C939" s="2" t="str" cm="1">
        <f t="array" ref="C9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39">
        <f>YEAR(AllData[[#This Row],[Date]])</f>
        <v>2024</v>
      </c>
      <c r="E939" s="1">
        <v>0.64583333333333337</v>
      </c>
      <c r="F939" t="str">
        <f>IF(AND(AllData[[#This Row],[Time]]&lt;0.5, AllData[[#This Row],[Time]]&gt;0.17)=TRUE, "Morning", IF(AND(AllData[[#This Row],[Time]]&lt;0.75, AllData[[#This Row],[Time]]&gt;=0.5)=TRUE, "Afternoon", IF(AND(AllData[[#This Row],[Time]]&lt;1, AllData[[#This Row],[Time]]&gt;=0.75)=TRUE, "Evening", "Night")))</f>
        <v>Afternoon</v>
      </c>
      <c r="G939" t="str">
        <f>_xlfn.XLOOKUP(AllData[[#This Row],[Location Name]], Locations[Location Name],Locations[Group As])</f>
        <v>Alveston Weir</v>
      </c>
      <c r="H939" t="e" vm="1">
        <f>_xlfn.XLOOKUP(AllData[[#This Row],[Site Name]],LocationsKey[Site Name],LocationsKey[District])</f>
        <v>#VALUE!</v>
      </c>
      <c r="I939" t="e" vm="2">
        <f>_xlfn.XLOOKUP(AllData[[#This Row],[Site Name]],LocationsKey[Site Name],LocationsKey[Town])</f>
        <v>#VALUE!</v>
      </c>
      <c r="J939" t="str">
        <f>_xlfn.XLOOKUP(AllData[[#This Row],[Site Name]],LocationsKey[Site Name], LocationsKey[Waterway])</f>
        <v>Avon</v>
      </c>
      <c r="K939" t="s">
        <v>288</v>
      </c>
      <c r="L939">
        <v>52.212288999999998</v>
      </c>
      <c r="M939">
        <v>-1.660452</v>
      </c>
      <c r="N939" t="s">
        <v>31</v>
      </c>
      <c r="O939">
        <v>907</v>
      </c>
      <c r="P939">
        <v>16.899999999999999</v>
      </c>
      <c r="Q939">
        <v>20</v>
      </c>
      <c r="R939" s="107" t="str">
        <f>IF(AllData[[#This Row],[Nitrate (PPM)]]&gt;2, "Very high", IF(AllData[[#This Row],[Nitrate (PPM)]]&gt;1, "High", IF(AllData[[#This Row],[Nitrate (PPM)]]&gt;0.5, "Some evidence", IF(AllData[[#This Row],[Nitrate (PPM)]]&gt;=0, "No evidence"))))</f>
        <v>Very high</v>
      </c>
      <c r="S939">
        <v>0.27</v>
      </c>
      <c r="T939" s="7" t="str">
        <f>IF(AllData[[#This Row],[Phosphate (PPM)]]&gt;0.5, "Very high", IF(AllData[[#This Row],[Phosphate (PPM)]]&gt;0.1, "High", IF(AllData[[#This Row],[Phosphate (PPM)]]&gt;0.05, "Some evidence", IF(AllData[[#This Row],[Phosphate (PPM)]]&lt;=0.05, "No Evidence", ""))))</f>
        <v>High</v>
      </c>
      <c r="U939">
        <v>0</v>
      </c>
      <c r="V939" t="s">
        <v>2095</v>
      </c>
    </row>
    <row r="940" spans="1:22" x14ac:dyDescent="0.35">
      <c r="A940" t="s">
        <v>2093</v>
      </c>
      <c r="B940" s="143">
        <v>45557</v>
      </c>
      <c r="C940" s="2" t="str" cm="1">
        <f t="array" ref="C9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0">
        <f>YEAR(AllData[[#This Row],[Date]])</f>
        <v>2024</v>
      </c>
      <c r="E940" s="1">
        <v>0.38541666666666669</v>
      </c>
      <c r="F940" t="str">
        <f>IF(AND(AllData[[#This Row],[Time]]&lt;0.5, AllData[[#This Row],[Time]]&gt;0.17)=TRUE, "Morning", IF(AND(AllData[[#This Row],[Time]]&lt;0.75, AllData[[#This Row],[Time]]&gt;=0.5)=TRUE, "Afternoon", IF(AND(AllData[[#This Row],[Time]]&lt;1, AllData[[#This Row],[Time]]&gt;=0.75)=TRUE, "Evening", "Night")))</f>
        <v>Morning</v>
      </c>
      <c r="G940" t="str">
        <f>_xlfn.XLOOKUP(AllData[[#This Row],[Location Name]], Locations[Location Name],Locations[Group As])</f>
        <v>Sherbourne Brook 1</v>
      </c>
      <c r="H940" t="e" vm="1">
        <f>_xlfn.XLOOKUP(AllData[[#This Row],[Site Name]],LocationsKey[Site Name],LocationsKey[District])</f>
        <v>#VALUE!</v>
      </c>
      <c r="I940" t="e" vm="23">
        <f>_xlfn.XLOOKUP(AllData[[#This Row],[Site Name]],LocationsKey[Site Name],LocationsKey[Town])</f>
        <v>#VALUE!</v>
      </c>
      <c r="J940" t="str">
        <f>_xlfn.XLOOKUP(AllData[[#This Row],[Site Name]],LocationsKey[Site Name], LocationsKey[Waterway])</f>
        <v>Sherbourne Brook</v>
      </c>
      <c r="K940" t="s">
        <v>541</v>
      </c>
      <c r="O940">
        <v>1040</v>
      </c>
      <c r="P940">
        <v>15.1</v>
      </c>
      <c r="Q940">
        <v>10</v>
      </c>
      <c r="R940" s="107" t="str">
        <f>IF(AllData[[#This Row],[Nitrate (PPM)]]&gt;2, "Very high", IF(AllData[[#This Row],[Nitrate (PPM)]]&gt;1, "High", IF(AllData[[#This Row],[Nitrate (PPM)]]&gt;0.5, "Some evidence", IF(AllData[[#This Row],[Nitrate (PPM)]]&gt;=0, "No evidence"))))</f>
        <v>Very high</v>
      </c>
      <c r="S940">
        <v>0.56000000000000005</v>
      </c>
      <c r="T940" s="7" t="str">
        <f>IF(AllData[[#This Row],[Phosphate (PPM)]]&gt;0.5, "Very high", IF(AllData[[#This Row],[Phosphate (PPM)]]&gt;0.1, "High", IF(AllData[[#This Row],[Phosphate (PPM)]]&gt;0.05, "Some evidence", IF(AllData[[#This Row],[Phosphate (PPM)]]&lt;=0.05, "No Evidence", ""))))</f>
        <v>Very high</v>
      </c>
      <c r="U940">
        <v>0.2</v>
      </c>
      <c r="V940" t="s">
        <v>2092</v>
      </c>
    </row>
    <row r="941" spans="1:22" x14ac:dyDescent="0.35">
      <c r="A941" t="s">
        <v>2090</v>
      </c>
      <c r="B941" s="143">
        <v>45557</v>
      </c>
      <c r="C941" s="2" t="str" cm="1">
        <f t="array" ref="C9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1">
        <f>YEAR(AllData[[#This Row],[Date]])</f>
        <v>2024</v>
      </c>
      <c r="E941" s="1">
        <v>0.58333333333333337</v>
      </c>
      <c r="F941" t="str">
        <f>IF(AND(AllData[[#This Row],[Time]]&lt;0.5, AllData[[#This Row],[Time]]&gt;0.17)=TRUE, "Morning", IF(AND(AllData[[#This Row],[Time]]&lt;0.75, AllData[[#This Row],[Time]]&gt;=0.5)=TRUE, "Afternoon", IF(AND(AllData[[#This Row],[Time]]&lt;1, AllData[[#This Row],[Time]]&gt;=0.75)=TRUE, "Evening", "Night")))</f>
        <v>Afternoon</v>
      </c>
      <c r="G941" t="str">
        <f>_xlfn.XLOOKUP(AllData[[#This Row],[Location Name]], Locations[Location Name],Locations[Group As])</f>
        <v>Clifford Chambers Mill Bridge</v>
      </c>
      <c r="H941" t="e" vm="1">
        <f>_xlfn.XLOOKUP(AllData[[#This Row],[Site Name]],LocationsKey[Site Name],LocationsKey[District])</f>
        <v>#VALUE!</v>
      </c>
      <c r="I941" t="e" vm="22">
        <f>_xlfn.XLOOKUP(AllData[[#This Row],[Site Name]],LocationsKey[Site Name],LocationsKey[Town])</f>
        <v>#VALUE!</v>
      </c>
      <c r="J941" t="str">
        <f>_xlfn.XLOOKUP(AllData[[#This Row],[Site Name]],LocationsKey[Site Name], LocationsKey[Waterway])</f>
        <v>Stour</v>
      </c>
      <c r="K941" t="s">
        <v>266</v>
      </c>
      <c r="L941">
        <v>52.166370000000001</v>
      </c>
      <c r="M941">
        <v>-1.708032</v>
      </c>
      <c r="N941" t="s">
        <v>68</v>
      </c>
      <c r="O941">
        <v>679</v>
      </c>
      <c r="P941">
        <v>17.2</v>
      </c>
      <c r="Q941">
        <v>7</v>
      </c>
      <c r="R941" s="107" t="str">
        <f>IF(AllData[[#This Row],[Nitrate (PPM)]]&gt;2, "Very high", IF(AllData[[#This Row],[Nitrate (PPM)]]&gt;1, "High", IF(AllData[[#This Row],[Nitrate (PPM)]]&gt;0.5, "Some evidence", IF(AllData[[#This Row],[Nitrate (PPM)]]&gt;=0, "No evidence"))))</f>
        <v>Very high</v>
      </c>
      <c r="S941">
        <v>0.61</v>
      </c>
      <c r="T941" s="7" t="str">
        <f>IF(AllData[[#This Row],[Phosphate (PPM)]]&gt;0.5, "Very high", IF(AllData[[#This Row],[Phosphate (PPM)]]&gt;0.1, "High", IF(AllData[[#This Row],[Phosphate (PPM)]]&gt;0.05, "Some evidence", IF(AllData[[#This Row],[Phosphate (PPM)]]&lt;=0.05, "No Evidence", ""))))</f>
        <v>Very high</v>
      </c>
      <c r="U941">
        <v>0.3</v>
      </c>
    </row>
    <row r="942" spans="1:22" x14ac:dyDescent="0.35">
      <c r="A942" t="s">
        <v>2096</v>
      </c>
      <c r="B942" s="143">
        <v>45557</v>
      </c>
      <c r="C942" s="2" t="str" cm="1">
        <f t="array" ref="C9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2">
        <f>YEAR(AllData[[#This Row],[Date]])</f>
        <v>2024</v>
      </c>
      <c r="E942" s="1">
        <v>0.59722222222222221</v>
      </c>
      <c r="F942" t="str">
        <f>IF(AND(AllData[[#This Row],[Time]]&lt;0.5, AllData[[#This Row],[Time]]&gt;0.17)=TRUE, "Morning", IF(AND(AllData[[#This Row],[Time]]&lt;0.75, AllData[[#This Row],[Time]]&gt;=0.5)=TRUE, "Afternoon", IF(AND(AllData[[#This Row],[Time]]&lt;1, AllData[[#This Row],[Time]]&gt;=0.75)=TRUE, "Evening", "Night")))</f>
        <v>Afternoon</v>
      </c>
      <c r="G942" t="str">
        <f>_xlfn.XLOOKUP(AllData[[#This Row],[Location Name]], Locations[Location Name],Locations[Group As])</f>
        <v>The Ford, Langley</v>
      </c>
      <c r="H942" t="e" vm="1">
        <f>_xlfn.XLOOKUP(AllData[[#This Row],[Site Name]],LocationsKey[Site Name],LocationsKey[District])</f>
        <v>#VALUE!</v>
      </c>
      <c r="I942" t="str">
        <f>_xlfn.XLOOKUP(AllData[[#This Row],[Site Name]],LocationsKey[Site Name],LocationsKey[Town])</f>
        <v>Langley</v>
      </c>
      <c r="J942" t="str">
        <f>_xlfn.XLOOKUP(AllData[[#This Row],[Site Name]],LocationsKey[Site Name], LocationsKey[Waterway])</f>
        <v>Langley Ford</v>
      </c>
      <c r="K942" t="s">
        <v>561</v>
      </c>
      <c r="L942">
        <v>52.259903999999999</v>
      </c>
      <c r="M942">
        <v>-1.7185010000000001</v>
      </c>
      <c r="N942" t="s">
        <v>31</v>
      </c>
      <c r="O942">
        <v>666</v>
      </c>
      <c r="P942">
        <v>15.3</v>
      </c>
      <c r="Q942">
        <v>1</v>
      </c>
      <c r="R942" s="107" t="str">
        <f>IF(AllData[[#This Row],[Nitrate (PPM)]]&gt;2, "Very high", IF(AllData[[#This Row],[Nitrate (PPM)]]&gt;1, "High", IF(AllData[[#This Row],[Nitrate (PPM)]]&gt;0.5, "Some evidence", IF(AllData[[#This Row],[Nitrate (PPM)]]&gt;=0, "No evidence"))))</f>
        <v>Some evidence</v>
      </c>
      <c r="S942">
        <v>0.63</v>
      </c>
      <c r="T942" s="7" t="str">
        <f>IF(AllData[[#This Row],[Phosphate (PPM)]]&gt;0.5, "Very high", IF(AllData[[#This Row],[Phosphate (PPM)]]&gt;0.1, "High", IF(AllData[[#This Row],[Phosphate (PPM)]]&gt;0.05, "Some evidence", IF(AllData[[#This Row],[Phosphate (PPM)]]&lt;=0.05, "No Evidence", ""))))</f>
        <v>Very high</v>
      </c>
      <c r="U942">
        <v>0.22</v>
      </c>
      <c r="V942" t="s">
        <v>919</v>
      </c>
    </row>
    <row r="943" spans="1:22" x14ac:dyDescent="0.35">
      <c r="A943" t="s">
        <v>2086</v>
      </c>
      <c r="B943" s="143">
        <v>45556</v>
      </c>
      <c r="C943" s="2" t="str" cm="1">
        <f t="array" ref="C9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3">
        <f>YEAR(AllData[[#This Row],[Date]])</f>
        <v>2024</v>
      </c>
      <c r="E943" s="1">
        <v>0.46666666666666667</v>
      </c>
      <c r="F943" t="str">
        <f>IF(AND(AllData[[#This Row],[Time]]&lt;0.5, AllData[[#This Row],[Time]]&gt;0.17)=TRUE, "Morning", IF(AND(AllData[[#This Row],[Time]]&lt;0.75, AllData[[#This Row],[Time]]&gt;=0.5)=TRUE, "Afternoon", IF(AND(AllData[[#This Row],[Time]]&lt;1, AllData[[#This Row],[Time]]&gt;=0.75)=TRUE, "Evening", "Night")))</f>
        <v>Morning</v>
      </c>
      <c r="G943" t="str">
        <f>_xlfn.XLOOKUP(AllData[[#This Row],[Location Name]], Locations[Location Name],Locations[Group As])</f>
        <v>Piddle Brook Wyre Piddle Bridge</v>
      </c>
      <c r="H943" t="e" vm="6">
        <f>_xlfn.XLOOKUP(AllData[[#This Row],[Site Name]],LocationsKey[Site Name],LocationsKey[District])</f>
        <v>#VALUE!</v>
      </c>
      <c r="I943" t="e" vm="13">
        <f>_xlfn.XLOOKUP(AllData[[#This Row],[Site Name]],LocationsKey[Site Name],LocationsKey[Town])</f>
        <v>#VALUE!</v>
      </c>
      <c r="J943" t="str">
        <f>_xlfn.XLOOKUP(AllData[[#This Row],[Site Name]],LocationsKey[Site Name], LocationsKey[Waterway])</f>
        <v>Piddle Brook</v>
      </c>
      <c r="K943" t="s">
        <v>787</v>
      </c>
      <c r="L943">
        <v>52.126486999999997</v>
      </c>
      <c r="M943">
        <v>-2.0565120000000001</v>
      </c>
      <c r="N943" t="s">
        <v>25</v>
      </c>
      <c r="O943">
        <v>1870</v>
      </c>
      <c r="P943">
        <v>15.7</v>
      </c>
      <c r="Q943">
        <v>15</v>
      </c>
      <c r="R943" s="107" t="str">
        <f>IF(AllData[[#This Row],[Nitrate (PPM)]]&gt;2, "Very high", IF(AllData[[#This Row],[Nitrate (PPM)]]&gt;1, "High", IF(AllData[[#This Row],[Nitrate (PPM)]]&gt;0.5, "Some evidence", IF(AllData[[#This Row],[Nitrate (PPM)]]&gt;=0, "No evidence"))))</f>
        <v>Very high</v>
      </c>
      <c r="S943">
        <v>1.3</v>
      </c>
      <c r="T943" s="7" t="str">
        <f>IF(AllData[[#This Row],[Phosphate (PPM)]]&gt;0.5, "Very high", IF(AllData[[#This Row],[Phosphate (PPM)]]&gt;0.1, "High", IF(AllData[[#This Row],[Phosphate (PPM)]]&gt;0.05, "Some evidence", IF(AllData[[#This Row],[Phosphate (PPM)]]&lt;=0.05, "No Evidence", ""))))</f>
        <v>Very high</v>
      </c>
      <c r="U943">
        <v>0.13</v>
      </c>
      <c r="V943" t="s">
        <v>2087</v>
      </c>
    </row>
    <row r="944" spans="1:22" x14ac:dyDescent="0.35">
      <c r="A944" t="s">
        <v>2088</v>
      </c>
      <c r="B944" s="143">
        <v>45556</v>
      </c>
      <c r="C944" s="2" t="str" cm="1">
        <f t="array" ref="C9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4">
        <f>YEAR(AllData[[#This Row],[Date]])</f>
        <v>2024</v>
      </c>
      <c r="E944" s="1">
        <v>0.44305555555555554</v>
      </c>
      <c r="F944" t="str">
        <f>IF(AND(AllData[[#This Row],[Time]]&lt;0.5, AllData[[#This Row],[Time]]&gt;0.17)=TRUE, "Morning", IF(AND(AllData[[#This Row],[Time]]&lt;0.75, AllData[[#This Row],[Time]]&gt;=0.5)=TRUE, "Afternoon", IF(AND(AllData[[#This Row],[Time]]&lt;1, AllData[[#This Row],[Time]]&gt;=0.75)=TRUE, "Evening", "Night")))</f>
        <v>Morning</v>
      </c>
      <c r="G944" t="str">
        <f>_xlfn.XLOOKUP(AllData[[#This Row],[Location Name]], Locations[Location Name],Locations[Group As])</f>
        <v>Avon Smiths Meadow Wyre Piddle</v>
      </c>
      <c r="H944" t="e" vm="6">
        <f>_xlfn.XLOOKUP(AllData[[#This Row],[Site Name]],LocationsKey[Site Name],LocationsKey[District])</f>
        <v>#VALUE!</v>
      </c>
      <c r="I944" t="e" vm="13">
        <f>_xlfn.XLOOKUP(AllData[[#This Row],[Site Name]],LocationsKey[Site Name],LocationsKey[Town])</f>
        <v>#VALUE!</v>
      </c>
      <c r="J944" t="str">
        <f>_xlfn.XLOOKUP(AllData[[#This Row],[Site Name]],LocationsKey[Site Name], LocationsKey[Waterway])</f>
        <v>Avon</v>
      </c>
      <c r="K944" t="s">
        <v>784</v>
      </c>
      <c r="L944">
        <v>52.122914000000002</v>
      </c>
      <c r="M944">
        <v>-2.057461</v>
      </c>
      <c r="N944" t="s">
        <v>25</v>
      </c>
      <c r="O944">
        <v>997</v>
      </c>
      <c r="P944">
        <v>16.7</v>
      </c>
      <c r="Q944">
        <v>10</v>
      </c>
      <c r="R944" s="107" t="str">
        <f>IF(AllData[[#This Row],[Nitrate (PPM)]]&gt;2, "Very high", IF(AllData[[#This Row],[Nitrate (PPM)]]&gt;1, "High", IF(AllData[[#This Row],[Nitrate (PPM)]]&gt;0.5, "Some evidence", IF(AllData[[#This Row],[Nitrate (PPM)]]&gt;=0, "No evidence"))))</f>
        <v>Very high</v>
      </c>
      <c r="S944">
        <v>0.86</v>
      </c>
      <c r="T944" s="7" t="str">
        <f>IF(AllData[[#This Row],[Phosphate (PPM)]]&gt;0.5, "Very high", IF(AllData[[#This Row],[Phosphate (PPM)]]&gt;0.1, "High", IF(AllData[[#This Row],[Phosphate (PPM)]]&gt;0.05, "Some evidence", IF(AllData[[#This Row],[Phosphate (PPM)]]&lt;=0.05, "No Evidence", ""))))</f>
        <v>Very high</v>
      </c>
      <c r="U944">
        <v>0.49</v>
      </c>
      <c r="V944" t="s">
        <v>2089</v>
      </c>
    </row>
    <row r="945" spans="1:22" x14ac:dyDescent="0.35">
      <c r="A945" t="s">
        <v>2085</v>
      </c>
      <c r="B945" s="143">
        <v>45556</v>
      </c>
      <c r="C945" s="2" t="str" cm="1">
        <f t="array" ref="C9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5">
        <f>YEAR(AllData[[#This Row],[Date]])</f>
        <v>2024</v>
      </c>
      <c r="E945" s="1">
        <v>0.59305555555555556</v>
      </c>
      <c r="F945" t="str">
        <f>IF(AND(AllData[[#This Row],[Time]]&lt;0.5, AllData[[#This Row],[Time]]&gt;0.17)=TRUE, "Morning", IF(AND(AllData[[#This Row],[Time]]&lt;0.75, AllData[[#This Row],[Time]]&gt;=0.5)=TRUE, "Afternoon", IF(AND(AllData[[#This Row],[Time]]&lt;1, AllData[[#This Row],[Time]]&gt;=0.75)=TRUE, "Evening", "Night")))</f>
        <v>Afternoon</v>
      </c>
      <c r="G945" t="str">
        <f>_xlfn.XLOOKUP(AllData[[#This Row],[Location Name]], Locations[Location Name],Locations[Group As])</f>
        <v>Preston-on-Stour River Bridge</v>
      </c>
      <c r="H945" t="e" vm="1">
        <f>_xlfn.XLOOKUP(AllData[[#This Row],[Site Name]],LocationsKey[Site Name],LocationsKey[District])</f>
        <v>#VALUE!</v>
      </c>
      <c r="I945" t="e" vm="20">
        <f>_xlfn.XLOOKUP(AllData[[#This Row],[Site Name]],LocationsKey[Site Name],LocationsKey[Town])</f>
        <v>#VALUE!</v>
      </c>
      <c r="J945" t="str">
        <f>_xlfn.XLOOKUP(AllData[[#This Row],[Site Name]],LocationsKey[Site Name], LocationsKey[Waterway])</f>
        <v>Stour</v>
      </c>
      <c r="K945" t="s">
        <v>164</v>
      </c>
      <c r="L945">
        <v>52.154530000000001</v>
      </c>
      <c r="M945">
        <v>-1.6362429999999999</v>
      </c>
      <c r="N945" t="s">
        <v>31</v>
      </c>
      <c r="O945">
        <v>694</v>
      </c>
      <c r="P945">
        <v>16.5</v>
      </c>
      <c r="Q945">
        <v>6</v>
      </c>
      <c r="R945" s="107" t="str">
        <f>IF(AllData[[#This Row],[Nitrate (PPM)]]&gt;2, "Very high", IF(AllData[[#This Row],[Nitrate (PPM)]]&gt;1, "High", IF(AllData[[#This Row],[Nitrate (PPM)]]&gt;0.5, "Some evidence", IF(AllData[[#This Row],[Nitrate (PPM)]]&gt;=0, "No evidence"))))</f>
        <v>Very high</v>
      </c>
      <c r="S945">
        <v>0.48</v>
      </c>
      <c r="T945" s="7" t="str">
        <f>IF(AllData[[#This Row],[Phosphate (PPM)]]&gt;0.5, "Very high", IF(AllData[[#This Row],[Phosphate (PPM)]]&gt;0.1, "High", IF(AllData[[#This Row],[Phosphate (PPM)]]&gt;0.05, "Some evidence", IF(AllData[[#This Row],[Phosphate (PPM)]]&lt;=0.05, "No Evidence", ""))))</f>
        <v>High</v>
      </c>
      <c r="U945">
        <v>1</v>
      </c>
    </row>
    <row r="946" spans="1:22" x14ac:dyDescent="0.35">
      <c r="A946" t="s">
        <v>2082</v>
      </c>
      <c r="B946" s="143">
        <v>45556</v>
      </c>
      <c r="C946" s="2" t="str" cm="1">
        <f t="array" ref="C9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6">
        <f>YEAR(AllData[[#This Row],[Date]])</f>
        <v>2024</v>
      </c>
      <c r="E946" s="1">
        <v>0.69097222222222221</v>
      </c>
      <c r="F946" t="str">
        <f>IF(AND(AllData[[#This Row],[Time]]&lt;0.5, AllData[[#This Row],[Time]]&gt;0.17)=TRUE, "Morning", IF(AND(AllData[[#This Row],[Time]]&lt;0.75, AllData[[#This Row],[Time]]&gt;=0.5)=TRUE, "Afternoon", IF(AND(AllData[[#This Row],[Time]]&lt;1, AllData[[#This Row],[Time]]&gt;=0.75)=TRUE, "Evening", "Night")))</f>
        <v>Afternoon</v>
      </c>
      <c r="G946" t="str">
        <f>_xlfn.XLOOKUP(AllData[[#This Row],[Location Name]], Locations[Location Name],Locations[Group As])</f>
        <v>Fell Mill Footbridge</v>
      </c>
      <c r="H946" t="e" vm="1">
        <f>_xlfn.XLOOKUP(AllData[[#This Row],[Site Name]],LocationsKey[Site Name],LocationsKey[District])</f>
        <v>#VALUE!</v>
      </c>
      <c r="I946" t="e" vm="15">
        <f>_xlfn.XLOOKUP(AllData[[#This Row],[Site Name]],LocationsKey[Site Name],LocationsKey[Town])</f>
        <v>#VALUE!</v>
      </c>
      <c r="J946" t="str">
        <f>_xlfn.XLOOKUP(AllData[[#This Row],[Site Name]],LocationsKey[Site Name], LocationsKey[Waterway])</f>
        <v>Stour</v>
      </c>
      <c r="K946" t="s">
        <v>1968</v>
      </c>
      <c r="L946">
        <v>52.070086000000003</v>
      </c>
      <c r="M946">
        <v>-1.61145</v>
      </c>
      <c r="N946" t="s">
        <v>31</v>
      </c>
      <c r="O946">
        <v>647</v>
      </c>
      <c r="P946">
        <v>16.600000000000001</v>
      </c>
      <c r="Q946">
        <v>5</v>
      </c>
      <c r="R946" s="107" t="str">
        <f>IF(AllData[[#This Row],[Nitrate (PPM)]]&gt;2, "Very high", IF(AllData[[#This Row],[Nitrate (PPM)]]&gt;1, "High", IF(AllData[[#This Row],[Nitrate (PPM)]]&gt;0.5, "Some evidence", IF(AllData[[#This Row],[Nitrate (PPM)]]&gt;=0, "No evidence"))))</f>
        <v>Very high</v>
      </c>
      <c r="S946">
        <v>0.46</v>
      </c>
      <c r="T946" s="7" t="str">
        <f>IF(AllData[[#This Row],[Phosphate (PPM)]]&gt;0.5, "Very high", IF(AllData[[#This Row],[Phosphate (PPM)]]&gt;0.1, "High", IF(AllData[[#This Row],[Phosphate (PPM)]]&gt;0.05, "Some evidence", IF(AllData[[#This Row],[Phosphate (PPM)]]&lt;=0.05, "No Evidence", ""))))</f>
        <v>High</v>
      </c>
      <c r="U946">
        <v>0.6</v>
      </c>
    </row>
    <row r="947" spans="1:22" x14ac:dyDescent="0.35">
      <c r="A947" t="s">
        <v>2083</v>
      </c>
      <c r="B947" s="143">
        <v>45556</v>
      </c>
      <c r="C947" s="2" t="str" cm="1">
        <f t="array" ref="C9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7">
        <f>YEAR(AllData[[#This Row],[Date]])</f>
        <v>2024</v>
      </c>
      <c r="E947" s="1">
        <v>0.52083333333333337</v>
      </c>
      <c r="F947" t="str">
        <f>IF(AND(AllData[[#This Row],[Time]]&lt;0.5, AllData[[#This Row],[Time]]&gt;0.17)=TRUE, "Morning", IF(AND(AllData[[#This Row],[Time]]&lt;0.75, AllData[[#This Row],[Time]]&gt;=0.5)=TRUE, "Afternoon", IF(AND(AllData[[#This Row],[Time]]&lt;1, AllData[[#This Row],[Time]]&gt;=0.75)=TRUE, "Evening", "Night")))</f>
        <v>Afternoon</v>
      </c>
      <c r="G947" t="str">
        <f>_xlfn.XLOOKUP(AllData[[#This Row],[Location Name]], Locations[Location Name],Locations[Group As])</f>
        <v>Carrant Bredon Rd</v>
      </c>
      <c r="H947" t="e" vm="4">
        <f>_xlfn.XLOOKUP(AllData[[#This Row],[Site Name]],LocationsKey[Site Name],LocationsKey[District])</f>
        <v>#VALUE!</v>
      </c>
      <c r="I947" t="e" vm="4">
        <f>_xlfn.XLOOKUP(AllData[[#This Row],[Site Name]],LocationsKey[Site Name],LocationsKey[Town])</f>
        <v>#VALUE!</v>
      </c>
      <c r="J947" t="str">
        <f>_xlfn.XLOOKUP(AllData[[#This Row],[Site Name]],LocationsKey[Site Name], LocationsKey[Waterway])</f>
        <v>Carrant</v>
      </c>
      <c r="K947" t="s">
        <v>603</v>
      </c>
      <c r="L947">
        <v>51.996299999999998</v>
      </c>
      <c r="M947">
        <v>-2.1560640000000002</v>
      </c>
      <c r="N947" t="s">
        <v>25</v>
      </c>
      <c r="O947">
        <v>496</v>
      </c>
      <c r="P947">
        <v>16.399999999999999</v>
      </c>
      <c r="Q947">
        <v>4</v>
      </c>
      <c r="R947" s="107" t="str">
        <f>IF(AllData[[#This Row],[Nitrate (PPM)]]&gt;2, "Very high", IF(AllData[[#This Row],[Nitrate (PPM)]]&gt;1, "High", IF(AllData[[#This Row],[Nitrate (PPM)]]&gt;0.5, "Some evidence", IF(AllData[[#This Row],[Nitrate (PPM)]]&gt;=0, "No evidence"))))</f>
        <v>Very high</v>
      </c>
      <c r="S947">
        <v>0.44</v>
      </c>
      <c r="T947" s="7" t="str">
        <f>IF(AllData[[#This Row],[Phosphate (PPM)]]&gt;0.5, "Very high", IF(AllData[[#This Row],[Phosphate (PPM)]]&gt;0.1, "High", IF(AllData[[#This Row],[Phosphate (PPM)]]&gt;0.05, "Some evidence", IF(AllData[[#This Row],[Phosphate (PPM)]]&lt;=0.05, "No Evidence", ""))))</f>
        <v>High</v>
      </c>
      <c r="U947">
        <v>0</v>
      </c>
      <c r="V947" t="s">
        <v>2084</v>
      </c>
    </row>
    <row r="948" spans="1:22" x14ac:dyDescent="0.35">
      <c r="A948" t="s">
        <v>2081</v>
      </c>
      <c r="B948" s="143">
        <v>45555</v>
      </c>
      <c r="C948" s="2" t="str" cm="1">
        <f t="array" ref="C9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8">
        <f>YEAR(AllData[[#This Row],[Date]])</f>
        <v>2024</v>
      </c>
      <c r="E948" s="1">
        <v>0.40416666666666667</v>
      </c>
      <c r="F948" t="str">
        <f>IF(AND(AllData[[#This Row],[Time]]&lt;0.5, AllData[[#This Row],[Time]]&gt;0.17)=TRUE, "Morning", IF(AND(AllData[[#This Row],[Time]]&lt;0.75, AllData[[#This Row],[Time]]&gt;=0.5)=TRUE, "Afternoon", IF(AND(AllData[[#This Row],[Time]]&lt;1, AllData[[#This Row],[Time]]&gt;=0.75)=TRUE, "Evening", "Night")))</f>
        <v>Morning</v>
      </c>
      <c r="G948" t="str">
        <f>_xlfn.XLOOKUP(AllData[[#This Row],[Location Name]], Locations[Location Name],Locations[Group As])</f>
        <v>Lower Lode</v>
      </c>
      <c r="H948" t="e" vm="4">
        <f>_xlfn.XLOOKUP(AllData[[#This Row],[Site Name]],LocationsKey[Site Name],LocationsKey[District])</f>
        <v>#VALUE!</v>
      </c>
      <c r="I948" t="e" vm="4">
        <f>_xlfn.XLOOKUP(AllData[[#This Row],[Site Name]],LocationsKey[Site Name],LocationsKey[Town])</f>
        <v>#VALUE!</v>
      </c>
      <c r="J948" t="str">
        <f>_xlfn.XLOOKUP(AllData[[#This Row],[Site Name]],LocationsKey[Site Name], LocationsKey[Waterway])</f>
        <v>Avon</v>
      </c>
      <c r="K948" t="s">
        <v>595</v>
      </c>
      <c r="L948">
        <v>51.985028999999997</v>
      </c>
      <c r="M948">
        <v>-2.1742849999999998</v>
      </c>
      <c r="N948" t="s">
        <v>31</v>
      </c>
      <c r="O948">
        <v>9850</v>
      </c>
      <c r="P948">
        <v>17.5</v>
      </c>
      <c r="Q948">
        <v>20</v>
      </c>
      <c r="R948" s="107" t="str">
        <f>IF(AllData[[#This Row],[Nitrate (PPM)]]&gt;2, "Very high", IF(AllData[[#This Row],[Nitrate (PPM)]]&gt;1, "High", IF(AllData[[#This Row],[Nitrate (PPM)]]&gt;0.5, "Some evidence", IF(AllData[[#This Row],[Nitrate (PPM)]]&gt;=0, "No evidence"))))</f>
        <v>Very high</v>
      </c>
      <c r="S948">
        <v>0.95</v>
      </c>
      <c r="T948" s="7" t="str">
        <f>IF(AllData[[#This Row],[Phosphate (PPM)]]&gt;0.5, "Very high", IF(AllData[[#This Row],[Phosphate (PPM)]]&gt;0.1, "High", IF(AllData[[#This Row],[Phosphate (PPM)]]&gt;0.05, "Some evidence", IF(AllData[[#This Row],[Phosphate (PPM)]]&lt;=0.05, "No Evidence", ""))))</f>
        <v>Very high</v>
      </c>
      <c r="U948">
        <v>1</v>
      </c>
    </row>
    <row r="949" spans="1:22" x14ac:dyDescent="0.35">
      <c r="A949" t="s">
        <v>2079</v>
      </c>
      <c r="B949" s="143">
        <v>45555</v>
      </c>
      <c r="C949" s="2" t="str" cm="1">
        <f t="array" ref="C9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49">
        <f>YEAR(AllData[[#This Row],[Date]])</f>
        <v>2024</v>
      </c>
      <c r="E949" s="1">
        <v>0.46944444444444444</v>
      </c>
      <c r="F949" t="str">
        <f>IF(AND(AllData[[#This Row],[Time]]&lt;0.5, AllData[[#This Row],[Time]]&gt;0.17)=TRUE, "Morning", IF(AND(AllData[[#This Row],[Time]]&lt;0.75, AllData[[#This Row],[Time]]&gt;=0.5)=TRUE, "Afternoon", IF(AND(AllData[[#This Row],[Time]]&lt;1, AllData[[#This Row],[Time]]&gt;=0.75)=TRUE, "Evening", "Night")))</f>
        <v>Morning</v>
      </c>
      <c r="G949" t="str">
        <f>_xlfn.XLOOKUP(AllData[[#This Row],[Location Name]], Locations[Location Name],Locations[Group As])</f>
        <v>Site 3  :  Severn Trent Water processing plant outflow</v>
      </c>
      <c r="H949" t="e" vm="1">
        <f>_xlfn.XLOOKUP(AllData[[#This Row],[Site Name]],LocationsKey[Site Name],LocationsKey[District])</f>
        <v>#VALUE!</v>
      </c>
      <c r="I949" t="e" vm="14">
        <f>_xlfn.XLOOKUP(AllData[[#This Row],[Site Name]],LocationsKey[Site Name],LocationsKey[Town])</f>
        <v>#VALUE!</v>
      </c>
      <c r="J949" t="str">
        <f>_xlfn.XLOOKUP(AllData[[#This Row],[Site Name]],LocationsKey[Site Name], LocationsKey[Waterway])</f>
        <v>Fosseway Brook</v>
      </c>
      <c r="K949" t="s">
        <v>1826</v>
      </c>
      <c r="L949">
        <v>52.094475000000003</v>
      </c>
      <c r="M949">
        <v>-1.675886</v>
      </c>
      <c r="N949" t="s">
        <v>31</v>
      </c>
      <c r="O949">
        <v>877</v>
      </c>
      <c r="P949">
        <v>16.399999999999999</v>
      </c>
      <c r="Q949">
        <v>10</v>
      </c>
      <c r="R949" s="107" t="str">
        <f>IF(AllData[[#This Row],[Nitrate (PPM)]]&gt;2, "Very high", IF(AllData[[#This Row],[Nitrate (PPM)]]&gt;1, "High", IF(AllData[[#This Row],[Nitrate (PPM)]]&gt;0.5, "Some evidence", IF(AllData[[#This Row],[Nitrate (PPM)]]&gt;=0, "No evidence"))))</f>
        <v>Very high</v>
      </c>
      <c r="S949">
        <v>2.5</v>
      </c>
      <c r="T949" s="7" t="str">
        <f>IF(AllData[[#This Row],[Phosphate (PPM)]]&gt;0.5, "Very high", IF(AllData[[#This Row],[Phosphate (PPM)]]&gt;0.1, "High", IF(AllData[[#This Row],[Phosphate (PPM)]]&gt;0.05, "Some evidence", IF(AllData[[#This Row],[Phosphate (PPM)]]&lt;=0.05, "No Evidence", ""))))</f>
        <v>Very high</v>
      </c>
      <c r="U949">
        <v>0.2</v>
      </c>
      <c r="V949" t="s">
        <v>2080</v>
      </c>
    </row>
    <row r="950" spans="1:22" x14ac:dyDescent="0.35">
      <c r="A950" t="s">
        <v>2067</v>
      </c>
      <c r="B950" s="143">
        <v>45555</v>
      </c>
      <c r="C950" s="2" t="str" cm="1">
        <f t="array" ref="C9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0">
        <f>YEAR(AllData[[#This Row],[Date]])</f>
        <v>2024</v>
      </c>
      <c r="E950" s="1">
        <v>0.66666666666666663</v>
      </c>
      <c r="F950" t="str">
        <f>IF(AND(AllData[[#This Row],[Time]]&lt;0.5, AllData[[#This Row],[Time]]&gt;0.17)=TRUE, "Morning", IF(AND(AllData[[#This Row],[Time]]&lt;0.75, AllData[[#This Row],[Time]]&gt;=0.5)=TRUE, "Afternoon", IF(AND(AllData[[#This Row],[Time]]&lt;1, AllData[[#This Row],[Time]]&gt;=0.75)=TRUE, "Evening", "Night")))</f>
        <v>Afternoon</v>
      </c>
      <c r="G950" t="str">
        <f>_xlfn.XLOOKUP(AllData[[#This Row],[Location Name]], Locations[Location Name],Locations[Group As])</f>
        <v>Swiffen Bank</v>
      </c>
      <c r="H950" t="e" vm="1">
        <f>_xlfn.XLOOKUP(AllData[[#This Row],[Site Name]],LocationsKey[Site Name],LocationsKey[District])</f>
        <v>#VALUE!</v>
      </c>
      <c r="I950" t="e" vm="2">
        <f>_xlfn.XLOOKUP(AllData[[#This Row],[Site Name]],LocationsKey[Site Name],LocationsKey[Town])</f>
        <v>#VALUE!</v>
      </c>
      <c r="J950" t="str">
        <f>_xlfn.XLOOKUP(AllData[[#This Row],[Site Name]],LocationsKey[Site Name], LocationsKey[Waterway])</f>
        <v>Avon</v>
      </c>
      <c r="K950" t="s">
        <v>1448</v>
      </c>
      <c r="L950">
        <v>52.220647999999997</v>
      </c>
      <c r="M950">
        <v>-1.653894</v>
      </c>
      <c r="N950" t="s">
        <v>31</v>
      </c>
      <c r="O950">
        <v>725</v>
      </c>
      <c r="P950">
        <v>17.2</v>
      </c>
      <c r="Q950">
        <v>10</v>
      </c>
      <c r="R950" s="107" t="str">
        <f>IF(AllData[[#This Row],[Nitrate (PPM)]]&gt;2, "Very high", IF(AllData[[#This Row],[Nitrate (PPM)]]&gt;1, "High", IF(AllData[[#This Row],[Nitrate (PPM)]]&gt;0.5, "Some evidence", IF(AllData[[#This Row],[Nitrate (PPM)]]&gt;=0, "No evidence"))))</f>
        <v>Very high</v>
      </c>
      <c r="S950">
        <v>0.33</v>
      </c>
      <c r="T950" s="7" t="str">
        <f>IF(AllData[[#This Row],[Phosphate (PPM)]]&gt;0.5, "Very high", IF(AllData[[#This Row],[Phosphate (PPM)]]&gt;0.1, "High", IF(AllData[[#This Row],[Phosphate (PPM)]]&gt;0.05, "Some evidence", IF(AllData[[#This Row],[Phosphate (PPM)]]&lt;=0.05, "No Evidence", ""))))</f>
        <v>High</v>
      </c>
      <c r="U950">
        <v>0</v>
      </c>
      <c r="V950" t="s">
        <v>2068</v>
      </c>
    </row>
    <row r="951" spans="1:22" x14ac:dyDescent="0.35">
      <c r="A951" t="s">
        <v>2069</v>
      </c>
      <c r="B951" s="143">
        <v>45555</v>
      </c>
      <c r="C951" s="2" t="str" cm="1">
        <f t="array" ref="C9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1">
        <f>YEAR(AllData[[#This Row],[Date]])</f>
        <v>2024</v>
      </c>
      <c r="E951" s="1">
        <v>0.73402777777777772</v>
      </c>
      <c r="F951" t="str">
        <f>IF(AND(AllData[[#This Row],[Time]]&lt;0.5, AllData[[#This Row],[Time]]&gt;0.17)=TRUE, "Morning", IF(AND(AllData[[#This Row],[Time]]&lt;0.75, AllData[[#This Row],[Time]]&gt;=0.5)=TRUE, "Afternoon", IF(AND(AllData[[#This Row],[Time]]&lt;1, AllData[[#This Row],[Time]]&gt;=0.75)=TRUE, "Evening", "Night")))</f>
        <v>Afternoon</v>
      </c>
      <c r="G951" t="str">
        <f>_xlfn.XLOOKUP(AllData[[#This Row],[Location Name]], Locations[Location Name],Locations[Group As])</f>
        <v>Mill Bridge Peopleton</v>
      </c>
      <c r="H951" t="e" vm="6">
        <f>_xlfn.XLOOKUP(AllData[[#This Row],[Site Name]],LocationsKey[Site Name],LocationsKey[District])</f>
        <v>#VALUE!</v>
      </c>
      <c r="I951" t="str">
        <f>_xlfn.XLOOKUP(AllData[[#This Row],[Site Name]],LocationsKey[Site Name],LocationsKey[Town])</f>
        <v>Peopleton</v>
      </c>
      <c r="J951" t="str">
        <f>_xlfn.XLOOKUP(AllData[[#This Row],[Site Name]],LocationsKey[Site Name], LocationsKey[Waterway])</f>
        <v>Bow Brook</v>
      </c>
      <c r="K951" t="s">
        <v>1015</v>
      </c>
      <c r="L951">
        <v>52.15175</v>
      </c>
      <c r="M951">
        <v>-2.0963599999999998</v>
      </c>
      <c r="N951" t="s">
        <v>31</v>
      </c>
      <c r="O951">
        <v>1310</v>
      </c>
      <c r="P951">
        <v>16.3</v>
      </c>
      <c r="Q951">
        <v>5</v>
      </c>
      <c r="R951" s="107" t="str">
        <f>IF(AllData[[#This Row],[Nitrate (PPM)]]&gt;2, "Very high", IF(AllData[[#This Row],[Nitrate (PPM)]]&gt;1, "High", IF(AllData[[#This Row],[Nitrate (PPM)]]&gt;0.5, "Some evidence", IF(AllData[[#This Row],[Nitrate (PPM)]]&gt;=0, "No evidence"))))</f>
        <v>Very high</v>
      </c>
      <c r="S951">
        <v>1.4</v>
      </c>
      <c r="T951" s="7" t="str">
        <f>IF(AllData[[#This Row],[Phosphate (PPM)]]&gt;0.5, "Very high", IF(AllData[[#This Row],[Phosphate (PPM)]]&gt;0.1, "High", IF(AllData[[#This Row],[Phosphate (PPM)]]&gt;0.05, "Some evidence", IF(AllData[[#This Row],[Phosphate (PPM)]]&lt;=0.05, "No Evidence", ""))))</f>
        <v>Very high</v>
      </c>
      <c r="U951">
        <v>0.3</v>
      </c>
      <c r="V951" t="s">
        <v>2070</v>
      </c>
    </row>
    <row r="952" spans="1:22" x14ac:dyDescent="0.35">
      <c r="A952" t="s">
        <v>2075</v>
      </c>
      <c r="B952" s="143">
        <v>45555</v>
      </c>
      <c r="C952" s="2" t="str" cm="1">
        <f t="array" ref="C9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2">
        <f>YEAR(AllData[[#This Row],[Date]])</f>
        <v>2024</v>
      </c>
      <c r="E952" s="1">
        <v>0.6333333333333333</v>
      </c>
      <c r="F952" t="str">
        <f>IF(AND(AllData[[#This Row],[Time]]&lt;0.5, AllData[[#This Row],[Time]]&gt;0.17)=TRUE, "Morning", IF(AND(AllData[[#This Row],[Time]]&lt;0.75, AllData[[#This Row],[Time]]&gt;=0.5)=TRUE, "Afternoon", IF(AND(AllData[[#This Row],[Time]]&lt;1, AllData[[#This Row],[Time]]&gt;=0.75)=TRUE, "Evening", "Night")))</f>
        <v>Afternoon</v>
      </c>
      <c r="G952" t="str">
        <f>_xlfn.XLOOKUP(AllData[[#This Row],[Location Name]], Locations[Location Name],Locations[Group As])</f>
        <v>Stour Shipston Mill Bridge</v>
      </c>
      <c r="H952" t="e" vm="1">
        <f>_xlfn.XLOOKUP(AllData[[#This Row],[Site Name]],LocationsKey[Site Name],LocationsKey[District])</f>
        <v>#VALUE!</v>
      </c>
      <c r="I952" t="e" vm="15">
        <f>_xlfn.XLOOKUP(AllData[[#This Row],[Site Name]],LocationsKey[Site Name],LocationsKey[Town])</f>
        <v>#VALUE!</v>
      </c>
      <c r="J952" t="str">
        <f>_xlfn.XLOOKUP(AllData[[#This Row],[Site Name]],LocationsKey[Site Name], LocationsKey[Waterway])</f>
        <v>Stour</v>
      </c>
      <c r="K952" t="s">
        <v>2038</v>
      </c>
      <c r="L952">
        <v>52.062291999999999</v>
      </c>
      <c r="M952">
        <v>-1.6218429999999999</v>
      </c>
      <c r="N952" t="s">
        <v>25</v>
      </c>
      <c r="O952">
        <v>989</v>
      </c>
      <c r="P952">
        <v>17.600000000000001</v>
      </c>
      <c r="Q952">
        <v>5</v>
      </c>
      <c r="R952" s="107" t="str">
        <f>IF(AllData[[#This Row],[Nitrate (PPM)]]&gt;2, "Very high", IF(AllData[[#This Row],[Nitrate (PPM)]]&gt;1, "High", IF(AllData[[#This Row],[Nitrate (PPM)]]&gt;0.5, "Some evidence", IF(AllData[[#This Row],[Nitrate (PPM)]]&gt;=0, "No evidence"))))</f>
        <v>Very high</v>
      </c>
      <c r="S952">
        <v>0.34</v>
      </c>
      <c r="T952" s="7" t="str">
        <f>IF(AllData[[#This Row],[Phosphate (PPM)]]&gt;0.5, "Very high", IF(AllData[[#This Row],[Phosphate (PPM)]]&gt;0.1, "High", IF(AllData[[#This Row],[Phosphate (PPM)]]&gt;0.05, "Some evidence", IF(AllData[[#This Row],[Phosphate (PPM)]]&lt;=0.05, "No Evidence", ""))))</f>
        <v>High</v>
      </c>
      <c r="U952">
        <v>0.5</v>
      </c>
      <c r="V952" t="s">
        <v>2076</v>
      </c>
    </row>
    <row r="953" spans="1:22" x14ac:dyDescent="0.35">
      <c r="A953" t="s">
        <v>2071</v>
      </c>
      <c r="B953" s="143">
        <v>45555</v>
      </c>
      <c r="C953" s="2" t="str" cm="1">
        <f t="array" ref="C9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3">
        <f>YEAR(AllData[[#This Row],[Date]])</f>
        <v>2024</v>
      </c>
      <c r="E953" s="1">
        <v>0.66597222222222219</v>
      </c>
      <c r="F953" t="str">
        <f>IF(AND(AllData[[#This Row],[Time]]&lt;0.5, AllData[[#This Row],[Time]]&gt;0.17)=TRUE, "Morning", IF(AND(AllData[[#This Row],[Time]]&lt;0.75, AllData[[#This Row],[Time]]&gt;=0.5)=TRUE, "Afternoon", IF(AND(AllData[[#This Row],[Time]]&lt;1, AllData[[#This Row],[Time]]&gt;=0.75)=TRUE, "Evening", "Night")))</f>
        <v>Afternoon</v>
      </c>
      <c r="G953" t="str">
        <f>_xlfn.XLOOKUP(AllData[[#This Row],[Location Name]], Locations[Location Name],Locations[Group As])</f>
        <v>Preston Bagot Brook</v>
      </c>
      <c r="H953" t="e" vm="1">
        <f>_xlfn.XLOOKUP(AllData[[#This Row],[Site Name]],LocationsKey[Site Name],LocationsKey[District])</f>
        <v>#VALUE!</v>
      </c>
      <c r="I953" t="e" vm="21">
        <f>_xlfn.XLOOKUP(AllData[[#This Row],[Site Name]],LocationsKey[Site Name],LocationsKey[Town])</f>
        <v>#VALUE!</v>
      </c>
      <c r="J953" t="str">
        <f>_xlfn.XLOOKUP(AllData[[#This Row],[Site Name]],LocationsKey[Site Name], LocationsKey[Waterway])</f>
        <v>Preston Bagot Brook</v>
      </c>
      <c r="K953" t="s">
        <v>2072</v>
      </c>
      <c r="L953">
        <v>52.286000000000001</v>
      </c>
      <c r="M953">
        <v>-1.7470000000000001</v>
      </c>
      <c r="N953" t="s">
        <v>25</v>
      </c>
      <c r="O953">
        <v>1160</v>
      </c>
      <c r="P953">
        <v>16.3</v>
      </c>
      <c r="Q953">
        <v>3</v>
      </c>
      <c r="R953" s="107" t="str">
        <f>IF(AllData[[#This Row],[Nitrate (PPM)]]&gt;2, "Very high", IF(AllData[[#This Row],[Nitrate (PPM)]]&gt;1, "High", IF(AllData[[#This Row],[Nitrate (PPM)]]&gt;0.5, "Some evidence", IF(AllData[[#This Row],[Nitrate (PPM)]]&gt;=0, "No evidence"))))</f>
        <v>Very high</v>
      </c>
      <c r="S953">
        <v>0.61</v>
      </c>
      <c r="T953" s="7" t="str">
        <f>IF(AllData[[#This Row],[Phosphate (PPM)]]&gt;0.5, "Very high", IF(AllData[[#This Row],[Phosphate (PPM)]]&gt;0.1, "High", IF(AllData[[#This Row],[Phosphate (PPM)]]&gt;0.05, "Some evidence", IF(AllData[[#This Row],[Phosphate (PPM)]]&lt;=0.05, "No Evidence", ""))))</f>
        <v>Very high</v>
      </c>
      <c r="U953">
        <v>1</v>
      </c>
    </row>
    <row r="954" spans="1:22" x14ac:dyDescent="0.35">
      <c r="A954" t="s">
        <v>2077</v>
      </c>
      <c r="B954" s="143">
        <v>45555</v>
      </c>
      <c r="C954" s="2" t="str" cm="1">
        <f t="array" ref="C9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4">
        <f>YEAR(AllData[[#This Row],[Date]])</f>
        <v>2024</v>
      </c>
      <c r="E954" s="1">
        <v>0.41944444444444445</v>
      </c>
      <c r="F954" t="str">
        <f>IF(AND(AllData[[#This Row],[Time]]&lt;0.5, AllData[[#This Row],[Time]]&gt;0.17)=TRUE, "Morning", IF(AND(AllData[[#This Row],[Time]]&lt;0.75, AllData[[#This Row],[Time]]&gt;=0.5)=TRUE, "Afternoon", IF(AND(AllData[[#This Row],[Time]]&lt;1, AllData[[#This Row],[Time]]&gt;=0.75)=TRUE, "Evening", "Night")))</f>
        <v>Morning</v>
      </c>
      <c r="G954" t="str">
        <f>_xlfn.XLOOKUP(AllData[[#This Row],[Location Name]], Locations[Location Name],Locations[Group As])</f>
        <v>Site 1  :  Middle Street</v>
      </c>
      <c r="H954" t="e" vm="1">
        <f>_xlfn.XLOOKUP(AllData[[#This Row],[Site Name]],LocationsKey[Site Name],LocationsKey[District])</f>
        <v>#VALUE!</v>
      </c>
      <c r="I954" t="e" vm="14">
        <f>_xlfn.XLOOKUP(AllData[[#This Row],[Site Name]],LocationsKey[Site Name],LocationsKey[Town])</f>
        <v>#VALUE!</v>
      </c>
      <c r="J954" t="str">
        <f>_xlfn.XLOOKUP(AllData[[#This Row],[Site Name]],LocationsKey[Site Name], LocationsKey[Waterway])</f>
        <v>Fosseway Brook</v>
      </c>
      <c r="K954" t="s">
        <v>678</v>
      </c>
      <c r="L954">
        <v>52.090085000000002</v>
      </c>
      <c r="M954">
        <v>-1.692593</v>
      </c>
      <c r="N954" t="s">
        <v>68</v>
      </c>
      <c r="O954">
        <v>613</v>
      </c>
      <c r="P954">
        <v>15.7</v>
      </c>
      <c r="Q954">
        <v>2</v>
      </c>
      <c r="R954" s="107" t="str">
        <f>IF(AllData[[#This Row],[Nitrate (PPM)]]&gt;2, "Very high", IF(AllData[[#This Row],[Nitrate (PPM)]]&gt;1, "High", IF(AllData[[#This Row],[Nitrate (PPM)]]&gt;0.5, "Some evidence", IF(AllData[[#This Row],[Nitrate (PPM)]]&gt;=0, "No evidence"))))</f>
        <v>High</v>
      </c>
      <c r="S954">
        <v>1</v>
      </c>
      <c r="T954" s="7" t="str">
        <f>IF(AllData[[#This Row],[Phosphate (PPM)]]&gt;0.5, "Very high", IF(AllData[[#This Row],[Phosphate (PPM)]]&gt;0.1, "High", IF(AllData[[#This Row],[Phosphate (PPM)]]&gt;0.05, "Some evidence", IF(AllData[[#This Row],[Phosphate (PPM)]]&lt;=0.05, "No Evidence", ""))))</f>
        <v>Very high</v>
      </c>
      <c r="U954">
        <v>0.5</v>
      </c>
    </row>
    <row r="955" spans="1:22" x14ac:dyDescent="0.35">
      <c r="A955" t="s">
        <v>2073</v>
      </c>
      <c r="B955" s="143">
        <v>45555</v>
      </c>
      <c r="C955" s="2" t="str" cm="1">
        <f t="array" ref="C9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5">
        <f>YEAR(AllData[[#This Row],[Date]])</f>
        <v>2024</v>
      </c>
      <c r="E955" s="1">
        <v>0.66180555555555554</v>
      </c>
      <c r="F955" t="str">
        <f>IF(AND(AllData[[#This Row],[Time]]&lt;0.5, AllData[[#This Row],[Time]]&gt;0.17)=TRUE, "Morning", IF(AND(AllData[[#This Row],[Time]]&lt;0.75, AllData[[#This Row],[Time]]&gt;=0.5)=TRUE, "Afternoon", IF(AND(AllData[[#This Row],[Time]]&lt;1, AllData[[#This Row],[Time]]&gt;=0.75)=TRUE, "Evening", "Night")))</f>
        <v>Afternoon</v>
      </c>
      <c r="G955" t="str">
        <f>_xlfn.XLOOKUP(AllData[[#This Row],[Location Name]], Locations[Location Name],Locations[Group As])</f>
        <v>Preston Bagot Canal</v>
      </c>
      <c r="H955" t="e" vm="1">
        <f>_xlfn.XLOOKUP(AllData[[#This Row],[Site Name]],LocationsKey[Site Name],LocationsKey[District])</f>
        <v>#VALUE!</v>
      </c>
      <c r="I955" t="e" vm="21">
        <f>_xlfn.XLOOKUP(AllData[[#This Row],[Site Name]],LocationsKey[Site Name],LocationsKey[Town])</f>
        <v>#VALUE!</v>
      </c>
      <c r="J955" t="str">
        <f>_xlfn.XLOOKUP(AllData[[#This Row],[Site Name]],LocationsKey[Site Name], LocationsKey[Waterway])</f>
        <v>Preston Bagot Canal</v>
      </c>
      <c r="K955" t="s">
        <v>2074</v>
      </c>
      <c r="L955">
        <v>52.286999999999999</v>
      </c>
      <c r="M955">
        <v>1.746</v>
      </c>
      <c r="N955" t="s">
        <v>25</v>
      </c>
      <c r="O955">
        <v>516</v>
      </c>
      <c r="P955">
        <v>16.8</v>
      </c>
      <c r="Q955">
        <v>2</v>
      </c>
      <c r="R955" s="107" t="str">
        <f>IF(AllData[[#This Row],[Nitrate (PPM)]]&gt;2, "Very high", IF(AllData[[#This Row],[Nitrate (PPM)]]&gt;1, "High", IF(AllData[[#This Row],[Nitrate (PPM)]]&gt;0.5, "Some evidence", IF(AllData[[#This Row],[Nitrate (PPM)]]&gt;=0, "No evidence"))))</f>
        <v>High</v>
      </c>
      <c r="S955">
        <v>0.12</v>
      </c>
      <c r="T955" s="7" t="str">
        <f>IF(AllData[[#This Row],[Phosphate (PPM)]]&gt;0.5, "Very high", IF(AllData[[#This Row],[Phosphate (PPM)]]&gt;0.1, "High", IF(AllData[[#This Row],[Phosphate (PPM)]]&gt;0.05, "Some evidence", IF(AllData[[#This Row],[Phosphate (PPM)]]&lt;=0.05, "No Evidence", ""))))</f>
        <v>High</v>
      </c>
      <c r="U955">
        <v>0</v>
      </c>
    </row>
    <row r="956" spans="1:22" x14ac:dyDescent="0.35">
      <c r="A956" t="s">
        <v>2078</v>
      </c>
      <c r="B956" s="143">
        <v>45555</v>
      </c>
      <c r="C956" s="2" t="str" cm="1">
        <f t="array" ref="C9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6">
        <f>YEAR(AllData[[#This Row],[Date]])</f>
        <v>2024</v>
      </c>
      <c r="E956" s="1">
        <v>0.46319444444444446</v>
      </c>
      <c r="F956" t="str">
        <f>IF(AND(AllData[[#This Row],[Time]]&lt;0.5, AllData[[#This Row],[Time]]&gt;0.17)=TRUE, "Morning", IF(AND(AllData[[#This Row],[Time]]&lt;0.75, AllData[[#This Row],[Time]]&gt;=0.5)=TRUE, "Afternoon", IF(AND(AllData[[#This Row],[Time]]&lt;1, AllData[[#This Row],[Time]]&gt;=0.75)=TRUE, "Evening", "Night")))</f>
        <v>Morning</v>
      </c>
      <c r="G956" t="str">
        <f>_xlfn.XLOOKUP(AllData[[#This Row],[Location Name]], Locations[Location Name],Locations[Group As])</f>
        <v>Site 2  :  Cross Leys culvert</v>
      </c>
      <c r="H956" t="e" vm="1">
        <f>_xlfn.XLOOKUP(AllData[[#This Row],[Site Name]],LocationsKey[Site Name],LocationsKey[District])</f>
        <v>#VALUE!</v>
      </c>
      <c r="I956" t="e" vm="14">
        <f>_xlfn.XLOOKUP(AllData[[#This Row],[Site Name]],LocationsKey[Site Name],LocationsKey[Town])</f>
        <v>#VALUE!</v>
      </c>
      <c r="J956" t="str">
        <f>_xlfn.XLOOKUP(AllData[[#This Row],[Site Name]],LocationsKey[Site Name], LocationsKey[Waterway])</f>
        <v>Fosseway Brook</v>
      </c>
      <c r="K956" t="s">
        <v>1951</v>
      </c>
      <c r="L956">
        <v>52.092967999999999</v>
      </c>
      <c r="M956">
        <v>-1.6862710000000001</v>
      </c>
      <c r="N956" t="s">
        <v>68</v>
      </c>
      <c r="O956">
        <v>783</v>
      </c>
      <c r="P956">
        <v>15.1</v>
      </c>
      <c r="Q956">
        <v>0</v>
      </c>
      <c r="R956" s="107" t="str">
        <f>IF(AllData[[#This Row],[Nitrate (PPM)]]&gt;2, "Very high", IF(AllData[[#This Row],[Nitrate (PPM)]]&gt;1, "High", IF(AllData[[#This Row],[Nitrate (PPM)]]&gt;0.5, "Some evidence", IF(AllData[[#This Row],[Nitrate (PPM)]]&gt;=0, "No evidence"))))</f>
        <v>No evidence</v>
      </c>
      <c r="S956">
        <v>2.5</v>
      </c>
      <c r="T956" s="7" t="str">
        <f>IF(AllData[[#This Row],[Phosphate (PPM)]]&gt;0.5, "Very high", IF(AllData[[#This Row],[Phosphate (PPM)]]&gt;0.1, "High", IF(AllData[[#This Row],[Phosphate (PPM)]]&gt;0.05, "Some evidence", IF(AllData[[#This Row],[Phosphate (PPM)]]&lt;=0.05, "No Evidence", ""))))</f>
        <v>Very high</v>
      </c>
      <c r="U956">
        <v>0.1</v>
      </c>
    </row>
    <row r="957" spans="1:22" x14ac:dyDescent="0.35">
      <c r="A957" t="s">
        <v>2063</v>
      </c>
      <c r="B957" s="143">
        <v>45554</v>
      </c>
      <c r="C957" s="2" t="str" cm="1">
        <f t="array" ref="C9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7">
        <f>YEAR(AllData[[#This Row],[Date]])</f>
        <v>2024</v>
      </c>
      <c r="E957" s="1">
        <v>0.41666666666666669</v>
      </c>
      <c r="F957" t="str">
        <f>IF(AND(AllData[[#This Row],[Time]]&lt;0.5, AllData[[#This Row],[Time]]&gt;0.17)=TRUE, "Morning", IF(AND(AllData[[#This Row],[Time]]&lt;0.75, AllData[[#This Row],[Time]]&gt;=0.5)=TRUE, "Afternoon", IF(AND(AllData[[#This Row],[Time]]&lt;1, AllData[[#This Row],[Time]]&gt;=0.75)=TRUE, "Evening", "Night")))</f>
        <v>Morning</v>
      </c>
      <c r="G957" t="str">
        <f>_xlfn.XLOOKUP(AllData[[#This Row],[Location Name]], Locations[Location Name],Locations[Group As])</f>
        <v>Swilgate</v>
      </c>
      <c r="H957" t="e" vm="4">
        <f>_xlfn.XLOOKUP(AllData[[#This Row],[Site Name]],LocationsKey[Site Name],LocationsKey[District])</f>
        <v>#VALUE!</v>
      </c>
      <c r="I957" t="e" vm="4">
        <f>_xlfn.XLOOKUP(AllData[[#This Row],[Site Name]],LocationsKey[Site Name],LocationsKey[Town])</f>
        <v>#VALUE!</v>
      </c>
      <c r="J957" t="str">
        <f>_xlfn.XLOOKUP(AllData[[#This Row],[Site Name]],LocationsKey[Site Name], LocationsKey[Waterway])</f>
        <v>Swilgate</v>
      </c>
      <c r="K957" t="s">
        <v>85</v>
      </c>
      <c r="N957" t="s">
        <v>25</v>
      </c>
      <c r="O957">
        <v>106</v>
      </c>
      <c r="P957">
        <v>15.6</v>
      </c>
      <c r="Q957">
        <v>5</v>
      </c>
      <c r="R957" s="107" t="str">
        <f>IF(AllData[[#This Row],[Nitrate (PPM)]]&gt;2, "Very high", IF(AllData[[#This Row],[Nitrate (PPM)]]&gt;1, "High", IF(AllData[[#This Row],[Nitrate (PPM)]]&gt;0.5, "Some evidence", IF(AllData[[#This Row],[Nitrate (PPM)]]&gt;=0, "No evidence"))))</f>
        <v>Very high</v>
      </c>
      <c r="S957">
        <v>0.87</v>
      </c>
      <c r="T957" s="7" t="str">
        <f>IF(AllData[[#This Row],[Phosphate (PPM)]]&gt;0.5, "Very high", IF(AllData[[#This Row],[Phosphate (PPM)]]&gt;0.1, "High", IF(AllData[[#This Row],[Phosphate (PPM)]]&gt;0.05, "Some evidence", IF(AllData[[#This Row],[Phosphate (PPM)]]&lt;=0.05, "No Evidence", ""))))</f>
        <v>Very high</v>
      </c>
      <c r="U957">
        <v>0</v>
      </c>
    </row>
    <row r="958" spans="1:22" x14ac:dyDescent="0.35">
      <c r="A958" t="s">
        <v>2065</v>
      </c>
      <c r="B958" s="143">
        <v>45554</v>
      </c>
      <c r="C958" s="2" t="str" cm="1">
        <f t="array" ref="C9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8">
        <f>YEAR(AllData[[#This Row],[Date]])</f>
        <v>2024</v>
      </c>
      <c r="E958" s="1">
        <v>0.70833333333333337</v>
      </c>
      <c r="F958" t="str">
        <f>IF(AND(AllData[[#This Row],[Time]]&lt;0.5, AllData[[#This Row],[Time]]&gt;0.17)=TRUE, "Morning", IF(AND(AllData[[#This Row],[Time]]&lt;0.75, AllData[[#This Row],[Time]]&gt;=0.5)=TRUE, "Afternoon", IF(AND(AllData[[#This Row],[Time]]&lt;1, AllData[[#This Row],[Time]]&gt;=0.75)=TRUE, "Evening", "Night")))</f>
        <v>Afternoon</v>
      </c>
      <c r="G958" t="str">
        <f>_xlfn.XLOOKUP(AllData[[#This Row],[Location Name]], Locations[Location Name],Locations[Group As])</f>
        <v>Stour Newbold Mill</v>
      </c>
      <c r="H958" t="e" vm="1">
        <f>_xlfn.XLOOKUP(AllData[[#This Row],[Site Name]],LocationsKey[Site Name],LocationsKey[District])</f>
        <v>#VALUE!</v>
      </c>
      <c r="I958" t="e" vm="27">
        <f>_xlfn.XLOOKUP(AllData[[#This Row],[Site Name]],LocationsKey[Site Name],LocationsKey[Town])</f>
        <v>#VALUE!</v>
      </c>
      <c r="J958" t="str">
        <f>_xlfn.XLOOKUP(AllData[[#This Row],[Site Name]],LocationsKey[Site Name], LocationsKey[Waterway])</f>
        <v>Stour</v>
      </c>
      <c r="K958" t="s">
        <v>141</v>
      </c>
      <c r="N958" t="s">
        <v>31</v>
      </c>
      <c r="O958">
        <v>703</v>
      </c>
      <c r="P958">
        <v>19.3</v>
      </c>
      <c r="Q958">
        <v>2</v>
      </c>
      <c r="R958" s="107" t="str">
        <f>IF(AllData[[#This Row],[Nitrate (PPM)]]&gt;2, "Very high", IF(AllData[[#This Row],[Nitrate (PPM)]]&gt;1, "High", IF(AllData[[#This Row],[Nitrate (PPM)]]&gt;0.5, "Some evidence", IF(AllData[[#This Row],[Nitrate (PPM)]]&gt;=0, "No evidence"))))</f>
        <v>High</v>
      </c>
      <c r="S958">
        <v>0.63</v>
      </c>
      <c r="T958" s="7" t="str">
        <f>IF(AllData[[#This Row],[Phosphate (PPM)]]&gt;0.5, "Very high", IF(AllData[[#This Row],[Phosphate (PPM)]]&gt;0.1, "High", IF(AllData[[#This Row],[Phosphate (PPM)]]&gt;0.05, "Some evidence", IF(AllData[[#This Row],[Phosphate (PPM)]]&lt;=0.05, "No Evidence", ""))))</f>
        <v>Very high</v>
      </c>
      <c r="U958">
        <v>2</v>
      </c>
      <c r="V958" t="s">
        <v>2066</v>
      </c>
    </row>
    <row r="959" spans="1:22" x14ac:dyDescent="0.35">
      <c r="A959" t="s">
        <v>2064</v>
      </c>
      <c r="B959" s="143">
        <v>45554</v>
      </c>
      <c r="C959" s="2" t="str" cm="1">
        <f t="array" ref="C9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59">
        <f>YEAR(AllData[[#This Row],[Date]])</f>
        <v>2024</v>
      </c>
      <c r="E959" s="1">
        <v>0.41666666666666669</v>
      </c>
      <c r="F959" t="str">
        <f>IF(AND(AllData[[#This Row],[Time]]&lt;0.5, AllData[[#This Row],[Time]]&gt;0.17)=TRUE, "Morning", IF(AND(AllData[[#This Row],[Time]]&lt;0.75, AllData[[#This Row],[Time]]&gt;=0.5)=TRUE, "Afternoon", IF(AND(AllData[[#This Row],[Time]]&lt;1, AllData[[#This Row],[Time]]&gt;=0.75)=TRUE, "Evening", "Night")))</f>
        <v>Morning</v>
      </c>
      <c r="G959" t="str">
        <f>_xlfn.XLOOKUP(AllData[[#This Row],[Location Name]], Locations[Location Name],Locations[Group As])</f>
        <v>Stour Willington</v>
      </c>
      <c r="H959" t="e" vm="1">
        <f>_xlfn.XLOOKUP(AllData[[#This Row],[Site Name]],LocationsKey[Site Name],LocationsKey[District])</f>
        <v>#VALUE!</v>
      </c>
      <c r="I959" t="str">
        <f>_xlfn.XLOOKUP(AllData[[#This Row],[Site Name]],LocationsKey[Site Name],LocationsKey[Town])</f>
        <v>Willington</v>
      </c>
      <c r="J959" t="str">
        <f>_xlfn.XLOOKUP(AllData[[#This Row],[Site Name]],LocationsKey[Site Name], LocationsKey[Waterway])</f>
        <v>Stour</v>
      </c>
      <c r="K959" t="s">
        <v>521</v>
      </c>
      <c r="L959">
        <v>52.053463000000001</v>
      </c>
      <c r="M959">
        <v>-1.6203669999999999</v>
      </c>
      <c r="N959" t="s">
        <v>25</v>
      </c>
      <c r="O959">
        <v>635</v>
      </c>
      <c r="P959">
        <v>14.8</v>
      </c>
      <c r="Q959">
        <v>2</v>
      </c>
      <c r="R959" s="107" t="str">
        <f>IF(AllData[[#This Row],[Nitrate (PPM)]]&gt;2, "Very high", IF(AllData[[#This Row],[Nitrate (PPM)]]&gt;1, "High", IF(AllData[[#This Row],[Nitrate (PPM)]]&gt;0.5, "Some evidence", IF(AllData[[#This Row],[Nitrate (PPM)]]&gt;=0, "No evidence"))))</f>
        <v>High</v>
      </c>
      <c r="S959">
        <v>0.35</v>
      </c>
      <c r="T959" s="7" t="str">
        <f>IF(AllData[[#This Row],[Phosphate (PPM)]]&gt;0.5, "Very high", IF(AllData[[#This Row],[Phosphate (PPM)]]&gt;0.1, "High", IF(AllData[[#This Row],[Phosphate (PPM)]]&gt;0.05, "Some evidence", IF(AllData[[#This Row],[Phosphate (PPM)]]&lt;=0.05, "No Evidence", ""))))</f>
        <v>High</v>
      </c>
      <c r="U959">
        <v>0.5</v>
      </c>
    </row>
    <row r="960" spans="1:22" x14ac:dyDescent="0.35">
      <c r="A960" t="s">
        <v>2061</v>
      </c>
      <c r="B960" s="143">
        <v>45553</v>
      </c>
      <c r="C960" s="2" t="str" cm="1">
        <f t="array" ref="C9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0">
        <f>YEAR(AllData[[#This Row],[Date]])</f>
        <v>2024</v>
      </c>
      <c r="E960" s="1">
        <v>0.60069444444444442</v>
      </c>
      <c r="F960" t="str">
        <f>IF(AND(AllData[[#This Row],[Time]]&lt;0.5, AllData[[#This Row],[Time]]&gt;0.17)=TRUE, "Morning", IF(AND(AllData[[#This Row],[Time]]&lt;0.75, AllData[[#This Row],[Time]]&gt;=0.5)=TRUE, "Afternoon", IF(AND(AllData[[#This Row],[Time]]&lt;1, AllData[[#This Row],[Time]]&gt;=0.75)=TRUE, "Evening", "Night")))</f>
        <v>Afternoon</v>
      </c>
      <c r="G960" t="str">
        <f>_xlfn.XLOOKUP(AllData[[#This Row],[Location Name]], Locations[Location Name],Locations[Group As])</f>
        <v>Twyning Fleet</v>
      </c>
      <c r="H960" t="e" vm="4">
        <f>_xlfn.XLOOKUP(AllData[[#This Row],[Site Name]],LocationsKey[Site Name],LocationsKey[District])</f>
        <v>#VALUE!</v>
      </c>
      <c r="I960" t="str">
        <f>_xlfn.XLOOKUP(AllData[[#This Row],[Site Name]],LocationsKey[Site Name],LocationsKey[Town])</f>
        <v>Twyning Green</v>
      </c>
      <c r="J960" t="str">
        <f>_xlfn.XLOOKUP(AllData[[#This Row],[Site Name]],LocationsKey[Site Name], LocationsKey[Waterway])</f>
        <v>Avon</v>
      </c>
      <c r="K960" t="s">
        <v>2062</v>
      </c>
      <c r="L960">
        <v>52.027374000000002</v>
      </c>
      <c r="M960">
        <v>-2.1409630000000002</v>
      </c>
      <c r="N960" t="s">
        <v>25</v>
      </c>
      <c r="O960">
        <v>972</v>
      </c>
      <c r="P960">
        <v>17.600000000000001</v>
      </c>
      <c r="Q960">
        <v>10</v>
      </c>
      <c r="R960" s="107" t="str">
        <f>IF(AllData[[#This Row],[Nitrate (PPM)]]&gt;2, "Very high", IF(AllData[[#This Row],[Nitrate (PPM)]]&gt;1, "High", IF(AllData[[#This Row],[Nitrate (PPM)]]&gt;0.5, "Some evidence", IF(AllData[[#This Row],[Nitrate (PPM)]]&gt;=0, "No evidence"))))</f>
        <v>Very high</v>
      </c>
      <c r="S960">
        <v>0.86</v>
      </c>
      <c r="T960" s="7" t="str">
        <f>IF(AllData[[#This Row],[Phosphate (PPM)]]&gt;0.5, "Very high", IF(AllData[[#This Row],[Phosphate (PPM)]]&gt;0.1, "High", IF(AllData[[#This Row],[Phosphate (PPM)]]&gt;0.05, "Some evidence", IF(AllData[[#This Row],[Phosphate (PPM)]]&lt;=0.05, "No Evidence", ""))))</f>
        <v>Very high</v>
      </c>
      <c r="U960">
        <v>0</v>
      </c>
    </row>
    <row r="961" spans="1:22" x14ac:dyDescent="0.35">
      <c r="A961" t="s">
        <v>2059</v>
      </c>
      <c r="B961" s="143">
        <v>45553</v>
      </c>
      <c r="C961" s="2" t="str" cm="1">
        <f t="array" ref="C9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1">
        <f>YEAR(AllData[[#This Row],[Date]])</f>
        <v>2024</v>
      </c>
      <c r="E961" s="1">
        <v>0.53194444444444444</v>
      </c>
      <c r="F961" t="str">
        <f>IF(AND(AllData[[#This Row],[Time]]&lt;0.5, AllData[[#This Row],[Time]]&gt;0.17)=TRUE, "Morning", IF(AND(AllData[[#This Row],[Time]]&lt;0.75, AllData[[#This Row],[Time]]&gt;=0.5)=TRUE, "Afternoon", IF(AND(AllData[[#This Row],[Time]]&lt;1, AllData[[#This Row],[Time]]&gt;=0.75)=TRUE, "Evening", "Night")))</f>
        <v>Afternoon</v>
      </c>
      <c r="G961" t="str">
        <f>_xlfn.XLOOKUP(AllData[[#This Row],[Location Name]], Locations[Location Name],Locations[Group As])</f>
        <v>Walcot Lane, Bow Brook Ford</v>
      </c>
      <c r="H961" t="e" vm="6">
        <f>_xlfn.XLOOKUP(AllData[[#This Row],[Site Name]],LocationsKey[Site Name],LocationsKey[District])</f>
        <v>#VALUE!</v>
      </c>
      <c r="I961" t="e" vm="7">
        <f>_xlfn.XLOOKUP(AllData[[#This Row],[Site Name]],LocationsKey[Site Name],LocationsKey[Town])</f>
        <v>#VALUE!</v>
      </c>
      <c r="J961" t="str">
        <f>_xlfn.XLOOKUP(AllData[[#This Row],[Site Name]],LocationsKey[Site Name], LocationsKey[Waterway])</f>
        <v>Bow Brook</v>
      </c>
      <c r="K961" t="s">
        <v>775</v>
      </c>
      <c r="L961">
        <v>52.130364</v>
      </c>
      <c r="M961">
        <v>-2.0786440000000002</v>
      </c>
      <c r="N961" t="s">
        <v>25</v>
      </c>
      <c r="O961">
        <v>1190</v>
      </c>
      <c r="P961">
        <v>15.5</v>
      </c>
      <c r="Q961">
        <v>5</v>
      </c>
      <c r="R961" s="107" t="str">
        <f>IF(AllData[[#This Row],[Nitrate (PPM)]]&gt;2, "Very high", IF(AllData[[#This Row],[Nitrate (PPM)]]&gt;1, "High", IF(AllData[[#This Row],[Nitrate (PPM)]]&gt;0.5, "Some evidence", IF(AllData[[#This Row],[Nitrate (PPM)]]&gt;=0, "No evidence"))))</f>
        <v>Very high</v>
      </c>
      <c r="S961">
        <v>1.44</v>
      </c>
      <c r="T961" s="7" t="str">
        <f>IF(AllData[[#This Row],[Phosphate (PPM)]]&gt;0.5, "Very high", IF(AllData[[#This Row],[Phosphate (PPM)]]&gt;0.1, "High", IF(AllData[[#This Row],[Phosphate (PPM)]]&gt;0.05, "Some evidence", IF(AllData[[#This Row],[Phosphate (PPM)]]&lt;=0.05, "No Evidence", ""))))</f>
        <v>Very high</v>
      </c>
      <c r="U961">
        <v>0.1</v>
      </c>
      <c r="V961" t="s">
        <v>2060</v>
      </c>
    </row>
    <row r="962" spans="1:22" x14ac:dyDescent="0.35">
      <c r="A962" t="s">
        <v>2055</v>
      </c>
      <c r="B962" s="143">
        <v>45552</v>
      </c>
      <c r="C962" s="2" t="str" cm="1">
        <f t="array" ref="C9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2">
        <f>YEAR(AllData[[#This Row],[Date]])</f>
        <v>2024</v>
      </c>
      <c r="E962" s="1">
        <v>0.68333333333333335</v>
      </c>
      <c r="F962" t="str">
        <f>IF(AND(AllData[[#This Row],[Time]]&lt;0.5, AllData[[#This Row],[Time]]&gt;0.17)=TRUE, "Morning", IF(AND(AllData[[#This Row],[Time]]&lt;0.75, AllData[[#This Row],[Time]]&gt;=0.5)=TRUE, "Afternoon", IF(AND(AllData[[#This Row],[Time]]&lt;1, AllData[[#This Row],[Time]]&gt;=0.75)=TRUE, "Evening", "Night")))</f>
        <v>Afternoon</v>
      </c>
      <c r="G962" t="str">
        <f>_xlfn.XLOOKUP(AllData[[#This Row],[Location Name]], Locations[Location Name],Locations[Group As])</f>
        <v>Black Bear</v>
      </c>
      <c r="H962" t="e" vm="4">
        <f>_xlfn.XLOOKUP(AllData[[#This Row],[Site Name]],LocationsKey[Site Name],LocationsKey[District])</f>
        <v>#VALUE!</v>
      </c>
      <c r="I962" t="e" vm="4">
        <f>_xlfn.XLOOKUP(AllData[[#This Row],[Site Name]],LocationsKey[Site Name],LocationsKey[Town])</f>
        <v>#VALUE!</v>
      </c>
      <c r="J962" t="str">
        <f>_xlfn.XLOOKUP(AllData[[#This Row],[Site Name]],LocationsKey[Site Name], LocationsKey[Waterway])</f>
        <v>Avon</v>
      </c>
      <c r="K962" t="s">
        <v>1175</v>
      </c>
      <c r="L962">
        <v>51.997653</v>
      </c>
      <c r="M962">
        <v>-2.1562519999999998</v>
      </c>
      <c r="N962" t="s">
        <v>25</v>
      </c>
      <c r="O962">
        <v>915</v>
      </c>
      <c r="P962">
        <v>18.100000000000001</v>
      </c>
      <c r="Q962">
        <v>12</v>
      </c>
      <c r="R962" s="107" t="str">
        <f>IF(AllData[[#This Row],[Nitrate (PPM)]]&gt;2, "Very high", IF(AllData[[#This Row],[Nitrate (PPM)]]&gt;1, "High", IF(AllData[[#This Row],[Nitrate (PPM)]]&gt;0.5, "Some evidence", IF(AllData[[#This Row],[Nitrate (PPM)]]&gt;=0, "No evidence"))))</f>
        <v>Very high</v>
      </c>
      <c r="S962">
        <v>0.96</v>
      </c>
      <c r="T962" s="7" t="str">
        <f>IF(AllData[[#This Row],[Phosphate (PPM)]]&gt;0.5, "Very high", IF(AllData[[#This Row],[Phosphate (PPM)]]&gt;0.1, "High", IF(AllData[[#This Row],[Phosphate (PPM)]]&gt;0.05, "Some evidence", IF(AllData[[#This Row],[Phosphate (PPM)]]&lt;=0.05, "No Evidence", ""))))</f>
        <v>Very high</v>
      </c>
      <c r="U962">
        <v>0</v>
      </c>
    </row>
    <row r="963" spans="1:22" x14ac:dyDescent="0.35">
      <c r="A963" t="s">
        <v>2056</v>
      </c>
      <c r="B963" s="143">
        <v>45552</v>
      </c>
      <c r="C963" s="2" t="str" cm="1">
        <f t="array" ref="C9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3">
        <f>YEAR(AllData[[#This Row],[Date]])</f>
        <v>2024</v>
      </c>
      <c r="E963" s="1">
        <v>0.59027777777777779</v>
      </c>
      <c r="F963" t="str">
        <f>IF(AND(AllData[[#This Row],[Time]]&lt;0.5, AllData[[#This Row],[Time]]&gt;0.17)=TRUE, "Morning", IF(AND(AllData[[#This Row],[Time]]&lt;0.75, AllData[[#This Row],[Time]]&gt;=0.5)=TRUE, "Afternoon", IF(AND(AllData[[#This Row],[Time]]&lt;1, AllData[[#This Row],[Time]]&gt;=0.75)=TRUE, "Evening", "Night")))</f>
        <v>Afternoon</v>
      </c>
      <c r="G963" t="str">
        <f>_xlfn.XLOOKUP(AllData[[#This Row],[Location Name]], Locations[Location Name],Locations[Group As])</f>
        <v>Bredon Marina</v>
      </c>
      <c r="H963" t="e" vm="4">
        <f>_xlfn.XLOOKUP(AllData[[#This Row],[Site Name]],LocationsKey[Site Name],LocationsKey[District])</f>
        <v>#VALUE!</v>
      </c>
      <c r="I963" t="e" vm="11">
        <f>_xlfn.XLOOKUP(AllData[[#This Row],[Site Name]],LocationsKey[Site Name],LocationsKey[Town])</f>
        <v>#VALUE!</v>
      </c>
      <c r="J963" t="str">
        <f>_xlfn.XLOOKUP(AllData[[#This Row],[Site Name]],LocationsKey[Site Name], LocationsKey[Waterway])</f>
        <v>Avon</v>
      </c>
      <c r="K963" t="s">
        <v>1661</v>
      </c>
      <c r="L963">
        <v>52.033279999999998</v>
      </c>
      <c r="M963">
        <v>-2.1171380000000002</v>
      </c>
      <c r="N963" t="s">
        <v>25</v>
      </c>
      <c r="O963">
        <v>908</v>
      </c>
      <c r="P963">
        <v>19.3</v>
      </c>
      <c r="Q963">
        <v>10</v>
      </c>
      <c r="R963" s="107" t="str">
        <f>IF(AllData[[#This Row],[Nitrate (PPM)]]&gt;2, "Very high", IF(AllData[[#This Row],[Nitrate (PPM)]]&gt;1, "High", IF(AllData[[#This Row],[Nitrate (PPM)]]&gt;0.5, "Some evidence", IF(AllData[[#This Row],[Nitrate (PPM)]]&gt;=0, "No evidence"))))</f>
        <v>Very high</v>
      </c>
      <c r="S963">
        <v>1.07</v>
      </c>
      <c r="T963" s="7" t="str">
        <f>IF(AllData[[#This Row],[Phosphate (PPM)]]&gt;0.5, "Very high", IF(AllData[[#This Row],[Phosphate (PPM)]]&gt;0.1, "High", IF(AllData[[#This Row],[Phosphate (PPM)]]&gt;0.05, "Some evidence", IF(AllData[[#This Row],[Phosphate (PPM)]]&lt;=0.05, "No Evidence", ""))))</f>
        <v>Very high</v>
      </c>
      <c r="U963">
        <v>0</v>
      </c>
    </row>
    <row r="964" spans="1:22" x14ac:dyDescent="0.35">
      <c r="A964" t="s">
        <v>2057</v>
      </c>
      <c r="B964" s="143">
        <v>45552</v>
      </c>
      <c r="C964" s="2" t="str" cm="1">
        <f t="array" ref="C9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4">
        <f>YEAR(AllData[[#This Row],[Date]])</f>
        <v>2024</v>
      </c>
      <c r="E964" s="1">
        <v>0.43611111111111112</v>
      </c>
      <c r="F964" t="str">
        <f>IF(AND(AllData[[#This Row],[Time]]&lt;0.5, AllData[[#This Row],[Time]]&gt;0.17)=TRUE, "Morning", IF(AND(AllData[[#This Row],[Time]]&lt;0.75, AllData[[#This Row],[Time]]&gt;=0.5)=TRUE, "Afternoon", IF(AND(AllData[[#This Row],[Time]]&lt;1, AllData[[#This Row],[Time]]&gt;=0.75)=TRUE, "Evening", "Night")))</f>
        <v>Morning</v>
      </c>
      <c r="G964" t="str">
        <f>_xlfn.XLOOKUP(AllData[[#This Row],[Location Name]], Locations[Location Name],Locations[Group As])</f>
        <v>Carrant M5 Bridge</v>
      </c>
      <c r="H964" t="e" vm="4">
        <f>_xlfn.XLOOKUP(AllData[[#This Row],[Site Name]],LocationsKey[Site Name],LocationsKey[District])</f>
        <v>#VALUE!</v>
      </c>
      <c r="I964" t="e" vm="4">
        <f>_xlfn.XLOOKUP(AllData[[#This Row],[Site Name]],LocationsKey[Site Name],LocationsKey[Town])</f>
        <v>#VALUE!</v>
      </c>
      <c r="J964" t="str">
        <f>_xlfn.XLOOKUP(AllData[[#This Row],[Site Name]],LocationsKey[Site Name], LocationsKey[Waterway])</f>
        <v>Carrant</v>
      </c>
      <c r="K964" t="s">
        <v>1066</v>
      </c>
      <c r="L964">
        <v>52.011457999999998</v>
      </c>
      <c r="M964">
        <v>-2.1194579999999998</v>
      </c>
      <c r="N964" t="s">
        <v>25</v>
      </c>
      <c r="O964">
        <v>734</v>
      </c>
      <c r="P964">
        <v>13.8</v>
      </c>
      <c r="Q964">
        <v>7</v>
      </c>
      <c r="R964" s="107" t="str">
        <f>IF(AllData[[#This Row],[Nitrate (PPM)]]&gt;2, "Very high", IF(AllData[[#This Row],[Nitrate (PPM)]]&gt;1, "High", IF(AllData[[#This Row],[Nitrate (PPM)]]&gt;0.5, "Some evidence", IF(AllData[[#This Row],[Nitrate (PPM)]]&gt;=0, "No evidence"))))</f>
        <v>Very high</v>
      </c>
      <c r="S964">
        <v>1.41</v>
      </c>
      <c r="T964" s="7" t="str">
        <f>IF(AllData[[#This Row],[Phosphate (PPM)]]&gt;0.5, "Very high", IF(AllData[[#This Row],[Phosphate (PPM)]]&gt;0.1, "High", IF(AllData[[#This Row],[Phosphate (PPM)]]&gt;0.05, "Some evidence", IF(AllData[[#This Row],[Phosphate (PPM)]]&lt;=0.05, "No Evidence", ""))))</f>
        <v>Very high</v>
      </c>
      <c r="U964">
        <v>0</v>
      </c>
    </row>
    <row r="965" spans="1:22" x14ac:dyDescent="0.35">
      <c r="A965" t="s">
        <v>2058</v>
      </c>
      <c r="B965" s="143">
        <v>45552</v>
      </c>
      <c r="C965" s="2" t="str" cm="1">
        <f t="array" ref="C9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5">
        <f>YEAR(AllData[[#This Row],[Date]])</f>
        <v>2024</v>
      </c>
      <c r="E965" s="1">
        <v>0.40694444444444444</v>
      </c>
      <c r="F965" t="str">
        <f>IF(AND(AllData[[#This Row],[Time]]&lt;0.5, AllData[[#This Row],[Time]]&gt;0.17)=TRUE, "Morning", IF(AND(AllData[[#This Row],[Time]]&lt;0.75, AllData[[#This Row],[Time]]&gt;=0.5)=TRUE, "Afternoon", IF(AND(AllData[[#This Row],[Time]]&lt;1, AllData[[#This Row],[Time]]&gt;=0.75)=TRUE, "Evening", "Night")))</f>
        <v>Morning</v>
      </c>
      <c r="G965" t="str">
        <f>_xlfn.XLOOKUP(AllData[[#This Row],[Location Name]], Locations[Location Name],Locations[Group As])</f>
        <v>Carrant Mitton Path</v>
      </c>
      <c r="H965" t="e" vm="4">
        <f>_xlfn.XLOOKUP(AllData[[#This Row],[Site Name]],LocationsKey[Site Name],LocationsKey[District])</f>
        <v>#VALUE!</v>
      </c>
      <c r="I965" t="e" vm="4">
        <f>_xlfn.XLOOKUP(AllData[[#This Row],[Site Name]],LocationsKey[Site Name],LocationsKey[Town])</f>
        <v>#VALUE!</v>
      </c>
      <c r="J965" t="str">
        <f>_xlfn.XLOOKUP(AllData[[#This Row],[Site Name]],LocationsKey[Site Name], LocationsKey[Waterway])</f>
        <v>Carrant</v>
      </c>
      <c r="K965" t="s">
        <v>1064</v>
      </c>
      <c r="L965">
        <v>51.999865</v>
      </c>
      <c r="M965">
        <v>-2.141038</v>
      </c>
      <c r="N965" t="s">
        <v>25</v>
      </c>
      <c r="O965">
        <v>690</v>
      </c>
      <c r="P965">
        <v>13.4</v>
      </c>
      <c r="Q965">
        <v>5</v>
      </c>
      <c r="R965" s="107" t="str">
        <f>IF(AllData[[#This Row],[Nitrate (PPM)]]&gt;2, "Very high", IF(AllData[[#This Row],[Nitrate (PPM)]]&gt;1, "High", IF(AllData[[#This Row],[Nitrate (PPM)]]&gt;0.5, "Some evidence", IF(AllData[[#This Row],[Nitrate (PPM)]]&gt;=0, "No evidence"))))</f>
        <v>Very high</v>
      </c>
      <c r="S965">
        <v>0.47</v>
      </c>
      <c r="T965" s="7" t="str">
        <f>IF(AllData[[#This Row],[Phosphate (PPM)]]&gt;0.5, "Very high", IF(AllData[[#This Row],[Phosphate (PPM)]]&gt;0.1, "High", IF(AllData[[#This Row],[Phosphate (PPM)]]&gt;0.05, "Some evidence", IF(AllData[[#This Row],[Phosphate (PPM)]]&lt;=0.05, "No Evidence", ""))))</f>
        <v>High</v>
      </c>
      <c r="U965">
        <v>0</v>
      </c>
    </row>
    <row r="966" spans="1:22" x14ac:dyDescent="0.35">
      <c r="A966" t="s">
        <v>2054</v>
      </c>
      <c r="B966" s="143">
        <v>45552</v>
      </c>
      <c r="C966" s="2" t="str" cm="1">
        <f t="array" ref="C9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6">
        <f>YEAR(AllData[[#This Row],[Date]])</f>
        <v>2024</v>
      </c>
      <c r="E966" s="1">
        <v>0.69374999999999998</v>
      </c>
      <c r="F966" t="str">
        <f>IF(AND(AllData[[#This Row],[Time]]&lt;0.5, AllData[[#This Row],[Time]]&gt;0.17)=TRUE, "Morning", IF(AND(AllData[[#This Row],[Time]]&lt;0.75, AllData[[#This Row],[Time]]&gt;=0.5)=TRUE, "Afternoon", IF(AND(AllData[[#This Row],[Time]]&lt;1, AllData[[#This Row],[Time]]&gt;=0.75)=TRUE, "Evening", "Night")))</f>
        <v>Afternoon</v>
      </c>
      <c r="G966" t="str">
        <f>_xlfn.XLOOKUP(AllData[[#This Row],[Location Name]], Locations[Location Name],Locations[Group As])</f>
        <v>Stour Whichford</v>
      </c>
      <c r="H966" t="e" vm="1">
        <f>_xlfn.XLOOKUP(AllData[[#This Row],[Site Name]],LocationsKey[Site Name],LocationsKey[District])</f>
        <v>#VALUE!</v>
      </c>
      <c r="I966" t="e" vm="24">
        <f>_xlfn.XLOOKUP(AllData[[#This Row],[Site Name]],LocationsKey[Site Name],LocationsKey[Town])</f>
        <v>#VALUE!</v>
      </c>
      <c r="J966" t="str">
        <f>_xlfn.XLOOKUP(AllData[[#This Row],[Site Name]],LocationsKey[Site Name], LocationsKey[Waterway])</f>
        <v>Stour</v>
      </c>
      <c r="K966" t="s">
        <v>980</v>
      </c>
      <c r="N966" t="s">
        <v>31</v>
      </c>
      <c r="O966">
        <v>122</v>
      </c>
      <c r="P966">
        <v>14.5</v>
      </c>
      <c r="Q966">
        <v>2</v>
      </c>
      <c r="R966" s="107" t="str">
        <f>IF(AllData[[#This Row],[Nitrate (PPM)]]&gt;2, "Very high", IF(AllData[[#This Row],[Nitrate (PPM)]]&gt;1, "High", IF(AllData[[#This Row],[Nitrate (PPM)]]&gt;0.5, "Some evidence", IF(AllData[[#This Row],[Nitrate (PPM)]]&gt;=0, "No evidence"))))</f>
        <v>High</v>
      </c>
      <c r="S966">
        <v>2.2400000000000002</v>
      </c>
      <c r="T966" s="7" t="str">
        <f>IF(AllData[[#This Row],[Phosphate (PPM)]]&gt;0.5, "Very high", IF(AllData[[#This Row],[Phosphate (PPM)]]&gt;0.1, "High", IF(AllData[[#This Row],[Phosphate (PPM)]]&gt;0.05, "Some evidence", IF(AllData[[#This Row],[Phosphate (PPM)]]&lt;=0.05, "No Evidence", ""))))</f>
        <v>Very high</v>
      </c>
      <c r="U966">
        <v>3.5</v>
      </c>
    </row>
    <row r="967" spans="1:22" x14ac:dyDescent="0.35">
      <c r="A967" t="s">
        <v>2053</v>
      </c>
      <c r="B967" s="143">
        <v>45552</v>
      </c>
      <c r="C967" s="2" t="str" cm="1">
        <f t="array" ref="C9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7">
        <f>YEAR(AllData[[#This Row],[Date]])</f>
        <v>2024</v>
      </c>
      <c r="E967" s="1">
        <v>0.70763888888888893</v>
      </c>
      <c r="F967" t="str">
        <f>IF(AND(AllData[[#This Row],[Time]]&lt;0.5, AllData[[#This Row],[Time]]&gt;0.17)=TRUE, "Morning", IF(AND(AllData[[#This Row],[Time]]&lt;0.75, AllData[[#This Row],[Time]]&gt;=0.5)=TRUE, "Afternoon", IF(AND(AllData[[#This Row],[Time]]&lt;1, AllData[[#This Row],[Time]]&gt;=0.75)=TRUE, "Evening", "Night")))</f>
        <v>Afternoon</v>
      </c>
      <c r="G967" t="str">
        <f>_xlfn.XLOOKUP(AllData[[#This Row],[Location Name]], Locations[Location Name],Locations[Group As])</f>
        <v>Stour Ascott Village</v>
      </c>
      <c r="H967" t="e" vm="1">
        <f>_xlfn.XLOOKUP(AllData[[#This Row],[Site Name]],LocationsKey[Site Name],LocationsKey[District])</f>
        <v>#VALUE!</v>
      </c>
      <c r="I967" t="e" vm="25">
        <f>_xlfn.XLOOKUP(AllData[[#This Row],[Site Name]],LocationsKey[Site Name],LocationsKey[Town])</f>
        <v>#VALUE!</v>
      </c>
      <c r="J967" t="str">
        <f>_xlfn.XLOOKUP(AllData[[#This Row],[Site Name]],LocationsKey[Site Name], LocationsKey[Waterway])</f>
        <v>Stour</v>
      </c>
      <c r="K967" t="s">
        <v>927</v>
      </c>
      <c r="N967" t="s">
        <v>68</v>
      </c>
      <c r="O967">
        <v>457</v>
      </c>
      <c r="P967">
        <v>16.100000000000001</v>
      </c>
      <c r="Q967">
        <v>1</v>
      </c>
      <c r="R967" s="107" t="str">
        <f>IF(AllData[[#This Row],[Nitrate (PPM)]]&gt;2, "Very high", IF(AllData[[#This Row],[Nitrate (PPM)]]&gt;1, "High", IF(AllData[[#This Row],[Nitrate (PPM)]]&gt;0.5, "Some evidence", IF(AllData[[#This Row],[Nitrate (PPM)]]&gt;=0, "No evidence"))))</f>
        <v>Some evidence</v>
      </c>
      <c r="S967">
        <v>1.04</v>
      </c>
      <c r="T967" s="7" t="str">
        <f>IF(AllData[[#This Row],[Phosphate (PPM)]]&gt;0.5, "Very high", IF(AllData[[#This Row],[Phosphate (PPM)]]&gt;0.1, "High", IF(AllData[[#This Row],[Phosphate (PPM)]]&gt;0.05, "Some evidence", IF(AllData[[#This Row],[Phosphate (PPM)]]&lt;=0.05, "No Evidence", ""))))</f>
        <v>Very high</v>
      </c>
      <c r="U967">
        <v>1.5</v>
      </c>
    </row>
    <row r="968" spans="1:22" x14ac:dyDescent="0.35">
      <c r="A968" t="s">
        <v>2046</v>
      </c>
      <c r="B968" s="143">
        <v>45551</v>
      </c>
      <c r="C968" s="2" t="str" cm="1">
        <f t="array" ref="C9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8">
        <f>YEAR(AllData[[#This Row],[Date]])</f>
        <v>2024</v>
      </c>
      <c r="E968" s="1">
        <v>0.58333333333333337</v>
      </c>
      <c r="F968" t="str">
        <f>IF(AND(AllData[[#This Row],[Time]]&lt;0.5, AllData[[#This Row],[Time]]&gt;0.17)=TRUE, "Morning", IF(AND(AllData[[#This Row],[Time]]&lt;0.75, AllData[[#This Row],[Time]]&gt;=0.5)=TRUE, "Afternoon", IF(AND(AllData[[#This Row],[Time]]&lt;1, AllData[[#This Row],[Time]]&gt;=0.75)=TRUE, "Evening", "Night")))</f>
        <v>Afternoon</v>
      </c>
      <c r="G968" t="str">
        <f>_xlfn.XLOOKUP(AllData[[#This Row],[Location Name]], Locations[Location Name],Locations[Group As])</f>
        <v>Abbey Mill</v>
      </c>
      <c r="H968" t="e" vm="4">
        <f>_xlfn.XLOOKUP(AllData[[#This Row],[Site Name]],LocationsKey[Site Name],LocationsKey[District])</f>
        <v>#VALUE!</v>
      </c>
      <c r="I968" t="e" vm="4">
        <f>_xlfn.XLOOKUP(AllData[[#This Row],[Site Name]],LocationsKey[Site Name],LocationsKey[Town])</f>
        <v>#VALUE!</v>
      </c>
      <c r="J968" t="str">
        <f>_xlfn.XLOOKUP(AllData[[#This Row],[Site Name]],LocationsKey[Site Name], LocationsKey[Waterway])</f>
        <v>Avon</v>
      </c>
      <c r="K968" t="s">
        <v>27</v>
      </c>
      <c r="L968">
        <v>51.991202000000001</v>
      </c>
      <c r="M968">
        <v>-2.1623570000000001</v>
      </c>
      <c r="N968" t="s">
        <v>31</v>
      </c>
      <c r="O968">
        <v>983</v>
      </c>
      <c r="P968">
        <v>17.3</v>
      </c>
      <c r="Q968">
        <v>10</v>
      </c>
      <c r="R968" s="107" t="str">
        <f>IF(AllData[[#This Row],[Nitrate (PPM)]]&gt;2, "Very high", IF(AllData[[#This Row],[Nitrate (PPM)]]&gt;1, "High", IF(AllData[[#This Row],[Nitrate (PPM)]]&gt;0.5, "Some evidence", IF(AllData[[#This Row],[Nitrate (PPM)]]&gt;=0, "No evidence"))))</f>
        <v>Very high</v>
      </c>
      <c r="S968">
        <v>0.94</v>
      </c>
      <c r="T968" s="7" t="str">
        <f>IF(AllData[[#This Row],[Phosphate (PPM)]]&gt;0.5, "Very high", IF(AllData[[#This Row],[Phosphate (PPM)]]&gt;0.1, "High", IF(AllData[[#This Row],[Phosphate (PPM)]]&gt;0.05, "Some evidence", IF(AllData[[#This Row],[Phosphate (PPM)]]&lt;=0.05, "No Evidence", ""))))</f>
        <v>Very high</v>
      </c>
      <c r="U968">
        <v>0.5</v>
      </c>
      <c r="V968" t="s">
        <v>2047</v>
      </c>
    </row>
    <row r="969" spans="1:22" x14ac:dyDescent="0.35">
      <c r="A969" t="s">
        <v>2045</v>
      </c>
      <c r="B969" s="143">
        <v>45551</v>
      </c>
      <c r="C969" s="2" t="str" cm="1">
        <f t="array" ref="C9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69">
        <f>YEAR(AllData[[#This Row],[Date]])</f>
        <v>2024</v>
      </c>
      <c r="E969" s="1">
        <v>0.76736111111111116</v>
      </c>
      <c r="F969" t="str">
        <f>IF(AND(AllData[[#This Row],[Time]]&lt;0.5, AllData[[#This Row],[Time]]&gt;0.17)=TRUE, "Morning", IF(AND(AllData[[#This Row],[Time]]&lt;0.75, AllData[[#This Row],[Time]]&gt;=0.5)=TRUE, "Afternoon", IF(AND(AllData[[#This Row],[Time]]&lt;1, AllData[[#This Row],[Time]]&gt;=0.75)=TRUE, "Evening", "Night")))</f>
        <v>Evening</v>
      </c>
      <c r="G969" t="str">
        <f>_xlfn.XLOOKUP(AllData[[#This Row],[Location Name]], Locations[Location Name],Locations[Group As])</f>
        <v>Chipping Campden Sewage Works</v>
      </c>
      <c r="H969" t="e" vm="9">
        <f>_xlfn.XLOOKUP(AllData[[#This Row],[Site Name]],LocationsKey[Site Name],LocationsKey[District])</f>
        <v>#VALUE!</v>
      </c>
      <c r="I969" t="e" vm="10">
        <f>_xlfn.XLOOKUP(AllData[[#This Row],[Site Name]],LocationsKey[Site Name],LocationsKey[Town])</f>
        <v>#VALUE!</v>
      </c>
      <c r="J969" t="str">
        <f>_xlfn.XLOOKUP(AllData[[#This Row],[Site Name]],LocationsKey[Site Name], LocationsKey[Waterway])</f>
        <v>Cam Brook</v>
      </c>
      <c r="K969" t="s">
        <v>1570</v>
      </c>
      <c r="N969" t="s">
        <v>31</v>
      </c>
      <c r="O969">
        <v>765</v>
      </c>
      <c r="P969">
        <v>15.6</v>
      </c>
      <c r="Q969">
        <v>5</v>
      </c>
      <c r="R969" s="107" t="str">
        <f>IF(AllData[[#This Row],[Nitrate (PPM)]]&gt;2, "Very high", IF(AllData[[#This Row],[Nitrate (PPM)]]&gt;1, "High", IF(AllData[[#This Row],[Nitrate (PPM)]]&gt;0.5, "Some evidence", IF(AllData[[#This Row],[Nitrate (PPM)]]&gt;=0, "No evidence"))))</f>
        <v>Very high</v>
      </c>
      <c r="S969">
        <v>0.35</v>
      </c>
      <c r="T969" s="7" t="str">
        <f>IF(AllData[[#This Row],[Phosphate (PPM)]]&gt;0.5, "Very high", IF(AllData[[#This Row],[Phosphate (PPM)]]&gt;0.1, "High", IF(AllData[[#This Row],[Phosphate (PPM)]]&gt;0.05, "Some evidence", IF(AllData[[#This Row],[Phosphate (PPM)]]&lt;=0.05, "No Evidence", ""))))</f>
        <v>High</v>
      </c>
      <c r="U969">
        <v>0.22</v>
      </c>
    </row>
    <row r="970" spans="1:22" x14ac:dyDescent="0.35">
      <c r="A970" t="s">
        <v>2048</v>
      </c>
      <c r="B970" s="143">
        <v>45551</v>
      </c>
      <c r="C970" s="2" t="str" cm="1">
        <f t="array" ref="C9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0">
        <f>YEAR(AllData[[#This Row],[Date]])</f>
        <v>2024</v>
      </c>
      <c r="E970" s="1">
        <v>0.4548611111111111</v>
      </c>
      <c r="F970" t="str">
        <f>IF(AND(AllData[[#This Row],[Time]]&lt;0.5, AllData[[#This Row],[Time]]&gt;0.17)=TRUE, "Morning", IF(AND(AllData[[#This Row],[Time]]&lt;0.75, AllData[[#This Row],[Time]]&gt;=0.5)=TRUE, "Afternoon", IF(AND(AllData[[#This Row],[Time]]&lt;1, AllData[[#This Row],[Time]]&gt;=0.75)=TRUE, "Evening", "Night")))</f>
        <v>Morning</v>
      </c>
      <c r="G970" t="str">
        <f>_xlfn.XLOOKUP(AllData[[#This Row],[Location Name]], Locations[Location Name],Locations[Group As])</f>
        <v>Chipping Campden Lady J Gateway</v>
      </c>
      <c r="H970" t="e" vm="9">
        <f>_xlfn.XLOOKUP(AllData[[#This Row],[Site Name]],LocationsKey[Site Name],LocationsKey[District])</f>
        <v>#VALUE!</v>
      </c>
      <c r="I970" t="e" vm="10">
        <f>_xlfn.XLOOKUP(AllData[[#This Row],[Site Name]],LocationsKey[Site Name],LocationsKey[Town])</f>
        <v>#VALUE!</v>
      </c>
      <c r="J970" t="str">
        <f>_xlfn.XLOOKUP(AllData[[#This Row],[Site Name]],LocationsKey[Site Name], LocationsKey[Waterway])</f>
        <v>Cam Brook</v>
      </c>
      <c r="K970" t="s">
        <v>1573</v>
      </c>
      <c r="N970" t="s">
        <v>68</v>
      </c>
      <c r="O970">
        <v>622</v>
      </c>
      <c r="P970">
        <v>16.600000000000001</v>
      </c>
      <c r="Q970">
        <v>5</v>
      </c>
      <c r="R970" s="107" t="str">
        <f>IF(AllData[[#This Row],[Nitrate (PPM)]]&gt;2, "Very high", IF(AllData[[#This Row],[Nitrate (PPM)]]&gt;1, "High", IF(AllData[[#This Row],[Nitrate (PPM)]]&gt;0.5, "Some evidence", IF(AllData[[#This Row],[Nitrate (PPM)]]&gt;=0, "No evidence"))))</f>
        <v>Very high</v>
      </c>
      <c r="S970">
        <v>0.21</v>
      </c>
      <c r="T970" s="7" t="str">
        <f>IF(AllData[[#This Row],[Phosphate (PPM)]]&gt;0.5, "Very high", IF(AllData[[#This Row],[Phosphate (PPM)]]&gt;0.1, "High", IF(AllData[[#This Row],[Phosphate (PPM)]]&gt;0.05, "Some evidence", IF(AllData[[#This Row],[Phosphate (PPM)]]&lt;=0.05, "No Evidence", ""))))</f>
        <v>High</v>
      </c>
      <c r="U970">
        <v>0.08</v>
      </c>
    </row>
    <row r="971" spans="1:22" x14ac:dyDescent="0.35">
      <c r="A971" t="s">
        <v>2051</v>
      </c>
      <c r="B971" s="143">
        <v>45551</v>
      </c>
      <c r="C971" s="2" t="str" cm="1">
        <f t="array" ref="C9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1">
        <f>YEAR(AllData[[#This Row],[Date]])</f>
        <v>2024</v>
      </c>
      <c r="E971" s="1">
        <v>0.59722222222222221</v>
      </c>
      <c r="F971" t="str">
        <f>IF(AND(AllData[[#This Row],[Time]]&lt;0.5, AllData[[#This Row],[Time]]&gt;0.17)=TRUE, "Morning", IF(AND(AllData[[#This Row],[Time]]&lt;0.75, AllData[[#This Row],[Time]]&gt;=0.5)=TRUE, "Afternoon", IF(AND(AllData[[#This Row],[Time]]&lt;1, AllData[[#This Row],[Time]]&gt;=0.75)=TRUE, "Evening", "Night")))</f>
        <v>Afternoon</v>
      </c>
      <c r="G971" t="str">
        <f>_xlfn.XLOOKUP(AllData[[#This Row],[Location Name]], Locations[Location Name],Locations[Group As])</f>
        <v>Chipping Campden Craves</v>
      </c>
      <c r="H971" t="e" vm="9">
        <f>_xlfn.XLOOKUP(AllData[[#This Row],[Site Name]],LocationsKey[Site Name],LocationsKey[District])</f>
        <v>#VALUE!</v>
      </c>
      <c r="I971" t="e" vm="10">
        <f>_xlfn.XLOOKUP(AllData[[#This Row],[Site Name]],LocationsKey[Site Name],LocationsKey[Town])</f>
        <v>#VALUE!</v>
      </c>
      <c r="J971" t="str">
        <f>_xlfn.XLOOKUP(AllData[[#This Row],[Site Name]],LocationsKey[Site Name], LocationsKey[Waterway])</f>
        <v>Cam Brook</v>
      </c>
      <c r="K971" t="s">
        <v>2052</v>
      </c>
      <c r="L971">
        <v>52.048676</v>
      </c>
      <c r="M971">
        <v>-1.786324</v>
      </c>
      <c r="N971" t="s">
        <v>68</v>
      </c>
      <c r="O971">
        <v>431</v>
      </c>
      <c r="P971">
        <v>16.600000000000001</v>
      </c>
      <c r="Q971">
        <v>5</v>
      </c>
      <c r="R971" s="107" t="str">
        <f>IF(AllData[[#This Row],[Nitrate (PPM)]]&gt;2, "Very high", IF(AllData[[#This Row],[Nitrate (PPM)]]&gt;1, "High", IF(AllData[[#This Row],[Nitrate (PPM)]]&gt;0.5, "Some evidence", IF(AllData[[#This Row],[Nitrate (PPM)]]&gt;=0, "No evidence"))))</f>
        <v>Very high</v>
      </c>
      <c r="S971">
        <v>0.06</v>
      </c>
      <c r="T971" s="7" t="str">
        <f>IF(AllData[[#This Row],[Phosphate (PPM)]]&gt;0.5, "Very high", IF(AllData[[#This Row],[Phosphate (PPM)]]&gt;0.1, "High", IF(AllData[[#This Row],[Phosphate (PPM)]]&gt;0.05, "Some evidence", IF(AllData[[#This Row],[Phosphate (PPM)]]&lt;=0.05, "No Evidence", ""))))</f>
        <v>Some evidence</v>
      </c>
      <c r="U971">
        <v>0.6</v>
      </c>
    </row>
    <row r="972" spans="1:22" x14ac:dyDescent="0.35">
      <c r="A972" t="s">
        <v>2049</v>
      </c>
      <c r="B972" s="143">
        <v>45551</v>
      </c>
      <c r="C972" s="2" t="str" cm="1">
        <f t="array" ref="C9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2">
        <f>YEAR(AllData[[#This Row],[Date]])</f>
        <v>2024</v>
      </c>
      <c r="E972" s="1">
        <v>0.53125</v>
      </c>
      <c r="F972" t="str">
        <f>IF(AND(AllData[[#This Row],[Time]]&lt;0.5, AllData[[#This Row],[Time]]&gt;0.17)=TRUE, "Morning", IF(AND(AllData[[#This Row],[Time]]&lt;0.75, AllData[[#This Row],[Time]]&gt;=0.5)=TRUE, "Afternoon", IF(AND(AllData[[#This Row],[Time]]&lt;1, AllData[[#This Row],[Time]]&gt;=0.75)=TRUE, "Evening", "Night")))</f>
        <v>Afternoon</v>
      </c>
      <c r="G972" t="str">
        <f>_xlfn.XLOOKUP(AllData[[#This Row],[Location Name]], Locations[Location Name],Locations[Group As])</f>
        <v>The Ford, Langley</v>
      </c>
      <c r="H972" t="e" vm="1">
        <f>_xlfn.XLOOKUP(AllData[[#This Row],[Site Name]],LocationsKey[Site Name],LocationsKey[District])</f>
        <v>#VALUE!</v>
      </c>
      <c r="I972" t="str">
        <f>_xlfn.XLOOKUP(AllData[[#This Row],[Site Name]],LocationsKey[Site Name],LocationsKey[Town])</f>
        <v>Langley</v>
      </c>
      <c r="J972" t="str">
        <f>_xlfn.XLOOKUP(AllData[[#This Row],[Site Name]],LocationsKey[Site Name], LocationsKey[Waterway])</f>
        <v>Langley Ford</v>
      </c>
      <c r="K972" t="s">
        <v>561</v>
      </c>
      <c r="L972">
        <v>52.259903999999999</v>
      </c>
      <c r="M972">
        <v>-1.7185010000000001</v>
      </c>
      <c r="N972" t="s">
        <v>31</v>
      </c>
      <c r="O972">
        <v>666</v>
      </c>
      <c r="P972">
        <v>13.6</v>
      </c>
      <c r="R972" s="107"/>
      <c r="S972">
        <v>1</v>
      </c>
      <c r="T972" s="7" t="str">
        <f>IF(AllData[[#This Row],[Phosphate (PPM)]]&gt;0.5, "Very high", IF(AllData[[#This Row],[Phosphate (PPM)]]&gt;0.1, "High", IF(AllData[[#This Row],[Phosphate (PPM)]]&gt;0.05, "Some evidence", IF(AllData[[#This Row],[Phosphate (PPM)]]&lt;=0.05, "No Evidence", ""))))</f>
        <v>Very high</v>
      </c>
      <c r="U972">
        <v>0.63</v>
      </c>
      <c r="V972" t="s">
        <v>2050</v>
      </c>
    </row>
    <row r="973" spans="1:22" x14ac:dyDescent="0.35">
      <c r="A973" t="s">
        <v>2040</v>
      </c>
      <c r="B973" s="143">
        <v>45550</v>
      </c>
      <c r="C973" s="2" t="str" cm="1">
        <f t="array" ref="C9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3">
        <f>YEAR(AllData[[#This Row],[Date]])</f>
        <v>2024</v>
      </c>
      <c r="E973" s="1">
        <v>0.48680555555555555</v>
      </c>
      <c r="F973" t="str">
        <f>IF(AND(AllData[[#This Row],[Time]]&lt;0.5, AllData[[#This Row],[Time]]&gt;0.17)=TRUE, "Morning", IF(AND(AllData[[#This Row],[Time]]&lt;0.75, AllData[[#This Row],[Time]]&gt;=0.5)=TRUE, "Afternoon", IF(AND(AllData[[#This Row],[Time]]&lt;1, AllData[[#This Row],[Time]]&gt;=0.75)=TRUE, "Evening", "Night")))</f>
        <v>Morning</v>
      </c>
      <c r="G973" t="str">
        <f>_xlfn.XLOOKUP(AllData[[#This Row],[Location Name]], Locations[Location Name],Locations[Group As])</f>
        <v>Site 3  :  Severn Trent Water processing plant outflow</v>
      </c>
      <c r="H973" t="e" vm="1">
        <f>_xlfn.XLOOKUP(AllData[[#This Row],[Site Name]],LocationsKey[Site Name],LocationsKey[District])</f>
        <v>#VALUE!</v>
      </c>
      <c r="I973" t="e" vm="14">
        <f>_xlfn.XLOOKUP(AllData[[#This Row],[Site Name]],LocationsKey[Site Name],LocationsKey[Town])</f>
        <v>#VALUE!</v>
      </c>
      <c r="J973" t="str">
        <f>_xlfn.XLOOKUP(AllData[[#This Row],[Site Name]],LocationsKey[Site Name], LocationsKey[Waterway])</f>
        <v>Fosseway Brook</v>
      </c>
      <c r="K973" t="s">
        <v>2041</v>
      </c>
      <c r="L973">
        <v>52.094726999999999</v>
      </c>
      <c r="M973">
        <v>-1.676552</v>
      </c>
      <c r="N973" t="s">
        <v>31</v>
      </c>
      <c r="O973">
        <v>891</v>
      </c>
      <c r="P973">
        <v>16.399999999999999</v>
      </c>
      <c r="Q973">
        <v>20</v>
      </c>
      <c r="R973" s="107" t="str">
        <f>IF(AllData[[#This Row],[Nitrate (PPM)]]&gt;2, "Very high", IF(AllData[[#This Row],[Nitrate (PPM)]]&gt;1, "High", IF(AllData[[#This Row],[Nitrate (PPM)]]&gt;0.5, "Some evidence", IF(AllData[[#This Row],[Nitrate (PPM)]]&gt;=0, "No evidence"))))</f>
        <v>Very high</v>
      </c>
      <c r="S973">
        <v>1.76</v>
      </c>
      <c r="T973" s="107" t="str">
        <f>IF(AllData[[#This Row],[Phosphate (PPM)]]&gt;0.5, "Very high", IF(AllData[[#This Row],[Phosphate (PPM)]]&gt;0.1, "High", IF(AllData[[#This Row],[Phosphate (PPM)]]&gt;0.05, "Some evidence", IF(AllData[[#This Row],[Phosphate (PPM)]]&lt;=0.05, "No Evidence", ""))))</f>
        <v>Very high</v>
      </c>
      <c r="U973">
        <v>0.15</v>
      </c>
    </row>
    <row r="974" spans="1:22" x14ac:dyDescent="0.35">
      <c r="A974" t="s">
        <v>2035</v>
      </c>
      <c r="B974" s="143">
        <v>45550</v>
      </c>
      <c r="C974" s="2" t="str" cm="1">
        <f t="array" ref="C9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4">
        <f>YEAR(AllData[[#This Row],[Date]])</f>
        <v>2024</v>
      </c>
      <c r="E974" s="1">
        <v>0.40625</v>
      </c>
      <c r="F974" t="str">
        <f>IF(AND(AllData[[#This Row],[Time]]&lt;0.5, AllData[[#This Row],[Time]]&gt;0.17)=TRUE, "Morning", IF(AND(AllData[[#This Row],[Time]]&lt;0.75, AllData[[#This Row],[Time]]&gt;=0.5)=TRUE, "Afternoon", IF(AND(AllData[[#This Row],[Time]]&lt;1, AllData[[#This Row],[Time]]&gt;=0.75)=TRUE, "Evening", "Night")))</f>
        <v>Morning</v>
      </c>
      <c r="G974" t="str">
        <f>_xlfn.XLOOKUP(AllData[[#This Row],[Location Name]], Locations[Location Name],Locations[Group As])</f>
        <v>Bell Brook 1</v>
      </c>
      <c r="H974" t="e" vm="1">
        <f>_xlfn.XLOOKUP(AllData[[#This Row],[Site Name]],LocationsKey[Site Name],LocationsKey[District])</f>
        <v>#VALUE!</v>
      </c>
      <c r="I974" t="e" vm="19">
        <f>_xlfn.XLOOKUP(AllData[[#This Row],[Site Name]],LocationsKey[Site Name],LocationsKey[Town])</f>
        <v>#VALUE!</v>
      </c>
      <c r="J974" t="str">
        <f>_xlfn.XLOOKUP(AllData[[#This Row],[Site Name]],LocationsKey[Site Name], LocationsKey[Waterway])</f>
        <v>Bell Brook</v>
      </c>
      <c r="K974" t="s">
        <v>538</v>
      </c>
      <c r="O974">
        <v>829</v>
      </c>
      <c r="P974">
        <v>12.3</v>
      </c>
      <c r="Q974">
        <v>15</v>
      </c>
      <c r="R974" s="107" t="str">
        <f>IF(AllData[[#This Row],[Nitrate (PPM)]]&gt;2, "Very high", IF(AllData[[#This Row],[Nitrate (PPM)]]&gt;1, "High", IF(AllData[[#This Row],[Nitrate (PPM)]]&gt;0.5, "Some evidence", IF(AllData[[#This Row],[Nitrate (PPM)]]&gt;=0, "No evidence"))))</f>
        <v>Very high</v>
      </c>
      <c r="S974">
        <v>0.28000000000000003</v>
      </c>
      <c r="T974" s="7" t="str">
        <f>IF(AllData[[#This Row],[Phosphate (PPM)]]&gt;0.5, "Very high", IF(AllData[[#This Row],[Phosphate (PPM)]]&gt;0.1, "High", IF(AllData[[#This Row],[Phosphate (PPM)]]&gt;0.05, "Some evidence", IF(AllData[[#This Row],[Phosphate (PPM)]]&lt;=0.05, "No Evidence", ""))))</f>
        <v>High</v>
      </c>
      <c r="U974">
        <v>0.1</v>
      </c>
    </row>
    <row r="975" spans="1:22" x14ac:dyDescent="0.35">
      <c r="A975" t="s">
        <v>2044</v>
      </c>
      <c r="B975" s="143">
        <v>45550</v>
      </c>
      <c r="C975" s="2" t="str" cm="1">
        <f t="array" ref="C9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5">
        <f>YEAR(AllData[[#This Row],[Date]])</f>
        <v>2024</v>
      </c>
      <c r="E975" s="1">
        <v>0.37222222222222223</v>
      </c>
      <c r="F975" t="str">
        <f>IF(AND(AllData[[#This Row],[Time]]&lt;0.5, AllData[[#This Row],[Time]]&gt;0.17)=TRUE, "Morning", IF(AND(AllData[[#This Row],[Time]]&lt;0.75, AllData[[#This Row],[Time]]&gt;=0.5)=TRUE, "Afternoon", IF(AND(AllData[[#This Row],[Time]]&lt;1, AllData[[#This Row],[Time]]&gt;=0.75)=TRUE, "Evening", "Night")))</f>
        <v>Morning</v>
      </c>
      <c r="G975" t="str">
        <f>_xlfn.XLOOKUP(AllData[[#This Row],[Location Name]], Locations[Location Name],Locations[Group As])</f>
        <v>Lower Lode</v>
      </c>
      <c r="H975" t="e" vm="4">
        <f>_xlfn.XLOOKUP(AllData[[#This Row],[Site Name]],LocationsKey[Site Name],LocationsKey[District])</f>
        <v>#VALUE!</v>
      </c>
      <c r="I975" t="e" vm="4">
        <f>_xlfn.XLOOKUP(AllData[[#This Row],[Site Name]],LocationsKey[Site Name],LocationsKey[Town])</f>
        <v>#VALUE!</v>
      </c>
      <c r="J975" t="str">
        <f>_xlfn.XLOOKUP(AllData[[#This Row],[Site Name]],LocationsKey[Site Name], LocationsKey[Waterway])</f>
        <v>Avon</v>
      </c>
      <c r="K975" t="s">
        <v>595</v>
      </c>
      <c r="L975">
        <v>51.983930999999998</v>
      </c>
      <c r="M975">
        <v>-2.1755949999999999</v>
      </c>
      <c r="N975" t="s">
        <v>31</v>
      </c>
      <c r="O975">
        <v>8630</v>
      </c>
      <c r="P975">
        <v>15.4</v>
      </c>
      <c r="Q975">
        <v>10</v>
      </c>
      <c r="R975" s="107" t="str">
        <f>IF(AllData[[#This Row],[Nitrate (PPM)]]&gt;2, "Very high", IF(AllData[[#This Row],[Nitrate (PPM)]]&gt;1, "High", IF(AllData[[#This Row],[Nitrate (PPM)]]&gt;0.5, "Some evidence", IF(AllData[[#This Row],[Nitrate (PPM)]]&gt;=0, "No evidence"))))</f>
        <v>Very high</v>
      </c>
      <c r="S975">
        <v>1.02</v>
      </c>
      <c r="T975" s="7" t="str">
        <f>IF(AllData[[#This Row],[Phosphate (PPM)]]&gt;0.5, "Very high", IF(AllData[[#This Row],[Phosphate (PPM)]]&gt;0.1, "High", IF(AllData[[#This Row],[Phosphate (PPM)]]&gt;0.05, "Some evidence", IF(AllData[[#This Row],[Phosphate (PPM)]]&lt;=0.05, "No Evidence", ""))))</f>
        <v>Very high</v>
      </c>
      <c r="U975">
        <v>1</v>
      </c>
    </row>
    <row r="976" spans="1:22" x14ac:dyDescent="0.35">
      <c r="A976" t="s">
        <v>2033</v>
      </c>
      <c r="B976" s="143">
        <v>45550</v>
      </c>
      <c r="C976" s="2" t="str" cm="1">
        <f t="array" ref="C9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6">
        <f>YEAR(AllData[[#This Row],[Date]])</f>
        <v>2024</v>
      </c>
      <c r="E976" s="1">
        <v>0.60555555555555551</v>
      </c>
      <c r="F976" t="str">
        <f>IF(AND(AllData[[#This Row],[Time]]&lt;0.5, AllData[[#This Row],[Time]]&gt;0.17)=TRUE, "Morning", IF(AND(AllData[[#This Row],[Time]]&lt;0.75, AllData[[#This Row],[Time]]&gt;=0.5)=TRUE, "Afternoon", IF(AND(AllData[[#This Row],[Time]]&lt;1, AllData[[#This Row],[Time]]&gt;=0.75)=TRUE, "Evening", "Night")))</f>
        <v>Afternoon</v>
      </c>
      <c r="G976" t="str">
        <f>_xlfn.XLOOKUP(AllData[[#This Row],[Location Name]], Locations[Location Name],Locations[Group As])</f>
        <v>Fell Mill Footbridge</v>
      </c>
      <c r="H976" t="e" vm="1">
        <f>_xlfn.XLOOKUP(AllData[[#This Row],[Site Name]],LocationsKey[Site Name],LocationsKey[District])</f>
        <v>#VALUE!</v>
      </c>
      <c r="I976" t="e" vm="15">
        <f>_xlfn.XLOOKUP(AllData[[#This Row],[Site Name]],LocationsKey[Site Name],LocationsKey[Town])</f>
        <v>#VALUE!</v>
      </c>
      <c r="J976" t="str">
        <f>_xlfn.XLOOKUP(AllData[[#This Row],[Site Name]],LocationsKey[Site Name], LocationsKey[Waterway])</f>
        <v>Stour</v>
      </c>
      <c r="K976" t="s">
        <v>2034</v>
      </c>
      <c r="L976">
        <v>52.070086000000003</v>
      </c>
      <c r="M976">
        <v>-1.61145</v>
      </c>
      <c r="N976" t="s">
        <v>31</v>
      </c>
      <c r="O976">
        <v>621</v>
      </c>
      <c r="P976">
        <v>13.8</v>
      </c>
      <c r="Q976">
        <v>10</v>
      </c>
      <c r="R976" s="107" t="str">
        <f>IF(AllData[[#This Row],[Nitrate (PPM)]]&gt;2, "Very high", IF(AllData[[#This Row],[Nitrate (PPM)]]&gt;1, "High", IF(AllData[[#This Row],[Nitrate (PPM)]]&gt;0.5, "Some evidence", IF(AllData[[#This Row],[Nitrate (PPM)]]&gt;=0, "No evidence"))))</f>
        <v>Very high</v>
      </c>
      <c r="S976">
        <v>0.56000000000000005</v>
      </c>
      <c r="T976" s="7" t="str">
        <f>IF(AllData[[#This Row],[Phosphate (PPM)]]&gt;0.5, "Very high", IF(AllData[[#This Row],[Phosphate (PPM)]]&gt;0.1, "High", IF(AllData[[#This Row],[Phosphate (PPM)]]&gt;0.05, "Some evidence", IF(AllData[[#This Row],[Phosphate (PPM)]]&lt;=0.05, "No Evidence", ""))))</f>
        <v>Very high</v>
      </c>
      <c r="U976">
        <v>1</v>
      </c>
    </row>
    <row r="977" spans="1:22" x14ac:dyDescent="0.35">
      <c r="A977" t="s">
        <v>2032</v>
      </c>
      <c r="B977" s="143">
        <v>45550</v>
      </c>
      <c r="C977" s="2" t="str" cm="1">
        <f t="array" ref="C9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7">
        <f>YEAR(AllData[[#This Row],[Date]])</f>
        <v>2024</v>
      </c>
      <c r="E977" s="1">
        <v>0.58333333333333337</v>
      </c>
      <c r="F977" t="str">
        <f>IF(AND(AllData[[#This Row],[Time]]&lt;0.5, AllData[[#This Row],[Time]]&gt;0.17)=TRUE, "Morning", IF(AND(AllData[[#This Row],[Time]]&lt;0.75, AllData[[#This Row],[Time]]&gt;=0.5)=TRUE, "Afternoon", IF(AND(AllData[[#This Row],[Time]]&lt;1, AllData[[#This Row],[Time]]&gt;=0.75)=TRUE, "Evening", "Night")))</f>
        <v>Afternoon</v>
      </c>
      <c r="G977" t="str">
        <f>_xlfn.XLOOKUP(AllData[[#This Row],[Location Name]], Locations[Location Name],Locations[Group As])</f>
        <v>Clifford Chambers Mill Bridge</v>
      </c>
      <c r="H977" t="e" vm="1">
        <f>_xlfn.XLOOKUP(AllData[[#This Row],[Site Name]],LocationsKey[Site Name],LocationsKey[District])</f>
        <v>#VALUE!</v>
      </c>
      <c r="I977" t="e" vm="22">
        <f>_xlfn.XLOOKUP(AllData[[#This Row],[Site Name]],LocationsKey[Site Name],LocationsKey[Town])</f>
        <v>#VALUE!</v>
      </c>
      <c r="J977" t="str">
        <f>_xlfn.XLOOKUP(AllData[[#This Row],[Site Name]],LocationsKey[Site Name], LocationsKey[Waterway])</f>
        <v>Stour</v>
      </c>
      <c r="K977" t="s">
        <v>266</v>
      </c>
      <c r="L977">
        <v>52.166370000000001</v>
      </c>
      <c r="M977">
        <v>-1.708032</v>
      </c>
      <c r="N977" t="s">
        <v>68</v>
      </c>
      <c r="O977">
        <v>648</v>
      </c>
      <c r="P977">
        <v>15.5</v>
      </c>
      <c r="Q977">
        <v>7</v>
      </c>
      <c r="R977" s="107" t="str">
        <f>IF(AllData[[#This Row],[Nitrate (PPM)]]&gt;2, "Very high", IF(AllData[[#This Row],[Nitrate (PPM)]]&gt;1, "High", IF(AllData[[#This Row],[Nitrate (PPM)]]&gt;0.5, "Some evidence", IF(AllData[[#This Row],[Nitrate (PPM)]]&gt;=0, "No evidence"))))</f>
        <v>Very high</v>
      </c>
      <c r="S977">
        <v>0.62</v>
      </c>
      <c r="T977" s="7" t="str">
        <f>IF(AllData[[#This Row],[Phosphate (PPM)]]&gt;0.5, "Very high", IF(AllData[[#This Row],[Phosphate (PPM)]]&gt;0.1, "High", IF(AllData[[#This Row],[Phosphate (PPM)]]&gt;0.05, "Some evidence", IF(AllData[[#This Row],[Phosphate (PPM)]]&lt;=0.05, "No Evidence", ""))))</f>
        <v>Very high</v>
      </c>
      <c r="U977">
        <v>0.3</v>
      </c>
    </row>
    <row r="978" spans="1:22" x14ac:dyDescent="0.35">
      <c r="A978" t="s">
        <v>2036</v>
      </c>
      <c r="B978" s="143">
        <v>45550</v>
      </c>
      <c r="C978" s="2" t="str" cm="1">
        <f t="array" ref="C9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8">
        <f>YEAR(AllData[[#This Row],[Date]])</f>
        <v>2024</v>
      </c>
      <c r="E978" s="1">
        <v>0.39583333333333331</v>
      </c>
      <c r="F978" t="str">
        <f>IF(AND(AllData[[#This Row],[Time]]&lt;0.5, AllData[[#This Row],[Time]]&gt;0.17)=TRUE, "Morning", IF(AND(AllData[[#This Row],[Time]]&lt;0.75, AllData[[#This Row],[Time]]&gt;=0.5)=TRUE, "Afternoon", IF(AND(AllData[[#This Row],[Time]]&lt;1, AllData[[#This Row],[Time]]&gt;=0.75)=TRUE, "Evening", "Night")))</f>
        <v>Morning</v>
      </c>
      <c r="G978" t="str">
        <f>_xlfn.XLOOKUP(AllData[[#This Row],[Location Name]], Locations[Location Name],Locations[Group As])</f>
        <v>Sherbourne Brook 1</v>
      </c>
      <c r="H978" t="e" vm="1">
        <f>_xlfn.XLOOKUP(AllData[[#This Row],[Site Name]],LocationsKey[Site Name],LocationsKey[District])</f>
        <v>#VALUE!</v>
      </c>
      <c r="I978" t="e" vm="23">
        <f>_xlfn.XLOOKUP(AllData[[#This Row],[Site Name]],LocationsKey[Site Name],LocationsKey[Town])</f>
        <v>#VALUE!</v>
      </c>
      <c r="J978" t="str">
        <f>_xlfn.XLOOKUP(AllData[[#This Row],[Site Name]],LocationsKey[Site Name], LocationsKey[Waterway])</f>
        <v>Sherbourne Brook</v>
      </c>
      <c r="K978" t="s">
        <v>541</v>
      </c>
      <c r="O978">
        <v>1190</v>
      </c>
      <c r="P978">
        <v>12.3</v>
      </c>
      <c r="Q978">
        <v>5</v>
      </c>
      <c r="R978" s="107" t="str">
        <f>IF(AllData[[#This Row],[Nitrate (PPM)]]&gt;2, "Very high", IF(AllData[[#This Row],[Nitrate (PPM)]]&gt;1, "High", IF(AllData[[#This Row],[Nitrate (PPM)]]&gt;0.5, "Some evidence", IF(AllData[[#This Row],[Nitrate (PPM)]]&gt;=0, "No evidence"))))</f>
        <v>Very high</v>
      </c>
      <c r="S978">
        <v>0.09</v>
      </c>
      <c r="T978" s="7" t="str">
        <f>IF(AllData[[#This Row],[Phosphate (PPM)]]&gt;0.5, "Very high", IF(AllData[[#This Row],[Phosphate (PPM)]]&gt;0.1, "High", IF(AllData[[#This Row],[Phosphate (PPM)]]&gt;0.05, "Some evidence", IF(AllData[[#This Row],[Phosphate (PPM)]]&lt;=0.05, "No Evidence", ""))))</f>
        <v>Some evidence</v>
      </c>
      <c r="U978">
        <v>0.1</v>
      </c>
    </row>
    <row r="979" spans="1:22" x14ac:dyDescent="0.35">
      <c r="A979" t="s">
        <v>2037</v>
      </c>
      <c r="B979" s="143">
        <v>45550</v>
      </c>
      <c r="C979" s="2" t="str" cm="1">
        <f t="array" ref="C9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79">
        <f>YEAR(AllData[[#This Row],[Date]])</f>
        <v>2024</v>
      </c>
      <c r="E979" s="1">
        <v>0.4777777777777778</v>
      </c>
      <c r="F979" t="str">
        <f>IF(AND(AllData[[#This Row],[Time]]&lt;0.5, AllData[[#This Row],[Time]]&gt;0.17)=TRUE, "Morning", IF(AND(AllData[[#This Row],[Time]]&lt;0.75, AllData[[#This Row],[Time]]&gt;=0.5)=TRUE, "Afternoon", IF(AND(AllData[[#This Row],[Time]]&lt;1, AllData[[#This Row],[Time]]&gt;=0.75)=TRUE, "Evening", "Night")))</f>
        <v>Morning</v>
      </c>
      <c r="G979" t="str">
        <f>_xlfn.XLOOKUP(AllData[[#This Row],[Location Name]], Locations[Location Name],Locations[Group As])</f>
        <v>Stour Shipston Mill Bridge</v>
      </c>
      <c r="H979" t="e" vm="1">
        <f>_xlfn.XLOOKUP(AllData[[#This Row],[Site Name]],LocationsKey[Site Name],LocationsKey[District])</f>
        <v>#VALUE!</v>
      </c>
      <c r="I979" t="e" vm="15">
        <f>_xlfn.XLOOKUP(AllData[[#This Row],[Site Name]],LocationsKey[Site Name],LocationsKey[Town])</f>
        <v>#VALUE!</v>
      </c>
      <c r="J979" t="str">
        <f>_xlfn.XLOOKUP(AllData[[#This Row],[Site Name]],LocationsKey[Site Name], LocationsKey[Waterway])</f>
        <v>Stour</v>
      </c>
      <c r="K979" t="s">
        <v>2038</v>
      </c>
      <c r="L979">
        <v>52.061956000000002</v>
      </c>
      <c r="M979">
        <v>-1.622026</v>
      </c>
      <c r="N979" t="s">
        <v>25</v>
      </c>
      <c r="O979">
        <v>646</v>
      </c>
      <c r="P979">
        <v>14.9</v>
      </c>
      <c r="Q979">
        <v>5</v>
      </c>
      <c r="R979" s="107" t="str">
        <f>IF(AllData[[#This Row],[Nitrate (PPM)]]&gt;2, "Very high", IF(AllData[[#This Row],[Nitrate (PPM)]]&gt;1, "High", IF(AllData[[#This Row],[Nitrate (PPM)]]&gt;0.5, "Some evidence", IF(AllData[[#This Row],[Nitrate (PPM)]]&gt;=0, "No evidence"))))</f>
        <v>Very high</v>
      </c>
      <c r="S979">
        <v>0.41</v>
      </c>
      <c r="T979" s="7" t="str">
        <f>IF(AllData[[#This Row],[Phosphate (PPM)]]&gt;0.5, "Very high", IF(AllData[[#This Row],[Phosphate (PPM)]]&gt;0.1, "High", IF(AllData[[#This Row],[Phosphate (PPM)]]&gt;0.05, "Some evidence", IF(AllData[[#This Row],[Phosphate (PPM)]]&lt;=0.05, "No Evidence", ""))))</f>
        <v>High</v>
      </c>
      <c r="U979">
        <v>0.5</v>
      </c>
      <c r="V979" t="s">
        <v>2039</v>
      </c>
    </row>
    <row r="980" spans="1:22" x14ac:dyDescent="0.35">
      <c r="A980" t="s">
        <v>2043</v>
      </c>
      <c r="B980" s="143">
        <v>45550</v>
      </c>
      <c r="C980" s="2" t="str" cm="1">
        <f t="array" ref="C9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0">
        <f>YEAR(AllData[[#This Row],[Date]])</f>
        <v>2024</v>
      </c>
      <c r="E980" s="1">
        <v>0.46805555555555556</v>
      </c>
      <c r="F980" t="str">
        <f>IF(AND(AllData[[#This Row],[Time]]&lt;0.5, AllData[[#This Row],[Time]]&gt;0.17)=TRUE, "Morning", IF(AND(AllData[[#This Row],[Time]]&lt;0.75, AllData[[#This Row],[Time]]&gt;=0.5)=TRUE, "Afternoon", IF(AND(AllData[[#This Row],[Time]]&lt;1, AllData[[#This Row],[Time]]&gt;=0.75)=TRUE, "Evening", "Night")))</f>
        <v>Morning</v>
      </c>
      <c r="G980" t="str">
        <f>_xlfn.XLOOKUP(AllData[[#This Row],[Location Name]], Locations[Location Name],Locations[Group As])</f>
        <v>Site 1  :  Middle Street</v>
      </c>
      <c r="H980" t="e" vm="1">
        <f>_xlfn.XLOOKUP(AllData[[#This Row],[Site Name]],LocationsKey[Site Name],LocationsKey[District])</f>
        <v>#VALUE!</v>
      </c>
      <c r="I980" t="e" vm="14">
        <f>_xlfn.XLOOKUP(AllData[[#This Row],[Site Name]],LocationsKey[Site Name],LocationsKey[Town])</f>
        <v>#VALUE!</v>
      </c>
      <c r="J980" t="str">
        <f>_xlfn.XLOOKUP(AllData[[#This Row],[Site Name]],LocationsKey[Site Name], LocationsKey[Waterway])</f>
        <v>Fosseway Brook</v>
      </c>
      <c r="K980" t="s">
        <v>1777</v>
      </c>
      <c r="L980">
        <v>52.090063999999998</v>
      </c>
      <c r="M980">
        <v>-1.692766</v>
      </c>
      <c r="N980" t="s">
        <v>68</v>
      </c>
      <c r="O980">
        <v>668</v>
      </c>
      <c r="P980">
        <v>16.2</v>
      </c>
      <c r="Q980">
        <v>2</v>
      </c>
      <c r="R980" s="107" t="str">
        <f>IF(AllData[[#This Row],[Nitrate (PPM)]]&gt;2, "Very high", IF(AllData[[#This Row],[Nitrate (PPM)]]&gt;1, "High", IF(AllData[[#This Row],[Nitrate (PPM)]]&gt;0.5, "Some evidence", IF(AllData[[#This Row],[Nitrate (PPM)]]&gt;=0, "No evidence"))))</f>
        <v>High</v>
      </c>
      <c r="S980">
        <v>0.56999999999999995</v>
      </c>
      <c r="T980" s="7" t="str">
        <f>IF(AllData[[#This Row],[Phosphate (PPM)]]&gt;0.5, "Very high", IF(AllData[[#This Row],[Phosphate (PPM)]]&gt;0.1, "High", IF(AllData[[#This Row],[Phosphate (PPM)]]&gt;0.05, "Some evidence", IF(AllData[[#This Row],[Phosphate (PPM)]]&lt;=0.05, "No Evidence", ""))))</f>
        <v>Very high</v>
      </c>
      <c r="U980">
        <v>0.04</v>
      </c>
    </row>
    <row r="981" spans="1:22" x14ac:dyDescent="0.35">
      <c r="A981" t="s">
        <v>2042</v>
      </c>
      <c r="B981" s="143">
        <v>45550</v>
      </c>
      <c r="C981" s="2" t="str" cm="1">
        <f t="array" ref="C9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1">
        <f>YEAR(AllData[[#This Row],[Date]])</f>
        <v>2024</v>
      </c>
      <c r="E981" s="1">
        <v>0.48055555555555557</v>
      </c>
      <c r="F981" t="str">
        <f>IF(AND(AllData[[#This Row],[Time]]&lt;0.5, AllData[[#This Row],[Time]]&gt;0.17)=TRUE, "Morning", IF(AND(AllData[[#This Row],[Time]]&lt;0.75, AllData[[#This Row],[Time]]&gt;=0.5)=TRUE, "Afternoon", IF(AND(AllData[[#This Row],[Time]]&lt;1, AllData[[#This Row],[Time]]&gt;=0.75)=TRUE, "Evening", "Night")))</f>
        <v>Morning</v>
      </c>
      <c r="G981" t="str">
        <f>_xlfn.XLOOKUP(AllData[[#This Row],[Location Name]], Locations[Location Name],Locations[Group As])</f>
        <v>Site 2  :  Cross Leys culvert</v>
      </c>
      <c r="H981" t="e" vm="1">
        <f>_xlfn.XLOOKUP(AllData[[#This Row],[Site Name]],LocationsKey[Site Name],LocationsKey[District])</f>
        <v>#VALUE!</v>
      </c>
      <c r="I981" t="e" vm="14">
        <f>_xlfn.XLOOKUP(AllData[[#This Row],[Site Name]],LocationsKey[Site Name],LocationsKey[Town])</f>
        <v>#VALUE!</v>
      </c>
      <c r="J981" t="str">
        <f>_xlfn.XLOOKUP(AllData[[#This Row],[Site Name]],LocationsKey[Site Name], LocationsKey[Waterway])</f>
        <v>Fosseway Brook</v>
      </c>
      <c r="K981" t="s">
        <v>1780</v>
      </c>
      <c r="L981">
        <v>52.093201999999998</v>
      </c>
      <c r="M981">
        <v>-1.6863509999999999</v>
      </c>
      <c r="N981" t="s">
        <v>68</v>
      </c>
      <c r="O981">
        <v>761</v>
      </c>
      <c r="P981">
        <v>15.5</v>
      </c>
      <c r="Q981">
        <v>0</v>
      </c>
      <c r="R981" s="107" t="str">
        <f>IF(AllData[[#This Row],[Nitrate (PPM)]]&gt;2, "Very high", IF(AllData[[#This Row],[Nitrate (PPM)]]&gt;1, "High", IF(AllData[[#This Row],[Nitrate (PPM)]]&gt;0.5, "Some evidence", IF(AllData[[#This Row],[Nitrate (PPM)]]&gt;=0, "No evidence"))))</f>
        <v>No evidence</v>
      </c>
      <c r="S981">
        <v>2.33</v>
      </c>
      <c r="T981" s="7" t="str">
        <f>IF(AllData[[#This Row],[Phosphate (PPM)]]&gt;0.5, "Very high", IF(AllData[[#This Row],[Phosphate (PPM)]]&gt;0.1, "High", IF(AllData[[#This Row],[Phosphate (PPM)]]&gt;0.05, "Some evidence", IF(AllData[[#This Row],[Phosphate (PPM)]]&lt;=0.05, "No Evidence", ""))))</f>
        <v>Very high</v>
      </c>
      <c r="U981">
        <v>0.12</v>
      </c>
    </row>
    <row r="982" spans="1:22" x14ac:dyDescent="0.35">
      <c r="A982" t="s">
        <v>2030</v>
      </c>
      <c r="B982" s="143">
        <v>45549</v>
      </c>
      <c r="C982" s="2" t="str" cm="1">
        <f t="array" ref="C9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2">
        <f>YEAR(AllData[[#This Row],[Date]])</f>
        <v>2024</v>
      </c>
      <c r="E982" s="1">
        <v>0.4201388888888889</v>
      </c>
      <c r="F982" t="str">
        <f>IF(AND(AllData[[#This Row],[Time]]&lt;0.5, AllData[[#This Row],[Time]]&gt;0.17)=TRUE, "Morning", IF(AND(AllData[[#This Row],[Time]]&lt;0.75, AllData[[#This Row],[Time]]&gt;=0.5)=TRUE, "Afternoon", IF(AND(AllData[[#This Row],[Time]]&lt;1, AllData[[#This Row],[Time]]&gt;=0.75)=TRUE, "Evening", "Night")))</f>
        <v>Morning</v>
      </c>
      <c r="G982" t="str">
        <f>_xlfn.XLOOKUP(AllData[[#This Row],[Location Name]], Locations[Location Name],Locations[Group As])</f>
        <v>Avon Smiths Meadow Wyre Piddle</v>
      </c>
      <c r="H982" t="e" vm="6">
        <f>_xlfn.XLOOKUP(AllData[[#This Row],[Site Name]],LocationsKey[Site Name],LocationsKey[District])</f>
        <v>#VALUE!</v>
      </c>
      <c r="I982" t="e" vm="13">
        <f>_xlfn.XLOOKUP(AllData[[#This Row],[Site Name]],LocationsKey[Site Name],LocationsKey[Town])</f>
        <v>#VALUE!</v>
      </c>
      <c r="J982" t="str">
        <f>_xlfn.XLOOKUP(AllData[[#This Row],[Site Name]],LocationsKey[Site Name], LocationsKey[Waterway])</f>
        <v>Avon</v>
      </c>
      <c r="K982" t="s">
        <v>784</v>
      </c>
      <c r="L982">
        <v>52.122869999999999</v>
      </c>
      <c r="M982">
        <v>-2.0574539999999999</v>
      </c>
      <c r="N982" t="s">
        <v>25</v>
      </c>
      <c r="O982">
        <v>1010</v>
      </c>
      <c r="P982">
        <v>14.9</v>
      </c>
      <c r="Q982">
        <v>12</v>
      </c>
      <c r="R982" s="107" t="str">
        <f>IF(AllData[[#This Row],[Nitrate (PPM)]]&gt;2, "Very high", IF(AllData[[#This Row],[Nitrate (PPM)]]&gt;1, "High", IF(AllData[[#This Row],[Nitrate (PPM)]]&gt;0.5, "Some evidence", IF(AllData[[#This Row],[Nitrate (PPM)]]&gt;=0, "No evidence"))))</f>
        <v>Very high</v>
      </c>
      <c r="S982">
        <v>0.8</v>
      </c>
      <c r="T982" s="7" t="str">
        <f>IF(AllData[[#This Row],[Phosphate (PPM)]]&gt;0.5, "Very high", IF(AllData[[#This Row],[Phosphate (PPM)]]&gt;0.1, "High", IF(AllData[[#This Row],[Phosphate (PPM)]]&gt;0.05, "Some evidence", IF(AllData[[#This Row],[Phosphate (PPM)]]&lt;=0.05, "No Evidence", ""))))</f>
        <v>Very high</v>
      </c>
      <c r="U982">
        <v>0.52</v>
      </c>
      <c r="V982" t="s">
        <v>2031</v>
      </c>
    </row>
    <row r="983" spans="1:22" x14ac:dyDescent="0.35">
      <c r="A983" t="s">
        <v>2027</v>
      </c>
      <c r="B983" s="143">
        <v>45549</v>
      </c>
      <c r="C983" s="2" t="str" cm="1">
        <f t="array" ref="C9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3">
        <f>YEAR(AllData[[#This Row],[Date]])</f>
        <v>2024</v>
      </c>
      <c r="E983" s="1">
        <v>0.52083333333333337</v>
      </c>
      <c r="F983" t="str">
        <f>IF(AND(AllData[[#This Row],[Time]]&lt;0.5, AllData[[#This Row],[Time]]&gt;0.17)=TRUE, "Morning", IF(AND(AllData[[#This Row],[Time]]&lt;0.75, AllData[[#This Row],[Time]]&gt;=0.5)=TRUE, "Afternoon", IF(AND(AllData[[#This Row],[Time]]&lt;1, AllData[[#This Row],[Time]]&gt;=0.75)=TRUE, "Evening", "Night")))</f>
        <v>Afternoon</v>
      </c>
      <c r="G983" t="str">
        <f>_xlfn.XLOOKUP(AllData[[#This Row],[Location Name]], Locations[Location Name],Locations[Group As])</f>
        <v>Carrant Bredon Rd</v>
      </c>
      <c r="H983" t="e" vm="4">
        <f>_xlfn.XLOOKUP(AllData[[#This Row],[Site Name]],LocationsKey[Site Name],LocationsKey[District])</f>
        <v>#VALUE!</v>
      </c>
      <c r="I983" t="e" vm="4">
        <f>_xlfn.XLOOKUP(AllData[[#This Row],[Site Name]],LocationsKey[Site Name],LocationsKey[Town])</f>
        <v>#VALUE!</v>
      </c>
      <c r="J983" t="str">
        <f>_xlfn.XLOOKUP(AllData[[#This Row],[Site Name]],LocationsKey[Site Name], LocationsKey[Waterway])</f>
        <v>Carrant</v>
      </c>
      <c r="K983" t="s">
        <v>603</v>
      </c>
      <c r="L983">
        <v>51.996262000000002</v>
      </c>
      <c r="M983">
        <v>-2.1562060000000001</v>
      </c>
      <c r="N983" t="s">
        <v>25</v>
      </c>
      <c r="O983">
        <v>722</v>
      </c>
      <c r="P983">
        <v>13.1</v>
      </c>
      <c r="Q983">
        <v>7</v>
      </c>
      <c r="R983" s="107" t="str">
        <f>IF(AllData[[#This Row],[Nitrate (PPM)]]&gt;2, "Very high", IF(AllData[[#This Row],[Nitrate (PPM)]]&gt;1, "High", IF(AllData[[#This Row],[Nitrate (PPM)]]&gt;0.5, "Some evidence", IF(AllData[[#This Row],[Nitrate (PPM)]]&gt;=0, "No evidence"))))</f>
        <v>Very high</v>
      </c>
      <c r="S983">
        <v>0.63</v>
      </c>
      <c r="T983" s="7" t="str">
        <f>IF(AllData[[#This Row],[Phosphate (PPM)]]&gt;0.5, "Very high", IF(AllData[[#This Row],[Phosphate (PPM)]]&gt;0.1, "High", IF(AllData[[#This Row],[Phosphate (PPM)]]&gt;0.05, "Some evidence", IF(AllData[[#This Row],[Phosphate (PPM)]]&lt;=0.05, "No Evidence", ""))))</f>
        <v>Very high</v>
      </c>
      <c r="U983">
        <v>0</v>
      </c>
    </row>
    <row r="984" spans="1:22" x14ac:dyDescent="0.35">
      <c r="A984" t="s">
        <v>2028</v>
      </c>
      <c r="B984" s="143">
        <v>45549</v>
      </c>
      <c r="C984" s="2" t="str" cm="1">
        <f t="array" ref="C9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4">
        <f>YEAR(AllData[[#This Row],[Date]])</f>
        <v>2024</v>
      </c>
      <c r="E984" s="1">
        <v>0.4375</v>
      </c>
      <c r="F984" t="str">
        <f>IF(AND(AllData[[#This Row],[Time]]&lt;0.5, AllData[[#This Row],[Time]]&gt;0.17)=TRUE, "Morning", IF(AND(AllData[[#This Row],[Time]]&lt;0.75, AllData[[#This Row],[Time]]&gt;=0.5)=TRUE, "Afternoon", IF(AND(AllData[[#This Row],[Time]]&lt;1, AllData[[#This Row],[Time]]&gt;=0.75)=TRUE, "Evening", "Night")))</f>
        <v>Morning</v>
      </c>
      <c r="G984" t="str">
        <f>_xlfn.XLOOKUP(AllData[[#This Row],[Location Name]], Locations[Location Name],Locations[Group As])</f>
        <v>Piddle Brook Wyre Piddle Bridge</v>
      </c>
      <c r="H984" t="e" vm="6">
        <f>_xlfn.XLOOKUP(AllData[[#This Row],[Site Name]],LocationsKey[Site Name],LocationsKey[District])</f>
        <v>#VALUE!</v>
      </c>
      <c r="I984" t="e" vm="13">
        <f>_xlfn.XLOOKUP(AllData[[#This Row],[Site Name]],LocationsKey[Site Name],LocationsKey[Town])</f>
        <v>#VALUE!</v>
      </c>
      <c r="J984" t="str">
        <f>_xlfn.XLOOKUP(AllData[[#This Row],[Site Name]],LocationsKey[Site Name], LocationsKey[Waterway])</f>
        <v>Piddle Brook</v>
      </c>
      <c r="K984" t="s">
        <v>787</v>
      </c>
      <c r="L984">
        <v>52.126325000000001</v>
      </c>
      <c r="M984">
        <v>-2.0565500000000001</v>
      </c>
      <c r="N984" t="s">
        <v>25</v>
      </c>
      <c r="O984">
        <v>1680</v>
      </c>
      <c r="P984">
        <v>11.5</v>
      </c>
      <c r="Q984">
        <v>5</v>
      </c>
      <c r="R984" s="107" t="str">
        <f>IF(AllData[[#This Row],[Nitrate (PPM)]]&gt;2, "Very high", IF(AllData[[#This Row],[Nitrate (PPM)]]&gt;1, "High", IF(AllData[[#This Row],[Nitrate (PPM)]]&gt;0.5, "Some evidence", IF(AllData[[#This Row],[Nitrate (PPM)]]&gt;=0, "No evidence"))))</f>
        <v>Very high</v>
      </c>
      <c r="S984">
        <v>1.57</v>
      </c>
      <c r="T984" s="7" t="str">
        <f>IF(AllData[[#This Row],[Phosphate (PPM)]]&gt;0.5, "Very high", IF(AllData[[#This Row],[Phosphate (PPM)]]&gt;0.1, "High", IF(AllData[[#This Row],[Phosphate (PPM)]]&gt;0.05, "Some evidence", IF(AllData[[#This Row],[Phosphate (PPM)]]&lt;=0.05, "No Evidence", ""))))</f>
        <v>Very high</v>
      </c>
      <c r="U984">
        <v>0.14000000000000001</v>
      </c>
      <c r="V984" t="s">
        <v>2029</v>
      </c>
    </row>
    <row r="985" spans="1:22" x14ac:dyDescent="0.35">
      <c r="A985" t="s">
        <v>2025</v>
      </c>
      <c r="B985" s="143">
        <v>45549</v>
      </c>
      <c r="C985" s="2" t="str" cm="1">
        <f t="array" ref="C9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5">
        <f>YEAR(AllData[[#This Row],[Date]])</f>
        <v>2024</v>
      </c>
      <c r="E985" s="1">
        <v>0.42499999999999999</v>
      </c>
      <c r="F985" t="str">
        <f>IF(AND(AllData[[#This Row],[Time]]&lt;0.5, AllData[[#This Row],[Time]]&gt;0.17)=TRUE, "Morning", IF(AND(AllData[[#This Row],[Time]]&lt;0.75, AllData[[#This Row],[Time]]&gt;=0.5)=TRUE, "Afternoon", IF(AND(AllData[[#This Row],[Time]]&lt;1, AllData[[#This Row],[Time]]&gt;=0.75)=TRUE, "Evening", "Night")))</f>
        <v>Morning</v>
      </c>
      <c r="G985" t="str">
        <f>_xlfn.XLOOKUP(AllData[[#This Row],[Location Name]], Locations[Location Name],Locations[Group As])</f>
        <v>Avonbank Drive</v>
      </c>
      <c r="H985" t="e" vm="1">
        <f>_xlfn.XLOOKUP(AllData[[#This Row],[Site Name]],LocationsKey[Site Name],LocationsKey[District])</f>
        <v>#VALUE!</v>
      </c>
      <c r="I985" t="e" vm="12">
        <f>_xlfn.XLOOKUP(AllData[[#This Row],[Site Name]],LocationsKey[Site Name],LocationsKey[Town])</f>
        <v>#VALUE!</v>
      </c>
      <c r="J985" t="str">
        <f>_xlfn.XLOOKUP(AllData[[#This Row],[Site Name]],LocationsKey[Site Name], LocationsKey[Waterway])</f>
        <v>Avon</v>
      </c>
      <c r="K985" t="s">
        <v>104</v>
      </c>
      <c r="L985">
        <v>43.328878000000003</v>
      </c>
      <c r="M985">
        <v>-81.129401000000001</v>
      </c>
      <c r="N985" t="s">
        <v>68</v>
      </c>
      <c r="O985">
        <v>906</v>
      </c>
      <c r="P985">
        <v>17.8</v>
      </c>
      <c r="Q985">
        <v>5</v>
      </c>
      <c r="R985" s="107" t="str">
        <f>IF(AllData[[#This Row],[Nitrate (PPM)]]&gt;2, "Very high", IF(AllData[[#This Row],[Nitrate (PPM)]]&gt;1, "High", IF(AllData[[#This Row],[Nitrate (PPM)]]&gt;0.5, "Some evidence", IF(AllData[[#This Row],[Nitrate (PPM)]]&gt;=0, "No evidence"))))</f>
        <v>Very high</v>
      </c>
      <c r="S985">
        <v>0.45</v>
      </c>
      <c r="T985" s="7" t="str">
        <f>IF(AllData[[#This Row],[Phosphate (PPM)]]&gt;0.5, "Very high", IF(AllData[[#This Row],[Phosphate (PPM)]]&gt;0.1, "High", IF(AllData[[#This Row],[Phosphate (PPM)]]&gt;0.05, "Some evidence", IF(AllData[[#This Row],[Phosphate (PPM)]]&lt;=0.05, "No Evidence", ""))))</f>
        <v>High</v>
      </c>
      <c r="U985">
        <v>1</v>
      </c>
    </row>
    <row r="986" spans="1:22" x14ac:dyDescent="0.35">
      <c r="A986" t="s">
        <v>2026</v>
      </c>
      <c r="B986" s="143">
        <v>45549</v>
      </c>
      <c r="C986" s="2" t="str" cm="1">
        <f t="array" ref="C9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6">
        <f>YEAR(AllData[[#This Row],[Date]])</f>
        <v>2024</v>
      </c>
      <c r="E986" s="1">
        <v>0.42430555555555555</v>
      </c>
      <c r="F986" t="str">
        <f>IF(AND(AllData[[#This Row],[Time]]&lt;0.5, AllData[[#This Row],[Time]]&gt;0.17)=TRUE, "Morning", IF(AND(AllData[[#This Row],[Time]]&lt;0.75, AllData[[#This Row],[Time]]&gt;=0.5)=TRUE, "Afternoon", IF(AND(AllData[[#This Row],[Time]]&lt;1, AllData[[#This Row],[Time]]&gt;=0.75)=TRUE, "Evening", "Night")))</f>
        <v>Morning</v>
      </c>
      <c r="G986" t="str">
        <f>_xlfn.XLOOKUP(AllData[[#This Row],[Location Name]], Locations[Location Name],Locations[Group As])</f>
        <v>Pitch 16</v>
      </c>
      <c r="H986" t="e" vm="1">
        <f>_xlfn.XLOOKUP(AllData[[#This Row],[Site Name]],LocationsKey[Site Name],LocationsKey[District])</f>
        <v>#VALUE!</v>
      </c>
      <c r="I986" t="e" vm="12">
        <f>_xlfn.XLOOKUP(AllData[[#This Row],[Site Name]],LocationsKey[Site Name],LocationsKey[Town])</f>
        <v>#VALUE!</v>
      </c>
      <c r="J986" t="str">
        <f>_xlfn.XLOOKUP(AllData[[#This Row],[Site Name]],LocationsKey[Site Name], LocationsKey[Waterway])</f>
        <v>Avon</v>
      </c>
      <c r="K986" t="s">
        <v>71</v>
      </c>
      <c r="L986">
        <v>50.831715000000003</v>
      </c>
      <c r="M986">
        <v>-0.306093</v>
      </c>
      <c r="N986" t="s">
        <v>31</v>
      </c>
      <c r="O986">
        <v>898</v>
      </c>
      <c r="P986">
        <v>18.8</v>
      </c>
      <c r="Q986">
        <v>5</v>
      </c>
      <c r="R986" s="107" t="str">
        <f>IF(AllData[[#This Row],[Nitrate (PPM)]]&gt;2, "Very high", IF(AllData[[#This Row],[Nitrate (PPM)]]&gt;1, "High", IF(AllData[[#This Row],[Nitrate (PPM)]]&gt;0.5, "Some evidence", IF(AllData[[#This Row],[Nitrate (PPM)]]&gt;=0, "No evidence"))))</f>
        <v>Very high</v>
      </c>
      <c r="S986">
        <v>0.44</v>
      </c>
      <c r="T986" s="7" t="str">
        <f>IF(AllData[[#This Row],[Phosphate (PPM)]]&gt;0.5, "Very high", IF(AllData[[#This Row],[Phosphate (PPM)]]&gt;0.1, "High", IF(AllData[[#This Row],[Phosphate (PPM)]]&gt;0.05, "Some evidence", IF(AllData[[#This Row],[Phosphate (PPM)]]&lt;=0.05, "No Evidence", ""))))</f>
        <v>High</v>
      </c>
      <c r="U986">
        <v>1</v>
      </c>
    </row>
    <row r="987" spans="1:22" x14ac:dyDescent="0.35">
      <c r="A987" t="s">
        <v>2022</v>
      </c>
      <c r="B987" s="143">
        <v>45547</v>
      </c>
      <c r="C987" s="2" t="str" cm="1">
        <f t="array" ref="C9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7">
        <f>YEAR(AllData[[#This Row],[Date]])</f>
        <v>2024</v>
      </c>
      <c r="E987" s="1">
        <v>0.76041666666666663</v>
      </c>
      <c r="F987" t="str">
        <f>IF(AND(AllData[[#This Row],[Time]]&lt;0.5, AllData[[#This Row],[Time]]&gt;0.17)=TRUE, "Morning", IF(AND(AllData[[#This Row],[Time]]&lt;0.75, AllData[[#This Row],[Time]]&gt;=0.5)=TRUE, "Afternoon", IF(AND(AllData[[#This Row],[Time]]&lt;1, AllData[[#This Row],[Time]]&gt;=0.75)=TRUE, "Evening", "Night")))</f>
        <v>Evening</v>
      </c>
      <c r="G987" t="str">
        <f>_xlfn.XLOOKUP(AllData[[#This Row],[Location Name]], Locations[Location Name],Locations[Group As])</f>
        <v>Bell Brook 1</v>
      </c>
      <c r="H987" t="e" vm="1">
        <f>_xlfn.XLOOKUP(AllData[[#This Row],[Site Name]],LocationsKey[Site Name],LocationsKey[District])</f>
        <v>#VALUE!</v>
      </c>
      <c r="I987" t="e" vm="19">
        <f>_xlfn.XLOOKUP(AllData[[#This Row],[Site Name]],LocationsKey[Site Name],LocationsKey[Town])</f>
        <v>#VALUE!</v>
      </c>
      <c r="J987" t="str">
        <f>_xlfn.XLOOKUP(AllData[[#This Row],[Site Name]],LocationsKey[Site Name], LocationsKey[Waterway])</f>
        <v>Bell Brook</v>
      </c>
      <c r="K987" t="s">
        <v>538</v>
      </c>
      <c r="O987">
        <v>881</v>
      </c>
      <c r="P987">
        <v>13.1</v>
      </c>
      <c r="Q987">
        <v>10</v>
      </c>
      <c r="R987" s="107" t="str">
        <f>IF(AllData[[#This Row],[Nitrate (PPM)]]&gt;2, "Very high", IF(AllData[[#This Row],[Nitrate (PPM)]]&gt;1, "High", IF(AllData[[#This Row],[Nitrate (PPM)]]&gt;0.5, "Some evidence", IF(AllData[[#This Row],[Nitrate (PPM)]]&gt;=0, "No evidence"))))</f>
        <v>Very high</v>
      </c>
      <c r="S987">
        <v>0.64</v>
      </c>
      <c r="T987" s="7" t="str">
        <f>IF(AllData[[#This Row],[Phosphate (PPM)]]&gt;0.5, "Very high", IF(AllData[[#This Row],[Phosphate (PPM)]]&gt;0.1, "High", IF(AllData[[#This Row],[Phosphate (PPM)]]&gt;0.05, "Some evidence", IF(AllData[[#This Row],[Phosphate (PPM)]]&lt;=0.05, "No Evidence", ""))))</f>
        <v>Very high</v>
      </c>
      <c r="U987">
        <v>0.1</v>
      </c>
    </row>
    <row r="988" spans="1:22" x14ac:dyDescent="0.35">
      <c r="A988" t="s">
        <v>2023</v>
      </c>
      <c r="B988" s="143">
        <v>45547</v>
      </c>
      <c r="C988" s="2" t="str" cm="1">
        <f t="array" ref="C9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8">
        <f>YEAR(AllData[[#This Row],[Date]])</f>
        <v>2024</v>
      </c>
      <c r="E988" s="1">
        <v>0.75</v>
      </c>
      <c r="F988" t="str">
        <f>IF(AND(AllData[[#This Row],[Time]]&lt;0.5, AllData[[#This Row],[Time]]&gt;0.17)=TRUE, "Morning", IF(AND(AllData[[#This Row],[Time]]&lt;0.75, AllData[[#This Row],[Time]]&gt;=0.5)=TRUE, "Afternoon", IF(AND(AllData[[#This Row],[Time]]&lt;1, AllData[[#This Row],[Time]]&gt;=0.75)=TRUE, "Evening", "Night")))</f>
        <v>Evening</v>
      </c>
      <c r="G988" t="str">
        <f>_xlfn.XLOOKUP(AllData[[#This Row],[Location Name]], Locations[Location Name],Locations[Group As])</f>
        <v>Sherbourne Brook 1</v>
      </c>
      <c r="H988" t="e" vm="1">
        <f>_xlfn.XLOOKUP(AllData[[#This Row],[Site Name]],LocationsKey[Site Name],LocationsKey[District])</f>
        <v>#VALUE!</v>
      </c>
      <c r="I988" t="e" vm="23">
        <f>_xlfn.XLOOKUP(AllData[[#This Row],[Site Name]],LocationsKey[Site Name],LocationsKey[Town])</f>
        <v>#VALUE!</v>
      </c>
      <c r="J988" t="str">
        <f>_xlfn.XLOOKUP(AllData[[#This Row],[Site Name]],LocationsKey[Site Name], LocationsKey[Waterway])</f>
        <v>Sherbourne Brook</v>
      </c>
      <c r="K988" t="s">
        <v>541</v>
      </c>
      <c r="O988">
        <v>1170</v>
      </c>
      <c r="P988">
        <v>11.8</v>
      </c>
      <c r="Q988">
        <v>5</v>
      </c>
      <c r="R988" s="107" t="str">
        <f>IF(AllData[[#This Row],[Nitrate (PPM)]]&gt;2, "Very high", IF(AllData[[#This Row],[Nitrate (PPM)]]&gt;1, "High", IF(AllData[[#This Row],[Nitrate (PPM)]]&gt;0.5, "Some evidence", IF(AllData[[#This Row],[Nitrate (PPM)]]&gt;=0, "No evidence"))))</f>
        <v>Very high</v>
      </c>
      <c r="S988">
        <v>0.44</v>
      </c>
      <c r="T988" s="7" t="str">
        <f>IF(AllData[[#This Row],[Phosphate (PPM)]]&gt;0.5, "Very high", IF(AllData[[#This Row],[Phosphate (PPM)]]&gt;0.1, "High", IF(AllData[[#This Row],[Phosphate (PPM)]]&gt;0.05, "Some evidence", IF(AllData[[#This Row],[Phosphate (PPM)]]&lt;=0.05, "No Evidence", ""))))</f>
        <v>High</v>
      </c>
      <c r="U988">
        <v>0.1</v>
      </c>
    </row>
    <row r="989" spans="1:22" x14ac:dyDescent="0.35">
      <c r="A989" t="s">
        <v>2024</v>
      </c>
      <c r="B989" s="143">
        <v>45547</v>
      </c>
      <c r="C989" s="2" t="str" cm="1">
        <f t="array" ref="C9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89">
        <f>YEAR(AllData[[#This Row],[Date]])</f>
        <v>2024</v>
      </c>
      <c r="E989" s="1">
        <v>0.35416666666666669</v>
      </c>
      <c r="F989" t="str">
        <f>IF(AND(AllData[[#This Row],[Time]]&lt;0.5, AllData[[#This Row],[Time]]&gt;0.17)=TRUE, "Morning", IF(AND(AllData[[#This Row],[Time]]&lt;0.75, AllData[[#This Row],[Time]]&gt;=0.5)=TRUE, "Afternoon", IF(AND(AllData[[#This Row],[Time]]&lt;1, AllData[[#This Row],[Time]]&gt;=0.75)=TRUE, "Evening", "Night")))</f>
        <v>Morning</v>
      </c>
      <c r="G989" t="str">
        <f>_xlfn.XLOOKUP(AllData[[#This Row],[Location Name]], Locations[Location Name],Locations[Group As])</f>
        <v>Swilgate</v>
      </c>
      <c r="H989" t="e" vm="4">
        <f>_xlfn.XLOOKUP(AllData[[#This Row],[Site Name]],LocationsKey[Site Name],LocationsKey[District])</f>
        <v>#VALUE!</v>
      </c>
      <c r="I989" t="e" vm="4">
        <f>_xlfn.XLOOKUP(AllData[[#This Row],[Site Name]],LocationsKey[Site Name],LocationsKey[Town])</f>
        <v>#VALUE!</v>
      </c>
      <c r="J989" t="str">
        <f>_xlfn.XLOOKUP(AllData[[#This Row],[Site Name]],LocationsKey[Site Name], LocationsKey[Waterway])</f>
        <v>Swilgate</v>
      </c>
      <c r="K989" t="s">
        <v>85</v>
      </c>
      <c r="N989" t="s">
        <v>25</v>
      </c>
      <c r="O989">
        <v>862</v>
      </c>
      <c r="P989">
        <v>12.4</v>
      </c>
      <c r="Q989">
        <v>3</v>
      </c>
      <c r="R989" s="107" t="str">
        <f>IF(AllData[[#This Row],[Nitrate (PPM)]]&gt;2, "Very high", IF(AllData[[#This Row],[Nitrate (PPM)]]&gt;1, "High", IF(AllData[[#This Row],[Nitrate (PPM)]]&gt;0.5, "Some evidence", IF(AllData[[#This Row],[Nitrate (PPM)]]&gt;=0, "No evidence"))))</f>
        <v>Very high</v>
      </c>
      <c r="S989">
        <v>0.55000000000000004</v>
      </c>
      <c r="T989" s="7" t="str">
        <f>IF(AllData[[#This Row],[Phosphate (PPM)]]&gt;0.5, "Very high", IF(AllData[[#This Row],[Phosphate (PPM)]]&gt;0.1, "High", IF(AllData[[#This Row],[Phosphate (PPM)]]&gt;0.05, "Some evidence", IF(AllData[[#This Row],[Phosphate (PPM)]]&lt;=0.05, "No Evidence", ""))))</f>
        <v>Very high</v>
      </c>
      <c r="U989">
        <v>0</v>
      </c>
    </row>
    <row r="990" spans="1:22" x14ac:dyDescent="0.35">
      <c r="A990" t="s">
        <v>2021</v>
      </c>
      <c r="B990" s="143">
        <v>45547</v>
      </c>
      <c r="C990" s="2" t="str" cm="1">
        <f t="array" ref="C9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0">
        <f>YEAR(AllData[[#This Row],[Date]])</f>
        <v>2024</v>
      </c>
      <c r="E990" s="1">
        <v>0.52083333333333337</v>
      </c>
      <c r="F990" t="str">
        <f>IF(AND(AllData[[#This Row],[Time]]&lt;0.5, AllData[[#This Row],[Time]]&gt;0.17)=TRUE, "Morning", IF(AND(AllData[[#This Row],[Time]]&lt;0.75, AllData[[#This Row],[Time]]&gt;=0.5)=TRUE, "Afternoon", IF(AND(AllData[[#This Row],[Time]]&lt;1, AllData[[#This Row],[Time]]&gt;=0.75)=TRUE, "Evening", "Night")))</f>
        <v>Afternoon</v>
      </c>
      <c r="G990" t="str">
        <f>_xlfn.XLOOKUP(AllData[[#This Row],[Location Name]], Locations[Location Name],Locations[Group As])</f>
        <v>Stour Willington</v>
      </c>
      <c r="H990" t="e" vm="1">
        <f>_xlfn.XLOOKUP(AllData[[#This Row],[Site Name]],LocationsKey[Site Name],LocationsKey[District])</f>
        <v>#VALUE!</v>
      </c>
      <c r="I990" t="str">
        <f>_xlfn.XLOOKUP(AllData[[#This Row],[Site Name]],LocationsKey[Site Name],LocationsKey[Town])</f>
        <v>Willington</v>
      </c>
      <c r="J990" t="str">
        <f>_xlfn.XLOOKUP(AllData[[#This Row],[Site Name]],LocationsKey[Site Name], LocationsKey[Waterway])</f>
        <v>Stour</v>
      </c>
      <c r="K990" t="s">
        <v>521</v>
      </c>
      <c r="L990">
        <v>52.053452</v>
      </c>
      <c r="M990">
        <v>-1.6203970000000001</v>
      </c>
      <c r="N990" t="s">
        <v>25</v>
      </c>
      <c r="O990">
        <v>621</v>
      </c>
      <c r="P990">
        <v>13.2</v>
      </c>
      <c r="Q990">
        <v>2</v>
      </c>
      <c r="R990" s="107" t="str">
        <f>IF(AllData[[#This Row],[Nitrate (PPM)]]&gt;2, "Very high", IF(AllData[[#This Row],[Nitrate (PPM)]]&gt;1, "High", IF(AllData[[#This Row],[Nitrate (PPM)]]&gt;0.5, "Some evidence", IF(AllData[[#This Row],[Nitrate (PPM)]]&gt;=0, "No evidence"))))</f>
        <v>High</v>
      </c>
      <c r="S990">
        <v>0.53</v>
      </c>
      <c r="T990" s="7" t="str">
        <f>IF(AllData[[#This Row],[Phosphate (PPM)]]&gt;0.5, "Very high", IF(AllData[[#This Row],[Phosphate (PPM)]]&gt;0.1, "High", IF(AllData[[#This Row],[Phosphate (PPM)]]&gt;0.05, "Some evidence", IF(AllData[[#This Row],[Phosphate (PPM)]]&lt;=0.05, "No Evidence", ""))))</f>
        <v>Very high</v>
      </c>
      <c r="U990">
        <v>0.5</v>
      </c>
    </row>
    <row r="991" spans="1:22" x14ac:dyDescent="0.35">
      <c r="A991" t="s">
        <v>2014</v>
      </c>
      <c r="B991" s="143">
        <v>45546</v>
      </c>
      <c r="C991" s="2" t="str" cm="1">
        <f t="array" ref="C9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1">
        <f>YEAR(AllData[[#This Row],[Date]])</f>
        <v>2024</v>
      </c>
      <c r="E991" s="1">
        <v>0.59444444444444444</v>
      </c>
      <c r="F991" t="str">
        <f>IF(AND(AllData[[#This Row],[Time]]&lt;0.5, AllData[[#This Row],[Time]]&gt;0.17)=TRUE, "Morning", IF(AND(AllData[[#This Row],[Time]]&lt;0.75, AllData[[#This Row],[Time]]&gt;=0.5)=TRUE, "Afternoon", IF(AND(AllData[[#This Row],[Time]]&lt;1, AllData[[#This Row],[Time]]&gt;=0.75)=TRUE, "Evening", "Night")))</f>
        <v>Afternoon</v>
      </c>
      <c r="G991" t="str">
        <f>_xlfn.XLOOKUP(AllData[[#This Row],[Location Name]], Locations[Location Name],Locations[Group As])</f>
        <v>Alveston Weir</v>
      </c>
      <c r="H991" t="e" vm="1">
        <f>_xlfn.XLOOKUP(AllData[[#This Row],[Site Name]],LocationsKey[Site Name],LocationsKey[District])</f>
        <v>#VALUE!</v>
      </c>
      <c r="I991" t="e" vm="2">
        <f>_xlfn.XLOOKUP(AllData[[#This Row],[Site Name]],LocationsKey[Site Name],LocationsKey[Town])</f>
        <v>#VALUE!</v>
      </c>
      <c r="J991" t="str">
        <f>_xlfn.XLOOKUP(AllData[[#This Row],[Site Name]],LocationsKey[Site Name], LocationsKey[Waterway])</f>
        <v>Avon</v>
      </c>
      <c r="K991" t="s">
        <v>288</v>
      </c>
      <c r="L991">
        <v>52.212288999999998</v>
      </c>
      <c r="M991">
        <v>-1.660442</v>
      </c>
      <c r="N991" t="s">
        <v>31</v>
      </c>
      <c r="O991">
        <v>763</v>
      </c>
      <c r="P991">
        <v>16.600000000000001</v>
      </c>
      <c r="Q991">
        <v>10</v>
      </c>
      <c r="R991" s="107" t="str">
        <f>IF(AllData[[#This Row],[Nitrate (PPM)]]&gt;2, "Very high", IF(AllData[[#This Row],[Nitrate (PPM)]]&gt;1, "High", IF(AllData[[#This Row],[Nitrate (PPM)]]&gt;0.5, "Some evidence", IF(AllData[[#This Row],[Nitrate (PPM)]]&gt;=0, "No evidence"))))</f>
        <v>Very high</v>
      </c>
      <c r="S991">
        <v>0.46</v>
      </c>
      <c r="T991" s="7" t="str">
        <f>IF(AllData[[#This Row],[Phosphate (PPM)]]&gt;0.5, "Very high", IF(AllData[[#This Row],[Phosphate (PPM)]]&gt;0.1, "High", IF(AllData[[#This Row],[Phosphate (PPM)]]&gt;0.05, "Some evidence", IF(AllData[[#This Row],[Phosphate (PPM)]]&lt;=0.05, "No Evidence", ""))))</f>
        <v>High</v>
      </c>
      <c r="U991">
        <v>0</v>
      </c>
      <c r="V991" t="s">
        <v>2015</v>
      </c>
    </row>
    <row r="992" spans="1:22" x14ac:dyDescent="0.35">
      <c r="A992" t="s">
        <v>2012</v>
      </c>
      <c r="B992" s="143">
        <v>45546</v>
      </c>
      <c r="C992" s="2" t="str" cm="1">
        <f t="array" ref="C9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2">
        <f>YEAR(AllData[[#This Row],[Date]])</f>
        <v>2024</v>
      </c>
      <c r="E992" s="1">
        <v>0.70833333333333337</v>
      </c>
      <c r="F992" t="str">
        <f>IF(AND(AllData[[#This Row],[Time]]&lt;0.5, AllData[[#This Row],[Time]]&gt;0.17)=TRUE, "Morning", IF(AND(AllData[[#This Row],[Time]]&lt;0.75, AllData[[#This Row],[Time]]&gt;=0.5)=TRUE, "Afternoon", IF(AND(AllData[[#This Row],[Time]]&lt;1, AllData[[#This Row],[Time]]&gt;=0.75)=TRUE, "Evening", "Night")))</f>
        <v>Afternoon</v>
      </c>
      <c r="G992" t="str">
        <f>_xlfn.XLOOKUP(AllData[[#This Row],[Location Name]], Locations[Location Name],Locations[Group As])</f>
        <v>Black Bear</v>
      </c>
      <c r="H992" t="e" vm="4">
        <f>_xlfn.XLOOKUP(AllData[[#This Row],[Site Name]],LocationsKey[Site Name],LocationsKey[District])</f>
        <v>#VALUE!</v>
      </c>
      <c r="I992" t="e" vm="4">
        <f>_xlfn.XLOOKUP(AllData[[#This Row],[Site Name]],LocationsKey[Site Name],LocationsKey[Town])</f>
        <v>#VALUE!</v>
      </c>
      <c r="J992" t="str">
        <f>_xlfn.XLOOKUP(AllData[[#This Row],[Site Name]],LocationsKey[Site Name], LocationsKey[Waterway])</f>
        <v>Avon</v>
      </c>
      <c r="K992" t="s">
        <v>1175</v>
      </c>
      <c r="L992">
        <v>51.997498999999998</v>
      </c>
      <c r="M992">
        <v>-2.1563059999999998</v>
      </c>
      <c r="N992" t="s">
        <v>25</v>
      </c>
      <c r="O992">
        <v>104</v>
      </c>
      <c r="P992">
        <v>17.8</v>
      </c>
      <c r="Q992">
        <v>10</v>
      </c>
      <c r="R992" s="107" t="str">
        <f>IF(AllData[[#This Row],[Nitrate (PPM)]]&gt;2, "Very high", IF(AllData[[#This Row],[Nitrate (PPM)]]&gt;1, "High", IF(AllData[[#This Row],[Nitrate (PPM)]]&gt;0.5, "Some evidence", IF(AllData[[#This Row],[Nitrate (PPM)]]&gt;=0, "No evidence"))))</f>
        <v>Very high</v>
      </c>
      <c r="S992">
        <v>2.4</v>
      </c>
      <c r="T992" s="7" t="str">
        <f>IF(AllData[[#This Row],[Phosphate (PPM)]]&gt;0.5, "Very high", IF(AllData[[#This Row],[Phosphate (PPM)]]&gt;0.1, "High", IF(AllData[[#This Row],[Phosphate (PPM)]]&gt;0.05, "Some evidence", IF(AllData[[#This Row],[Phosphate (PPM)]]&lt;=0.05, "No Evidence", ""))))</f>
        <v>Very high</v>
      </c>
      <c r="U992">
        <v>0</v>
      </c>
    </row>
    <row r="993" spans="1:22" x14ac:dyDescent="0.35">
      <c r="A993" t="s">
        <v>2013</v>
      </c>
      <c r="B993" s="143">
        <v>45546</v>
      </c>
      <c r="C993" s="2" t="str" cm="1">
        <f t="array" ref="C9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3">
        <f>YEAR(AllData[[#This Row],[Date]])</f>
        <v>2024</v>
      </c>
      <c r="E993" s="1">
        <v>0.68611111111111112</v>
      </c>
      <c r="F993" t="str">
        <f>IF(AND(AllData[[#This Row],[Time]]&lt;0.5, AllData[[#This Row],[Time]]&gt;0.17)=TRUE, "Morning", IF(AND(AllData[[#This Row],[Time]]&lt;0.75, AllData[[#This Row],[Time]]&gt;=0.5)=TRUE, "Afternoon", IF(AND(AllData[[#This Row],[Time]]&lt;1, AllData[[#This Row],[Time]]&gt;=0.75)=TRUE, "Evening", "Night")))</f>
        <v>Afternoon</v>
      </c>
      <c r="G993" t="str">
        <f>_xlfn.XLOOKUP(AllData[[#This Row],[Location Name]], Locations[Location Name],Locations[Group As])</f>
        <v>Carrant Mitton Path</v>
      </c>
      <c r="H993" t="e" vm="4">
        <f>_xlfn.XLOOKUP(AllData[[#This Row],[Site Name]],LocationsKey[Site Name],LocationsKey[District])</f>
        <v>#VALUE!</v>
      </c>
      <c r="I993" t="e" vm="4">
        <f>_xlfn.XLOOKUP(AllData[[#This Row],[Site Name]],LocationsKey[Site Name],LocationsKey[Town])</f>
        <v>#VALUE!</v>
      </c>
      <c r="J993" t="str">
        <f>_xlfn.XLOOKUP(AllData[[#This Row],[Site Name]],LocationsKey[Site Name], LocationsKey[Waterway])</f>
        <v>Carrant</v>
      </c>
      <c r="K993" t="s">
        <v>1064</v>
      </c>
      <c r="L993">
        <v>52.000055000000003</v>
      </c>
      <c r="M993">
        <v>-2.1419640000000002</v>
      </c>
      <c r="N993" t="s">
        <v>25</v>
      </c>
      <c r="O993">
        <v>641</v>
      </c>
      <c r="P993">
        <v>15.2</v>
      </c>
      <c r="Q993">
        <v>8</v>
      </c>
      <c r="R993" s="107" t="str">
        <f>IF(AllData[[#This Row],[Nitrate (PPM)]]&gt;2, "Very high", IF(AllData[[#This Row],[Nitrate (PPM)]]&gt;1, "High", IF(AllData[[#This Row],[Nitrate (PPM)]]&gt;0.5, "Some evidence", IF(AllData[[#This Row],[Nitrate (PPM)]]&gt;=0, "No evidence"))))</f>
        <v>Very high</v>
      </c>
      <c r="S993">
        <v>0.62</v>
      </c>
      <c r="T993" s="7" t="str">
        <f>IF(AllData[[#This Row],[Phosphate (PPM)]]&gt;0.5, "Very high", IF(AllData[[#This Row],[Phosphate (PPM)]]&gt;0.1, "High", IF(AllData[[#This Row],[Phosphate (PPM)]]&gt;0.05, "Some evidence", IF(AllData[[#This Row],[Phosphate (PPM)]]&lt;=0.05, "No Evidence", ""))))</f>
        <v>Very high</v>
      </c>
      <c r="U993">
        <v>0</v>
      </c>
    </row>
    <row r="994" spans="1:22" x14ac:dyDescent="0.35">
      <c r="A994" t="s">
        <v>2016</v>
      </c>
      <c r="B994" s="143">
        <v>45546</v>
      </c>
      <c r="C994" s="2" t="str" cm="1">
        <f t="array" ref="C9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4">
        <f>YEAR(AllData[[#This Row],[Date]])</f>
        <v>2024</v>
      </c>
      <c r="E994" s="1">
        <v>0.60347222222222219</v>
      </c>
      <c r="F994" t="str">
        <f>IF(AND(AllData[[#This Row],[Time]]&lt;0.5, AllData[[#This Row],[Time]]&gt;0.17)=TRUE, "Morning", IF(AND(AllData[[#This Row],[Time]]&lt;0.75, AllData[[#This Row],[Time]]&gt;=0.5)=TRUE, "Afternoon", IF(AND(AllData[[#This Row],[Time]]&lt;1, AllData[[#This Row],[Time]]&gt;=0.75)=TRUE, "Evening", "Night")))</f>
        <v>Afternoon</v>
      </c>
      <c r="G994" t="str">
        <f>_xlfn.XLOOKUP(AllData[[#This Row],[Location Name]], Locations[Location Name],Locations[Group As])</f>
        <v>Swiffen Bank</v>
      </c>
      <c r="H994" t="e" vm="1">
        <f>_xlfn.XLOOKUP(AllData[[#This Row],[Site Name]],LocationsKey[Site Name],LocationsKey[District])</f>
        <v>#VALUE!</v>
      </c>
      <c r="I994" t="e" vm="2">
        <f>_xlfn.XLOOKUP(AllData[[#This Row],[Site Name]],LocationsKey[Site Name],LocationsKey[Town])</f>
        <v>#VALUE!</v>
      </c>
      <c r="J994" t="str">
        <f>_xlfn.XLOOKUP(AllData[[#This Row],[Site Name]],LocationsKey[Site Name], LocationsKey[Waterway])</f>
        <v>Avon</v>
      </c>
      <c r="K994" t="s">
        <v>445</v>
      </c>
      <c r="L994">
        <v>52.20637</v>
      </c>
      <c r="M994">
        <v>-1.653994</v>
      </c>
      <c r="N994" t="s">
        <v>31</v>
      </c>
      <c r="O994">
        <v>714</v>
      </c>
      <c r="P994">
        <v>16.399999999999999</v>
      </c>
      <c r="Q994">
        <v>5</v>
      </c>
      <c r="R994" s="107" t="str">
        <f>IF(AllData[[#This Row],[Nitrate (PPM)]]&gt;2, "Very high", IF(AllData[[#This Row],[Nitrate (PPM)]]&gt;1, "High", IF(AllData[[#This Row],[Nitrate (PPM)]]&gt;0.5, "Some evidence", IF(AllData[[#This Row],[Nitrate (PPM)]]&gt;=0, "No evidence"))))</f>
        <v>Very high</v>
      </c>
      <c r="S994">
        <v>0.56000000000000005</v>
      </c>
      <c r="T994" s="7" t="str">
        <f>IF(AllData[[#This Row],[Phosphate (PPM)]]&gt;0.5, "Very high", IF(AllData[[#This Row],[Phosphate (PPM)]]&gt;0.1, "High", IF(AllData[[#This Row],[Phosphate (PPM)]]&gt;0.05, "Some evidence", IF(AllData[[#This Row],[Phosphate (PPM)]]&lt;=0.05, "No Evidence", ""))))</f>
        <v>Very high</v>
      </c>
      <c r="U994">
        <v>0</v>
      </c>
      <c r="V994" t="s">
        <v>2017</v>
      </c>
    </row>
    <row r="995" spans="1:22" x14ac:dyDescent="0.35">
      <c r="A995" t="s">
        <v>2018</v>
      </c>
      <c r="B995" s="143">
        <v>45546</v>
      </c>
      <c r="C995" s="2" t="str" cm="1">
        <f t="array" ref="C9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5">
        <f>YEAR(AllData[[#This Row],[Date]])</f>
        <v>2024</v>
      </c>
      <c r="E995" s="1">
        <v>0.47361111111111109</v>
      </c>
      <c r="F995" t="str">
        <f>IF(AND(AllData[[#This Row],[Time]]&lt;0.5, AllData[[#This Row],[Time]]&gt;0.17)=TRUE, "Morning", IF(AND(AllData[[#This Row],[Time]]&lt;0.75, AllData[[#This Row],[Time]]&gt;=0.5)=TRUE, "Afternoon", IF(AND(AllData[[#This Row],[Time]]&lt;1, AllData[[#This Row],[Time]]&gt;=0.75)=TRUE, "Evening", "Night")))</f>
        <v>Morning</v>
      </c>
      <c r="G995" t="str">
        <f>_xlfn.XLOOKUP(AllData[[#This Row],[Location Name]], Locations[Location Name],Locations[Group As])</f>
        <v>Swilgate lowdilow lane</v>
      </c>
      <c r="H995" t="e" vm="9">
        <f>_xlfn.XLOOKUP(AllData[[#This Row],[Site Name]],LocationsKey[Site Name],LocationsKey[District])</f>
        <v>#VALUE!</v>
      </c>
      <c r="I995" t="e" vm="28">
        <f>_xlfn.XLOOKUP(AllData[[#This Row],[Site Name]],LocationsKey[Site Name],LocationsKey[Town])</f>
        <v>#VALUE!</v>
      </c>
      <c r="J995" t="str">
        <f>_xlfn.XLOOKUP(AllData[[#This Row],[Site Name]],LocationsKey[Site Name], LocationsKey[Waterway])</f>
        <v>Swilgate</v>
      </c>
      <c r="K995" t="s">
        <v>2019</v>
      </c>
      <c r="L995">
        <v>51.929875000000003</v>
      </c>
      <c r="M995">
        <v>-2.1277550000000001</v>
      </c>
      <c r="N995" t="s">
        <v>31</v>
      </c>
      <c r="O995">
        <v>673</v>
      </c>
      <c r="P995">
        <v>12.8</v>
      </c>
      <c r="Q995">
        <v>3</v>
      </c>
      <c r="R995" s="107" t="str">
        <f>IF(AllData[[#This Row],[Nitrate (PPM)]]&gt;2, "Very high", IF(AllData[[#This Row],[Nitrate (PPM)]]&gt;1, "High", IF(AllData[[#This Row],[Nitrate (PPM)]]&gt;0.5, "Some evidence", IF(AllData[[#This Row],[Nitrate (PPM)]]&gt;=0, "No evidence"))))</f>
        <v>Very high</v>
      </c>
      <c r="S995">
        <v>0.38</v>
      </c>
      <c r="T995" s="7" t="str">
        <f>IF(AllData[[#This Row],[Phosphate (PPM)]]&gt;0.5, "Very high", IF(AllData[[#This Row],[Phosphate (PPM)]]&gt;0.1, "High", IF(AllData[[#This Row],[Phosphate (PPM)]]&gt;0.05, "Some evidence", IF(AllData[[#This Row],[Phosphate (PPM)]]&lt;=0.05, "No Evidence", ""))))</f>
        <v>High</v>
      </c>
      <c r="U995">
        <v>0</v>
      </c>
      <c r="V995" t="s">
        <v>2020</v>
      </c>
    </row>
    <row r="996" spans="1:22" x14ac:dyDescent="0.35">
      <c r="A996" t="s">
        <v>2011</v>
      </c>
      <c r="B996" s="143">
        <v>45546</v>
      </c>
      <c r="C996" s="2" t="str" cm="1">
        <f t="array" ref="C9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6">
        <f>YEAR(AllData[[#This Row],[Date]])</f>
        <v>2024</v>
      </c>
      <c r="E996" s="1">
        <v>0.4201388888888889</v>
      </c>
      <c r="F996" t="str">
        <f>IF(AND(AllData[[#This Row],[Time]]&lt;0.5, AllData[[#This Row],[Time]]&gt;0.17)=TRUE, "Morning", IF(AND(AllData[[#This Row],[Time]]&lt;0.75, AllData[[#This Row],[Time]]&gt;=0.5)=TRUE, "Afternoon", IF(AND(AllData[[#This Row],[Time]]&lt;1, AllData[[#This Row],[Time]]&gt;=0.75)=TRUE, "Evening", "Night")))</f>
        <v>Morning</v>
      </c>
      <c r="G996" t="str">
        <f>_xlfn.XLOOKUP(AllData[[#This Row],[Location Name]], Locations[Location Name],Locations[Group As])</f>
        <v>Stour Whichford</v>
      </c>
      <c r="H996" t="e" vm="1">
        <f>_xlfn.XLOOKUP(AllData[[#This Row],[Site Name]],LocationsKey[Site Name],LocationsKey[District])</f>
        <v>#VALUE!</v>
      </c>
      <c r="I996" t="e" vm="24">
        <f>_xlfn.XLOOKUP(AllData[[#This Row],[Site Name]],LocationsKey[Site Name],LocationsKey[Town])</f>
        <v>#VALUE!</v>
      </c>
      <c r="J996" t="str">
        <f>_xlfn.XLOOKUP(AllData[[#This Row],[Site Name]],LocationsKey[Site Name], LocationsKey[Waterway])</f>
        <v>Stour</v>
      </c>
      <c r="K996" t="s">
        <v>980</v>
      </c>
      <c r="N996" t="s">
        <v>31</v>
      </c>
      <c r="O996">
        <v>698</v>
      </c>
      <c r="P996">
        <v>11.8</v>
      </c>
      <c r="Q996">
        <v>2</v>
      </c>
      <c r="R996" s="107" t="str">
        <f>IF(AllData[[#This Row],[Nitrate (PPM)]]&gt;2, "Very high", IF(AllData[[#This Row],[Nitrate (PPM)]]&gt;1, "High", IF(AllData[[#This Row],[Nitrate (PPM)]]&gt;0.5, "Some evidence", IF(AllData[[#This Row],[Nitrate (PPM)]]&gt;=0, "No evidence"))))</f>
        <v>High</v>
      </c>
      <c r="S996">
        <v>1.48</v>
      </c>
      <c r="T996" s="7" t="str">
        <f>IF(AllData[[#This Row],[Phosphate (PPM)]]&gt;0.5, "Very high", IF(AllData[[#This Row],[Phosphate (PPM)]]&gt;0.1, "High", IF(AllData[[#This Row],[Phosphate (PPM)]]&gt;0.05, "Some evidence", IF(AllData[[#This Row],[Phosphate (PPM)]]&lt;=0.05, "No Evidence", ""))))</f>
        <v>Very high</v>
      </c>
      <c r="U996">
        <v>5</v>
      </c>
    </row>
    <row r="997" spans="1:22" x14ac:dyDescent="0.35">
      <c r="A997" t="s">
        <v>2010</v>
      </c>
      <c r="B997" s="143">
        <v>45546</v>
      </c>
      <c r="C997" s="2" t="str" cm="1">
        <f t="array" ref="C9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7">
        <f>YEAR(AllData[[#This Row],[Date]])</f>
        <v>2024</v>
      </c>
      <c r="E997" s="1">
        <v>0.43888888888888888</v>
      </c>
      <c r="F997" t="str">
        <f>IF(AND(AllData[[#This Row],[Time]]&lt;0.5, AllData[[#This Row],[Time]]&gt;0.17)=TRUE, "Morning", IF(AND(AllData[[#This Row],[Time]]&lt;0.75, AllData[[#This Row],[Time]]&gt;=0.5)=TRUE, "Afternoon", IF(AND(AllData[[#This Row],[Time]]&lt;1, AllData[[#This Row],[Time]]&gt;=0.75)=TRUE, "Evening", "Night")))</f>
        <v>Morning</v>
      </c>
      <c r="G997" t="str">
        <f>_xlfn.XLOOKUP(AllData[[#This Row],[Location Name]], Locations[Location Name],Locations[Group As])</f>
        <v>Stour Ascott Village</v>
      </c>
      <c r="H997" t="e" vm="1">
        <f>_xlfn.XLOOKUP(AllData[[#This Row],[Site Name]],LocationsKey[Site Name],LocationsKey[District])</f>
        <v>#VALUE!</v>
      </c>
      <c r="I997" t="e" vm="25">
        <f>_xlfn.XLOOKUP(AllData[[#This Row],[Site Name]],LocationsKey[Site Name],LocationsKey[Town])</f>
        <v>#VALUE!</v>
      </c>
      <c r="J997" t="str">
        <f>_xlfn.XLOOKUP(AllData[[#This Row],[Site Name]],LocationsKey[Site Name], LocationsKey[Waterway])</f>
        <v>Stour</v>
      </c>
      <c r="K997" t="s">
        <v>927</v>
      </c>
      <c r="N997" t="s">
        <v>68</v>
      </c>
      <c r="O997">
        <v>585</v>
      </c>
      <c r="P997">
        <v>12.1</v>
      </c>
      <c r="Q997">
        <v>0.7</v>
      </c>
      <c r="R997" s="107" t="str">
        <f>IF(AllData[[#This Row],[Nitrate (PPM)]]&gt;2, "Very high", IF(AllData[[#This Row],[Nitrate (PPM)]]&gt;1, "High", IF(AllData[[#This Row],[Nitrate (PPM)]]&gt;0.5, "Some evidence", IF(AllData[[#This Row],[Nitrate (PPM)]]&gt;=0, "No evidence"))))</f>
        <v>Some evidence</v>
      </c>
      <c r="S997">
        <v>0.71</v>
      </c>
      <c r="T997" s="7" t="str">
        <f>IF(AllData[[#This Row],[Phosphate (PPM)]]&gt;0.5, "Very high", IF(AllData[[#This Row],[Phosphate (PPM)]]&gt;0.1, "High", IF(AllData[[#This Row],[Phosphate (PPM)]]&gt;0.05, "Some evidence", IF(AllData[[#This Row],[Phosphate (PPM)]]&lt;=0.05, "No Evidence", ""))))</f>
        <v>Very high</v>
      </c>
      <c r="U997">
        <v>2.5</v>
      </c>
    </row>
    <row r="998" spans="1:22" x14ac:dyDescent="0.35">
      <c r="A998" t="s">
        <v>2009</v>
      </c>
      <c r="B998" s="143">
        <v>45544</v>
      </c>
      <c r="C998" s="2" t="str" cm="1">
        <f t="array" ref="C9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8">
        <f>YEAR(AllData[[#This Row],[Date]])</f>
        <v>2024</v>
      </c>
      <c r="E998" s="1">
        <v>0.33680555555555558</v>
      </c>
      <c r="F998" t="str">
        <f>IF(AND(AllData[[#This Row],[Time]]&lt;0.5, AllData[[#This Row],[Time]]&gt;0.17)=TRUE, "Morning", IF(AND(AllData[[#This Row],[Time]]&lt;0.75, AllData[[#This Row],[Time]]&gt;=0.5)=TRUE, "Afternoon", IF(AND(AllData[[#This Row],[Time]]&lt;1, AllData[[#This Row],[Time]]&gt;=0.75)=TRUE, "Evening", "Night")))</f>
        <v>Morning</v>
      </c>
      <c r="G998" t="str">
        <f>_xlfn.XLOOKUP(AllData[[#This Row],[Location Name]], Locations[Location Name],Locations[Group As])</f>
        <v>Chipping Campden Sewage Works</v>
      </c>
      <c r="H998" t="e" vm="9">
        <f>_xlfn.XLOOKUP(AllData[[#This Row],[Site Name]],LocationsKey[Site Name],LocationsKey[District])</f>
        <v>#VALUE!</v>
      </c>
      <c r="I998" t="e" vm="10">
        <f>_xlfn.XLOOKUP(AllData[[#This Row],[Site Name]],LocationsKey[Site Name],LocationsKey[Town])</f>
        <v>#VALUE!</v>
      </c>
      <c r="J998" t="str">
        <f>_xlfn.XLOOKUP(AllData[[#This Row],[Site Name]],LocationsKey[Site Name], LocationsKey[Waterway])</f>
        <v>Cam Brook</v>
      </c>
      <c r="K998" t="s">
        <v>1570</v>
      </c>
      <c r="N998" t="s">
        <v>31</v>
      </c>
      <c r="O998">
        <v>714</v>
      </c>
      <c r="P998">
        <v>15.2</v>
      </c>
      <c r="Q998">
        <v>5</v>
      </c>
      <c r="R998" s="107" t="str">
        <f>IF(AllData[[#This Row],[Nitrate (PPM)]]&gt;2, "Very high", IF(AllData[[#This Row],[Nitrate (PPM)]]&gt;1, "High", IF(AllData[[#This Row],[Nitrate (PPM)]]&gt;0.5, "Some evidence", IF(AllData[[#This Row],[Nitrate (PPM)]]&gt;=0, "No evidence"))))</f>
        <v>Very high</v>
      </c>
      <c r="S998">
        <v>0.24</v>
      </c>
      <c r="T998" s="7" t="str">
        <f>IF(AllData[[#This Row],[Phosphate (PPM)]]&gt;0.5, "Very high", IF(AllData[[#This Row],[Phosphate (PPM)]]&gt;0.1, "High", IF(AllData[[#This Row],[Phosphate (PPM)]]&gt;0.05, "Some evidence", IF(AllData[[#This Row],[Phosphate (PPM)]]&lt;=0.05, "No Evidence", ""))))</f>
        <v>High</v>
      </c>
      <c r="U998">
        <v>0.19</v>
      </c>
    </row>
    <row r="999" spans="1:22" x14ac:dyDescent="0.35">
      <c r="A999" t="s">
        <v>2008</v>
      </c>
      <c r="B999" s="143">
        <v>45544</v>
      </c>
      <c r="C999" s="2" t="str" cm="1">
        <f t="array" ref="C9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999">
        <f>YEAR(AllData[[#This Row],[Date]])</f>
        <v>2024</v>
      </c>
      <c r="E999" s="1">
        <v>0.34027777777777779</v>
      </c>
      <c r="F999" t="str">
        <f>IF(AND(AllData[[#This Row],[Time]]&lt;0.5, AllData[[#This Row],[Time]]&gt;0.17)=TRUE, "Morning", IF(AND(AllData[[#This Row],[Time]]&lt;0.75, AllData[[#This Row],[Time]]&gt;=0.5)=TRUE, "Afternoon", IF(AND(AllData[[#This Row],[Time]]&lt;1, AllData[[#This Row],[Time]]&gt;=0.75)=TRUE, "Evening", "Night")))</f>
        <v>Morning</v>
      </c>
      <c r="G999" t="str">
        <f>_xlfn.XLOOKUP(AllData[[#This Row],[Location Name]], Locations[Location Name],Locations[Group As])</f>
        <v>Chipping Campden Lady J Gateway</v>
      </c>
      <c r="H999" t="e" vm="9">
        <f>_xlfn.XLOOKUP(AllData[[#This Row],[Site Name]],LocationsKey[Site Name],LocationsKey[District])</f>
        <v>#VALUE!</v>
      </c>
      <c r="I999" t="e" vm="10">
        <f>_xlfn.XLOOKUP(AllData[[#This Row],[Site Name]],LocationsKey[Site Name],LocationsKey[Town])</f>
        <v>#VALUE!</v>
      </c>
      <c r="J999" t="str">
        <f>_xlfn.XLOOKUP(AllData[[#This Row],[Site Name]],LocationsKey[Site Name], LocationsKey[Waterway])</f>
        <v>Cam Brook</v>
      </c>
      <c r="K999" t="s">
        <v>1573</v>
      </c>
      <c r="N999" t="s">
        <v>68</v>
      </c>
      <c r="O999">
        <v>460</v>
      </c>
      <c r="P999">
        <v>14.8</v>
      </c>
      <c r="Q999">
        <v>5</v>
      </c>
      <c r="R999" s="107" t="str">
        <f>IF(AllData[[#This Row],[Nitrate (PPM)]]&gt;2, "Very high", IF(AllData[[#This Row],[Nitrate (PPM)]]&gt;1, "High", IF(AllData[[#This Row],[Nitrate (PPM)]]&gt;0.5, "Some evidence", IF(AllData[[#This Row],[Nitrate (PPM)]]&gt;=0, "No evidence"))))</f>
        <v>Very high</v>
      </c>
      <c r="S999">
        <v>0.08</v>
      </c>
      <c r="T999" s="7" t="str">
        <f>IF(AllData[[#This Row],[Phosphate (PPM)]]&gt;0.5, "Very high", IF(AllData[[#This Row],[Phosphate (PPM)]]&gt;0.1, "High", IF(AllData[[#This Row],[Phosphate (PPM)]]&gt;0.05, "Some evidence", IF(AllData[[#This Row],[Phosphate (PPM)]]&lt;=0.05, "No Evidence", ""))))</f>
        <v>Some evidence</v>
      </c>
      <c r="U999">
        <v>0.06</v>
      </c>
    </row>
    <row r="1000" spans="1:22" x14ac:dyDescent="0.35">
      <c r="A1000" t="s">
        <v>2007</v>
      </c>
      <c r="B1000" s="143">
        <v>45544</v>
      </c>
      <c r="C1000" s="2" t="str" cm="1">
        <f t="array" ref="C10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0">
        <f>YEAR(AllData[[#This Row],[Date]])</f>
        <v>2024</v>
      </c>
      <c r="E1000" s="1">
        <v>0.67708333333333337</v>
      </c>
      <c r="F1000" t="str">
        <f>IF(AND(AllData[[#This Row],[Time]]&lt;0.5, AllData[[#This Row],[Time]]&gt;0.17)=TRUE, "Morning", IF(AND(AllData[[#This Row],[Time]]&lt;0.75, AllData[[#This Row],[Time]]&gt;=0.5)=TRUE, "Afternoon", IF(AND(AllData[[#This Row],[Time]]&lt;1, AllData[[#This Row],[Time]]&gt;=0.75)=TRUE, "Evening", "Night")))</f>
        <v>Afternoon</v>
      </c>
      <c r="G1000" t="str">
        <f>_xlfn.XLOOKUP(AllData[[#This Row],[Location Name]], Locations[Location Name],Locations[Group As])</f>
        <v>Preston-on-Stour River Bridge</v>
      </c>
      <c r="H1000" t="e" vm="1">
        <f>_xlfn.XLOOKUP(AllData[[#This Row],[Site Name]],LocationsKey[Site Name],LocationsKey[District])</f>
        <v>#VALUE!</v>
      </c>
      <c r="I1000" t="e" vm="20">
        <f>_xlfn.XLOOKUP(AllData[[#This Row],[Site Name]],LocationsKey[Site Name],LocationsKey[Town])</f>
        <v>#VALUE!</v>
      </c>
      <c r="J1000" t="str">
        <f>_xlfn.XLOOKUP(AllData[[#This Row],[Site Name]],LocationsKey[Site Name], LocationsKey[Waterway])</f>
        <v>Stour</v>
      </c>
      <c r="K1000" t="s">
        <v>164</v>
      </c>
      <c r="L1000">
        <v>52.146476</v>
      </c>
      <c r="M1000">
        <v>-1.699533</v>
      </c>
      <c r="N1000" t="s">
        <v>31</v>
      </c>
      <c r="O1000">
        <v>711</v>
      </c>
      <c r="P1000">
        <v>16.7</v>
      </c>
      <c r="Q1000">
        <v>4</v>
      </c>
      <c r="R1000" s="107" t="str">
        <f>IF(AllData[[#This Row],[Nitrate (PPM)]]&gt;2, "Very high", IF(AllData[[#This Row],[Nitrate (PPM)]]&gt;1, "High", IF(AllData[[#This Row],[Nitrate (PPM)]]&gt;0.5, "Some evidence", IF(AllData[[#This Row],[Nitrate (PPM)]]&gt;=0, "No evidence"))))</f>
        <v>Very high</v>
      </c>
      <c r="S1000">
        <v>0.53</v>
      </c>
      <c r="T1000" s="7" t="str">
        <f>IF(AllData[[#This Row],[Phosphate (PPM)]]&gt;0.5, "Very high", IF(AllData[[#This Row],[Phosphate (PPM)]]&gt;0.1, "High", IF(AllData[[#This Row],[Phosphate (PPM)]]&gt;0.05, "Some evidence", IF(AllData[[#This Row],[Phosphate (PPM)]]&lt;=0.05, "No Evidence", ""))))</f>
        <v>Very high</v>
      </c>
      <c r="U1000">
        <v>1</v>
      </c>
    </row>
    <row r="1001" spans="1:22" x14ac:dyDescent="0.35">
      <c r="A1001" t="s">
        <v>2005</v>
      </c>
      <c r="B1001" s="143">
        <v>45544</v>
      </c>
      <c r="C1001" s="2" t="str" cm="1">
        <f t="array" ref="C10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1">
        <f>YEAR(AllData[[#This Row],[Date]])</f>
        <v>2024</v>
      </c>
      <c r="E1001" s="1">
        <v>0.76041666666666663</v>
      </c>
      <c r="F1001" t="str">
        <f>IF(AND(AllData[[#This Row],[Time]]&lt;0.5, AllData[[#This Row],[Time]]&gt;0.17)=TRUE, "Morning", IF(AND(AllData[[#This Row],[Time]]&lt;0.75, AllData[[#This Row],[Time]]&gt;=0.5)=TRUE, "Afternoon", IF(AND(AllData[[#This Row],[Time]]&lt;1, AllData[[#This Row],[Time]]&gt;=0.75)=TRUE, "Evening", "Night")))</f>
        <v>Evening</v>
      </c>
      <c r="G1001" t="str">
        <f>_xlfn.XLOOKUP(AllData[[#This Row],[Location Name]], Locations[Location Name],Locations[Group As])</f>
        <v>Stour Shipston Mill Bridge</v>
      </c>
      <c r="H1001" t="e" vm="1">
        <f>_xlfn.XLOOKUP(AllData[[#This Row],[Site Name]],LocationsKey[Site Name],LocationsKey[District])</f>
        <v>#VALUE!</v>
      </c>
      <c r="I1001" t="e" vm="15">
        <f>_xlfn.XLOOKUP(AllData[[#This Row],[Site Name]],LocationsKey[Site Name],LocationsKey[Town])</f>
        <v>#VALUE!</v>
      </c>
      <c r="J1001" t="str">
        <f>_xlfn.XLOOKUP(AllData[[#This Row],[Site Name]],LocationsKey[Site Name], LocationsKey[Waterway])</f>
        <v>Stour</v>
      </c>
      <c r="K1001" t="s">
        <v>2006</v>
      </c>
      <c r="L1001">
        <v>52.062314000000001</v>
      </c>
      <c r="M1001">
        <v>-1.6218999999999999</v>
      </c>
      <c r="N1001" t="s">
        <v>25</v>
      </c>
      <c r="O1001">
        <v>648</v>
      </c>
      <c r="P1001">
        <v>16.2</v>
      </c>
      <c r="Q1001">
        <v>3</v>
      </c>
      <c r="R1001" s="107" t="str">
        <f>IF(AllData[[#This Row],[Nitrate (PPM)]]&gt;2, "Very high", IF(AllData[[#This Row],[Nitrate (PPM)]]&gt;1, "High", IF(AllData[[#This Row],[Nitrate (PPM)]]&gt;0.5, "Some evidence", IF(AllData[[#This Row],[Nitrate (PPM)]]&gt;=0, "No evidence"))))</f>
        <v>Very high</v>
      </c>
      <c r="S1001">
        <v>0.57999999999999996</v>
      </c>
      <c r="T1001" s="7" t="str">
        <f>IF(AllData[[#This Row],[Phosphate (PPM)]]&gt;0.5, "Very high", IF(AllData[[#This Row],[Phosphate (PPM)]]&gt;0.1, "High", IF(AllData[[#This Row],[Phosphate (PPM)]]&gt;0.05, "Some evidence", IF(AllData[[#This Row],[Phosphate (PPM)]]&lt;=0.05, "No Evidence", ""))))</f>
        <v>Very high</v>
      </c>
      <c r="U1001">
        <v>0.5</v>
      </c>
      <c r="V1001" t="s">
        <v>233</v>
      </c>
    </row>
    <row r="1002" spans="1:22" x14ac:dyDescent="0.35">
      <c r="A1002" t="s">
        <v>2002</v>
      </c>
      <c r="B1002" s="143">
        <v>45543</v>
      </c>
      <c r="C1002" s="2" t="str" cm="1">
        <f t="array" ref="C10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2">
        <f>YEAR(AllData[[#This Row],[Date]])</f>
        <v>2024</v>
      </c>
      <c r="E1002" s="1">
        <v>0.61458333333333337</v>
      </c>
      <c r="F1002" t="str">
        <f>IF(AND(AllData[[#This Row],[Time]]&lt;0.5, AllData[[#This Row],[Time]]&gt;0.17)=TRUE, "Morning", IF(AND(AllData[[#This Row],[Time]]&lt;0.75, AllData[[#This Row],[Time]]&gt;=0.5)=TRUE, "Afternoon", IF(AND(AllData[[#This Row],[Time]]&lt;1, AllData[[#This Row],[Time]]&gt;=0.75)=TRUE, "Evening", "Night")))</f>
        <v>Afternoon</v>
      </c>
      <c r="G1002" t="str">
        <f>_xlfn.XLOOKUP(AllData[[#This Row],[Location Name]], Locations[Location Name],Locations[Group As])</f>
        <v>Lower Lode</v>
      </c>
      <c r="H1002" t="e" vm="4">
        <f>_xlfn.XLOOKUP(AllData[[#This Row],[Site Name]],LocationsKey[Site Name],LocationsKey[District])</f>
        <v>#VALUE!</v>
      </c>
      <c r="I1002" t="e" vm="4">
        <f>_xlfn.XLOOKUP(AllData[[#This Row],[Site Name]],LocationsKey[Site Name],LocationsKey[Town])</f>
        <v>#VALUE!</v>
      </c>
      <c r="J1002" t="str">
        <f>_xlfn.XLOOKUP(AllData[[#This Row],[Site Name]],LocationsKey[Site Name], LocationsKey[Waterway])</f>
        <v>Avon</v>
      </c>
      <c r="K1002" t="s">
        <v>595</v>
      </c>
      <c r="L1002">
        <v>51.985073</v>
      </c>
      <c r="M1002">
        <v>-2.1741350000000002</v>
      </c>
      <c r="N1002" t="s">
        <v>31</v>
      </c>
      <c r="O1002">
        <v>7600</v>
      </c>
      <c r="P1002">
        <v>20</v>
      </c>
      <c r="Q1002">
        <v>20</v>
      </c>
      <c r="R1002" s="107" t="str">
        <f>IF(AllData[[#This Row],[Nitrate (PPM)]]&gt;2, "Very high", IF(AllData[[#This Row],[Nitrate (PPM)]]&gt;1, "High", IF(AllData[[#This Row],[Nitrate (PPM)]]&gt;0.5, "Some evidence", IF(AllData[[#This Row],[Nitrate (PPM)]]&gt;=0, "No evidence"))))</f>
        <v>Very high</v>
      </c>
      <c r="S1002">
        <v>1.07</v>
      </c>
      <c r="T1002" s="7" t="str">
        <f>IF(AllData[[#This Row],[Phosphate (PPM)]]&gt;0.5, "Very high", IF(AllData[[#This Row],[Phosphate (PPM)]]&gt;0.1, "High", IF(AllData[[#This Row],[Phosphate (PPM)]]&gt;0.05, "Some evidence", IF(AllData[[#This Row],[Phosphate (PPM)]]&lt;=0.05, "No Evidence", ""))))</f>
        <v>Very high</v>
      </c>
      <c r="U1002">
        <v>1</v>
      </c>
    </row>
    <row r="1003" spans="1:22" x14ac:dyDescent="0.35">
      <c r="A1003" t="s">
        <v>2000</v>
      </c>
      <c r="B1003" s="143">
        <v>45543</v>
      </c>
      <c r="C1003" s="2" t="str" cm="1">
        <f t="array" ref="C10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3">
        <f>YEAR(AllData[[#This Row],[Date]])</f>
        <v>2024</v>
      </c>
      <c r="E1003" s="1">
        <v>0.58333333333333337</v>
      </c>
      <c r="F1003" t="str">
        <f>IF(AND(AllData[[#This Row],[Time]]&lt;0.5, AllData[[#This Row],[Time]]&gt;0.17)=TRUE, "Morning", IF(AND(AllData[[#This Row],[Time]]&lt;0.75, AllData[[#This Row],[Time]]&gt;=0.5)=TRUE, "Afternoon", IF(AND(AllData[[#This Row],[Time]]&lt;1, AllData[[#This Row],[Time]]&gt;=0.75)=TRUE, "Evening", "Night")))</f>
        <v>Afternoon</v>
      </c>
      <c r="G1003" t="str">
        <f>_xlfn.XLOOKUP(AllData[[#This Row],[Location Name]], Locations[Location Name],Locations[Group As])</f>
        <v>Clifford Chambers Mill Bridge</v>
      </c>
      <c r="H1003" t="e" vm="1">
        <f>_xlfn.XLOOKUP(AllData[[#This Row],[Site Name]],LocationsKey[Site Name],LocationsKey[District])</f>
        <v>#VALUE!</v>
      </c>
      <c r="I1003" t="e" vm="22">
        <f>_xlfn.XLOOKUP(AllData[[#This Row],[Site Name]],LocationsKey[Site Name],LocationsKey[Town])</f>
        <v>#VALUE!</v>
      </c>
      <c r="J1003" t="str">
        <f>_xlfn.XLOOKUP(AllData[[#This Row],[Site Name]],LocationsKey[Site Name], LocationsKey[Waterway])</f>
        <v>Stour</v>
      </c>
      <c r="K1003" t="s">
        <v>266</v>
      </c>
      <c r="L1003">
        <v>52.166370000000001</v>
      </c>
      <c r="M1003">
        <v>-1.708032</v>
      </c>
      <c r="N1003" t="s">
        <v>68</v>
      </c>
      <c r="O1003">
        <v>728</v>
      </c>
      <c r="P1003">
        <v>21.6</v>
      </c>
      <c r="Q1003">
        <v>7</v>
      </c>
      <c r="R1003" s="107" t="str">
        <f>IF(AllData[[#This Row],[Nitrate (PPM)]]&gt;2, "Very high", IF(AllData[[#This Row],[Nitrate (PPM)]]&gt;1, "High", IF(AllData[[#This Row],[Nitrate (PPM)]]&gt;0.5, "Some evidence", IF(AllData[[#This Row],[Nitrate (PPM)]]&gt;=0, "No evidence"))))</f>
        <v>Very high</v>
      </c>
      <c r="S1003">
        <v>0.6</v>
      </c>
      <c r="T1003" s="7" t="str">
        <f>IF(AllData[[#This Row],[Phosphate (PPM)]]&gt;0.5, "Very high", IF(AllData[[#This Row],[Phosphate (PPM)]]&gt;0.1, "High", IF(AllData[[#This Row],[Phosphate (PPM)]]&gt;0.05, "Some evidence", IF(AllData[[#This Row],[Phosphate (PPM)]]&lt;=0.05, "No Evidence", ""))))</f>
        <v>Very high</v>
      </c>
      <c r="U1003">
        <v>0.35</v>
      </c>
    </row>
    <row r="1004" spans="1:22" x14ac:dyDescent="0.35">
      <c r="A1004" t="s">
        <v>2001</v>
      </c>
      <c r="B1004" s="143">
        <v>45543</v>
      </c>
      <c r="C1004" s="2" t="str" cm="1">
        <f t="array" ref="C10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4">
        <f>YEAR(AllData[[#This Row],[Date]])</f>
        <v>2024</v>
      </c>
      <c r="E1004" s="1">
        <v>0.55208333333333337</v>
      </c>
      <c r="F1004" t="str">
        <f>IF(AND(AllData[[#This Row],[Time]]&lt;0.5, AllData[[#This Row],[Time]]&gt;0.17)=TRUE, "Morning", IF(AND(AllData[[#This Row],[Time]]&lt;0.75, AllData[[#This Row],[Time]]&gt;=0.5)=TRUE, "Afternoon", IF(AND(AllData[[#This Row],[Time]]&lt;1, AllData[[#This Row],[Time]]&gt;=0.75)=TRUE, "Evening", "Night")))</f>
        <v>Afternoon</v>
      </c>
      <c r="G1004" t="str">
        <f>_xlfn.XLOOKUP(AllData[[#This Row],[Location Name]], Locations[Location Name],Locations[Group As])</f>
        <v>Fell Mill Footbridge</v>
      </c>
      <c r="H1004" t="e" vm="1">
        <f>_xlfn.XLOOKUP(AllData[[#This Row],[Site Name]],LocationsKey[Site Name],LocationsKey[District])</f>
        <v>#VALUE!</v>
      </c>
      <c r="I1004" t="e" vm="15">
        <f>_xlfn.XLOOKUP(AllData[[#This Row],[Site Name]],LocationsKey[Site Name],LocationsKey[Town])</f>
        <v>#VALUE!</v>
      </c>
      <c r="J1004" t="str">
        <f>_xlfn.XLOOKUP(AllData[[#This Row],[Site Name]],LocationsKey[Site Name], LocationsKey[Waterway])</f>
        <v>Stour</v>
      </c>
      <c r="K1004" t="s">
        <v>1968</v>
      </c>
      <c r="L1004">
        <v>52.070086000000003</v>
      </c>
      <c r="M1004">
        <v>-1.61145</v>
      </c>
      <c r="N1004" t="s">
        <v>31</v>
      </c>
      <c r="O1004">
        <v>644</v>
      </c>
      <c r="P1004">
        <v>17.399999999999999</v>
      </c>
      <c r="Q1004">
        <v>5</v>
      </c>
      <c r="R1004" s="107" t="str">
        <f>IF(AllData[[#This Row],[Nitrate (PPM)]]&gt;2, "Very high", IF(AllData[[#This Row],[Nitrate (PPM)]]&gt;1, "High", IF(AllData[[#This Row],[Nitrate (PPM)]]&gt;0.5, "Some evidence", IF(AllData[[#This Row],[Nitrate (PPM)]]&gt;=0, "No evidence"))))</f>
        <v>Very high</v>
      </c>
      <c r="S1004">
        <v>0.64</v>
      </c>
      <c r="T1004" s="7" t="str">
        <f>IF(AllData[[#This Row],[Phosphate (PPM)]]&gt;0.5, "Very high", IF(AllData[[#This Row],[Phosphate (PPM)]]&gt;0.1, "High", IF(AllData[[#This Row],[Phosphate (PPM)]]&gt;0.05, "Some evidence", IF(AllData[[#This Row],[Phosphate (PPM)]]&lt;=0.05, "No Evidence", ""))))</f>
        <v>Very high</v>
      </c>
      <c r="U1004">
        <v>1.1499999999999999</v>
      </c>
    </row>
    <row r="1005" spans="1:22" x14ac:dyDescent="0.35">
      <c r="A1005" t="s">
        <v>2003</v>
      </c>
      <c r="B1005" s="143">
        <v>45543</v>
      </c>
      <c r="C1005" s="2" t="str" cm="1">
        <f t="array" ref="C10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5">
        <f>YEAR(AllData[[#This Row],[Date]])</f>
        <v>2024</v>
      </c>
      <c r="E1005" s="1">
        <v>0.71527777777777779</v>
      </c>
      <c r="F1005" t="str">
        <f>IF(AND(AllData[[#This Row],[Time]]&lt;0.5, AllData[[#This Row],[Time]]&gt;0.17)=TRUE, "Morning", IF(AND(AllData[[#This Row],[Time]]&lt;0.75, AllData[[#This Row],[Time]]&gt;=0.5)=TRUE, "Afternoon", IF(AND(AllData[[#This Row],[Time]]&lt;1, AllData[[#This Row],[Time]]&gt;=0.75)=TRUE, "Evening", "Night")))</f>
        <v>Afternoon</v>
      </c>
      <c r="G1005" t="str">
        <f>_xlfn.XLOOKUP(AllData[[#This Row],[Location Name]], Locations[Location Name],Locations[Group As])</f>
        <v>The Ford, Langley</v>
      </c>
      <c r="H1005" t="e" vm="1">
        <f>_xlfn.XLOOKUP(AllData[[#This Row],[Site Name]],LocationsKey[Site Name],LocationsKey[District])</f>
        <v>#VALUE!</v>
      </c>
      <c r="I1005" t="str">
        <f>_xlfn.XLOOKUP(AllData[[#This Row],[Site Name]],LocationsKey[Site Name],LocationsKey[Town])</f>
        <v>Langley</v>
      </c>
      <c r="J1005" t="str">
        <f>_xlfn.XLOOKUP(AllData[[#This Row],[Site Name]],LocationsKey[Site Name], LocationsKey[Waterway])</f>
        <v>Langley Ford</v>
      </c>
      <c r="K1005" t="s">
        <v>561</v>
      </c>
      <c r="L1005">
        <v>52.259903999999999</v>
      </c>
      <c r="M1005">
        <v>-1.7185010000000001</v>
      </c>
      <c r="N1005" t="s">
        <v>31</v>
      </c>
      <c r="O1005">
        <v>847</v>
      </c>
      <c r="P1005">
        <v>16.5</v>
      </c>
      <c r="Q1005">
        <v>3</v>
      </c>
      <c r="R1005" s="107" t="str">
        <f>IF(AllData[[#This Row],[Nitrate (PPM)]]&gt;2, "Very high", IF(AllData[[#This Row],[Nitrate (PPM)]]&gt;1, "High", IF(AllData[[#This Row],[Nitrate (PPM)]]&gt;0.5, "Some evidence", IF(AllData[[#This Row],[Nitrate (PPM)]]&gt;=0, "No evidence"))))</f>
        <v>Very high</v>
      </c>
      <c r="S1005">
        <v>1.0900000000000001</v>
      </c>
      <c r="T1005" s="7" t="str">
        <f>IF(AllData[[#This Row],[Phosphate (PPM)]]&gt;0.5, "Very high", IF(AllData[[#This Row],[Phosphate (PPM)]]&gt;0.1, "High", IF(AllData[[#This Row],[Phosphate (PPM)]]&gt;0.05, "Some evidence", IF(AllData[[#This Row],[Phosphate (PPM)]]&lt;=0.05, "No Evidence", ""))))</f>
        <v>Very high</v>
      </c>
      <c r="U1005">
        <v>0.18</v>
      </c>
      <c r="V1005" t="s">
        <v>2004</v>
      </c>
    </row>
    <row r="1006" spans="1:22" x14ac:dyDescent="0.35">
      <c r="A1006" t="s">
        <v>1996</v>
      </c>
      <c r="B1006" s="143">
        <v>45542</v>
      </c>
      <c r="C1006" s="2" t="str" cm="1">
        <f t="array" ref="C10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6">
        <f>YEAR(AllData[[#This Row],[Date]])</f>
        <v>2024</v>
      </c>
      <c r="E1006" s="1">
        <v>0.41805555555555557</v>
      </c>
      <c r="F1006" t="str">
        <f>IF(AND(AllData[[#This Row],[Time]]&lt;0.5, AllData[[#This Row],[Time]]&gt;0.17)=TRUE, "Morning", IF(AND(AllData[[#This Row],[Time]]&lt;0.75, AllData[[#This Row],[Time]]&gt;=0.5)=TRUE, "Afternoon", IF(AND(AllData[[#This Row],[Time]]&lt;1, AllData[[#This Row],[Time]]&gt;=0.75)=TRUE, "Evening", "Night")))</f>
        <v>Morning</v>
      </c>
      <c r="G1006" t="str">
        <f>_xlfn.XLOOKUP(AllData[[#This Row],[Location Name]], Locations[Location Name],Locations[Group As])</f>
        <v>Avon Smiths Meadow Wyre Piddle</v>
      </c>
      <c r="H1006" t="e" vm="6">
        <f>_xlfn.XLOOKUP(AllData[[#This Row],[Site Name]],LocationsKey[Site Name],LocationsKey[District])</f>
        <v>#VALUE!</v>
      </c>
      <c r="I1006" t="e" vm="13">
        <f>_xlfn.XLOOKUP(AllData[[#This Row],[Site Name]],LocationsKey[Site Name],LocationsKey[Town])</f>
        <v>#VALUE!</v>
      </c>
      <c r="J1006" t="str">
        <f>_xlfn.XLOOKUP(AllData[[#This Row],[Site Name]],LocationsKey[Site Name], LocationsKey[Waterway])</f>
        <v>Avon</v>
      </c>
      <c r="K1006" t="s">
        <v>784</v>
      </c>
      <c r="L1006">
        <v>52.122844999999998</v>
      </c>
      <c r="M1006">
        <v>-2.0574509999999999</v>
      </c>
      <c r="N1006" t="s">
        <v>25</v>
      </c>
      <c r="O1006">
        <v>1060</v>
      </c>
      <c r="P1006">
        <v>18.2</v>
      </c>
      <c r="Q1006">
        <v>20</v>
      </c>
      <c r="R1006" s="107" t="str">
        <f>IF(AllData[[#This Row],[Nitrate (PPM)]]&gt;2, "Very high", IF(AllData[[#This Row],[Nitrate (PPM)]]&gt;1, "High", IF(AllData[[#This Row],[Nitrate (PPM)]]&gt;0.5, "Some evidence", IF(AllData[[#This Row],[Nitrate (PPM)]]&gt;=0, "No evidence"))))</f>
        <v>Very high</v>
      </c>
      <c r="S1006">
        <v>1.1100000000000001</v>
      </c>
      <c r="T1006" s="7" t="str">
        <f>IF(AllData[[#This Row],[Phosphate (PPM)]]&gt;0.5, "Very high", IF(AllData[[#This Row],[Phosphate (PPM)]]&gt;0.1, "High", IF(AllData[[#This Row],[Phosphate (PPM)]]&gt;0.05, "Some evidence", IF(AllData[[#This Row],[Phosphate (PPM)]]&lt;=0.05, "No Evidence", ""))))</f>
        <v>Very high</v>
      </c>
      <c r="U1006">
        <v>0.51</v>
      </c>
      <c r="V1006" t="s">
        <v>1997</v>
      </c>
    </row>
    <row r="1007" spans="1:22" x14ac:dyDescent="0.35">
      <c r="A1007" t="s">
        <v>1994</v>
      </c>
      <c r="B1007" s="143">
        <v>45542</v>
      </c>
      <c r="C1007" s="2" t="str" cm="1">
        <f t="array" ref="C10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7">
        <f>YEAR(AllData[[#This Row],[Date]])</f>
        <v>2024</v>
      </c>
      <c r="E1007" s="1">
        <v>0.43680555555555556</v>
      </c>
      <c r="F1007" t="str">
        <f>IF(AND(AllData[[#This Row],[Time]]&lt;0.5, AllData[[#This Row],[Time]]&gt;0.17)=TRUE, "Morning", IF(AND(AllData[[#This Row],[Time]]&lt;0.75, AllData[[#This Row],[Time]]&gt;=0.5)=TRUE, "Afternoon", IF(AND(AllData[[#This Row],[Time]]&lt;1, AllData[[#This Row],[Time]]&gt;=0.75)=TRUE, "Evening", "Night")))</f>
        <v>Morning</v>
      </c>
      <c r="G1007" t="str">
        <f>_xlfn.XLOOKUP(AllData[[#This Row],[Location Name]], Locations[Location Name],Locations[Group As])</f>
        <v>Piddle Brook Wyre Piddle Bridge</v>
      </c>
      <c r="H1007" t="e" vm="6">
        <f>_xlfn.XLOOKUP(AllData[[#This Row],[Site Name]],LocationsKey[Site Name],LocationsKey[District])</f>
        <v>#VALUE!</v>
      </c>
      <c r="I1007" t="e" vm="13">
        <f>_xlfn.XLOOKUP(AllData[[#This Row],[Site Name]],LocationsKey[Site Name],LocationsKey[Town])</f>
        <v>#VALUE!</v>
      </c>
      <c r="J1007" t="str">
        <f>_xlfn.XLOOKUP(AllData[[#This Row],[Site Name]],LocationsKey[Site Name], LocationsKey[Waterway])</f>
        <v>Piddle Brook</v>
      </c>
      <c r="K1007" t="s">
        <v>787</v>
      </c>
      <c r="L1007">
        <v>52.126376</v>
      </c>
      <c r="M1007">
        <v>-2.0565720000000001</v>
      </c>
      <c r="N1007" t="s">
        <v>25</v>
      </c>
      <c r="O1007">
        <v>1810</v>
      </c>
      <c r="P1007">
        <v>17.100000000000001</v>
      </c>
      <c r="Q1007">
        <v>10</v>
      </c>
      <c r="R1007" s="107" t="str">
        <f>IF(AllData[[#This Row],[Nitrate (PPM)]]&gt;2, "Very high", IF(AllData[[#This Row],[Nitrate (PPM)]]&gt;1, "High", IF(AllData[[#This Row],[Nitrate (PPM)]]&gt;0.5, "Some evidence", IF(AllData[[#This Row],[Nitrate (PPM)]]&gt;=0, "No evidence"))))</f>
        <v>Very high</v>
      </c>
      <c r="S1007">
        <v>1.48</v>
      </c>
      <c r="T1007" s="7" t="str">
        <f>IF(AllData[[#This Row],[Phosphate (PPM)]]&gt;0.5, "Very high", IF(AllData[[#This Row],[Phosphate (PPM)]]&gt;0.1, "High", IF(AllData[[#This Row],[Phosphate (PPM)]]&gt;0.05, "Some evidence", IF(AllData[[#This Row],[Phosphate (PPM)]]&lt;=0.05, "No Evidence", ""))))</f>
        <v>Very high</v>
      </c>
      <c r="U1007">
        <v>0.1</v>
      </c>
      <c r="V1007" t="s">
        <v>1995</v>
      </c>
    </row>
    <row r="1008" spans="1:22" x14ac:dyDescent="0.35">
      <c r="A1008" t="s">
        <v>1993</v>
      </c>
      <c r="B1008" s="143">
        <v>45542</v>
      </c>
      <c r="C1008" s="2" t="str" cm="1">
        <f t="array" ref="C10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8">
        <f>YEAR(AllData[[#This Row],[Date]])</f>
        <v>2024</v>
      </c>
      <c r="E1008" s="1">
        <v>0.41666666666666669</v>
      </c>
      <c r="F1008" t="str">
        <f>IF(AND(AllData[[#This Row],[Time]]&lt;0.5, AllData[[#This Row],[Time]]&gt;0.17)=TRUE, "Morning", IF(AND(AllData[[#This Row],[Time]]&lt;0.75, AllData[[#This Row],[Time]]&gt;=0.5)=TRUE, "Afternoon", IF(AND(AllData[[#This Row],[Time]]&lt;1, AllData[[#This Row],[Time]]&gt;=0.75)=TRUE, "Evening", "Night")))</f>
        <v>Morning</v>
      </c>
      <c r="G1008" t="str">
        <f>_xlfn.XLOOKUP(AllData[[#This Row],[Location Name]], Locations[Location Name],Locations[Group As])</f>
        <v>Pitch 16</v>
      </c>
      <c r="H1008" t="e" vm="1">
        <f>_xlfn.XLOOKUP(AllData[[#This Row],[Site Name]],LocationsKey[Site Name],LocationsKey[District])</f>
        <v>#VALUE!</v>
      </c>
      <c r="I1008" t="e" vm="12">
        <f>_xlfn.XLOOKUP(AllData[[#This Row],[Site Name]],LocationsKey[Site Name],LocationsKey[Town])</f>
        <v>#VALUE!</v>
      </c>
      <c r="J1008" t="str">
        <f>_xlfn.XLOOKUP(AllData[[#This Row],[Site Name]],LocationsKey[Site Name], LocationsKey[Waterway])</f>
        <v>Avon</v>
      </c>
      <c r="K1008" t="s">
        <v>71</v>
      </c>
      <c r="L1008">
        <v>50.831715000000003</v>
      </c>
      <c r="M1008">
        <v>-0.306093</v>
      </c>
      <c r="N1008" t="s">
        <v>31</v>
      </c>
      <c r="O1008">
        <v>1101</v>
      </c>
      <c r="P1008">
        <v>20.8</v>
      </c>
      <c r="Q1008">
        <v>10</v>
      </c>
      <c r="R1008" s="107" t="str">
        <f>IF(AllData[[#This Row],[Nitrate (PPM)]]&gt;2, "Very high", IF(AllData[[#This Row],[Nitrate (PPM)]]&gt;1, "High", IF(AllData[[#This Row],[Nitrate (PPM)]]&gt;0.5, "Some evidence", IF(AllData[[#This Row],[Nitrate (PPM)]]&gt;=0, "No evidence"))))</f>
        <v>Very high</v>
      </c>
      <c r="S1008">
        <v>0.49</v>
      </c>
      <c r="T1008" s="7" t="str">
        <f>IF(AllData[[#This Row],[Phosphate (PPM)]]&gt;0.5, "Very high", IF(AllData[[#This Row],[Phosphate (PPM)]]&gt;0.1, "High", IF(AllData[[#This Row],[Phosphate (PPM)]]&gt;0.05, "Some evidence", IF(AllData[[#This Row],[Phosphate (PPM)]]&lt;=0.05, "No Evidence", ""))))</f>
        <v>High</v>
      </c>
      <c r="U1008">
        <v>1</v>
      </c>
    </row>
    <row r="1009" spans="1:22" x14ac:dyDescent="0.35">
      <c r="A1009" t="s">
        <v>1992</v>
      </c>
      <c r="B1009" s="143">
        <v>45542</v>
      </c>
      <c r="C1009" s="2" t="str" cm="1">
        <f t="array" ref="C10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09">
        <f>YEAR(AllData[[#This Row],[Date]])</f>
        <v>2024</v>
      </c>
      <c r="E1009" s="1">
        <v>0.4236111111111111</v>
      </c>
      <c r="F1009" t="str">
        <f>IF(AND(AllData[[#This Row],[Time]]&lt;0.5, AllData[[#This Row],[Time]]&gt;0.17)=TRUE, "Morning", IF(AND(AllData[[#This Row],[Time]]&lt;0.75, AllData[[#This Row],[Time]]&gt;=0.5)=TRUE, "Afternoon", IF(AND(AllData[[#This Row],[Time]]&lt;1, AllData[[#This Row],[Time]]&gt;=0.75)=TRUE, "Evening", "Night")))</f>
        <v>Morning</v>
      </c>
      <c r="G1009" t="str">
        <f>_xlfn.XLOOKUP(AllData[[#This Row],[Location Name]], Locations[Location Name],Locations[Group As])</f>
        <v>Avonbank Drive</v>
      </c>
      <c r="H1009" t="e" vm="1">
        <f>_xlfn.XLOOKUP(AllData[[#This Row],[Site Name]],LocationsKey[Site Name],LocationsKey[District])</f>
        <v>#VALUE!</v>
      </c>
      <c r="I1009" t="e" vm="12">
        <f>_xlfn.XLOOKUP(AllData[[#This Row],[Site Name]],LocationsKey[Site Name],LocationsKey[Town])</f>
        <v>#VALUE!</v>
      </c>
      <c r="J1009" t="str">
        <f>_xlfn.XLOOKUP(AllData[[#This Row],[Site Name]],LocationsKey[Site Name], LocationsKey[Waterway])</f>
        <v>Avon</v>
      </c>
      <c r="K1009" t="s">
        <v>104</v>
      </c>
      <c r="L1009">
        <v>43.328878000000003</v>
      </c>
      <c r="M1009">
        <v>-81.129401000000001</v>
      </c>
      <c r="N1009" t="s">
        <v>68</v>
      </c>
      <c r="O1009">
        <v>1100</v>
      </c>
      <c r="P1009">
        <v>20.399999999999999</v>
      </c>
      <c r="Q1009">
        <v>10</v>
      </c>
      <c r="R1009" s="107" t="str">
        <f>IF(AllData[[#This Row],[Nitrate (PPM)]]&gt;2, "Very high", IF(AllData[[#This Row],[Nitrate (PPM)]]&gt;1, "High", IF(AllData[[#This Row],[Nitrate (PPM)]]&gt;0.5, "Some evidence", IF(AllData[[#This Row],[Nitrate (PPM)]]&gt;=0, "No evidence"))))</f>
        <v>Very high</v>
      </c>
      <c r="S1009">
        <v>0.4</v>
      </c>
      <c r="T1009" s="7" t="str">
        <f>IF(AllData[[#This Row],[Phosphate (PPM)]]&gt;0.5, "Very high", IF(AllData[[#This Row],[Phosphate (PPM)]]&gt;0.1, "High", IF(AllData[[#This Row],[Phosphate (PPM)]]&gt;0.05, "Some evidence", IF(AllData[[#This Row],[Phosphate (PPM)]]&lt;=0.05, "No Evidence", ""))))</f>
        <v>High</v>
      </c>
      <c r="U1009">
        <v>1</v>
      </c>
    </row>
    <row r="1010" spans="1:22" x14ac:dyDescent="0.35">
      <c r="A1010" t="s">
        <v>1999</v>
      </c>
      <c r="B1010" s="143">
        <v>45542</v>
      </c>
      <c r="C1010" s="2" t="str" cm="1">
        <f t="array" ref="C10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0">
        <f>YEAR(AllData[[#This Row],[Date]])</f>
        <v>2024</v>
      </c>
      <c r="E1010" s="1">
        <v>0.52083333333333337</v>
      </c>
      <c r="F1010" t="str">
        <f>IF(AND(AllData[[#This Row],[Time]]&lt;0.5, AllData[[#This Row],[Time]]&gt;0.17)=TRUE, "Morning", IF(AND(AllData[[#This Row],[Time]]&lt;0.75, AllData[[#This Row],[Time]]&gt;=0.5)=TRUE, "Afternoon", IF(AND(AllData[[#This Row],[Time]]&lt;1, AllData[[#This Row],[Time]]&gt;=0.75)=TRUE, "Evening", "Night")))</f>
        <v>Afternoon</v>
      </c>
      <c r="G1010" t="str">
        <f>_xlfn.XLOOKUP(AllData[[#This Row],[Location Name]], Locations[Location Name],Locations[Group As])</f>
        <v>Carrant Bredon Rd</v>
      </c>
      <c r="H1010" t="e" vm="4">
        <f>_xlfn.XLOOKUP(AllData[[#This Row],[Site Name]],LocationsKey[Site Name],LocationsKey[District])</f>
        <v>#VALUE!</v>
      </c>
      <c r="I1010" t="e" vm="4">
        <f>_xlfn.XLOOKUP(AllData[[#This Row],[Site Name]],LocationsKey[Site Name],LocationsKey[Town])</f>
        <v>#VALUE!</v>
      </c>
      <c r="J1010" t="str">
        <f>_xlfn.XLOOKUP(AllData[[#This Row],[Site Name]],LocationsKey[Site Name], LocationsKey[Waterway])</f>
        <v>Carrant</v>
      </c>
      <c r="K1010" t="s">
        <v>603</v>
      </c>
      <c r="L1010">
        <v>51.996206000000001</v>
      </c>
      <c r="M1010">
        <v>-2.1561330000000001</v>
      </c>
      <c r="N1010" t="s">
        <v>25</v>
      </c>
      <c r="O1010">
        <v>742</v>
      </c>
      <c r="P1010">
        <v>17.8</v>
      </c>
      <c r="Q1010">
        <v>5</v>
      </c>
      <c r="R1010" s="107" t="str">
        <f>IF(AllData[[#This Row],[Nitrate (PPM)]]&gt;2, "Very high", IF(AllData[[#This Row],[Nitrate (PPM)]]&gt;1, "High", IF(AllData[[#This Row],[Nitrate (PPM)]]&gt;0.5, "Some evidence", IF(AllData[[#This Row],[Nitrate (PPM)]]&gt;=0, "No evidence"))))</f>
        <v>Very high</v>
      </c>
      <c r="S1010">
        <v>0.8</v>
      </c>
      <c r="T1010" s="7" t="str">
        <f>IF(AllData[[#This Row],[Phosphate (PPM)]]&gt;0.5, "Very high", IF(AllData[[#This Row],[Phosphate (PPM)]]&gt;0.1, "High", IF(AllData[[#This Row],[Phosphate (PPM)]]&gt;0.05, "Some evidence", IF(AllData[[#This Row],[Phosphate (PPM)]]&lt;=0.05, "No Evidence", ""))))</f>
        <v>Very high</v>
      </c>
      <c r="U1010">
        <v>0</v>
      </c>
    </row>
    <row r="1011" spans="1:22" x14ac:dyDescent="0.35">
      <c r="A1011" t="s">
        <v>1998</v>
      </c>
      <c r="B1011" s="143">
        <v>45542</v>
      </c>
      <c r="C1011" s="2" t="str" cm="1">
        <f t="array" ref="C10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1">
        <f>YEAR(AllData[[#This Row],[Date]])</f>
        <v>2024</v>
      </c>
      <c r="E1011" s="1">
        <v>0.39583333333333331</v>
      </c>
      <c r="F1011" t="str">
        <f>IF(AND(AllData[[#This Row],[Time]]&lt;0.5, AllData[[#This Row],[Time]]&gt;0.17)=TRUE, "Morning", IF(AND(AllData[[#This Row],[Time]]&lt;0.75, AllData[[#This Row],[Time]]&gt;=0.5)=TRUE, "Afternoon", IF(AND(AllData[[#This Row],[Time]]&lt;1, AllData[[#This Row],[Time]]&gt;=0.75)=TRUE, "Evening", "Night")))</f>
        <v>Morning</v>
      </c>
      <c r="G1011" t="str">
        <f>_xlfn.XLOOKUP(AllData[[#This Row],[Location Name]], Locations[Location Name],Locations[Group As])</f>
        <v>Swilgate</v>
      </c>
      <c r="H1011" t="e" vm="4">
        <f>_xlfn.XLOOKUP(AllData[[#This Row],[Site Name]],LocationsKey[Site Name],LocationsKey[District])</f>
        <v>#VALUE!</v>
      </c>
      <c r="I1011" t="e" vm="4">
        <f>_xlfn.XLOOKUP(AllData[[#This Row],[Site Name]],LocationsKey[Site Name],LocationsKey[Town])</f>
        <v>#VALUE!</v>
      </c>
      <c r="J1011" t="str">
        <f>_xlfn.XLOOKUP(AllData[[#This Row],[Site Name]],LocationsKey[Site Name], LocationsKey[Waterway])</f>
        <v>Swilgate</v>
      </c>
      <c r="K1011" t="s">
        <v>85</v>
      </c>
      <c r="N1011" t="s">
        <v>25</v>
      </c>
      <c r="O1011">
        <v>853</v>
      </c>
      <c r="P1011">
        <v>18</v>
      </c>
      <c r="Q1011">
        <v>3</v>
      </c>
      <c r="R1011" s="107" t="str">
        <f>IF(AllData[[#This Row],[Nitrate (PPM)]]&gt;2, "Very high", IF(AllData[[#This Row],[Nitrate (PPM)]]&gt;1, "High", IF(AllData[[#This Row],[Nitrate (PPM)]]&gt;0.5, "Some evidence", IF(AllData[[#This Row],[Nitrate (PPM)]]&gt;=0, "No evidence"))))</f>
        <v>Very high</v>
      </c>
      <c r="S1011">
        <v>0.76</v>
      </c>
      <c r="T1011" s="7" t="str">
        <f>IF(AllData[[#This Row],[Phosphate (PPM)]]&gt;0.5, "Very high", IF(AllData[[#This Row],[Phosphate (PPM)]]&gt;0.1, "High", IF(AllData[[#This Row],[Phosphate (PPM)]]&gt;0.05, "Some evidence", IF(AllData[[#This Row],[Phosphate (PPM)]]&lt;=0.05, "No Evidence", ""))))</f>
        <v>Very high</v>
      </c>
      <c r="U1011">
        <v>0</v>
      </c>
    </row>
    <row r="1012" spans="1:22" x14ac:dyDescent="0.35">
      <c r="A1012" t="s">
        <v>1984</v>
      </c>
      <c r="B1012" s="143">
        <v>45541</v>
      </c>
      <c r="C1012" s="2" t="str" cm="1">
        <f t="array" ref="C10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2">
        <f>YEAR(AllData[[#This Row],[Date]])</f>
        <v>2024</v>
      </c>
      <c r="E1012" s="1">
        <v>0.46527777777777779</v>
      </c>
      <c r="F1012" t="str">
        <f>IF(AND(AllData[[#This Row],[Time]]&lt;0.5, AllData[[#This Row],[Time]]&gt;0.17)=TRUE, "Morning", IF(AND(AllData[[#This Row],[Time]]&lt;0.75, AllData[[#This Row],[Time]]&gt;=0.5)=TRUE, "Afternoon", IF(AND(AllData[[#This Row],[Time]]&lt;1, AllData[[#This Row],[Time]]&gt;=0.75)=TRUE, "Evening", "Night")))</f>
        <v>Morning</v>
      </c>
      <c r="G1012" t="str">
        <f>_xlfn.XLOOKUP(AllData[[#This Row],[Location Name]], Locations[Location Name],Locations[Group As])</f>
        <v>Site 3  :  Severn Trent Water processing plant outflow</v>
      </c>
      <c r="H1012" t="e" vm="1">
        <f>_xlfn.XLOOKUP(AllData[[#This Row],[Site Name]],LocationsKey[Site Name],LocationsKey[District])</f>
        <v>#VALUE!</v>
      </c>
      <c r="I1012" t="e" vm="14">
        <f>_xlfn.XLOOKUP(AllData[[#This Row],[Site Name]],LocationsKey[Site Name],LocationsKey[Town])</f>
        <v>#VALUE!</v>
      </c>
      <c r="J1012" t="str">
        <f>_xlfn.XLOOKUP(AllData[[#This Row],[Site Name]],LocationsKey[Site Name], LocationsKey[Waterway])</f>
        <v>Fosseway Brook</v>
      </c>
      <c r="K1012" t="s">
        <v>1826</v>
      </c>
      <c r="L1012">
        <v>52.094423999999997</v>
      </c>
      <c r="M1012">
        <v>-1.6759090000000001</v>
      </c>
      <c r="N1012" t="s">
        <v>31</v>
      </c>
      <c r="O1012">
        <v>935</v>
      </c>
      <c r="P1012">
        <v>18.3</v>
      </c>
      <c r="Q1012">
        <v>20</v>
      </c>
      <c r="R1012" s="107" t="str">
        <f>IF(AllData[[#This Row],[Nitrate (PPM)]]&gt;2, "Very high", IF(AllData[[#This Row],[Nitrate (PPM)]]&gt;1, "High", IF(AllData[[#This Row],[Nitrate (PPM)]]&gt;0.5, "Some evidence", IF(AllData[[#This Row],[Nitrate (PPM)]]&gt;=0, "No evidence"))))</f>
        <v>Very high</v>
      </c>
      <c r="S1012">
        <v>2.5</v>
      </c>
      <c r="T1012" s="7" t="str">
        <f>IF(AllData[[#This Row],[Phosphate (PPM)]]&gt;0.5, "Very high", IF(AllData[[#This Row],[Phosphate (PPM)]]&gt;0.1, "High", IF(AllData[[#This Row],[Phosphate (PPM)]]&gt;0.05, "Some evidence", IF(AllData[[#This Row],[Phosphate (PPM)]]&lt;=0.05, "No Evidence", ""))))</f>
        <v>Very high</v>
      </c>
      <c r="U1012">
        <v>0.15</v>
      </c>
    </row>
    <row r="1013" spans="1:22" x14ac:dyDescent="0.35">
      <c r="A1013" t="s">
        <v>1989</v>
      </c>
      <c r="B1013" s="143">
        <v>45541</v>
      </c>
      <c r="C1013" s="2" t="str" cm="1">
        <f t="array" ref="C10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3">
        <f>YEAR(AllData[[#This Row],[Date]])</f>
        <v>2024</v>
      </c>
      <c r="E1013" s="1">
        <v>0.67291666666666672</v>
      </c>
      <c r="F1013" t="str">
        <f>IF(AND(AllData[[#This Row],[Time]]&lt;0.5, AllData[[#This Row],[Time]]&gt;0.17)=TRUE, "Morning", IF(AND(AllData[[#This Row],[Time]]&lt;0.75, AllData[[#This Row],[Time]]&gt;=0.5)=TRUE, "Afternoon", IF(AND(AllData[[#This Row],[Time]]&lt;1, AllData[[#This Row],[Time]]&gt;=0.75)=TRUE, "Evening", "Night")))</f>
        <v>Afternoon</v>
      </c>
      <c r="G1013" t="str">
        <f>_xlfn.XLOOKUP(AllData[[#This Row],[Location Name]], Locations[Location Name],Locations[Group As])</f>
        <v>Mill Bridge Peopleton</v>
      </c>
      <c r="H1013" t="e" vm="6">
        <f>_xlfn.XLOOKUP(AllData[[#This Row],[Site Name]],LocationsKey[Site Name],LocationsKey[District])</f>
        <v>#VALUE!</v>
      </c>
      <c r="I1013" t="str">
        <f>_xlfn.XLOOKUP(AllData[[#This Row],[Site Name]],LocationsKey[Site Name],LocationsKey[Town])</f>
        <v>Peopleton</v>
      </c>
      <c r="J1013" t="str">
        <f>_xlfn.XLOOKUP(AllData[[#This Row],[Site Name]],LocationsKey[Site Name], LocationsKey[Waterway])</f>
        <v>Bow Brook</v>
      </c>
      <c r="K1013" t="s">
        <v>1015</v>
      </c>
      <c r="L1013">
        <v>52.151631999999999</v>
      </c>
      <c r="M1013">
        <v>-2.096279</v>
      </c>
      <c r="N1013" t="s">
        <v>31</v>
      </c>
      <c r="O1013">
        <v>1130</v>
      </c>
      <c r="P1013">
        <v>19.3</v>
      </c>
      <c r="Q1013">
        <v>5</v>
      </c>
      <c r="R1013" s="107" t="str">
        <f>IF(AllData[[#This Row],[Nitrate (PPM)]]&gt;2, "Very high", IF(AllData[[#This Row],[Nitrate (PPM)]]&gt;1, "High", IF(AllData[[#This Row],[Nitrate (PPM)]]&gt;0.5, "Some evidence", IF(AllData[[#This Row],[Nitrate (PPM)]]&gt;=0, "No evidence"))))</f>
        <v>Very high</v>
      </c>
      <c r="S1013">
        <v>0.57999999999999996</v>
      </c>
      <c r="T1013" s="7" t="str">
        <f>IF(AllData[[#This Row],[Phosphate (PPM)]]&gt;0.5, "Very high", IF(AllData[[#This Row],[Phosphate (PPM)]]&gt;0.1, "High", IF(AllData[[#This Row],[Phosphate (PPM)]]&gt;0.05, "Some evidence", IF(AllData[[#This Row],[Phosphate (PPM)]]&lt;=0.05, "No Evidence", ""))))</f>
        <v>Very high</v>
      </c>
      <c r="U1013">
        <v>0.3</v>
      </c>
      <c r="V1013" t="s">
        <v>1990</v>
      </c>
    </row>
    <row r="1014" spans="1:22" x14ac:dyDescent="0.35">
      <c r="A1014" t="s">
        <v>1991</v>
      </c>
      <c r="B1014" s="143">
        <v>45541</v>
      </c>
      <c r="C1014" s="2" t="str" cm="1">
        <f t="array" ref="C10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4">
        <f>YEAR(AllData[[#This Row],[Date]])</f>
        <v>2024</v>
      </c>
      <c r="E1014" s="1">
        <v>0.65138888888888891</v>
      </c>
      <c r="F1014" t="str">
        <f>IF(AND(AllData[[#This Row],[Time]]&lt;0.5, AllData[[#This Row],[Time]]&gt;0.17)=TRUE, "Morning", IF(AND(AllData[[#This Row],[Time]]&lt;0.75, AllData[[#This Row],[Time]]&gt;=0.5)=TRUE, "Afternoon", IF(AND(AllData[[#This Row],[Time]]&lt;1, AllData[[#This Row],[Time]]&gt;=0.75)=TRUE, "Evening", "Night")))</f>
        <v>Afternoon</v>
      </c>
      <c r="G1014" t="str">
        <f>_xlfn.XLOOKUP(AllData[[#This Row],[Location Name]], Locations[Location Name],Locations[Group As])</f>
        <v>Preston Bagot Brook</v>
      </c>
      <c r="H1014" t="e" vm="1">
        <f>_xlfn.XLOOKUP(AllData[[#This Row],[Site Name]],LocationsKey[Site Name],LocationsKey[District])</f>
        <v>#VALUE!</v>
      </c>
      <c r="I1014" t="e" vm="21">
        <f>_xlfn.XLOOKUP(AllData[[#This Row],[Site Name]],LocationsKey[Site Name],LocationsKey[Town])</f>
        <v>#VALUE!</v>
      </c>
      <c r="J1014" t="str">
        <f>_xlfn.XLOOKUP(AllData[[#This Row],[Site Name]],LocationsKey[Site Name], LocationsKey[Waterway])</f>
        <v>Preston Bagot Brook</v>
      </c>
      <c r="K1014" t="s">
        <v>621</v>
      </c>
      <c r="L1014">
        <v>52.286000000000001</v>
      </c>
      <c r="M1014">
        <v>-1.7470000000000001</v>
      </c>
      <c r="N1014" t="s">
        <v>25</v>
      </c>
      <c r="O1014">
        <v>1110</v>
      </c>
      <c r="P1014">
        <v>18.2</v>
      </c>
      <c r="Q1014">
        <v>5</v>
      </c>
      <c r="R1014" s="107" t="str">
        <f>IF(AllData[[#This Row],[Nitrate (PPM)]]&gt;2, "Very high", IF(AllData[[#This Row],[Nitrate (PPM)]]&gt;1, "High", IF(AllData[[#This Row],[Nitrate (PPM)]]&gt;0.5, "Some evidence", IF(AllData[[#This Row],[Nitrate (PPM)]]&gt;=0, "No evidence"))))</f>
        <v>Very high</v>
      </c>
      <c r="S1014">
        <v>0.66</v>
      </c>
      <c r="T1014" s="7" t="str">
        <f>IF(AllData[[#This Row],[Phosphate (PPM)]]&gt;0.5, "Very high", IF(AllData[[#This Row],[Phosphate (PPM)]]&gt;0.1, "High", IF(AllData[[#This Row],[Phosphate (PPM)]]&gt;0.05, "Some evidence", IF(AllData[[#This Row],[Phosphate (PPM)]]&lt;=0.05, "No Evidence", ""))))</f>
        <v>Very high</v>
      </c>
      <c r="U1014">
        <v>1</v>
      </c>
      <c r="V1014" t="s">
        <v>1667</v>
      </c>
    </row>
    <row r="1015" spans="1:22" x14ac:dyDescent="0.35">
      <c r="A1015" t="s">
        <v>1988</v>
      </c>
      <c r="B1015" s="143">
        <v>45541</v>
      </c>
      <c r="C1015" s="2" t="str" cm="1">
        <f t="array" ref="C10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5">
        <f>YEAR(AllData[[#This Row],[Date]])</f>
        <v>2024</v>
      </c>
      <c r="E1015" s="1">
        <v>0.64513888888888893</v>
      </c>
      <c r="F1015" t="str">
        <f>IF(AND(AllData[[#This Row],[Time]]&lt;0.5, AllData[[#This Row],[Time]]&gt;0.17)=TRUE, "Morning", IF(AND(AllData[[#This Row],[Time]]&lt;0.75, AllData[[#This Row],[Time]]&gt;=0.5)=TRUE, "Afternoon", IF(AND(AllData[[#This Row],[Time]]&lt;1, AllData[[#This Row],[Time]]&gt;=0.75)=TRUE, "Evening", "Night")))</f>
        <v>Afternoon</v>
      </c>
      <c r="G1015" t="str">
        <f>_xlfn.XLOOKUP(AllData[[#This Row],[Location Name]], Locations[Location Name],Locations[Group As])</f>
        <v>Preston Bagot Canal</v>
      </c>
      <c r="H1015" t="e" vm="1">
        <f>_xlfn.XLOOKUP(AllData[[#This Row],[Site Name]],LocationsKey[Site Name],LocationsKey[District])</f>
        <v>#VALUE!</v>
      </c>
      <c r="I1015" t="e" vm="21">
        <f>_xlfn.XLOOKUP(AllData[[#This Row],[Site Name]],LocationsKey[Site Name],LocationsKey[Town])</f>
        <v>#VALUE!</v>
      </c>
      <c r="J1015" t="str">
        <f>_xlfn.XLOOKUP(AllData[[#This Row],[Site Name]],LocationsKey[Site Name], LocationsKey[Waterway])</f>
        <v>Preston Bagot Canal</v>
      </c>
      <c r="K1015" t="s">
        <v>618</v>
      </c>
      <c r="L1015">
        <v>52.286999999999999</v>
      </c>
      <c r="M1015">
        <v>-1.746</v>
      </c>
      <c r="N1015" t="s">
        <v>25</v>
      </c>
      <c r="O1015">
        <v>629</v>
      </c>
      <c r="P1015">
        <v>19.5</v>
      </c>
      <c r="Q1015">
        <v>2</v>
      </c>
      <c r="R1015" s="107" t="str">
        <f>IF(AllData[[#This Row],[Nitrate (PPM)]]&gt;2, "Very high", IF(AllData[[#This Row],[Nitrate (PPM)]]&gt;1, "High", IF(AllData[[#This Row],[Nitrate (PPM)]]&gt;0.5, "Some evidence", IF(AllData[[#This Row],[Nitrate (PPM)]]&gt;=0, "No evidence"))))</f>
        <v>High</v>
      </c>
      <c r="S1015">
        <v>0.17</v>
      </c>
      <c r="T1015" s="7" t="str">
        <f>IF(AllData[[#This Row],[Phosphate (PPM)]]&gt;0.5, "Very high", IF(AllData[[#This Row],[Phosphate (PPM)]]&gt;0.1, "High", IF(AllData[[#This Row],[Phosphate (PPM)]]&gt;0.05, "Some evidence", IF(AllData[[#This Row],[Phosphate (PPM)]]&lt;=0.05, "No Evidence", ""))))</f>
        <v>High</v>
      </c>
      <c r="U1015">
        <v>1</v>
      </c>
      <c r="V1015" t="s">
        <v>1667</v>
      </c>
    </row>
    <row r="1016" spans="1:22" x14ac:dyDescent="0.35">
      <c r="A1016" t="s">
        <v>1986</v>
      </c>
      <c r="B1016" s="143">
        <v>45541</v>
      </c>
      <c r="C1016" s="2" t="str" cm="1">
        <f t="array" ref="C10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6">
        <f>YEAR(AllData[[#This Row],[Date]])</f>
        <v>2024</v>
      </c>
      <c r="E1016" s="1">
        <v>0.44444444444444442</v>
      </c>
      <c r="F1016" t="str">
        <f>IF(AND(AllData[[#This Row],[Time]]&lt;0.5, AllData[[#This Row],[Time]]&gt;0.17)=TRUE, "Morning", IF(AND(AllData[[#This Row],[Time]]&lt;0.75, AllData[[#This Row],[Time]]&gt;=0.5)=TRUE, "Afternoon", IF(AND(AllData[[#This Row],[Time]]&lt;1, AllData[[#This Row],[Time]]&gt;=0.75)=TRUE, "Evening", "Night")))</f>
        <v>Morning</v>
      </c>
      <c r="G1016" t="str">
        <f>_xlfn.XLOOKUP(AllData[[#This Row],[Location Name]], Locations[Location Name],Locations[Group As])</f>
        <v>Site 1  :  Middle Street</v>
      </c>
      <c r="H1016" t="e" vm="1">
        <f>_xlfn.XLOOKUP(AllData[[#This Row],[Site Name]],LocationsKey[Site Name],LocationsKey[District])</f>
        <v>#VALUE!</v>
      </c>
      <c r="I1016" t="e" vm="14">
        <f>_xlfn.XLOOKUP(AllData[[#This Row],[Site Name]],LocationsKey[Site Name],LocationsKey[Town])</f>
        <v>#VALUE!</v>
      </c>
      <c r="J1016" t="str">
        <f>_xlfn.XLOOKUP(AllData[[#This Row],[Site Name]],LocationsKey[Site Name], LocationsKey[Waterway])</f>
        <v>Fosseway Brook</v>
      </c>
      <c r="K1016" t="s">
        <v>678</v>
      </c>
      <c r="L1016">
        <v>52.090085000000002</v>
      </c>
      <c r="M1016">
        <v>-1.692593</v>
      </c>
      <c r="N1016" t="s">
        <v>68</v>
      </c>
      <c r="O1016">
        <v>612</v>
      </c>
      <c r="P1016">
        <v>18</v>
      </c>
      <c r="Q1016">
        <v>2</v>
      </c>
      <c r="R1016" s="107" t="str">
        <f>IF(AllData[[#This Row],[Nitrate (PPM)]]&gt;2, "Very high", IF(AllData[[#This Row],[Nitrate (PPM)]]&gt;1, "High", IF(AllData[[#This Row],[Nitrate (PPM)]]&gt;0.5, "Some evidence", IF(AllData[[#This Row],[Nitrate (PPM)]]&gt;=0, "No evidence"))))</f>
        <v>High</v>
      </c>
      <c r="S1016">
        <v>0.53</v>
      </c>
      <c r="T1016" s="7" t="str">
        <f>IF(AllData[[#This Row],[Phosphate (PPM)]]&gt;0.5, "Very high", IF(AllData[[#This Row],[Phosphate (PPM)]]&gt;0.1, "High", IF(AllData[[#This Row],[Phosphate (PPM)]]&gt;0.05, "Some evidence", IF(AllData[[#This Row],[Phosphate (PPM)]]&lt;=0.05, "No Evidence", ""))))</f>
        <v>Very high</v>
      </c>
      <c r="U1016">
        <v>0.05</v>
      </c>
      <c r="V1016" t="s">
        <v>1987</v>
      </c>
    </row>
    <row r="1017" spans="1:22" x14ac:dyDescent="0.35">
      <c r="A1017" t="s">
        <v>1985</v>
      </c>
      <c r="B1017" s="143">
        <v>45541</v>
      </c>
      <c r="C1017" s="2" t="str" cm="1">
        <f t="array" ref="C10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7">
        <f>YEAR(AllData[[#This Row],[Date]])</f>
        <v>2024</v>
      </c>
      <c r="E1017" s="1">
        <v>0.45833333333333331</v>
      </c>
      <c r="F1017" t="str">
        <f>IF(AND(AllData[[#This Row],[Time]]&lt;0.5, AllData[[#This Row],[Time]]&gt;0.17)=TRUE, "Morning", IF(AND(AllData[[#This Row],[Time]]&lt;0.75, AllData[[#This Row],[Time]]&gt;=0.5)=TRUE, "Afternoon", IF(AND(AllData[[#This Row],[Time]]&lt;1, AllData[[#This Row],[Time]]&gt;=0.75)=TRUE, "Evening", "Night")))</f>
        <v>Morning</v>
      </c>
      <c r="G1017" t="str">
        <f>_xlfn.XLOOKUP(AllData[[#This Row],[Location Name]], Locations[Location Name],Locations[Group As])</f>
        <v>Site 2  :  Cross Leys culvert</v>
      </c>
      <c r="H1017" t="e" vm="1">
        <f>_xlfn.XLOOKUP(AllData[[#This Row],[Site Name]],LocationsKey[Site Name],LocationsKey[District])</f>
        <v>#VALUE!</v>
      </c>
      <c r="I1017" t="e" vm="14">
        <f>_xlfn.XLOOKUP(AllData[[#This Row],[Site Name]],LocationsKey[Site Name],LocationsKey[Town])</f>
        <v>#VALUE!</v>
      </c>
      <c r="J1017" t="str">
        <f>_xlfn.XLOOKUP(AllData[[#This Row],[Site Name]],LocationsKey[Site Name], LocationsKey[Waterway])</f>
        <v>Fosseway Brook</v>
      </c>
      <c r="K1017" t="s">
        <v>1951</v>
      </c>
      <c r="L1017">
        <v>52.092967999999999</v>
      </c>
      <c r="M1017">
        <v>-1.6862710000000001</v>
      </c>
      <c r="N1017" t="s">
        <v>68</v>
      </c>
      <c r="O1017">
        <v>1010</v>
      </c>
      <c r="P1017">
        <v>17.600000000000001</v>
      </c>
      <c r="Q1017">
        <v>0</v>
      </c>
      <c r="R1017" s="107" t="str">
        <f>IF(AllData[[#This Row],[Nitrate (PPM)]]&gt;2, "Very high", IF(AllData[[#This Row],[Nitrate (PPM)]]&gt;1, "High", IF(AllData[[#This Row],[Nitrate (PPM)]]&gt;0.5, "Some evidence", IF(AllData[[#This Row],[Nitrate (PPM)]]&gt;=0, "No evidence"))))</f>
        <v>No evidence</v>
      </c>
      <c r="S1017">
        <v>0.84</v>
      </c>
      <c r="T1017" s="7" t="str">
        <f>IF(AllData[[#This Row],[Phosphate (PPM)]]&gt;0.5, "Very high", IF(AllData[[#This Row],[Phosphate (PPM)]]&gt;0.1, "High", IF(AllData[[#This Row],[Phosphate (PPM)]]&gt;0.05, "Some evidence", IF(AllData[[#This Row],[Phosphate (PPM)]]&lt;=0.05, "No Evidence", ""))))</f>
        <v>Very high</v>
      </c>
      <c r="U1017">
        <v>0.1</v>
      </c>
    </row>
    <row r="1018" spans="1:22" x14ac:dyDescent="0.35">
      <c r="A1018" t="s">
        <v>1983</v>
      </c>
      <c r="B1018" s="143">
        <v>45540</v>
      </c>
      <c r="C1018" s="2" t="str" cm="1">
        <f t="array" ref="C10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8">
        <f>YEAR(AllData[[#This Row],[Date]])</f>
        <v>2024</v>
      </c>
      <c r="E1018" s="1">
        <v>0.39583333333333331</v>
      </c>
      <c r="F1018" t="str">
        <f>IF(AND(AllData[[#This Row],[Time]]&lt;0.5, AllData[[#This Row],[Time]]&gt;0.17)=TRUE, "Morning", IF(AND(AllData[[#This Row],[Time]]&lt;0.75, AllData[[#This Row],[Time]]&gt;=0.5)=TRUE, "Afternoon", IF(AND(AllData[[#This Row],[Time]]&lt;1, AllData[[#This Row],[Time]]&gt;=0.75)=TRUE, "Evening", "Night")))</f>
        <v>Morning</v>
      </c>
      <c r="G1018" t="str">
        <f>_xlfn.XLOOKUP(AllData[[#This Row],[Location Name]], Locations[Location Name],Locations[Group As])</f>
        <v>Stour Willington</v>
      </c>
      <c r="H1018" t="e" vm="1">
        <f>_xlfn.XLOOKUP(AllData[[#This Row],[Site Name]],LocationsKey[Site Name],LocationsKey[District])</f>
        <v>#VALUE!</v>
      </c>
      <c r="I1018" t="str">
        <f>_xlfn.XLOOKUP(AllData[[#This Row],[Site Name]],LocationsKey[Site Name],LocationsKey[Town])</f>
        <v>Willington</v>
      </c>
      <c r="J1018" t="str">
        <f>_xlfn.XLOOKUP(AllData[[#This Row],[Site Name]],LocationsKey[Site Name], LocationsKey[Waterway])</f>
        <v>Stour</v>
      </c>
      <c r="K1018" t="s">
        <v>521</v>
      </c>
      <c r="L1018">
        <v>52.053452</v>
      </c>
      <c r="M1018">
        <v>-1.620366</v>
      </c>
      <c r="N1018" t="s">
        <v>25</v>
      </c>
      <c r="O1018">
        <v>637</v>
      </c>
      <c r="P1018">
        <v>14.8</v>
      </c>
      <c r="Q1018">
        <v>2</v>
      </c>
      <c r="R1018" s="107" t="str">
        <f>IF(AllData[[#This Row],[Nitrate (PPM)]]&gt;2, "Very high", IF(AllData[[#This Row],[Nitrate (PPM)]]&gt;1, "High", IF(AllData[[#This Row],[Nitrate (PPM)]]&gt;0.5, "Some evidence", IF(AllData[[#This Row],[Nitrate (PPM)]]&gt;=0, "No evidence"))))</f>
        <v>High</v>
      </c>
      <c r="S1018">
        <v>0.56000000000000005</v>
      </c>
      <c r="T1018" s="7" t="str">
        <f>IF(AllData[[#This Row],[Phosphate (PPM)]]&gt;0.5, "Very high", IF(AllData[[#This Row],[Phosphate (PPM)]]&gt;0.1, "High", IF(AllData[[#This Row],[Phosphate (PPM)]]&gt;0.05, "Some evidence", IF(AllData[[#This Row],[Phosphate (PPM)]]&lt;=0.05, "No Evidence", ""))))</f>
        <v>Very high</v>
      </c>
      <c r="U1018">
        <v>0.5</v>
      </c>
    </row>
    <row r="1019" spans="1:22" x14ac:dyDescent="0.35">
      <c r="A1019" t="s">
        <v>1978</v>
      </c>
      <c r="B1019" s="143">
        <v>45539</v>
      </c>
      <c r="C1019" s="2" t="str" cm="1">
        <f t="array" ref="C10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19">
        <f>YEAR(AllData[[#This Row],[Date]])</f>
        <v>2024</v>
      </c>
      <c r="E1019" s="1">
        <v>0.68194444444444446</v>
      </c>
      <c r="F1019" t="str">
        <f>IF(AND(AllData[[#This Row],[Time]]&lt;0.5, AllData[[#This Row],[Time]]&gt;0.17)=TRUE, "Morning", IF(AND(AllData[[#This Row],[Time]]&lt;0.75, AllData[[#This Row],[Time]]&gt;=0.5)=TRUE, "Afternoon", IF(AND(AllData[[#This Row],[Time]]&lt;1, AllData[[#This Row],[Time]]&gt;=0.75)=TRUE, "Evening", "Night")))</f>
        <v>Afternoon</v>
      </c>
      <c r="G1019" t="str">
        <f>_xlfn.XLOOKUP(AllData[[#This Row],[Location Name]], Locations[Location Name],Locations[Group As])</f>
        <v>Swiffen Bank</v>
      </c>
      <c r="H1019" t="e" vm="1">
        <f>_xlfn.XLOOKUP(AllData[[#This Row],[Site Name]],LocationsKey[Site Name],LocationsKey[District])</f>
        <v>#VALUE!</v>
      </c>
      <c r="I1019" t="e" vm="2">
        <f>_xlfn.XLOOKUP(AllData[[#This Row],[Site Name]],LocationsKey[Site Name],LocationsKey[Town])</f>
        <v>#VALUE!</v>
      </c>
      <c r="J1019" t="str">
        <f>_xlfn.XLOOKUP(AllData[[#This Row],[Site Name]],LocationsKey[Site Name], LocationsKey[Waterway])</f>
        <v>Avon</v>
      </c>
      <c r="K1019" t="s">
        <v>286</v>
      </c>
      <c r="L1019">
        <v>52.206477999999997</v>
      </c>
      <c r="M1019">
        <v>-1.653894</v>
      </c>
      <c r="N1019" t="s">
        <v>31</v>
      </c>
      <c r="O1019">
        <v>752</v>
      </c>
      <c r="P1019">
        <v>18.100000000000001</v>
      </c>
      <c r="Q1019">
        <v>20</v>
      </c>
      <c r="R1019" s="107" t="str">
        <f>IF(AllData[[#This Row],[Nitrate (PPM)]]&gt;2, "Very high", IF(AllData[[#This Row],[Nitrate (PPM)]]&gt;1, "High", IF(AllData[[#This Row],[Nitrate (PPM)]]&gt;0.5, "Some evidence", IF(AllData[[#This Row],[Nitrate (PPM)]]&gt;=0, "No evidence"))))</f>
        <v>Very high</v>
      </c>
      <c r="S1019">
        <v>0.57999999999999996</v>
      </c>
      <c r="T1019" s="7" t="str">
        <f>IF(AllData[[#This Row],[Phosphate (PPM)]]&gt;0.5, "Very high", IF(AllData[[#This Row],[Phosphate (PPM)]]&gt;0.1, "High", IF(AllData[[#This Row],[Phosphate (PPM)]]&gt;0.05, "Some evidence", IF(AllData[[#This Row],[Phosphate (PPM)]]&lt;=0.05, "No Evidence", ""))))</f>
        <v>Very high</v>
      </c>
      <c r="U1019">
        <v>-1</v>
      </c>
      <c r="V1019" t="s">
        <v>1979</v>
      </c>
    </row>
    <row r="1020" spans="1:22" x14ac:dyDescent="0.35">
      <c r="A1020" t="s">
        <v>1976</v>
      </c>
      <c r="B1020" s="143">
        <v>45539</v>
      </c>
      <c r="C1020" s="2" t="str" cm="1">
        <f t="array" ref="C10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0">
        <f>YEAR(AllData[[#This Row],[Date]])</f>
        <v>2024</v>
      </c>
      <c r="E1020" s="1">
        <v>0.68472222222222223</v>
      </c>
      <c r="F1020" t="str">
        <f>IF(AND(AllData[[#This Row],[Time]]&lt;0.5, AllData[[#This Row],[Time]]&gt;0.17)=TRUE, "Morning", IF(AND(AllData[[#This Row],[Time]]&lt;0.75, AllData[[#This Row],[Time]]&gt;=0.5)=TRUE, "Afternoon", IF(AND(AllData[[#This Row],[Time]]&lt;1, AllData[[#This Row],[Time]]&gt;=0.75)=TRUE, "Evening", "Night")))</f>
        <v>Afternoon</v>
      </c>
      <c r="G1020" t="str">
        <f>_xlfn.XLOOKUP(AllData[[#This Row],[Location Name]], Locations[Location Name],Locations[Group As])</f>
        <v>Alveston Weir</v>
      </c>
      <c r="H1020" t="e" vm="1">
        <f>_xlfn.XLOOKUP(AllData[[#This Row],[Site Name]],LocationsKey[Site Name],LocationsKey[District])</f>
        <v>#VALUE!</v>
      </c>
      <c r="I1020" t="e" vm="2">
        <f>_xlfn.XLOOKUP(AllData[[#This Row],[Site Name]],LocationsKey[Site Name],LocationsKey[Town])</f>
        <v>#VALUE!</v>
      </c>
      <c r="J1020" t="str">
        <f>_xlfn.XLOOKUP(AllData[[#This Row],[Site Name]],LocationsKey[Site Name], LocationsKey[Waterway])</f>
        <v>Avon</v>
      </c>
      <c r="K1020" t="s">
        <v>288</v>
      </c>
      <c r="L1020">
        <v>52.212288999999998</v>
      </c>
      <c r="M1020">
        <v>-1.660452</v>
      </c>
      <c r="N1020" t="s">
        <v>31</v>
      </c>
      <c r="O1020">
        <v>18.399999999999999</v>
      </c>
      <c r="P1020">
        <v>18.399999999999999</v>
      </c>
      <c r="Q1020">
        <v>20</v>
      </c>
      <c r="R1020" s="107" t="str">
        <f>IF(AllData[[#This Row],[Nitrate (PPM)]]&gt;2, "Very high", IF(AllData[[#This Row],[Nitrate (PPM)]]&gt;1, "High", IF(AllData[[#This Row],[Nitrate (PPM)]]&gt;0.5, "Some evidence", IF(AllData[[#This Row],[Nitrate (PPM)]]&gt;=0, "No evidence"))))</f>
        <v>Very high</v>
      </c>
      <c r="S1020">
        <v>0.47</v>
      </c>
      <c r="T1020" s="7" t="str">
        <f>IF(AllData[[#This Row],[Phosphate (PPM)]]&gt;0.5, "Very high", IF(AllData[[#This Row],[Phosphate (PPM)]]&gt;0.1, "High", IF(AllData[[#This Row],[Phosphate (PPM)]]&gt;0.05, "Some evidence", IF(AllData[[#This Row],[Phosphate (PPM)]]&lt;=0.05, "No Evidence", ""))))</f>
        <v>High</v>
      </c>
      <c r="U1020">
        <v>-0.8</v>
      </c>
      <c r="V1020" t="s">
        <v>1977</v>
      </c>
    </row>
    <row r="1021" spans="1:22" x14ac:dyDescent="0.35">
      <c r="A1021" t="s">
        <v>1981</v>
      </c>
      <c r="B1021" s="143">
        <v>45539</v>
      </c>
      <c r="C1021" s="2" t="str" cm="1">
        <f t="array" ref="C10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1">
        <f>YEAR(AllData[[#This Row],[Date]])</f>
        <v>2024</v>
      </c>
      <c r="E1021" s="1">
        <v>0.39930555555555558</v>
      </c>
      <c r="F1021" t="str">
        <f>IF(AND(AllData[[#This Row],[Time]]&lt;0.5, AllData[[#This Row],[Time]]&gt;0.17)=TRUE, "Morning", IF(AND(AllData[[#This Row],[Time]]&lt;0.75, AllData[[#This Row],[Time]]&gt;=0.5)=TRUE, "Afternoon", IF(AND(AllData[[#This Row],[Time]]&lt;1, AllData[[#This Row],[Time]]&gt;=0.75)=TRUE, "Evening", "Night")))</f>
        <v>Morning</v>
      </c>
      <c r="G1021" t="str">
        <f>_xlfn.XLOOKUP(AllData[[#This Row],[Location Name]], Locations[Location Name],Locations[Group As])</f>
        <v>Black Bear</v>
      </c>
      <c r="H1021" t="e" vm="4">
        <f>_xlfn.XLOOKUP(AllData[[#This Row],[Site Name]],LocationsKey[Site Name],LocationsKey[District])</f>
        <v>#VALUE!</v>
      </c>
      <c r="I1021" t="e" vm="4">
        <f>_xlfn.XLOOKUP(AllData[[#This Row],[Site Name]],LocationsKey[Site Name],LocationsKey[Town])</f>
        <v>#VALUE!</v>
      </c>
      <c r="J1021" t="str">
        <f>_xlfn.XLOOKUP(AllData[[#This Row],[Site Name]],LocationsKey[Site Name], LocationsKey[Waterway])</f>
        <v>Avon</v>
      </c>
      <c r="K1021" t="s">
        <v>1175</v>
      </c>
      <c r="L1021">
        <v>51.997388000000001</v>
      </c>
      <c r="M1021">
        <v>-2.1560510000000002</v>
      </c>
      <c r="N1021" t="s">
        <v>25</v>
      </c>
      <c r="O1021">
        <v>104</v>
      </c>
      <c r="P1021">
        <v>18.5</v>
      </c>
      <c r="Q1021">
        <v>15</v>
      </c>
      <c r="R1021" s="107" t="str">
        <f>IF(AllData[[#This Row],[Nitrate (PPM)]]&gt;2, "Very high", IF(AllData[[#This Row],[Nitrate (PPM)]]&gt;1, "High", IF(AllData[[#This Row],[Nitrate (PPM)]]&gt;0.5, "Some evidence", IF(AllData[[#This Row],[Nitrate (PPM)]]&gt;=0, "No evidence"))))</f>
        <v>Very high</v>
      </c>
      <c r="S1021">
        <v>0.89</v>
      </c>
      <c r="T1021" s="7" t="str">
        <f>IF(AllData[[#This Row],[Phosphate (PPM)]]&gt;0.5, "Very high", IF(AllData[[#This Row],[Phosphate (PPM)]]&gt;0.1, "High", IF(AllData[[#This Row],[Phosphate (PPM)]]&gt;0.05, "Some evidence", IF(AllData[[#This Row],[Phosphate (PPM)]]&lt;=0.05, "No Evidence", ""))))</f>
        <v>Very high</v>
      </c>
      <c r="U1021">
        <v>0</v>
      </c>
    </row>
    <row r="1022" spans="1:22" x14ac:dyDescent="0.35">
      <c r="A1022" t="s">
        <v>1982</v>
      </c>
      <c r="B1022" s="143">
        <v>45539</v>
      </c>
      <c r="C1022" s="2" t="str" cm="1">
        <f t="array" ref="C10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2">
        <f>YEAR(AllData[[#This Row],[Date]])</f>
        <v>2024</v>
      </c>
      <c r="E1022" s="1">
        <v>0.37916666666666665</v>
      </c>
      <c r="F1022" t="str">
        <f>IF(AND(AllData[[#This Row],[Time]]&lt;0.5, AllData[[#This Row],[Time]]&gt;0.17)=TRUE, "Morning", IF(AND(AllData[[#This Row],[Time]]&lt;0.75, AllData[[#This Row],[Time]]&gt;=0.5)=TRUE, "Afternoon", IF(AND(AllData[[#This Row],[Time]]&lt;1, AllData[[#This Row],[Time]]&gt;=0.75)=TRUE, "Evening", "Night")))</f>
        <v>Morning</v>
      </c>
      <c r="G1022" t="str">
        <f>_xlfn.XLOOKUP(AllData[[#This Row],[Location Name]], Locations[Location Name],Locations[Group As])</f>
        <v>Carrant Mitton Path</v>
      </c>
      <c r="H1022" t="e" vm="4">
        <f>_xlfn.XLOOKUP(AllData[[#This Row],[Site Name]],LocationsKey[Site Name],LocationsKey[District])</f>
        <v>#VALUE!</v>
      </c>
      <c r="I1022" t="e" vm="4">
        <f>_xlfn.XLOOKUP(AllData[[#This Row],[Site Name]],LocationsKey[Site Name],LocationsKey[Town])</f>
        <v>#VALUE!</v>
      </c>
      <c r="J1022" t="str">
        <f>_xlfn.XLOOKUP(AllData[[#This Row],[Site Name]],LocationsKey[Site Name], LocationsKey[Waterway])</f>
        <v>Carrant</v>
      </c>
      <c r="K1022" t="s">
        <v>1064</v>
      </c>
      <c r="L1022">
        <v>51.999769000000001</v>
      </c>
      <c r="M1022">
        <v>-2.1409509999999998</v>
      </c>
      <c r="N1022" t="s">
        <v>25</v>
      </c>
      <c r="O1022">
        <v>629</v>
      </c>
      <c r="P1022">
        <v>16.5</v>
      </c>
      <c r="Q1022">
        <v>8</v>
      </c>
      <c r="R1022" s="107" t="str">
        <f>IF(AllData[[#This Row],[Nitrate (PPM)]]&gt;2, "Very high", IF(AllData[[#This Row],[Nitrate (PPM)]]&gt;1, "High", IF(AllData[[#This Row],[Nitrate (PPM)]]&gt;0.5, "Some evidence", IF(AllData[[#This Row],[Nitrate (PPM)]]&gt;=0, "No evidence"))))</f>
        <v>Very high</v>
      </c>
      <c r="S1022">
        <v>0.91</v>
      </c>
      <c r="T1022" s="7" t="str">
        <f>IF(AllData[[#This Row],[Phosphate (PPM)]]&gt;0.5, "Very high", IF(AllData[[#This Row],[Phosphate (PPM)]]&gt;0.1, "High", IF(AllData[[#This Row],[Phosphate (PPM)]]&gt;0.05, "Some evidence", IF(AllData[[#This Row],[Phosphate (PPM)]]&lt;=0.05, "No Evidence", ""))))</f>
        <v>Very high</v>
      </c>
      <c r="U1022">
        <v>0</v>
      </c>
    </row>
    <row r="1023" spans="1:22" x14ac:dyDescent="0.35">
      <c r="A1023" t="s">
        <v>1974</v>
      </c>
      <c r="B1023" s="143">
        <v>45539</v>
      </c>
      <c r="C1023" s="2" t="str" cm="1">
        <f t="array" ref="C10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3">
        <f>YEAR(AllData[[#This Row],[Date]])</f>
        <v>2024</v>
      </c>
      <c r="E1023" s="1">
        <v>0.69444444444444442</v>
      </c>
      <c r="F1023" t="str">
        <f>IF(AND(AllData[[#This Row],[Time]]&lt;0.5, AllData[[#This Row],[Time]]&gt;0.17)=TRUE, "Morning", IF(AND(AllData[[#This Row],[Time]]&lt;0.75, AllData[[#This Row],[Time]]&gt;=0.5)=TRUE, "Afternoon", IF(AND(AllData[[#This Row],[Time]]&lt;1, AllData[[#This Row],[Time]]&gt;=0.75)=TRUE, "Evening", "Night")))</f>
        <v>Afternoon</v>
      </c>
      <c r="G1023" t="str">
        <f>_xlfn.XLOOKUP(AllData[[#This Row],[Location Name]], Locations[Location Name],Locations[Group As])</f>
        <v>Stour Whichford</v>
      </c>
      <c r="H1023" t="e" vm="1">
        <f>_xlfn.XLOOKUP(AllData[[#This Row],[Site Name]],LocationsKey[Site Name],LocationsKey[District])</f>
        <v>#VALUE!</v>
      </c>
      <c r="I1023" t="e" vm="24">
        <f>_xlfn.XLOOKUP(AllData[[#This Row],[Site Name]],LocationsKey[Site Name],LocationsKey[Town])</f>
        <v>#VALUE!</v>
      </c>
      <c r="J1023" t="str">
        <f>_xlfn.XLOOKUP(AllData[[#This Row],[Site Name]],LocationsKey[Site Name], LocationsKey[Waterway])</f>
        <v>Stour</v>
      </c>
      <c r="K1023" t="s">
        <v>1975</v>
      </c>
      <c r="N1023" t="s">
        <v>31</v>
      </c>
      <c r="O1023">
        <v>756</v>
      </c>
      <c r="P1023">
        <v>14.8</v>
      </c>
      <c r="Q1023">
        <v>2</v>
      </c>
      <c r="R1023" s="107" t="str">
        <f>IF(AllData[[#This Row],[Nitrate (PPM)]]&gt;2, "Very high", IF(AllData[[#This Row],[Nitrate (PPM)]]&gt;1, "High", IF(AllData[[#This Row],[Nitrate (PPM)]]&gt;0.5, "Some evidence", IF(AllData[[#This Row],[Nitrate (PPM)]]&gt;=0, "No evidence"))))</f>
        <v>High</v>
      </c>
      <c r="S1023">
        <v>0.77</v>
      </c>
      <c r="T1023" s="7" t="str">
        <f>IF(AllData[[#This Row],[Phosphate (PPM)]]&gt;0.5, "Very high", IF(AllData[[#This Row],[Phosphate (PPM)]]&gt;0.1, "High", IF(AllData[[#This Row],[Phosphate (PPM)]]&gt;0.05, "Some evidence", IF(AllData[[#This Row],[Phosphate (PPM)]]&lt;=0.05, "No Evidence", ""))))</f>
        <v>Very high</v>
      </c>
      <c r="U1023">
        <v>5</v>
      </c>
    </row>
    <row r="1024" spans="1:22" x14ac:dyDescent="0.35">
      <c r="A1024" t="s">
        <v>1980</v>
      </c>
      <c r="B1024" s="143">
        <v>45539</v>
      </c>
      <c r="C1024" s="2" t="str" cm="1">
        <f t="array" ref="C10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4">
        <f>YEAR(AllData[[#This Row],[Date]])</f>
        <v>2024</v>
      </c>
      <c r="E1024" s="1">
        <v>0.66666666666666663</v>
      </c>
      <c r="F1024" t="str">
        <f>IF(AND(AllData[[#This Row],[Time]]&lt;0.5, AllData[[#This Row],[Time]]&gt;0.17)=TRUE, "Morning", IF(AND(AllData[[#This Row],[Time]]&lt;0.75, AllData[[#This Row],[Time]]&gt;=0.5)=TRUE, "Afternoon", IF(AND(AllData[[#This Row],[Time]]&lt;1, AllData[[#This Row],[Time]]&gt;=0.75)=TRUE, "Evening", "Night")))</f>
        <v>Afternoon</v>
      </c>
      <c r="G1024" t="str">
        <f>_xlfn.XLOOKUP(AllData[[#This Row],[Location Name]], Locations[Location Name],Locations[Group As])</f>
        <v>Stour Newbold Mill</v>
      </c>
      <c r="H1024" t="e" vm="1">
        <f>_xlfn.XLOOKUP(AllData[[#This Row],[Site Name]],LocationsKey[Site Name],LocationsKey[District])</f>
        <v>#VALUE!</v>
      </c>
      <c r="I1024" t="e" vm="27">
        <f>_xlfn.XLOOKUP(AllData[[#This Row],[Site Name]],LocationsKey[Site Name],LocationsKey[Town])</f>
        <v>#VALUE!</v>
      </c>
      <c r="J1024" t="str">
        <f>_xlfn.XLOOKUP(AllData[[#This Row],[Site Name]],LocationsKey[Site Name], LocationsKey[Waterway])</f>
        <v>Stour</v>
      </c>
      <c r="K1024" t="s">
        <v>141</v>
      </c>
      <c r="N1024" t="s">
        <v>31</v>
      </c>
      <c r="O1024">
        <v>692</v>
      </c>
      <c r="P1024">
        <v>17.3</v>
      </c>
      <c r="Q1024">
        <v>2</v>
      </c>
      <c r="R1024" s="107" t="str">
        <f>IF(AllData[[#This Row],[Nitrate (PPM)]]&gt;2, "Very high", IF(AllData[[#This Row],[Nitrate (PPM)]]&gt;1, "High", IF(AllData[[#This Row],[Nitrate (PPM)]]&gt;0.5, "Some evidence", IF(AllData[[#This Row],[Nitrate (PPM)]]&gt;=0, "No evidence"))))</f>
        <v>High</v>
      </c>
      <c r="S1024">
        <v>0.63</v>
      </c>
      <c r="T1024" s="7" t="str">
        <f>IF(AllData[[#This Row],[Phosphate (PPM)]]&gt;0.5, "Very high", IF(AllData[[#This Row],[Phosphate (PPM)]]&gt;0.1, "High", IF(AllData[[#This Row],[Phosphate (PPM)]]&gt;0.05, "Some evidence", IF(AllData[[#This Row],[Phosphate (PPM)]]&lt;=0.05, "No Evidence", ""))))</f>
        <v>Very high</v>
      </c>
      <c r="U1024">
        <v>1.5</v>
      </c>
      <c r="V1024" t="s">
        <v>1248</v>
      </c>
    </row>
    <row r="1025" spans="1:22" x14ac:dyDescent="0.35">
      <c r="A1025" t="s">
        <v>1973</v>
      </c>
      <c r="B1025" s="143">
        <v>45539</v>
      </c>
      <c r="C1025" s="2" t="str" cm="1">
        <f t="array" ref="C10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5">
        <f>YEAR(AllData[[#This Row],[Date]])</f>
        <v>2024</v>
      </c>
      <c r="E1025" s="1">
        <v>0.65625</v>
      </c>
      <c r="F1025" t="str">
        <f>IF(AND(AllData[[#This Row],[Time]]&lt;0.5, AllData[[#This Row],[Time]]&gt;0.17)=TRUE, "Morning", IF(AND(AllData[[#This Row],[Time]]&lt;0.75, AllData[[#This Row],[Time]]&gt;=0.5)=TRUE, "Afternoon", IF(AND(AllData[[#This Row],[Time]]&lt;1, AllData[[#This Row],[Time]]&gt;=0.75)=TRUE, "Evening", "Night")))</f>
        <v>Afternoon</v>
      </c>
      <c r="G1025" t="str">
        <f>_xlfn.XLOOKUP(AllData[[#This Row],[Location Name]], Locations[Location Name],Locations[Group As])</f>
        <v>Stour Ascott Village</v>
      </c>
      <c r="H1025" t="e" vm="1">
        <f>_xlfn.XLOOKUP(AllData[[#This Row],[Site Name]],LocationsKey[Site Name],LocationsKey[District])</f>
        <v>#VALUE!</v>
      </c>
      <c r="I1025" t="e" vm="25">
        <f>_xlfn.XLOOKUP(AllData[[#This Row],[Site Name]],LocationsKey[Site Name],LocationsKey[Town])</f>
        <v>#VALUE!</v>
      </c>
      <c r="J1025" t="str">
        <f>_xlfn.XLOOKUP(AllData[[#This Row],[Site Name]],LocationsKey[Site Name], LocationsKey[Waterway])</f>
        <v>Stour</v>
      </c>
      <c r="K1025" t="s">
        <v>927</v>
      </c>
      <c r="N1025" t="s">
        <v>68</v>
      </c>
      <c r="O1025">
        <v>523</v>
      </c>
      <c r="P1025">
        <v>16.5</v>
      </c>
      <c r="Q1025">
        <v>1</v>
      </c>
      <c r="R1025" s="107" t="str">
        <f>IF(AllData[[#This Row],[Nitrate (PPM)]]&gt;2, "Very high", IF(AllData[[#This Row],[Nitrate (PPM)]]&gt;1, "High", IF(AllData[[#This Row],[Nitrate (PPM)]]&gt;0.5, "Some evidence", IF(AllData[[#This Row],[Nitrate (PPM)]]&gt;=0, "No evidence"))))</f>
        <v>Some evidence</v>
      </c>
      <c r="S1025">
        <v>0.54</v>
      </c>
      <c r="T1025" s="7" t="str">
        <f>IF(AllData[[#This Row],[Phosphate (PPM)]]&gt;0.5, "Very high", IF(AllData[[#This Row],[Phosphate (PPM)]]&gt;0.1, "High", IF(AllData[[#This Row],[Phosphate (PPM)]]&gt;0.05, "Some evidence", IF(AllData[[#This Row],[Phosphate (PPM)]]&lt;=0.05, "No Evidence", ""))))</f>
        <v>Very high</v>
      </c>
      <c r="U1025">
        <v>2</v>
      </c>
    </row>
    <row r="1026" spans="1:22" x14ac:dyDescent="0.35">
      <c r="A1026" t="s">
        <v>1971</v>
      </c>
      <c r="B1026" s="143">
        <v>45538</v>
      </c>
      <c r="C1026" s="2" t="str" cm="1">
        <f t="array" ref="C10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6">
        <f>YEAR(AllData[[#This Row],[Date]])</f>
        <v>2024</v>
      </c>
      <c r="E1026" s="1">
        <v>0.55972222222222223</v>
      </c>
      <c r="F1026" t="str">
        <f>IF(AND(AllData[[#This Row],[Time]]&lt;0.5, AllData[[#This Row],[Time]]&gt;0.17)=TRUE, "Morning", IF(AND(AllData[[#This Row],[Time]]&lt;0.75, AllData[[#This Row],[Time]]&gt;=0.5)=TRUE, "Afternoon", IF(AND(AllData[[#This Row],[Time]]&lt;1, AllData[[#This Row],[Time]]&gt;=0.75)=TRUE, "Evening", "Night")))</f>
        <v>Afternoon</v>
      </c>
      <c r="G1026" t="str">
        <f>_xlfn.XLOOKUP(AllData[[#This Row],[Location Name]], Locations[Location Name],Locations[Group As])</f>
        <v>Walcot Lane, Bow Brook Ford</v>
      </c>
      <c r="H1026" t="e" vm="6">
        <f>_xlfn.XLOOKUP(AllData[[#This Row],[Site Name]],LocationsKey[Site Name],LocationsKey[District])</f>
        <v>#VALUE!</v>
      </c>
      <c r="I1026" t="e" vm="7">
        <f>_xlfn.XLOOKUP(AllData[[#This Row],[Site Name]],LocationsKey[Site Name],LocationsKey[Town])</f>
        <v>#VALUE!</v>
      </c>
      <c r="J1026" t="str">
        <f>_xlfn.XLOOKUP(AllData[[#This Row],[Site Name]],LocationsKey[Site Name], LocationsKey[Waterway])</f>
        <v>Bow Brook</v>
      </c>
      <c r="K1026" t="s">
        <v>775</v>
      </c>
      <c r="L1026">
        <v>52.130476000000002</v>
      </c>
      <c r="M1026">
        <v>-2.078576</v>
      </c>
      <c r="N1026" t="s">
        <v>25</v>
      </c>
      <c r="O1026">
        <v>1190</v>
      </c>
      <c r="P1026">
        <v>17.2</v>
      </c>
      <c r="Q1026">
        <v>5</v>
      </c>
      <c r="R1026" s="107" t="str">
        <f>IF(AllData[[#This Row],[Nitrate (PPM)]]&gt;2, "Very high", IF(AllData[[#This Row],[Nitrate (PPM)]]&gt;1, "High", IF(AllData[[#This Row],[Nitrate (PPM)]]&gt;0.5, "Some evidence", IF(AllData[[#This Row],[Nitrate (PPM)]]&gt;=0, "No evidence"))))</f>
        <v>Very high</v>
      </c>
      <c r="S1026">
        <v>1.33</v>
      </c>
      <c r="T1026" s="7" t="str">
        <f>IF(AllData[[#This Row],[Phosphate (PPM)]]&gt;0.5, "Very high", IF(AllData[[#This Row],[Phosphate (PPM)]]&gt;0.1, "High", IF(AllData[[#This Row],[Phosphate (PPM)]]&gt;0.05, "Some evidence", IF(AllData[[#This Row],[Phosphate (PPM)]]&lt;=0.05, "No Evidence", ""))))</f>
        <v>Very high</v>
      </c>
      <c r="U1026">
        <v>0.2</v>
      </c>
      <c r="V1026" t="s">
        <v>1972</v>
      </c>
    </row>
    <row r="1027" spans="1:22" x14ac:dyDescent="0.35">
      <c r="A1027" t="s">
        <v>1970</v>
      </c>
      <c r="B1027" s="143">
        <v>45538</v>
      </c>
      <c r="C1027" s="2" t="str" cm="1">
        <f t="array" ref="C10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7">
        <f>YEAR(AllData[[#This Row],[Date]])</f>
        <v>2024</v>
      </c>
      <c r="E1027" s="1">
        <v>0.33333333333333331</v>
      </c>
      <c r="F1027" t="str">
        <f>IF(AND(AllData[[#This Row],[Time]]&lt;0.5, AllData[[#This Row],[Time]]&gt;0.17)=TRUE, "Morning", IF(AND(AllData[[#This Row],[Time]]&lt;0.75, AllData[[#This Row],[Time]]&gt;=0.5)=TRUE, "Afternoon", IF(AND(AllData[[#This Row],[Time]]&lt;1, AllData[[#This Row],[Time]]&gt;=0.75)=TRUE, "Evening", "Night")))</f>
        <v>Morning</v>
      </c>
      <c r="G1027" t="str">
        <f>_xlfn.XLOOKUP(AllData[[#This Row],[Location Name]], Locations[Location Name],Locations[Group As])</f>
        <v>Carrant M5 Bridge</v>
      </c>
      <c r="H1027" t="e" vm="4">
        <f>_xlfn.XLOOKUP(AllData[[#This Row],[Site Name]],LocationsKey[Site Name],LocationsKey[District])</f>
        <v>#VALUE!</v>
      </c>
      <c r="I1027" t="e" vm="4">
        <f>_xlfn.XLOOKUP(AllData[[#This Row],[Site Name]],LocationsKey[Site Name],LocationsKey[Town])</f>
        <v>#VALUE!</v>
      </c>
      <c r="J1027" t="str">
        <f>_xlfn.XLOOKUP(AllData[[#This Row],[Site Name]],LocationsKey[Site Name], LocationsKey[Waterway])</f>
        <v>Carrant</v>
      </c>
      <c r="K1027" t="s">
        <v>1066</v>
      </c>
      <c r="N1027" t="s">
        <v>25</v>
      </c>
      <c r="O1027">
        <v>798</v>
      </c>
      <c r="P1027">
        <v>19.5</v>
      </c>
      <c r="Q1027">
        <v>5</v>
      </c>
      <c r="R1027" s="107" t="str">
        <f>IF(AllData[[#This Row],[Nitrate (PPM)]]&gt;2, "Very high", IF(AllData[[#This Row],[Nitrate (PPM)]]&gt;1, "High", IF(AllData[[#This Row],[Nitrate (PPM)]]&gt;0.5, "Some evidence", IF(AllData[[#This Row],[Nitrate (PPM)]]&gt;=0, "No evidence"))))</f>
        <v>Very high</v>
      </c>
      <c r="S1027">
        <v>0.89</v>
      </c>
      <c r="T1027" s="7" t="str">
        <f>IF(AllData[[#This Row],[Phosphate (PPM)]]&gt;0.5, "Very high", IF(AllData[[#This Row],[Phosphate (PPM)]]&gt;0.1, "High", IF(AllData[[#This Row],[Phosphate (PPM)]]&gt;0.05, "Some evidence", IF(AllData[[#This Row],[Phosphate (PPM)]]&lt;=0.05, "No Evidence", ""))))</f>
        <v>Very high</v>
      </c>
      <c r="U1027">
        <v>0</v>
      </c>
    </row>
    <row r="1028" spans="1:22" x14ac:dyDescent="0.35">
      <c r="A1028" t="s">
        <v>1967</v>
      </c>
      <c r="B1028" s="143">
        <v>45537</v>
      </c>
      <c r="C1028" s="2" t="str" cm="1">
        <f t="array" ref="C10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8">
        <f>YEAR(AllData[[#This Row],[Date]])</f>
        <v>2024</v>
      </c>
      <c r="E1028" s="1">
        <v>0.70833333333333337</v>
      </c>
      <c r="F1028" t="str">
        <f>IF(AND(AllData[[#This Row],[Time]]&lt;0.5, AllData[[#This Row],[Time]]&gt;0.17)=TRUE, "Morning", IF(AND(AllData[[#This Row],[Time]]&lt;0.75, AllData[[#This Row],[Time]]&gt;=0.5)=TRUE, "Afternoon", IF(AND(AllData[[#This Row],[Time]]&lt;1, AllData[[#This Row],[Time]]&gt;=0.75)=TRUE, "Evening", "Night")))</f>
        <v>Afternoon</v>
      </c>
      <c r="G1028" t="str">
        <f>_xlfn.XLOOKUP(AllData[[#This Row],[Location Name]], Locations[Location Name],Locations[Group As])</f>
        <v>Fell Mill Footbridge</v>
      </c>
      <c r="H1028" t="e" vm="1">
        <f>_xlfn.XLOOKUP(AllData[[#This Row],[Site Name]],LocationsKey[Site Name],LocationsKey[District])</f>
        <v>#VALUE!</v>
      </c>
      <c r="I1028" t="e" vm="15">
        <f>_xlfn.XLOOKUP(AllData[[#This Row],[Site Name]],LocationsKey[Site Name],LocationsKey[Town])</f>
        <v>#VALUE!</v>
      </c>
      <c r="J1028" t="str">
        <f>_xlfn.XLOOKUP(AllData[[#This Row],[Site Name]],LocationsKey[Site Name], LocationsKey[Waterway])</f>
        <v>Stour</v>
      </c>
      <c r="K1028" t="s">
        <v>1968</v>
      </c>
      <c r="L1028">
        <v>52.070086000000003</v>
      </c>
      <c r="M1028">
        <v>-1.61145</v>
      </c>
      <c r="N1028" t="s">
        <v>31</v>
      </c>
      <c r="O1028">
        <v>655</v>
      </c>
      <c r="P1028">
        <v>18.5</v>
      </c>
      <c r="Q1028">
        <v>5</v>
      </c>
      <c r="R1028" s="107" t="str">
        <f>IF(AllData[[#This Row],[Nitrate (PPM)]]&gt;2, "Very high", IF(AllData[[#This Row],[Nitrate (PPM)]]&gt;1, "High", IF(AllData[[#This Row],[Nitrate (PPM)]]&gt;0.5, "Some evidence", IF(AllData[[#This Row],[Nitrate (PPM)]]&gt;=0, "No evidence"))))</f>
        <v>Very high</v>
      </c>
      <c r="S1028" s="4">
        <v>0.49</v>
      </c>
      <c r="T1028" s="7" t="str">
        <f>IF(AllData[[#This Row],[Phosphate (PPM)]]&gt;0.5, "Very high", IF(AllData[[#This Row],[Phosphate (PPM)]]&gt;0.1, "High", IF(AllData[[#This Row],[Phosphate (PPM)]]&gt;0.05, "Some evidence", IF(AllData[[#This Row],[Phosphate (PPM)]]&lt;=0.05, "No Evidence", ""))))</f>
        <v>High</v>
      </c>
      <c r="U1028">
        <v>0.9</v>
      </c>
      <c r="V1028" t="s">
        <v>1969</v>
      </c>
    </row>
    <row r="1029" spans="1:22" x14ac:dyDescent="0.35">
      <c r="A1029" t="s">
        <v>1963</v>
      </c>
      <c r="B1029" s="143">
        <v>45537</v>
      </c>
      <c r="C1029" s="2" t="str" cm="1">
        <f t="array" ref="C10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29">
        <f>YEAR(AllData[[#This Row],[Date]])</f>
        <v>2024</v>
      </c>
      <c r="E1029" s="1">
        <v>0.28819444444444442</v>
      </c>
      <c r="F1029" t="str">
        <f>IF(AND(AllData[[#This Row],[Time]]&lt;0.5, AllData[[#This Row],[Time]]&gt;0.17)=TRUE, "Morning", IF(AND(AllData[[#This Row],[Time]]&lt;0.75, AllData[[#This Row],[Time]]&gt;=0.5)=TRUE, "Afternoon", IF(AND(AllData[[#This Row],[Time]]&lt;1, AllData[[#This Row],[Time]]&gt;=0.75)=TRUE, "Evening", "Night")))</f>
        <v>Morning</v>
      </c>
      <c r="G1029" t="str">
        <f>_xlfn.XLOOKUP(AllData[[#This Row],[Location Name]], Locations[Location Name],Locations[Group As])</f>
        <v>Chipping Campden Lady J Gateway</v>
      </c>
      <c r="H1029" t="e" vm="9">
        <f>_xlfn.XLOOKUP(AllData[[#This Row],[Site Name]],LocationsKey[Site Name],LocationsKey[District])</f>
        <v>#VALUE!</v>
      </c>
      <c r="I1029" t="e" vm="10">
        <f>_xlfn.XLOOKUP(AllData[[#This Row],[Site Name]],LocationsKey[Site Name],LocationsKey[Town])</f>
        <v>#VALUE!</v>
      </c>
      <c r="J1029" t="str">
        <f>_xlfn.XLOOKUP(AllData[[#This Row],[Site Name]],LocationsKey[Site Name], LocationsKey[Waterway])</f>
        <v>Cam Brook</v>
      </c>
      <c r="K1029" t="s">
        <v>1573</v>
      </c>
      <c r="N1029" t="s">
        <v>68</v>
      </c>
      <c r="O1029">
        <v>507</v>
      </c>
      <c r="P1029">
        <v>17.600000000000001</v>
      </c>
      <c r="Q1029">
        <v>5</v>
      </c>
      <c r="R1029" s="107" t="str">
        <f>IF(AllData[[#This Row],[Nitrate (PPM)]]&gt;2, "Very high", IF(AllData[[#This Row],[Nitrate (PPM)]]&gt;1, "High", IF(AllData[[#This Row],[Nitrate (PPM)]]&gt;0.5, "Some evidence", IF(AllData[[#This Row],[Nitrate (PPM)]]&gt;=0, "No evidence"))))</f>
        <v>Very high</v>
      </c>
      <c r="S1029" s="4">
        <v>0.14000000000000001</v>
      </c>
      <c r="T1029" s="7" t="str">
        <f>IF(AllData[[#This Row],[Phosphate (PPM)]]&gt;0.5, "Very high", IF(AllData[[#This Row],[Phosphate (PPM)]]&gt;0.1, "High", IF(AllData[[#This Row],[Phosphate (PPM)]]&gt;0.05, "Some evidence", IF(AllData[[#This Row],[Phosphate (PPM)]]&lt;=0.05, "No Evidence", ""))))</f>
        <v>High</v>
      </c>
      <c r="U1029">
        <v>7.0000000000000007E-2</v>
      </c>
    </row>
    <row r="1030" spans="1:22" x14ac:dyDescent="0.35">
      <c r="A1030" t="s">
        <v>1966</v>
      </c>
      <c r="B1030" s="143">
        <v>45537</v>
      </c>
      <c r="C1030" s="2" t="str" cm="1">
        <f t="array" ref="C10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0">
        <f>YEAR(AllData[[#This Row],[Date]])</f>
        <v>2024</v>
      </c>
      <c r="E1030" s="1">
        <v>0.45833333333333331</v>
      </c>
      <c r="F1030" t="str">
        <f>IF(AND(AllData[[#This Row],[Time]]&lt;0.5, AllData[[#This Row],[Time]]&gt;0.17)=TRUE, "Morning", IF(AND(AllData[[#This Row],[Time]]&lt;0.75, AllData[[#This Row],[Time]]&gt;=0.5)=TRUE, "Afternoon", IF(AND(AllData[[#This Row],[Time]]&lt;1, AllData[[#This Row],[Time]]&gt;=0.75)=TRUE, "Evening", "Night")))</f>
        <v>Morning</v>
      </c>
      <c r="G1030" t="str">
        <f>_xlfn.XLOOKUP(AllData[[#This Row],[Location Name]], Locations[Location Name],Locations[Group As])</f>
        <v>Chipping Campden Craves</v>
      </c>
      <c r="H1030" t="e" vm="9">
        <f>_xlfn.XLOOKUP(AllData[[#This Row],[Site Name]],LocationsKey[Site Name],LocationsKey[District])</f>
        <v>#VALUE!</v>
      </c>
      <c r="I1030" t="e" vm="10">
        <f>_xlfn.XLOOKUP(AllData[[#This Row],[Site Name]],LocationsKey[Site Name],LocationsKey[Town])</f>
        <v>#VALUE!</v>
      </c>
      <c r="J1030" t="str">
        <f>_xlfn.XLOOKUP(AllData[[#This Row],[Site Name]],LocationsKey[Site Name], LocationsKey[Waterway])</f>
        <v>Cam Brook</v>
      </c>
      <c r="K1030" t="s">
        <v>1845</v>
      </c>
      <c r="N1030" t="s">
        <v>68</v>
      </c>
      <c r="O1030">
        <v>442</v>
      </c>
      <c r="P1030">
        <v>20</v>
      </c>
      <c r="Q1030">
        <v>5</v>
      </c>
      <c r="R1030" s="107" t="str">
        <f>IF(AllData[[#This Row],[Nitrate (PPM)]]&gt;2, "Very high", IF(AllData[[#This Row],[Nitrate (PPM)]]&gt;1, "High", IF(AllData[[#This Row],[Nitrate (PPM)]]&gt;0.5, "Some evidence", IF(AllData[[#This Row],[Nitrate (PPM)]]&gt;=0, "No evidence"))))</f>
        <v>Very high</v>
      </c>
      <c r="S1030" s="4">
        <v>0.83</v>
      </c>
      <c r="T1030" s="7" t="str">
        <f>IF(AllData[[#This Row],[Phosphate (PPM)]]&gt;0.5, "Very high", IF(AllData[[#This Row],[Phosphate (PPM)]]&gt;0.1, "High", IF(AllData[[#This Row],[Phosphate (PPM)]]&gt;0.05, "Some evidence", IF(AllData[[#This Row],[Phosphate (PPM)]]&lt;=0.05, "No Evidence", ""))))</f>
        <v>Very high</v>
      </c>
      <c r="U1030">
        <v>6.5</v>
      </c>
    </row>
    <row r="1031" spans="1:22" x14ac:dyDescent="0.35">
      <c r="A1031" t="s">
        <v>1964</v>
      </c>
      <c r="B1031" s="143">
        <v>45537</v>
      </c>
      <c r="C1031" s="2" t="str" cm="1">
        <f t="array" ref="C10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1">
        <f>YEAR(AllData[[#This Row],[Date]])</f>
        <v>2024</v>
      </c>
      <c r="E1031" s="1">
        <v>0.34722222222222221</v>
      </c>
      <c r="F1031" t="str">
        <f>IF(AND(AllData[[#This Row],[Time]]&lt;0.5, AllData[[#This Row],[Time]]&gt;0.17)=TRUE, "Morning", IF(AND(AllData[[#This Row],[Time]]&lt;0.75, AllData[[#This Row],[Time]]&gt;=0.5)=TRUE, "Afternoon", IF(AND(AllData[[#This Row],[Time]]&lt;1, AllData[[#This Row],[Time]]&gt;=0.75)=TRUE, "Evening", "Night")))</f>
        <v>Morning</v>
      </c>
      <c r="G1031" t="str">
        <f>_xlfn.XLOOKUP(AllData[[#This Row],[Location Name]], Locations[Location Name],Locations[Group As])</f>
        <v>Chipping Campden Sewage Works</v>
      </c>
      <c r="H1031" t="e" vm="9">
        <f>_xlfn.XLOOKUP(AllData[[#This Row],[Site Name]],LocationsKey[Site Name],LocationsKey[District])</f>
        <v>#VALUE!</v>
      </c>
      <c r="I1031" t="e" vm="10">
        <f>_xlfn.XLOOKUP(AllData[[#This Row],[Site Name]],LocationsKey[Site Name],LocationsKey[Town])</f>
        <v>#VALUE!</v>
      </c>
      <c r="J1031" t="str">
        <f>_xlfn.XLOOKUP(AllData[[#This Row],[Site Name]],LocationsKey[Site Name], LocationsKey[Waterway])</f>
        <v>Cam Brook</v>
      </c>
      <c r="K1031" t="s">
        <v>1570</v>
      </c>
      <c r="N1031" t="s">
        <v>31</v>
      </c>
      <c r="O1031">
        <v>792</v>
      </c>
      <c r="P1031">
        <v>17.2</v>
      </c>
      <c r="Q1031">
        <v>2</v>
      </c>
      <c r="R1031" s="107" t="str">
        <f>IF(AllData[[#This Row],[Nitrate (PPM)]]&gt;2, "Very high", IF(AllData[[#This Row],[Nitrate (PPM)]]&gt;1, "High", IF(AllData[[#This Row],[Nitrate (PPM)]]&gt;0.5, "Some evidence", IF(AllData[[#This Row],[Nitrate (PPM)]]&gt;=0, "No evidence"))))</f>
        <v>High</v>
      </c>
      <c r="S1031" s="4">
        <v>0.26</v>
      </c>
      <c r="T1031" s="7" t="str">
        <f>IF(AllData[[#This Row],[Phosphate (PPM)]]&gt;0.5, "Very high", IF(AllData[[#This Row],[Phosphate (PPM)]]&gt;0.1, "High", IF(AllData[[#This Row],[Phosphate (PPM)]]&gt;0.05, "Some evidence", IF(AllData[[#This Row],[Phosphate (PPM)]]&lt;=0.05, "No Evidence", ""))))</f>
        <v>High</v>
      </c>
      <c r="U1031">
        <v>0.23</v>
      </c>
      <c r="V1031" t="s">
        <v>1965</v>
      </c>
    </row>
    <row r="1032" spans="1:22" x14ac:dyDescent="0.35">
      <c r="A1032" t="s">
        <v>1961</v>
      </c>
      <c r="B1032" s="143">
        <v>45536</v>
      </c>
      <c r="C1032" s="2" t="str" cm="1">
        <f t="array" ref="C10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2">
        <f>YEAR(AllData[[#This Row],[Date]])</f>
        <v>2024</v>
      </c>
      <c r="E1032" s="1">
        <v>0.40625</v>
      </c>
      <c r="F1032" t="str">
        <f>IF(AND(AllData[[#This Row],[Time]]&lt;0.5, AllData[[#This Row],[Time]]&gt;0.17)=TRUE, "Morning", IF(AND(AllData[[#This Row],[Time]]&lt;0.75, AllData[[#This Row],[Time]]&gt;=0.5)=TRUE, "Afternoon", IF(AND(AllData[[#This Row],[Time]]&lt;1, AllData[[#This Row],[Time]]&gt;=0.75)=TRUE, "Evening", "Night")))</f>
        <v>Morning</v>
      </c>
      <c r="G1032" t="str">
        <f>_xlfn.XLOOKUP(AllData[[#This Row],[Location Name]], Locations[Location Name],Locations[Group As])</f>
        <v>Bell Brook 1</v>
      </c>
      <c r="H1032" t="e" vm="1">
        <f>_xlfn.XLOOKUP(AllData[[#This Row],[Site Name]],LocationsKey[Site Name],LocationsKey[District])</f>
        <v>#VALUE!</v>
      </c>
      <c r="I1032" t="e" vm="19">
        <f>_xlfn.XLOOKUP(AllData[[#This Row],[Site Name]],LocationsKey[Site Name],LocationsKey[Town])</f>
        <v>#VALUE!</v>
      </c>
      <c r="J1032" t="str">
        <f>_xlfn.XLOOKUP(AllData[[#This Row],[Site Name]],LocationsKey[Site Name], LocationsKey[Waterway])</f>
        <v>Bell Brook</v>
      </c>
      <c r="K1032" t="s">
        <v>538</v>
      </c>
      <c r="O1032">
        <v>1010</v>
      </c>
      <c r="P1032">
        <v>16.2</v>
      </c>
      <c r="Q1032">
        <v>15</v>
      </c>
      <c r="R1032" s="107" t="str">
        <f>IF(AllData[[#This Row],[Nitrate (PPM)]]&gt;2, "Very high", IF(AllData[[#This Row],[Nitrate (PPM)]]&gt;1, "High", IF(AllData[[#This Row],[Nitrate (PPM)]]&gt;0.5, "Some evidence", IF(AllData[[#This Row],[Nitrate (PPM)]]&gt;=0, "No evidence"))))</f>
        <v>Very high</v>
      </c>
      <c r="S1032">
        <v>0.27</v>
      </c>
      <c r="T1032" s="7" t="str">
        <f>IF(AllData[[#This Row],[Phosphate (PPM)]]&gt;0.5, "Very high", IF(AllData[[#This Row],[Phosphate (PPM)]]&gt;0.1, "High", IF(AllData[[#This Row],[Phosphate (PPM)]]&gt;0.05, "Some evidence", IF(AllData[[#This Row],[Phosphate (PPM)]]&lt;=0.05, "No Evidence", ""))))</f>
        <v>High</v>
      </c>
      <c r="U1032">
        <v>0.1</v>
      </c>
    </row>
    <row r="1033" spans="1:22" x14ac:dyDescent="0.35">
      <c r="A1033" t="s">
        <v>1962</v>
      </c>
      <c r="B1033" s="143">
        <v>45536</v>
      </c>
      <c r="C1033" s="2" t="str" cm="1">
        <f t="array" ref="C10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3">
        <f>YEAR(AllData[[#This Row],[Date]])</f>
        <v>2024</v>
      </c>
      <c r="E1033" s="1">
        <v>0.39583333333333331</v>
      </c>
      <c r="F1033" t="str">
        <f>IF(AND(AllData[[#This Row],[Time]]&lt;0.5, AllData[[#This Row],[Time]]&gt;0.17)=TRUE, "Morning", IF(AND(AllData[[#This Row],[Time]]&lt;0.75, AllData[[#This Row],[Time]]&gt;=0.5)=TRUE, "Afternoon", IF(AND(AllData[[#This Row],[Time]]&lt;1, AllData[[#This Row],[Time]]&gt;=0.75)=TRUE, "Evening", "Night")))</f>
        <v>Morning</v>
      </c>
      <c r="G1033" t="str">
        <f>_xlfn.XLOOKUP(AllData[[#This Row],[Location Name]], Locations[Location Name],Locations[Group As])</f>
        <v>Sherbourne Brook 1</v>
      </c>
      <c r="H1033" t="e" vm="1">
        <f>_xlfn.XLOOKUP(AllData[[#This Row],[Site Name]],LocationsKey[Site Name],LocationsKey[District])</f>
        <v>#VALUE!</v>
      </c>
      <c r="I1033" t="e" vm="23">
        <f>_xlfn.XLOOKUP(AllData[[#This Row],[Site Name]],LocationsKey[Site Name],LocationsKey[Town])</f>
        <v>#VALUE!</v>
      </c>
      <c r="J1033" t="str">
        <f>_xlfn.XLOOKUP(AllData[[#This Row],[Site Name]],LocationsKey[Site Name], LocationsKey[Waterway])</f>
        <v>Sherbourne Brook</v>
      </c>
      <c r="K1033" t="s">
        <v>541</v>
      </c>
      <c r="O1033">
        <v>1130</v>
      </c>
      <c r="P1033">
        <v>15.9</v>
      </c>
      <c r="Q1033">
        <v>10</v>
      </c>
      <c r="R1033" s="107" t="str">
        <f>IF(AllData[[#This Row],[Nitrate (PPM)]]&gt;2, "Very high", IF(AllData[[#This Row],[Nitrate (PPM)]]&gt;1, "High", IF(AllData[[#This Row],[Nitrate (PPM)]]&gt;0.5, "Some evidence", IF(AllData[[#This Row],[Nitrate (PPM)]]&gt;=0, "No evidence"))))</f>
        <v>Very high</v>
      </c>
      <c r="S1033">
        <v>0.24</v>
      </c>
      <c r="T1033" s="7" t="str">
        <f>IF(AllData[[#This Row],[Phosphate (PPM)]]&gt;0.5, "Very high", IF(AllData[[#This Row],[Phosphate (PPM)]]&gt;0.1, "High", IF(AllData[[#This Row],[Phosphate (PPM)]]&gt;0.05, "Some evidence", IF(AllData[[#This Row],[Phosphate (PPM)]]&lt;=0.05, "No Evidence", ""))))</f>
        <v>High</v>
      </c>
      <c r="U1033">
        <v>0.1</v>
      </c>
    </row>
    <row r="1034" spans="1:22" x14ac:dyDescent="0.35">
      <c r="A1034" t="s">
        <v>1960</v>
      </c>
      <c r="B1034" s="143">
        <v>45536</v>
      </c>
      <c r="C1034" s="2" t="str" cm="1">
        <f t="array" ref="C10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1034">
        <f>YEAR(AllData[[#This Row],[Date]])</f>
        <v>2024</v>
      </c>
      <c r="E1034" s="1">
        <v>0.42430555555555555</v>
      </c>
      <c r="F1034" t="str">
        <f>IF(AND(AllData[[#This Row],[Time]]&lt;0.5, AllData[[#This Row],[Time]]&gt;0.17)=TRUE, "Morning", IF(AND(AllData[[#This Row],[Time]]&lt;0.75, AllData[[#This Row],[Time]]&gt;=0.5)=TRUE, "Afternoon", IF(AND(AllData[[#This Row],[Time]]&lt;1, AllData[[#This Row],[Time]]&gt;=0.75)=TRUE, "Evening", "Night")))</f>
        <v>Morning</v>
      </c>
      <c r="G1034" t="str">
        <f>_xlfn.XLOOKUP(AllData[[#This Row],[Location Name]], Locations[Location Name],Locations[Group As])</f>
        <v>Lower Lode</v>
      </c>
      <c r="H1034" t="e" vm="4">
        <f>_xlfn.XLOOKUP(AllData[[#This Row],[Site Name]],LocationsKey[Site Name],LocationsKey[District])</f>
        <v>#VALUE!</v>
      </c>
      <c r="I1034" t="e" vm="4">
        <f>_xlfn.XLOOKUP(AllData[[#This Row],[Site Name]],LocationsKey[Site Name],LocationsKey[Town])</f>
        <v>#VALUE!</v>
      </c>
      <c r="J1034" t="str">
        <f>_xlfn.XLOOKUP(AllData[[#This Row],[Site Name]],LocationsKey[Site Name], LocationsKey[Waterway])</f>
        <v>Avon</v>
      </c>
      <c r="K1034" t="s">
        <v>595</v>
      </c>
      <c r="L1034">
        <v>51.984090000000002</v>
      </c>
      <c r="M1034">
        <v>-2.1777519999999999</v>
      </c>
      <c r="N1034" t="s">
        <v>31</v>
      </c>
      <c r="O1034">
        <v>1020</v>
      </c>
      <c r="P1034">
        <v>19.5</v>
      </c>
      <c r="Q1034">
        <v>10</v>
      </c>
      <c r="R1034" s="107" t="str">
        <f>IF(AllData[[#This Row],[Nitrate (PPM)]]&gt;2, "Very high", IF(AllData[[#This Row],[Nitrate (PPM)]]&gt;1, "High", IF(AllData[[#This Row],[Nitrate (PPM)]]&gt;0.5, "Some evidence", IF(AllData[[#This Row],[Nitrate (PPM)]]&gt;=0, "No evidence"))))</f>
        <v>Very high</v>
      </c>
      <c r="S1034" s="4">
        <v>1.04</v>
      </c>
      <c r="T1034" s="7" t="str">
        <f>IF(AllData[[#This Row],[Phosphate (PPM)]]&gt;0.5, "Very high", IF(AllData[[#This Row],[Phosphate (PPM)]]&gt;0.1, "High", IF(AllData[[#This Row],[Phosphate (PPM)]]&gt;0.05, "Some evidence", IF(AllData[[#This Row],[Phosphate (PPM)]]&lt;=0.05, "No Evidence", ""))))</f>
        <v>Very high</v>
      </c>
      <c r="U1034">
        <v>0</v>
      </c>
    </row>
    <row r="1035" spans="1:22" x14ac:dyDescent="0.35">
      <c r="A1035" t="s">
        <v>1956</v>
      </c>
      <c r="B1035" s="143">
        <v>45535</v>
      </c>
      <c r="C1035" s="2" t="str" cm="1">
        <f t="array" ref="C10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5">
        <f>YEAR(AllData[[#This Row],[Date]])</f>
        <v>2024</v>
      </c>
      <c r="E1035" s="1">
        <v>0.43541666666666667</v>
      </c>
      <c r="F1035" t="str">
        <f>IF(AND(AllData[[#This Row],[Time]]&lt;0.5, AllData[[#This Row],[Time]]&gt;0.17)=TRUE, "Morning", IF(AND(AllData[[#This Row],[Time]]&lt;0.75, AllData[[#This Row],[Time]]&gt;=0.5)=TRUE, "Afternoon", IF(AND(AllData[[#This Row],[Time]]&lt;1, AllData[[#This Row],[Time]]&gt;=0.75)=TRUE, "Evening", "Night")))</f>
        <v>Morning</v>
      </c>
      <c r="G1035" t="str">
        <f>_xlfn.XLOOKUP(AllData[[#This Row],[Location Name]], Locations[Location Name],Locations[Group As])</f>
        <v>Piddle Brook Wyre Piddle Bridge</v>
      </c>
      <c r="H1035" t="e" vm="6">
        <f>_xlfn.XLOOKUP(AllData[[#This Row],[Site Name]],LocationsKey[Site Name],LocationsKey[District])</f>
        <v>#VALUE!</v>
      </c>
      <c r="I1035" t="e" vm="13">
        <f>_xlfn.XLOOKUP(AllData[[#This Row],[Site Name]],LocationsKey[Site Name],LocationsKey[Town])</f>
        <v>#VALUE!</v>
      </c>
      <c r="J1035" t="str">
        <f>_xlfn.XLOOKUP(AllData[[#This Row],[Site Name]],LocationsKey[Site Name], LocationsKey[Waterway])</f>
        <v>Piddle Brook</v>
      </c>
      <c r="K1035" t="s">
        <v>787</v>
      </c>
      <c r="L1035">
        <v>52.126398999999999</v>
      </c>
      <c r="M1035">
        <v>-2.0565500000000001</v>
      </c>
      <c r="N1035" t="s">
        <v>25</v>
      </c>
      <c r="O1035">
        <v>1820</v>
      </c>
      <c r="P1035">
        <v>15.1</v>
      </c>
      <c r="Q1035">
        <v>10</v>
      </c>
      <c r="R1035" s="107" t="str">
        <f>IF(AllData[[#This Row],[Nitrate (PPM)]]&gt;2, "Very high", IF(AllData[[#This Row],[Nitrate (PPM)]]&gt;1, "High", IF(AllData[[#This Row],[Nitrate (PPM)]]&gt;0.5, "Some evidence", IF(AllData[[#This Row],[Nitrate (PPM)]]&gt;=0, "No evidence"))))</f>
        <v>Very high</v>
      </c>
      <c r="S1035">
        <v>1.36</v>
      </c>
      <c r="T1035" s="7" t="str">
        <f>IF(AllData[[#This Row],[Phosphate (PPM)]]&gt;0.5, "Very high", IF(AllData[[#This Row],[Phosphate (PPM)]]&gt;0.1, "High", IF(AllData[[#This Row],[Phosphate (PPM)]]&gt;0.05, "Some evidence", IF(AllData[[#This Row],[Phosphate (PPM)]]&lt;=0.05, "No Evidence", ""))))</f>
        <v>Very high</v>
      </c>
      <c r="U1035">
        <v>0.13</v>
      </c>
      <c r="V1035" t="s">
        <v>1957</v>
      </c>
    </row>
    <row r="1036" spans="1:22" x14ac:dyDescent="0.35">
      <c r="A1036" t="s">
        <v>1953</v>
      </c>
      <c r="B1036" s="143">
        <v>45535</v>
      </c>
      <c r="C1036" s="2" t="str" cm="1">
        <f t="array" ref="C10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6">
        <f>YEAR(AllData[[#This Row],[Date]])</f>
        <v>2024</v>
      </c>
      <c r="E1036" s="1">
        <v>0.76666666666666672</v>
      </c>
      <c r="F1036" t="str">
        <f>IF(AND(AllData[[#This Row],[Time]]&lt;0.5, AllData[[#This Row],[Time]]&gt;0.17)=TRUE, "Morning", IF(AND(AllData[[#This Row],[Time]]&lt;0.75, AllData[[#This Row],[Time]]&gt;=0.5)=TRUE, "Afternoon", IF(AND(AllData[[#This Row],[Time]]&lt;1, AllData[[#This Row],[Time]]&gt;=0.75)=TRUE, "Evening", "Night")))</f>
        <v>Evening</v>
      </c>
      <c r="G1036" t="str">
        <f>_xlfn.XLOOKUP(AllData[[#This Row],[Location Name]], Locations[Location Name],Locations[Group As])</f>
        <v>Site 3  :  Severn Trent Water processing plant outflow</v>
      </c>
      <c r="H1036" t="e" vm="1">
        <f>_xlfn.XLOOKUP(AllData[[#This Row],[Site Name]],LocationsKey[Site Name],LocationsKey[District])</f>
        <v>#VALUE!</v>
      </c>
      <c r="I1036" t="e" vm="14">
        <f>_xlfn.XLOOKUP(AllData[[#This Row],[Site Name]],LocationsKey[Site Name],LocationsKey[Town])</f>
        <v>#VALUE!</v>
      </c>
      <c r="J1036" t="str">
        <f>_xlfn.XLOOKUP(AllData[[#This Row],[Site Name]],LocationsKey[Site Name], LocationsKey[Waterway])</f>
        <v>Fosseway Brook</v>
      </c>
      <c r="K1036" t="s">
        <v>1826</v>
      </c>
      <c r="L1036">
        <v>52.116596000000001</v>
      </c>
      <c r="M1036">
        <v>-1.62124</v>
      </c>
      <c r="N1036" t="s">
        <v>31</v>
      </c>
      <c r="O1036">
        <v>1002</v>
      </c>
      <c r="P1036">
        <v>17.5</v>
      </c>
      <c r="Q1036">
        <v>10</v>
      </c>
      <c r="R1036" s="107" t="str">
        <f>IF(AllData[[#This Row],[Nitrate (PPM)]]&gt;2, "Very high", IF(AllData[[#This Row],[Nitrate (PPM)]]&gt;1, "High", IF(AllData[[#This Row],[Nitrate (PPM)]]&gt;0.5, "Some evidence", IF(AllData[[#This Row],[Nitrate (PPM)]]&gt;=0, "No evidence"))))</f>
        <v>Very high</v>
      </c>
      <c r="S1036" s="4">
        <v>2.5</v>
      </c>
      <c r="T1036" s="7" t="str">
        <f>IF(AllData[[#This Row],[Phosphate (PPM)]]&gt;0.5, "Very high", IF(AllData[[#This Row],[Phosphate (PPM)]]&gt;0.1, "High", IF(AllData[[#This Row],[Phosphate (PPM)]]&gt;0.05, "Some evidence", IF(AllData[[#This Row],[Phosphate (PPM)]]&lt;=0.05, "No Evidence", ""))))</f>
        <v>Very high</v>
      </c>
      <c r="U1036">
        <v>0.25</v>
      </c>
      <c r="V1036" t="s">
        <v>1875</v>
      </c>
    </row>
    <row r="1037" spans="1:22" x14ac:dyDescent="0.35">
      <c r="A1037" t="s">
        <v>1954</v>
      </c>
      <c r="B1037" s="143">
        <v>45535</v>
      </c>
      <c r="C1037" s="2" t="str" cm="1">
        <f t="array" ref="C10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7">
        <f>YEAR(AllData[[#This Row],[Date]])</f>
        <v>2024</v>
      </c>
      <c r="E1037" s="1">
        <v>0.80486111111111114</v>
      </c>
      <c r="F1037" t="str">
        <f>IF(AND(AllData[[#This Row],[Time]]&lt;0.5, AllData[[#This Row],[Time]]&gt;0.17)=TRUE, "Morning", IF(AND(AllData[[#This Row],[Time]]&lt;0.75, AllData[[#This Row],[Time]]&gt;=0.5)=TRUE, "Afternoon", IF(AND(AllData[[#This Row],[Time]]&lt;1, AllData[[#This Row],[Time]]&gt;=0.75)=TRUE, "Evening", "Night")))</f>
        <v>Evening</v>
      </c>
      <c r="G1037" t="str">
        <f>_xlfn.XLOOKUP(AllData[[#This Row],[Location Name]], Locations[Location Name],Locations[Group As])</f>
        <v>Abbey Mill</v>
      </c>
      <c r="H1037" t="e" vm="4">
        <f>_xlfn.XLOOKUP(AllData[[#This Row],[Site Name]],LocationsKey[Site Name],LocationsKey[District])</f>
        <v>#VALUE!</v>
      </c>
      <c r="I1037" t="e" vm="4">
        <f>_xlfn.XLOOKUP(AllData[[#This Row],[Site Name]],LocationsKey[Site Name],LocationsKey[Town])</f>
        <v>#VALUE!</v>
      </c>
      <c r="J1037" t="str">
        <f>_xlfn.XLOOKUP(AllData[[#This Row],[Site Name]],LocationsKey[Site Name], LocationsKey[Waterway])</f>
        <v>Avon</v>
      </c>
      <c r="K1037" t="s">
        <v>27</v>
      </c>
      <c r="L1037">
        <v>51.991205999999998</v>
      </c>
      <c r="M1037">
        <v>-2.162496</v>
      </c>
      <c r="N1037" t="s">
        <v>25</v>
      </c>
      <c r="O1037">
        <v>1060</v>
      </c>
      <c r="P1037">
        <v>18.399999999999999</v>
      </c>
      <c r="Q1037">
        <v>8</v>
      </c>
      <c r="R1037" s="107" t="str">
        <f>IF(AllData[[#This Row],[Nitrate (PPM)]]&gt;2, "Very high", IF(AllData[[#This Row],[Nitrate (PPM)]]&gt;1, "High", IF(AllData[[#This Row],[Nitrate (PPM)]]&gt;0.5, "Some evidence", IF(AllData[[#This Row],[Nitrate (PPM)]]&gt;=0, "No evidence"))))</f>
        <v>Very high</v>
      </c>
      <c r="S1037" s="4">
        <v>0.81</v>
      </c>
      <c r="T1037" s="7" t="str">
        <f>IF(AllData[[#This Row],[Phosphate (PPM)]]&gt;0.5, "Very high", IF(AllData[[#This Row],[Phosphate (PPM)]]&gt;0.1, "High", IF(AllData[[#This Row],[Phosphate (PPM)]]&gt;0.05, "Some evidence", IF(AllData[[#This Row],[Phosphate (PPM)]]&lt;=0.05, "No Evidence", ""))))</f>
        <v>Very high</v>
      </c>
      <c r="U1037">
        <v>0.4</v>
      </c>
    </row>
    <row r="1038" spans="1:22" x14ac:dyDescent="0.35">
      <c r="A1038" t="s">
        <v>1958</v>
      </c>
      <c r="B1038" s="143">
        <v>45535</v>
      </c>
      <c r="C1038" s="2" t="str" cm="1">
        <f t="array" ref="C10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8">
        <f>YEAR(AllData[[#This Row],[Date]])</f>
        <v>2024</v>
      </c>
      <c r="E1038" s="1">
        <v>0.41666666666666669</v>
      </c>
      <c r="F1038" t="str">
        <f>IF(AND(AllData[[#This Row],[Time]]&lt;0.5, AllData[[#This Row],[Time]]&gt;0.17)=TRUE, "Morning", IF(AND(AllData[[#This Row],[Time]]&lt;0.75, AllData[[#This Row],[Time]]&gt;=0.5)=TRUE, "Afternoon", IF(AND(AllData[[#This Row],[Time]]&lt;1, AllData[[#This Row],[Time]]&gt;=0.75)=TRUE, "Evening", "Night")))</f>
        <v>Morning</v>
      </c>
      <c r="G1038" t="str">
        <f>_xlfn.XLOOKUP(AllData[[#This Row],[Location Name]], Locations[Location Name],Locations[Group As])</f>
        <v>Avon Smiths Meadow Wyre Piddle</v>
      </c>
      <c r="H1038" t="e" vm="6">
        <f>_xlfn.XLOOKUP(AllData[[#This Row],[Site Name]],LocationsKey[Site Name],LocationsKey[District])</f>
        <v>#VALUE!</v>
      </c>
      <c r="I1038" t="e" vm="13">
        <f>_xlfn.XLOOKUP(AllData[[#This Row],[Site Name]],LocationsKey[Site Name],LocationsKey[Town])</f>
        <v>#VALUE!</v>
      </c>
      <c r="J1038" t="str">
        <f>_xlfn.XLOOKUP(AllData[[#This Row],[Site Name]],LocationsKey[Site Name], LocationsKey[Waterway])</f>
        <v>Avon</v>
      </c>
      <c r="K1038" t="s">
        <v>784</v>
      </c>
      <c r="L1038">
        <v>52.122855000000001</v>
      </c>
      <c r="M1038">
        <v>-2.05735</v>
      </c>
      <c r="N1038" t="s">
        <v>25</v>
      </c>
      <c r="O1038">
        <v>1060</v>
      </c>
      <c r="P1038">
        <v>17.600000000000001</v>
      </c>
      <c r="Q1038">
        <v>5</v>
      </c>
      <c r="R1038" s="107" t="str">
        <f>IF(AllData[[#This Row],[Nitrate (PPM)]]&gt;2, "Very high", IF(AllData[[#This Row],[Nitrate (PPM)]]&gt;1, "High", IF(AllData[[#This Row],[Nitrate (PPM)]]&gt;0.5, "Some evidence", IF(AllData[[#This Row],[Nitrate (PPM)]]&gt;=0, "No evidence"))))</f>
        <v>Very high</v>
      </c>
      <c r="S1038">
        <v>0.76</v>
      </c>
      <c r="T1038" s="107" t="str">
        <f>IF(AllData[[#This Row],[Phosphate (PPM)]]&gt;0.5, "Very high", IF(AllData[[#This Row],[Phosphate (PPM)]]&gt;0.1, "High", IF(AllData[[#This Row],[Phosphate (PPM)]]&gt;0.05, "Some evidence", IF(AllData[[#This Row],[Phosphate (PPM)]]&lt;=0.05, "No Evidence", ""))))</f>
        <v>Very high</v>
      </c>
      <c r="U1038">
        <v>0.49</v>
      </c>
      <c r="V1038" t="s">
        <v>1959</v>
      </c>
    </row>
    <row r="1039" spans="1:22" x14ac:dyDescent="0.35">
      <c r="A1039" t="s">
        <v>1947</v>
      </c>
      <c r="B1039" s="143">
        <v>45535</v>
      </c>
      <c r="C1039" s="2" t="str" cm="1">
        <f t="array" ref="C10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39">
        <f>YEAR(AllData[[#This Row],[Date]])</f>
        <v>2024</v>
      </c>
      <c r="E1039" s="1">
        <v>0.5</v>
      </c>
      <c r="F1039" t="str">
        <f>IF(AND(AllData[[#This Row],[Time]]&lt;0.5, AllData[[#This Row],[Time]]&gt;0.17)=TRUE, "Morning", IF(AND(AllData[[#This Row],[Time]]&lt;0.75, AllData[[#This Row],[Time]]&gt;=0.5)=TRUE, "Afternoon", IF(AND(AllData[[#This Row],[Time]]&lt;1, AllData[[#This Row],[Time]]&gt;=0.75)=TRUE, "Evening", "Night")))</f>
        <v>Afternoon</v>
      </c>
      <c r="G1039" t="str">
        <f>_xlfn.XLOOKUP(AllData[[#This Row],[Location Name]], Locations[Location Name],Locations[Group As])</f>
        <v>Carrant Bredon Rd</v>
      </c>
      <c r="H1039" t="e" vm="4">
        <f>_xlfn.XLOOKUP(AllData[[#This Row],[Site Name]],LocationsKey[Site Name],LocationsKey[District])</f>
        <v>#VALUE!</v>
      </c>
      <c r="I1039" t="e" vm="4">
        <f>_xlfn.XLOOKUP(AllData[[#This Row],[Site Name]],LocationsKey[Site Name],LocationsKey[Town])</f>
        <v>#VALUE!</v>
      </c>
      <c r="J1039" t="str">
        <f>_xlfn.XLOOKUP(AllData[[#This Row],[Site Name]],LocationsKey[Site Name], LocationsKey[Waterway])</f>
        <v>Carrant</v>
      </c>
      <c r="K1039" t="s">
        <v>603</v>
      </c>
      <c r="L1039">
        <v>51.996181999999997</v>
      </c>
      <c r="M1039">
        <v>-2.1560260000000002</v>
      </c>
      <c r="N1039" t="s">
        <v>25</v>
      </c>
      <c r="O1039">
        <v>734</v>
      </c>
      <c r="P1039">
        <v>16.3</v>
      </c>
      <c r="Q1039">
        <v>5</v>
      </c>
      <c r="R1039" s="107" t="str">
        <f>IF(AllData[[#This Row],[Nitrate (PPM)]]&gt;2, "Very high", IF(AllData[[#This Row],[Nitrate (PPM)]]&gt;1, "High", IF(AllData[[#This Row],[Nitrate (PPM)]]&gt;0.5, "Some evidence", IF(AllData[[#This Row],[Nitrate (PPM)]]&gt;=0, "No evidence"))))</f>
        <v>Very high</v>
      </c>
      <c r="S1039" s="4">
        <v>0.45</v>
      </c>
      <c r="T1039" s="107" t="str">
        <f>IF(AllData[[#This Row],[Phosphate (PPM)]]&gt;0.5, "Very high", IF(AllData[[#This Row],[Phosphate (PPM)]]&gt;0.1, "High", IF(AllData[[#This Row],[Phosphate (PPM)]]&gt;0.05, "Some evidence", IF(AllData[[#This Row],[Phosphate (PPM)]]&lt;=0.05, "No Evidence", ""))))</f>
        <v>High</v>
      </c>
      <c r="U1039">
        <v>0</v>
      </c>
    </row>
    <row r="1040" spans="1:22" x14ac:dyDescent="0.35">
      <c r="A1040" t="s">
        <v>1955</v>
      </c>
      <c r="B1040" s="143">
        <v>45535</v>
      </c>
      <c r="C1040" s="2" t="str" cm="1">
        <f t="array" ref="C10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0">
        <f>YEAR(AllData[[#This Row],[Date]])</f>
        <v>2024</v>
      </c>
      <c r="E1040" s="1">
        <v>0.58333333333333337</v>
      </c>
      <c r="F1040" t="str">
        <f>IF(AND(AllData[[#This Row],[Time]]&lt;0.5, AllData[[#This Row],[Time]]&gt;0.17)=TRUE, "Morning", IF(AND(AllData[[#This Row],[Time]]&lt;0.75, AllData[[#This Row],[Time]]&gt;=0.5)=TRUE, "Afternoon", IF(AND(AllData[[#This Row],[Time]]&lt;1, AllData[[#This Row],[Time]]&gt;=0.75)=TRUE, "Evening", "Night")))</f>
        <v>Afternoon</v>
      </c>
      <c r="G1040" t="str">
        <f>_xlfn.XLOOKUP(AllData[[#This Row],[Location Name]], Locations[Location Name],Locations[Group As])</f>
        <v>Clifford Chambers Mill Bridge</v>
      </c>
      <c r="H1040" t="e" vm="1">
        <f>_xlfn.XLOOKUP(AllData[[#This Row],[Site Name]],LocationsKey[Site Name],LocationsKey[District])</f>
        <v>#VALUE!</v>
      </c>
      <c r="I1040" t="e" vm="22">
        <f>_xlfn.XLOOKUP(AllData[[#This Row],[Site Name]],LocationsKey[Site Name],LocationsKey[Town])</f>
        <v>#VALUE!</v>
      </c>
      <c r="J1040" t="str">
        <f>_xlfn.XLOOKUP(AllData[[#This Row],[Site Name]],LocationsKey[Site Name], LocationsKey[Waterway])</f>
        <v>Stour</v>
      </c>
      <c r="K1040" t="s">
        <v>266</v>
      </c>
      <c r="L1040">
        <v>52.166370000000001</v>
      </c>
      <c r="M1040">
        <v>-1.708032</v>
      </c>
      <c r="N1040" t="s">
        <v>68</v>
      </c>
      <c r="O1040">
        <v>705</v>
      </c>
      <c r="P1040">
        <v>19.8</v>
      </c>
      <c r="Q1040">
        <v>5</v>
      </c>
      <c r="R1040" s="107" t="str">
        <f>IF(AllData[[#This Row],[Nitrate (PPM)]]&gt;2, "Very high", IF(AllData[[#This Row],[Nitrate (PPM)]]&gt;1, "High", IF(AllData[[#This Row],[Nitrate (PPM)]]&gt;0.5, "Some evidence", IF(AllData[[#This Row],[Nitrate (PPM)]]&gt;=0, "No evidence"))))</f>
        <v>Very high</v>
      </c>
      <c r="S1040">
        <v>0.49</v>
      </c>
      <c r="T1040" s="107" t="str">
        <f>IF(AllData[[#This Row],[Phosphate (PPM)]]&gt;0.5, "Very high", IF(AllData[[#This Row],[Phosphate (PPM)]]&gt;0.1, "High", IF(AllData[[#This Row],[Phosphate (PPM)]]&gt;0.05, "Some evidence", IF(AllData[[#This Row],[Phosphate (PPM)]]&lt;=0.05, "No Evidence", ""))))</f>
        <v>High</v>
      </c>
      <c r="U1040">
        <v>0.2</v>
      </c>
    </row>
    <row r="1041" spans="1:22" x14ac:dyDescent="0.35">
      <c r="A1041" t="s">
        <v>1948</v>
      </c>
      <c r="B1041" s="143">
        <v>45535</v>
      </c>
      <c r="C1041" s="2" t="str" cm="1">
        <f t="array" ref="C10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1">
        <f>YEAR(AllData[[#This Row],[Date]])</f>
        <v>2024</v>
      </c>
      <c r="E1041" s="1">
        <v>0.75208333333333333</v>
      </c>
      <c r="F1041" t="str">
        <f>IF(AND(AllData[[#This Row],[Time]]&lt;0.5, AllData[[#This Row],[Time]]&gt;0.17)=TRUE, "Morning", IF(AND(AllData[[#This Row],[Time]]&lt;0.75, AllData[[#This Row],[Time]]&gt;=0.5)=TRUE, "Afternoon", IF(AND(AllData[[#This Row],[Time]]&lt;1, AllData[[#This Row],[Time]]&gt;=0.75)=TRUE, "Evening", "Night")))</f>
        <v>Evening</v>
      </c>
      <c r="G1041" t="str">
        <f>_xlfn.XLOOKUP(AllData[[#This Row],[Location Name]], Locations[Location Name],Locations[Group As])</f>
        <v>Site 1  :  Middle Street</v>
      </c>
      <c r="H1041" t="e" vm="1">
        <f>_xlfn.XLOOKUP(AllData[[#This Row],[Site Name]],LocationsKey[Site Name],LocationsKey[District])</f>
        <v>#VALUE!</v>
      </c>
      <c r="I1041" t="e" vm="14">
        <f>_xlfn.XLOOKUP(AllData[[#This Row],[Site Name]],LocationsKey[Site Name],LocationsKey[Town])</f>
        <v>#VALUE!</v>
      </c>
      <c r="J1041" t="str">
        <f>_xlfn.XLOOKUP(AllData[[#This Row],[Site Name]],LocationsKey[Site Name], LocationsKey[Waterway])</f>
        <v>Fosseway Brook</v>
      </c>
      <c r="K1041" t="s">
        <v>678</v>
      </c>
      <c r="L1041">
        <v>52.090235</v>
      </c>
      <c r="M1041">
        <v>-1.6926000000000001</v>
      </c>
      <c r="N1041" t="s">
        <v>68</v>
      </c>
      <c r="O1041">
        <v>629</v>
      </c>
      <c r="P1041">
        <v>17.399999999999999</v>
      </c>
      <c r="Q1041">
        <v>2</v>
      </c>
      <c r="R1041" s="107" t="str">
        <f>IF(AllData[[#This Row],[Nitrate (PPM)]]&gt;2, "Very high", IF(AllData[[#This Row],[Nitrate (PPM)]]&gt;1, "High", IF(AllData[[#This Row],[Nitrate (PPM)]]&gt;0.5, "Some evidence", IF(AllData[[#This Row],[Nitrate (PPM)]]&gt;=0, "No evidence"))))</f>
        <v>High</v>
      </c>
      <c r="S1041" s="4">
        <v>0.87</v>
      </c>
      <c r="T1041" s="7" t="str">
        <f>IF(AllData[[#This Row],[Phosphate (PPM)]]&gt;0.5, "Very high", IF(AllData[[#This Row],[Phosphate (PPM)]]&gt;0.1, "High", IF(AllData[[#This Row],[Phosphate (PPM)]]&gt;0.05, "Some evidence", IF(AllData[[#This Row],[Phosphate (PPM)]]&lt;=0.05, "No Evidence", ""))))</f>
        <v>Very high</v>
      </c>
      <c r="U1041">
        <v>0</v>
      </c>
      <c r="V1041" t="s">
        <v>1949</v>
      </c>
    </row>
    <row r="1042" spans="1:22" x14ac:dyDescent="0.35">
      <c r="A1042" t="s">
        <v>1950</v>
      </c>
      <c r="B1042" s="143">
        <v>45535</v>
      </c>
      <c r="C1042" s="2" t="str" cm="1">
        <f t="array" ref="C10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2">
        <f>YEAR(AllData[[#This Row],[Date]])</f>
        <v>2024</v>
      </c>
      <c r="E1042" s="1">
        <v>0.76249999999999996</v>
      </c>
      <c r="F1042" t="str">
        <f>IF(AND(AllData[[#This Row],[Time]]&lt;0.5, AllData[[#This Row],[Time]]&gt;0.17)=TRUE, "Morning", IF(AND(AllData[[#This Row],[Time]]&lt;0.75, AllData[[#This Row],[Time]]&gt;=0.5)=TRUE, "Afternoon", IF(AND(AllData[[#This Row],[Time]]&lt;1, AllData[[#This Row],[Time]]&gt;=0.75)=TRUE, "Evening", "Night")))</f>
        <v>Evening</v>
      </c>
      <c r="G1042" t="str">
        <f>_xlfn.XLOOKUP(AllData[[#This Row],[Location Name]], Locations[Location Name],Locations[Group As])</f>
        <v>Site 2  :  Cross Leys culvert</v>
      </c>
      <c r="H1042" t="e" vm="1">
        <f>_xlfn.XLOOKUP(AllData[[#This Row],[Site Name]],LocationsKey[Site Name],LocationsKey[District])</f>
        <v>#VALUE!</v>
      </c>
      <c r="I1042" t="e" vm="14">
        <f>_xlfn.XLOOKUP(AllData[[#This Row],[Site Name]],LocationsKey[Site Name],LocationsKey[Town])</f>
        <v>#VALUE!</v>
      </c>
      <c r="J1042" t="str">
        <f>_xlfn.XLOOKUP(AllData[[#This Row],[Site Name]],LocationsKey[Site Name], LocationsKey[Waterway])</f>
        <v>Fosseway Brook</v>
      </c>
      <c r="K1042" t="s">
        <v>1951</v>
      </c>
      <c r="L1042">
        <v>52.092998000000001</v>
      </c>
      <c r="M1042">
        <v>-1.6863440000000001</v>
      </c>
      <c r="N1042" t="s">
        <v>68</v>
      </c>
      <c r="O1042">
        <v>885</v>
      </c>
      <c r="P1042">
        <v>15.8</v>
      </c>
      <c r="Q1042">
        <v>0</v>
      </c>
      <c r="R1042" s="107" t="str">
        <f>IF(AllData[[#This Row],[Nitrate (PPM)]]&gt;2, "Very high", IF(AllData[[#This Row],[Nitrate (PPM)]]&gt;1, "High", IF(AllData[[#This Row],[Nitrate (PPM)]]&gt;0.5, "Some evidence", IF(AllData[[#This Row],[Nitrate (PPM)]]&gt;=0, "No evidence"))))</f>
        <v>No evidence</v>
      </c>
      <c r="S1042" s="4">
        <v>2.27</v>
      </c>
      <c r="T1042" s="7" t="str">
        <f>IF(AllData[[#This Row],[Phosphate (PPM)]]&gt;0.5, "Very high", IF(AllData[[#This Row],[Phosphate (PPM)]]&gt;0.1, "High", IF(AllData[[#This Row],[Phosphate (PPM)]]&gt;0.05, "Some evidence", IF(AllData[[#This Row],[Phosphate (PPM)]]&lt;=0.05, "No Evidence", ""))))</f>
        <v>Very high</v>
      </c>
      <c r="U1042">
        <v>0</v>
      </c>
      <c r="V1042" t="s">
        <v>1952</v>
      </c>
    </row>
    <row r="1043" spans="1:22" x14ac:dyDescent="0.35">
      <c r="A1043" t="s">
        <v>1945</v>
      </c>
      <c r="B1043" s="143">
        <v>45534</v>
      </c>
      <c r="C1043" s="2" t="str" cm="1">
        <f t="array" ref="C10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3">
        <f>YEAR(AllData[[#This Row],[Date]])</f>
        <v>2024</v>
      </c>
      <c r="E1043" s="1">
        <v>0.625</v>
      </c>
      <c r="F1043" t="str">
        <f>IF(AND(AllData[[#This Row],[Time]]&lt;0.5, AllData[[#This Row],[Time]]&gt;0.17)=TRUE, "Morning", IF(AND(AllData[[#This Row],[Time]]&lt;0.75, AllData[[#This Row],[Time]]&gt;=0.5)=TRUE, "Afternoon", IF(AND(AllData[[#This Row],[Time]]&lt;1, AllData[[#This Row],[Time]]&gt;=0.75)=TRUE, "Evening", "Night")))</f>
        <v>Afternoon</v>
      </c>
      <c r="G1043" t="str">
        <f>_xlfn.XLOOKUP(AllData[[#This Row],[Location Name]], Locations[Location Name],Locations[Group As])</f>
        <v>The Ford, Langley</v>
      </c>
      <c r="H1043" t="e" vm="1">
        <f>_xlfn.XLOOKUP(AllData[[#This Row],[Site Name]],LocationsKey[Site Name],LocationsKey[District])</f>
        <v>#VALUE!</v>
      </c>
      <c r="I1043" t="str">
        <f>_xlfn.XLOOKUP(AllData[[#This Row],[Site Name]],LocationsKey[Site Name],LocationsKey[Town])</f>
        <v>Langley</v>
      </c>
      <c r="J1043" t="str">
        <f>_xlfn.XLOOKUP(AllData[[#This Row],[Site Name]],LocationsKey[Site Name], LocationsKey[Waterway])</f>
        <v>Langley Ford</v>
      </c>
      <c r="K1043" t="s">
        <v>561</v>
      </c>
      <c r="L1043">
        <v>52.259903999999999</v>
      </c>
      <c r="M1043">
        <v>-1.7185010000000001</v>
      </c>
      <c r="N1043" t="s">
        <v>31</v>
      </c>
      <c r="O1043">
        <v>865</v>
      </c>
      <c r="P1043">
        <v>16</v>
      </c>
      <c r="Q1043">
        <v>5</v>
      </c>
      <c r="R1043" s="107" t="str">
        <f>IF(AllData[[#This Row],[Nitrate (PPM)]]&gt;2, "Very high", IF(AllData[[#This Row],[Nitrate (PPM)]]&gt;1, "High", IF(AllData[[#This Row],[Nitrate (PPM)]]&gt;0.5, "Some evidence", IF(AllData[[#This Row],[Nitrate (PPM)]]&gt;=0, "No evidence"))))</f>
        <v>Very high</v>
      </c>
      <c r="S1043">
        <v>0.65</v>
      </c>
      <c r="T1043" s="7" t="str">
        <f>IF(AllData[[#This Row],[Phosphate (PPM)]]&gt;0.5, "Very high", IF(AllData[[#This Row],[Phosphate (PPM)]]&gt;0.1, "High", IF(AllData[[#This Row],[Phosphate (PPM)]]&gt;0.05, "Some evidence", IF(AllData[[#This Row],[Phosphate (PPM)]]&lt;=0.05, "No Evidence", ""))))</f>
        <v>Very high</v>
      </c>
      <c r="U1043">
        <v>0.12</v>
      </c>
      <c r="V1043" t="s">
        <v>1946</v>
      </c>
    </row>
    <row r="1044" spans="1:22" x14ac:dyDescent="0.35">
      <c r="A1044" t="s">
        <v>1944</v>
      </c>
      <c r="B1044" s="143">
        <v>45534</v>
      </c>
      <c r="C1044" s="2" t="str" cm="1">
        <f t="array" ref="C10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4">
        <f>YEAR(AllData[[#This Row],[Date]])</f>
        <v>2024</v>
      </c>
      <c r="E1044" s="1">
        <v>0.41111111111111109</v>
      </c>
      <c r="F1044" t="str">
        <f>IF(AND(AllData[[#This Row],[Time]]&lt;0.5, AllData[[#This Row],[Time]]&gt;0.17)=TRUE, "Morning", IF(AND(AllData[[#This Row],[Time]]&lt;0.75, AllData[[#This Row],[Time]]&gt;=0.5)=TRUE, "Afternoon", IF(AND(AllData[[#This Row],[Time]]&lt;1, AllData[[#This Row],[Time]]&gt;=0.75)=TRUE, "Evening", "Night")))</f>
        <v>Morning</v>
      </c>
      <c r="G1044" t="str">
        <f>_xlfn.XLOOKUP(AllData[[#This Row],[Location Name]], Locations[Location Name],Locations[Group As])</f>
        <v>Carrant M5 Bridge</v>
      </c>
      <c r="H1044" t="e" vm="4">
        <f>_xlfn.XLOOKUP(AllData[[#This Row],[Site Name]],LocationsKey[Site Name],LocationsKey[District])</f>
        <v>#VALUE!</v>
      </c>
      <c r="I1044" t="e" vm="4">
        <f>_xlfn.XLOOKUP(AllData[[#This Row],[Site Name]],LocationsKey[Site Name],LocationsKey[Town])</f>
        <v>#VALUE!</v>
      </c>
      <c r="J1044" t="str">
        <f>_xlfn.XLOOKUP(AllData[[#This Row],[Site Name]],LocationsKey[Site Name], LocationsKey[Waterway])</f>
        <v>Carrant</v>
      </c>
      <c r="K1044" t="s">
        <v>1066</v>
      </c>
      <c r="L1044">
        <v>52.011420000000001</v>
      </c>
      <c r="M1044">
        <v>-2.1195460000000002</v>
      </c>
      <c r="N1044" t="s">
        <v>25</v>
      </c>
      <c r="O1044">
        <v>857</v>
      </c>
      <c r="P1044">
        <v>15.7</v>
      </c>
      <c r="Q1044">
        <v>5</v>
      </c>
      <c r="R1044" s="107" t="str">
        <f>IF(AllData[[#This Row],[Nitrate (PPM)]]&gt;2, "Very high", IF(AllData[[#This Row],[Nitrate (PPM)]]&gt;1, "High", IF(AllData[[#This Row],[Nitrate (PPM)]]&gt;0.5, "Some evidence", IF(AllData[[#This Row],[Nitrate (PPM)]]&gt;=0, "No evidence"))))</f>
        <v>Very high</v>
      </c>
      <c r="S1044" s="4">
        <v>1.35</v>
      </c>
      <c r="T1044" s="7" t="str">
        <f>IF(AllData[[#This Row],[Phosphate (PPM)]]&gt;0.5, "Very high", IF(AllData[[#This Row],[Phosphate (PPM)]]&gt;0.1, "High", IF(AllData[[#This Row],[Phosphate (PPM)]]&gt;0.05, "Some evidence", IF(AllData[[#This Row],[Phosphate (PPM)]]&lt;=0.05, "No Evidence", ""))))</f>
        <v>Very high</v>
      </c>
      <c r="U1044">
        <v>0</v>
      </c>
    </row>
    <row r="1045" spans="1:22" x14ac:dyDescent="0.35">
      <c r="A1045" t="s">
        <v>1939</v>
      </c>
      <c r="B1045" s="143">
        <v>45533</v>
      </c>
      <c r="C1045" s="2" t="str" cm="1">
        <f t="array" ref="C10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5">
        <f>YEAR(AllData[[#This Row],[Date]])</f>
        <v>2024</v>
      </c>
      <c r="E1045" s="1">
        <v>0.6166666666666667</v>
      </c>
      <c r="F1045" t="str">
        <f>IF(AND(AllData[[#This Row],[Time]]&lt;0.5, AllData[[#This Row],[Time]]&gt;0.17)=TRUE, "Morning", IF(AND(AllData[[#This Row],[Time]]&lt;0.75, AllData[[#This Row],[Time]]&gt;=0.5)=TRUE, "Afternoon", IF(AND(AllData[[#This Row],[Time]]&lt;1, AllData[[#This Row],[Time]]&gt;=0.75)=TRUE, "Evening", "Night")))</f>
        <v>Afternoon</v>
      </c>
      <c r="G1045" t="str">
        <f>_xlfn.XLOOKUP(AllData[[#This Row],[Location Name]], Locations[Location Name],Locations[Group As])</f>
        <v>Alveston Weir</v>
      </c>
      <c r="H1045" t="e" vm="1">
        <f>_xlfn.XLOOKUP(AllData[[#This Row],[Site Name]],LocationsKey[Site Name],LocationsKey[District])</f>
        <v>#VALUE!</v>
      </c>
      <c r="I1045" t="e" vm="2">
        <f>_xlfn.XLOOKUP(AllData[[#This Row],[Site Name]],LocationsKey[Site Name],LocationsKey[Town])</f>
        <v>#VALUE!</v>
      </c>
      <c r="J1045" t="str">
        <f>_xlfn.XLOOKUP(AllData[[#This Row],[Site Name]],LocationsKey[Site Name], LocationsKey[Waterway])</f>
        <v>Avon</v>
      </c>
      <c r="K1045" t="s">
        <v>288</v>
      </c>
      <c r="L1045">
        <v>52.212288999999998</v>
      </c>
      <c r="M1045">
        <v>-1.660452</v>
      </c>
      <c r="N1045" t="s">
        <v>31</v>
      </c>
      <c r="O1045">
        <v>713</v>
      </c>
      <c r="P1045">
        <v>19.3</v>
      </c>
      <c r="Q1045">
        <v>10</v>
      </c>
      <c r="R1045" s="107" t="str">
        <f>IF(AllData[[#This Row],[Nitrate (PPM)]]&gt;2, "Very high", IF(AllData[[#This Row],[Nitrate (PPM)]]&gt;1, "High", IF(AllData[[#This Row],[Nitrate (PPM)]]&gt;0.5, "Some evidence", IF(AllData[[#This Row],[Nitrate (PPM)]]&gt;=0, "No evidence"))))</f>
        <v>Very high</v>
      </c>
      <c r="S1045" s="4">
        <v>0.34</v>
      </c>
      <c r="T1045" s="7" t="str">
        <f>IF(AllData[[#This Row],[Phosphate (PPM)]]&gt;0.5, "Very high", IF(AllData[[#This Row],[Phosphate (PPM)]]&gt;0.1, "High", IF(AllData[[#This Row],[Phosphate (PPM)]]&gt;0.05, "Some evidence", IF(AllData[[#This Row],[Phosphate (PPM)]]&lt;=0.05, "No Evidence", ""))))</f>
        <v>High</v>
      </c>
      <c r="U1045">
        <v>-0.8</v>
      </c>
      <c r="V1045" t="s">
        <v>1940</v>
      </c>
    </row>
    <row r="1046" spans="1:22" x14ac:dyDescent="0.35">
      <c r="A1046" t="s">
        <v>1941</v>
      </c>
      <c r="B1046" s="143">
        <v>45533</v>
      </c>
      <c r="C1046" s="2" t="str" cm="1">
        <f t="array" ref="C10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6">
        <f>YEAR(AllData[[#This Row],[Date]])</f>
        <v>2024</v>
      </c>
      <c r="E1046" s="1">
        <v>0.66666666666666663</v>
      </c>
      <c r="F1046" t="str">
        <f>IF(AND(AllData[[#This Row],[Time]]&lt;0.5, AllData[[#This Row],[Time]]&gt;0.17)=TRUE, "Morning", IF(AND(AllData[[#This Row],[Time]]&lt;0.75, AllData[[#This Row],[Time]]&gt;=0.5)=TRUE, "Afternoon", IF(AND(AllData[[#This Row],[Time]]&lt;1, AllData[[#This Row],[Time]]&gt;=0.75)=TRUE, "Evening", "Night")))</f>
        <v>Afternoon</v>
      </c>
      <c r="G1046" t="str">
        <f>_xlfn.XLOOKUP(AllData[[#This Row],[Location Name]], Locations[Location Name],Locations[Group As])</f>
        <v>Swiffen Bank</v>
      </c>
      <c r="H1046" t="e" vm="1">
        <f>_xlfn.XLOOKUP(AllData[[#This Row],[Site Name]],LocationsKey[Site Name],LocationsKey[District])</f>
        <v>#VALUE!</v>
      </c>
      <c r="I1046" t="e" vm="2">
        <f>_xlfn.XLOOKUP(AllData[[#This Row],[Site Name]],LocationsKey[Site Name],LocationsKey[Town])</f>
        <v>#VALUE!</v>
      </c>
      <c r="J1046" t="str">
        <f>_xlfn.XLOOKUP(AllData[[#This Row],[Site Name]],LocationsKey[Site Name], LocationsKey[Waterway])</f>
        <v>Avon</v>
      </c>
      <c r="K1046" t="s">
        <v>1448</v>
      </c>
      <c r="L1046">
        <v>52.206000000000003</v>
      </c>
      <c r="M1046">
        <v>-1.6539999999999999</v>
      </c>
      <c r="N1046" t="s">
        <v>31</v>
      </c>
      <c r="O1046">
        <v>698</v>
      </c>
      <c r="P1046">
        <v>19.600000000000001</v>
      </c>
      <c r="Q1046">
        <v>10</v>
      </c>
      <c r="R1046" s="107" t="str">
        <f>IF(AllData[[#This Row],[Nitrate (PPM)]]&gt;2, "Very high", IF(AllData[[#This Row],[Nitrate (PPM)]]&gt;1, "High", IF(AllData[[#This Row],[Nitrate (PPM)]]&gt;0.5, "Some evidence", IF(AllData[[#This Row],[Nitrate (PPM)]]&gt;=0, "No evidence"))))</f>
        <v>Very high</v>
      </c>
      <c r="S1046" s="4">
        <v>0.39</v>
      </c>
      <c r="T1046" s="7" t="str">
        <f>IF(AllData[[#This Row],[Phosphate (PPM)]]&gt;0.5, "Very high", IF(AllData[[#This Row],[Phosphate (PPM)]]&gt;0.1, "High", IF(AllData[[#This Row],[Phosphate (PPM)]]&gt;0.05, "Some evidence", IF(AllData[[#This Row],[Phosphate (PPM)]]&lt;=0.05, "No Evidence", ""))))</f>
        <v>High</v>
      </c>
      <c r="U1046">
        <v>-1</v>
      </c>
      <c r="V1046" t="s">
        <v>1942</v>
      </c>
    </row>
    <row r="1047" spans="1:22" x14ac:dyDescent="0.35">
      <c r="A1047" t="s">
        <v>1943</v>
      </c>
      <c r="B1047" s="143">
        <v>45533</v>
      </c>
      <c r="C1047" s="2" t="str" cm="1">
        <f t="array" ref="C10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7">
        <f>YEAR(AllData[[#This Row],[Date]])</f>
        <v>2024</v>
      </c>
      <c r="E1047" s="1">
        <v>0.41736111111111113</v>
      </c>
      <c r="F1047" t="str">
        <f>IF(AND(AllData[[#This Row],[Time]]&lt;0.5, AllData[[#This Row],[Time]]&gt;0.17)=TRUE, "Morning", IF(AND(AllData[[#This Row],[Time]]&lt;0.75, AllData[[#This Row],[Time]]&gt;=0.5)=TRUE, "Afternoon", IF(AND(AllData[[#This Row],[Time]]&lt;1, AllData[[#This Row],[Time]]&gt;=0.75)=TRUE, "Evening", "Night")))</f>
        <v>Morning</v>
      </c>
      <c r="G1047" t="str">
        <f>_xlfn.XLOOKUP(AllData[[#This Row],[Location Name]], Locations[Location Name],Locations[Group As])</f>
        <v>Swilgate</v>
      </c>
      <c r="H1047" t="e" vm="4">
        <f>_xlfn.XLOOKUP(AllData[[#This Row],[Site Name]],LocationsKey[Site Name],LocationsKey[District])</f>
        <v>#VALUE!</v>
      </c>
      <c r="I1047" t="e" vm="4">
        <f>_xlfn.XLOOKUP(AllData[[#This Row],[Site Name]],LocationsKey[Site Name],LocationsKey[Town])</f>
        <v>#VALUE!</v>
      </c>
      <c r="J1047" t="str">
        <f>_xlfn.XLOOKUP(AllData[[#This Row],[Site Name]],LocationsKey[Site Name], LocationsKey[Waterway])</f>
        <v>Swilgate</v>
      </c>
      <c r="K1047" t="s">
        <v>85</v>
      </c>
      <c r="N1047" t="s">
        <v>25</v>
      </c>
      <c r="O1047">
        <v>101</v>
      </c>
      <c r="P1047">
        <v>17.2</v>
      </c>
      <c r="Q1047">
        <v>4</v>
      </c>
      <c r="R1047" s="107" t="str">
        <f>IF(AllData[[#This Row],[Nitrate (PPM)]]&gt;2, "Very high", IF(AllData[[#This Row],[Nitrate (PPM)]]&gt;1, "High", IF(AllData[[#This Row],[Nitrate (PPM)]]&gt;0.5, "Some evidence", IF(AllData[[#This Row],[Nitrate (PPM)]]&gt;=0, "No evidence"))))</f>
        <v>Very high</v>
      </c>
      <c r="S1047">
        <v>1.53</v>
      </c>
      <c r="T1047" s="7" t="str">
        <f>IF(AllData[[#This Row],[Phosphate (PPM)]]&gt;0.5, "Very high", IF(AllData[[#This Row],[Phosphate (PPM)]]&gt;0.1, "High", IF(AllData[[#This Row],[Phosphate (PPM)]]&gt;0.05, "Some evidence", IF(AllData[[#This Row],[Phosphate (PPM)]]&lt;=0.05, "No Evidence", ""))))</f>
        <v>Very high</v>
      </c>
      <c r="U1047">
        <v>0</v>
      </c>
    </row>
    <row r="1048" spans="1:22" x14ac:dyDescent="0.35">
      <c r="A1048" t="s">
        <v>1938</v>
      </c>
      <c r="B1048" s="143">
        <v>45533</v>
      </c>
      <c r="C1048" s="2" t="str" cm="1">
        <f t="array" ref="C10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8">
        <f>YEAR(AllData[[#This Row],[Date]])</f>
        <v>2024</v>
      </c>
      <c r="E1048" s="1">
        <v>0.46875</v>
      </c>
      <c r="F1048" t="str">
        <f>IF(AND(AllData[[#This Row],[Time]]&lt;0.5, AllData[[#This Row],[Time]]&gt;0.17)=TRUE, "Morning", IF(AND(AllData[[#This Row],[Time]]&lt;0.75, AllData[[#This Row],[Time]]&gt;=0.5)=TRUE, "Afternoon", IF(AND(AllData[[#This Row],[Time]]&lt;1, AllData[[#This Row],[Time]]&gt;=0.75)=TRUE, "Evening", "Night")))</f>
        <v>Morning</v>
      </c>
      <c r="G1048" t="str">
        <f>_xlfn.XLOOKUP(AllData[[#This Row],[Location Name]], Locations[Location Name],Locations[Group As])</f>
        <v>Stour Willington</v>
      </c>
      <c r="H1048" t="e" vm="1">
        <f>_xlfn.XLOOKUP(AllData[[#This Row],[Site Name]],LocationsKey[Site Name],LocationsKey[District])</f>
        <v>#VALUE!</v>
      </c>
      <c r="I1048" t="str">
        <f>_xlfn.XLOOKUP(AllData[[#This Row],[Site Name]],LocationsKey[Site Name],LocationsKey[Town])</f>
        <v>Willington</v>
      </c>
      <c r="J1048" t="str">
        <f>_xlfn.XLOOKUP(AllData[[#This Row],[Site Name]],LocationsKey[Site Name], LocationsKey[Waterway])</f>
        <v>Stour</v>
      </c>
      <c r="K1048" t="s">
        <v>521</v>
      </c>
      <c r="L1048">
        <v>52.053527000000003</v>
      </c>
      <c r="M1048">
        <v>-1.6202220000000001</v>
      </c>
      <c r="N1048" t="s">
        <v>25</v>
      </c>
      <c r="O1048">
        <v>645</v>
      </c>
      <c r="P1048">
        <v>16.399999999999999</v>
      </c>
      <c r="Q1048">
        <v>2</v>
      </c>
      <c r="R1048" s="107" t="str">
        <f>IF(AllData[[#This Row],[Nitrate (PPM)]]&gt;2, "Very high", IF(AllData[[#This Row],[Nitrate (PPM)]]&gt;1, "High", IF(AllData[[#This Row],[Nitrate (PPM)]]&gt;0.5, "Some evidence", IF(AllData[[#This Row],[Nitrate (PPM)]]&gt;=0, "No evidence"))))</f>
        <v>High</v>
      </c>
      <c r="S1048" s="4">
        <v>0.41</v>
      </c>
      <c r="T1048" s="7" t="str">
        <f>IF(AllData[[#This Row],[Phosphate (PPM)]]&gt;0.5, "Very high", IF(AllData[[#This Row],[Phosphate (PPM)]]&gt;0.1, "High", IF(AllData[[#This Row],[Phosphate (PPM)]]&gt;0.05, "Some evidence", IF(AllData[[#This Row],[Phosphate (PPM)]]&lt;=0.05, "No Evidence", ""))))</f>
        <v>High</v>
      </c>
      <c r="U1048">
        <v>0.5</v>
      </c>
    </row>
    <row r="1049" spans="1:22" x14ac:dyDescent="0.35">
      <c r="A1049" t="s">
        <v>1937</v>
      </c>
      <c r="B1049" s="143">
        <v>45532</v>
      </c>
      <c r="C1049" s="2" t="str" cm="1">
        <f t="array" ref="C10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49">
        <f>YEAR(AllData[[#This Row],[Date]])</f>
        <v>2024</v>
      </c>
      <c r="E1049" s="1">
        <v>0.42777777777777776</v>
      </c>
      <c r="F1049" t="str">
        <f>IF(AND(AllData[[#This Row],[Time]]&lt;0.5, AllData[[#This Row],[Time]]&gt;0.17)=TRUE, "Morning", IF(AND(AllData[[#This Row],[Time]]&lt;0.75, AllData[[#This Row],[Time]]&gt;=0.5)=TRUE, "Afternoon", IF(AND(AllData[[#This Row],[Time]]&lt;1, AllData[[#This Row],[Time]]&gt;=0.75)=TRUE, "Evening", "Night")))</f>
        <v>Morning</v>
      </c>
      <c r="G1049" t="str">
        <f>_xlfn.XLOOKUP(AllData[[#This Row],[Location Name]], Locations[Location Name],Locations[Group As])</f>
        <v>Bredon Marina</v>
      </c>
      <c r="H1049" t="e" vm="4">
        <f>_xlfn.XLOOKUP(AllData[[#This Row],[Site Name]],LocationsKey[Site Name],LocationsKey[District])</f>
        <v>#VALUE!</v>
      </c>
      <c r="I1049" t="e" vm="11">
        <f>_xlfn.XLOOKUP(AllData[[#This Row],[Site Name]],LocationsKey[Site Name],LocationsKey[Town])</f>
        <v>#VALUE!</v>
      </c>
      <c r="J1049" t="str">
        <f>_xlfn.XLOOKUP(AllData[[#This Row],[Site Name]],LocationsKey[Site Name], LocationsKey[Waterway])</f>
        <v>Avon</v>
      </c>
      <c r="K1049" t="s">
        <v>1849</v>
      </c>
      <c r="L1049">
        <v>52.033503000000003</v>
      </c>
      <c r="M1049">
        <v>-2.1162770000000002</v>
      </c>
      <c r="N1049" t="s">
        <v>31</v>
      </c>
      <c r="O1049">
        <v>1020</v>
      </c>
      <c r="P1049">
        <v>19.100000000000001</v>
      </c>
      <c r="Q1049">
        <v>5</v>
      </c>
      <c r="R1049" s="107" t="str">
        <f>IF(AllData[[#This Row],[Nitrate (PPM)]]&gt;2, "Very high", IF(AllData[[#This Row],[Nitrate (PPM)]]&gt;1, "High", IF(AllData[[#This Row],[Nitrate (PPM)]]&gt;0.5, "Some evidence", IF(AllData[[#This Row],[Nitrate (PPM)]]&gt;=0, "No evidence"))))</f>
        <v>Very high</v>
      </c>
      <c r="S1049" s="4">
        <v>1.05</v>
      </c>
      <c r="T1049" s="7" t="str">
        <f>IF(AllData[[#This Row],[Phosphate (PPM)]]&gt;0.5, "Very high", IF(AllData[[#This Row],[Phosphate (PPM)]]&gt;0.1, "High", IF(AllData[[#This Row],[Phosphate (PPM)]]&gt;0.05, "Some evidence", IF(AllData[[#This Row],[Phosphate (PPM)]]&lt;=0.05, "No Evidence", ""))))</f>
        <v>Very high</v>
      </c>
      <c r="U1049">
        <v>0</v>
      </c>
    </row>
    <row r="1050" spans="1:22" x14ac:dyDescent="0.35">
      <c r="A1050" t="s">
        <v>1930</v>
      </c>
      <c r="B1050" s="143">
        <v>45531</v>
      </c>
      <c r="C1050" s="2" t="str" cm="1">
        <f t="array" ref="C10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0">
        <f>YEAR(AllData[[#This Row],[Date]])</f>
        <v>2024</v>
      </c>
      <c r="E1050" s="1">
        <v>0.43958333333333333</v>
      </c>
      <c r="F1050" t="str">
        <f>IF(AND(AllData[[#This Row],[Time]]&lt;0.5, AllData[[#This Row],[Time]]&gt;0.17)=TRUE, "Morning", IF(AND(AllData[[#This Row],[Time]]&lt;0.75, AllData[[#This Row],[Time]]&gt;=0.5)=TRUE, "Afternoon", IF(AND(AllData[[#This Row],[Time]]&lt;1, AllData[[#This Row],[Time]]&gt;=0.75)=TRUE, "Evening", "Night")))</f>
        <v>Morning</v>
      </c>
      <c r="G1050" t="str">
        <f>_xlfn.XLOOKUP(AllData[[#This Row],[Location Name]], Locations[Location Name],Locations[Group As])</f>
        <v>Carrant Back Lane Beckford</v>
      </c>
      <c r="H1050" t="e" vm="4">
        <f>_xlfn.XLOOKUP(AllData[[#This Row],[Site Name]],LocationsKey[Site Name],LocationsKey[District])</f>
        <v>#VALUE!</v>
      </c>
      <c r="I1050" t="str">
        <f>_xlfn.XLOOKUP(AllData[[#This Row],[Site Name]],LocationsKey[Site Name],LocationsKey[Town])</f>
        <v>Beckford</v>
      </c>
      <c r="J1050" t="str">
        <f>_xlfn.XLOOKUP(AllData[[#This Row],[Site Name]],LocationsKey[Site Name], LocationsKey[Waterway])</f>
        <v>Carrant</v>
      </c>
      <c r="K1050" t="s">
        <v>1736</v>
      </c>
      <c r="L1050">
        <v>52.018338999999997</v>
      </c>
      <c r="M1050">
        <v>-2.0388440000000001</v>
      </c>
      <c r="N1050" t="s">
        <v>68</v>
      </c>
      <c r="O1050">
        <v>785</v>
      </c>
      <c r="P1050">
        <v>16.8</v>
      </c>
      <c r="Q1050">
        <v>7</v>
      </c>
      <c r="R1050" s="107" t="str">
        <f>IF(AllData[[#This Row],[Nitrate (PPM)]]&gt;2, "Very high", IF(AllData[[#This Row],[Nitrate (PPM)]]&gt;1, "High", IF(AllData[[#This Row],[Nitrate (PPM)]]&gt;0.5, "Some evidence", IF(AllData[[#This Row],[Nitrate (PPM)]]&gt;=0, "No evidence"))))</f>
        <v>Very high</v>
      </c>
      <c r="S1050" s="4">
        <v>0.22</v>
      </c>
      <c r="T1050" s="7" t="str">
        <f>IF(AllData[[#This Row],[Phosphate (PPM)]]&gt;0.5, "Very high", IF(AllData[[#This Row],[Phosphate (PPM)]]&gt;0.1, "High", IF(AllData[[#This Row],[Phosphate (PPM)]]&gt;0.05, "Some evidence", IF(AllData[[#This Row],[Phosphate (PPM)]]&lt;=0.05, "No Evidence", ""))))</f>
        <v>High</v>
      </c>
      <c r="U1050">
        <v>0.2</v>
      </c>
      <c r="V1050" t="s">
        <v>1931</v>
      </c>
    </row>
    <row r="1051" spans="1:22" x14ac:dyDescent="0.35">
      <c r="A1051" t="s">
        <v>1935</v>
      </c>
      <c r="B1051" s="143">
        <v>45531</v>
      </c>
      <c r="C1051" s="2" t="str" cm="1">
        <f t="array" ref="C10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1">
        <f>YEAR(AllData[[#This Row],[Date]])</f>
        <v>2024</v>
      </c>
      <c r="E1051" s="1">
        <v>0.55208333333333337</v>
      </c>
      <c r="F1051" t="str">
        <f>IF(AND(AllData[[#This Row],[Time]]&lt;0.5, AllData[[#This Row],[Time]]&gt;0.17)=TRUE, "Morning", IF(AND(AllData[[#This Row],[Time]]&lt;0.75, AllData[[#This Row],[Time]]&gt;=0.5)=TRUE, "Afternoon", IF(AND(AllData[[#This Row],[Time]]&lt;1, AllData[[#This Row],[Time]]&gt;=0.75)=TRUE, "Evening", "Night")))</f>
        <v>Afternoon</v>
      </c>
      <c r="G1051" t="str">
        <f>_xlfn.XLOOKUP(AllData[[#This Row],[Location Name]], Locations[Location Name],Locations[Group As])</f>
        <v>Walcot Lane, Bow Brook Ford</v>
      </c>
      <c r="H1051" t="e" vm="6">
        <f>_xlfn.XLOOKUP(AllData[[#This Row],[Site Name]],LocationsKey[Site Name],LocationsKey[District])</f>
        <v>#VALUE!</v>
      </c>
      <c r="I1051" t="e" vm="7">
        <f>_xlfn.XLOOKUP(AllData[[#This Row],[Site Name]],LocationsKey[Site Name],LocationsKey[Town])</f>
        <v>#VALUE!</v>
      </c>
      <c r="J1051" t="str">
        <f>_xlfn.XLOOKUP(AllData[[#This Row],[Site Name]],LocationsKey[Site Name], LocationsKey[Waterway])</f>
        <v>Bow Brook</v>
      </c>
      <c r="K1051" t="s">
        <v>775</v>
      </c>
      <c r="L1051">
        <v>52.130464000000003</v>
      </c>
      <c r="M1051">
        <v>-2.0786159999999998</v>
      </c>
      <c r="N1051" t="s">
        <v>25</v>
      </c>
      <c r="O1051">
        <v>1140</v>
      </c>
      <c r="P1051">
        <v>17</v>
      </c>
      <c r="Q1051">
        <v>5</v>
      </c>
      <c r="R1051" s="107" t="str">
        <f>IF(AllData[[#This Row],[Nitrate (PPM)]]&gt;2, "Very high", IF(AllData[[#This Row],[Nitrate (PPM)]]&gt;1, "High", IF(AllData[[#This Row],[Nitrate (PPM)]]&gt;0.5, "Some evidence", IF(AllData[[#This Row],[Nitrate (PPM)]]&gt;=0, "No evidence"))))</f>
        <v>Very high</v>
      </c>
      <c r="S1051">
        <v>1.39</v>
      </c>
      <c r="T1051" s="7" t="str">
        <f>IF(AllData[[#This Row],[Phosphate (PPM)]]&gt;0.5, "Very high", IF(AllData[[#This Row],[Phosphate (PPM)]]&gt;0.1, "High", IF(AllData[[#This Row],[Phosphate (PPM)]]&gt;0.05, "Some evidence", IF(AllData[[#This Row],[Phosphate (PPM)]]&lt;=0.05, "No Evidence", ""))))</f>
        <v>Very high</v>
      </c>
      <c r="U1051">
        <v>0.1</v>
      </c>
      <c r="V1051" t="s">
        <v>1936</v>
      </c>
    </row>
    <row r="1052" spans="1:22" x14ac:dyDescent="0.35">
      <c r="A1052" t="s">
        <v>1932</v>
      </c>
      <c r="B1052" s="143">
        <v>45531</v>
      </c>
      <c r="C1052" s="2" t="str" cm="1">
        <f t="array" ref="C10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2">
        <f>YEAR(AllData[[#This Row],[Date]])</f>
        <v>2024</v>
      </c>
      <c r="E1052" s="1">
        <v>0.46111111111111114</v>
      </c>
      <c r="F1052" t="str">
        <f>IF(AND(AllData[[#This Row],[Time]]&lt;0.5, AllData[[#This Row],[Time]]&gt;0.17)=TRUE, "Morning", IF(AND(AllData[[#This Row],[Time]]&lt;0.75, AllData[[#This Row],[Time]]&gt;=0.5)=TRUE, "Afternoon", IF(AND(AllData[[#This Row],[Time]]&lt;1, AllData[[#This Row],[Time]]&gt;=0.75)=TRUE, "Evening", "Night")))</f>
        <v>Morning</v>
      </c>
      <c r="G1052" t="str">
        <f>_xlfn.XLOOKUP(AllData[[#This Row],[Location Name]], Locations[Location Name],Locations[Group As])</f>
        <v>Chipping Campden Craves</v>
      </c>
      <c r="H1052" t="e" vm="9">
        <f>_xlfn.XLOOKUP(AllData[[#This Row],[Site Name]],LocationsKey[Site Name],LocationsKey[District])</f>
        <v>#VALUE!</v>
      </c>
      <c r="I1052" t="e" vm="10">
        <f>_xlfn.XLOOKUP(AllData[[#This Row],[Site Name]],LocationsKey[Site Name],LocationsKey[Town])</f>
        <v>#VALUE!</v>
      </c>
      <c r="J1052" t="str">
        <f>_xlfn.XLOOKUP(AllData[[#This Row],[Site Name]],LocationsKey[Site Name], LocationsKey[Waterway])</f>
        <v>Cam Brook</v>
      </c>
      <c r="K1052" t="s">
        <v>1797</v>
      </c>
      <c r="L1052">
        <v>51.999890999999998</v>
      </c>
      <c r="M1052">
        <v>-2.1410819999999999</v>
      </c>
      <c r="N1052" t="s">
        <v>68</v>
      </c>
      <c r="O1052">
        <v>691</v>
      </c>
      <c r="P1052">
        <v>16.8</v>
      </c>
      <c r="Q1052">
        <v>5</v>
      </c>
      <c r="R1052" s="107" t="str">
        <f>IF(AllData[[#This Row],[Nitrate (PPM)]]&gt;2, "Very high", IF(AllData[[#This Row],[Nitrate (PPM)]]&gt;1, "High", IF(AllData[[#This Row],[Nitrate (PPM)]]&gt;0.5, "Some evidence", IF(AllData[[#This Row],[Nitrate (PPM)]]&gt;=0, "No evidence"))))</f>
        <v>Very high</v>
      </c>
      <c r="S1052" s="4">
        <v>0.64</v>
      </c>
      <c r="T1052" s="7" t="str">
        <f>IF(AllData[[#This Row],[Phosphate (PPM)]]&gt;0.5, "Very high", IF(AllData[[#This Row],[Phosphate (PPM)]]&gt;0.1, "High", IF(AllData[[#This Row],[Phosphate (PPM)]]&gt;0.05, "Some evidence", IF(AllData[[#This Row],[Phosphate (PPM)]]&lt;=0.05, "No Evidence", ""))))</f>
        <v>Very high</v>
      </c>
      <c r="U1052">
        <v>0</v>
      </c>
    </row>
    <row r="1053" spans="1:22" x14ac:dyDescent="0.35">
      <c r="A1053" t="s">
        <v>1934</v>
      </c>
      <c r="B1053" s="143">
        <v>45531</v>
      </c>
      <c r="C1053" s="2" t="str" cm="1">
        <f t="array" ref="C10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3">
        <f>YEAR(AllData[[#This Row],[Date]])</f>
        <v>2024</v>
      </c>
      <c r="E1053" s="1">
        <v>0.38194444444444442</v>
      </c>
      <c r="F1053" t="str">
        <f>IF(AND(AllData[[#This Row],[Time]]&lt;0.5, AllData[[#This Row],[Time]]&gt;0.17)=TRUE, "Morning", IF(AND(AllData[[#This Row],[Time]]&lt;0.75, AllData[[#This Row],[Time]]&gt;=0.5)=TRUE, "Afternoon", IF(AND(AllData[[#This Row],[Time]]&lt;1, AllData[[#This Row],[Time]]&gt;=0.75)=TRUE, "Evening", "Night")))</f>
        <v>Morning</v>
      </c>
      <c r="G1053" t="str">
        <f>_xlfn.XLOOKUP(AllData[[#This Row],[Location Name]], Locations[Location Name],Locations[Group As])</f>
        <v>Stour Whichford</v>
      </c>
      <c r="H1053" t="e" vm="1">
        <f>_xlfn.XLOOKUP(AllData[[#This Row],[Site Name]],LocationsKey[Site Name],LocationsKey[District])</f>
        <v>#VALUE!</v>
      </c>
      <c r="I1053" t="e" vm="24">
        <f>_xlfn.XLOOKUP(AllData[[#This Row],[Site Name]],LocationsKey[Site Name],LocationsKey[Town])</f>
        <v>#VALUE!</v>
      </c>
      <c r="J1053" t="str">
        <f>_xlfn.XLOOKUP(AllData[[#This Row],[Site Name]],LocationsKey[Site Name], LocationsKey[Waterway])</f>
        <v>Stour</v>
      </c>
      <c r="K1053" t="s">
        <v>980</v>
      </c>
      <c r="N1053" t="s">
        <v>31</v>
      </c>
      <c r="O1053">
        <v>101</v>
      </c>
      <c r="P1053">
        <v>16.2</v>
      </c>
      <c r="Q1053">
        <v>2</v>
      </c>
      <c r="R1053" s="107" t="str">
        <f>IF(AllData[[#This Row],[Nitrate (PPM)]]&gt;2, "Very high", IF(AllData[[#This Row],[Nitrate (PPM)]]&gt;1, "High", IF(AllData[[#This Row],[Nitrate (PPM)]]&gt;0.5, "Some evidence", IF(AllData[[#This Row],[Nitrate (PPM)]]&gt;=0, "No evidence"))))</f>
        <v>High</v>
      </c>
      <c r="S1053">
        <v>0.61</v>
      </c>
      <c r="T1053" s="7" t="str">
        <f>IF(AllData[[#This Row],[Phosphate (PPM)]]&gt;0.5, "Very high", IF(AllData[[#This Row],[Phosphate (PPM)]]&gt;0.1, "High", IF(AllData[[#This Row],[Phosphate (PPM)]]&gt;0.05, "Some evidence", IF(AllData[[#This Row],[Phosphate (PPM)]]&lt;=0.05, "No Evidence", ""))))</f>
        <v>Very high</v>
      </c>
      <c r="U1053">
        <v>5</v>
      </c>
    </row>
    <row r="1054" spans="1:22" x14ac:dyDescent="0.35">
      <c r="A1054" t="s">
        <v>1933</v>
      </c>
      <c r="B1054" s="143">
        <v>45531</v>
      </c>
      <c r="C1054" s="2" t="str" cm="1">
        <f t="array" ref="C10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4">
        <f>YEAR(AllData[[#This Row],[Date]])</f>
        <v>2024</v>
      </c>
      <c r="E1054" s="1">
        <v>0.40625</v>
      </c>
      <c r="F1054" t="str">
        <f>IF(AND(AllData[[#This Row],[Time]]&lt;0.5, AllData[[#This Row],[Time]]&gt;0.17)=TRUE, "Morning", IF(AND(AllData[[#This Row],[Time]]&lt;0.75, AllData[[#This Row],[Time]]&gt;=0.5)=TRUE, "Afternoon", IF(AND(AllData[[#This Row],[Time]]&lt;1, AllData[[#This Row],[Time]]&gt;=0.75)=TRUE, "Evening", "Night")))</f>
        <v>Morning</v>
      </c>
      <c r="G1054" t="str">
        <f>_xlfn.XLOOKUP(AllData[[#This Row],[Location Name]], Locations[Location Name],Locations[Group As])</f>
        <v>Stour Ascott Village</v>
      </c>
      <c r="H1054" t="e" vm="1">
        <f>_xlfn.XLOOKUP(AllData[[#This Row],[Site Name]],LocationsKey[Site Name],LocationsKey[District])</f>
        <v>#VALUE!</v>
      </c>
      <c r="I1054" t="e" vm="25">
        <f>_xlfn.XLOOKUP(AllData[[#This Row],[Site Name]],LocationsKey[Site Name],LocationsKey[Town])</f>
        <v>#VALUE!</v>
      </c>
      <c r="J1054" t="str">
        <f>_xlfn.XLOOKUP(AllData[[#This Row],[Site Name]],LocationsKey[Site Name], LocationsKey[Waterway])</f>
        <v>Stour</v>
      </c>
      <c r="K1054" t="s">
        <v>1441</v>
      </c>
      <c r="N1054" t="s">
        <v>68</v>
      </c>
      <c r="O1054">
        <v>4.9800000000000004</v>
      </c>
      <c r="P1054">
        <v>16.100000000000001</v>
      </c>
      <c r="Q1054">
        <v>0.5</v>
      </c>
      <c r="R1054" s="107" t="str">
        <f>IF(AllData[[#This Row],[Nitrate (PPM)]]&gt;2, "Very high", IF(AllData[[#This Row],[Nitrate (PPM)]]&gt;1, "High", IF(AllData[[#This Row],[Nitrate (PPM)]]&gt;0.5, "Some evidence", IF(AllData[[#This Row],[Nitrate (PPM)]]&gt;=0, "No evidence"))))</f>
        <v>No evidence</v>
      </c>
      <c r="S1054">
        <v>0.45</v>
      </c>
      <c r="T1054" s="7" t="str">
        <f>IF(AllData[[#This Row],[Phosphate (PPM)]]&gt;0.5, "Very high", IF(AllData[[#This Row],[Phosphate (PPM)]]&gt;0.1, "High", IF(AllData[[#This Row],[Phosphate (PPM)]]&gt;0.05, "Some evidence", IF(AllData[[#This Row],[Phosphate (PPM)]]&lt;=0.05, "No Evidence", ""))))</f>
        <v>High</v>
      </c>
      <c r="U1054">
        <v>4</v>
      </c>
    </row>
    <row r="1055" spans="1:22" x14ac:dyDescent="0.35">
      <c r="A1055" t="s">
        <v>1924</v>
      </c>
      <c r="B1055" s="143">
        <v>45530</v>
      </c>
      <c r="C1055" s="2" t="str" cm="1">
        <f t="array" ref="C10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5">
        <f>YEAR(AllData[[#This Row],[Date]])</f>
        <v>2024</v>
      </c>
      <c r="E1055" s="1">
        <v>0.33819444444444446</v>
      </c>
      <c r="F1055" t="str">
        <f>IF(AND(AllData[[#This Row],[Time]]&lt;0.5, AllData[[#This Row],[Time]]&gt;0.17)=TRUE, "Morning", IF(AND(AllData[[#This Row],[Time]]&lt;0.75, AllData[[#This Row],[Time]]&gt;=0.5)=TRUE, "Afternoon", IF(AND(AllData[[#This Row],[Time]]&lt;1, AllData[[#This Row],[Time]]&gt;=0.75)=TRUE, "Evening", "Night")))</f>
        <v>Morning</v>
      </c>
      <c r="G1055" t="str">
        <f>_xlfn.XLOOKUP(AllData[[#This Row],[Location Name]], Locations[Location Name],Locations[Group As])</f>
        <v>Lower Lode</v>
      </c>
      <c r="H1055" t="e" vm="4">
        <f>_xlfn.XLOOKUP(AllData[[#This Row],[Site Name]],LocationsKey[Site Name],LocationsKey[District])</f>
        <v>#VALUE!</v>
      </c>
      <c r="I1055" t="e" vm="4">
        <f>_xlfn.XLOOKUP(AllData[[#This Row],[Site Name]],LocationsKey[Site Name],LocationsKey[Town])</f>
        <v>#VALUE!</v>
      </c>
      <c r="J1055" t="str">
        <f>_xlfn.XLOOKUP(AllData[[#This Row],[Site Name]],LocationsKey[Site Name], LocationsKey[Waterway])</f>
        <v>Avon</v>
      </c>
      <c r="K1055" t="s">
        <v>595</v>
      </c>
      <c r="L1055">
        <v>51.985056999999998</v>
      </c>
      <c r="M1055">
        <v>-2.1741519999999999</v>
      </c>
      <c r="N1055" t="s">
        <v>31</v>
      </c>
      <c r="O1055">
        <v>1030</v>
      </c>
      <c r="P1055">
        <v>17.8</v>
      </c>
      <c r="Q1055">
        <v>10</v>
      </c>
      <c r="R1055" s="107" t="str">
        <f>IF(AllData[[#This Row],[Nitrate (PPM)]]&gt;2, "Very high", IF(AllData[[#This Row],[Nitrate (PPM)]]&gt;1, "High", IF(AllData[[#This Row],[Nitrate (PPM)]]&gt;0.5, "Some evidence", IF(AllData[[#This Row],[Nitrate (PPM)]]&gt;=0, "No evidence"))))</f>
        <v>Very high</v>
      </c>
      <c r="S1055" s="4">
        <v>0.82</v>
      </c>
      <c r="T1055" s="7" t="str">
        <f>IF(AllData[[#This Row],[Phosphate (PPM)]]&gt;0.5, "Very high", IF(AllData[[#This Row],[Phosphate (PPM)]]&gt;0.1, "High", IF(AllData[[#This Row],[Phosphate (PPM)]]&gt;0.05, "Some evidence", IF(AllData[[#This Row],[Phosphate (PPM)]]&lt;=0.05, "No Evidence", ""))))</f>
        <v>Very high</v>
      </c>
      <c r="U1055">
        <v>0</v>
      </c>
    </row>
    <row r="1056" spans="1:22" x14ac:dyDescent="0.35">
      <c r="A1056" t="s">
        <v>1923</v>
      </c>
      <c r="B1056" s="143">
        <v>45530</v>
      </c>
      <c r="C1056" s="2" t="str" cm="1">
        <f t="array" ref="C10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6">
        <f>YEAR(AllData[[#This Row],[Date]])</f>
        <v>2024</v>
      </c>
      <c r="E1056" s="1">
        <v>0.33333333333333331</v>
      </c>
      <c r="F1056" t="str">
        <f>IF(AND(AllData[[#This Row],[Time]]&lt;0.5, AllData[[#This Row],[Time]]&gt;0.17)=TRUE, "Morning", IF(AND(AllData[[#This Row],[Time]]&lt;0.75, AllData[[#This Row],[Time]]&gt;=0.5)=TRUE, "Afternoon", IF(AND(AllData[[#This Row],[Time]]&lt;1, AllData[[#This Row],[Time]]&gt;=0.75)=TRUE, "Evening", "Night")))</f>
        <v>Morning</v>
      </c>
      <c r="G1056" t="str">
        <f>_xlfn.XLOOKUP(AllData[[#This Row],[Location Name]], Locations[Location Name],Locations[Group As])</f>
        <v>Carrant M5 Bridge</v>
      </c>
      <c r="H1056" t="e" vm="4">
        <f>_xlfn.XLOOKUP(AllData[[#This Row],[Site Name]],LocationsKey[Site Name],LocationsKey[District])</f>
        <v>#VALUE!</v>
      </c>
      <c r="I1056" t="e" vm="4">
        <f>_xlfn.XLOOKUP(AllData[[#This Row],[Site Name]],LocationsKey[Site Name],LocationsKey[Town])</f>
        <v>#VALUE!</v>
      </c>
      <c r="J1056" t="str">
        <f>_xlfn.XLOOKUP(AllData[[#This Row],[Site Name]],LocationsKey[Site Name], LocationsKey[Waterway])</f>
        <v>Carrant</v>
      </c>
      <c r="K1056" t="s">
        <v>1144</v>
      </c>
      <c r="N1056" t="s">
        <v>25</v>
      </c>
      <c r="O1056">
        <v>518</v>
      </c>
      <c r="P1056">
        <v>17.899999999999999</v>
      </c>
      <c r="Q1056">
        <v>6</v>
      </c>
      <c r="R1056" s="107" t="str">
        <f>IF(AllData[[#This Row],[Nitrate (PPM)]]&gt;2, "Very high", IF(AllData[[#This Row],[Nitrate (PPM)]]&gt;1, "High", IF(AllData[[#This Row],[Nitrate (PPM)]]&gt;0.5, "Some evidence", IF(AllData[[#This Row],[Nitrate (PPM)]]&gt;=0, "No evidence"))))</f>
        <v>Very high</v>
      </c>
      <c r="S1056" s="4">
        <v>0.4</v>
      </c>
      <c r="T1056" s="7" t="str">
        <f>IF(AllData[[#This Row],[Phosphate (PPM)]]&gt;0.5, "Very high", IF(AllData[[#This Row],[Phosphate (PPM)]]&gt;0.1, "High", IF(AllData[[#This Row],[Phosphate (PPM)]]&gt;0.05, "Some evidence", IF(AllData[[#This Row],[Phosphate (PPM)]]&lt;=0.05, "No Evidence", ""))))</f>
        <v>High</v>
      </c>
      <c r="U1056">
        <v>0</v>
      </c>
    </row>
    <row r="1057" spans="1:22" x14ac:dyDescent="0.35">
      <c r="A1057" t="s">
        <v>1925</v>
      </c>
      <c r="B1057" s="143">
        <v>45530</v>
      </c>
      <c r="C1057" s="2" t="str" cm="1">
        <f t="array" ref="C10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7">
        <f>YEAR(AllData[[#This Row],[Date]])</f>
        <v>2024</v>
      </c>
      <c r="E1057" s="1">
        <v>0.36458333333333331</v>
      </c>
      <c r="F1057" t="str">
        <f>IF(AND(AllData[[#This Row],[Time]]&lt;0.5, AllData[[#This Row],[Time]]&gt;0.17)=TRUE, "Morning", IF(AND(AllData[[#This Row],[Time]]&lt;0.75, AllData[[#This Row],[Time]]&gt;=0.5)=TRUE, "Afternoon", IF(AND(AllData[[#This Row],[Time]]&lt;1, AllData[[#This Row],[Time]]&gt;=0.75)=TRUE, "Evening", "Night")))</f>
        <v>Morning</v>
      </c>
      <c r="G1057" t="str">
        <f>_xlfn.XLOOKUP(AllData[[#This Row],[Location Name]], Locations[Location Name],Locations[Group As])</f>
        <v>Chipping Campden Sewage Works</v>
      </c>
      <c r="H1057" t="e" vm="9">
        <f>_xlfn.XLOOKUP(AllData[[#This Row],[Site Name]],LocationsKey[Site Name],LocationsKey[District])</f>
        <v>#VALUE!</v>
      </c>
      <c r="I1057" t="e" vm="10">
        <f>_xlfn.XLOOKUP(AllData[[#This Row],[Site Name]],LocationsKey[Site Name],LocationsKey[Town])</f>
        <v>#VALUE!</v>
      </c>
      <c r="J1057" t="str">
        <f>_xlfn.XLOOKUP(AllData[[#This Row],[Site Name]],LocationsKey[Site Name], LocationsKey[Waterway])</f>
        <v>Cam Brook</v>
      </c>
      <c r="K1057" t="s">
        <v>1570</v>
      </c>
      <c r="L1057">
        <v>52.052208999999998</v>
      </c>
      <c r="M1057">
        <v>-1.761666</v>
      </c>
      <c r="N1057" t="s">
        <v>31</v>
      </c>
      <c r="O1057">
        <v>727</v>
      </c>
      <c r="P1057">
        <v>15.8</v>
      </c>
      <c r="Q1057">
        <v>5</v>
      </c>
      <c r="R1057" s="107" t="str">
        <f>IF(AllData[[#This Row],[Nitrate (PPM)]]&gt;2, "Very high", IF(AllData[[#This Row],[Nitrate (PPM)]]&gt;1, "High", IF(AllData[[#This Row],[Nitrate (PPM)]]&gt;0.5, "Some evidence", IF(AllData[[#This Row],[Nitrate (PPM)]]&gt;=0, "No evidence"))))</f>
        <v>Very high</v>
      </c>
      <c r="S1057" s="4">
        <v>0.26</v>
      </c>
      <c r="T1057" s="7" t="str">
        <f>IF(AllData[[#This Row],[Phosphate (PPM)]]&gt;0.5, "Very high", IF(AllData[[#This Row],[Phosphate (PPM)]]&gt;0.1, "High", IF(AllData[[#This Row],[Phosphate (PPM)]]&gt;0.05, "Some evidence", IF(AllData[[#This Row],[Phosphate (PPM)]]&lt;=0.05, "No Evidence", ""))))</f>
        <v>High</v>
      </c>
      <c r="U1057">
        <v>0.23</v>
      </c>
    </row>
    <row r="1058" spans="1:22" x14ac:dyDescent="0.35">
      <c r="A1058" t="s">
        <v>1927</v>
      </c>
      <c r="B1058" s="143">
        <v>45530</v>
      </c>
      <c r="C1058" s="2" t="str" cm="1">
        <f t="array" ref="C10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8">
        <f>YEAR(AllData[[#This Row],[Date]])</f>
        <v>2024</v>
      </c>
      <c r="E1058" s="1">
        <v>0.50069444444444444</v>
      </c>
      <c r="F1058" t="str">
        <f>IF(AND(AllData[[#This Row],[Time]]&lt;0.5, AllData[[#This Row],[Time]]&gt;0.17)=TRUE, "Morning", IF(AND(AllData[[#This Row],[Time]]&lt;0.75, AllData[[#This Row],[Time]]&gt;=0.5)=TRUE, "Afternoon", IF(AND(AllData[[#This Row],[Time]]&lt;1, AllData[[#This Row],[Time]]&gt;=0.75)=TRUE, "Evening", "Night")))</f>
        <v>Afternoon</v>
      </c>
      <c r="G1058" t="str">
        <f>_xlfn.XLOOKUP(AllData[[#This Row],[Location Name]], Locations[Location Name],Locations[Group As])</f>
        <v>Fell Mill Footbridge</v>
      </c>
      <c r="H1058" t="e" vm="1">
        <f>_xlfn.XLOOKUP(AllData[[#This Row],[Site Name]],LocationsKey[Site Name],LocationsKey[District])</f>
        <v>#VALUE!</v>
      </c>
      <c r="I1058" t="e" vm="15">
        <f>_xlfn.XLOOKUP(AllData[[#This Row],[Site Name]],LocationsKey[Site Name],LocationsKey[Town])</f>
        <v>#VALUE!</v>
      </c>
      <c r="J1058" t="str">
        <f>_xlfn.XLOOKUP(AllData[[#This Row],[Site Name]],LocationsKey[Site Name], LocationsKey[Waterway])</f>
        <v>Stour</v>
      </c>
      <c r="K1058" t="s">
        <v>1928</v>
      </c>
      <c r="L1058">
        <v>52.070086000000003</v>
      </c>
      <c r="M1058">
        <v>-1.61145</v>
      </c>
      <c r="N1058" t="s">
        <v>31</v>
      </c>
      <c r="O1058">
        <v>675</v>
      </c>
      <c r="P1058">
        <v>15.8</v>
      </c>
      <c r="Q1058">
        <v>5</v>
      </c>
      <c r="R1058" s="107" t="str">
        <f>IF(AllData[[#This Row],[Nitrate (PPM)]]&gt;2, "Very high", IF(AllData[[#This Row],[Nitrate (PPM)]]&gt;1, "High", IF(AllData[[#This Row],[Nitrate (PPM)]]&gt;0.5, "Some evidence", IF(AllData[[#This Row],[Nitrate (PPM)]]&gt;=0, "No evidence"))))</f>
        <v>Very high</v>
      </c>
      <c r="S1058" s="4">
        <v>0.52</v>
      </c>
      <c r="T1058" s="7" t="str">
        <f>IF(AllData[[#This Row],[Phosphate (PPM)]]&gt;0.5, "Very high", IF(AllData[[#This Row],[Phosphate (PPM)]]&gt;0.1, "High", IF(AllData[[#This Row],[Phosphate (PPM)]]&gt;0.05, "Some evidence", IF(AllData[[#This Row],[Phosphate (PPM)]]&lt;=0.05, "No Evidence", ""))))</f>
        <v>Very high</v>
      </c>
      <c r="U1058">
        <v>1.2</v>
      </c>
      <c r="V1058" t="s">
        <v>1929</v>
      </c>
    </row>
    <row r="1059" spans="1:22" x14ac:dyDescent="0.35">
      <c r="A1059" t="s">
        <v>1926</v>
      </c>
      <c r="B1059" s="143">
        <v>45530</v>
      </c>
      <c r="C1059" s="2" t="str" cm="1">
        <f t="array" ref="C10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59">
        <f>YEAR(AllData[[#This Row],[Date]])</f>
        <v>2024</v>
      </c>
      <c r="E1059" s="1">
        <v>0.46180555555555558</v>
      </c>
      <c r="F1059" t="str">
        <f>IF(AND(AllData[[#This Row],[Time]]&lt;0.5, AllData[[#This Row],[Time]]&gt;0.17)=TRUE, "Morning", IF(AND(AllData[[#This Row],[Time]]&lt;0.75, AllData[[#This Row],[Time]]&gt;=0.5)=TRUE, "Afternoon", IF(AND(AllData[[#This Row],[Time]]&lt;1, AllData[[#This Row],[Time]]&gt;=0.75)=TRUE, "Evening", "Night")))</f>
        <v>Morning</v>
      </c>
      <c r="G1059" t="str">
        <f>_xlfn.XLOOKUP(AllData[[#This Row],[Location Name]], Locations[Location Name],Locations[Group As])</f>
        <v>Chipping Campden Lady J Gateway</v>
      </c>
      <c r="H1059" t="e" vm="9">
        <f>_xlfn.XLOOKUP(AllData[[#This Row],[Site Name]],LocationsKey[Site Name],LocationsKey[District])</f>
        <v>#VALUE!</v>
      </c>
      <c r="I1059" t="e" vm="10">
        <f>_xlfn.XLOOKUP(AllData[[#This Row],[Site Name]],LocationsKey[Site Name],LocationsKey[Town])</f>
        <v>#VALUE!</v>
      </c>
      <c r="J1059" t="str">
        <f>_xlfn.XLOOKUP(AllData[[#This Row],[Site Name]],LocationsKey[Site Name], LocationsKey[Waterway])</f>
        <v>Cam Brook</v>
      </c>
      <c r="K1059" t="s">
        <v>1573</v>
      </c>
      <c r="N1059" t="s">
        <v>68</v>
      </c>
      <c r="O1059">
        <v>492</v>
      </c>
      <c r="P1059">
        <v>20.8</v>
      </c>
      <c r="Q1059">
        <v>5</v>
      </c>
      <c r="R1059" s="107" t="str">
        <f>IF(AllData[[#This Row],[Nitrate (PPM)]]&gt;2, "Very high", IF(AllData[[#This Row],[Nitrate (PPM)]]&gt;1, "High", IF(AllData[[#This Row],[Nitrate (PPM)]]&gt;0.5, "Some evidence", IF(AllData[[#This Row],[Nitrate (PPM)]]&gt;=0, "No evidence"))))</f>
        <v>Very high</v>
      </c>
      <c r="S1059" s="4">
        <v>0.18</v>
      </c>
      <c r="T1059" s="7" t="str">
        <f>IF(AllData[[#This Row],[Phosphate (PPM)]]&gt;0.5, "Very high", IF(AllData[[#This Row],[Phosphate (PPM)]]&gt;0.1, "High", IF(AllData[[#This Row],[Phosphate (PPM)]]&gt;0.05, "Some evidence", IF(AllData[[#This Row],[Phosphate (PPM)]]&lt;=0.05, "No Evidence", ""))))</f>
        <v>High</v>
      </c>
      <c r="U1059">
        <v>0.05</v>
      </c>
    </row>
    <row r="1060" spans="1:22" x14ac:dyDescent="0.35">
      <c r="A1060" t="s">
        <v>1919</v>
      </c>
      <c r="B1060" s="143">
        <v>45529</v>
      </c>
      <c r="C1060" s="2" t="str" cm="1">
        <f t="array" ref="C10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0">
        <f>YEAR(AllData[[#This Row],[Date]])</f>
        <v>2024</v>
      </c>
      <c r="E1060" s="1">
        <v>0.39583333333333331</v>
      </c>
      <c r="F1060" t="str">
        <f>IF(AND(AllData[[#This Row],[Time]]&lt;0.5, AllData[[#This Row],[Time]]&gt;0.17)=TRUE, "Morning", IF(AND(AllData[[#This Row],[Time]]&lt;0.75, AllData[[#This Row],[Time]]&gt;=0.5)=TRUE, "Afternoon", IF(AND(AllData[[#This Row],[Time]]&lt;1, AllData[[#This Row],[Time]]&gt;=0.75)=TRUE, "Evening", "Night")))</f>
        <v>Morning</v>
      </c>
      <c r="G1060" t="str">
        <f>_xlfn.XLOOKUP(AllData[[#This Row],[Location Name]], Locations[Location Name],Locations[Group As])</f>
        <v>Bell Brook 1</v>
      </c>
      <c r="H1060" t="e" vm="1">
        <f>_xlfn.XLOOKUP(AllData[[#This Row],[Site Name]],LocationsKey[Site Name],LocationsKey[District])</f>
        <v>#VALUE!</v>
      </c>
      <c r="I1060" t="e" vm="19">
        <f>_xlfn.XLOOKUP(AllData[[#This Row],[Site Name]],LocationsKey[Site Name],LocationsKey[Town])</f>
        <v>#VALUE!</v>
      </c>
      <c r="J1060" t="str">
        <f>_xlfn.XLOOKUP(AllData[[#This Row],[Site Name]],LocationsKey[Site Name], LocationsKey[Waterway])</f>
        <v>Bell Brook</v>
      </c>
      <c r="K1060" t="s">
        <v>538</v>
      </c>
      <c r="L1060">
        <v>52.244900000000001</v>
      </c>
      <c r="M1060">
        <v>-1.6617</v>
      </c>
      <c r="N1060" t="s">
        <v>25</v>
      </c>
      <c r="O1060">
        <v>887</v>
      </c>
      <c r="P1060">
        <v>14.1</v>
      </c>
      <c r="Q1060">
        <v>20</v>
      </c>
      <c r="R1060" s="107" t="str">
        <f>IF(AllData[[#This Row],[Nitrate (PPM)]]&gt;2, "Very high", IF(AllData[[#This Row],[Nitrate (PPM)]]&gt;1, "High", IF(AllData[[#This Row],[Nitrate (PPM)]]&gt;0.5, "Some evidence", IF(AllData[[#This Row],[Nitrate (PPM)]]&gt;=0, "No evidence"))))</f>
        <v>Very high</v>
      </c>
      <c r="S1060" s="4">
        <v>0.73</v>
      </c>
      <c r="T1060" s="7" t="str">
        <f>IF(AllData[[#This Row],[Phosphate (PPM)]]&gt;0.5, "Very high", IF(AllData[[#This Row],[Phosphate (PPM)]]&gt;0.1, "High", IF(AllData[[#This Row],[Phosphate (PPM)]]&gt;0.05, "Some evidence", IF(AllData[[#This Row],[Phosphate (PPM)]]&lt;=0.05, "No Evidence", ""))))</f>
        <v>Very high</v>
      </c>
      <c r="U1060">
        <v>0.15</v>
      </c>
    </row>
    <row r="1061" spans="1:22" x14ac:dyDescent="0.35">
      <c r="A1061" t="s">
        <v>1918</v>
      </c>
      <c r="B1061" s="143">
        <v>45529</v>
      </c>
      <c r="C1061" s="2" t="str" cm="1">
        <f t="array" ref="C10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1">
        <f>YEAR(AllData[[#This Row],[Date]])</f>
        <v>2024</v>
      </c>
      <c r="E1061" s="1">
        <v>0.38541666666666669</v>
      </c>
      <c r="F1061" t="str">
        <f>IF(AND(AllData[[#This Row],[Time]]&lt;0.5, AllData[[#This Row],[Time]]&gt;0.17)=TRUE, "Morning", IF(AND(AllData[[#This Row],[Time]]&lt;0.75, AllData[[#This Row],[Time]]&gt;=0.5)=TRUE, "Afternoon", IF(AND(AllData[[#This Row],[Time]]&lt;1, AllData[[#This Row],[Time]]&gt;=0.75)=TRUE, "Evening", "Night")))</f>
        <v>Morning</v>
      </c>
      <c r="G1061" t="str">
        <f>_xlfn.XLOOKUP(AllData[[#This Row],[Location Name]], Locations[Location Name],Locations[Group As])</f>
        <v>Sherbourne Brook 1</v>
      </c>
      <c r="H1061" t="e" vm="1">
        <f>_xlfn.XLOOKUP(AllData[[#This Row],[Site Name]],LocationsKey[Site Name],LocationsKey[District])</f>
        <v>#VALUE!</v>
      </c>
      <c r="I1061" t="e" vm="23">
        <f>_xlfn.XLOOKUP(AllData[[#This Row],[Site Name]],LocationsKey[Site Name],LocationsKey[Town])</f>
        <v>#VALUE!</v>
      </c>
      <c r="J1061" t="str">
        <f>_xlfn.XLOOKUP(AllData[[#This Row],[Site Name]],LocationsKey[Site Name], LocationsKey[Waterway])</f>
        <v>Sherbourne Brook</v>
      </c>
      <c r="K1061" t="s">
        <v>541</v>
      </c>
      <c r="L1061">
        <v>52.252499999999998</v>
      </c>
      <c r="M1061">
        <v>-1.6685000000000001</v>
      </c>
      <c r="N1061" t="s">
        <v>25</v>
      </c>
      <c r="O1061">
        <v>1110</v>
      </c>
      <c r="P1061">
        <v>14</v>
      </c>
      <c r="Q1061">
        <v>10</v>
      </c>
      <c r="R1061" s="107" t="str">
        <f>IF(AllData[[#This Row],[Nitrate (PPM)]]&gt;2, "Very high", IF(AllData[[#This Row],[Nitrate (PPM)]]&gt;1, "High", IF(AllData[[#This Row],[Nitrate (PPM)]]&gt;0.5, "Some evidence", IF(AllData[[#This Row],[Nitrate (PPM)]]&gt;=0, "No evidence"))))</f>
        <v>Very high</v>
      </c>
      <c r="S1061" s="4">
        <v>0.26</v>
      </c>
      <c r="T1061" s="7" t="str">
        <f>IF(AllData[[#This Row],[Phosphate (PPM)]]&gt;0.5, "Very high", IF(AllData[[#This Row],[Phosphate (PPM)]]&gt;0.1, "High", IF(AllData[[#This Row],[Phosphate (PPM)]]&gt;0.05, "Some evidence", IF(AllData[[#This Row],[Phosphate (PPM)]]&lt;=0.05, "No Evidence", ""))))</f>
        <v>High</v>
      </c>
      <c r="U1061">
        <v>0.15</v>
      </c>
    </row>
    <row r="1062" spans="1:22" x14ac:dyDescent="0.35">
      <c r="A1062" t="s">
        <v>1922</v>
      </c>
      <c r="B1062" s="143">
        <v>45529</v>
      </c>
      <c r="C1062" s="2" t="str" cm="1">
        <f t="array" ref="C10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2">
        <f>YEAR(AllData[[#This Row],[Date]])</f>
        <v>2024</v>
      </c>
      <c r="E1062" s="1">
        <v>0.62638888888888888</v>
      </c>
      <c r="F1062" t="str">
        <f>IF(AND(AllData[[#This Row],[Time]]&lt;0.5, AllData[[#This Row],[Time]]&gt;0.17)=TRUE, "Morning", IF(AND(AllData[[#This Row],[Time]]&lt;0.75, AllData[[#This Row],[Time]]&gt;=0.5)=TRUE, "Afternoon", IF(AND(AllData[[#This Row],[Time]]&lt;1, AllData[[#This Row],[Time]]&gt;=0.75)=TRUE, "Evening", "Night")))</f>
        <v>Afternoon</v>
      </c>
      <c r="G1062" t="str">
        <f>_xlfn.XLOOKUP(AllData[[#This Row],[Location Name]], Locations[Location Name],Locations[Group As])</f>
        <v>Black Bear</v>
      </c>
      <c r="H1062" t="e" vm="4">
        <f>_xlfn.XLOOKUP(AllData[[#This Row],[Site Name]],LocationsKey[Site Name],LocationsKey[District])</f>
        <v>#VALUE!</v>
      </c>
      <c r="I1062" t="e" vm="4">
        <f>_xlfn.XLOOKUP(AllData[[#This Row],[Site Name]],LocationsKey[Site Name],LocationsKey[Town])</f>
        <v>#VALUE!</v>
      </c>
      <c r="J1062" t="str">
        <f>_xlfn.XLOOKUP(AllData[[#This Row],[Site Name]],LocationsKey[Site Name], LocationsKey[Waterway])</f>
        <v>Avon</v>
      </c>
      <c r="K1062" t="s">
        <v>572</v>
      </c>
      <c r="L1062">
        <v>51.99765</v>
      </c>
      <c r="M1062">
        <v>-2.156326</v>
      </c>
      <c r="N1062" t="s">
        <v>25</v>
      </c>
      <c r="O1062">
        <v>106</v>
      </c>
      <c r="P1062">
        <v>18.399999999999999</v>
      </c>
      <c r="Q1062">
        <v>10</v>
      </c>
      <c r="R1062" s="107" t="str">
        <f>IF(AllData[[#This Row],[Nitrate (PPM)]]&gt;2, "Very high", IF(AllData[[#This Row],[Nitrate (PPM)]]&gt;1, "High", IF(AllData[[#This Row],[Nitrate (PPM)]]&gt;0.5, "Some evidence", IF(AllData[[#This Row],[Nitrate (PPM)]]&gt;=0, "No evidence"))))</f>
        <v>Very high</v>
      </c>
      <c r="S1062" s="4">
        <v>0.9</v>
      </c>
      <c r="T1062" s="7" t="str">
        <f>IF(AllData[[#This Row],[Phosphate (PPM)]]&gt;0.5, "Very high", IF(AllData[[#This Row],[Phosphate (PPM)]]&gt;0.1, "High", IF(AllData[[#This Row],[Phosphate (PPM)]]&gt;0.05, "Some evidence", IF(AllData[[#This Row],[Phosphate (PPM)]]&lt;=0.05, "No Evidence", ""))))</f>
        <v>Very high</v>
      </c>
      <c r="U1062">
        <v>0</v>
      </c>
    </row>
    <row r="1063" spans="1:22" x14ac:dyDescent="0.35">
      <c r="A1063" t="s">
        <v>1921</v>
      </c>
      <c r="B1063" s="143">
        <v>45529</v>
      </c>
      <c r="C1063" s="2" t="str" cm="1">
        <f t="array" ref="C10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3">
        <f>YEAR(AllData[[#This Row],[Date]])</f>
        <v>2024</v>
      </c>
      <c r="E1063" s="1">
        <v>0.4201388888888889</v>
      </c>
      <c r="F1063" t="str">
        <f>IF(AND(AllData[[#This Row],[Time]]&lt;0.5, AllData[[#This Row],[Time]]&gt;0.17)=TRUE, "Morning", IF(AND(AllData[[#This Row],[Time]]&lt;0.75, AllData[[#This Row],[Time]]&gt;=0.5)=TRUE, "Afternoon", IF(AND(AllData[[#This Row],[Time]]&lt;1, AllData[[#This Row],[Time]]&gt;=0.75)=TRUE, "Evening", "Night")))</f>
        <v>Morning</v>
      </c>
      <c r="G1063" t="str">
        <f>_xlfn.XLOOKUP(AllData[[#This Row],[Location Name]], Locations[Location Name],Locations[Group As])</f>
        <v>Chipping Campden Craves</v>
      </c>
      <c r="H1063" t="e" vm="9">
        <f>_xlfn.XLOOKUP(AllData[[#This Row],[Site Name]],LocationsKey[Site Name],LocationsKey[District])</f>
        <v>#VALUE!</v>
      </c>
      <c r="I1063" t="e" vm="10">
        <f>_xlfn.XLOOKUP(AllData[[#This Row],[Site Name]],LocationsKey[Site Name],LocationsKey[Town])</f>
        <v>#VALUE!</v>
      </c>
      <c r="J1063" t="str">
        <f>_xlfn.XLOOKUP(AllData[[#This Row],[Site Name]],LocationsKey[Site Name], LocationsKey[Waterway])</f>
        <v>Cam Brook</v>
      </c>
      <c r="K1063" t="s">
        <v>1797</v>
      </c>
      <c r="N1063" t="s">
        <v>68</v>
      </c>
      <c r="O1063">
        <v>1102</v>
      </c>
      <c r="P1063">
        <v>21.7</v>
      </c>
      <c r="Q1063">
        <v>5</v>
      </c>
      <c r="R1063" s="107" t="str">
        <f>IF(AllData[[#This Row],[Nitrate (PPM)]]&gt;2, "Very high", IF(AllData[[#This Row],[Nitrate (PPM)]]&gt;1, "High", IF(AllData[[#This Row],[Nitrate (PPM)]]&gt;0.5, "Some evidence", IF(AllData[[#This Row],[Nitrate (PPM)]]&gt;=0, "No evidence"))))</f>
        <v>Very high</v>
      </c>
      <c r="S1063" s="4">
        <v>0.44</v>
      </c>
      <c r="T1063" s="7" t="str">
        <f>IF(AllData[[#This Row],[Phosphate (PPM)]]&gt;0.5, "Very high", IF(AllData[[#This Row],[Phosphate (PPM)]]&gt;0.1, "High", IF(AllData[[#This Row],[Phosphate (PPM)]]&gt;0.05, "Some evidence", IF(AllData[[#This Row],[Phosphate (PPM)]]&lt;=0.05, "No Evidence", ""))))</f>
        <v>High</v>
      </c>
      <c r="U1063">
        <v>1</v>
      </c>
    </row>
    <row r="1064" spans="1:22" x14ac:dyDescent="0.35">
      <c r="A1064" t="s">
        <v>1920</v>
      </c>
      <c r="B1064" s="143">
        <v>45529</v>
      </c>
      <c r="C1064" s="2" t="str" cm="1">
        <f t="array" ref="C10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4">
        <f>YEAR(AllData[[#This Row],[Date]])</f>
        <v>2024</v>
      </c>
      <c r="E1064" s="1">
        <v>0.41875000000000001</v>
      </c>
      <c r="F1064" t="str">
        <f>IF(AND(AllData[[#This Row],[Time]]&lt;0.5, AllData[[#This Row],[Time]]&gt;0.17)=TRUE, "Morning", IF(AND(AllData[[#This Row],[Time]]&lt;0.75, AllData[[#This Row],[Time]]&gt;=0.5)=TRUE, "Afternoon", IF(AND(AllData[[#This Row],[Time]]&lt;1, AllData[[#This Row],[Time]]&gt;=0.75)=TRUE, "Evening", "Night")))</f>
        <v>Morning</v>
      </c>
      <c r="G1064" t="str">
        <f>_xlfn.XLOOKUP(AllData[[#This Row],[Location Name]], Locations[Location Name],Locations[Group As])</f>
        <v>Pitch 16</v>
      </c>
      <c r="H1064" t="e" vm="1">
        <f>_xlfn.XLOOKUP(AllData[[#This Row],[Site Name]],LocationsKey[Site Name],LocationsKey[District])</f>
        <v>#VALUE!</v>
      </c>
      <c r="I1064" t="e" vm="12">
        <f>_xlfn.XLOOKUP(AllData[[#This Row],[Site Name]],LocationsKey[Site Name],LocationsKey[Town])</f>
        <v>#VALUE!</v>
      </c>
      <c r="J1064" t="str">
        <f>_xlfn.XLOOKUP(AllData[[#This Row],[Site Name]],LocationsKey[Site Name], LocationsKey[Waterway])</f>
        <v>Avon</v>
      </c>
      <c r="K1064" t="s">
        <v>71</v>
      </c>
      <c r="N1064" t="s">
        <v>31</v>
      </c>
      <c r="O1064">
        <v>875</v>
      </c>
      <c r="P1064">
        <v>22.2</v>
      </c>
      <c r="Q1064">
        <v>5</v>
      </c>
      <c r="R1064" s="107" t="str">
        <f>IF(AllData[[#This Row],[Nitrate (PPM)]]&gt;2, "Very high", IF(AllData[[#This Row],[Nitrate (PPM)]]&gt;1, "High", IF(AllData[[#This Row],[Nitrate (PPM)]]&gt;0.5, "Some evidence", IF(AllData[[#This Row],[Nitrate (PPM)]]&gt;=0, "No evidence"))))</f>
        <v>Very high</v>
      </c>
      <c r="S1064" s="4">
        <v>0.61</v>
      </c>
      <c r="T1064" s="7" t="str">
        <f>IF(AllData[[#This Row],[Phosphate (PPM)]]&gt;0.5, "Very high", IF(AllData[[#This Row],[Phosphate (PPM)]]&gt;0.1, "High", IF(AllData[[#This Row],[Phosphate (PPM)]]&gt;0.05, "Some evidence", IF(AllData[[#This Row],[Phosphate (PPM)]]&lt;=0.05, "No Evidence", ""))))</f>
        <v>Very high</v>
      </c>
      <c r="U1064">
        <v>1</v>
      </c>
    </row>
    <row r="1065" spans="1:22" x14ac:dyDescent="0.35">
      <c r="A1065" t="s">
        <v>1899</v>
      </c>
      <c r="B1065" s="143">
        <v>45528</v>
      </c>
      <c r="C1065" s="2" t="str" cm="1">
        <f t="array" ref="C10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5">
        <f>YEAR(AllData[[#This Row],[Date]])</f>
        <v>2024</v>
      </c>
      <c r="E1065" s="1">
        <v>0.39652777777777776</v>
      </c>
      <c r="F1065" t="str">
        <f>IF(AND(AllData[[#This Row],[Time]]&lt;0.5, AllData[[#This Row],[Time]]&gt;0.17)=TRUE, "Morning", IF(AND(AllData[[#This Row],[Time]]&lt;0.75, AllData[[#This Row],[Time]]&gt;=0.5)=TRUE, "Afternoon", IF(AND(AllData[[#This Row],[Time]]&lt;1, AllData[[#This Row],[Time]]&gt;=0.75)=TRUE, "Evening", "Night")))</f>
        <v>Morning</v>
      </c>
      <c r="G1065" t="str">
        <f>_xlfn.XLOOKUP(AllData[[#This Row],[Location Name]], Locations[Location Name],Locations[Group As])</f>
        <v>Avon Smiths Meadow Wyre Piddle</v>
      </c>
      <c r="H1065" t="e" vm="6">
        <f>_xlfn.XLOOKUP(AllData[[#This Row],[Site Name]],LocationsKey[Site Name],LocationsKey[District])</f>
        <v>#VALUE!</v>
      </c>
      <c r="I1065" t="e" vm="13">
        <f>_xlfn.XLOOKUP(AllData[[#This Row],[Site Name]],LocationsKey[Site Name],LocationsKey[Town])</f>
        <v>#VALUE!</v>
      </c>
      <c r="J1065" t="str">
        <f>_xlfn.XLOOKUP(AllData[[#This Row],[Site Name]],LocationsKey[Site Name], LocationsKey[Waterway])</f>
        <v>Avon</v>
      </c>
      <c r="K1065" t="s">
        <v>784</v>
      </c>
      <c r="L1065">
        <v>52.122945999999999</v>
      </c>
      <c r="M1065">
        <v>-2.0573999999999999</v>
      </c>
      <c r="N1065" t="s">
        <v>25</v>
      </c>
      <c r="O1065">
        <v>1120</v>
      </c>
      <c r="P1065">
        <v>17.7</v>
      </c>
      <c r="Q1065">
        <v>10</v>
      </c>
      <c r="R1065" s="107" t="str">
        <f>IF(AllData[[#This Row],[Nitrate (PPM)]]&gt;2, "Very high", IF(AllData[[#This Row],[Nitrate (PPM)]]&gt;1, "High", IF(AllData[[#This Row],[Nitrate (PPM)]]&gt;0.5, "Some evidence", IF(AllData[[#This Row],[Nitrate (PPM)]]&gt;=0, "No evidence"))))</f>
        <v>Very high</v>
      </c>
      <c r="S1065" s="4">
        <v>0.96</v>
      </c>
      <c r="T1065" s="7" t="str">
        <f>IF(AllData[[#This Row],[Phosphate (PPM)]]&gt;0.5, "Very high", IF(AllData[[#This Row],[Phosphate (PPM)]]&gt;0.1, "High", IF(AllData[[#This Row],[Phosphate (PPM)]]&gt;0.05, "Some evidence", IF(AllData[[#This Row],[Phosphate (PPM)]]&lt;=0.05, "No Evidence", ""))))</f>
        <v>Very high</v>
      </c>
      <c r="U1065">
        <v>0.5</v>
      </c>
      <c r="V1065" t="s">
        <v>1900</v>
      </c>
    </row>
    <row r="1066" spans="1:22" x14ac:dyDescent="0.35">
      <c r="A1066" t="s">
        <v>1916</v>
      </c>
      <c r="B1066" s="143">
        <v>45528</v>
      </c>
      <c r="C1066" s="2" t="str" cm="1">
        <f t="array" ref="C10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6">
        <f>YEAR(AllData[[#This Row],[Date]])</f>
        <v>2024</v>
      </c>
      <c r="E1066" s="1">
        <v>0.69374999999999998</v>
      </c>
      <c r="F1066" t="str">
        <f>IF(AND(AllData[[#This Row],[Time]]&lt;0.5, AllData[[#This Row],[Time]]&gt;0.17)=TRUE, "Morning", IF(AND(AllData[[#This Row],[Time]]&lt;0.75, AllData[[#This Row],[Time]]&gt;=0.5)=TRUE, "Afternoon", IF(AND(AllData[[#This Row],[Time]]&lt;1, AllData[[#This Row],[Time]]&gt;=0.75)=TRUE, "Evening", "Night")))</f>
        <v>Afternoon</v>
      </c>
      <c r="G1066" t="str">
        <f>_xlfn.XLOOKUP(AllData[[#This Row],[Location Name]], Locations[Location Name],Locations[Group As])</f>
        <v>Site 3  :  Severn Trent Water processing plant outflow</v>
      </c>
      <c r="H1066" t="e" vm="1">
        <f>_xlfn.XLOOKUP(AllData[[#This Row],[Site Name]],LocationsKey[Site Name],LocationsKey[District])</f>
        <v>#VALUE!</v>
      </c>
      <c r="I1066" t="e" vm="14">
        <f>_xlfn.XLOOKUP(AllData[[#This Row],[Site Name]],LocationsKey[Site Name],LocationsKey[Town])</f>
        <v>#VALUE!</v>
      </c>
      <c r="J1066" t="str">
        <f>_xlfn.XLOOKUP(AllData[[#This Row],[Site Name]],LocationsKey[Site Name], LocationsKey[Waterway])</f>
        <v>Fosseway Brook</v>
      </c>
      <c r="K1066" t="s">
        <v>1917</v>
      </c>
      <c r="L1066">
        <v>52.082183000000001</v>
      </c>
      <c r="M1066">
        <v>-1.6408750000000001</v>
      </c>
      <c r="N1066" t="s">
        <v>31</v>
      </c>
      <c r="O1066">
        <v>921</v>
      </c>
      <c r="P1066">
        <v>17.8</v>
      </c>
      <c r="Q1066">
        <v>10</v>
      </c>
      <c r="R1066" s="107" t="str">
        <f>IF(AllData[[#This Row],[Nitrate (PPM)]]&gt;2, "Very high", IF(AllData[[#This Row],[Nitrate (PPM)]]&gt;1, "High", IF(AllData[[#This Row],[Nitrate (PPM)]]&gt;0.5, "Some evidence", IF(AllData[[#This Row],[Nitrate (PPM)]]&gt;=0, "No evidence"))))</f>
        <v>Very high</v>
      </c>
      <c r="S1066" s="4">
        <v>2.5</v>
      </c>
      <c r="T1066" s="7" t="str">
        <f>IF(AllData[[#This Row],[Phosphate (PPM)]]&gt;0.5, "Very high", IF(AllData[[#This Row],[Phosphate (PPM)]]&gt;0.1, "High", IF(AllData[[#This Row],[Phosphate (PPM)]]&gt;0.05, "Some evidence", IF(AllData[[#This Row],[Phosphate (PPM)]]&lt;=0.05, "No Evidence", ""))))</f>
        <v>Very high</v>
      </c>
      <c r="U1066">
        <v>0.15</v>
      </c>
    </row>
    <row r="1067" spans="1:22" x14ac:dyDescent="0.35">
      <c r="A1067" t="s">
        <v>1901</v>
      </c>
      <c r="B1067" s="143">
        <v>45528</v>
      </c>
      <c r="C1067" s="2" t="str" cm="1">
        <f t="array" ref="C10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7">
        <f>YEAR(AllData[[#This Row],[Date]])</f>
        <v>2024</v>
      </c>
      <c r="E1067" s="1">
        <v>0.46180555555555558</v>
      </c>
      <c r="F1067" t="str">
        <f>IF(AND(AllData[[#This Row],[Time]]&lt;0.5, AllData[[#This Row],[Time]]&gt;0.17)=TRUE, "Morning", IF(AND(AllData[[#This Row],[Time]]&lt;0.75, AllData[[#This Row],[Time]]&gt;=0.5)=TRUE, "Afternoon", IF(AND(AllData[[#This Row],[Time]]&lt;1, AllData[[#This Row],[Time]]&gt;=0.75)=TRUE, "Evening", "Night")))</f>
        <v>Morning</v>
      </c>
      <c r="G1067" t="str">
        <f>_xlfn.XLOOKUP(AllData[[#This Row],[Location Name]], Locations[Location Name],Locations[Group As])</f>
        <v>Piddle Brook Wyre Piddle Bridge</v>
      </c>
      <c r="H1067" t="e" vm="6">
        <f>_xlfn.XLOOKUP(AllData[[#This Row],[Site Name]],LocationsKey[Site Name],LocationsKey[District])</f>
        <v>#VALUE!</v>
      </c>
      <c r="I1067" t="e" vm="13">
        <f>_xlfn.XLOOKUP(AllData[[#This Row],[Site Name]],LocationsKey[Site Name],LocationsKey[Town])</f>
        <v>#VALUE!</v>
      </c>
      <c r="J1067" t="str">
        <f>_xlfn.XLOOKUP(AllData[[#This Row],[Site Name]],LocationsKey[Site Name], LocationsKey[Waterway])</f>
        <v>Piddle Brook</v>
      </c>
      <c r="K1067" t="s">
        <v>787</v>
      </c>
      <c r="L1067">
        <v>52.126404000000001</v>
      </c>
      <c r="M1067">
        <v>-2.0565410000000002</v>
      </c>
      <c r="N1067" t="s">
        <v>25</v>
      </c>
      <c r="O1067">
        <v>1870</v>
      </c>
      <c r="P1067">
        <v>15.4</v>
      </c>
      <c r="Q1067">
        <v>7</v>
      </c>
      <c r="R1067" s="107" t="str">
        <f>IF(AllData[[#This Row],[Nitrate (PPM)]]&gt;2, "Very high", IF(AllData[[#This Row],[Nitrate (PPM)]]&gt;1, "High", IF(AllData[[#This Row],[Nitrate (PPM)]]&gt;0.5, "Some evidence", IF(AllData[[#This Row],[Nitrate (PPM)]]&gt;=0, "No evidence"))))</f>
        <v>Very high</v>
      </c>
      <c r="S1067" s="4">
        <v>1.29</v>
      </c>
      <c r="T1067" s="7" t="str">
        <f>IF(AllData[[#This Row],[Phosphate (PPM)]]&gt;0.5, "Very high", IF(AllData[[#This Row],[Phosphate (PPM)]]&gt;0.1, "High", IF(AllData[[#This Row],[Phosphate (PPM)]]&gt;0.05, "Some evidence", IF(AllData[[#This Row],[Phosphate (PPM)]]&lt;=0.05, "No Evidence", ""))))</f>
        <v>Very high</v>
      </c>
      <c r="U1067">
        <v>0.13</v>
      </c>
      <c r="V1067" t="s">
        <v>1902</v>
      </c>
    </row>
    <row r="1068" spans="1:22" x14ac:dyDescent="0.35">
      <c r="A1068" t="s">
        <v>1909</v>
      </c>
      <c r="B1068" s="143">
        <v>45528</v>
      </c>
      <c r="C1068" s="2" t="str" cm="1">
        <f t="array" ref="C10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8">
        <f>YEAR(AllData[[#This Row],[Date]])</f>
        <v>2024</v>
      </c>
      <c r="E1068" s="1">
        <v>0.64583333333333337</v>
      </c>
      <c r="F1068" t="str">
        <f>IF(AND(AllData[[#This Row],[Time]]&lt;0.5, AllData[[#This Row],[Time]]&gt;0.17)=TRUE, "Morning", IF(AND(AllData[[#This Row],[Time]]&lt;0.75, AllData[[#This Row],[Time]]&gt;=0.5)=TRUE, "Afternoon", IF(AND(AllData[[#This Row],[Time]]&lt;1, AllData[[#This Row],[Time]]&gt;=0.75)=TRUE, "Evening", "Night")))</f>
        <v>Afternoon</v>
      </c>
      <c r="G1068" t="str">
        <f>_xlfn.XLOOKUP(AllData[[#This Row],[Location Name]], Locations[Location Name],Locations[Group As])</f>
        <v>Carrant Bredon Rd</v>
      </c>
      <c r="H1068" t="e" vm="4">
        <f>_xlfn.XLOOKUP(AllData[[#This Row],[Site Name]],LocationsKey[Site Name],LocationsKey[District])</f>
        <v>#VALUE!</v>
      </c>
      <c r="I1068" t="e" vm="4">
        <f>_xlfn.XLOOKUP(AllData[[#This Row],[Site Name]],LocationsKey[Site Name],LocationsKey[Town])</f>
        <v>#VALUE!</v>
      </c>
      <c r="J1068" t="str">
        <f>_xlfn.XLOOKUP(AllData[[#This Row],[Site Name]],LocationsKey[Site Name], LocationsKey[Waterway])</f>
        <v>Carrant</v>
      </c>
      <c r="K1068" t="s">
        <v>603</v>
      </c>
      <c r="L1068">
        <v>51.996153999999997</v>
      </c>
      <c r="M1068">
        <v>-2.1560269999999999</v>
      </c>
      <c r="N1068" t="s">
        <v>25</v>
      </c>
      <c r="O1068">
        <v>690</v>
      </c>
      <c r="P1068">
        <v>17.399999999999999</v>
      </c>
      <c r="Q1068">
        <v>6</v>
      </c>
      <c r="R1068" s="107" t="str">
        <f>IF(AllData[[#This Row],[Nitrate (PPM)]]&gt;2, "Very high", IF(AllData[[#This Row],[Nitrate (PPM)]]&gt;1, "High", IF(AllData[[#This Row],[Nitrate (PPM)]]&gt;0.5, "Some evidence", IF(AllData[[#This Row],[Nitrate (PPM)]]&gt;=0, "No evidence"))))</f>
        <v>Very high</v>
      </c>
      <c r="S1068" s="4">
        <v>0.56000000000000005</v>
      </c>
      <c r="T1068" s="7" t="str">
        <f>IF(AllData[[#This Row],[Phosphate (PPM)]]&gt;0.5, "Very high", IF(AllData[[#This Row],[Phosphate (PPM)]]&gt;0.1, "High", IF(AllData[[#This Row],[Phosphate (PPM)]]&gt;0.05, "Some evidence", IF(AllData[[#This Row],[Phosphate (PPM)]]&lt;=0.05, "No Evidence", ""))))</f>
        <v>Very high</v>
      </c>
      <c r="U1068">
        <v>0</v>
      </c>
      <c r="V1068" t="s">
        <v>233</v>
      </c>
    </row>
    <row r="1069" spans="1:22" x14ac:dyDescent="0.35">
      <c r="A1069" t="s">
        <v>1903</v>
      </c>
      <c r="B1069" s="143">
        <v>45528</v>
      </c>
      <c r="C1069" s="2" t="str" cm="1">
        <f t="array" ref="C10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69">
        <f>YEAR(AllData[[#This Row],[Date]])</f>
        <v>2024</v>
      </c>
      <c r="E1069" s="1">
        <v>0.49791666666666667</v>
      </c>
      <c r="F1069" t="str">
        <f>IF(AND(AllData[[#This Row],[Time]]&lt;0.5, AllData[[#This Row],[Time]]&gt;0.17)=TRUE, "Morning", IF(AND(AllData[[#This Row],[Time]]&lt;0.75, AllData[[#This Row],[Time]]&gt;=0.5)=TRUE, "Afternoon", IF(AND(AllData[[#This Row],[Time]]&lt;1, AllData[[#This Row],[Time]]&gt;=0.75)=TRUE, "Evening", "Night")))</f>
        <v>Morning</v>
      </c>
      <c r="G1069" t="str">
        <f>_xlfn.XLOOKUP(AllData[[#This Row],[Location Name]], Locations[Location Name],Locations[Group As])</f>
        <v>Whitsun Brook. Low road, Church Lench</v>
      </c>
      <c r="H1069" t="e" vm="6">
        <f>_xlfn.XLOOKUP(AllData[[#This Row],[Site Name]],LocationsKey[Site Name],LocationsKey[District])</f>
        <v>#VALUE!</v>
      </c>
      <c r="I1069" t="e" vm="29">
        <f>_xlfn.XLOOKUP(AllData[[#This Row],[Site Name]],LocationsKey[Site Name],LocationsKey[Town])</f>
        <v>#VALUE!</v>
      </c>
      <c r="J1069" t="str">
        <f>_xlfn.XLOOKUP(AllData[[#This Row],[Site Name]],LocationsKey[Site Name], LocationsKey[Waterway])</f>
        <v>Whitsun Brook</v>
      </c>
      <c r="K1069" t="s">
        <v>1904</v>
      </c>
      <c r="L1069">
        <v>52.168410999999999</v>
      </c>
      <c r="M1069">
        <v>-1.9603710000000001</v>
      </c>
      <c r="N1069" t="s">
        <v>25</v>
      </c>
      <c r="O1069">
        <v>998</v>
      </c>
      <c r="P1069">
        <v>15.2</v>
      </c>
      <c r="Q1069">
        <v>5</v>
      </c>
      <c r="R1069" s="107" t="str">
        <f>IF(AllData[[#This Row],[Nitrate (PPM)]]&gt;2, "Very high", IF(AllData[[#This Row],[Nitrate (PPM)]]&gt;1, "High", IF(AllData[[#This Row],[Nitrate (PPM)]]&gt;0.5, "Some evidence", IF(AllData[[#This Row],[Nitrate (PPM)]]&gt;=0, "No evidence"))))</f>
        <v>Very high</v>
      </c>
      <c r="S1069" s="4">
        <v>2.5</v>
      </c>
      <c r="T1069" s="7" t="str">
        <f>IF(AllData[[#This Row],[Phosphate (PPM)]]&gt;0.5, "Very high", IF(AllData[[#This Row],[Phosphate (PPM)]]&gt;0.1, "High", IF(AllData[[#This Row],[Phosphate (PPM)]]&gt;0.05, "Some evidence", IF(AllData[[#This Row],[Phosphate (PPM)]]&lt;=0.05, "No Evidence", ""))))</f>
        <v>Very high</v>
      </c>
      <c r="U1069">
        <v>0.13</v>
      </c>
      <c r="V1069" t="s">
        <v>1905</v>
      </c>
    </row>
    <row r="1070" spans="1:22" x14ac:dyDescent="0.35">
      <c r="A1070" t="s">
        <v>1910</v>
      </c>
      <c r="B1070" s="143">
        <v>45528</v>
      </c>
      <c r="C1070" s="2" t="str" cm="1">
        <f t="array" ref="C10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0">
        <f>YEAR(AllData[[#This Row],[Date]])</f>
        <v>2024</v>
      </c>
      <c r="E1070" s="1">
        <v>0.66319444444444442</v>
      </c>
      <c r="F1070" t="str">
        <f>IF(AND(AllData[[#This Row],[Time]]&lt;0.5, AllData[[#This Row],[Time]]&gt;0.17)=TRUE, "Morning", IF(AND(AllData[[#This Row],[Time]]&lt;0.75, AllData[[#This Row],[Time]]&gt;=0.5)=TRUE, "Afternoon", IF(AND(AllData[[#This Row],[Time]]&lt;1, AllData[[#This Row],[Time]]&gt;=0.75)=TRUE, "Evening", "Night")))</f>
        <v>Afternoon</v>
      </c>
      <c r="G1070" t="str">
        <f>_xlfn.XLOOKUP(AllData[[#This Row],[Location Name]], Locations[Location Name],Locations[Group As])</f>
        <v>Preston-on-Stour River Bridge</v>
      </c>
      <c r="H1070" t="e" vm="1">
        <f>_xlfn.XLOOKUP(AllData[[#This Row],[Site Name]],LocationsKey[Site Name],LocationsKey[District])</f>
        <v>#VALUE!</v>
      </c>
      <c r="I1070" t="e" vm="20">
        <f>_xlfn.XLOOKUP(AllData[[#This Row],[Site Name]],LocationsKey[Site Name],LocationsKey[Town])</f>
        <v>#VALUE!</v>
      </c>
      <c r="J1070" t="str">
        <f>_xlfn.XLOOKUP(AllData[[#This Row],[Site Name]],LocationsKey[Site Name], LocationsKey[Waterway])</f>
        <v>Stour</v>
      </c>
      <c r="K1070" t="s">
        <v>164</v>
      </c>
      <c r="L1070">
        <v>52.146562000000003</v>
      </c>
      <c r="M1070">
        <v>-1.6999249999999999</v>
      </c>
      <c r="N1070" t="s">
        <v>31</v>
      </c>
      <c r="O1070">
        <v>711</v>
      </c>
      <c r="P1070">
        <v>17.3</v>
      </c>
      <c r="Q1070">
        <v>4</v>
      </c>
      <c r="R1070" s="107" t="str">
        <f>IF(AllData[[#This Row],[Nitrate (PPM)]]&gt;2, "Very high", IF(AllData[[#This Row],[Nitrate (PPM)]]&gt;1, "High", IF(AllData[[#This Row],[Nitrate (PPM)]]&gt;0.5, "Some evidence", IF(AllData[[#This Row],[Nitrate (PPM)]]&gt;=0, "No evidence"))))</f>
        <v>Very high</v>
      </c>
      <c r="S1070" s="4">
        <v>0.79</v>
      </c>
      <c r="T1070" s="7" t="str">
        <f>IF(AllData[[#This Row],[Phosphate (PPM)]]&gt;0.5, "Very high", IF(AllData[[#This Row],[Phosphate (PPM)]]&gt;0.1, "High", IF(AllData[[#This Row],[Phosphate (PPM)]]&gt;0.05, "Some evidence", IF(AllData[[#This Row],[Phosphate (PPM)]]&lt;=0.05, "No Evidence", ""))))</f>
        <v>Very high</v>
      </c>
      <c r="U1070">
        <v>1</v>
      </c>
      <c r="V1070" t="s">
        <v>1911</v>
      </c>
    </row>
    <row r="1071" spans="1:22" x14ac:dyDescent="0.35">
      <c r="A1071" t="s">
        <v>1906</v>
      </c>
      <c r="B1071" s="143">
        <v>45528</v>
      </c>
      <c r="C1071" s="2" t="str" cm="1">
        <f t="array" ref="C10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1">
        <f>YEAR(AllData[[#This Row],[Date]])</f>
        <v>2024</v>
      </c>
      <c r="E1071" s="1">
        <v>0.50972222222222219</v>
      </c>
      <c r="F1071" t="str">
        <f>IF(AND(AllData[[#This Row],[Time]]&lt;0.5, AllData[[#This Row],[Time]]&gt;0.17)=TRUE, "Morning", IF(AND(AllData[[#This Row],[Time]]&lt;0.75, AllData[[#This Row],[Time]]&gt;=0.5)=TRUE, "Afternoon", IF(AND(AllData[[#This Row],[Time]]&lt;1, AllData[[#This Row],[Time]]&gt;=0.75)=TRUE, "Evening", "Night")))</f>
        <v>Afternoon</v>
      </c>
      <c r="G1071" t="str">
        <f>_xlfn.XLOOKUP(AllData[[#This Row],[Location Name]], Locations[Location Name],Locations[Group As])</f>
        <v>Whitsun Brook Atch Lench Road, Church Lench.</v>
      </c>
      <c r="H1071" t="e" vm="6">
        <f>_xlfn.XLOOKUP(AllData[[#This Row],[Site Name]],LocationsKey[Site Name],LocationsKey[District])</f>
        <v>#VALUE!</v>
      </c>
      <c r="I1071" t="e" vm="29">
        <f>_xlfn.XLOOKUP(AllData[[#This Row],[Site Name]],LocationsKey[Site Name],LocationsKey[Town])</f>
        <v>#VALUE!</v>
      </c>
      <c r="J1071" t="str">
        <f>_xlfn.XLOOKUP(AllData[[#This Row],[Site Name]],LocationsKey[Site Name], LocationsKey[Waterway])</f>
        <v>Whitsun Brook</v>
      </c>
      <c r="K1071" t="s">
        <v>1907</v>
      </c>
      <c r="L1071">
        <v>52.158673</v>
      </c>
      <c r="M1071">
        <v>-1.957384</v>
      </c>
      <c r="N1071" t="s">
        <v>25</v>
      </c>
      <c r="O1071">
        <v>879</v>
      </c>
      <c r="P1071">
        <v>16.8</v>
      </c>
      <c r="Q1071">
        <v>2</v>
      </c>
      <c r="R1071" s="107" t="str">
        <f>IF(AllData[[#This Row],[Nitrate (PPM)]]&gt;2, "Very high", IF(AllData[[#This Row],[Nitrate (PPM)]]&gt;1, "High", IF(AllData[[#This Row],[Nitrate (PPM)]]&gt;0.5, "Some evidence", IF(AllData[[#This Row],[Nitrate (PPM)]]&gt;=0, "No evidence"))))</f>
        <v>High</v>
      </c>
      <c r="S1071" s="4">
        <v>1.48</v>
      </c>
      <c r="T1071" s="7" t="str">
        <f>IF(AllData[[#This Row],[Phosphate (PPM)]]&gt;0.5, "Very high", IF(AllData[[#This Row],[Phosphate (PPM)]]&gt;0.1, "High", IF(AllData[[#This Row],[Phosphate (PPM)]]&gt;0.05, "Some evidence", IF(AllData[[#This Row],[Phosphate (PPM)]]&lt;=0.05, "No Evidence", ""))))</f>
        <v>Very high</v>
      </c>
      <c r="U1071">
        <v>0.13</v>
      </c>
      <c r="V1071" t="s">
        <v>1908</v>
      </c>
    </row>
    <row r="1072" spans="1:22" x14ac:dyDescent="0.35">
      <c r="A1072" t="s">
        <v>1914</v>
      </c>
      <c r="B1072" s="143">
        <v>45528</v>
      </c>
      <c r="C1072" s="2" t="str" cm="1">
        <f t="array" ref="C10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2">
        <f>YEAR(AllData[[#This Row],[Date]])</f>
        <v>2024</v>
      </c>
      <c r="E1072" s="1">
        <v>0.68541666666666667</v>
      </c>
      <c r="F1072" t="str">
        <f>IF(AND(AllData[[#This Row],[Time]]&lt;0.5, AllData[[#This Row],[Time]]&gt;0.17)=TRUE, "Morning", IF(AND(AllData[[#This Row],[Time]]&lt;0.75, AllData[[#This Row],[Time]]&gt;=0.5)=TRUE, "Afternoon", IF(AND(AllData[[#This Row],[Time]]&lt;1, AllData[[#This Row],[Time]]&gt;=0.75)=TRUE, "Evening", "Night")))</f>
        <v>Afternoon</v>
      </c>
      <c r="G1072" t="str">
        <f>_xlfn.XLOOKUP(AllData[[#This Row],[Location Name]], Locations[Location Name],Locations[Group As])</f>
        <v>Site 2  :  Cross Leys culvert</v>
      </c>
      <c r="H1072" t="e" vm="1">
        <f>_xlfn.XLOOKUP(AllData[[#This Row],[Site Name]],LocationsKey[Site Name],LocationsKey[District])</f>
        <v>#VALUE!</v>
      </c>
      <c r="I1072" t="e" vm="14">
        <f>_xlfn.XLOOKUP(AllData[[#This Row],[Site Name]],LocationsKey[Site Name],LocationsKey[Town])</f>
        <v>#VALUE!</v>
      </c>
      <c r="J1072" t="str">
        <f>_xlfn.XLOOKUP(AllData[[#This Row],[Site Name]],LocationsKey[Site Name], LocationsKey[Waterway])</f>
        <v>Fosseway Brook</v>
      </c>
      <c r="K1072" t="s">
        <v>1915</v>
      </c>
      <c r="L1072">
        <v>52.093049000000001</v>
      </c>
      <c r="M1072">
        <v>-1.686329</v>
      </c>
      <c r="N1072" t="s">
        <v>68</v>
      </c>
      <c r="O1072">
        <v>572</v>
      </c>
      <c r="P1072">
        <v>17.100000000000001</v>
      </c>
      <c r="Q1072">
        <v>2</v>
      </c>
      <c r="R1072" s="107" t="str">
        <f>IF(AllData[[#This Row],[Nitrate (PPM)]]&gt;2, "Very high", IF(AllData[[#This Row],[Nitrate (PPM)]]&gt;1, "High", IF(AllData[[#This Row],[Nitrate (PPM)]]&gt;0.5, "Some evidence", IF(AllData[[#This Row],[Nitrate (PPM)]]&gt;=0, "No evidence"))))</f>
        <v>High</v>
      </c>
      <c r="S1072" s="4">
        <v>0.83</v>
      </c>
      <c r="T1072" s="7" t="str">
        <f>IF(AllData[[#This Row],[Phosphate (PPM)]]&gt;0.5, "Very high", IF(AllData[[#This Row],[Phosphate (PPM)]]&gt;0.1, "High", IF(AllData[[#This Row],[Phosphate (PPM)]]&gt;0.05, "Some evidence", IF(AllData[[#This Row],[Phosphate (PPM)]]&lt;=0.05, "No Evidence", ""))))</f>
        <v>Very high</v>
      </c>
      <c r="U1072">
        <v>0.1</v>
      </c>
    </row>
    <row r="1073" spans="1:22" x14ac:dyDescent="0.35">
      <c r="A1073" t="s">
        <v>1912</v>
      </c>
      <c r="B1073" s="143">
        <v>45528</v>
      </c>
      <c r="C1073" s="2" t="str" cm="1">
        <f t="array" ref="C10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3">
        <f>YEAR(AllData[[#This Row],[Date]])</f>
        <v>2024</v>
      </c>
      <c r="E1073" s="1">
        <v>0.6743055555555556</v>
      </c>
      <c r="F1073" t="str">
        <f>IF(AND(AllData[[#This Row],[Time]]&lt;0.5, AllData[[#This Row],[Time]]&gt;0.17)=TRUE, "Morning", IF(AND(AllData[[#This Row],[Time]]&lt;0.75, AllData[[#This Row],[Time]]&gt;=0.5)=TRUE, "Afternoon", IF(AND(AllData[[#This Row],[Time]]&lt;1, AllData[[#This Row],[Time]]&gt;=0.75)=TRUE, "Evening", "Night")))</f>
        <v>Afternoon</v>
      </c>
      <c r="G1073" t="str">
        <f>_xlfn.XLOOKUP(AllData[[#This Row],[Location Name]], Locations[Location Name],Locations[Group As])</f>
        <v>Site 1  :  Middle Street</v>
      </c>
      <c r="H1073" t="e" vm="1">
        <f>_xlfn.XLOOKUP(AllData[[#This Row],[Site Name]],LocationsKey[Site Name],LocationsKey[District])</f>
        <v>#VALUE!</v>
      </c>
      <c r="I1073" t="e" vm="14">
        <f>_xlfn.XLOOKUP(AllData[[#This Row],[Site Name]],LocationsKey[Site Name],LocationsKey[Town])</f>
        <v>#VALUE!</v>
      </c>
      <c r="J1073" t="str">
        <f>_xlfn.XLOOKUP(AllData[[#This Row],[Site Name]],LocationsKey[Site Name], LocationsKey[Waterway])</f>
        <v>Fosseway Brook</v>
      </c>
      <c r="K1073" t="s">
        <v>670</v>
      </c>
      <c r="L1073">
        <v>52.090077000000001</v>
      </c>
      <c r="M1073">
        <v>-1.6927319999999999</v>
      </c>
      <c r="N1073" t="s">
        <v>68</v>
      </c>
      <c r="O1073">
        <v>679</v>
      </c>
      <c r="P1073">
        <v>18.8</v>
      </c>
      <c r="Q1073">
        <v>0</v>
      </c>
      <c r="R1073" s="107" t="str">
        <f>IF(AllData[[#This Row],[Nitrate (PPM)]]&gt;2, "Very high", IF(AllData[[#This Row],[Nitrate (PPM)]]&gt;1, "High", IF(AllData[[#This Row],[Nitrate (PPM)]]&gt;0.5, "Some evidence", IF(AllData[[#This Row],[Nitrate (PPM)]]&gt;=0, "No evidence"))))</f>
        <v>No evidence</v>
      </c>
      <c r="S1073" s="4">
        <v>0.33</v>
      </c>
      <c r="T1073" s="7" t="str">
        <f>IF(AllData[[#This Row],[Phosphate (PPM)]]&gt;0.5, "Very high", IF(AllData[[#This Row],[Phosphate (PPM)]]&gt;0.1, "High", IF(AllData[[#This Row],[Phosphate (PPM)]]&gt;0.05, "Some evidence", IF(AllData[[#This Row],[Phosphate (PPM)]]&lt;=0.05, "No Evidence", ""))))</f>
        <v>High</v>
      </c>
      <c r="U1073">
        <v>0.04</v>
      </c>
      <c r="V1073" t="s">
        <v>1913</v>
      </c>
    </row>
    <row r="1074" spans="1:22" x14ac:dyDescent="0.35">
      <c r="A1074" t="s">
        <v>1898</v>
      </c>
      <c r="B1074" s="143">
        <v>45527</v>
      </c>
      <c r="C1074" s="2" t="str" cm="1">
        <f t="array" ref="C10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4">
        <f>YEAR(AllData[[#This Row],[Date]])</f>
        <v>2024</v>
      </c>
      <c r="E1074" s="1">
        <v>0.58333333333333337</v>
      </c>
      <c r="F1074" t="str">
        <f>IF(AND(AllData[[#This Row],[Time]]&lt;0.5, AllData[[#This Row],[Time]]&gt;0.17)=TRUE, "Morning", IF(AND(AllData[[#This Row],[Time]]&lt;0.75, AllData[[#This Row],[Time]]&gt;=0.5)=TRUE, "Afternoon", IF(AND(AllData[[#This Row],[Time]]&lt;1, AllData[[#This Row],[Time]]&gt;=0.75)=TRUE, "Evening", "Night")))</f>
        <v>Afternoon</v>
      </c>
      <c r="G1074" t="str">
        <f>_xlfn.XLOOKUP(AllData[[#This Row],[Location Name]], Locations[Location Name],Locations[Group As])</f>
        <v>Clifford Chambers Mill Bridge</v>
      </c>
      <c r="H1074" t="e" vm="1">
        <f>_xlfn.XLOOKUP(AllData[[#This Row],[Site Name]],LocationsKey[Site Name],LocationsKey[District])</f>
        <v>#VALUE!</v>
      </c>
      <c r="I1074" t="e" vm="22">
        <f>_xlfn.XLOOKUP(AllData[[#This Row],[Site Name]],LocationsKey[Site Name],LocationsKey[Town])</f>
        <v>#VALUE!</v>
      </c>
      <c r="J1074" t="str">
        <f>_xlfn.XLOOKUP(AllData[[#This Row],[Site Name]],LocationsKey[Site Name], LocationsKey[Waterway])</f>
        <v>Stour</v>
      </c>
      <c r="K1074" t="s">
        <v>266</v>
      </c>
      <c r="L1074">
        <v>52.166370000000001</v>
      </c>
      <c r="M1074">
        <v>-1.708032</v>
      </c>
      <c r="N1074" t="s">
        <v>68</v>
      </c>
      <c r="O1074">
        <v>674</v>
      </c>
      <c r="P1074">
        <v>18.100000000000001</v>
      </c>
      <c r="Q1074">
        <v>7.5</v>
      </c>
      <c r="R1074" s="107" t="str">
        <f>IF(AllData[[#This Row],[Nitrate (PPM)]]&gt;2, "Very high", IF(AllData[[#This Row],[Nitrate (PPM)]]&gt;1, "High", IF(AllData[[#This Row],[Nitrate (PPM)]]&gt;0.5, "Some evidence", IF(AllData[[#This Row],[Nitrate (PPM)]]&gt;=0, "No evidence"))))</f>
        <v>Very high</v>
      </c>
      <c r="S1074">
        <v>0.57999999999999996</v>
      </c>
      <c r="T1074" s="7" t="str">
        <f>IF(AllData[[#This Row],[Phosphate (PPM)]]&gt;0.5, "Very high", IF(AllData[[#This Row],[Phosphate (PPM)]]&gt;0.1, "High", IF(AllData[[#This Row],[Phosphate (PPM)]]&gt;0.05, "Some evidence", IF(AllData[[#This Row],[Phosphate (PPM)]]&lt;=0.05, "No Evidence", ""))))</f>
        <v>Very high</v>
      </c>
      <c r="U1074">
        <v>0.35</v>
      </c>
    </row>
    <row r="1075" spans="1:22" x14ac:dyDescent="0.35">
      <c r="A1075" t="s">
        <v>1895</v>
      </c>
      <c r="B1075" s="143">
        <v>45527</v>
      </c>
      <c r="C1075" s="2" t="str" cm="1">
        <f t="array" ref="C10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5">
        <f>YEAR(AllData[[#This Row],[Date]])</f>
        <v>2024</v>
      </c>
      <c r="E1075" s="1">
        <v>0.70138888888888884</v>
      </c>
      <c r="F1075" t="str">
        <f>IF(AND(AllData[[#This Row],[Time]]&lt;0.5, AllData[[#This Row],[Time]]&gt;0.17)=TRUE, "Morning", IF(AND(AllData[[#This Row],[Time]]&lt;0.75, AllData[[#This Row],[Time]]&gt;=0.5)=TRUE, "Afternoon", IF(AND(AllData[[#This Row],[Time]]&lt;1, AllData[[#This Row],[Time]]&gt;=0.75)=TRUE, "Evening", "Night")))</f>
        <v>Afternoon</v>
      </c>
      <c r="G1075" t="str">
        <f>_xlfn.XLOOKUP(AllData[[#This Row],[Location Name]], Locations[Location Name],Locations[Group As])</f>
        <v>Mill Bridge Peopleton</v>
      </c>
      <c r="H1075" t="e" vm="6">
        <f>_xlfn.XLOOKUP(AllData[[#This Row],[Site Name]],LocationsKey[Site Name],LocationsKey[District])</f>
        <v>#VALUE!</v>
      </c>
      <c r="I1075" t="str">
        <f>_xlfn.XLOOKUP(AllData[[#This Row],[Site Name]],LocationsKey[Site Name],LocationsKey[Town])</f>
        <v>Peopleton</v>
      </c>
      <c r="J1075" t="str">
        <f>_xlfn.XLOOKUP(AllData[[#This Row],[Site Name]],LocationsKey[Site Name], LocationsKey[Waterway])</f>
        <v>Bow Brook</v>
      </c>
      <c r="K1075" t="s">
        <v>1015</v>
      </c>
      <c r="L1075">
        <v>52.151685000000001</v>
      </c>
      <c r="M1075">
        <v>-2.0962909999999999</v>
      </c>
      <c r="N1075" t="s">
        <v>31</v>
      </c>
      <c r="O1075">
        <v>1110</v>
      </c>
      <c r="P1075">
        <v>17.5</v>
      </c>
      <c r="Q1075">
        <v>5</v>
      </c>
      <c r="R1075" s="107" t="str">
        <f>IF(AllData[[#This Row],[Nitrate (PPM)]]&gt;2, "Very high", IF(AllData[[#This Row],[Nitrate (PPM)]]&gt;1, "High", IF(AllData[[#This Row],[Nitrate (PPM)]]&gt;0.5, "Some evidence", IF(AllData[[#This Row],[Nitrate (PPM)]]&gt;=0, "No evidence"))))</f>
        <v>Very high</v>
      </c>
      <c r="S1075" s="4">
        <v>0.2</v>
      </c>
      <c r="T1075" s="7" t="str">
        <f>IF(AllData[[#This Row],[Phosphate (PPM)]]&gt;0.5, "Very high", IF(AllData[[#This Row],[Phosphate (PPM)]]&gt;0.1, "High", IF(AllData[[#This Row],[Phosphate (PPM)]]&gt;0.05, "Some evidence", IF(AllData[[#This Row],[Phosphate (PPM)]]&lt;=0.05, "No Evidence", ""))))</f>
        <v>High</v>
      </c>
      <c r="U1075">
        <v>0.2</v>
      </c>
      <c r="V1075" t="s">
        <v>1896</v>
      </c>
    </row>
    <row r="1076" spans="1:22" x14ac:dyDescent="0.35">
      <c r="A1076" t="s">
        <v>1897</v>
      </c>
      <c r="B1076" s="143">
        <v>45527</v>
      </c>
      <c r="C1076" s="2" t="str" cm="1">
        <f t="array" ref="C10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6">
        <f>YEAR(AllData[[#This Row],[Date]])</f>
        <v>2024</v>
      </c>
      <c r="E1076" s="1">
        <v>0.73541666666666672</v>
      </c>
      <c r="F1076" t="str">
        <f>IF(AND(AllData[[#This Row],[Time]]&lt;0.5, AllData[[#This Row],[Time]]&gt;0.17)=TRUE, "Morning", IF(AND(AllData[[#This Row],[Time]]&lt;0.75, AllData[[#This Row],[Time]]&gt;=0.5)=TRUE, "Afternoon", IF(AND(AllData[[#This Row],[Time]]&lt;1, AllData[[#This Row],[Time]]&gt;=0.75)=TRUE, "Evening", "Night")))</f>
        <v>Afternoon</v>
      </c>
      <c r="G1076" t="str">
        <f>_xlfn.XLOOKUP(AllData[[#This Row],[Location Name]], Locations[Location Name],Locations[Group As])</f>
        <v>The Ford, Langley</v>
      </c>
      <c r="H1076" t="e" vm="1">
        <f>_xlfn.XLOOKUP(AllData[[#This Row],[Site Name]],LocationsKey[Site Name],LocationsKey[District])</f>
        <v>#VALUE!</v>
      </c>
      <c r="I1076" t="str">
        <f>_xlfn.XLOOKUP(AllData[[#This Row],[Site Name]],LocationsKey[Site Name],LocationsKey[Town])</f>
        <v>Langley</v>
      </c>
      <c r="J1076" t="str">
        <f>_xlfn.XLOOKUP(AllData[[#This Row],[Site Name]],LocationsKey[Site Name], LocationsKey[Waterway])</f>
        <v>Langley Ford</v>
      </c>
      <c r="K1076" t="s">
        <v>561</v>
      </c>
      <c r="N1076" t="s">
        <v>31</v>
      </c>
      <c r="O1076">
        <v>860</v>
      </c>
      <c r="P1076">
        <v>16.2</v>
      </c>
      <c r="Q1076">
        <v>5</v>
      </c>
      <c r="R1076" s="107" t="str">
        <f>IF(AllData[[#This Row],[Nitrate (PPM)]]&gt;2, "Very high", IF(AllData[[#This Row],[Nitrate (PPM)]]&gt;1, "High", IF(AllData[[#This Row],[Nitrate (PPM)]]&gt;0.5, "Some evidence", IF(AllData[[#This Row],[Nitrate (PPM)]]&gt;=0, "No evidence"))))</f>
        <v>Very high</v>
      </c>
      <c r="S1076" s="4">
        <v>0.8</v>
      </c>
      <c r="T1076" s="7" t="str">
        <f>IF(AllData[[#This Row],[Phosphate (PPM)]]&gt;0.5, "Very high", IF(AllData[[#This Row],[Phosphate (PPM)]]&gt;0.1, "High", IF(AllData[[#This Row],[Phosphate (PPM)]]&gt;0.05, "Some evidence", IF(AllData[[#This Row],[Phosphate (PPM)]]&lt;=0.05, "No Evidence", ""))))</f>
        <v>Very high</v>
      </c>
      <c r="U1076">
        <v>0.15</v>
      </c>
    </row>
    <row r="1077" spans="1:22" x14ac:dyDescent="0.35">
      <c r="A1077" t="s">
        <v>1890</v>
      </c>
      <c r="B1077" s="143">
        <v>45526</v>
      </c>
      <c r="C1077" s="2" t="str" cm="1">
        <f t="array" ref="C10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7">
        <f>YEAR(AllData[[#This Row],[Date]])</f>
        <v>2024</v>
      </c>
      <c r="E1077" s="1">
        <v>0.70833333333333337</v>
      </c>
      <c r="F1077" t="str">
        <f>IF(AND(AllData[[#This Row],[Time]]&lt;0.5, AllData[[#This Row],[Time]]&gt;0.17)=TRUE, "Morning", IF(AND(AllData[[#This Row],[Time]]&lt;0.75, AllData[[#This Row],[Time]]&gt;=0.5)=TRUE, "Afternoon", IF(AND(AllData[[#This Row],[Time]]&lt;1, AllData[[#This Row],[Time]]&gt;=0.75)=TRUE, "Evening", "Night")))</f>
        <v>Afternoon</v>
      </c>
      <c r="G1077" t="str">
        <f>_xlfn.XLOOKUP(AllData[[#This Row],[Location Name]], Locations[Location Name],Locations[Group As])</f>
        <v>Bredon Marina</v>
      </c>
      <c r="H1077" t="e" vm="4">
        <f>_xlfn.XLOOKUP(AllData[[#This Row],[Site Name]],LocationsKey[Site Name],LocationsKey[District])</f>
        <v>#VALUE!</v>
      </c>
      <c r="I1077" t="e" vm="11">
        <f>_xlfn.XLOOKUP(AllData[[#This Row],[Site Name]],LocationsKey[Site Name],LocationsKey[Town])</f>
        <v>#VALUE!</v>
      </c>
      <c r="J1077" t="str">
        <f>_xlfn.XLOOKUP(AllData[[#This Row],[Site Name]],LocationsKey[Site Name], LocationsKey[Waterway])</f>
        <v>Avon</v>
      </c>
      <c r="K1077" t="s">
        <v>1849</v>
      </c>
      <c r="L1077">
        <v>52.033413000000003</v>
      </c>
      <c r="M1077">
        <v>-2.1170689999999999</v>
      </c>
      <c r="N1077" t="s">
        <v>31</v>
      </c>
      <c r="O1077">
        <v>9070</v>
      </c>
      <c r="P1077">
        <v>20.5</v>
      </c>
      <c r="Q1077">
        <v>10</v>
      </c>
      <c r="R1077" s="107" t="str">
        <f>IF(AllData[[#This Row],[Nitrate (PPM)]]&gt;2, "Very high", IF(AllData[[#This Row],[Nitrate (PPM)]]&gt;1, "High", IF(AllData[[#This Row],[Nitrate (PPM)]]&gt;0.5, "Some evidence", IF(AllData[[#This Row],[Nitrate (PPM)]]&gt;=0, "No evidence"))))</f>
        <v>Very high</v>
      </c>
      <c r="S1077" s="4">
        <v>1.04</v>
      </c>
      <c r="T1077" s="7" t="str">
        <f>IF(AllData[[#This Row],[Phosphate (PPM)]]&gt;0.5, "Very high", IF(AllData[[#This Row],[Phosphate (PPM)]]&gt;0.1, "High", IF(AllData[[#This Row],[Phosphate (PPM)]]&gt;0.05, "Some evidence", IF(AllData[[#This Row],[Phosphate (PPM)]]&lt;=0.05, "No Evidence", ""))))</f>
        <v>Very high</v>
      </c>
      <c r="U1077">
        <v>0</v>
      </c>
    </row>
    <row r="1078" spans="1:22" x14ac:dyDescent="0.35">
      <c r="A1078" t="s">
        <v>1893</v>
      </c>
      <c r="B1078" s="143">
        <v>45526</v>
      </c>
      <c r="C1078" s="2" t="str" cm="1">
        <f t="array" ref="C10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8">
        <f>YEAR(AllData[[#This Row],[Date]])</f>
        <v>2024</v>
      </c>
      <c r="E1078" s="1">
        <v>0.69374999999999998</v>
      </c>
      <c r="F1078" t="str">
        <f>IF(AND(AllData[[#This Row],[Time]]&lt;0.5, AllData[[#This Row],[Time]]&gt;0.17)=TRUE, "Morning", IF(AND(AllData[[#This Row],[Time]]&lt;0.75, AllData[[#This Row],[Time]]&gt;=0.5)=TRUE, "Afternoon", IF(AND(AllData[[#This Row],[Time]]&lt;1, AllData[[#This Row],[Time]]&gt;=0.75)=TRUE, "Evening", "Night")))</f>
        <v>Afternoon</v>
      </c>
      <c r="G1078" t="str">
        <f>_xlfn.XLOOKUP(AllData[[#This Row],[Location Name]], Locations[Location Name],Locations[Group As])</f>
        <v>Alveston Weir</v>
      </c>
      <c r="H1078" t="e" vm="1">
        <f>_xlfn.XLOOKUP(AllData[[#This Row],[Site Name]],LocationsKey[Site Name],LocationsKey[District])</f>
        <v>#VALUE!</v>
      </c>
      <c r="I1078" t="e" vm="2">
        <f>_xlfn.XLOOKUP(AllData[[#This Row],[Site Name]],LocationsKey[Site Name],LocationsKey[Town])</f>
        <v>#VALUE!</v>
      </c>
      <c r="J1078" t="str">
        <f>_xlfn.XLOOKUP(AllData[[#This Row],[Site Name]],LocationsKey[Site Name], LocationsKey[Waterway])</f>
        <v>Avon</v>
      </c>
      <c r="K1078" t="s">
        <v>288</v>
      </c>
      <c r="L1078">
        <v>52.212288999999998</v>
      </c>
      <c r="M1078">
        <v>-1.660452</v>
      </c>
      <c r="N1078" t="s">
        <v>31</v>
      </c>
      <c r="O1078">
        <v>759</v>
      </c>
      <c r="P1078">
        <v>19.5</v>
      </c>
      <c r="Q1078">
        <v>10</v>
      </c>
      <c r="R1078" s="107" t="str">
        <f>IF(AllData[[#This Row],[Nitrate (PPM)]]&gt;2, "Very high", IF(AllData[[#This Row],[Nitrate (PPM)]]&gt;1, "High", IF(AllData[[#This Row],[Nitrate (PPM)]]&gt;0.5, "Some evidence", IF(AllData[[#This Row],[Nitrate (PPM)]]&gt;=0, "No evidence"))))</f>
        <v>Very high</v>
      </c>
      <c r="S1078">
        <v>0.47</v>
      </c>
      <c r="T1078" s="7" t="str">
        <f>IF(AllData[[#This Row],[Phosphate (PPM)]]&gt;0.5, "Very high", IF(AllData[[#This Row],[Phosphate (PPM)]]&gt;0.1, "High", IF(AllData[[#This Row],[Phosphate (PPM)]]&gt;0.05, "Some evidence", IF(AllData[[#This Row],[Phosphate (PPM)]]&lt;=0.05, "No Evidence", ""))))</f>
        <v>High</v>
      </c>
      <c r="U1078">
        <v>-1</v>
      </c>
      <c r="V1078" t="s">
        <v>1894</v>
      </c>
    </row>
    <row r="1079" spans="1:22" x14ac:dyDescent="0.35">
      <c r="A1079" t="s">
        <v>1887</v>
      </c>
      <c r="B1079" s="143">
        <v>45526</v>
      </c>
      <c r="C1079" s="2" t="str" cm="1">
        <f t="array" ref="C10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79">
        <f>YEAR(AllData[[#This Row],[Date]])</f>
        <v>2024</v>
      </c>
      <c r="E1079" s="1">
        <v>0.41666666666666669</v>
      </c>
      <c r="F1079" t="str">
        <f>IF(AND(AllData[[#This Row],[Time]]&lt;0.5, AllData[[#This Row],[Time]]&gt;0.17)=TRUE, "Morning", IF(AND(AllData[[#This Row],[Time]]&lt;0.75, AllData[[#This Row],[Time]]&gt;=0.5)=TRUE, "Afternoon", IF(AND(AllData[[#This Row],[Time]]&lt;1, AllData[[#This Row],[Time]]&gt;=0.75)=TRUE, "Evening", "Night")))</f>
        <v>Morning</v>
      </c>
      <c r="G1079" t="str">
        <f>_xlfn.XLOOKUP(AllData[[#This Row],[Location Name]], Locations[Location Name],Locations[Group As])</f>
        <v>Swilgate</v>
      </c>
      <c r="H1079" t="e" vm="4">
        <f>_xlfn.XLOOKUP(AllData[[#This Row],[Site Name]],LocationsKey[Site Name],LocationsKey[District])</f>
        <v>#VALUE!</v>
      </c>
      <c r="I1079" t="e" vm="4">
        <f>_xlfn.XLOOKUP(AllData[[#This Row],[Site Name]],LocationsKey[Site Name],LocationsKey[Town])</f>
        <v>#VALUE!</v>
      </c>
      <c r="J1079" t="str">
        <f>_xlfn.XLOOKUP(AllData[[#This Row],[Site Name]],LocationsKey[Site Name], LocationsKey[Waterway])</f>
        <v>Swilgate</v>
      </c>
      <c r="K1079" t="s">
        <v>85</v>
      </c>
      <c r="N1079" t="s">
        <v>25</v>
      </c>
      <c r="O1079">
        <v>1090</v>
      </c>
      <c r="P1079">
        <v>16.7</v>
      </c>
      <c r="Q1079">
        <v>7</v>
      </c>
      <c r="R1079" s="107" t="str">
        <f>IF(AllData[[#This Row],[Nitrate (PPM)]]&gt;2, "Very high", IF(AllData[[#This Row],[Nitrate (PPM)]]&gt;1, "High", IF(AllData[[#This Row],[Nitrate (PPM)]]&gt;0.5, "Some evidence", IF(AllData[[#This Row],[Nitrate (PPM)]]&gt;=0, "No evidence"))))</f>
        <v>Very high</v>
      </c>
      <c r="S1079" s="4">
        <v>1.08</v>
      </c>
      <c r="T1079" s="7" t="str">
        <f>IF(AllData[[#This Row],[Phosphate (PPM)]]&gt;0.5, "Very high", IF(AllData[[#This Row],[Phosphate (PPM)]]&gt;0.1, "High", IF(AllData[[#This Row],[Phosphate (PPM)]]&gt;0.05, "Some evidence", IF(AllData[[#This Row],[Phosphate (PPM)]]&lt;=0.05, "No Evidence", ""))))</f>
        <v>Very high</v>
      </c>
      <c r="U1079">
        <v>0</v>
      </c>
    </row>
    <row r="1080" spans="1:22" x14ac:dyDescent="0.35">
      <c r="A1080" t="s">
        <v>1889</v>
      </c>
      <c r="B1080" s="143">
        <v>45526</v>
      </c>
      <c r="C1080" s="2" t="str" cm="1">
        <f t="array" ref="C10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0">
        <f>YEAR(AllData[[#This Row],[Date]])</f>
        <v>2024</v>
      </c>
      <c r="E1080" s="1">
        <v>0.6333333333333333</v>
      </c>
      <c r="F1080" t="str">
        <f>IF(AND(AllData[[#This Row],[Time]]&lt;0.5, AllData[[#This Row],[Time]]&gt;0.17)=TRUE, "Morning", IF(AND(AllData[[#This Row],[Time]]&lt;0.75, AllData[[#This Row],[Time]]&gt;=0.5)=TRUE, "Afternoon", IF(AND(AllData[[#This Row],[Time]]&lt;1, AllData[[#This Row],[Time]]&gt;=0.75)=TRUE, "Evening", "Night")))</f>
        <v>Afternoon</v>
      </c>
      <c r="G1080" t="str">
        <f>_xlfn.XLOOKUP(AllData[[#This Row],[Location Name]], Locations[Location Name],Locations[Group As])</f>
        <v>Carrant Mitton Bridge</v>
      </c>
      <c r="H1080" t="e" vm="4">
        <f>_xlfn.XLOOKUP(AllData[[#This Row],[Site Name]],LocationsKey[Site Name],LocationsKey[District])</f>
        <v>#VALUE!</v>
      </c>
      <c r="I1080" t="e" vm="4">
        <f>_xlfn.XLOOKUP(AllData[[#This Row],[Site Name]],LocationsKey[Site Name],LocationsKey[Town])</f>
        <v>#VALUE!</v>
      </c>
      <c r="J1080" t="str">
        <f>_xlfn.XLOOKUP(AllData[[#This Row],[Site Name]],LocationsKey[Site Name], LocationsKey[Waterway])</f>
        <v>Carrant</v>
      </c>
      <c r="K1080" t="s">
        <v>1394</v>
      </c>
      <c r="L1080">
        <v>51.999758999999997</v>
      </c>
      <c r="M1080">
        <v>-2.1411549999999999</v>
      </c>
      <c r="N1080" t="s">
        <v>25</v>
      </c>
      <c r="O1080">
        <v>656</v>
      </c>
      <c r="P1080">
        <v>18</v>
      </c>
      <c r="Q1080">
        <v>5</v>
      </c>
      <c r="R1080" s="107" t="str">
        <f>IF(AllData[[#This Row],[Nitrate (PPM)]]&gt;2, "Very high", IF(AllData[[#This Row],[Nitrate (PPM)]]&gt;1, "High", IF(AllData[[#This Row],[Nitrate (PPM)]]&gt;0.5, "Some evidence", IF(AllData[[#This Row],[Nitrate (PPM)]]&gt;=0, "No evidence"))))</f>
        <v>Very high</v>
      </c>
      <c r="S1080" s="4">
        <v>0.56999999999999995</v>
      </c>
      <c r="T1080" s="7" t="str">
        <f>IF(AllData[[#This Row],[Phosphate (PPM)]]&gt;0.5, "Very high", IF(AllData[[#This Row],[Phosphate (PPM)]]&gt;0.1, "High", IF(AllData[[#This Row],[Phosphate (PPM)]]&gt;0.05, "Some evidence", IF(AllData[[#This Row],[Phosphate (PPM)]]&lt;=0.05, "No Evidence", ""))))</f>
        <v>Very high</v>
      </c>
      <c r="U1080">
        <v>0</v>
      </c>
    </row>
    <row r="1081" spans="1:22" x14ac:dyDescent="0.35">
      <c r="A1081" t="s">
        <v>1892</v>
      </c>
      <c r="B1081" s="143">
        <v>45526</v>
      </c>
      <c r="C1081" s="2" t="str" cm="1">
        <f t="array" ref="C10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1">
        <f>YEAR(AllData[[#This Row],[Date]])</f>
        <v>2024</v>
      </c>
      <c r="E1081" s="1">
        <v>0.72569444444444442</v>
      </c>
      <c r="F1081" t="str">
        <f>IF(AND(AllData[[#This Row],[Time]]&lt;0.5, AllData[[#This Row],[Time]]&gt;0.17)=TRUE, "Morning", IF(AND(AllData[[#This Row],[Time]]&lt;0.75, AllData[[#This Row],[Time]]&gt;=0.5)=TRUE, "Afternoon", IF(AND(AllData[[#This Row],[Time]]&lt;1, AllData[[#This Row],[Time]]&gt;=0.75)=TRUE, "Evening", "Night")))</f>
        <v>Afternoon</v>
      </c>
      <c r="G1081" t="str">
        <f>_xlfn.XLOOKUP(AllData[[#This Row],[Location Name]], Locations[Location Name],Locations[Group As])</f>
        <v>Stour Whichford</v>
      </c>
      <c r="H1081" t="e" vm="1">
        <f>_xlfn.XLOOKUP(AllData[[#This Row],[Site Name]],LocationsKey[Site Name],LocationsKey[District])</f>
        <v>#VALUE!</v>
      </c>
      <c r="I1081" t="e" vm="24">
        <f>_xlfn.XLOOKUP(AllData[[#This Row],[Site Name]],LocationsKey[Site Name],LocationsKey[Town])</f>
        <v>#VALUE!</v>
      </c>
      <c r="J1081" t="str">
        <f>_xlfn.XLOOKUP(AllData[[#This Row],[Site Name]],LocationsKey[Site Name], LocationsKey[Waterway])</f>
        <v>Stour</v>
      </c>
      <c r="K1081" t="s">
        <v>980</v>
      </c>
      <c r="N1081" t="s">
        <v>31</v>
      </c>
      <c r="O1081">
        <v>718</v>
      </c>
      <c r="P1081">
        <v>17</v>
      </c>
      <c r="Q1081">
        <v>2.5</v>
      </c>
      <c r="R1081" s="107" t="str">
        <f>IF(AllData[[#This Row],[Nitrate (PPM)]]&gt;2, "Very high", IF(AllData[[#This Row],[Nitrate (PPM)]]&gt;1, "High", IF(AllData[[#This Row],[Nitrate (PPM)]]&gt;0.5, "Some evidence", IF(AllData[[#This Row],[Nitrate (PPM)]]&gt;=0, "No evidence"))))</f>
        <v>Very high</v>
      </c>
      <c r="S1081">
        <v>1.56</v>
      </c>
      <c r="T1081" s="7" t="str">
        <f>IF(AllData[[#This Row],[Phosphate (PPM)]]&gt;0.5, "Very high", IF(AllData[[#This Row],[Phosphate (PPM)]]&gt;0.1, "High", IF(AllData[[#This Row],[Phosphate (PPM)]]&gt;0.05, "Some evidence", IF(AllData[[#This Row],[Phosphate (PPM)]]&lt;=0.05, "No Evidence", ""))))</f>
        <v>Very high</v>
      </c>
      <c r="U1081">
        <v>2.5</v>
      </c>
    </row>
    <row r="1082" spans="1:22" x14ac:dyDescent="0.35">
      <c r="A1082" t="s">
        <v>1888</v>
      </c>
      <c r="B1082" s="143">
        <v>45526</v>
      </c>
      <c r="C1082" s="2" t="str" cm="1">
        <f t="array" ref="C10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2">
        <f>YEAR(AllData[[#This Row],[Date]])</f>
        <v>2024</v>
      </c>
      <c r="E1082" s="1">
        <v>0.52083333333333337</v>
      </c>
      <c r="F1082" t="str">
        <f>IF(AND(AllData[[#This Row],[Time]]&lt;0.5, AllData[[#This Row],[Time]]&gt;0.17)=TRUE, "Morning", IF(AND(AllData[[#This Row],[Time]]&lt;0.75, AllData[[#This Row],[Time]]&gt;=0.5)=TRUE, "Afternoon", IF(AND(AllData[[#This Row],[Time]]&lt;1, AllData[[#This Row],[Time]]&gt;=0.75)=TRUE, "Evening", "Night")))</f>
        <v>Afternoon</v>
      </c>
      <c r="G1082" t="str">
        <f>_xlfn.XLOOKUP(AllData[[#This Row],[Location Name]], Locations[Location Name],Locations[Group As])</f>
        <v>Stour Willington</v>
      </c>
      <c r="H1082" t="e" vm="1">
        <f>_xlfn.XLOOKUP(AllData[[#This Row],[Site Name]],LocationsKey[Site Name],LocationsKey[District])</f>
        <v>#VALUE!</v>
      </c>
      <c r="I1082" t="str">
        <f>_xlfn.XLOOKUP(AllData[[#This Row],[Site Name]],LocationsKey[Site Name],LocationsKey[Town])</f>
        <v>Willington</v>
      </c>
      <c r="J1082" t="str">
        <f>_xlfn.XLOOKUP(AllData[[#This Row],[Site Name]],LocationsKey[Site Name], LocationsKey[Waterway])</f>
        <v>Stour</v>
      </c>
      <c r="K1082" t="s">
        <v>521</v>
      </c>
      <c r="L1082">
        <v>52.053508000000001</v>
      </c>
      <c r="M1082">
        <v>-1.6203110000000001</v>
      </c>
      <c r="N1082" t="s">
        <v>25</v>
      </c>
      <c r="O1082">
        <v>633</v>
      </c>
      <c r="P1082">
        <v>16.3</v>
      </c>
      <c r="Q1082">
        <v>2</v>
      </c>
      <c r="R1082" s="107" t="str">
        <f>IF(AllData[[#This Row],[Nitrate (PPM)]]&gt;2, "Very high", IF(AllData[[#This Row],[Nitrate (PPM)]]&gt;1, "High", IF(AllData[[#This Row],[Nitrate (PPM)]]&gt;0.5, "Some evidence", IF(AllData[[#This Row],[Nitrate (PPM)]]&gt;=0, "No evidence"))))</f>
        <v>High</v>
      </c>
      <c r="S1082" s="4">
        <v>0.37</v>
      </c>
      <c r="T1082" s="7" t="str">
        <f>IF(AllData[[#This Row],[Phosphate (PPM)]]&gt;0.5, "Very high", IF(AllData[[#This Row],[Phosphate (PPM)]]&gt;0.1, "High", IF(AllData[[#This Row],[Phosphate (PPM)]]&gt;0.05, "Some evidence", IF(AllData[[#This Row],[Phosphate (PPM)]]&lt;=0.05, "No Evidence", ""))))</f>
        <v>High</v>
      </c>
      <c r="U1082">
        <v>0.5</v>
      </c>
    </row>
    <row r="1083" spans="1:22" x14ac:dyDescent="0.35">
      <c r="A1083" t="s">
        <v>1891</v>
      </c>
      <c r="B1083" s="143">
        <v>45526</v>
      </c>
      <c r="C1083" s="2" t="str" cm="1">
        <f t="array" ref="C10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3">
        <f>YEAR(AllData[[#This Row],[Date]])</f>
        <v>2024</v>
      </c>
      <c r="E1083" s="1">
        <v>0.73958333333333337</v>
      </c>
      <c r="F1083" t="str">
        <f>IF(AND(AllData[[#This Row],[Time]]&lt;0.5, AllData[[#This Row],[Time]]&gt;0.17)=TRUE, "Morning", IF(AND(AllData[[#This Row],[Time]]&lt;0.75, AllData[[#This Row],[Time]]&gt;=0.5)=TRUE, "Afternoon", IF(AND(AllData[[#This Row],[Time]]&lt;1, AllData[[#This Row],[Time]]&gt;=0.75)=TRUE, "Evening", "Night")))</f>
        <v>Afternoon</v>
      </c>
      <c r="G1083" t="str">
        <f>_xlfn.XLOOKUP(AllData[[#This Row],[Location Name]], Locations[Location Name],Locations[Group As])</f>
        <v>Stour Ascott Village</v>
      </c>
      <c r="H1083" t="e" vm="1">
        <f>_xlfn.XLOOKUP(AllData[[#This Row],[Site Name]],LocationsKey[Site Name],LocationsKey[District])</f>
        <v>#VALUE!</v>
      </c>
      <c r="I1083" t="e" vm="25">
        <f>_xlfn.XLOOKUP(AllData[[#This Row],[Site Name]],LocationsKey[Site Name],LocationsKey[Town])</f>
        <v>#VALUE!</v>
      </c>
      <c r="J1083" t="str">
        <f>_xlfn.XLOOKUP(AllData[[#This Row],[Site Name]],LocationsKey[Site Name], LocationsKey[Waterway])</f>
        <v>Stour</v>
      </c>
      <c r="K1083" t="s">
        <v>927</v>
      </c>
      <c r="N1083" t="s">
        <v>68</v>
      </c>
      <c r="O1083">
        <v>509</v>
      </c>
      <c r="P1083">
        <v>17.5</v>
      </c>
      <c r="Q1083">
        <v>1</v>
      </c>
      <c r="R1083" s="107" t="str">
        <f>IF(AllData[[#This Row],[Nitrate (PPM)]]&gt;2, "Very high", IF(AllData[[#This Row],[Nitrate (PPM)]]&gt;1, "High", IF(AllData[[#This Row],[Nitrate (PPM)]]&gt;0.5, "Some evidence", IF(AllData[[#This Row],[Nitrate (PPM)]]&gt;=0, "No evidence"))))</f>
        <v>Some evidence</v>
      </c>
      <c r="S1083">
        <v>0.36</v>
      </c>
      <c r="T1083" s="7" t="str">
        <f>IF(AllData[[#This Row],[Phosphate (PPM)]]&gt;0.5, "Very high", IF(AllData[[#This Row],[Phosphate (PPM)]]&gt;0.1, "High", IF(AllData[[#This Row],[Phosphate (PPM)]]&gt;0.05, "Some evidence", IF(AllData[[#This Row],[Phosphate (PPM)]]&lt;=0.05, "No Evidence", ""))))</f>
        <v>High</v>
      </c>
      <c r="U1083">
        <v>1.5</v>
      </c>
    </row>
    <row r="1084" spans="1:22" x14ac:dyDescent="0.35">
      <c r="A1084" t="s">
        <v>1886</v>
      </c>
      <c r="B1084" s="143">
        <v>45525</v>
      </c>
      <c r="C1084" s="2" t="str" cm="1">
        <f t="array" ref="C10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4">
        <f>YEAR(AllData[[#This Row],[Date]])</f>
        <v>2024</v>
      </c>
      <c r="E1084" s="1">
        <v>0.71527777777777779</v>
      </c>
      <c r="F1084" t="str">
        <f>IF(AND(AllData[[#This Row],[Time]]&lt;0.5, AllData[[#This Row],[Time]]&gt;0.17)=TRUE, "Morning", IF(AND(AllData[[#This Row],[Time]]&lt;0.75, AllData[[#This Row],[Time]]&gt;=0.5)=TRUE, "Afternoon", IF(AND(AllData[[#This Row],[Time]]&lt;1, AllData[[#This Row],[Time]]&gt;=0.75)=TRUE, "Evening", "Night")))</f>
        <v>Afternoon</v>
      </c>
      <c r="G1084" t="str">
        <f>_xlfn.XLOOKUP(AllData[[#This Row],[Location Name]], Locations[Location Name],Locations[Group As])</f>
        <v>Stour Newbold Mill</v>
      </c>
      <c r="H1084" t="e" vm="1">
        <f>_xlfn.XLOOKUP(AllData[[#This Row],[Site Name]],LocationsKey[Site Name],LocationsKey[District])</f>
        <v>#VALUE!</v>
      </c>
      <c r="I1084" t="e" vm="27">
        <f>_xlfn.XLOOKUP(AllData[[#This Row],[Site Name]],LocationsKey[Site Name],LocationsKey[Town])</f>
        <v>#VALUE!</v>
      </c>
      <c r="J1084" t="str">
        <f>_xlfn.XLOOKUP(AllData[[#This Row],[Site Name]],LocationsKey[Site Name], LocationsKey[Waterway])</f>
        <v>Stour</v>
      </c>
      <c r="K1084" t="s">
        <v>141</v>
      </c>
      <c r="N1084" t="s">
        <v>31</v>
      </c>
      <c r="O1084">
        <v>667</v>
      </c>
      <c r="P1084">
        <v>18</v>
      </c>
      <c r="Q1084">
        <v>2</v>
      </c>
      <c r="R1084" s="107" t="str">
        <f>IF(AllData[[#This Row],[Nitrate (PPM)]]&gt;2, "Very high", IF(AllData[[#This Row],[Nitrate (PPM)]]&gt;1, "High", IF(AllData[[#This Row],[Nitrate (PPM)]]&gt;0.5, "Some evidence", IF(AllData[[#This Row],[Nitrate (PPM)]]&gt;=0, "No evidence"))))</f>
        <v>High</v>
      </c>
      <c r="S1084">
        <v>0.6</v>
      </c>
      <c r="T1084" s="7" t="str">
        <f>IF(AllData[[#This Row],[Phosphate (PPM)]]&gt;0.5, "Very high", IF(AllData[[#This Row],[Phosphate (PPM)]]&gt;0.1, "High", IF(AllData[[#This Row],[Phosphate (PPM)]]&gt;0.05, "Some evidence", IF(AllData[[#This Row],[Phosphate (PPM)]]&lt;=0.05, "No Evidence", ""))))</f>
        <v>Very high</v>
      </c>
      <c r="U1084">
        <v>1.5</v>
      </c>
      <c r="V1084" t="s">
        <v>533</v>
      </c>
    </row>
    <row r="1085" spans="1:22" x14ac:dyDescent="0.35">
      <c r="A1085" t="s">
        <v>1885</v>
      </c>
      <c r="B1085" s="143">
        <v>45524</v>
      </c>
      <c r="C1085" s="2" t="str" cm="1">
        <f t="array" ref="C10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5">
        <f>YEAR(AllData[[#This Row],[Date]])</f>
        <v>2024</v>
      </c>
      <c r="E1085" s="1">
        <v>0.6430555555555556</v>
      </c>
      <c r="F1085" t="str">
        <f>IF(AND(AllData[[#This Row],[Time]]&lt;0.5, AllData[[#This Row],[Time]]&gt;0.17)=TRUE, "Morning", IF(AND(AllData[[#This Row],[Time]]&lt;0.75, AllData[[#This Row],[Time]]&gt;=0.5)=TRUE, "Afternoon", IF(AND(AllData[[#This Row],[Time]]&lt;1, AllData[[#This Row],[Time]]&gt;=0.75)=TRUE, "Evening", "Night")))</f>
        <v>Afternoon</v>
      </c>
      <c r="G1085" t="str">
        <f>_xlfn.XLOOKUP(AllData[[#This Row],[Location Name]], Locations[Location Name],Locations[Group As])</f>
        <v>Abbey Mill</v>
      </c>
      <c r="H1085" t="e" vm="4">
        <f>_xlfn.XLOOKUP(AllData[[#This Row],[Site Name]],LocationsKey[Site Name],LocationsKey[District])</f>
        <v>#VALUE!</v>
      </c>
      <c r="I1085" t="e" vm="4">
        <f>_xlfn.XLOOKUP(AllData[[#This Row],[Site Name]],LocationsKey[Site Name],LocationsKey[Town])</f>
        <v>#VALUE!</v>
      </c>
      <c r="J1085" t="str">
        <f>_xlfn.XLOOKUP(AllData[[#This Row],[Site Name]],LocationsKey[Site Name], LocationsKey[Waterway])</f>
        <v>Avon</v>
      </c>
      <c r="K1085" t="s">
        <v>24</v>
      </c>
      <c r="L1085">
        <v>51.991455000000002</v>
      </c>
      <c r="M1085">
        <v>-2.1628280000000002</v>
      </c>
      <c r="N1085" t="s">
        <v>25</v>
      </c>
      <c r="O1085">
        <v>106</v>
      </c>
      <c r="P1085">
        <v>18.3</v>
      </c>
      <c r="Q1085">
        <v>8</v>
      </c>
      <c r="R1085" s="107" t="str">
        <f>IF(AllData[[#This Row],[Nitrate (PPM)]]&gt;2, "Very high", IF(AllData[[#This Row],[Nitrate (PPM)]]&gt;1, "High", IF(AllData[[#This Row],[Nitrate (PPM)]]&gt;0.5, "Some evidence", IF(AllData[[#This Row],[Nitrate (PPM)]]&gt;=0, "No evidence"))))</f>
        <v>Very high</v>
      </c>
      <c r="S1085" s="4">
        <v>1.06</v>
      </c>
      <c r="T1085" s="7" t="str">
        <f>IF(AllData[[#This Row],[Phosphate (PPM)]]&gt;0.5, "Very high", IF(AllData[[#This Row],[Phosphate (PPM)]]&gt;0.1, "High", IF(AllData[[#This Row],[Phosphate (PPM)]]&gt;0.05, "Some evidence", IF(AllData[[#This Row],[Phosphate (PPM)]]&lt;=0.05, "No Evidence", ""))))</f>
        <v>Very high</v>
      </c>
      <c r="U1085">
        <v>0</v>
      </c>
    </row>
    <row r="1086" spans="1:22" x14ac:dyDescent="0.35">
      <c r="A1086" t="s">
        <v>1883</v>
      </c>
      <c r="B1086" s="143">
        <v>45523</v>
      </c>
      <c r="C1086" s="2" t="str" cm="1">
        <f t="array" ref="C10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6">
        <f>YEAR(AllData[[#This Row],[Date]])</f>
        <v>2024</v>
      </c>
      <c r="E1086" s="1">
        <v>0.75138888888888888</v>
      </c>
      <c r="F1086" t="str">
        <f>IF(AND(AllData[[#This Row],[Time]]&lt;0.5, AllData[[#This Row],[Time]]&gt;0.17)=TRUE, "Morning", IF(AND(AllData[[#This Row],[Time]]&lt;0.75, AllData[[#This Row],[Time]]&gt;=0.5)=TRUE, "Afternoon", IF(AND(AllData[[#This Row],[Time]]&lt;1, AllData[[#This Row],[Time]]&gt;=0.75)=TRUE, "Evening", "Night")))</f>
        <v>Evening</v>
      </c>
      <c r="G1086" t="str">
        <f>_xlfn.XLOOKUP(AllData[[#This Row],[Location Name]], Locations[Location Name],Locations[Group As])</f>
        <v>Carrant Back Lane Beckford</v>
      </c>
      <c r="H1086" t="e" vm="4">
        <f>_xlfn.XLOOKUP(AllData[[#This Row],[Site Name]],LocationsKey[Site Name],LocationsKey[District])</f>
        <v>#VALUE!</v>
      </c>
      <c r="I1086" t="str">
        <f>_xlfn.XLOOKUP(AllData[[#This Row],[Site Name]],LocationsKey[Site Name],LocationsKey[Town])</f>
        <v>Beckford</v>
      </c>
      <c r="J1086" t="str">
        <f>_xlfn.XLOOKUP(AllData[[#This Row],[Site Name]],LocationsKey[Site Name], LocationsKey[Waterway])</f>
        <v>Carrant</v>
      </c>
      <c r="K1086" t="s">
        <v>1736</v>
      </c>
      <c r="L1086">
        <v>52.017957000000003</v>
      </c>
      <c r="M1086">
        <v>-2.036934</v>
      </c>
      <c r="N1086" t="s">
        <v>68</v>
      </c>
      <c r="O1086">
        <v>781</v>
      </c>
      <c r="P1086">
        <v>16.7</v>
      </c>
      <c r="Q1086">
        <v>15</v>
      </c>
      <c r="R1086" s="107" t="str">
        <f>IF(AllData[[#This Row],[Nitrate (PPM)]]&gt;2, "Very high", IF(AllData[[#This Row],[Nitrate (PPM)]]&gt;1, "High", IF(AllData[[#This Row],[Nitrate (PPM)]]&gt;0.5, "Some evidence", IF(AllData[[#This Row],[Nitrate (PPM)]]&gt;=0, "No evidence"))))</f>
        <v>Very high</v>
      </c>
      <c r="S1086" s="4">
        <v>0.08</v>
      </c>
      <c r="T1086" s="7" t="str">
        <f>IF(AllData[[#This Row],[Phosphate (PPM)]]&gt;0.5, "Very high", IF(AllData[[#This Row],[Phosphate (PPM)]]&gt;0.1, "High", IF(AllData[[#This Row],[Phosphate (PPM)]]&gt;0.05, "Some evidence", IF(AllData[[#This Row],[Phosphate (PPM)]]&lt;=0.05, "No Evidence", ""))))</f>
        <v>Some evidence</v>
      </c>
      <c r="U1086">
        <v>0.2</v>
      </c>
      <c r="V1086" t="s">
        <v>1884</v>
      </c>
    </row>
    <row r="1087" spans="1:22" x14ac:dyDescent="0.35">
      <c r="A1087" t="s">
        <v>1879</v>
      </c>
      <c r="B1087" s="143">
        <v>45523</v>
      </c>
      <c r="C1087" s="2" t="str" cm="1">
        <f t="array" ref="C10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7">
        <f>YEAR(AllData[[#This Row],[Date]])</f>
        <v>2024</v>
      </c>
      <c r="E1087" s="1">
        <v>0.33333333333333331</v>
      </c>
      <c r="F1087" t="str">
        <f>IF(AND(AllData[[#This Row],[Time]]&lt;0.5, AllData[[#This Row],[Time]]&gt;0.17)=TRUE, "Morning", IF(AND(AllData[[#This Row],[Time]]&lt;0.75, AllData[[#This Row],[Time]]&gt;=0.5)=TRUE, "Afternoon", IF(AND(AllData[[#This Row],[Time]]&lt;1, AllData[[#This Row],[Time]]&gt;=0.75)=TRUE, "Evening", "Night")))</f>
        <v>Morning</v>
      </c>
      <c r="G1087" t="str">
        <f>_xlfn.XLOOKUP(AllData[[#This Row],[Location Name]], Locations[Location Name],Locations[Group As])</f>
        <v>Carrant M5 Bridge</v>
      </c>
      <c r="H1087" t="e" vm="4">
        <f>_xlfn.XLOOKUP(AllData[[#This Row],[Site Name]],LocationsKey[Site Name],LocationsKey[District])</f>
        <v>#VALUE!</v>
      </c>
      <c r="I1087" t="e" vm="4">
        <f>_xlfn.XLOOKUP(AllData[[#This Row],[Site Name]],LocationsKey[Site Name],LocationsKey[Town])</f>
        <v>#VALUE!</v>
      </c>
      <c r="J1087" t="str">
        <f>_xlfn.XLOOKUP(AllData[[#This Row],[Site Name]],LocationsKey[Site Name], LocationsKey[Waterway])</f>
        <v>Carrant</v>
      </c>
      <c r="K1087" t="s">
        <v>1066</v>
      </c>
      <c r="N1087" t="s">
        <v>25</v>
      </c>
      <c r="O1087">
        <v>807</v>
      </c>
      <c r="P1087">
        <v>17.399999999999999</v>
      </c>
      <c r="Q1087">
        <v>6</v>
      </c>
      <c r="R1087" s="107" t="str">
        <f>IF(AllData[[#This Row],[Nitrate (PPM)]]&gt;2, "Very high", IF(AllData[[#This Row],[Nitrate (PPM)]]&gt;1, "High", IF(AllData[[#This Row],[Nitrate (PPM)]]&gt;0.5, "Some evidence", IF(AllData[[#This Row],[Nitrate (PPM)]]&gt;=0, "No evidence"))))</f>
        <v>Very high</v>
      </c>
      <c r="S1087" s="4">
        <v>1.48</v>
      </c>
      <c r="T1087" s="7" t="str">
        <f>IF(AllData[[#This Row],[Phosphate (PPM)]]&gt;0.5, "Very high", IF(AllData[[#This Row],[Phosphate (PPM)]]&gt;0.1, "High", IF(AllData[[#This Row],[Phosphate (PPM)]]&gt;0.05, "Some evidence", IF(AllData[[#This Row],[Phosphate (PPM)]]&lt;=0.05, "No Evidence", ""))))</f>
        <v>Very high</v>
      </c>
      <c r="U1087">
        <v>0</v>
      </c>
    </row>
    <row r="1088" spans="1:22" x14ac:dyDescent="0.35">
      <c r="A1088" t="s">
        <v>1880</v>
      </c>
      <c r="B1088" s="143">
        <v>45523</v>
      </c>
      <c r="C1088" s="2" t="str" cm="1">
        <f t="array" ref="C10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8">
        <f>YEAR(AllData[[#This Row],[Date]])</f>
        <v>2024</v>
      </c>
      <c r="E1088" s="1">
        <v>0.33333333333333331</v>
      </c>
      <c r="F1088" t="str">
        <f>IF(AND(AllData[[#This Row],[Time]]&lt;0.5, AllData[[#This Row],[Time]]&gt;0.17)=TRUE, "Morning", IF(AND(AllData[[#This Row],[Time]]&lt;0.75, AllData[[#This Row],[Time]]&gt;=0.5)=TRUE, "Afternoon", IF(AND(AllData[[#This Row],[Time]]&lt;1, AllData[[#This Row],[Time]]&gt;=0.75)=TRUE, "Evening", "Night")))</f>
        <v>Morning</v>
      </c>
      <c r="G1088" t="str">
        <f>_xlfn.XLOOKUP(AllData[[#This Row],[Location Name]], Locations[Location Name],Locations[Group As])</f>
        <v>Chipping Campden Sewage Works</v>
      </c>
      <c r="H1088" t="e" vm="9">
        <f>_xlfn.XLOOKUP(AllData[[#This Row],[Site Name]],LocationsKey[Site Name],LocationsKey[District])</f>
        <v>#VALUE!</v>
      </c>
      <c r="I1088" t="e" vm="10">
        <f>_xlfn.XLOOKUP(AllData[[#This Row],[Site Name]],LocationsKey[Site Name],LocationsKey[Town])</f>
        <v>#VALUE!</v>
      </c>
      <c r="J1088" t="str">
        <f>_xlfn.XLOOKUP(AllData[[#This Row],[Site Name]],LocationsKey[Site Name], LocationsKey[Waterway])</f>
        <v>Cam Brook</v>
      </c>
      <c r="K1088" t="s">
        <v>1570</v>
      </c>
      <c r="N1088" t="s">
        <v>31</v>
      </c>
      <c r="O1088">
        <v>745</v>
      </c>
      <c r="P1088">
        <v>14.2</v>
      </c>
      <c r="Q1088">
        <v>5</v>
      </c>
      <c r="R1088" s="107" t="str">
        <f>IF(AllData[[#This Row],[Nitrate (PPM)]]&gt;2, "Very high", IF(AllData[[#This Row],[Nitrate (PPM)]]&gt;1, "High", IF(AllData[[#This Row],[Nitrate (PPM)]]&gt;0.5, "Some evidence", IF(AllData[[#This Row],[Nitrate (PPM)]]&gt;=0, "No evidence"))))</f>
        <v>Very high</v>
      </c>
      <c r="S1088" s="4">
        <v>0.24</v>
      </c>
      <c r="T1088" s="7" t="str">
        <f>IF(AllData[[#This Row],[Phosphate (PPM)]]&gt;0.5, "Very high", IF(AllData[[#This Row],[Phosphate (PPM)]]&gt;0.1, "High", IF(AllData[[#This Row],[Phosphate (PPM)]]&gt;0.05, "Some evidence", IF(AllData[[#This Row],[Phosphate (PPM)]]&lt;=0.05, "No Evidence", ""))))</f>
        <v>High</v>
      </c>
      <c r="U1088">
        <v>0.18</v>
      </c>
    </row>
    <row r="1089" spans="1:22" x14ac:dyDescent="0.35">
      <c r="A1089" t="s">
        <v>1881</v>
      </c>
      <c r="B1089" s="143">
        <v>45523</v>
      </c>
      <c r="C1089" s="2" t="str" cm="1">
        <f t="array" ref="C10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89">
        <f>YEAR(AllData[[#This Row],[Date]])</f>
        <v>2024</v>
      </c>
      <c r="E1089" s="1">
        <v>0.44444444444444442</v>
      </c>
      <c r="F1089" t="str">
        <f>IF(AND(AllData[[#This Row],[Time]]&lt;0.5, AllData[[#This Row],[Time]]&gt;0.17)=TRUE, "Morning", IF(AND(AllData[[#This Row],[Time]]&lt;0.75, AllData[[#This Row],[Time]]&gt;=0.5)=TRUE, "Afternoon", IF(AND(AllData[[#This Row],[Time]]&lt;1, AllData[[#This Row],[Time]]&gt;=0.75)=TRUE, "Evening", "Night")))</f>
        <v>Morning</v>
      </c>
      <c r="G1089" t="str">
        <f>_xlfn.XLOOKUP(AllData[[#This Row],[Location Name]], Locations[Location Name],Locations[Group As])</f>
        <v>Chipping Campden Lady J Gateway</v>
      </c>
      <c r="H1089" t="e" vm="9">
        <f>_xlfn.XLOOKUP(AllData[[#This Row],[Site Name]],LocationsKey[Site Name],LocationsKey[District])</f>
        <v>#VALUE!</v>
      </c>
      <c r="I1089" t="e" vm="10">
        <f>_xlfn.XLOOKUP(AllData[[#This Row],[Site Name]],LocationsKey[Site Name],LocationsKey[Town])</f>
        <v>#VALUE!</v>
      </c>
      <c r="J1089" t="str">
        <f>_xlfn.XLOOKUP(AllData[[#This Row],[Site Name]],LocationsKey[Site Name], LocationsKey[Waterway])</f>
        <v>Cam Brook</v>
      </c>
      <c r="K1089" t="s">
        <v>1573</v>
      </c>
      <c r="N1089" t="s">
        <v>68</v>
      </c>
      <c r="O1089">
        <v>483</v>
      </c>
      <c r="P1089">
        <v>16.100000000000001</v>
      </c>
      <c r="Q1089">
        <v>5</v>
      </c>
      <c r="R1089" s="107" t="str">
        <f>IF(AllData[[#This Row],[Nitrate (PPM)]]&gt;2, "Very high", IF(AllData[[#This Row],[Nitrate (PPM)]]&gt;1, "High", IF(AllData[[#This Row],[Nitrate (PPM)]]&gt;0.5, "Some evidence", IF(AllData[[#This Row],[Nitrate (PPM)]]&gt;=0, "No evidence"))))</f>
        <v>Very high</v>
      </c>
      <c r="S1089" s="4">
        <v>0.05</v>
      </c>
      <c r="T1089" s="7" t="str">
        <f>IF(AllData[[#This Row],[Phosphate (PPM)]]&gt;0.5, "Very high", IF(AllData[[#This Row],[Phosphate (PPM)]]&gt;0.1, "High", IF(AllData[[#This Row],[Phosphate (PPM)]]&gt;0.05, "Some evidence", IF(AllData[[#This Row],[Phosphate (PPM)]]&lt;=0.05, "No Evidence", ""))))</f>
        <v>No Evidence</v>
      </c>
      <c r="U1089">
        <v>0.06</v>
      </c>
    </row>
    <row r="1090" spans="1:22" x14ac:dyDescent="0.35">
      <c r="A1090" t="s">
        <v>1882</v>
      </c>
      <c r="B1090" s="143">
        <v>45523</v>
      </c>
      <c r="C1090" s="2" t="str" cm="1">
        <f t="array" ref="C10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0">
        <f>YEAR(AllData[[#This Row],[Date]])</f>
        <v>2024</v>
      </c>
      <c r="E1090" s="1">
        <v>0.66666666666666663</v>
      </c>
      <c r="F1090" t="str">
        <f>IF(AND(AllData[[#This Row],[Time]]&lt;0.5, AllData[[#This Row],[Time]]&gt;0.17)=TRUE, "Morning", IF(AND(AllData[[#This Row],[Time]]&lt;0.75, AllData[[#This Row],[Time]]&gt;=0.5)=TRUE, "Afternoon", IF(AND(AllData[[#This Row],[Time]]&lt;1, AllData[[#This Row],[Time]]&gt;=0.75)=TRUE, "Evening", "Night")))</f>
        <v>Afternoon</v>
      </c>
      <c r="G1090" t="str">
        <f>_xlfn.XLOOKUP(AllData[[#This Row],[Location Name]], Locations[Location Name],Locations[Group As])</f>
        <v>Chipping Campden Craves</v>
      </c>
      <c r="H1090" t="e" vm="9">
        <f>_xlfn.XLOOKUP(AllData[[#This Row],[Site Name]],LocationsKey[Site Name],LocationsKey[District])</f>
        <v>#VALUE!</v>
      </c>
      <c r="I1090" t="e" vm="10">
        <f>_xlfn.XLOOKUP(AllData[[#This Row],[Site Name]],LocationsKey[Site Name],LocationsKey[Town])</f>
        <v>#VALUE!</v>
      </c>
      <c r="J1090" t="str">
        <f>_xlfn.XLOOKUP(AllData[[#This Row],[Site Name]],LocationsKey[Site Name], LocationsKey[Waterway])</f>
        <v>Cam Brook</v>
      </c>
      <c r="K1090" t="s">
        <v>1845</v>
      </c>
      <c r="L1090">
        <v>52.048727999999997</v>
      </c>
      <c r="M1090">
        <v>-1.7862640000000001</v>
      </c>
      <c r="N1090" t="s">
        <v>68</v>
      </c>
      <c r="O1090">
        <v>384</v>
      </c>
      <c r="P1090">
        <v>18</v>
      </c>
      <c r="Q1090">
        <v>2</v>
      </c>
      <c r="R1090" s="107" t="str">
        <f>IF(AllData[[#This Row],[Nitrate (PPM)]]&gt;2, "Very high", IF(AllData[[#This Row],[Nitrate (PPM)]]&gt;1, "High", IF(AllData[[#This Row],[Nitrate (PPM)]]&gt;0.5, "Some evidence", IF(AllData[[#This Row],[Nitrate (PPM)]]&gt;=0, "No evidence"))))</f>
        <v>High</v>
      </c>
      <c r="S1090" s="4">
        <v>0.1</v>
      </c>
      <c r="T1090" s="7" t="str">
        <f>IF(AllData[[#This Row],[Phosphate (PPM)]]&gt;0.5, "Very high", IF(AllData[[#This Row],[Phosphate (PPM)]]&gt;0.1, "High", IF(AllData[[#This Row],[Phosphate (PPM)]]&gt;0.05, "Some evidence", IF(AllData[[#This Row],[Phosphate (PPM)]]&lt;=0.05, "No Evidence", ""))))</f>
        <v>Some evidence</v>
      </c>
      <c r="U1090">
        <v>17</v>
      </c>
    </row>
    <row r="1091" spans="1:22" x14ac:dyDescent="0.35">
      <c r="A1091" t="s">
        <v>1874</v>
      </c>
      <c r="B1091" s="143">
        <v>45522</v>
      </c>
      <c r="C1091" s="2" t="str" cm="1">
        <f t="array" ref="C10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1">
        <f>YEAR(AllData[[#This Row],[Date]])</f>
        <v>2024</v>
      </c>
      <c r="E1091" s="1">
        <v>0.4375</v>
      </c>
      <c r="F1091" t="str">
        <f>IF(AND(AllData[[#This Row],[Time]]&lt;0.5, AllData[[#This Row],[Time]]&gt;0.17)=TRUE, "Morning", IF(AND(AllData[[#This Row],[Time]]&lt;0.75, AllData[[#This Row],[Time]]&gt;=0.5)=TRUE, "Afternoon", IF(AND(AllData[[#This Row],[Time]]&lt;1, AllData[[#This Row],[Time]]&gt;=0.75)=TRUE, "Evening", "Night")))</f>
        <v>Morning</v>
      </c>
      <c r="G1091" t="str">
        <f>_xlfn.XLOOKUP(AllData[[#This Row],[Location Name]], Locations[Location Name],Locations[Group As])</f>
        <v>Site 3  :  Severn Trent Water processing plant outflow</v>
      </c>
      <c r="H1091" t="e" vm="1">
        <f>_xlfn.XLOOKUP(AllData[[#This Row],[Site Name]],LocationsKey[Site Name],LocationsKey[District])</f>
        <v>#VALUE!</v>
      </c>
      <c r="I1091" t="e" vm="14">
        <f>_xlfn.XLOOKUP(AllData[[#This Row],[Site Name]],LocationsKey[Site Name],LocationsKey[Town])</f>
        <v>#VALUE!</v>
      </c>
      <c r="J1091" t="str">
        <f>_xlfn.XLOOKUP(AllData[[#This Row],[Site Name]],LocationsKey[Site Name], LocationsKey[Waterway])</f>
        <v>Fosseway Brook</v>
      </c>
      <c r="K1091" t="s">
        <v>1826</v>
      </c>
      <c r="L1091">
        <v>52.092967999999999</v>
      </c>
      <c r="M1091">
        <v>-1.6862710000000001</v>
      </c>
      <c r="N1091" t="s">
        <v>31</v>
      </c>
      <c r="O1091">
        <v>973</v>
      </c>
      <c r="P1091">
        <v>20</v>
      </c>
      <c r="Q1091">
        <v>20</v>
      </c>
      <c r="R1091" s="107" t="str">
        <f>IF(AllData[[#This Row],[Nitrate (PPM)]]&gt;2, "Very high", IF(AllData[[#This Row],[Nitrate (PPM)]]&gt;1, "High", IF(AllData[[#This Row],[Nitrate (PPM)]]&gt;0.5, "Some evidence", IF(AllData[[#This Row],[Nitrate (PPM)]]&gt;=0, "No evidence"))))</f>
        <v>Very high</v>
      </c>
      <c r="S1091" s="4">
        <v>2.5</v>
      </c>
      <c r="T1091" s="7" t="str">
        <f>IF(AllData[[#This Row],[Phosphate (PPM)]]&gt;0.5, "Very high", IF(AllData[[#This Row],[Phosphate (PPM)]]&gt;0.1, "High", IF(AllData[[#This Row],[Phosphate (PPM)]]&gt;0.05, "Some evidence", IF(AllData[[#This Row],[Phosphate (PPM)]]&lt;=0.05, "No Evidence", ""))))</f>
        <v>Very high</v>
      </c>
      <c r="U1091">
        <v>0.25</v>
      </c>
      <c r="V1091" t="s">
        <v>1875</v>
      </c>
    </row>
    <row r="1092" spans="1:22" x14ac:dyDescent="0.35">
      <c r="A1092" t="s">
        <v>1870</v>
      </c>
      <c r="B1092" s="143">
        <v>45522</v>
      </c>
      <c r="C1092" s="2" t="str" cm="1">
        <f t="array" ref="C10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2">
        <f>YEAR(AllData[[#This Row],[Date]])</f>
        <v>2024</v>
      </c>
      <c r="E1092" s="1">
        <v>0.375</v>
      </c>
      <c r="F1092" t="str">
        <f>IF(AND(AllData[[#This Row],[Time]]&lt;0.5, AllData[[#This Row],[Time]]&gt;0.17)=TRUE, "Morning", IF(AND(AllData[[#This Row],[Time]]&lt;0.75, AllData[[#This Row],[Time]]&gt;=0.5)=TRUE, "Afternoon", IF(AND(AllData[[#This Row],[Time]]&lt;1, AllData[[#This Row],[Time]]&gt;=0.75)=TRUE, "Evening", "Night")))</f>
        <v>Morning</v>
      </c>
      <c r="G1092" t="str">
        <f>_xlfn.XLOOKUP(AllData[[#This Row],[Location Name]], Locations[Location Name],Locations[Group As])</f>
        <v>Bell Brook 1</v>
      </c>
      <c r="H1092" t="e" vm="1">
        <f>_xlfn.XLOOKUP(AllData[[#This Row],[Site Name]],LocationsKey[Site Name],LocationsKey[District])</f>
        <v>#VALUE!</v>
      </c>
      <c r="I1092" t="e" vm="19">
        <f>_xlfn.XLOOKUP(AllData[[#This Row],[Site Name]],LocationsKey[Site Name],LocationsKey[Town])</f>
        <v>#VALUE!</v>
      </c>
      <c r="J1092" t="str">
        <f>_xlfn.XLOOKUP(AllData[[#This Row],[Site Name]],LocationsKey[Site Name], LocationsKey[Waterway])</f>
        <v>Bell Brook</v>
      </c>
      <c r="K1092" t="s">
        <v>538</v>
      </c>
      <c r="L1092">
        <v>52.244900000000001</v>
      </c>
      <c r="M1092">
        <v>-1.6617</v>
      </c>
      <c r="N1092" t="s">
        <v>25</v>
      </c>
      <c r="O1092">
        <v>873</v>
      </c>
      <c r="P1092">
        <v>15.8</v>
      </c>
      <c r="Q1092">
        <v>15</v>
      </c>
      <c r="R1092" s="107" t="str">
        <f>IF(AllData[[#This Row],[Nitrate (PPM)]]&gt;2, "Very high", IF(AllData[[#This Row],[Nitrate (PPM)]]&gt;1, "High", IF(AllData[[#This Row],[Nitrate (PPM)]]&gt;0.5, "Some evidence", IF(AllData[[#This Row],[Nitrate (PPM)]]&gt;=0, "No evidence"))))</f>
        <v>Very high</v>
      </c>
      <c r="S1092" s="4">
        <v>0.73</v>
      </c>
      <c r="T1092" s="7" t="str">
        <f>IF(AllData[[#This Row],[Phosphate (PPM)]]&gt;0.5, "Very high", IF(AllData[[#This Row],[Phosphate (PPM)]]&gt;0.1, "High", IF(AllData[[#This Row],[Phosphate (PPM)]]&gt;0.05, "Some evidence", IF(AllData[[#This Row],[Phosphate (PPM)]]&lt;=0.05, "No Evidence", ""))))</f>
        <v>Very high</v>
      </c>
      <c r="U1092">
        <v>0.1</v>
      </c>
    </row>
    <row r="1093" spans="1:22" x14ac:dyDescent="0.35">
      <c r="A1093" t="s">
        <v>1868</v>
      </c>
      <c r="B1093" s="143">
        <v>45522</v>
      </c>
      <c r="C1093" s="2" t="str" cm="1">
        <f t="array" ref="C10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3">
        <f>YEAR(AllData[[#This Row],[Date]])</f>
        <v>2024</v>
      </c>
      <c r="E1093" s="1">
        <v>0.34861111111111109</v>
      </c>
      <c r="F1093" t="str">
        <f>IF(AND(AllData[[#This Row],[Time]]&lt;0.5, AllData[[#This Row],[Time]]&gt;0.17)=TRUE, "Morning", IF(AND(AllData[[#This Row],[Time]]&lt;0.75, AllData[[#This Row],[Time]]&gt;=0.5)=TRUE, "Afternoon", IF(AND(AllData[[#This Row],[Time]]&lt;1, AllData[[#This Row],[Time]]&gt;=0.75)=TRUE, "Evening", "Night")))</f>
        <v>Morning</v>
      </c>
      <c r="G1093" t="str">
        <f>_xlfn.XLOOKUP(AllData[[#This Row],[Location Name]], Locations[Location Name],Locations[Group As])</f>
        <v>Lower Lode</v>
      </c>
      <c r="H1093" t="e" vm="4">
        <f>_xlfn.XLOOKUP(AllData[[#This Row],[Site Name]],LocationsKey[Site Name],LocationsKey[District])</f>
        <v>#VALUE!</v>
      </c>
      <c r="I1093" t="e" vm="4">
        <f>_xlfn.XLOOKUP(AllData[[#This Row],[Site Name]],LocationsKey[Site Name],LocationsKey[Town])</f>
        <v>#VALUE!</v>
      </c>
      <c r="J1093" t="str">
        <f>_xlfn.XLOOKUP(AllData[[#This Row],[Site Name]],LocationsKey[Site Name], LocationsKey[Waterway])</f>
        <v>Avon</v>
      </c>
      <c r="K1093" t="s">
        <v>595</v>
      </c>
      <c r="L1093">
        <v>51.985084000000001</v>
      </c>
      <c r="M1093">
        <v>-2.1741519999999999</v>
      </c>
      <c r="N1093" t="s">
        <v>31</v>
      </c>
      <c r="O1093">
        <v>7100</v>
      </c>
      <c r="P1093">
        <v>19.3</v>
      </c>
      <c r="Q1093">
        <v>10</v>
      </c>
      <c r="R1093" s="107" t="str">
        <f>IF(AllData[[#This Row],[Nitrate (PPM)]]&gt;2, "Very high", IF(AllData[[#This Row],[Nitrate (PPM)]]&gt;1, "High", IF(AllData[[#This Row],[Nitrate (PPM)]]&gt;0.5, "Some evidence", IF(AllData[[#This Row],[Nitrate (PPM)]]&gt;=0, "No evidence"))))</f>
        <v>Very high</v>
      </c>
      <c r="S1093" s="4">
        <v>0.71</v>
      </c>
      <c r="T1093" s="7" t="str">
        <f>IF(AllData[[#This Row],[Phosphate (PPM)]]&gt;0.5, "Very high", IF(AllData[[#This Row],[Phosphate (PPM)]]&gt;0.1, "High", IF(AllData[[#This Row],[Phosphate (PPM)]]&gt;0.05, "Some evidence", IF(AllData[[#This Row],[Phosphate (PPM)]]&lt;=0.05, "No Evidence", ""))))</f>
        <v>Very high</v>
      </c>
      <c r="U1093">
        <v>0</v>
      </c>
    </row>
    <row r="1094" spans="1:22" x14ac:dyDescent="0.35">
      <c r="A1094" t="s">
        <v>1869</v>
      </c>
      <c r="B1094" s="143">
        <v>45522</v>
      </c>
      <c r="C1094" s="2" t="str" cm="1">
        <f t="array" ref="C10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4">
        <f>YEAR(AllData[[#This Row],[Date]])</f>
        <v>2024</v>
      </c>
      <c r="E1094" s="1">
        <v>0.36458333333333331</v>
      </c>
      <c r="F1094" t="str">
        <f>IF(AND(AllData[[#This Row],[Time]]&lt;0.5, AllData[[#This Row],[Time]]&gt;0.17)=TRUE, "Morning", IF(AND(AllData[[#This Row],[Time]]&lt;0.75, AllData[[#This Row],[Time]]&gt;=0.5)=TRUE, "Afternoon", IF(AND(AllData[[#This Row],[Time]]&lt;1, AllData[[#This Row],[Time]]&gt;=0.75)=TRUE, "Evening", "Night")))</f>
        <v>Morning</v>
      </c>
      <c r="G1094" t="str">
        <f>_xlfn.XLOOKUP(AllData[[#This Row],[Location Name]], Locations[Location Name],Locations[Group As])</f>
        <v>Sherbourne Brook 1</v>
      </c>
      <c r="H1094" t="e" vm="1">
        <f>_xlfn.XLOOKUP(AllData[[#This Row],[Site Name]],LocationsKey[Site Name],LocationsKey[District])</f>
        <v>#VALUE!</v>
      </c>
      <c r="I1094" t="e" vm="23">
        <f>_xlfn.XLOOKUP(AllData[[#This Row],[Site Name]],LocationsKey[Site Name],LocationsKey[Town])</f>
        <v>#VALUE!</v>
      </c>
      <c r="J1094" t="str">
        <f>_xlfn.XLOOKUP(AllData[[#This Row],[Site Name]],LocationsKey[Site Name], LocationsKey[Waterway])</f>
        <v>Sherbourne Brook</v>
      </c>
      <c r="K1094" t="s">
        <v>541</v>
      </c>
      <c r="L1094">
        <v>52.252499999999998</v>
      </c>
      <c r="M1094">
        <v>-1.6685000000000001</v>
      </c>
      <c r="N1094" t="s">
        <v>25</v>
      </c>
      <c r="O1094">
        <v>1090</v>
      </c>
      <c r="P1094">
        <v>16</v>
      </c>
      <c r="Q1094">
        <v>10</v>
      </c>
      <c r="R1094" s="107" t="str">
        <f>IF(AllData[[#This Row],[Nitrate (PPM)]]&gt;2, "Very high", IF(AllData[[#This Row],[Nitrate (PPM)]]&gt;1, "High", IF(AllData[[#This Row],[Nitrate (PPM)]]&gt;0.5, "Some evidence", IF(AllData[[#This Row],[Nitrate (PPM)]]&gt;=0, "No evidence"))))</f>
        <v>Very high</v>
      </c>
      <c r="S1094" s="4">
        <v>0.17</v>
      </c>
      <c r="T1094" s="7" t="str">
        <f>IF(AllData[[#This Row],[Phosphate (PPM)]]&gt;0.5, "Very high", IF(AllData[[#This Row],[Phosphate (PPM)]]&gt;0.1, "High", IF(AllData[[#This Row],[Phosphate (PPM)]]&gt;0.05, "Some evidence", IF(AllData[[#This Row],[Phosphate (PPM)]]&lt;=0.05, "No Evidence", ""))))</f>
        <v>High</v>
      </c>
      <c r="U1094">
        <v>0.1</v>
      </c>
    </row>
    <row r="1095" spans="1:22" x14ac:dyDescent="0.35">
      <c r="A1095" t="s">
        <v>1878</v>
      </c>
      <c r="B1095" s="143">
        <v>45522</v>
      </c>
      <c r="C1095" s="2" t="str" cm="1">
        <f t="array" ref="C10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5">
        <f>YEAR(AllData[[#This Row],[Date]])</f>
        <v>2024</v>
      </c>
      <c r="E1095" s="1">
        <v>0.58333333333333337</v>
      </c>
      <c r="F1095" t="str">
        <f>IF(AND(AllData[[#This Row],[Time]]&lt;0.5, AllData[[#This Row],[Time]]&gt;0.17)=TRUE, "Morning", IF(AND(AllData[[#This Row],[Time]]&lt;0.75, AllData[[#This Row],[Time]]&gt;=0.5)=TRUE, "Afternoon", IF(AND(AllData[[#This Row],[Time]]&lt;1, AllData[[#This Row],[Time]]&gt;=0.75)=TRUE, "Evening", "Night")))</f>
        <v>Afternoon</v>
      </c>
      <c r="G1095" t="str">
        <f>_xlfn.XLOOKUP(AllData[[#This Row],[Location Name]], Locations[Location Name],Locations[Group As])</f>
        <v>Clifford Chambers Mill Bridge</v>
      </c>
      <c r="H1095" t="e" vm="1">
        <f>_xlfn.XLOOKUP(AllData[[#This Row],[Site Name]],LocationsKey[Site Name],LocationsKey[District])</f>
        <v>#VALUE!</v>
      </c>
      <c r="I1095" t="e" vm="22">
        <f>_xlfn.XLOOKUP(AllData[[#This Row],[Site Name]],LocationsKey[Site Name],LocationsKey[Town])</f>
        <v>#VALUE!</v>
      </c>
      <c r="J1095" t="str">
        <f>_xlfn.XLOOKUP(AllData[[#This Row],[Site Name]],LocationsKey[Site Name], LocationsKey[Waterway])</f>
        <v>Stour</v>
      </c>
      <c r="K1095" t="s">
        <v>266</v>
      </c>
      <c r="L1095">
        <v>52.166370000000001</v>
      </c>
      <c r="M1095">
        <v>-1.708032</v>
      </c>
      <c r="N1095" t="s">
        <v>68</v>
      </c>
      <c r="O1095">
        <v>684</v>
      </c>
      <c r="P1095">
        <v>19</v>
      </c>
      <c r="Q1095">
        <v>7.5</v>
      </c>
      <c r="R1095" s="107" t="str">
        <f>IF(AllData[[#This Row],[Nitrate (PPM)]]&gt;2, "Very high", IF(AllData[[#This Row],[Nitrate (PPM)]]&gt;1, "High", IF(AllData[[#This Row],[Nitrate (PPM)]]&gt;0.5, "Some evidence", IF(AllData[[#This Row],[Nitrate (PPM)]]&gt;=0, "No evidence"))))</f>
        <v>Very high</v>
      </c>
      <c r="S1095">
        <v>0.5</v>
      </c>
      <c r="T1095" s="7" t="str">
        <f>IF(AllData[[#This Row],[Phosphate (PPM)]]&gt;0.5, "Very high", IF(AllData[[#This Row],[Phosphate (PPM)]]&gt;0.1, "High", IF(AllData[[#This Row],[Phosphate (PPM)]]&gt;0.05, "Some evidence", IF(AllData[[#This Row],[Phosphate (PPM)]]&lt;=0.05, "No Evidence", ""))))</f>
        <v>High</v>
      </c>
      <c r="U1095">
        <v>0.35</v>
      </c>
    </row>
    <row r="1096" spans="1:22" x14ac:dyDescent="0.35">
      <c r="A1096" t="s">
        <v>1876</v>
      </c>
      <c r="B1096" s="143">
        <v>45522</v>
      </c>
      <c r="C1096" s="2" t="str" cm="1">
        <f t="array" ref="C10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6">
        <f>YEAR(AllData[[#This Row],[Date]])</f>
        <v>2024</v>
      </c>
      <c r="E1096" s="1">
        <v>0.45555555555555555</v>
      </c>
      <c r="F1096" t="str">
        <f>IF(AND(AllData[[#This Row],[Time]]&lt;0.5, AllData[[#This Row],[Time]]&gt;0.17)=TRUE, "Morning", IF(AND(AllData[[#This Row],[Time]]&lt;0.75, AllData[[#This Row],[Time]]&gt;=0.5)=TRUE, "Afternoon", IF(AND(AllData[[#This Row],[Time]]&lt;1, AllData[[#This Row],[Time]]&gt;=0.75)=TRUE, "Evening", "Night")))</f>
        <v>Morning</v>
      </c>
      <c r="G1096" t="str">
        <f>_xlfn.XLOOKUP(AllData[[#This Row],[Location Name]], Locations[Location Name],Locations[Group As])</f>
        <v>Stour Stretton-on-Fosse Sewage Works</v>
      </c>
      <c r="H1096" t="e" vm="1">
        <f>_xlfn.XLOOKUP(AllData[[#This Row],[Site Name]],LocationsKey[Site Name],LocationsKey[District])</f>
        <v>#VALUE!</v>
      </c>
      <c r="I1096" t="e" vm="30">
        <f>_xlfn.XLOOKUP(AllData[[#This Row],[Site Name]],LocationsKey[Site Name],LocationsKey[Town])</f>
        <v>#VALUE!</v>
      </c>
      <c r="J1096" t="str">
        <f>_xlfn.XLOOKUP(AllData[[#This Row],[Site Name]],LocationsKey[Site Name], LocationsKey[Waterway])</f>
        <v>Stour</v>
      </c>
      <c r="K1096" t="s">
        <v>337</v>
      </c>
      <c r="L1096">
        <v>52.045642999999998</v>
      </c>
      <c r="M1096">
        <v>-1.671888</v>
      </c>
      <c r="N1096" t="s">
        <v>31</v>
      </c>
      <c r="O1096">
        <v>925</v>
      </c>
      <c r="P1096">
        <v>16.5</v>
      </c>
      <c r="Q1096">
        <v>3</v>
      </c>
      <c r="R1096" s="107" t="str">
        <f>IF(AllData[[#This Row],[Nitrate (PPM)]]&gt;2, "Very high", IF(AllData[[#This Row],[Nitrate (PPM)]]&gt;1, "High", IF(AllData[[#This Row],[Nitrate (PPM)]]&gt;0.5, "Some evidence", IF(AllData[[#This Row],[Nitrate (PPM)]]&gt;=0, "No evidence"))))</f>
        <v>Very high</v>
      </c>
      <c r="S1096" s="4">
        <v>2.5</v>
      </c>
      <c r="T1096" s="7" t="str">
        <f>IF(AllData[[#This Row],[Phosphate (PPM)]]&gt;0.5, "Very high", IF(AllData[[#This Row],[Phosphate (PPM)]]&gt;0.1, "High", IF(AllData[[#This Row],[Phosphate (PPM)]]&gt;0.05, "Some evidence", IF(AllData[[#This Row],[Phosphate (PPM)]]&lt;=0.05, "No Evidence", ""))))</f>
        <v>Very high</v>
      </c>
      <c r="U1096">
        <v>0.2</v>
      </c>
      <c r="V1096" t="s">
        <v>1877</v>
      </c>
    </row>
    <row r="1097" spans="1:22" x14ac:dyDescent="0.35">
      <c r="A1097" t="s">
        <v>1871</v>
      </c>
      <c r="B1097" s="143">
        <v>45522</v>
      </c>
      <c r="C1097" s="2" t="str" cm="1">
        <f t="array" ref="C10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7">
        <f>YEAR(AllData[[#This Row],[Date]])</f>
        <v>2024</v>
      </c>
      <c r="E1097" s="1">
        <v>0.41666666666666669</v>
      </c>
      <c r="F1097" t="str">
        <f>IF(AND(AllData[[#This Row],[Time]]&lt;0.5, AllData[[#This Row],[Time]]&gt;0.17)=TRUE, "Morning", IF(AND(AllData[[#This Row],[Time]]&lt;0.75, AllData[[#This Row],[Time]]&gt;=0.5)=TRUE, "Afternoon", IF(AND(AllData[[#This Row],[Time]]&lt;1, AllData[[#This Row],[Time]]&gt;=0.75)=TRUE, "Evening", "Night")))</f>
        <v>Morning</v>
      </c>
      <c r="G1097" t="str">
        <f>_xlfn.XLOOKUP(AllData[[#This Row],[Location Name]], Locations[Location Name],Locations[Group As])</f>
        <v>Site 1  :  Middle Street</v>
      </c>
      <c r="H1097" t="e" vm="1">
        <f>_xlfn.XLOOKUP(AllData[[#This Row],[Site Name]],LocationsKey[Site Name],LocationsKey[District])</f>
        <v>#VALUE!</v>
      </c>
      <c r="I1097" t="e" vm="14">
        <f>_xlfn.XLOOKUP(AllData[[#This Row],[Site Name]],LocationsKey[Site Name],LocationsKey[Town])</f>
        <v>#VALUE!</v>
      </c>
      <c r="J1097" t="str">
        <f>_xlfn.XLOOKUP(AllData[[#This Row],[Site Name]],LocationsKey[Site Name], LocationsKey[Waterway])</f>
        <v>Fosseway Brook</v>
      </c>
      <c r="K1097" t="s">
        <v>678</v>
      </c>
      <c r="L1097">
        <v>52.090085000000002</v>
      </c>
      <c r="M1097">
        <v>-1.692593</v>
      </c>
      <c r="N1097" t="s">
        <v>68</v>
      </c>
      <c r="O1097">
        <v>655</v>
      </c>
      <c r="P1097">
        <v>19</v>
      </c>
      <c r="Q1097">
        <v>2</v>
      </c>
      <c r="R1097" s="107" t="str">
        <f>IF(AllData[[#This Row],[Nitrate (PPM)]]&gt;2, "Very high", IF(AllData[[#This Row],[Nitrate (PPM)]]&gt;1, "High", IF(AllData[[#This Row],[Nitrate (PPM)]]&gt;0.5, "Some evidence", IF(AllData[[#This Row],[Nitrate (PPM)]]&gt;=0, "No evidence"))))</f>
        <v>High</v>
      </c>
      <c r="S1097" s="4">
        <v>0.52</v>
      </c>
      <c r="T1097" s="7" t="str">
        <f>IF(AllData[[#This Row],[Phosphate (PPM)]]&gt;0.5, "Very high", IF(AllData[[#This Row],[Phosphate (PPM)]]&gt;0.1, "High", IF(AllData[[#This Row],[Phosphate (PPM)]]&gt;0.05, "Some evidence", IF(AllData[[#This Row],[Phosphate (PPM)]]&lt;=0.05, "No Evidence", ""))))</f>
        <v>Very high</v>
      </c>
      <c r="U1097">
        <v>0</v>
      </c>
      <c r="V1097" t="s">
        <v>1872</v>
      </c>
    </row>
    <row r="1098" spans="1:22" x14ac:dyDescent="0.35">
      <c r="A1098" t="s">
        <v>1873</v>
      </c>
      <c r="B1098" s="143">
        <v>45522</v>
      </c>
      <c r="C1098" s="2" t="str" cm="1">
        <f t="array" ref="C10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8">
        <f>YEAR(AllData[[#This Row],[Date]])</f>
        <v>2024</v>
      </c>
      <c r="E1098" s="1">
        <v>0.43194444444444446</v>
      </c>
      <c r="F1098" t="str">
        <f>IF(AND(AllData[[#This Row],[Time]]&lt;0.5, AllData[[#This Row],[Time]]&gt;0.17)=TRUE, "Morning", IF(AND(AllData[[#This Row],[Time]]&lt;0.75, AllData[[#This Row],[Time]]&gt;=0.5)=TRUE, "Afternoon", IF(AND(AllData[[#This Row],[Time]]&lt;1, AllData[[#This Row],[Time]]&gt;=0.75)=TRUE, "Evening", "Night")))</f>
        <v>Morning</v>
      </c>
      <c r="G1098" t="str">
        <f>_xlfn.XLOOKUP(AllData[[#This Row],[Location Name]], Locations[Location Name],Locations[Group As])</f>
        <v>Stour Stretton-on-Fosse Village</v>
      </c>
      <c r="H1098" t="e" vm="1">
        <f>_xlfn.XLOOKUP(AllData[[#This Row],[Site Name]],LocationsKey[Site Name],LocationsKey[District])</f>
        <v>#VALUE!</v>
      </c>
      <c r="I1098" t="e" vm="30">
        <f>_xlfn.XLOOKUP(AllData[[#This Row],[Site Name]],LocationsKey[Site Name],LocationsKey[Town])</f>
        <v>#VALUE!</v>
      </c>
      <c r="J1098" t="str">
        <f>_xlfn.XLOOKUP(AllData[[#This Row],[Site Name]],LocationsKey[Site Name], LocationsKey[Waterway])</f>
        <v>Stour</v>
      </c>
      <c r="K1098" t="s">
        <v>548</v>
      </c>
      <c r="L1098">
        <v>52.046478999999998</v>
      </c>
      <c r="M1098">
        <v>-1.673386</v>
      </c>
      <c r="N1098" t="s">
        <v>68</v>
      </c>
      <c r="O1098">
        <v>776</v>
      </c>
      <c r="P1098">
        <v>15.7</v>
      </c>
      <c r="Q1098">
        <v>0</v>
      </c>
      <c r="R1098" s="107" t="str">
        <f>IF(AllData[[#This Row],[Nitrate (PPM)]]&gt;2, "Very high", IF(AllData[[#This Row],[Nitrate (PPM)]]&gt;1, "High", IF(AllData[[#This Row],[Nitrate (PPM)]]&gt;0.5, "Some evidence", IF(AllData[[#This Row],[Nitrate (PPM)]]&gt;=0, "No evidence"))))</f>
        <v>No evidence</v>
      </c>
      <c r="S1098" s="4">
        <v>2.5</v>
      </c>
      <c r="T1098" s="7" t="str">
        <f>IF(AllData[[#This Row],[Phosphate (PPM)]]&gt;0.5, "Very high", IF(AllData[[#This Row],[Phosphate (PPM)]]&gt;0.1, "High", IF(AllData[[#This Row],[Phosphate (PPM)]]&gt;0.05, "Some evidence", IF(AllData[[#This Row],[Phosphate (PPM)]]&lt;=0.05, "No Evidence", ""))))</f>
        <v>Very high</v>
      </c>
      <c r="U1098">
        <v>0.15</v>
      </c>
      <c r="V1098" t="s">
        <v>1356</v>
      </c>
    </row>
    <row r="1099" spans="1:22" x14ac:dyDescent="0.35">
      <c r="A1099" t="s">
        <v>1864</v>
      </c>
      <c r="B1099" s="143">
        <v>45521</v>
      </c>
      <c r="C1099" s="2" t="str" cm="1">
        <f t="array" ref="C10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099">
        <f>YEAR(AllData[[#This Row],[Date]])</f>
        <v>2024</v>
      </c>
      <c r="E1099" s="1">
        <v>0.4826388888888889</v>
      </c>
      <c r="F1099" t="str">
        <f>IF(AND(AllData[[#This Row],[Time]]&lt;0.5, AllData[[#This Row],[Time]]&gt;0.17)=TRUE, "Morning", IF(AND(AllData[[#This Row],[Time]]&lt;0.75, AllData[[#This Row],[Time]]&gt;=0.5)=TRUE, "Afternoon", IF(AND(AllData[[#This Row],[Time]]&lt;1, AllData[[#This Row],[Time]]&gt;=0.75)=TRUE, "Evening", "Night")))</f>
        <v>Morning</v>
      </c>
      <c r="G1099" t="str">
        <f>_xlfn.XLOOKUP(AllData[[#This Row],[Location Name]], Locations[Location Name],Locations[Group As])</f>
        <v>The Ford, Langley</v>
      </c>
      <c r="H1099" t="e" vm="1">
        <f>_xlfn.XLOOKUP(AllData[[#This Row],[Site Name]],LocationsKey[Site Name],LocationsKey[District])</f>
        <v>#VALUE!</v>
      </c>
      <c r="I1099" t="str">
        <f>_xlfn.XLOOKUP(AllData[[#This Row],[Site Name]],LocationsKey[Site Name],LocationsKey[Town])</f>
        <v>Langley</v>
      </c>
      <c r="J1099" t="str">
        <f>_xlfn.XLOOKUP(AllData[[#This Row],[Site Name]],LocationsKey[Site Name], LocationsKey[Waterway])</f>
        <v>Langley Ford</v>
      </c>
      <c r="K1099" t="s">
        <v>561</v>
      </c>
      <c r="L1099">
        <v>52.259839999999997</v>
      </c>
      <c r="M1099">
        <v>-1.71855</v>
      </c>
      <c r="N1099" t="s">
        <v>31</v>
      </c>
      <c r="O1099">
        <v>837</v>
      </c>
      <c r="P1099">
        <v>16</v>
      </c>
      <c r="Q1099">
        <v>8</v>
      </c>
      <c r="R1099" s="107" t="str">
        <f>IF(AllData[[#This Row],[Nitrate (PPM)]]&gt;2, "Very high", IF(AllData[[#This Row],[Nitrate (PPM)]]&gt;1, "High", IF(AllData[[#This Row],[Nitrate (PPM)]]&gt;0.5, "Some evidence", IF(AllData[[#This Row],[Nitrate (PPM)]]&gt;=0, "No evidence"))))</f>
        <v>Very high</v>
      </c>
      <c r="S1099" s="4">
        <v>0.86</v>
      </c>
      <c r="T1099" s="7" t="str">
        <f>IF(AllData[[#This Row],[Phosphate (PPM)]]&gt;0.5, "Very high", IF(AllData[[#This Row],[Phosphate (PPM)]]&gt;0.1, "High", IF(AllData[[#This Row],[Phosphate (PPM)]]&gt;0.05, "Some evidence", IF(AllData[[#This Row],[Phosphate (PPM)]]&lt;=0.05, "No Evidence", ""))))</f>
        <v>Very high</v>
      </c>
      <c r="U1099">
        <v>0.13</v>
      </c>
    </row>
    <row r="1100" spans="1:22" x14ac:dyDescent="0.35">
      <c r="A1100" t="s">
        <v>1859</v>
      </c>
      <c r="B1100" s="143">
        <v>45521</v>
      </c>
      <c r="C1100" s="2" t="str" cm="1">
        <f t="array" ref="C11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0">
        <f>YEAR(AllData[[#This Row],[Date]])</f>
        <v>2024</v>
      </c>
      <c r="E1100" s="1">
        <v>0.40625</v>
      </c>
      <c r="F1100" t="str">
        <f>IF(AND(AllData[[#This Row],[Time]]&lt;0.5, AllData[[#This Row],[Time]]&gt;0.17)=TRUE, "Morning", IF(AND(AllData[[#This Row],[Time]]&lt;0.75, AllData[[#This Row],[Time]]&gt;=0.5)=TRUE, "Afternoon", IF(AND(AllData[[#This Row],[Time]]&lt;1, AllData[[#This Row],[Time]]&gt;=0.75)=TRUE, "Evening", "Night")))</f>
        <v>Morning</v>
      </c>
      <c r="G1100" t="str">
        <f>_xlfn.XLOOKUP(AllData[[#This Row],[Location Name]], Locations[Location Name],Locations[Group As])</f>
        <v>Twyning Fleet</v>
      </c>
      <c r="H1100" t="e" vm="4">
        <f>_xlfn.XLOOKUP(AllData[[#This Row],[Site Name]],LocationsKey[Site Name],LocationsKey[District])</f>
        <v>#VALUE!</v>
      </c>
      <c r="I1100" t="str">
        <f>_xlfn.XLOOKUP(AllData[[#This Row],[Site Name]],LocationsKey[Site Name],LocationsKey[Town])</f>
        <v>Twyning Green</v>
      </c>
      <c r="J1100" t="str">
        <f>_xlfn.XLOOKUP(AllData[[#This Row],[Site Name]],LocationsKey[Site Name], LocationsKey[Waterway])</f>
        <v>Avon</v>
      </c>
      <c r="K1100" t="s">
        <v>56</v>
      </c>
      <c r="L1100">
        <v>52.026997999999999</v>
      </c>
      <c r="M1100">
        <v>-2.1406079999999998</v>
      </c>
      <c r="N1100" t="s">
        <v>31</v>
      </c>
      <c r="O1100">
        <v>9000</v>
      </c>
      <c r="P1100">
        <v>21</v>
      </c>
      <c r="Q1100">
        <v>7</v>
      </c>
      <c r="R1100" s="107" t="str">
        <f>IF(AllData[[#This Row],[Nitrate (PPM)]]&gt;2, "Very high", IF(AllData[[#This Row],[Nitrate (PPM)]]&gt;1, "High", IF(AllData[[#This Row],[Nitrate (PPM)]]&gt;0.5, "Some evidence", IF(AllData[[#This Row],[Nitrate (PPM)]]&gt;=0, "No evidence"))))</f>
        <v>Very high</v>
      </c>
      <c r="S1100" s="4">
        <v>1.04</v>
      </c>
      <c r="T1100" s="7" t="str">
        <f>IF(AllData[[#This Row],[Phosphate (PPM)]]&gt;0.5, "Very high", IF(AllData[[#This Row],[Phosphate (PPM)]]&gt;0.1, "High", IF(AllData[[#This Row],[Phosphate (PPM)]]&gt;0.05, "Some evidence", IF(AllData[[#This Row],[Phosphate (PPM)]]&lt;=0.05, "No Evidence", ""))))</f>
        <v>Very high</v>
      </c>
      <c r="U1100">
        <v>0</v>
      </c>
    </row>
    <row r="1101" spans="1:22" x14ac:dyDescent="0.35">
      <c r="A1101" t="s">
        <v>1860</v>
      </c>
      <c r="B1101" s="143">
        <v>45521</v>
      </c>
      <c r="C1101" s="2" t="str" cm="1">
        <f t="array" ref="C11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1">
        <f>YEAR(AllData[[#This Row],[Date]])</f>
        <v>2024</v>
      </c>
      <c r="E1101" s="1">
        <v>0.42916666666666664</v>
      </c>
      <c r="F1101" t="str">
        <f>IF(AND(AllData[[#This Row],[Time]]&lt;0.5, AllData[[#This Row],[Time]]&gt;0.17)=TRUE, "Morning", IF(AND(AllData[[#This Row],[Time]]&lt;0.75, AllData[[#This Row],[Time]]&gt;=0.5)=TRUE, "Afternoon", IF(AND(AllData[[#This Row],[Time]]&lt;1, AllData[[#This Row],[Time]]&gt;=0.75)=TRUE, "Evening", "Night")))</f>
        <v>Morning</v>
      </c>
      <c r="G1101" t="str">
        <f>_xlfn.XLOOKUP(AllData[[#This Row],[Location Name]], Locations[Location Name],Locations[Group As])</f>
        <v>Avon Smiths Meadow Wyre Piddle</v>
      </c>
      <c r="H1101" t="e" vm="6">
        <f>_xlfn.XLOOKUP(AllData[[#This Row],[Site Name]],LocationsKey[Site Name],LocationsKey[District])</f>
        <v>#VALUE!</v>
      </c>
      <c r="I1101" t="e" vm="13">
        <f>_xlfn.XLOOKUP(AllData[[#This Row],[Site Name]],LocationsKey[Site Name],LocationsKey[Town])</f>
        <v>#VALUE!</v>
      </c>
      <c r="J1101" t="str">
        <f>_xlfn.XLOOKUP(AllData[[#This Row],[Site Name]],LocationsKey[Site Name], LocationsKey[Waterway])</f>
        <v>Avon</v>
      </c>
      <c r="K1101" t="s">
        <v>784</v>
      </c>
      <c r="L1101">
        <v>52.122858999999998</v>
      </c>
      <c r="M1101">
        <v>-2.0575389999999998</v>
      </c>
      <c r="N1101" t="s">
        <v>25</v>
      </c>
      <c r="O1101">
        <v>1070</v>
      </c>
      <c r="P1101">
        <v>19.7</v>
      </c>
      <c r="Q1101">
        <v>7</v>
      </c>
      <c r="R1101" s="107" t="str">
        <f>IF(AllData[[#This Row],[Nitrate (PPM)]]&gt;2, "Very high", IF(AllData[[#This Row],[Nitrate (PPM)]]&gt;1, "High", IF(AllData[[#This Row],[Nitrate (PPM)]]&gt;0.5, "Some evidence", IF(AllData[[#This Row],[Nitrate (PPM)]]&gt;=0, "No evidence"))))</f>
        <v>Very high</v>
      </c>
      <c r="S1101" s="4">
        <v>0.87</v>
      </c>
      <c r="T1101" s="7" t="str">
        <f>IF(AllData[[#This Row],[Phosphate (PPM)]]&gt;0.5, "Very high", IF(AllData[[#This Row],[Phosphate (PPM)]]&gt;0.1, "High", IF(AllData[[#This Row],[Phosphate (PPM)]]&gt;0.05, "Some evidence", IF(AllData[[#This Row],[Phosphate (PPM)]]&lt;=0.05, "No Evidence", ""))))</f>
        <v>Very high</v>
      </c>
      <c r="U1101">
        <v>0.5</v>
      </c>
      <c r="V1101" t="s">
        <v>1861</v>
      </c>
    </row>
    <row r="1102" spans="1:22" x14ac:dyDescent="0.35">
      <c r="A1102" t="s">
        <v>1866</v>
      </c>
      <c r="B1102" s="143">
        <v>45521</v>
      </c>
      <c r="C1102" s="2" t="str" cm="1">
        <f t="array" ref="C11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2">
        <f>YEAR(AllData[[#This Row],[Date]])</f>
        <v>2024</v>
      </c>
      <c r="E1102" s="1">
        <v>0.52083333333333337</v>
      </c>
      <c r="F1102" t="str">
        <f>IF(AND(AllData[[#This Row],[Time]]&lt;0.5, AllData[[#This Row],[Time]]&gt;0.17)=TRUE, "Morning", IF(AND(AllData[[#This Row],[Time]]&lt;0.75, AllData[[#This Row],[Time]]&gt;=0.5)=TRUE, "Afternoon", IF(AND(AllData[[#This Row],[Time]]&lt;1, AllData[[#This Row],[Time]]&gt;=0.75)=TRUE, "Evening", "Night")))</f>
        <v>Afternoon</v>
      </c>
      <c r="G1102" t="str">
        <f>_xlfn.XLOOKUP(AllData[[#This Row],[Location Name]], Locations[Location Name],Locations[Group As])</f>
        <v>Carrant Bredon Rd</v>
      </c>
      <c r="H1102" t="e" vm="4">
        <f>_xlfn.XLOOKUP(AllData[[#This Row],[Site Name]],LocationsKey[Site Name],LocationsKey[District])</f>
        <v>#VALUE!</v>
      </c>
      <c r="I1102" t="e" vm="4">
        <f>_xlfn.XLOOKUP(AllData[[#This Row],[Site Name]],LocationsKey[Site Name],LocationsKey[Town])</f>
        <v>#VALUE!</v>
      </c>
      <c r="J1102" t="str">
        <f>_xlfn.XLOOKUP(AllData[[#This Row],[Site Name]],LocationsKey[Site Name], LocationsKey[Waterway])</f>
        <v>Carrant</v>
      </c>
      <c r="K1102" t="s">
        <v>603</v>
      </c>
      <c r="L1102">
        <v>51.996254</v>
      </c>
      <c r="M1102">
        <v>-2.1561949999999999</v>
      </c>
      <c r="N1102" t="s">
        <v>25</v>
      </c>
      <c r="O1102">
        <v>726</v>
      </c>
      <c r="P1102">
        <v>17.100000000000001</v>
      </c>
      <c r="Q1102">
        <v>6</v>
      </c>
      <c r="R1102" s="107" t="str">
        <f>IF(AllData[[#This Row],[Nitrate (PPM)]]&gt;2, "Very high", IF(AllData[[#This Row],[Nitrate (PPM)]]&gt;1, "High", IF(AllData[[#This Row],[Nitrate (PPM)]]&gt;0.5, "Some evidence", IF(AllData[[#This Row],[Nitrate (PPM)]]&gt;=0, "No evidence"))))</f>
        <v>Very high</v>
      </c>
      <c r="S1102" s="4">
        <v>0.82</v>
      </c>
      <c r="T1102" s="7" t="str">
        <f>IF(AllData[[#This Row],[Phosphate (PPM)]]&gt;0.5, "Very high", IF(AllData[[#This Row],[Phosphate (PPM)]]&gt;0.1, "High", IF(AllData[[#This Row],[Phosphate (PPM)]]&gt;0.05, "Some evidence", IF(AllData[[#This Row],[Phosphate (PPM)]]&lt;=0.05, "No Evidence", ""))))</f>
        <v>Very high</v>
      </c>
      <c r="U1102">
        <v>0</v>
      </c>
    </row>
    <row r="1103" spans="1:22" x14ac:dyDescent="0.35">
      <c r="A1103" t="s">
        <v>1862</v>
      </c>
      <c r="B1103" s="143">
        <v>45521</v>
      </c>
      <c r="C1103" s="2" t="str" cm="1">
        <f t="array" ref="C11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3">
        <f>YEAR(AllData[[#This Row],[Date]])</f>
        <v>2024</v>
      </c>
      <c r="E1103" s="1">
        <v>0.44791666666666669</v>
      </c>
      <c r="F1103" t="str">
        <f>IF(AND(AllData[[#This Row],[Time]]&lt;0.5, AllData[[#This Row],[Time]]&gt;0.17)=TRUE, "Morning", IF(AND(AllData[[#This Row],[Time]]&lt;0.75, AllData[[#This Row],[Time]]&gt;=0.5)=TRUE, "Afternoon", IF(AND(AllData[[#This Row],[Time]]&lt;1, AllData[[#This Row],[Time]]&gt;=0.75)=TRUE, "Evening", "Night")))</f>
        <v>Morning</v>
      </c>
      <c r="G1103" t="str">
        <f>_xlfn.XLOOKUP(AllData[[#This Row],[Location Name]], Locations[Location Name],Locations[Group As])</f>
        <v>Piddle Brook Wyre Piddle Bridge</v>
      </c>
      <c r="H1103" t="e" vm="6">
        <f>_xlfn.XLOOKUP(AllData[[#This Row],[Site Name]],LocationsKey[Site Name],LocationsKey[District])</f>
        <v>#VALUE!</v>
      </c>
      <c r="I1103" t="e" vm="13">
        <f>_xlfn.XLOOKUP(AllData[[#This Row],[Site Name]],LocationsKey[Site Name],LocationsKey[Town])</f>
        <v>#VALUE!</v>
      </c>
      <c r="J1103" t="str">
        <f>_xlfn.XLOOKUP(AllData[[#This Row],[Site Name]],LocationsKey[Site Name], LocationsKey[Waterway])</f>
        <v>Piddle Brook</v>
      </c>
      <c r="K1103" t="s">
        <v>787</v>
      </c>
      <c r="L1103">
        <v>52.126404000000001</v>
      </c>
      <c r="M1103">
        <v>-2.0565410000000002</v>
      </c>
      <c r="N1103" t="s">
        <v>25</v>
      </c>
      <c r="O1103">
        <v>1850</v>
      </c>
      <c r="P1103">
        <v>16.8</v>
      </c>
      <c r="Q1103">
        <v>5</v>
      </c>
      <c r="R1103" s="107" t="str">
        <f>IF(AllData[[#This Row],[Nitrate (PPM)]]&gt;2, "Very high", IF(AllData[[#This Row],[Nitrate (PPM)]]&gt;1, "High", IF(AllData[[#This Row],[Nitrate (PPM)]]&gt;0.5, "Some evidence", IF(AllData[[#This Row],[Nitrate (PPM)]]&gt;=0, "No evidence"))))</f>
        <v>Very high</v>
      </c>
      <c r="S1103" s="4">
        <v>1.31</v>
      </c>
      <c r="T1103" s="7" t="str">
        <f>IF(AllData[[#This Row],[Phosphate (PPM)]]&gt;0.5, "Very high", IF(AllData[[#This Row],[Phosphate (PPM)]]&gt;0.1, "High", IF(AllData[[#This Row],[Phosphate (PPM)]]&gt;0.05, "Some evidence", IF(AllData[[#This Row],[Phosphate (PPM)]]&lt;=0.05, "No Evidence", ""))))</f>
        <v>Very high</v>
      </c>
      <c r="U1103">
        <v>0.13</v>
      </c>
      <c r="V1103" t="s">
        <v>1863</v>
      </c>
    </row>
    <row r="1104" spans="1:22" x14ac:dyDescent="0.35">
      <c r="A1104" t="s">
        <v>1865</v>
      </c>
      <c r="B1104" s="143">
        <v>45521</v>
      </c>
      <c r="C1104" s="2" t="str" cm="1">
        <f t="array" ref="C11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4">
        <f>YEAR(AllData[[#This Row],[Date]])</f>
        <v>2024</v>
      </c>
      <c r="E1104" s="1">
        <v>0.51180555555555551</v>
      </c>
      <c r="F1104" t="str">
        <f>IF(AND(AllData[[#This Row],[Time]]&lt;0.5, AllData[[#This Row],[Time]]&gt;0.17)=TRUE, "Morning", IF(AND(AllData[[#This Row],[Time]]&lt;0.75, AllData[[#This Row],[Time]]&gt;=0.5)=TRUE, "Afternoon", IF(AND(AllData[[#This Row],[Time]]&lt;1, AllData[[#This Row],[Time]]&gt;=0.75)=TRUE, "Evening", "Night")))</f>
        <v>Afternoon</v>
      </c>
      <c r="G1104" t="str">
        <f>_xlfn.XLOOKUP(AllData[[#This Row],[Location Name]], Locations[Location Name],Locations[Group As])</f>
        <v>Preston-on-Stour River Bridge</v>
      </c>
      <c r="H1104" t="e" vm="1">
        <f>_xlfn.XLOOKUP(AllData[[#This Row],[Site Name]],LocationsKey[Site Name],LocationsKey[District])</f>
        <v>#VALUE!</v>
      </c>
      <c r="I1104" t="e" vm="20">
        <f>_xlfn.XLOOKUP(AllData[[#This Row],[Site Name]],LocationsKey[Site Name],LocationsKey[Town])</f>
        <v>#VALUE!</v>
      </c>
      <c r="J1104" t="str">
        <f>_xlfn.XLOOKUP(AllData[[#This Row],[Site Name]],LocationsKey[Site Name], LocationsKey[Waterway])</f>
        <v>Stour</v>
      </c>
      <c r="K1104" t="s">
        <v>164</v>
      </c>
      <c r="L1104">
        <v>52.146467000000001</v>
      </c>
      <c r="M1104">
        <v>-1.6998329999999999</v>
      </c>
      <c r="N1104" t="s">
        <v>31</v>
      </c>
      <c r="O1104">
        <v>709</v>
      </c>
      <c r="P1104">
        <v>19.2</v>
      </c>
      <c r="Q1104">
        <v>5</v>
      </c>
      <c r="R1104" s="107" t="str">
        <f>IF(AllData[[#This Row],[Nitrate (PPM)]]&gt;2, "Very high", IF(AllData[[#This Row],[Nitrate (PPM)]]&gt;1, "High", IF(AllData[[#This Row],[Nitrate (PPM)]]&gt;0.5, "Some evidence", IF(AllData[[#This Row],[Nitrate (PPM)]]&gt;=0, "No evidence"))))</f>
        <v>Very high</v>
      </c>
      <c r="S1104" s="4">
        <v>0.45</v>
      </c>
      <c r="T1104" s="7" t="str">
        <f>IF(AllData[[#This Row],[Phosphate (PPM)]]&gt;0.5, "Very high", IF(AllData[[#This Row],[Phosphate (PPM)]]&gt;0.1, "High", IF(AllData[[#This Row],[Phosphate (PPM)]]&gt;0.05, "Some evidence", IF(AllData[[#This Row],[Phosphate (PPM)]]&lt;=0.05, "No Evidence", ""))))</f>
        <v>High</v>
      </c>
      <c r="U1104">
        <v>1</v>
      </c>
    </row>
    <row r="1105" spans="1:22" x14ac:dyDescent="0.35">
      <c r="A1105" t="s">
        <v>1867</v>
      </c>
      <c r="B1105" s="143">
        <v>45521</v>
      </c>
      <c r="C1105" s="2" t="str" cm="1">
        <f t="array" ref="C11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5">
        <f>YEAR(AllData[[#This Row],[Date]])</f>
        <v>2024</v>
      </c>
      <c r="E1105" s="1">
        <v>0.68055555555555558</v>
      </c>
      <c r="F1105" t="str">
        <f>IF(AND(AllData[[#This Row],[Time]]&lt;0.5, AllData[[#This Row],[Time]]&gt;0.17)=TRUE, "Morning", IF(AND(AllData[[#This Row],[Time]]&lt;0.75, AllData[[#This Row],[Time]]&gt;=0.5)=TRUE, "Afternoon", IF(AND(AllData[[#This Row],[Time]]&lt;1, AllData[[#This Row],[Time]]&gt;=0.75)=TRUE, "Evening", "Night")))</f>
        <v>Afternoon</v>
      </c>
      <c r="G1105" t="str">
        <f>_xlfn.XLOOKUP(AllData[[#This Row],[Location Name]], Locations[Location Name],Locations[Group As])</f>
        <v>Fell Mill Footbridge</v>
      </c>
      <c r="H1105" t="e" vm="1">
        <f>_xlfn.XLOOKUP(AllData[[#This Row],[Site Name]],LocationsKey[Site Name],LocationsKey[District])</f>
        <v>#VALUE!</v>
      </c>
      <c r="I1105" t="e" vm="15">
        <f>_xlfn.XLOOKUP(AllData[[#This Row],[Site Name]],LocationsKey[Site Name],LocationsKey[Town])</f>
        <v>#VALUE!</v>
      </c>
      <c r="J1105" t="str">
        <f>_xlfn.XLOOKUP(AllData[[#This Row],[Site Name]],LocationsKey[Site Name], LocationsKey[Waterway])</f>
        <v>Stour</v>
      </c>
      <c r="K1105" t="s">
        <v>875</v>
      </c>
      <c r="L1105">
        <v>52.070086000000003</v>
      </c>
      <c r="M1105">
        <v>-1.61145</v>
      </c>
      <c r="N1105" t="s">
        <v>31</v>
      </c>
      <c r="O1105">
        <v>678</v>
      </c>
      <c r="P1105">
        <v>17.2</v>
      </c>
      <c r="Q1105">
        <v>5</v>
      </c>
      <c r="R1105" s="107" t="str">
        <f>IF(AllData[[#This Row],[Nitrate (PPM)]]&gt;2, "Very high", IF(AllData[[#This Row],[Nitrate (PPM)]]&gt;1, "High", IF(AllData[[#This Row],[Nitrate (PPM)]]&gt;0.5, "Some evidence", IF(AllData[[#This Row],[Nitrate (PPM)]]&gt;=0, "No evidence"))))</f>
        <v>Very high</v>
      </c>
      <c r="S1105" s="4">
        <v>0.62</v>
      </c>
      <c r="T1105" s="7" t="str">
        <f>IF(AllData[[#This Row],[Phosphate (PPM)]]&gt;0.5, "Very high", IF(AllData[[#This Row],[Phosphate (PPM)]]&gt;0.1, "High", IF(AllData[[#This Row],[Phosphate (PPM)]]&gt;0.05, "Some evidence", IF(AllData[[#This Row],[Phosphate (PPM)]]&lt;=0.05, "No Evidence", ""))))</f>
        <v>Very high</v>
      </c>
      <c r="U1105">
        <v>0.6</v>
      </c>
    </row>
    <row r="1106" spans="1:22" x14ac:dyDescent="0.35">
      <c r="A1106" t="s">
        <v>1858</v>
      </c>
      <c r="B1106" s="143">
        <v>45520</v>
      </c>
      <c r="C1106" s="2" t="str" cm="1">
        <f t="array" ref="C11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6">
        <f>YEAR(AllData[[#This Row],[Date]])</f>
        <v>2024</v>
      </c>
      <c r="E1106" s="1">
        <v>0.7</v>
      </c>
      <c r="F1106" t="str">
        <f>IF(AND(AllData[[#This Row],[Time]]&lt;0.5, AllData[[#This Row],[Time]]&gt;0.17)=TRUE, "Morning", IF(AND(AllData[[#This Row],[Time]]&lt;0.75, AllData[[#This Row],[Time]]&gt;=0.5)=TRUE, "Afternoon", IF(AND(AllData[[#This Row],[Time]]&lt;1, AllData[[#This Row],[Time]]&gt;=0.75)=TRUE, "Evening", "Night")))</f>
        <v>Afternoon</v>
      </c>
      <c r="G1106" t="str">
        <f>_xlfn.XLOOKUP(AllData[[#This Row],[Location Name]], Locations[Location Name],Locations[Group As])</f>
        <v>Black Bear</v>
      </c>
      <c r="H1106" t="e" vm="4">
        <f>_xlfn.XLOOKUP(AllData[[#This Row],[Site Name]],LocationsKey[Site Name],LocationsKey[District])</f>
        <v>#VALUE!</v>
      </c>
      <c r="I1106" t="e" vm="4">
        <f>_xlfn.XLOOKUP(AllData[[#This Row],[Site Name]],LocationsKey[Site Name],LocationsKey[Town])</f>
        <v>#VALUE!</v>
      </c>
      <c r="J1106" t="str">
        <f>_xlfn.XLOOKUP(AllData[[#This Row],[Site Name]],LocationsKey[Site Name], LocationsKey[Waterway])</f>
        <v>Avon</v>
      </c>
      <c r="K1106" t="s">
        <v>1175</v>
      </c>
      <c r="L1106">
        <v>51.997449000000003</v>
      </c>
      <c r="M1106">
        <v>-2.1563110000000001</v>
      </c>
      <c r="N1106" t="s">
        <v>25</v>
      </c>
      <c r="O1106">
        <v>988</v>
      </c>
      <c r="P1106">
        <v>22.8</v>
      </c>
      <c r="Q1106">
        <v>10</v>
      </c>
      <c r="R1106" s="107" t="str">
        <f>IF(AllData[[#This Row],[Nitrate (PPM)]]&gt;2, "Very high", IF(AllData[[#This Row],[Nitrate (PPM)]]&gt;1, "High", IF(AllData[[#This Row],[Nitrate (PPM)]]&gt;0.5, "Some evidence", IF(AllData[[#This Row],[Nitrate (PPM)]]&gt;=0, "No evidence"))))</f>
        <v>Very high</v>
      </c>
      <c r="S1106" s="4">
        <v>1.26</v>
      </c>
      <c r="T1106" s="7" t="str">
        <f>IF(AllData[[#This Row],[Phosphate (PPM)]]&gt;0.5, "Very high", IF(AllData[[#This Row],[Phosphate (PPM)]]&gt;0.1, "High", IF(AllData[[#This Row],[Phosphate (PPM)]]&gt;0.05, "Some evidence", IF(AllData[[#This Row],[Phosphate (PPM)]]&lt;=0.05, "No Evidence", ""))))</f>
        <v>Very high</v>
      </c>
      <c r="U1106">
        <v>0</v>
      </c>
    </row>
    <row r="1107" spans="1:22" x14ac:dyDescent="0.35">
      <c r="A1107" t="s">
        <v>1857</v>
      </c>
      <c r="B1107" s="143">
        <v>45520</v>
      </c>
      <c r="C1107" s="2" t="str" cm="1">
        <f t="array" ref="C11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7">
        <f>YEAR(AllData[[#This Row],[Date]])</f>
        <v>2024</v>
      </c>
      <c r="E1107" s="1">
        <v>0.67708333333333337</v>
      </c>
      <c r="F1107" t="str">
        <f>IF(AND(AllData[[#This Row],[Time]]&lt;0.5, AllData[[#This Row],[Time]]&gt;0.17)=TRUE, "Morning", IF(AND(AllData[[#This Row],[Time]]&lt;0.75, AllData[[#This Row],[Time]]&gt;=0.5)=TRUE, "Afternoon", IF(AND(AllData[[#This Row],[Time]]&lt;1, AllData[[#This Row],[Time]]&gt;=0.75)=TRUE, "Evening", "Night")))</f>
        <v>Afternoon</v>
      </c>
      <c r="G1107" t="str">
        <f>_xlfn.XLOOKUP(AllData[[#This Row],[Location Name]], Locations[Location Name],Locations[Group As])</f>
        <v>Abbey Mill</v>
      </c>
      <c r="H1107" t="e" vm="4">
        <f>_xlfn.XLOOKUP(AllData[[#This Row],[Site Name]],LocationsKey[Site Name],LocationsKey[District])</f>
        <v>#VALUE!</v>
      </c>
      <c r="I1107" t="e" vm="4">
        <f>_xlfn.XLOOKUP(AllData[[#This Row],[Site Name]],LocationsKey[Site Name],LocationsKey[Town])</f>
        <v>#VALUE!</v>
      </c>
      <c r="J1107" t="str">
        <f>_xlfn.XLOOKUP(AllData[[#This Row],[Site Name]],LocationsKey[Site Name], LocationsKey[Waterway])</f>
        <v>Avon</v>
      </c>
      <c r="K1107" t="s">
        <v>27</v>
      </c>
      <c r="L1107">
        <v>51.991354000000001</v>
      </c>
      <c r="M1107">
        <v>-2.1627079999999999</v>
      </c>
      <c r="N1107" t="s">
        <v>25</v>
      </c>
      <c r="O1107">
        <v>103</v>
      </c>
      <c r="P1107">
        <v>22.3</v>
      </c>
      <c r="Q1107">
        <v>10</v>
      </c>
      <c r="R1107" s="107" t="str">
        <f>IF(AllData[[#This Row],[Nitrate (PPM)]]&gt;2, "Very high", IF(AllData[[#This Row],[Nitrate (PPM)]]&gt;1, "High", IF(AllData[[#This Row],[Nitrate (PPM)]]&gt;0.5, "Some evidence", IF(AllData[[#This Row],[Nitrate (PPM)]]&gt;=0, "No evidence"))))</f>
        <v>Very high</v>
      </c>
      <c r="S1107" s="4">
        <v>0.83</v>
      </c>
      <c r="T1107" s="7" t="str">
        <f>IF(AllData[[#This Row],[Phosphate (PPM)]]&gt;0.5, "Very high", IF(AllData[[#This Row],[Phosphate (PPM)]]&gt;0.1, "High", IF(AllData[[#This Row],[Phosphate (PPM)]]&gt;0.05, "Some evidence", IF(AllData[[#This Row],[Phosphate (PPM)]]&lt;=0.05, "No Evidence", ""))))</f>
        <v>Very high</v>
      </c>
      <c r="U1107">
        <v>0</v>
      </c>
    </row>
    <row r="1108" spans="1:22" x14ac:dyDescent="0.35">
      <c r="A1108" t="s">
        <v>1856</v>
      </c>
      <c r="B1108" s="143">
        <v>45520</v>
      </c>
      <c r="C1108" s="2" t="str" cm="1">
        <f t="array" ref="C11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8">
        <f>YEAR(AllData[[#This Row],[Date]])</f>
        <v>2024</v>
      </c>
      <c r="E1108" s="1">
        <v>0.5</v>
      </c>
      <c r="F1108" t="str">
        <f>IF(AND(AllData[[#This Row],[Time]]&lt;0.5, AllData[[#This Row],[Time]]&gt;0.17)=TRUE, "Morning", IF(AND(AllData[[#This Row],[Time]]&lt;0.75, AllData[[#This Row],[Time]]&gt;=0.5)=TRUE, "Afternoon", IF(AND(AllData[[#This Row],[Time]]&lt;1, AllData[[#This Row],[Time]]&gt;=0.75)=TRUE, "Evening", "Night")))</f>
        <v>Afternoon</v>
      </c>
      <c r="G1108" t="str">
        <f>_xlfn.XLOOKUP(AllData[[#This Row],[Location Name]], Locations[Location Name],Locations[Group As])</f>
        <v>Stour Willington</v>
      </c>
      <c r="H1108" t="e" vm="1">
        <f>_xlfn.XLOOKUP(AllData[[#This Row],[Site Name]],LocationsKey[Site Name],LocationsKey[District])</f>
        <v>#VALUE!</v>
      </c>
      <c r="I1108" t="str">
        <f>_xlfn.XLOOKUP(AllData[[#This Row],[Site Name]],LocationsKey[Site Name],LocationsKey[Town])</f>
        <v>Willington</v>
      </c>
      <c r="J1108" t="str">
        <f>_xlfn.XLOOKUP(AllData[[#This Row],[Site Name]],LocationsKey[Site Name], LocationsKey[Waterway])</f>
        <v>Stour</v>
      </c>
      <c r="K1108" t="s">
        <v>521</v>
      </c>
      <c r="L1108">
        <v>52.053507000000003</v>
      </c>
      <c r="M1108">
        <v>-1.6202840000000001</v>
      </c>
      <c r="N1108" t="s">
        <v>25</v>
      </c>
      <c r="O1108">
        <v>637</v>
      </c>
      <c r="P1108">
        <v>17.100000000000001</v>
      </c>
      <c r="Q1108">
        <v>2</v>
      </c>
      <c r="R1108" s="107" t="str">
        <f>IF(AllData[[#This Row],[Nitrate (PPM)]]&gt;2, "Very high", IF(AllData[[#This Row],[Nitrate (PPM)]]&gt;1, "High", IF(AllData[[#This Row],[Nitrate (PPM)]]&gt;0.5, "Some evidence", IF(AllData[[#This Row],[Nitrate (PPM)]]&gt;=0, "No evidence"))))</f>
        <v>High</v>
      </c>
      <c r="S1108" s="4">
        <v>0.67</v>
      </c>
      <c r="T1108" s="7" t="str">
        <f>IF(AllData[[#This Row],[Phosphate (PPM)]]&gt;0.5, "Very high", IF(AllData[[#This Row],[Phosphate (PPM)]]&gt;0.1, "High", IF(AllData[[#This Row],[Phosphate (PPM)]]&gt;0.05, "Some evidence", IF(AllData[[#This Row],[Phosphate (PPM)]]&lt;=0.05, "No Evidence", ""))))</f>
        <v>Very high</v>
      </c>
      <c r="U1108">
        <v>0.5</v>
      </c>
    </row>
    <row r="1109" spans="1:22" x14ac:dyDescent="0.35">
      <c r="A1109" t="s">
        <v>1855</v>
      </c>
      <c r="B1109" s="143">
        <v>45519</v>
      </c>
      <c r="C1109" s="2" t="str" cm="1">
        <f t="array" ref="C11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09">
        <f>YEAR(AllData[[#This Row],[Date]])</f>
        <v>2024</v>
      </c>
      <c r="E1109" s="1">
        <v>0.38541666666666669</v>
      </c>
      <c r="F1109" t="str">
        <f>IF(AND(AllData[[#This Row],[Time]]&lt;0.5, AllData[[#This Row],[Time]]&gt;0.17)=TRUE, "Morning", IF(AND(AllData[[#This Row],[Time]]&lt;0.75, AllData[[#This Row],[Time]]&gt;=0.5)=TRUE, "Afternoon", IF(AND(AllData[[#This Row],[Time]]&lt;1, AllData[[#This Row],[Time]]&gt;=0.75)=TRUE, "Evening", "Night")))</f>
        <v>Morning</v>
      </c>
      <c r="G1109" t="str">
        <f>_xlfn.XLOOKUP(AllData[[#This Row],[Location Name]], Locations[Location Name],Locations[Group As])</f>
        <v>Swilgate</v>
      </c>
      <c r="H1109" t="e" vm="4">
        <f>_xlfn.XLOOKUP(AllData[[#This Row],[Site Name]],LocationsKey[Site Name],LocationsKey[District])</f>
        <v>#VALUE!</v>
      </c>
      <c r="I1109" t="e" vm="4">
        <f>_xlfn.XLOOKUP(AllData[[#This Row],[Site Name]],LocationsKey[Site Name],LocationsKey[Town])</f>
        <v>#VALUE!</v>
      </c>
      <c r="J1109" t="str">
        <f>_xlfn.XLOOKUP(AllData[[#This Row],[Site Name]],LocationsKey[Site Name], LocationsKey[Waterway])</f>
        <v>Swilgate</v>
      </c>
      <c r="K1109" t="s">
        <v>85</v>
      </c>
      <c r="N1109" t="s">
        <v>25</v>
      </c>
      <c r="O1109">
        <v>850</v>
      </c>
      <c r="P1109">
        <v>17</v>
      </c>
      <c r="Q1109">
        <v>5</v>
      </c>
      <c r="R1109" s="107" t="str">
        <f>IF(AllData[[#This Row],[Nitrate (PPM)]]&gt;2, "Very high", IF(AllData[[#This Row],[Nitrate (PPM)]]&gt;1, "High", IF(AllData[[#This Row],[Nitrate (PPM)]]&gt;0.5, "Some evidence", IF(AllData[[#This Row],[Nitrate (PPM)]]&gt;=0, "No evidence"))))</f>
        <v>Very high</v>
      </c>
      <c r="S1109" s="4">
        <v>0.83</v>
      </c>
      <c r="T1109" s="7" t="str">
        <f>IF(AllData[[#This Row],[Phosphate (PPM)]]&gt;0.5, "Very high", IF(AllData[[#This Row],[Phosphate (PPM)]]&gt;0.1, "High", IF(AllData[[#This Row],[Phosphate (PPM)]]&gt;0.05, "Some evidence", IF(AllData[[#This Row],[Phosphate (PPM)]]&lt;=0.05, "No Evidence", ""))))</f>
        <v>Very high</v>
      </c>
      <c r="U1109">
        <v>0</v>
      </c>
    </row>
    <row r="1110" spans="1:22" x14ac:dyDescent="0.35">
      <c r="A1110" t="s">
        <v>1848</v>
      </c>
      <c r="B1110" s="143">
        <v>45518</v>
      </c>
      <c r="C1110" s="2" t="str" cm="1">
        <f t="array" ref="C11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0">
        <f>YEAR(AllData[[#This Row],[Date]])</f>
        <v>2024</v>
      </c>
      <c r="E1110" s="1">
        <v>0.51180555555555551</v>
      </c>
      <c r="F1110" t="str">
        <f>IF(AND(AllData[[#This Row],[Time]]&lt;0.5, AllData[[#This Row],[Time]]&gt;0.17)=TRUE, "Morning", IF(AND(AllData[[#This Row],[Time]]&lt;0.75, AllData[[#This Row],[Time]]&gt;=0.5)=TRUE, "Afternoon", IF(AND(AllData[[#This Row],[Time]]&lt;1, AllData[[#This Row],[Time]]&gt;=0.75)=TRUE, "Evening", "Night")))</f>
        <v>Afternoon</v>
      </c>
      <c r="G1110" t="str">
        <f>_xlfn.XLOOKUP(AllData[[#This Row],[Location Name]], Locations[Location Name],Locations[Group As])</f>
        <v>Bredon Marina</v>
      </c>
      <c r="H1110" t="e" vm="4">
        <f>_xlfn.XLOOKUP(AllData[[#This Row],[Site Name]],LocationsKey[Site Name],LocationsKey[District])</f>
        <v>#VALUE!</v>
      </c>
      <c r="I1110" t="e" vm="11">
        <f>_xlfn.XLOOKUP(AllData[[#This Row],[Site Name]],LocationsKey[Site Name],LocationsKey[Town])</f>
        <v>#VALUE!</v>
      </c>
      <c r="J1110" t="str">
        <f>_xlfn.XLOOKUP(AllData[[#This Row],[Site Name]],LocationsKey[Site Name], LocationsKey[Waterway])</f>
        <v>Avon</v>
      </c>
      <c r="K1110" t="s">
        <v>1849</v>
      </c>
      <c r="L1110">
        <v>52.031205</v>
      </c>
      <c r="M1110">
        <v>-2.114001</v>
      </c>
      <c r="N1110" t="s">
        <v>31</v>
      </c>
      <c r="O1110">
        <v>1020</v>
      </c>
      <c r="P1110">
        <v>21.2</v>
      </c>
      <c r="Q1110">
        <v>10</v>
      </c>
      <c r="R1110" s="107" t="str">
        <f>IF(AllData[[#This Row],[Nitrate (PPM)]]&gt;2, "Very high", IF(AllData[[#This Row],[Nitrate (PPM)]]&gt;1, "High", IF(AllData[[#This Row],[Nitrate (PPM)]]&gt;0.5, "Some evidence", IF(AllData[[#This Row],[Nitrate (PPM)]]&gt;=0, "No evidence"))))</f>
        <v>Very high</v>
      </c>
      <c r="S1110" s="4">
        <v>0.82</v>
      </c>
      <c r="T1110" s="7" t="str">
        <f>IF(AllData[[#This Row],[Phosphate (PPM)]]&gt;0.5, "Very high", IF(AllData[[#This Row],[Phosphate (PPM)]]&gt;0.1, "High", IF(AllData[[#This Row],[Phosphate (PPM)]]&gt;0.05, "Some evidence", IF(AllData[[#This Row],[Phosphate (PPM)]]&lt;=0.05, "No Evidence", ""))))</f>
        <v>Very high</v>
      </c>
      <c r="U1110">
        <v>2</v>
      </c>
      <c r="V1110" t="s">
        <v>1850</v>
      </c>
    </row>
    <row r="1111" spans="1:22" x14ac:dyDescent="0.35">
      <c r="A1111" t="s">
        <v>1853</v>
      </c>
      <c r="B1111" s="143">
        <v>45518</v>
      </c>
      <c r="C1111" s="2" t="str" cm="1">
        <f t="array" ref="C11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1">
        <f>YEAR(AllData[[#This Row],[Date]])</f>
        <v>2024</v>
      </c>
      <c r="E1111" s="1">
        <v>0.62777777777777777</v>
      </c>
      <c r="F1111" t="str">
        <f>IF(AND(AllData[[#This Row],[Time]]&lt;0.5, AllData[[#This Row],[Time]]&gt;0.17)=TRUE, "Morning", IF(AND(AllData[[#This Row],[Time]]&lt;0.75, AllData[[#This Row],[Time]]&gt;=0.5)=TRUE, "Afternoon", IF(AND(AllData[[#This Row],[Time]]&lt;1, AllData[[#This Row],[Time]]&gt;=0.75)=TRUE, "Evening", "Night")))</f>
        <v>Afternoon</v>
      </c>
      <c r="G1111" t="str">
        <f>_xlfn.XLOOKUP(AllData[[#This Row],[Location Name]], Locations[Location Name],Locations[Group As])</f>
        <v>Swiffen Bank</v>
      </c>
      <c r="H1111" t="e" vm="1">
        <f>_xlfn.XLOOKUP(AllData[[#This Row],[Site Name]],LocationsKey[Site Name],LocationsKey[District])</f>
        <v>#VALUE!</v>
      </c>
      <c r="I1111" t="e" vm="2">
        <f>_xlfn.XLOOKUP(AllData[[#This Row],[Site Name]],LocationsKey[Site Name],LocationsKey[Town])</f>
        <v>#VALUE!</v>
      </c>
      <c r="J1111" t="str">
        <f>_xlfn.XLOOKUP(AllData[[#This Row],[Site Name]],LocationsKey[Site Name], LocationsKey[Waterway])</f>
        <v>Avon</v>
      </c>
      <c r="K1111" t="s">
        <v>286</v>
      </c>
      <c r="L1111">
        <v>52.206477999999997</v>
      </c>
      <c r="M1111">
        <v>-1.653894</v>
      </c>
      <c r="N1111" t="s">
        <v>31</v>
      </c>
      <c r="O1111">
        <v>765</v>
      </c>
      <c r="P1111">
        <v>21</v>
      </c>
      <c r="Q1111">
        <v>10</v>
      </c>
      <c r="R1111" s="107" t="str">
        <f>IF(AllData[[#This Row],[Nitrate (PPM)]]&gt;2, "Very high", IF(AllData[[#This Row],[Nitrate (PPM)]]&gt;1, "High", IF(AllData[[#This Row],[Nitrate (PPM)]]&gt;0.5, "Some evidence", IF(AllData[[#This Row],[Nitrate (PPM)]]&gt;=0, "No evidence"))))</f>
        <v>Very high</v>
      </c>
      <c r="S1111" s="4">
        <v>0.66</v>
      </c>
      <c r="T1111" s="7" t="str">
        <f>IF(AllData[[#This Row],[Phosphate (PPM)]]&gt;0.5, "Very high", IF(AllData[[#This Row],[Phosphate (PPM)]]&gt;0.1, "High", IF(AllData[[#This Row],[Phosphate (PPM)]]&gt;0.05, "Some evidence", IF(AllData[[#This Row],[Phosphate (PPM)]]&lt;=0.05, "No Evidence", ""))))</f>
        <v>Very high</v>
      </c>
      <c r="U1111">
        <v>0</v>
      </c>
      <c r="V1111" t="s">
        <v>1854</v>
      </c>
    </row>
    <row r="1112" spans="1:22" x14ac:dyDescent="0.35">
      <c r="A1112" t="s">
        <v>1851</v>
      </c>
      <c r="B1112" s="143">
        <v>45518</v>
      </c>
      <c r="C1112" s="2" t="str" cm="1">
        <f t="array" ref="C11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2">
        <f>YEAR(AllData[[#This Row],[Date]])</f>
        <v>2024</v>
      </c>
      <c r="E1112" s="1">
        <v>0.59722222222222221</v>
      </c>
      <c r="F1112" t="str">
        <f>IF(AND(AllData[[#This Row],[Time]]&lt;0.5, AllData[[#This Row],[Time]]&gt;0.17)=TRUE, "Morning", IF(AND(AllData[[#This Row],[Time]]&lt;0.75, AllData[[#This Row],[Time]]&gt;=0.5)=TRUE, "Afternoon", IF(AND(AllData[[#This Row],[Time]]&lt;1, AllData[[#This Row],[Time]]&gt;=0.75)=TRUE, "Evening", "Night")))</f>
        <v>Afternoon</v>
      </c>
      <c r="G1112" t="str">
        <f>_xlfn.XLOOKUP(AllData[[#This Row],[Location Name]], Locations[Location Name],Locations[Group As])</f>
        <v>Alveston Weir</v>
      </c>
      <c r="H1112" t="e" vm="1">
        <f>_xlfn.XLOOKUP(AllData[[#This Row],[Site Name]],LocationsKey[Site Name],LocationsKey[District])</f>
        <v>#VALUE!</v>
      </c>
      <c r="I1112" t="e" vm="2">
        <f>_xlfn.XLOOKUP(AllData[[#This Row],[Site Name]],LocationsKey[Site Name],LocationsKey[Town])</f>
        <v>#VALUE!</v>
      </c>
      <c r="J1112" t="str">
        <f>_xlfn.XLOOKUP(AllData[[#This Row],[Site Name]],LocationsKey[Site Name], LocationsKey[Waterway])</f>
        <v>Avon</v>
      </c>
      <c r="K1112" t="s">
        <v>288</v>
      </c>
      <c r="L1112">
        <v>52.212288000000001</v>
      </c>
      <c r="M1112">
        <v>-1.660452</v>
      </c>
      <c r="N1112" t="s">
        <v>31</v>
      </c>
      <c r="O1112">
        <v>0.55000000000000004</v>
      </c>
      <c r="P1112">
        <v>20.7</v>
      </c>
      <c r="Q1112">
        <v>10</v>
      </c>
      <c r="R1112" s="107" t="str">
        <f>IF(AllData[[#This Row],[Nitrate (PPM)]]&gt;2, "Very high", IF(AllData[[#This Row],[Nitrate (PPM)]]&gt;1, "High", IF(AllData[[#This Row],[Nitrate (PPM)]]&gt;0.5, "Some evidence", IF(AllData[[#This Row],[Nitrate (PPM)]]&gt;=0, "No evidence"))))</f>
        <v>Very high</v>
      </c>
      <c r="S1112" s="4">
        <v>0.55000000000000004</v>
      </c>
      <c r="T1112" s="7" t="str">
        <f>IF(AllData[[#This Row],[Phosphate (PPM)]]&gt;0.5, "Very high", IF(AllData[[#This Row],[Phosphate (PPM)]]&gt;0.1, "High", IF(AllData[[#This Row],[Phosphate (PPM)]]&gt;0.05, "Some evidence", IF(AllData[[#This Row],[Phosphate (PPM)]]&lt;=0.05, "No Evidence", ""))))</f>
        <v>Very high</v>
      </c>
      <c r="U1112">
        <v>0</v>
      </c>
      <c r="V1112" t="s">
        <v>1852</v>
      </c>
    </row>
    <row r="1113" spans="1:22" x14ac:dyDescent="0.35">
      <c r="A1113" t="s">
        <v>1846</v>
      </c>
      <c r="B1113" s="143">
        <v>45517</v>
      </c>
      <c r="C1113" s="2" t="str" cm="1">
        <f t="array" ref="C11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3">
        <f>YEAR(AllData[[#This Row],[Date]])</f>
        <v>2024</v>
      </c>
      <c r="E1113" s="1">
        <v>0.55138888888888893</v>
      </c>
      <c r="F1113" t="str">
        <f>IF(AND(AllData[[#This Row],[Time]]&lt;0.5, AllData[[#This Row],[Time]]&gt;0.17)=TRUE, "Morning", IF(AND(AllData[[#This Row],[Time]]&lt;0.75, AllData[[#This Row],[Time]]&gt;=0.5)=TRUE, "Afternoon", IF(AND(AllData[[#This Row],[Time]]&lt;1, AllData[[#This Row],[Time]]&gt;=0.75)=TRUE, "Evening", "Night")))</f>
        <v>Afternoon</v>
      </c>
      <c r="G1113" t="str">
        <f>_xlfn.XLOOKUP(AllData[[#This Row],[Location Name]], Locations[Location Name],Locations[Group As])</f>
        <v>Walcot Lane, Bow Brook Ford</v>
      </c>
      <c r="H1113" t="e" vm="6">
        <f>_xlfn.XLOOKUP(AllData[[#This Row],[Site Name]],LocationsKey[Site Name],LocationsKey[District])</f>
        <v>#VALUE!</v>
      </c>
      <c r="I1113" t="e" vm="7">
        <f>_xlfn.XLOOKUP(AllData[[#This Row],[Site Name]],LocationsKey[Site Name],LocationsKey[Town])</f>
        <v>#VALUE!</v>
      </c>
      <c r="J1113" t="str">
        <f>_xlfn.XLOOKUP(AllData[[#This Row],[Site Name]],LocationsKey[Site Name], LocationsKey[Waterway])</f>
        <v>Bow Brook</v>
      </c>
      <c r="K1113" t="s">
        <v>775</v>
      </c>
      <c r="L1113">
        <v>52.130457999999997</v>
      </c>
      <c r="M1113">
        <v>-2.0786199999999999</v>
      </c>
      <c r="N1113" t="s">
        <v>25</v>
      </c>
      <c r="O1113">
        <v>1270</v>
      </c>
      <c r="P1113">
        <v>20.9</v>
      </c>
      <c r="Q1113">
        <v>5</v>
      </c>
      <c r="R1113" s="107" t="str">
        <f>IF(AllData[[#This Row],[Nitrate (PPM)]]&gt;2, "Very high", IF(AllData[[#This Row],[Nitrate (PPM)]]&gt;1, "High", IF(AllData[[#This Row],[Nitrate (PPM)]]&gt;0.5, "Some evidence", IF(AllData[[#This Row],[Nitrate (PPM)]]&gt;=0, "No evidence"))))</f>
        <v>Very high</v>
      </c>
      <c r="S1113">
        <v>1.76</v>
      </c>
      <c r="T1113" s="7" t="str">
        <f>IF(AllData[[#This Row],[Phosphate (PPM)]]&gt;0.5, "Very high", IF(AllData[[#This Row],[Phosphate (PPM)]]&gt;0.1, "High", IF(AllData[[#This Row],[Phosphate (PPM)]]&gt;0.05, "Some evidence", IF(AllData[[#This Row],[Phosphate (PPM)]]&lt;=0.05, "No Evidence", ""))))</f>
        <v>Very high</v>
      </c>
      <c r="U1113">
        <v>0.1</v>
      </c>
      <c r="V1113" t="s">
        <v>1847</v>
      </c>
    </row>
    <row r="1114" spans="1:22" x14ac:dyDescent="0.35">
      <c r="A1114" t="s">
        <v>1843</v>
      </c>
      <c r="B1114" s="143">
        <v>45516</v>
      </c>
      <c r="C1114" s="2" t="str" cm="1">
        <f t="array" ref="C11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4">
        <f>YEAR(AllData[[#This Row],[Date]])</f>
        <v>2024</v>
      </c>
      <c r="E1114" s="1">
        <v>0.42708333333333331</v>
      </c>
      <c r="F1114" t="str">
        <f>IF(AND(AllData[[#This Row],[Time]]&lt;0.5, AllData[[#This Row],[Time]]&gt;0.17)=TRUE, "Morning", IF(AND(AllData[[#This Row],[Time]]&lt;0.75, AllData[[#This Row],[Time]]&gt;=0.5)=TRUE, "Afternoon", IF(AND(AllData[[#This Row],[Time]]&lt;1, AllData[[#This Row],[Time]]&gt;=0.75)=TRUE, "Evening", "Night")))</f>
        <v>Morning</v>
      </c>
      <c r="G1114" t="str">
        <f>_xlfn.XLOOKUP(AllData[[#This Row],[Location Name]], Locations[Location Name],Locations[Group As])</f>
        <v>Bell Brook 1</v>
      </c>
      <c r="H1114" t="e" vm="1">
        <f>_xlfn.XLOOKUP(AllData[[#This Row],[Site Name]],LocationsKey[Site Name],LocationsKey[District])</f>
        <v>#VALUE!</v>
      </c>
      <c r="I1114" t="e" vm="19">
        <f>_xlfn.XLOOKUP(AllData[[#This Row],[Site Name]],LocationsKey[Site Name],LocationsKey[Town])</f>
        <v>#VALUE!</v>
      </c>
      <c r="J1114" t="str">
        <f>_xlfn.XLOOKUP(AllData[[#This Row],[Site Name]],LocationsKey[Site Name], LocationsKey[Waterway])</f>
        <v>Bell Brook</v>
      </c>
      <c r="K1114" t="s">
        <v>538</v>
      </c>
      <c r="L1114">
        <v>52.244900000000001</v>
      </c>
      <c r="M1114">
        <v>-1.6617</v>
      </c>
      <c r="N1114" t="s">
        <v>25</v>
      </c>
      <c r="O1114">
        <v>860</v>
      </c>
      <c r="P1114">
        <v>22.6</v>
      </c>
      <c r="Q1114">
        <v>15</v>
      </c>
      <c r="R1114" s="107" t="str">
        <f>IF(AllData[[#This Row],[Nitrate (PPM)]]&gt;2, "Very high", IF(AllData[[#This Row],[Nitrate (PPM)]]&gt;1, "High", IF(AllData[[#This Row],[Nitrate (PPM)]]&gt;0.5, "Some evidence", IF(AllData[[#This Row],[Nitrate (PPM)]]&gt;=0, "No evidence"))))</f>
        <v>Very high</v>
      </c>
      <c r="S1114" s="4">
        <v>0.89</v>
      </c>
      <c r="T1114" s="7" t="str">
        <f>IF(AllData[[#This Row],[Phosphate (PPM)]]&gt;0.5, "Very high", IF(AllData[[#This Row],[Phosphate (PPM)]]&gt;0.1, "High", IF(AllData[[#This Row],[Phosphate (PPM)]]&gt;0.05, "Some evidence", IF(AllData[[#This Row],[Phosphate (PPM)]]&lt;=0.05, "No Evidence", ""))))</f>
        <v>Very high</v>
      </c>
      <c r="U1114">
        <v>0.1</v>
      </c>
    </row>
    <row r="1115" spans="1:22" x14ac:dyDescent="0.35">
      <c r="A1115" t="s">
        <v>1839</v>
      </c>
      <c r="B1115" s="143">
        <v>45516</v>
      </c>
      <c r="C1115" s="2" t="str" cm="1">
        <f t="array" ref="C11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5">
        <f>YEAR(AllData[[#This Row],[Date]])</f>
        <v>2024</v>
      </c>
      <c r="E1115" s="1">
        <v>0.33333333333333331</v>
      </c>
      <c r="F1115" t="str">
        <f>IF(AND(AllData[[#This Row],[Time]]&lt;0.5, AllData[[#This Row],[Time]]&gt;0.17)=TRUE, "Morning", IF(AND(AllData[[#This Row],[Time]]&lt;0.75, AllData[[#This Row],[Time]]&gt;=0.5)=TRUE, "Afternoon", IF(AND(AllData[[#This Row],[Time]]&lt;1, AllData[[#This Row],[Time]]&gt;=0.75)=TRUE, "Evening", "Night")))</f>
        <v>Morning</v>
      </c>
      <c r="G1115" t="str">
        <f>_xlfn.XLOOKUP(AllData[[#This Row],[Location Name]], Locations[Location Name],Locations[Group As])</f>
        <v>Carrant M5 Bridge</v>
      </c>
      <c r="H1115" t="e" vm="4">
        <f>_xlfn.XLOOKUP(AllData[[#This Row],[Site Name]],LocationsKey[Site Name],LocationsKey[District])</f>
        <v>#VALUE!</v>
      </c>
      <c r="I1115" t="e" vm="4">
        <f>_xlfn.XLOOKUP(AllData[[#This Row],[Site Name]],LocationsKey[Site Name],LocationsKey[Town])</f>
        <v>#VALUE!</v>
      </c>
      <c r="J1115" t="str">
        <f>_xlfn.XLOOKUP(AllData[[#This Row],[Site Name]],LocationsKey[Site Name], LocationsKey[Waterway])</f>
        <v>Carrant</v>
      </c>
      <c r="K1115" t="s">
        <v>1066</v>
      </c>
      <c r="N1115" t="s">
        <v>25</v>
      </c>
      <c r="O1115">
        <v>517</v>
      </c>
      <c r="P1115">
        <v>22.8</v>
      </c>
      <c r="Q1115">
        <v>10</v>
      </c>
      <c r="R1115" s="107" t="str">
        <f>IF(AllData[[#This Row],[Nitrate (PPM)]]&gt;2, "Very high", IF(AllData[[#This Row],[Nitrate (PPM)]]&gt;1, "High", IF(AllData[[#This Row],[Nitrate (PPM)]]&gt;0.5, "Some evidence", IF(AllData[[#This Row],[Nitrate (PPM)]]&gt;=0, "No evidence"))))</f>
        <v>Very high</v>
      </c>
      <c r="S1115" s="4">
        <v>0.71</v>
      </c>
      <c r="T1115" s="7" t="str">
        <f>IF(AllData[[#This Row],[Phosphate (PPM)]]&gt;0.5, "Very high", IF(AllData[[#This Row],[Phosphate (PPM)]]&gt;0.1, "High", IF(AllData[[#This Row],[Phosphate (PPM)]]&gt;0.05, "Some evidence", IF(AllData[[#This Row],[Phosphate (PPM)]]&lt;=0.05, "No Evidence", ""))))</f>
        <v>Very high</v>
      </c>
      <c r="U1115">
        <v>0</v>
      </c>
    </row>
    <row r="1116" spans="1:22" x14ac:dyDescent="0.35">
      <c r="A1116" t="s">
        <v>1842</v>
      </c>
      <c r="B1116" s="143">
        <v>45516</v>
      </c>
      <c r="C1116" s="2" t="str" cm="1">
        <f t="array" ref="C11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6">
        <f>YEAR(AllData[[#This Row],[Date]])</f>
        <v>2024</v>
      </c>
      <c r="E1116" s="1">
        <v>0.4236111111111111</v>
      </c>
      <c r="F1116" t="str">
        <f>IF(AND(AllData[[#This Row],[Time]]&lt;0.5, AllData[[#This Row],[Time]]&gt;0.17)=TRUE, "Morning", IF(AND(AllData[[#This Row],[Time]]&lt;0.75, AllData[[#This Row],[Time]]&gt;=0.5)=TRUE, "Afternoon", IF(AND(AllData[[#This Row],[Time]]&lt;1, AllData[[#This Row],[Time]]&gt;=0.75)=TRUE, "Evening", "Night")))</f>
        <v>Morning</v>
      </c>
      <c r="G1116" t="str">
        <f>_xlfn.XLOOKUP(AllData[[#This Row],[Location Name]], Locations[Location Name],Locations[Group As])</f>
        <v>Sherbourne Brook 1</v>
      </c>
      <c r="H1116" t="e" vm="1">
        <f>_xlfn.XLOOKUP(AllData[[#This Row],[Site Name]],LocationsKey[Site Name],LocationsKey[District])</f>
        <v>#VALUE!</v>
      </c>
      <c r="I1116" t="e" vm="23">
        <f>_xlfn.XLOOKUP(AllData[[#This Row],[Site Name]],LocationsKey[Site Name],LocationsKey[Town])</f>
        <v>#VALUE!</v>
      </c>
      <c r="J1116" t="str">
        <f>_xlfn.XLOOKUP(AllData[[#This Row],[Site Name]],LocationsKey[Site Name], LocationsKey[Waterway])</f>
        <v>Sherbourne Brook</v>
      </c>
      <c r="K1116" t="s">
        <v>541</v>
      </c>
      <c r="L1116">
        <v>52.252499999999998</v>
      </c>
      <c r="M1116">
        <v>-1.6685000000000001</v>
      </c>
      <c r="N1116" t="s">
        <v>25</v>
      </c>
      <c r="O1116">
        <v>1070</v>
      </c>
      <c r="P1116">
        <v>20.6</v>
      </c>
      <c r="Q1116">
        <v>7</v>
      </c>
      <c r="R1116" s="107" t="str">
        <f>IF(AllData[[#This Row],[Nitrate (PPM)]]&gt;2, "Very high", IF(AllData[[#This Row],[Nitrate (PPM)]]&gt;1, "High", IF(AllData[[#This Row],[Nitrate (PPM)]]&gt;0.5, "Some evidence", IF(AllData[[#This Row],[Nitrate (PPM)]]&gt;=0, "No evidence"))))</f>
        <v>Very high</v>
      </c>
      <c r="S1116" s="4">
        <v>0.37</v>
      </c>
      <c r="T1116" s="7" t="str">
        <f>IF(AllData[[#This Row],[Phosphate (PPM)]]&gt;0.5, "Very high", IF(AllData[[#This Row],[Phosphate (PPM)]]&gt;0.1, "High", IF(AllData[[#This Row],[Phosphate (PPM)]]&gt;0.05, "Some evidence", IF(AllData[[#This Row],[Phosphate (PPM)]]&lt;=0.05, "No Evidence", ""))))</f>
        <v>High</v>
      </c>
      <c r="U1116">
        <v>0.1</v>
      </c>
    </row>
    <row r="1117" spans="1:22" x14ac:dyDescent="0.35">
      <c r="A1117" t="s">
        <v>1841</v>
      </c>
      <c r="B1117" s="143">
        <v>45516</v>
      </c>
      <c r="C1117" s="2" t="str" cm="1">
        <f t="array" ref="C11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7">
        <f>YEAR(AllData[[#This Row],[Date]])</f>
        <v>2024</v>
      </c>
      <c r="E1117" s="1">
        <v>0.3576388888888889</v>
      </c>
      <c r="F1117" t="str">
        <f>IF(AND(AllData[[#This Row],[Time]]&lt;0.5, AllData[[#This Row],[Time]]&gt;0.17)=TRUE, "Morning", IF(AND(AllData[[#This Row],[Time]]&lt;0.75, AllData[[#This Row],[Time]]&gt;=0.5)=TRUE, "Afternoon", IF(AND(AllData[[#This Row],[Time]]&lt;1, AllData[[#This Row],[Time]]&gt;=0.75)=TRUE, "Evening", "Night")))</f>
        <v>Morning</v>
      </c>
      <c r="G1117" t="str">
        <f>_xlfn.XLOOKUP(AllData[[#This Row],[Location Name]], Locations[Location Name],Locations[Group As])</f>
        <v>Chipping Campden Sewage Works</v>
      </c>
      <c r="H1117" t="e" vm="9">
        <f>_xlfn.XLOOKUP(AllData[[#This Row],[Site Name]],LocationsKey[Site Name],LocationsKey[District])</f>
        <v>#VALUE!</v>
      </c>
      <c r="I1117" t="e" vm="10">
        <f>_xlfn.XLOOKUP(AllData[[#This Row],[Site Name]],LocationsKey[Site Name],LocationsKey[Town])</f>
        <v>#VALUE!</v>
      </c>
      <c r="J1117" t="str">
        <f>_xlfn.XLOOKUP(AllData[[#This Row],[Site Name]],LocationsKey[Site Name], LocationsKey[Waterway])</f>
        <v>Cam Brook</v>
      </c>
      <c r="K1117" t="s">
        <v>1570</v>
      </c>
      <c r="L1117">
        <v>52.052225</v>
      </c>
      <c r="M1117">
        <v>-1.761579</v>
      </c>
      <c r="N1117" t="s">
        <v>31</v>
      </c>
      <c r="O1117">
        <v>757</v>
      </c>
      <c r="P1117">
        <v>18.600000000000001</v>
      </c>
      <c r="Q1117">
        <v>5</v>
      </c>
      <c r="R1117" s="107" t="str">
        <f>IF(AllData[[#This Row],[Nitrate (PPM)]]&gt;2, "Very high", IF(AllData[[#This Row],[Nitrate (PPM)]]&gt;1, "High", IF(AllData[[#This Row],[Nitrate (PPM)]]&gt;0.5, "Some evidence", IF(AllData[[#This Row],[Nitrate (PPM)]]&gt;=0, "No evidence"))))</f>
        <v>Very high</v>
      </c>
      <c r="S1117" s="4">
        <v>0.32</v>
      </c>
      <c r="T1117" s="7" t="str">
        <f>IF(AllData[[#This Row],[Phosphate (PPM)]]&gt;0.5, "Very high", IF(AllData[[#This Row],[Phosphate (PPM)]]&gt;0.1, "High", IF(AllData[[#This Row],[Phosphate (PPM)]]&gt;0.05, "Some evidence", IF(AllData[[#This Row],[Phosphate (PPM)]]&lt;=0.05, "No Evidence", ""))))</f>
        <v>High</v>
      </c>
      <c r="U1117">
        <v>0.23</v>
      </c>
    </row>
    <row r="1118" spans="1:22" x14ac:dyDescent="0.35">
      <c r="A1118" t="s">
        <v>1840</v>
      </c>
      <c r="B1118" s="143">
        <v>45516</v>
      </c>
      <c r="C1118" s="2" t="str" cm="1">
        <f t="array" ref="C11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8">
        <f>YEAR(AllData[[#This Row],[Date]])</f>
        <v>2024</v>
      </c>
      <c r="E1118" s="1">
        <v>0.34027777777777779</v>
      </c>
      <c r="F1118" t="str">
        <f>IF(AND(AllData[[#This Row],[Time]]&lt;0.5, AllData[[#This Row],[Time]]&gt;0.17)=TRUE, "Morning", IF(AND(AllData[[#This Row],[Time]]&lt;0.75, AllData[[#This Row],[Time]]&gt;=0.5)=TRUE, "Afternoon", IF(AND(AllData[[#This Row],[Time]]&lt;1, AllData[[#This Row],[Time]]&gt;=0.75)=TRUE, "Evening", "Night")))</f>
        <v>Morning</v>
      </c>
      <c r="G1118" t="str">
        <f>_xlfn.XLOOKUP(AllData[[#This Row],[Location Name]], Locations[Location Name],Locations[Group As])</f>
        <v>Chipping Campden Lady J Gateway</v>
      </c>
      <c r="H1118" t="e" vm="9">
        <f>_xlfn.XLOOKUP(AllData[[#This Row],[Site Name]],LocationsKey[Site Name],LocationsKey[District])</f>
        <v>#VALUE!</v>
      </c>
      <c r="I1118" t="e" vm="10">
        <f>_xlfn.XLOOKUP(AllData[[#This Row],[Site Name]],LocationsKey[Site Name],LocationsKey[Town])</f>
        <v>#VALUE!</v>
      </c>
      <c r="J1118" t="str">
        <f>_xlfn.XLOOKUP(AllData[[#This Row],[Site Name]],LocationsKey[Site Name], LocationsKey[Waterway])</f>
        <v>Cam Brook</v>
      </c>
      <c r="K1118" t="s">
        <v>1573</v>
      </c>
      <c r="N1118" t="s">
        <v>68</v>
      </c>
      <c r="O1118">
        <v>509</v>
      </c>
      <c r="P1118">
        <v>18.899999999999999</v>
      </c>
      <c r="Q1118">
        <v>5</v>
      </c>
      <c r="R1118" s="107" t="str">
        <f>IF(AllData[[#This Row],[Nitrate (PPM)]]&gt;2, "Very high", IF(AllData[[#This Row],[Nitrate (PPM)]]&gt;1, "High", IF(AllData[[#This Row],[Nitrate (PPM)]]&gt;0.5, "Some evidence", IF(AllData[[#This Row],[Nitrate (PPM)]]&gt;=0, "No evidence"))))</f>
        <v>Very high</v>
      </c>
      <c r="S1118" s="4">
        <v>7.0000000000000007E-2</v>
      </c>
      <c r="T1118" s="7" t="str">
        <f>IF(AllData[[#This Row],[Phosphate (PPM)]]&gt;0.5, "Very high", IF(AllData[[#This Row],[Phosphate (PPM)]]&gt;0.1, "High", IF(AllData[[#This Row],[Phosphate (PPM)]]&gt;0.05, "Some evidence", IF(AllData[[#This Row],[Phosphate (PPM)]]&lt;=0.05, "No Evidence", ""))))</f>
        <v>Some evidence</v>
      </c>
      <c r="U1118">
        <v>0.08</v>
      </c>
    </row>
    <row r="1119" spans="1:22" x14ac:dyDescent="0.35">
      <c r="A1119" t="s">
        <v>1844</v>
      </c>
      <c r="B1119" s="143">
        <v>45516</v>
      </c>
      <c r="C1119" s="2" t="str" cm="1">
        <f t="array" ref="C11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19">
        <f>YEAR(AllData[[#This Row],[Date]])</f>
        <v>2024</v>
      </c>
      <c r="E1119" s="1">
        <v>0.8125</v>
      </c>
      <c r="F1119" t="str">
        <f>IF(AND(AllData[[#This Row],[Time]]&lt;0.5, AllData[[#This Row],[Time]]&gt;0.17)=TRUE, "Morning", IF(AND(AllData[[#This Row],[Time]]&lt;0.75, AllData[[#This Row],[Time]]&gt;=0.5)=TRUE, "Afternoon", IF(AND(AllData[[#This Row],[Time]]&lt;1, AllData[[#This Row],[Time]]&gt;=0.75)=TRUE, "Evening", "Night")))</f>
        <v>Evening</v>
      </c>
      <c r="G1119" t="str">
        <f>_xlfn.XLOOKUP(AllData[[#This Row],[Location Name]], Locations[Location Name],Locations[Group As])</f>
        <v>Chipping Campden Craves</v>
      </c>
      <c r="H1119" t="e" vm="9">
        <f>_xlfn.XLOOKUP(AllData[[#This Row],[Site Name]],LocationsKey[Site Name],LocationsKey[District])</f>
        <v>#VALUE!</v>
      </c>
      <c r="I1119" t="e" vm="10">
        <f>_xlfn.XLOOKUP(AllData[[#This Row],[Site Name]],LocationsKey[Site Name],LocationsKey[Town])</f>
        <v>#VALUE!</v>
      </c>
      <c r="J1119" t="str">
        <f>_xlfn.XLOOKUP(AllData[[#This Row],[Site Name]],LocationsKey[Site Name], LocationsKey[Waterway])</f>
        <v>Cam Brook</v>
      </c>
      <c r="K1119" t="s">
        <v>1845</v>
      </c>
      <c r="L1119">
        <v>52.048684000000002</v>
      </c>
      <c r="M1119">
        <v>-1.7863309999999999</v>
      </c>
      <c r="N1119" t="s">
        <v>68</v>
      </c>
      <c r="O1119">
        <v>398</v>
      </c>
      <c r="P1119">
        <v>23.7</v>
      </c>
      <c r="Q1119">
        <v>2</v>
      </c>
      <c r="R1119" s="107" t="str">
        <f>IF(AllData[[#This Row],[Nitrate (PPM)]]&gt;2, "Very high", IF(AllData[[#This Row],[Nitrate (PPM)]]&gt;1, "High", IF(AllData[[#This Row],[Nitrate (PPM)]]&gt;0.5, "Some evidence", IF(AllData[[#This Row],[Nitrate (PPM)]]&gt;=0, "No evidence"))))</f>
        <v>High</v>
      </c>
      <c r="S1119" s="4">
        <v>0.32</v>
      </c>
      <c r="T1119" s="7" t="str">
        <f>IF(AllData[[#This Row],[Phosphate (PPM)]]&gt;0.5, "Very high", IF(AllData[[#This Row],[Phosphate (PPM)]]&gt;0.1, "High", IF(AllData[[#This Row],[Phosphate (PPM)]]&gt;0.05, "Some evidence", IF(AllData[[#This Row],[Phosphate (PPM)]]&lt;=0.05, "No Evidence", ""))))</f>
        <v>High</v>
      </c>
      <c r="U1119">
        <v>15.2</v>
      </c>
    </row>
    <row r="1120" spans="1:22" x14ac:dyDescent="0.35">
      <c r="A1120" t="s">
        <v>1832</v>
      </c>
      <c r="B1120" s="143">
        <v>45515</v>
      </c>
      <c r="C1120" s="2" t="str" cm="1">
        <f t="array" ref="C11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0">
        <f>YEAR(AllData[[#This Row],[Date]])</f>
        <v>2024</v>
      </c>
      <c r="E1120" s="1">
        <v>0.45</v>
      </c>
      <c r="F1120" t="str">
        <f>IF(AND(AllData[[#This Row],[Time]]&lt;0.5, AllData[[#This Row],[Time]]&gt;0.17)=TRUE, "Morning", IF(AND(AllData[[#This Row],[Time]]&lt;0.75, AllData[[#This Row],[Time]]&gt;=0.5)=TRUE, "Afternoon", IF(AND(AllData[[#This Row],[Time]]&lt;1, AllData[[#This Row],[Time]]&gt;=0.75)=TRUE, "Evening", "Night")))</f>
        <v>Morning</v>
      </c>
      <c r="G1120" t="str">
        <f>_xlfn.XLOOKUP(AllData[[#This Row],[Location Name]], Locations[Location Name],Locations[Group As])</f>
        <v>Lower Lode</v>
      </c>
      <c r="H1120" t="e" vm="4">
        <f>_xlfn.XLOOKUP(AllData[[#This Row],[Site Name]],LocationsKey[Site Name],LocationsKey[District])</f>
        <v>#VALUE!</v>
      </c>
      <c r="I1120" t="e" vm="4">
        <f>_xlfn.XLOOKUP(AllData[[#This Row],[Site Name]],LocationsKey[Site Name],LocationsKey[Town])</f>
        <v>#VALUE!</v>
      </c>
      <c r="J1120" t="str">
        <f>_xlfn.XLOOKUP(AllData[[#This Row],[Site Name]],LocationsKey[Site Name], LocationsKey[Waterway])</f>
        <v>Avon</v>
      </c>
      <c r="K1120" t="s">
        <v>595</v>
      </c>
      <c r="L1120">
        <v>51.985007000000003</v>
      </c>
      <c r="M1120">
        <v>-2.1741809999999999</v>
      </c>
      <c r="N1120" t="s">
        <v>31</v>
      </c>
      <c r="O1120">
        <v>1080</v>
      </c>
      <c r="P1120">
        <v>22.7</v>
      </c>
      <c r="Q1120">
        <v>10</v>
      </c>
      <c r="R1120" s="107" t="str">
        <f>IF(AllData[[#This Row],[Nitrate (PPM)]]&gt;2, "Very high", IF(AllData[[#This Row],[Nitrate (PPM)]]&gt;1, "High", IF(AllData[[#This Row],[Nitrate (PPM)]]&gt;0.5, "Some evidence", IF(AllData[[#This Row],[Nitrate (PPM)]]&gt;=0, "No evidence"))))</f>
        <v>Very high</v>
      </c>
      <c r="S1120" s="4">
        <v>1.08</v>
      </c>
      <c r="T1120" s="7" t="str">
        <f>IF(AllData[[#This Row],[Phosphate (PPM)]]&gt;0.5, "Very high", IF(AllData[[#This Row],[Phosphate (PPM)]]&gt;0.1, "High", IF(AllData[[#This Row],[Phosphate (PPM)]]&gt;0.05, "Some evidence", IF(AllData[[#This Row],[Phosphate (PPM)]]&lt;=0.05, "No Evidence", ""))))</f>
        <v>Very high</v>
      </c>
      <c r="U1120">
        <v>0</v>
      </c>
    </row>
    <row r="1121" spans="1:22" x14ac:dyDescent="0.35">
      <c r="A1121" t="s">
        <v>1837</v>
      </c>
      <c r="B1121" s="143">
        <v>45515</v>
      </c>
      <c r="C1121" s="2" t="str" cm="1">
        <f t="array" ref="C11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1">
        <f>YEAR(AllData[[#This Row],[Date]])</f>
        <v>2024</v>
      </c>
      <c r="E1121" s="1">
        <v>0.84652777777777777</v>
      </c>
      <c r="F1121" t="str">
        <f>IF(AND(AllData[[#This Row],[Time]]&lt;0.5, AllData[[#This Row],[Time]]&gt;0.17)=TRUE, "Morning", IF(AND(AllData[[#This Row],[Time]]&lt;0.75, AllData[[#This Row],[Time]]&gt;=0.5)=TRUE, "Afternoon", IF(AND(AllData[[#This Row],[Time]]&lt;1, AllData[[#This Row],[Time]]&gt;=0.75)=TRUE, "Evening", "Night")))</f>
        <v>Evening</v>
      </c>
      <c r="G1121" t="str">
        <f>_xlfn.XLOOKUP(AllData[[#This Row],[Location Name]], Locations[Location Name],Locations[Group As])</f>
        <v>Black Bear</v>
      </c>
      <c r="H1121" t="e" vm="4">
        <f>_xlfn.XLOOKUP(AllData[[#This Row],[Site Name]],LocationsKey[Site Name],LocationsKey[District])</f>
        <v>#VALUE!</v>
      </c>
      <c r="I1121" t="e" vm="4">
        <f>_xlfn.XLOOKUP(AllData[[#This Row],[Site Name]],LocationsKey[Site Name],LocationsKey[Town])</f>
        <v>#VALUE!</v>
      </c>
      <c r="J1121" t="str">
        <f>_xlfn.XLOOKUP(AllData[[#This Row],[Site Name]],LocationsKey[Site Name], LocationsKey[Waterway])</f>
        <v>Avon</v>
      </c>
      <c r="K1121" t="s">
        <v>1175</v>
      </c>
      <c r="L1121">
        <v>51.997525000000003</v>
      </c>
      <c r="M1121">
        <v>-2.156285</v>
      </c>
      <c r="N1121" t="s">
        <v>25</v>
      </c>
      <c r="O1121">
        <v>100</v>
      </c>
      <c r="P1121">
        <v>23.2</v>
      </c>
      <c r="Q1121">
        <v>9</v>
      </c>
      <c r="R1121" s="107" t="str">
        <f>IF(AllData[[#This Row],[Nitrate (PPM)]]&gt;2, "Very high", IF(AllData[[#This Row],[Nitrate (PPM)]]&gt;1, "High", IF(AllData[[#This Row],[Nitrate (PPM)]]&gt;0.5, "Some evidence", IF(AllData[[#This Row],[Nitrate (PPM)]]&gt;=0, "No evidence"))))</f>
        <v>Very high</v>
      </c>
      <c r="S1121" s="4">
        <v>0.86</v>
      </c>
      <c r="T1121" s="7" t="str">
        <f>IF(AllData[[#This Row],[Phosphate (PPM)]]&gt;0.5, "Very high", IF(AllData[[#This Row],[Phosphate (PPM)]]&gt;0.1, "High", IF(AllData[[#This Row],[Phosphate (PPM)]]&gt;0.05, "Some evidence", IF(AllData[[#This Row],[Phosphate (PPM)]]&lt;=0.05, "No Evidence", ""))))</f>
        <v>Very high</v>
      </c>
      <c r="U1121">
        <v>0</v>
      </c>
    </row>
    <row r="1122" spans="1:22" x14ac:dyDescent="0.35">
      <c r="A1122" t="s">
        <v>1838</v>
      </c>
      <c r="B1122" s="143">
        <v>45515</v>
      </c>
      <c r="C1122" s="2" t="str" cm="1">
        <f t="array" ref="C11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2">
        <f>YEAR(AllData[[#This Row],[Date]])</f>
        <v>2024</v>
      </c>
      <c r="E1122" s="1">
        <v>0.58333333333333337</v>
      </c>
      <c r="F1122" t="str">
        <f>IF(AND(AllData[[#This Row],[Time]]&lt;0.5, AllData[[#This Row],[Time]]&gt;0.17)=TRUE, "Morning", IF(AND(AllData[[#This Row],[Time]]&lt;0.75, AllData[[#This Row],[Time]]&gt;=0.5)=TRUE, "Afternoon", IF(AND(AllData[[#This Row],[Time]]&lt;1, AllData[[#This Row],[Time]]&gt;=0.75)=TRUE, "Evening", "Night")))</f>
        <v>Afternoon</v>
      </c>
      <c r="G1122" t="str">
        <f>_xlfn.XLOOKUP(AllData[[#This Row],[Location Name]], Locations[Location Name],Locations[Group As])</f>
        <v>Clifford Chambers Mill Bridge</v>
      </c>
      <c r="H1122" t="e" vm="1">
        <f>_xlfn.XLOOKUP(AllData[[#This Row],[Site Name]],LocationsKey[Site Name],LocationsKey[District])</f>
        <v>#VALUE!</v>
      </c>
      <c r="I1122" t="e" vm="22">
        <f>_xlfn.XLOOKUP(AllData[[#This Row],[Site Name]],LocationsKey[Site Name],LocationsKey[Town])</f>
        <v>#VALUE!</v>
      </c>
      <c r="J1122" t="str">
        <f>_xlfn.XLOOKUP(AllData[[#This Row],[Site Name]],LocationsKey[Site Name], LocationsKey[Waterway])</f>
        <v>Stour</v>
      </c>
      <c r="K1122" t="s">
        <v>266</v>
      </c>
      <c r="L1122">
        <v>52.166370000000001</v>
      </c>
      <c r="M1122">
        <v>-1.708032</v>
      </c>
      <c r="N1122" t="s">
        <v>68</v>
      </c>
      <c r="O1122">
        <v>697</v>
      </c>
      <c r="P1122">
        <v>22.3</v>
      </c>
      <c r="Q1122">
        <v>7.5</v>
      </c>
      <c r="R1122" s="107" t="str">
        <f>IF(AllData[[#This Row],[Nitrate (PPM)]]&gt;2, "Very high", IF(AllData[[#This Row],[Nitrate (PPM)]]&gt;1, "High", IF(AllData[[#This Row],[Nitrate (PPM)]]&gt;0.5, "Some evidence", IF(AllData[[#This Row],[Nitrate (PPM)]]&gt;=0, "No evidence"))))</f>
        <v>Very high</v>
      </c>
      <c r="S1122">
        <v>0.52</v>
      </c>
      <c r="T1122" s="7" t="str">
        <f>IF(AllData[[#This Row],[Phosphate (PPM)]]&gt;0.5, "Very high", IF(AllData[[#This Row],[Phosphate (PPM)]]&gt;0.1, "High", IF(AllData[[#This Row],[Phosphate (PPM)]]&gt;0.05, "Some evidence", IF(AllData[[#This Row],[Phosphate (PPM)]]&lt;=0.05, "No Evidence", ""))))</f>
        <v>Very high</v>
      </c>
      <c r="U1122">
        <v>0.3</v>
      </c>
    </row>
    <row r="1123" spans="1:22" x14ac:dyDescent="0.35">
      <c r="A1123" t="s">
        <v>1833</v>
      </c>
      <c r="B1123" s="143">
        <v>45515</v>
      </c>
      <c r="C1123" s="2" t="str" cm="1">
        <f t="array" ref="C11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3">
        <f>YEAR(AllData[[#This Row],[Date]])</f>
        <v>2024</v>
      </c>
      <c r="E1123" s="1">
        <v>0.72083333333333333</v>
      </c>
      <c r="F1123" t="str">
        <f>IF(AND(AllData[[#This Row],[Time]]&lt;0.5, AllData[[#This Row],[Time]]&gt;0.17)=TRUE, "Morning", IF(AND(AllData[[#This Row],[Time]]&lt;0.75, AllData[[#This Row],[Time]]&gt;=0.5)=TRUE, "Afternoon", IF(AND(AllData[[#This Row],[Time]]&lt;1, AllData[[#This Row],[Time]]&gt;=0.75)=TRUE, "Evening", "Night")))</f>
        <v>Afternoon</v>
      </c>
      <c r="G1123" t="str">
        <f>_xlfn.XLOOKUP(AllData[[#This Row],[Location Name]], Locations[Location Name],Locations[Group As])</f>
        <v>Carrant Back Lane Beckford</v>
      </c>
      <c r="H1123" t="e" vm="4">
        <f>_xlfn.XLOOKUP(AllData[[#This Row],[Site Name]],LocationsKey[Site Name],LocationsKey[District])</f>
        <v>#VALUE!</v>
      </c>
      <c r="I1123" t="str">
        <f>_xlfn.XLOOKUP(AllData[[#This Row],[Site Name]],LocationsKey[Site Name],LocationsKey[Town])</f>
        <v>Beckford</v>
      </c>
      <c r="J1123" t="str">
        <f>_xlfn.XLOOKUP(AllData[[#This Row],[Site Name]],LocationsKey[Site Name], LocationsKey[Waterway])</f>
        <v>Carrant</v>
      </c>
      <c r="K1123" t="s">
        <v>1834</v>
      </c>
      <c r="L1123">
        <v>52.018433999999999</v>
      </c>
      <c r="M1123">
        <v>-2.0387719999999998</v>
      </c>
      <c r="N1123" t="s">
        <v>68</v>
      </c>
      <c r="O1123">
        <v>794</v>
      </c>
      <c r="P1123">
        <v>20.6</v>
      </c>
      <c r="Q1123">
        <v>7</v>
      </c>
      <c r="R1123" s="107" t="str">
        <f>IF(AllData[[#This Row],[Nitrate (PPM)]]&gt;2, "Very high", IF(AllData[[#This Row],[Nitrate (PPM)]]&gt;1, "High", IF(AllData[[#This Row],[Nitrate (PPM)]]&gt;0.5, "Some evidence", IF(AllData[[#This Row],[Nitrate (PPM)]]&gt;=0, "No evidence"))))</f>
        <v>Very high</v>
      </c>
      <c r="S1123" s="4">
        <v>0.14000000000000001</v>
      </c>
      <c r="T1123" s="7" t="str">
        <f>IF(AllData[[#This Row],[Phosphate (PPM)]]&gt;0.5, "Very high", IF(AllData[[#This Row],[Phosphate (PPM)]]&gt;0.1, "High", IF(AllData[[#This Row],[Phosphate (PPM)]]&gt;0.05, "Some evidence", IF(AllData[[#This Row],[Phosphate (PPM)]]&lt;=0.05, "No Evidence", ""))))</f>
        <v>High</v>
      </c>
      <c r="U1123">
        <v>0.2</v>
      </c>
      <c r="V1123" t="s">
        <v>1835</v>
      </c>
    </row>
    <row r="1124" spans="1:22" x14ac:dyDescent="0.35">
      <c r="A1124" t="s">
        <v>1836</v>
      </c>
      <c r="B1124" s="143">
        <v>45515</v>
      </c>
      <c r="C1124" s="2" t="str" cm="1">
        <f t="array" ref="C11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4">
        <f>YEAR(AllData[[#This Row],[Date]])</f>
        <v>2024</v>
      </c>
      <c r="E1124" s="1">
        <v>0.79861111111111116</v>
      </c>
      <c r="F1124" t="str">
        <f>IF(AND(AllData[[#This Row],[Time]]&lt;0.5, AllData[[#This Row],[Time]]&gt;0.17)=TRUE, "Morning", IF(AND(AllData[[#This Row],[Time]]&lt;0.75, AllData[[#This Row],[Time]]&gt;=0.5)=TRUE, "Afternoon", IF(AND(AllData[[#This Row],[Time]]&lt;1, AllData[[#This Row],[Time]]&gt;=0.75)=TRUE, "Evening", "Night")))</f>
        <v>Evening</v>
      </c>
      <c r="G1124" t="str">
        <f>_xlfn.XLOOKUP(AllData[[#This Row],[Location Name]], Locations[Location Name],Locations[Group As])</f>
        <v>Fell Mill Footbridge</v>
      </c>
      <c r="H1124" t="e" vm="1">
        <f>_xlfn.XLOOKUP(AllData[[#This Row],[Site Name]],LocationsKey[Site Name],LocationsKey[District])</f>
        <v>#VALUE!</v>
      </c>
      <c r="I1124" t="e" vm="15">
        <f>_xlfn.XLOOKUP(AllData[[#This Row],[Site Name]],LocationsKey[Site Name],LocationsKey[Town])</f>
        <v>#VALUE!</v>
      </c>
      <c r="J1124" t="str">
        <f>_xlfn.XLOOKUP(AllData[[#This Row],[Site Name]],LocationsKey[Site Name], LocationsKey[Waterway])</f>
        <v>Stour</v>
      </c>
      <c r="K1124" t="s">
        <v>875</v>
      </c>
      <c r="L1124">
        <v>52.070086000000003</v>
      </c>
      <c r="M1124">
        <v>-1.61145</v>
      </c>
      <c r="N1124" t="s">
        <v>31</v>
      </c>
      <c r="O1124">
        <v>671</v>
      </c>
      <c r="P1124">
        <v>19.2</v>
      </c>
      <c r="Q1124">
        <v>5</v>
      </c>
      <c r="R1124" s="107" t="str">
        <f>IF(AllData[[#This Row],[Nitrate (PPM)]]&gt;2, "Very high", IF(AllData[[#This Row],[Nitrate (PPM)]]&gt;1, "High", IF(AllData[[#This Row],[Nitrate (PPM)]]&gt;0.5, "Some evidence", IF(AllData[[#This Row],[Nitrate (PPM)]]&gt;=0, "No evidence"))))</f>
        <v>Very high</v>
      </c>
      <c r="S1124" s="4">
        <v>0.54</v>
      </c>
      <c r="T1124" s="7" t="str">
        <f>IF(AllData[[#This Row],[Phosphate (PPM)]]&gt;0.5, "Very high", IF(AllData[[#This Row],[Phosphate (PPM)]]&gt;0.1, "High", IF(AllData[[#This Row],[Phosphate (PPM)]]&gt;0.05, "Some evidence", IF(AllData[[#This Row],[Phosphate (PPM)]]&lt;=0.05, "No Evidence", ""))))</f>
        <v>Very high</v>
      </c>
      <c r="U1124">
        <v>1.1000000000000001</v>
      </c>
    </row>
    <row r="1125" spans="1:22" x14ac:dyDescent="0.35">
      <c r="A1125" t="s">
        <v>1816</v>
      </c>
      <c r="B1125" s="143">
        <v>45514</v>
      </c>
      <c r="C1125" s="2" t="str" cm="1">
        <f t="array" ref="C11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5">
        <f>YEAR(AllData[[#This Row],[Date]])</f>
        <v>2024</v>
      </c>
      <c r="E1125" s="1">
        <v>0.4375</v>
      </c>
      <c r="F1125" t="str">
        <f>IF(AND(AllData[[#This Row],[Time]]&lt;0.5, AllData[[#This Row],[Time]]&gt;0.17)=TRUE, "Morning", IF(AND(AllData[[#This Row],[Time]]&lt;0.75, AllData[[#This Row],[Time]]&gt;=0.5)=TRUE, "Afternoon", IF(AND(AllData[[#This Row],[Time]]&lt;1, AllData[[#This Row],[Time]]&gt;=0.75)=TRUE, "Evening", "Night")))</f>
        <v>Morning</v>
      </c>
      <c r="G1125" t="str">
        <f>_xlfn.XLOOKUP(AllData[[#This Row],[Location Name]], Locations[Location Name],Locations[Group As])</f>
        <v>Piddle Brook Wyre Piddle Bridge</v>
      </c>
      <c r="H1125" t="e" vm="6">
        <f>_xlfn.XLOOKUP(AllData[[#This Row],[Site Name]],LocationsKey[Site Name],LocationsKey[District])</f>
        <v>#VALUE!</v>
      </c>
      <c r="I1125" t="e" vm="13">
        <f>_xlfn.XLOOKUP(AllData[[#This Row],[Site Name]],LocationsKey[Site Name],LocationsKey[Town])</f>
        <v>#VALUE!</v>
      </c>
      <c r="J1125" t="str">
        <f>_xlfn.XLOOKUP(AllData[[#This Row],[Site Name]],LocationsKey[Site Name], LocationsKey[Waterway])</f>
        <v>Piddle Brook</v>
      </c>
      <c r="K1125" t="s">
        <v>787</v>
      </c>
      <c r="L1125">
        <v>52.126415999999999</v>
      </c>
      <c r="M1125">
        <v>-2.0564499999999999</v>
      </c>
      <c r="N1125" t="s">
        <v>25</v>
      </c>
      <c r="O1125">
        <v>1870</v>
      </c>
      <c r="P1125">
        <v>17.3</v>
      </c>
      <c r="Q1125">
        <v>10</v>
      </c>
      <c r="R1125" s="107" t="str">
        <f>IF(AllData[[#This Row],[Nitrate (PPM)]]&gt;2, "Very high", IF(AllData[[#This Row],[Nitrate (PPM)]]&gt;1, "High", IF(AllData[[#This Row],[Nitrate (PPM)]]&gt;0.5, "Some evidence", IF(AllData[[#This Row],[Nitrate (PPM)]]&gt;=0, "No evidence"))))</f>
        <v>Very high</v>
      </c>
      <c r="S1125" s="4">
        <v>1.29</v>
      </c>
      <c r="T1125" s="7" t="str">
        <f>IF(AllData[[#This Row],[Phosphate (PPM)]]&gt;0.5, "Very high", IF(AllData[[#This Row],[Phosphate (PPM)]]&gt;0.1, "High", IF(AllData[[#This Row],[Phosphate (PPM)]]&gt;0.05, "Some evidence", IF(AllData[[#This Row],[Phosphate (PPM)]]&lt;=0.05, "No Evidence", ""))))</f>
        <v>Very high</v>
      </c>
      <c r="U1125">
        <v>0.14000000000000001</v>
      </c>
      <c r="V1125" t="s">
        <v>1817</v>
      </c>
    </row>
    <row r="1126" spans="1:22" x14ac:dyDescent="0.35">
      <c r="A1126" t="s">
        <v>1824</v>
      </c>
      <c r="B1126" s="143">
        <v>45514</v>
      </c>
      <c r="C1126" s="2" t="str" cm="1">
        <f t="array" ref="C11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6">
        <f>YEAR(AllData[[#This Row],[Date]])</f>
        <v>2024</v>
      </c>
      <c r="E1126" s="1">
        <v>0.46250000000000002</v>
      </c>
      <c r="F1126" t="str">
        <f>IF(AND(AllData[[#This Row],[Time]]&lt;0.5, AllData[[#This Row],[Time]]&gt;0.17)=TRUE, "Morning", IF(AND(AllData[[#This Row],[Time]]&lt;0.75, AllData[[#This Row],[Time]]&gt;=0.5)=TRUE, "Afternoon", IF(AND(AllData[[#This Row],[Time]]&lt;1, AllData[[#This Row],[Time]]&gt;=0.75)=TRUE, "Evening", "Night")))</f>
        <v>Morning</v>
      </c>
      <c r="G1126" t="str">
        <f>_xlfn.XLOOKUP(AllData[[#This Row],[Location Name]], Locations[Location Name],Locations[Group As])</f>
        <v>Mill Bridge Peopleton</v>
      </c>
      <c r="H1126" t="e" vm="6">
        <f>_xlfn.XLOOKUP(AllData[[#This Row],[Site Name]],LocationsKey[Site Name],LocationsKey[District])</f>
        <v>#VALUE!</v>
      </c>
      <c r="I1126" t="str">
        <f>_xlfn.XLOOKUP(AllData[[#This Row],[Site Name]],LocationsKey[Site Name],LocationsKey[Town])</f>
        <v>Peopleton</v>
      </c>
      <c r="J1126" t="str">
        <f>_xlfn.XLOOKUP(AllData[[#This Row],[Site Name]],LocationsKey[Site Name], LocationsKey[Waterway])</f>
        <v>Bow Brook</v>
      </c>
      <c r="K1126" t="s">
        <v>1015</v>
      </c>
      <c r="L1126">
        <v>52.151699999999998</v>
      </c>
      <c r="M1126">
        <v>-2.0963940000000001</v>
      </c>
      <c r="N1126" t="s">
        <v>31</v>
      </c>
      <c r="O1126">
        <v>1250</v>
      </c>
      <c r="P1126">
        <v>18.600000000000001</v>
      </c>
      <c r="Q1126">
        <v>10</v>
      </c>
      <c r="R1126" s="107" t="str">
        <f>IF(AllData[[#This Row],[Nitrate (PPM)]]&gt;2, "Very high", IF(AllData[[#This Row],[Nitrate (PPM)]]&gt;1, "High", IF(AllData[[#This Row],[Nitrate (PPM)]]&gt;0.5, "Some evidence", IF(AllData[[#This Row],[Nitrate (PPM)]]&gt;=0, "No evidence"))))</f>
        <v>Very high</v>
      </c>
      <c r="S1126" s="4">
        <v>1.61</v>
      </c>
      <c r="T1126" s="7" t="str">
        <f>IF(AllData[[#This Row],[Phosphate (PPM)]]&gt;0.5, "Very high", IF(AllData[[#This Row],[Phosphate (PPM)]]&gt;0.1, "High", IF(AllData[[#This Row],[Phosphate (PPM)]]&gt;0.05, "Some evidence", IF(AllData[[#This Row],[Phosphate (PPM)]]&lt;=0.05, "No Evidence", ""))))</f>
        <v>Very high</v>
      </c>
      <c r="U1126">
        <v>0.2</v>
      </c>
      <c r="V1126" t="s">
        <v>1635</v>
      </c>
    </row>
    <row r="1127" spans="1:22" x14ac:dyDescent="0.35">
      <c r="A1127" t="s">
        <v>1814</v>
      </c>
      <c r="B1127" s="143">
        <v>45514</v>
      </c>
      <c r="C1127" s="2" t="str" cm="1">
        <f t="array" ref="C11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7">
        <f>YEAR(AllData[[#This Row],[Date]])</f>
        <v>2024</v>
      </c>
      <c r="E1127" s="1">
        <v>0.4201388888888889</v>
      </c>
      <c r="F1127" t="str">
        <f>IF(AND(AllData[[#This Row],[Time]]&lt;0.5, AllData[[#This Row],[Time]]&gt;0.17)=TRUE, "Morning", IF(AND(AllData[[#This Row],[Time]]&lt;0.75, AllData[[#This Row],[Time]]&gt;=0.5)=TRUE, "Afternoon", IF(AND(AllData[[#This Row],[Time]]&lt;1, AllData[[#This Row],[Time]]&gt;=0.75)=TRUE, "Evening", "Night")))</f>
        <v>Morning</v>
      </c>
      <c r="G1127" t="str">
        <f>_xlfn.XLOOKUP(AllData[[#This Row],[Location Name]], Locations[Location Name],Locations[Group As])</f>
        <v>Avon Smiths Meadow Wyre Piddle</v>
      </c>
      <c r="H1127" t="e" vm="6">
        <f>_xlfn.XLOOKUP(AllData[[#This Row],[Site Name]],LocationsKey[Site Name],LocationsKey[District])</f>
        <v>#VALUE!</v>
      </c>
      <c r="I1127" t="e" vm="13">
        <f>_xlfn.XLOOKUP(AllData[[#This Row],[Site Name]],LocationsKey[Site Name],LocationsKey[Town])</f>
        <v>#VALUE!</v>
      </c>
      <c r="J1127" t="str">
        <f>_xlfn.XLOOKUP(AllData[[#This Row],[Site Name]],LocationsKey[Site Name], LocationsKey[Waterway])</f>
        <v>Avon</v>
      </c>
      <c r="K1127" t="s">
        <v>784</v>
      </c>
      <c r="L1127">
        <v>52.122874000000003</v>
      </c>
      <c r="M1127">
        <v>-2.0575209999999999</v>
      </c>
      <c r="N1127" t="s">
        <v>25</v>
      </c>
      <c r="O1127">
        <v>1050</v>
      </c>
      <c r="P1127">
        <v>19.3</v>
      </c>
      <c r="Q1127">
        <v>10</v>
      </c>
      <c r="R1127" s="107" t="str">
        <f>IF(AllData[[#This Row],[Nitrate (PPM)]]&gt;2, "Very high", IF(AllData[[#This Row],[Nitrate (PPM)]]&gt;1, "High", IF(AllData[[#This Row],[Nitrate (PPM)]]&gt;0.5, "Some evidence", IF(AllData[[#This Row],[Nitrate (PPM)]]&gt;=0, "No evidence"))))</f>
        <v>Very high</v>
      </c>
      <c r="S1127" s="4">
        <v>0.86</v>
      </c>
      <c r="T1127" s="7" t="str">
        <f>IF(AllData[[#This Row],[Phosphate (PPM)]]&gt;0.5, "Very high", IF(AllData[[#This Row],[Phosphate (PPM)]]&gt;0.1, "High", IF(AllData[[#This Row],[Phosphate (PPM)]]&gt;0.05, "Some evidence", IF(AllData[[#This Row],[Phosphate (PPM)]]&lt;=0.05, "No Evidence", ""))))</f>
        <v>Very high</v>
      </c>
      <c r="U1127">
        <v>0.5</v>
      </c>
      <c r="V1127" t="s">
        <v>1815</v>
      </c>
    </row>
    <row r="1128" spans="1:22" x14ac:dyDescent="0.35">
      <c r="A1128" t="s">
        <v>1825</v>
      </c>
      <c r="B1128" s="143">
        <v>45514</v>
      </c>
      <c r="C1128" s="2" t="str" cm="1">
        <f t="array" ref="C11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8">
        <f>YEAR(AllData[[#This Row],[Date]])</f>
        <v>2024</v>
      </c>
      <c r="E1128" s="1">
        <v>0.46388888888888891</v>
      </c>
      <c r="F1128" t="str">
        <f>IF(AND(AllData[[#This Row],[Time]]&lt;0.5, AllData[[#This Row],[Time]]&gt;0.17)=TRUE, "Morning", IF(AND(AllData[[#This Row],[Time]]&lt;0.75, AllData[[#This Row],[Time]]&gt;=0.5)=TRUE, "Afternoon", IF(AND(AllData[[#This Row],[Time]]&lt;1, AllData[[#This Row],[Time]]&gt;=0.75)=TRUE, "Evening", "Night")))</f>
        <v>Morning</v>
      </c>
      <c r="G1128" t="str">
        <f>_xlfn.XLOOKUP(AllData[[#This Row],[Location Name]], Locations[Location Name],Locations[Group As])</f>
        <v>Site 3  :  Severn Trent Water processing plant outflow</v>
      </c>
      <c r="H1128" t="e" vm="1">
        <f>_xlfn.XLOOKUP(AllData[[#This Row],[Site Name]],LocationsKey[Site Name],LocationsKey[District])</f>
        <v>#VALUE!</v>
      </c>
      <c r="I1128" t="e" vm="14">
        <f>_xlfn.XLOOKUP(AllData[[#This Row],[Site Name]],LocationsKey[Site Name],LocationsKey[Town])</f>
        <v>#VALUE!</v>
      </c>
      <c r="J1128" t="str">
        <f>_xlfn.XLOOKUP(AllData[[#This Row],[Site Name]],LocationsKey[Site Name], LocationsKey[Waterway])</f>
        <v>Fosseway Brook</v>
      </c>
      <c r="K1128" t="s">
        <v>1826</v>
      </c>
      <c r="L1128">
        <v>52.094448</v>
      </c>
      <c r="M1128">
        <v>-1.675926</v>
      </c>
      <c r="N1128" t="s">
        <v>31</v>
      </c>
      <c r="O1128">
        <v>955</v>
      </c>
      <c r="P1128">
        <v>18.5</v>
      </c>
      <c r="Q1128">
        <v>10</v>
      </c>
      <c r="R1128" s="107" t="str">
        <f>IF(AllData[[#This Row],[Nitrate (PPM)]]&gt;2, "Very high", IF(AllData[[#This Row],[Nitrate (PPM)]]&gt;1, "High", IF(AllData[[#This Row],[Nitrate (PPM)]]&gt;0.5, "Some evidence", IF(AllData[[#This Row],[Nitrate (PPM)]]&gt;=0, "No evidence"))))</f>
        <v>Very high</v>
      </c>
      <c r="S1128" s="4">
        <v>2.5</v>
      </c>
      <c r="T1128" s="7" t="str">
        <f>IF(AllData[[#This Row],[Phosphate (PPM)]]&gt;0.5, "Very high", IF(AllData[[#This Row],[Phosphate (PPM)]]&gt;0.1, "High", IF(AllData[[#This Row],[Phosphate (PPM)]]&gt;0.05, "Some evidence", IF(AllData[[#This Row],[Phosphate (PPM)]]&lt;=0.05, "No Evidence", ""))))</f>
        <v>Very high</v>
      </c>
      <c r="U1128">
        <v>0.15</v>
      </c>
    </row>
    <row r="1129" spans="1:22" x14ac:dyDescent="0.35">
      <c r="A1129" t="s">
        <v>1828</v>
      </c>
      <c r="B1129" s="143">
        <v>45514</v>
      </c>
      <c r="C1129" s="2" t="str" cm="1">
        <f t="array" ref="C11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29">
        <f>YEAR(AllData[[#This Row],[Date]])</f>
        <v>2024</v>
      </c>
      <c r="E1129" s="1">
        <v>0.71875</v>
      </c>
      <c r="F1129" t="str">
        <f>IF(AND(AllData[[#This Row],[Time]]&lt;0.5, AllData[[#This Row],[Time]]&gt;0.17)=TRUE, "Morning", IF(AND(AllData[[#This Row],[Time]]&lt;0.75, AllData[[#This Row],[Time]]&gt;=0.5)=TRUE, "Afternoon", IF(AND(AllData[[#This Row],[Time]]&lt;1, AllData[[#This Row],[Time]]&gt;=0.75)=TRUE, "Evening", "Night")))</f>
        <v>Afternoon</v>
      </c>
      <c r="G1129" t="str">
        <f>_xlfn.XLOOKUP(AllData[[#This Row],[Location Name]], Locations[Location Name],Locations[Group As])</f>
        <v>Preston-on-Stour River Bridge</v>
      </c>
      <c r="H1129" t="e" vm="1">
        <f>_xlfn.XLOOKUP(AllData[[#This Row],[Site Name]],LocationsKey[Site Name],LocationsKey[District])</f>
        <v>#VALUE!</v>
      </c>
      <c r="I1129" t="e" vm="20">
        <f>_xlfn.XLOOKUP(AllData[[#This Row],[Site Name]],LocationsKey[Site Name],LocationsKey[Town])</f>
        <v>#VALUE!</v>
      </c>
      <c r="J1129" t="str">
        <f>_xlfn.XLOOKUP(AllData[[#This Row],[Site Name]],LocationsKey[Site Name], LocationsKey[Waterway])</f>
        <v>Stour</v>
      </c>
      <c r="K1129" t="s">
        <v>164</v>
      </c>
      <c r="L1129">
        <v>52.146476999999997</v>
      </c>
      <c r="M1129">
        <v>-1.699783</v>
      </c>
      <c r="N1129" t="s">
        <v>31</v>
      </c>
      <c r="O1129">
        <v>712</v>
      </c>
      <c r="P1129">
        <v>19.7</v>
      </c>
      <c r="Q1129">
        <v>6</v>
      </c>
      <c r="R1129" s="107" t="str">
        <f>IF(AllData[[#This Row],[Nitrate (PPM)]]&gt;2, "Very high", IF(AllData[[#This Row],[Nitrate (PPM)]]&gt;1, "High", IF(AllData[[#This Row],[Nitrate (PPM)]]&gt;0.5, "Some evidence", IF(AllData[[#This Row],[Nitrate (PPM)]]&gt;=0, "No evidence"))))</f>
        <v>Very high</v>
      </c>
      <c r="S1129" s="4">
        <v>0.54</v>
      </c>
      <c r="T1129" s="7" t="str">
        <f>IF(AllData[[#This Row],[Phosphate (PPM)]]&gt;0.5, "Very high", IF(AllData[[#This Row],[Phosphate (PPM)]]&gt;0.1, "High", IF(AllData[[#This Row],[Phosphate (PPM)]]&gt;0.05, "Some evidence", IF(AllData[[#This Row],[Phosphate (PPM)]]&lt;=0.05, "No Evidence", ""))))</f>
        <v>Very high</v>
      </c>
      <c r="U1129">
        <v>1</v>
      </c>
      <c r="V1129" t="s">
        <v>1829</v>
      </c>
    </row>
    <row r="1130" spans="1:22" x14ac:dyDescent="0.35">
      <c r="A1130" t="s">
        <v>1823</v>
      </c>
      <c r="B1130" s="143">
        <v>45514</v>
      </c>
      <c r="C1130" s="2" t="str" cm="1">
        <f t="array" ref="C11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0">
        <f>YEAR(AllData[[#This Row],[Date]])</f>
        <v>2024</v>
      </c>
      <c r="E1130" s="1">
        <v>0.45902777777777776</v>
      </c>
      <c r="F1130" t="str">
        <f>IF(AND(AllData[[#This Row],[Time]]&lt;0.5, AllData[[#This Row],[Time]]&gt;0.17)=TRUE, "Morning", IF(AND(AllData[[#This Row],[Time]]&lt;0.75, AllData[[#This Row],[Time]]&gt;=0.5)=TRUE, "Afternoon", IF(AND(AllData[[#This Row],[Time]]&lt;1, AllData[[#This Row],[Time]]&gt;=0.75)=TRUE, "Evening", "Night")))</f>
        <v>Morning</v>
      </c>
      <c r="G1130" t="str">
        <f>_xlfn.XLOOKUP(AllData[[#This Row],[Location Name]], Locations[Location Name],Locations[Group As])</f>
        <v>Avonbank Drive</v>
      </c>
      <c r="H1130" t="e" vm="1">
        <f>_xlfn.XLOOKUP(AllData[[#This Row],[Site Name]],LocationsKey[Site Name],LocationsKey[District])</f>
        <v>#VALUE!</v>
      </c>
      <c r="I1130" t="e" vm="12">
        <f>_xlfn.XLOOKUP(AllData[[#This Row],[Site Name]],LocationsKey[Site Name],LocationsKey[Town])</f>
        <v>#VALUE!</v>
      </c>
      <c r="J1130" t="str">
        <f>_xlfn.XLOOKUP(AllData[[#This Row],[Site Name]],LocationsKey[Site Name], LocationsKey[Waterway])</f>
        <v>Avon</v>
      </c>
      <c r="K1130" t="s">
        <v>104</v>
      </c>
      <c r="L1130">
        <v>52.177</v>
      </c>
      <c r="M1130">
        <v>-1.736</v>
      </c>
      <c r="N1130" t="s">
        <v>68</v>
      </c>
      <c r="O1130">
        <v>1102</v>
      </c>
      <c r="P1130">
        <v>23</v>
      </c>
      <c r="Q1130">
        <v>5</v>
      </c>
      <c r="R1130" s="107" t="str">
        <f>IF(AllData[[#This Row],[Nitrate (PPM)]]&gt;2, "Very high", IF(AllData[[#This Row],[Nitrate (PPM)]]&gt;1, "High", IF(AllData[[#This Row],[Nitrate (PPM)]]&gt;0.5, "Some evidence", IF(AllData[[#This Row],[Nitrate (PPM)]]&gt;=0, "No evidence"))))</f>
        <v>Very high</v>
      </c>
      <c r="S1130" s="4">
        <v>0.52</v>
      </c>
      <c r="T1130" s="7" t="str">
        <f>IF(AllData[[#This Row],[Phosphate (PPM)]]&gt;0.5, "Very high", IF(AllData[[#This Row],[Phosphate (PPM)]]&gt;0.1, "High", IF(AllData[[#This Row],[Phosphate (PPM)]]&gt;0.05, "Some evidence", IF(AllData[[#This Row],[Phosphate (PPM)]]&lt;=0.05, "No Evidence", ""))))</f>
        <v>Very high</v>
      </c>
      <c r="U1130">
        <v>1</v>
      </c>
    </row>
    <row r="1131" spans="1:22" x14ac:dyDescent="0.35">
      <c r="A1131" t="s">
        <v>1822</v>
      </c>
      <c r="B1131" s="143">
        <v>45514</v>
      </c>
      <c r="C1131" s="2" t="str" cm="1">
        <f t="array" ref="C11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1">
        <f>YEAR(AllData[[#This Row],[Date]])</f>
        <v>2024</v>
      </c>
      <c r="E1131" s="1">
        <v>0.45763888888888887</v>
      </c>
      <c r="F1131" t="str">
        <f>IF(AND(AllData[[#This Row],[Time]]&lt;0.5, AllData[[#This Row],[Time]]&gt;0.17)=TRUE, "Morning", IF(AND(AllData[[#This Row],[Time]]&lt;0.75, AllData[[#This Row],[Time]]&gt;=0.5)=TRUE, "Afternoon", IF(AND(AllData[[#This Row],[Time]]&lt;1, AllData[[#This Row],[Time]]&gt;=0.75)=TRUE, "Evening", "Night")))</f>
        <v>Morning</v>
      </c>
      <c r="G1131" t="str">
        <f>_xlfn.XLOOKUP(AllData[[#This Row],[Location Name]], Locations[Location Name],Locations[Group As])</f>
        <v>Pitch 16</v>
      </c>
      <c r="H1131" t="e" vm="1">
        <f>_xlfn.XLOOKUP(AllData[[#This Row],[Site Name]],LocationsKey[Site Name],LocationsKey[District])</f>
        <v>#VALUE!</v>
      </c>
      <c r="I1131" t="e" vm="12">
        <f>_xlfn.XLOOKUP(AllData[[#This Row],[Site Name]],LocationsKey[Site Name],LocationsKey[Town])</f>
        <v>#VALUE!</v>
      </c>
      <c r="J1131" t="str">
        <f>_xlfn.XLOOKUP(AllData[[#This Row],[Site Name]],LocationsKey[Site Name], LocationsKey[Waterway])</f>
        <v>Avon</v>
      </c>
      <c r="K1131" t="s">
        <v>71</v>
      </c>
      <c r="N1131" t="s">
        <v>31</v>
      </c>
      <c r="O1131">
        <v>982</v>
      </c>
      <c r="P1131">
        <v>25.1</v>
      </c>
      <c r="Q1131">
        <v>5</v>
      </c>
      <c r="R1131" s="107" t="str">
        <f>IF(AllData[[#This Row],[Nitrate (PPM)]]&gt;2, "Very high", IF(AllData[[#This Row],[Nitrate (PPM)]]&gt;1, "High", IF(AllData[[#This Row],[Nitrate (PPM)]]&gt;0.5, "Some evidence", IF(AllData[[#This Row],[Nitrate (PPM)]]&gt;=0, "No evidence"))))</f>
        <v>Very high</v>
      </c>
      <c r="S1131" s="4">
        <v>0.56000000000000005</v>
      </c>
      <c r="T1131" s="7" t="str">
        <f>IF(AllData[[#This Row],[Phosphate (PPM)]]&gt;0.5, "Very high", IF(AllData[[#This Row],[Phosphate (PPM)]]&gt;0.1, "High", IF(AllData[[#This Row],[Phosphate (PPM)]]&gt;0.05, "Some evidence", IF(AllData[[#This Row],[Phosphate (PPM)]]&lt;=0.05, "No Evidence", ""))))</f>
        <v>Very high</v>
      </c>
      <c r="U1131">
        <v>1</v>
      </c>
    </row>
    <row r="1132" spans="1:22" x14ac:dyDescent="0.35">
      <c r="A1132" t="s">
        <v>1827</v>
      </c>
      <c r="B1132" s="143">
        <v>45514</v>
      </c>
      <c r="C1132" s="2" t="str" cm="1">
        <f t="array" ref="C11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2">
        <f>YEAR(AllData[[#This Row],[Date]])</f>
        <v>2024</v>
      </c>
      <c r="E1132" s="1">
        <v>0.5</v>
      </c>
      <c r="F1132" t="str">
        <f>IF(AND(AllData[[#This Row],[Time]]&lt;0.5, AllData[[#This Row],[Time]]&gt;0.17)=TRUE, "Morning", IF(AND(AllData[[#This Row],[Time]]&lt;0.75, AllData[[#This Row],[Time]]&gt;=0.5)=TRUE, "Afternoon", IF(AND(AllData[[#This Row],[Time]]&lt;1, AllData[[#This Row],[Time]]&gt;=0.75)=TRUE, "Evening", "Night")))</f>
        <v>Afternoon</v>
      </c>
      <c r="G1132" t="str">
        <f>_xlfn.XLOOKUP(AllData[[#This Row],[Location Name]], Locations[Location Name],Locations[Group As])</f>
        <v>Carrant Bredon Rd</v>
      </c>
      <c r="H1132" t="e" vm="4">
        <f>_xlfn.XLOOKUP(AllData[[#This Row],[Site Name]],LocationsKey[Site Name],LocationsKey[District])</f>
        <v>#VALUE!</v>
      </c>
      <c r="I1132" t="e" vm="4">
        <f>_xlfn.XLOOKUP(AllData[[#This Row],[Site Name]],LocationsKey[Site Name],LocationsKey[Town])</f>
        <v>#VALUE!</v>
      </c>
      <c r="J1132" t="str">
        <f>_xlfn.XLOOKUP(AllData[[#This Row],[Site Name]],LocationsKey[Site Name], LocationsKey[Waterway])</f>
        <v>Carrant</v>
      </c>
      <c r="K1132" t="s">
        <v>603</v>
      </c>
      <c r="L1132">
        <v>51.996177000000003</v>
      </c>
      <c r="M1132">
        <v>-2.1560299999999999</v>
      </c>
      <c r="N1132" t="s">
        <v>25</v>
      </c>
      <c r="O1132">
        <v>716</v>
      </c>
      <c r="P1132">
        <v>18.600000000000001</v>
      </c>
      <c r="Q1132">
        <v>4</v>
      </c>
      <c r="R1132" s="107" t="str">
        <f>IF(AllData[[#This Row],[Nitrate (PPM)]]&gt;2, "Very high", IF(AllData[[#This Row],[Nitrate (PPM)]]&gt;1, "High", IF(AllData[[#This Row],[Nitrate (PPM)]]&gt;0.5, "Some evidence", IF(AllData[[#This Row],[Nitrate (PPM)]]&gt;=0, "No evidence"))))</f>
        <v>Very high</v>
      </c>
      <c r="S1132" s="4">
        <v>0.67</v>
      </c>
      <c r="T1132" s="7" t="str">
        <f>IF(AllData[[#This Row],[Phosphate (PPM)]]&gt;0.5, "Very high", IF(AllData[[#This Row],[Phosphate (PPM)]]&gt;0.1, "High", IF(AllData[[#This Row],[Phosphate (PPM)]]&gt;0.05, "Some evidence", IF(AllData[[#This Row],[Phosphate (PPM)]]&lt;=0.05, "No Evidence", ""))))</f>
        <v>Very high</v>
      </c>
      <c r="U1132">
        <v>0</v>
      </c>
    </row>
    <row r="1133" spans="1:22" x14ac:dyDescent="0.35">
      <c r="A1133" t="s">
        <v>1831</v>
      </c>
      <c r="B1133" s="143">
        <v>45514</v>
      </c>
      <c r="C1133" s="2" t="str" cm="1">
        <f t="array" ref="C11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3">
        <f>YEAR(AllData[[#This Row],[Date]])</f>
        <v>2024</v>
      </c>
      <c r="E1133" s="1">
        <v>0.3611111111111111</v>
      </c>
      <c r="F1133" t="str">
        <f>IF(AND(AllData[[#This Row],[Time]]&lt;0.5, AllData[[#This Row],[Time]]&gt;0.17)=TRUE, "Morning", IF(AND(AllData[[#This Row],[Time]]&lt;0.75, AllData[[#This Row],[Time]]&gt;=0.5)=TRUE, "Afternoon", IF(AND(AllData[[#This Row],[Time]]&lt;1, AllData[[#This Row],[Time]]&gt;=0.75)=TRUE, "Evening", "Night")))</f>
        <v>Morning</v>
      </c>
      <c r="G1133" t="str">
        <f>_xlfn.XLOOKUP(AllData[[#This Row],[Location Name]], Locations[Location Name],Locations[Group As])</f>
        <v>Stour Whichford</v>
      </c>
      <c r="H1133" t="e" vm="1">
        <f>_xlfn.XLOOKUP(AllData[[#This Row],[Site Name]],LocationsKey[Site Name],LocationsKey[District])</f>
        <v>#VALUE!</v>
      </c>
      <c r="I1133" t="e" vm="24">
        <f>_xlfn.XLOOKUP(AllData[[#This Row],[Site Name]],LocationsKey[Site Name],LocationsKey[Town])</f>
        <v>#VALUE!</v>
      </c>
      <c r="J1133" t="str">
        <f>_xlfn.XLOOKUP(AllData[[#This Row],[Site Name]],LocationsKey[Site Name], LocationsKey[Waterway])</f>
        <v>Stour</v>
      </c>
      <c r="K1133" t="s">
        <v>980</v>
      </c>
      <c r="N1133" t="s">
        <v>31</v>
      </c>
      <c r="O1133">
        <v>699</v>
      </c>
      <c r="P1133">
        <v>17.100000000000001</v>
      </c>
      <c r="Q1133">
        <v>2</v>
      </c>
      <c r="R1133" s="107" t="str">
        <f>IF(AllData[[#This Row],[Nitrate (PPM)]]&gt;2, "Very high", IF(AllData[[#This Row],[Nitrate (PPM)]]&gt;1, "High", IF(AllData[[#This Row],[Nitrate (PPM)]]&gt;0.5, "Some evidence", IF(AllData[[#This Row],[Nitrate (PPM)]]&gt;=0, "No evidence"))))</f>
        <v>High</v>
      </c>
      <c r="S1133">
        <v>1.1499999999999999</v>
      </c>
      <c r="T1133" s="7" t="str">
        <f>IF(AllData[[#This Row],[Phosphate (PPM)]]&gt;0.5, "Very high", IF(AllData[[#This Row],[Phosphate (PPM)]]&gt;0.1, "High", IF(AllData[[#This Row],[Phosphate (PPM)]]&gt;0.05, "Some evidence", IF(AllData[[#This Row],[Phosphate (PPM)]]&lt;=0.05, "No Evidence", ""))))</f>
        <v>Very high</v>
      </c>
      <c r="U1133">
        <v>5</v>
      </c>
    </row>
    <row r="1134" spans="1:22" x14ac:dyDescent="0.35">
      <c r="A1134" t="s">
        <v>1818</v>
      </c>
      <c r="B1134" s="143">
        <v>45514</v>
      </c>
      <c r="C1134" s="2" t="str" cm="1">
        <f t="array" ref="C11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4">
        <f>YEAR(AllData[[#This Row],[Date]])</f>
        <v>2024</v>
      </c>
      <c r="E1134" s="1">
        <v>0.44861111111111113</v>
      </c>
      <c r="F1134" t="str">
        <f>IF(AND(AllData[[#This Row],[Time]]&lt;0.5, AllData[[#This Row],[Time]]&gt;0.17)=TRUE, "Morning", IF(AND(AllData[[#This Row],[Time]]&lt;0.75, AllData[[#This Row],[Time]]&gt;=0.5)=TRUE, "Afternoon", IF(AND(AllData[[#This Row],[Time]]&lt;1, AllData[[#This Row],[Time]]&gt;=0.75)=TRUE, "Evening", "Night")))</f>
        <v>Morning</v>
      </c>
      <c r="G1134" t="str">
        <f>_xlfn.XLOOKUP(AllData[[#This Row],[Location Name]], Locations[Location Name],Locations[Group As])</f>
        <v>Site 1  :  Middle Street</v>
      </c>
      <c r="H1134" t="e" vm="1">
        <f>_xlfn.XLOOKUP(AllData[[#This Row],[Site Name]],LocationsKey[Site Name],LocationsKey[District])</f>
        <v>#VALUE!</v>
      </c>
      <c r="I1134" t="e" vm="14">
        <f>_xlfn.XLOOKUP(AllData[[#This Row],[Site Name]],LocationsKey[Site Name],LocationsKey[Town])</f>
        <v>#VALUE!</v>
      </c>
      <c r="J1134" t="str">
        <f>_xlfn.XLOOKUP(AllData[[#This Row],[Site Name]],LocationsKey[Site Name], LocationsKey[Waterway])</f>
        <v>Fosseway Brook</v>
      </c>
      <c r="K1134" t="s">
        <v>678</v>
      </c>
      <c r="L1134">
        <v>52.090074000000001</v>
      </c>
      <c r="M1134">
        <v>-1.6926559999999999</v>
      </c>
      <c r="N1134" t="s">
        <v>68</v>
      </c>
      <c r="O1134">
        <v>635</v>
      </c>
      <c r="P1134">
        <v>19.3</v>
      </c>
      <c r="Q1134">
        <v>2</v>
      </c>
      <c r="R1134" s="107" t="str">
        <f>IF(AllData[[#This Row],[Nitrate (PPM)]]&gt;2, "Very high", IF(AllData[[#This Row],[Nitrate (PPM)]]&gt;1, "High", IF(AllData[[#This Row],[Nitrate (PPM)]]&gt;0.5, "Some evidence", IF(AllData[[#This Row],[Nitrate (PPM)]]&gt;=0, "No evidence"))))</f>
        <v>High</v>
      </c>
      <c r="S1134" s="4">
        <v>0.66</v>
      </c>
      <c r="T1134" s="7" t="str">
        <f>IF(AllData[[#This Row],[Phosphate (PPM)]]&gt;0.5, "Very high", IF(AllData[[#This Row],[Phosphate (PPM)]]&gt;0.1, "High", IF(AllData[[#This Row],[Phosphate (PPM)]]&gt;0.05, "Some evidence", IF(AllData[[#This Row],[Phosphate (PPM)]]&lt;=0.05, "No Evidence", ""))))</f>
        <v>Very high</v>
      </c>
      <c r="U1134">
        <v>0.05</v>
      </c>
      <c r="V1134" t="s">
        <v>1819</v>
      </c>
    </row>
    <row r="1135" spans="1:22" x14ac:dyDescent="0.35">
      <c r="A1135" t="s">
        <v>1830</v>
      </c>
      <c r="B1135" s="143">
        <v>45514</v>
      </c>
      <c r="C1135" s="2" t="str" cm="1">
        <f t="array" ref="C11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5">
        <f>YEAR(AllData[[#This Row],[Date]])</f>
        <v>2024</v>
      </c>
      <c r="E1135" s="1">
        <v>0.37152777777777779</v>
      </c>
      <c r="F1135" t="str">
        <f>IF(AND(AllData[[#This Row],[Time]]&lt;0.5, AllData[[#This Row],[Time]]&gt;0.17)=TRUE, "Morning", IF(AND(AllData[[#This Row],[Time]]&lt;0.75, AllData[[#This Row],[Time]]&gt;=0.5)=TRUE, "Afternoon", IF(AND(AllData[[#This Row],[Time]]&lt;1, AllData[[#This Row],[Time]]&gt;=0.75)=TRUE, "Evening", "Night")))</f>
        <v>Morning</v>
      </c>
      <c r="G1135" t="str">
        <f>_xlfn.XLOOKUP(AllData[[#This Row],[Location Name]], Locations[Location Name],Locations[Group As])</f>
        <v>Stour Ascott Village</v>
      </c>
      <c r="H1135" t="e" vm="1">
        <f>_xlfn.XLOOKUP(AllData[[#This Row],[Site Name]],LocationsKey[Site Name],LocationsKey[District])</f>
        <v>#VALUE!</v>
      </c>
      <c r="I1135" t="e" vm="25">
        <f>_xlfn.XLOOKUP(AllData[[#This Row],[Site Name]],LocationsKey[Site Name],LocationsKey[Town])</f>
        <v>#VALUE!</v>
      </c>
      <c r="J1135" t="str">
        <f>_xlfn.XLOOKUP(AllData[[#This Row],[Site Name]],LocationsKey[Site Name], LocationsKey[Waterway])</f>
        <v>Stour</v>
      </c>
      <c r="K1135" t="s">
        <v>927</v>
      </c>
      <c r="N1135" t="s">
        <v>68</v>
      </c>
      <c r="O1135">
        <v>502</v>
      </c>
      <c r="P1135">
        <v>16.899999999999999</v>
      </c>
      <c r="Q1135">
        <v>0.5</v>
      </c>
      <c r="R1135" s="107" t="str">
        <f>IF(AllData[[#This Row],[Nitrate (PPM)]]&gt;2, "Very high", IF(AllData[[#This Row],[Nitrate (PPM)]]&gt;1, "High", IF(AllData[[#This Row],[Nitrate (PPM)]]&gt;0.5, "Some evidence", IF(AllData[[#This Row],[Nitrate (PPM)]]&gt;=0, "No evidence"))))</f>
        <v>No evidence</v>
      </c>
      <c r="S1135">
        <v>0.24</v>
      </c>
      <c r="T1135" s="7" t="str">
        <f>IF(AllData[[#This Row],[Phosphate (PPM)]]&gt;0.5, "Very high", IF(AllData[[#This Row],[Phosphate (PPM)]]&gt;0.1, "High", IF(AllData[[#This Row],[Phosphate (PPM)]]&gt;0.05, "Some evidence", IF(AllData[[#This Row],[Phosphate (PPM)]]&lt;=0.05, "No Evidence", ""))))</f>
        <v>High</v>
      </c>
      <c r="U1135">
        <v>2</v>
      </c>
    </row>
    <row r="1136" spans="1:22" x14ac:dyDescent="0.35">
      <c r="A1136" t="s">
        <v>1820</v>
      </c>
      <c r="B1136" s="143">
        <v>45514</v>
      </c>
      <c r="C1136" s="2" t="str" cm="1">
        <f t="array" ref="C11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6">
        <f>YEAR(AllData[[#This Row],[Date]])</f>
        <v>2024</v>
      </c>
      <c r="E1136" s="1">
        <v>0.45416666666666666</v>
      </c>
      <c r="F1136" t="str">
        <f>IF(AND(AllData[[#This Row],[Time]]&lt;0.5, AllData[[#This Row],[Time]]&gt;0.17)=TRUE, "Morning", IF(AND(AllData[[#This Row],[Time]]&lt;0.75, AllData[[#This Row],[Time]]&gt;=0.5)=TRUE, "Afternoon", IF(AND(AllData[[#This Row],[Time]]&lt;1, AllData[[#This Row],[Time]]&gt;=0.75)=TRUE, "Evening", "Night")))</f>
        <v>Morning</v>
      </c>
      <c r="G1136" t="str">
        <f>_xlfn.XLOOKUP(AllData[[#This Row],[Location Name]], Locations[Location Name],Locations[Group As])</f>
        <v>Site 2  :  Cross Leys culvert</v>
      </c>
      <c r="H1136" t="e" vm="1">
        <f>_xlfn.XLOOKUP(AllData[[#This Row],[Site Name]],LocationsKey[Site Name],LocationsKey[District])</f>
        <v>#VALUE!</v>
      </c>
      <c r="I1136" t="e" vm="14">
        <f>_xlfn.XLOOKUP(AllData[[#This Row],[Site Name]],LocationsKey[Site Name],LocationsKey[Town])</f>
        <v>#VALUE!</v>
      </c>
      <c r="J1136" t="str">
        <f>_xlfn.XLOOKUP(AllData[[#This Row],[Site Name]],LocationsKey[Site Name], LocationsKey[Waterway])</f>
        <v>Fosseway Brook</v>
      </c>
      <c r="K1136" t="s">
        <v>1821</v>
      </c>
      <c r="L1136">
        <v>52.092950000000002</v>
      </c>
      <c r="M1136">
        <v>-1.68625</v>
      </c>
      <c r="N1136" t="s">
        <v>68</v>
      </c>
      <c r="O1136">
        <v>1020</v>
      </c>
      <c r="P1136">
        <v>16.7</v>
      </c>
      <c r="Q1136">
        <v>0</v>
      </c>
      <c r="R1136" s="107" t="str">
        <f>IF(AllData[[#This Row],[Nitrate (PPM)]]&gt;2, "Very high", IF(AllData[[#This Row],[Nitrate (PPM)]]&gt;1, "High", IF(AllData[[#This Row],[Nitrate (PPM)]]&gt;0.5, "Some evidence", IF(AllData[[#This Row],[Nitrate (PPM)]]&gt;=0, "No evidence"))))</f>
        <v>No evidence</v>
      </c>
      <c r="S1136" s="4">
        <v>0.71</v>
      </c>
      <c r="T1136" s="7" t="str">
        <f>IF(AllData[[#This Row],[Phosphate (PPM)]]&gt;0.5, "Very high", IF(AllData[[#This Row],[Phosphate (PPM)]]&gt;0.1, "High", IF(AllData[[#This Row],[Phosphate (PPM)]]&gt;0.05, "Some evidence", IF(AllData[[#This Row],[Phosphate (PPM)]]&lt;=0.05, "No Evidence", ""))))</f>
        <v>Very high</v>
      </c>
      <c r="U1136">
        <v>0.15</v>
      </c>
    </row>
    <row r="1137" spans="1:22" x14ac:dyDescent="0.35">
      <c r="A1137" t="s">
        <v>1809</v>
      </c>
      <c r="B1137" s="143">
        <v>45512</v>
      </c>
      <c r="C1137" s="2" t="str" cm="1">
        <f t="array" ref="C11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7">
        <f>YEAR(AllData[[#This Row],[Date]])</f>
        <v>2024</v>
      </c>
      <c r="E1137" s="1">
        <v>0.4375</v>
      </c>
      <c r="F1137" t="str">
        <f>IF(AND(AllData[[#This Row],[Time]]&lt;0.5, AllData[[#This Row],[Time]]&gt;0.17)=TRUE, "Morning", IF(AND(AllData[[#This Row],[Time]]&lt;0.75, AllData[[#This Row],[Time]]&gt;=0.5)=TRUE, "Afternoon", IF(AND(AllData[[#This Row],[Time]]&lt;1, AllData[[#This Row],[Time]]&gt;=0.75)=TRUE, "Evening", "Night")))</f>
        <v>Morning</v>
      </c>
      <c r="G1137" t="str">
        <f>_xlfn.XLOOKUP(AllData[[#This Row],[Location Name]], Locations[Location Name],Locations[Group As])</f>
        <v>Swilgate</v>
      </c>
      <c r="H1137" t="e" vm="4">
        <f>_xlfn.XLOOKUP(AllData[[#This Row],[Site Name]],LocationsKey[Site Name],LocationsKey[District])</f>
        <v>#VALUE!</v>
      </c>
      <c r="I1137" t="e" vm="4">
        <f>_xlfn.XLOOKUP(AllData[[#This Row],[Site Name]],LocationsKey[Site Name],LocationsKey[Town])</f>
        <v>#VALUE!</v>
      </c>
      <c r="J1137" t="str">
        <f>_xlfn.XLOOKUP(AllData[[#This Row],[Site Name]],LocationsKey[Site Name], LocationsKey[Waterway])</f>
        <v>Swilgate</v>
      </c>
      <c r="K1137" t="s">
        <v>85</v>
      </c>
      <c r="N1137" t="s">
        <v>25</v>
      </c>
      <c r="O1137">
        <v>1116</v>
      </c>
      <c r="P1137">
        <v>17.7</v>
      </c>
      <c r="Q1137">
        <v>5</v>
      </c>
      <c r="R1137" s="107" t="str">
        <f>IF(AllData[[#This Row],[Nitrate (PPM)]]&gt;2, "Very high", IF(AllData[[#This Row],[Nitrate (PPM)]]&gt;1, "High", IF(AllData[[#This Row],[Nitrate (PPM)]]&gt;0.5, "Some evidence", IF(AllData[[#This Row],[Nitrate (PPM)]]&gt;=0, "No evidence"))))</f>
        <v>Very high</v>
      </c>
      <c r="S1137" s="4">
        <v>1.05</v>
      </c>
      <c r="T1137" s="7" t="str">
        <f>IF(AllData[[#This Row],[Phosphate (PPM)]]&gt;0.5, "Very high", IF(AllData[[#This Row],[Phosphate (PPM)]]&gt;0.1, "High", IF(AllData[[#This Row],[Phosphate (PPM)]]&gt;0.05, "Some evidence", IF(AllData[[#This Row],[Phosphate (PPM)]]&lt;=0.05, "No Evidence", ""))))</f>
        <v>Very high</v>
      </c>
      <c r="U1137">
        <v>0</v>
      </c>
    </row>
    <row r="1138" spans="1:22" x14ac:dyDescent="0.35">
      <c r="A1138" t="s">
        <v>1812</v>
      </c>
      <c r="B1138" s="143">
        <v>45512</v>
      </c>
      <c r="C1138" s="2" t="str" cm="1">
        <f t="array" ref="C11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8">
        <f>YEAR(AllData[[#This Row],[Date]])</f>
        <v>2024</v>
      </c>
      <c r="E1138" s="1">
        <v>0.47986111111111113</v>
      </c>
      <c r="F1138" t="str">
        <f>IF(AND(AllData[[#This Row],[Time]]&lt;0.5, AllData[[#This Row],[Time]]&gt;0.17)=TRUE, "Morning", IF(AND(AllData[[#This Row],[Time]]&lt;0.75, AllData[[#This Row],[Time]]&gt;=0.5)=TRUE, "Afternoon", IF(AND(AllData[[#This Row],[Time]]&lt;1, AllData[[#This Row],[Time]]&gt;=0.75)=TRUE, "Evening", "Night")))</f>
        <v>Morning</v>
      </c>
      <c r="G1138" t="str">
        <f>_xlfn.XLOOKUP(AllData[[#This Row],[Location Name]], Locations[Location Name],Locations[Group As])</f>
        <v>Swiffen Bank</v>
      </c>
      <c r="H1138" t="e" vm="1">
        <f>_xlfn.XLOOKUP(AllData[[#This Row],[Site Name]],LocationsKey[Site Name],LocationsKey[District])</f>
        <v>#VALUE!</v>
      </c>
      <c r="I1138" t="e" vm="2">
        <f>_xlfn.XLOOKUP(AllData[[#This Row],[Site Name]],LocationsKey[Site Name],LocationsKey[Town])</f>
        <v>#VALUE!</v>
      </c>
      <c r="J1138" t="str">
        <f>_xlfn.XLOOKUP(AllData[[#This Row],[Site Name]],LocationsKey[Site Name], LocationsKey[Waterway])</f>
        <v>Avon</v>
      </c>
      <c r="K1138" t="s">
        <v>286</v>
      </c>
      <c r="L1138">
        <v>52.206477999999997</v>
      </c>
      <c r="M1138">
        <v>-1.653894</v>
      </c>
      <c r="N1138" t="s">
        <v>31</v>
      </c>
      <c r="O1138">
        <v>729</v>
      </c>
      <c r="P1138">
        <v>19.3</v>
      </c>
      <c r="Q1138">
        <v>5</v>
      </c>
      <c r="R1138" s="107" t="str">
        <f>IF(AllData[[#This Row],[Nitrate (PPM)]]&gt;2, "Very high", IF(AllData[[#This Row],[Nitrate (PPM)]]&gt;1, "High", IF(AllData[[#This Row],[Nitrate (PPM)]]&gt;0.5, "Some evidence", IF(AllData[[#This Row],[Nitrate (PPM)]]&gt;=0, "No evidence"))))</f>
        <v>Very high</v>
      </c>
      <c r="S1138" s="4">
        <v>0</v>
      </c>
      <c r="T1138" s="7" t="str">
        <f>IF(AllData[[#This Row],[Phosphate (PPM)]]&gt;0.5, "Very high", IF(AllData[[#This Row],[Phosphate (PPM)]]&gt;0.1, "High", IF(AllData[[#This Row],[Phosphate (PPM)]]&gt;0.05, "Some evidence", IF(AllData[[#This Row],[Phosphate (PPM)]]&lt;=0.05, "No Evidence", ""))))</f>
        <v>No Evidence</v>
      </c>
      <c r="U1138">
        <v>0</v>
      </c>
      <c r="V1138" t="s">
        <v>1764</v>
      </c>
    </row>
    <row r="1139" spans="1:22" x14ac:dyDescent="0.35">
      <c r="A1139" t="s">
        <v>1813</v>
      </c>
      <c r="B1139" s="143">
        <v>45512</v>
      </c>
      <c r="C1139" s="2" t="str" cm="1">
        <f t="array" ref="C11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39">
        <f>YEAR(AllData[[#This Row],[Date]])</f>
        <v>2024</v>
      </c>
      <c r="E1139" s="1">
        <v>0.5</v>
      </c>
      <c r="F1139" t="str">
        <f>IF(AND(AllData[[#This Row],[Time]]&lt;0.5, AllData[[#This Row],[Time]]&gt;0.17)=TRUE, "Morning", IF(AND(AllData[[#This Row],[Time]]&lt;0.75, AllData[[#This Row],[Time]]&gt;=0.5)=TRUE, "Afternoon", IF(AND(AllData[[#This Row],[Time]]&lt;1, AllData[[#This Row],[Time]]&gt;=0.75)=TRUE, "Evening", "Night")))</f>
        <v>Afternoon</v>
      </c>
      <c r="G1139" t="str">
        <f>_xlfn.XLOOKUP(AllData[[#This Row],[Location Name]], Locations[Location Name],Locations[Group As])</f>
        <v>Stour Willington</v>
      </c>
      <c r="H1139" t="e" vm="1">
        <f>_xlfn.XLOOKUP(AllData[[#This Row],[Site Name]],LocationsKey[Site Name],LocationsKey[District])</f>
        <v>#VALUE!</v>
      </c>
      <c r="I1139" t="str">
        <f>_xlfn.XLOOKUP(AllData[[#This Row],[Site Name]],LocationsKey[Site Name],LocationsKey[Town])</f>
        <v>Willington</v>
      </c>
      <c r="J1139" t="str">
        <f>_xlfn.XLOOKUP(AllData[[#This Row],[Site Name]],LocationsKey[Site Name], LocationsKey[Waterway])</f>
        <v>Stour</v>
      </c>
      <c r="K1139" t="s">
        <v>521</v>
      </c>
      <c r="L1139">
        <v>52.053547999999999</v>
      </c>
      <c r="M1139">
        <v>-1.6201369999999999</v>
      </c>
      <c r="N1139" t="s">
        <v>25</v>
      </c>
      <c r="O1139">
        <v>640</v>
      </c>
      <c r="P1139">
        <v>17.100000000000001</v>
      </c>
      <c r="Q1139">
        <v>2</v>
      </c>
      <c r="R1139" s="107" t="str">
        <f>IF(AllData[[#This Row],[Nitrate (PPM)]]&gt;2, "Very high", IF(AllData[[#This Row],[Nitrate (PPM)]]&gt;1, "High", IF(AllData[[#This Row],[Nitrate (PPM)]]&gt;0.5, "Some evidence", IF(AllData[[#This Row],[Nitrate (PPM)]]&gt;=0, "No evidence"))))</f>
        <v>High</v>
      </c>
      <c r="S1139" s="4">
        <v>0.45</v>
      </c>
      <c r="T1139" s="7" t="str">
        <f>IF(AllData[[#This Row],[Phosphate (PPM)]]&gt;0.5, "Very high", IF(AllData[[#This Row],[Phosphate (PPM)]]&gt;0.1, "High", IF(AllData[[#This Row],[Phosphate (PPM)]]&gt;0.05, "Some evidence", IF(AllData[[#This Row],[Phosphate (PPM)]]&lt;=0.05, "No Evidence", ""))))</f>
        <v>High</v>
      </c>
      <c r="U1139">
        <v>0.5</v>
      </c>
    </row>
    <row r="1140" spans="1:22" x14ac:dyDescent="0.35">
      <c r="A1140" t="s">
        <v>1810</v>
      </c>
      <c r="B1140" s="143">
        <v>45512</v>
      </c>
      <c r="C1140" s="2" t="str" cm="1">
        <f t="array" ref="C11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0">
        <f>YEAR(AllData[[#This Row],[Date]])</f>
        <v>2024</v>
      </c>
      <c r="E1140" s="1">
        <v>0.47222222222222221</v>
      </c>
      <c r="F1140" t="str">
        <f>IF(AND(AllData[[#This Row],[Time]]&lt;0.5, AllData[[#This Row],[Time]]&gt;0.17)=TRUE, "Morning", IF(AND(AllData[[#This Row],[Time]]&lt;0.75, AllData[[#This Row],[Time]]&gt;=0.5)=TRUE, "Afternoon", IF(AND(AllData[[#This Row],[Time]]&lt;1, AllData[[#This Row],[Time]]&gt;=0.75)=TRUE, "Evening", "Night")))</f>
        <v>Morning</v>
      </c>
      <c r="G1140" t="str">
        <f>_xlfn.XLOOKUP(AllData[[#This Row],[Location Name]], Locations[Location Name],Locations[Group As])</f>
        <v>Alveston Weir</v>
      </c>
      <c r="H1140" t="e" vm="1">
        <f>_xlfn.XLOOKUP(AllData[[#This Row],[Site Name]],LocationsKey[Site Name],LocationsKey[District])</f>
        <v>#VALUE!</v>
      </c>
      <c r="I1140" t="e" vm="2">
        <f>_xlfn.XLOOKUP(AllData[[#This Row],[Site Name]],LocationsKey[Site Name],LocationsKey[Town])</f>
        <v>#VALUE!</v>
      </c>
      <c r="J1140" t="str">
        <f>_xlfn.XLOOKUP(AllData[[#This Row],[Site Name]],LocationsKey[Site Name], LocationsKey[Waterway])</f>
        <v>Avon</v>
      </c>
      <c r="K1140" t="s">
        <v>288</v>
      </c>
      <c r="L1140">
        <v>52.212288999999998</v>
      </c>
      <c r="M1140">
        <v>-1.660452</v>
      </c>
      <c r="N1140" t="s">
        <v>31</v>
      </c>
      <c r="O1140">
        <v>745</v>
      </c>
      <c r="P1140">
        <v>19</v>
      </c>
      <c r="Q1140">
        <v>0.15</v>
      </c>
      <c r="R1140" s="107" t="str">
        <f>IF(AllData[[#This Row],[Nitrate (PPM)]]&gt;2, "Very high", IF(AllData[[#This Row],[Nitrate (PPM)]]&gt;1, "High", IF(AllData[[#This Row],[Nitrate (PPM)]]&gt;0.5, "Some evidence", IF(AllData[[#This Row],[Nitrate (PPM)]]&gt;=0, "No evidence"))))</f>
        <v>No evidence</v>
      </c>
      <c r="S1140" s="4">
        <v>0.51</v>
      </c>
      <c r="T1140" s="7" t="str">
        <f>IF(AllData[[#This Row],[Phosphate (PPM)]]&gt;0.5, "Very high", IF(AllData[[#This Row],[Phosphate (PPM)]]&gt;0.1, "High", IF(AllData[[#This Row],[Phosphate (PPM)]]&gt;0.05, "Some evidence", IF(AllData[[#This Row],[Phosphate (PPM)]]&lt;=0.05, "No Evidence", ""))))</f>
        <v>Very high</v>
      </c>
      <c r="U1140">
        <v>0</v>
      </c>
      <c r="V1140" t="s">
        <v>1811</v>
      </c>
    </row>
    <row r="1141" spans="1:22" x14ac:dyDescent="0.35">
      <c r="A1141" t="s">
        <v>1808</v>
      </c>
      <c r="B1141" s="143">
        <v>45511</v>
      </c>
      <c r="C1141" s="2" t="str" cm="1">
        <f t="array" ref="C11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1">
        <f>YEAR(AllData[[#This Row],[Date]])</f>
        <v>2024</v>
      </c>
      <c r="E1141" s="1">
        <v>0.75</v>
      </c>
      <c r="F1141" t="str">
        <f>IF(AND(AllData[[#This Row],[Time]]&lt;0.5, AllData[[#This Row],[Time]]&gt;0.17)=TRUE, "Morning", IF(AND(AllData[[#This Row],[Time]]&lt;0.75, AllData[[#This Row],[Time]]&gt;=0.5)=TRUE, "Afternoon", IF(AND(AllData[[#This Row],[Time]]&lt;1, AllData[[#This Row],[Time]]&gt;=0.75)=TRUE, "Evening", "Night")))</f>
        <v>Evening</v>
      </c>
      <c r="G1141" t="str">
        <f>_xlfn.XLOOKUP(AllData[[#This Row],[Location Name]], Locations[Location Name],Locations[Group As])</f>
        <v>Stour Newbold Mill</v>
      </c>
      <c r="H1141" t="e" vm="1">
        <f>_xlfn.XLOOKUP(AllData[[#This Row],[Site Name]],LocationsKey[Site Name],LocationsKey[District])</f>
        <v>#VALUE!</v>
      </c>
      <c r="I1141" t="e" vm="27">
        <f>_xlfn.XLOOKUP(AllData[[#This Row],[Site Name]],LocationsKey[Site Name],LocationsKey[Town])</f>
        <v>#VALUE!</v>
      </c>
      <c r="J1141" t="str">
        <f>_xlfn.XLOOKUP(AllData[[#This Row],[Site Name]],LocationsKey[Site Name], LocationsKey[Waterway])</f>
        <v>Stour</v>
      </c>
      <c r="K1141" t="s">
        <v>141</v>
      </c>
      <c r="N1141" t="s">
        <v>31</v>
      </c>
      <c r="O1141">
        <v>694</v>
      </c>
      <c r="P1141">
        <v>17.399999999999999</v>
      </c>
      <c r="Q1141">
        <v>2</v>
      </c>
      <c r="R1141" s="107" t="str">
        <f>IF(AllData[[#This Row],[Nitrate (PPM)]]&gt;2, "Very high", IF(AllData[[#This Row],[Nitrate (PPM)]]&gt;1, "High", IF(AllData[[#This Row],[Nitrate (PPM)]]&gt;0.5, "Some evidence", IF(AllData[[#This Row],[Nitrate (PPM)]]&gt;=0, "No evidence"))))</f>
        <v>High</v>
      </c>
      <c r="S1141" s="4">
        <v>0.63</v>
      </c>
      <c r="T1141" s="7" t="str">
        <f>IF(AllData[[#This Row],[Phosphate (PPM)]]&gt;0.5, "Very high", IF(AllData[[#This Row],[Phosphate (PPM)]]&gt;0.1, "High", IF(AllData[[#This Row],[Phosphate (PPM)]]&gt;0.05, "Some evidence", IF(AllData[[#This Row],[Phosphate (PPM)]]&lt;=0.05, "No Evidence", ""))))</f>
        <v>Very high</v>
      </c>
      <c r="U1141">
        <v>2</v>
      </c>
      <c r="V1141" t="s">
        <v>1248</v>
      </c>
    </row>
    <row r="1142" spans="1:22" x14ac:dyDescent="0.35">
      <c r="A1142" t="s">
        <v>1803</v>
      </c>
      <c r="B1142" s="143">
        <v>45510</v>
      </c>
      <c r="C1142" s="2" t="str" cm="1">
        <f t="array" ref="C11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2">
        <f>YEAR(AllData[[#This Row],[Date]])</f>
        <v>2024</v>
      </c>
      <c r="E1142" s="1">
        <v>0.64652777777777781</v>
      </c>
      <c r="F1142" t="str">
        <f>IF(AND(AllData[[#This Row],[Time]]&lt;0.5, AllData[[#This Row],[Time]]&gt;0.17)=TRUE, "Morning", IF(AND(AllData[[#This Row],[Time]]&lt;0.75, AllData[[#This Row],[Time]]&gt;=0.5)=TRUE, "Afternoon", IF(AND(AllData[[#This Row],[Time]]&lt;1, AllData[[#This Row],[Time]]&gt;=0.75)=TRUE, "Evening", "Night")))</f>
        <v>Afternoon</v>
      </c>
      <c r="G1142" t="str">
        <f>_xlfn.XLOOKUP(AllData[[#This Row],[Location Name]], Locations[Location Name],Locations[Group As])</f>
        <v>Carrant Mitton Bridge</v>
      </c>
      <c r="H1142" t="e" vm="4">
        <f>_xlfn.XLOOKUP(AllData[[#This Row],[Site Name]],LocationsKey[Site Name],LocationsKey[District])</f>
        <v>#VALUE!</v>
      </c>
      <c r="I1142" t="e" vm="4">
        <f>_xlfn.XLOOKUP(AllData[[#This Row],[Site Name]],LocationsKey[Site Name],LocationsKey[Town])</f>
        <v>#VALUE!</v>
      </c>
      <c r="J1142" t="str">
        <f>_xlfn.XLOOKUP(AllData[[#This Row],[Site Name]],LocationsKey[Site Name], LocationsKey[Waterway])</f>
        <v>Carrant</v>
      </c>
      <c r="K1142" t="s">
        <v>1394</v>
      </c>
      <c r="L1142">
        <v>52.000326000000001</v>
      </c>
      <c r="M1142">
        <v>-2.1417839999999999</v>
      </c>
      <c r="N1142" t="s">
        <v>25</v>
      </c>
      <c r="O1142">
        <v>657</v>
      </c>
      <c r="P1142">
        <v>20.399999999999999</v>
      </c>
      <c r="Q1142">
        <v>8</v>
      </c>
      <c r="R1142" s="107" t="str">
        <f>IF(AllData[[#This Row],[Nitrate (PPM)]]&gt;2, "Very high", IF(AllData[[#This Row],[Nitrate (PPM)]]&gt;1, "High", IF(AllData[[#This Row],[Nitrate (PPM)]]&gt;0.5, "Some evidence", IF(AllData[[#This Row],[Nitrate (PPM)]]&gt;=0, "No evidence"))))</f>
        <v>Very high</v>
      </c>
      <c r="S1142" s="4">
        <v>0.5</v>
      </c>
      <c r="T1142" s="7" t="str">
        <f>IF(AllData[[#This Row],[Phosphate (PPM)]]&gt;0.5, "Very high", IF(AllData[[#This Row],[Phosphate (PPM)]]&gt;0.1, "High", IF(AllData[[#This Row],[Phosphate (PPM)]]&gt;0.05, "Some evidence", IF(AllData[[#This Row],[Phosphate (PPM)]]&lt;=0.05, "No Evidence", ""))))</f>
        <v>High</v>
      </c>
      <c r="U1142">
        <v>0</v>
      </c>
    </row>
    <row r="1143" spans="1:22" x14ac:dyDescent="0.35">
      <c r="A1143" t="s">
        <v>1806</v>
      </c>
      <c r="B1143" s="143">
        <v>45510</v>
      </c>
      <c r="C1143" s="2" t="str" cm="1">
        <f t="array" ref="C11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3">
        <f>YEAR(AllData[[#This Row],[Date]])</f>
        <v>2024</v>
      </c>
      <c r="E1143" s="1">
        <v>0.55277777777777781</v>
      </c>
      <c r="F1143" t="str">
        <f>IF(AND(AllData[[#This Row],[Time]]&lt;0.5, AllData[[#This Row],[Time]]&gt;0.17)=TRUE, "Morning", IF(AND(AllData[[#This Row],[Time]]&lt;0.75, AllData[[#This Row],[Time]]&gt;=0.5)=TRUE, "Afternoon", IF(AND(AllData[[#This Row],[Time]]&lt;1, AllData[[#This Row],[Time]]&gt;=0.75)=TRUE, "Evening", "Night")))</f>
        <v>Afternoon</v>
      </c>
      <c r="G1143" t="str">
        <f>_xlfn.XLOOKUP(AllData[[#This Row],[Location Name]], Locations[Location Name],Locations[Group As])</f>
        <v>Walcot Lane, Bow Brook Ford</v>
      </c>
      <c r="H1143" t="e" vm="6">
        <f>_xlfn.XLOOKUP(AllData[[#This Row],[Site Name]],LocationsKey[Site Name],LocationsKey[District])</f>
        <v>#VALUE!</v>
      </c>
      <c r="I1143" t="e" vm="7">
        <f>_xlfn.XLOOKUP(AllData[[#This Row],[Site Name]],LocationsKey[Site Name],LocationsKey[Town])</f>
        <v>#VALUE!</v>
      </c>
      <c r="J1143" t="str">
        <f>_xlfn.XLOOKUP(AllData[[#This Row],[Site Name]],LocationsKey[Site Name], LocationsKey[Waterway])</f>
        <v>Bow Brook</v>
      </c>
      <c r="K1143" t="s">
        <v>775</v>
      </c>
      <c r="L1143">
        <v>52.128298000000001</v>
      </c>
      <c r="M1143">
        <v>-2.077153</v>
      </c>
      <c r="N1143" t="s">
        <v>25</v>
      </c>
      <c r="O1143">
        <v>1290</v>
      </c>
      <c r="P1143">
        <v>19.3</v>
      </c>
      <c r="Q1143">
        <v>5</v>
      </c>
      <c r="R1143" s="107" t="str">
        <f>IF(AllData[[#This Row],[Nitrate (PPM)]]&gt;2, "Very high", IF(AllData[[#This Row],[Nitrate (PPM)]]&gt;1, "High", IF(AllData[[#This Row],[Nitrate (PPM)]]&gt;0.5, "Some evidence", IF(AllData[[#This Row],[Nitrate (PPM)]]&gt;=0, "No evidence"))))</f>
        <v>Very high</v>
      </c>
      <c r="S1143">
        <v>1.73</v>
      </c>
      <c r="T1143" s="7" t="str">
        <f>IF(AllData[[#This Row],[Phosphate (PPM)]]&gt;0.5, "Very high", IF(AllData[[#This Row],[Phosphate (PPM)]]&gt;0.1, "High", IF(AllData[[#This Row],[Phosphate (PPM)]]&gt;0.05, "Some evidence", IF(AllData[[#This Row],[Phosphate (PPM)]]&lt;=0.05, "No Evidence", ""))))</f>
        <v>Very high</v>
      </c>
      <c r="U1143">
        <v>0.2</v>
      </c>
      <c r="V1143" t="s">
        <v>1807</v>
      </c>
    </row>
    <row r="1144" spans="1:22" x14ac:dyDescent="0.35">
      <c r="A1144" t="s">
        <v>1805</v>
      </c>
      <c r="B1144" s="143">
        <v>45510</v>
      </c>
      <c r="C1144" s="2" t="str" cm="1">
        <f t="array" ref="C11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4">
        <f>YEAR(AllData[[#This Row],[Date]])</f>
        <v>2024</v>
      </c>
      <c r="E1144" s="1">
        <v>0.5625</v>
      </c>
      <c r="F1144" t="str">
        <f>IF(AND(AllData[[#This Row],[Time]]&lt;0.5, AllData[[#This Row],[Time]]&gt;0.17)=TRUE, "Morning", IF(AND(AllData[[#This Row],[Time]]&lt;0.75, AllData[[#This Row],[Time]]&gt;=0.5)=TRUE, "Afternoon", IF(AND(AllData[[#This Row],[Time]]&lt;1, AllData[[#This Row],[Time]]&gt;=0.75)=TRUE, "Evening", "Night")))</f>
        <v>Afternoon</v>
      </c>
      <c r="G1144" t="str">
        <f>_xlfn.XLOOKUP(AllData[[#This Row],[Location Name]], Locations[Location Name],Locations[Group As])</f>
        <v>Stour Whichford</v>
      </c>
      <c r="H1144" t="e" vm="1">
        <f>_xlfn.XLOOKUP(AllData[[#This Row],[Site Name]],LocationsKey[Site Name],LocationsKey[District])</f>
        <v>#VALUE!</v>
      </c>
      <c r="I1144" t="e" vm="24">
        <f>_xlfn.XLOOKUP(AllData[[#This Row],[Site Name]],LocationsKey[Site Name],LocationsKey[Town])</f>
        <v>#VALUE!</v>
      </c>
      <c r="J1144" t="str">
        <f>_xlfn.XLOOKUP(AllData[[#This Row],[Site Name]],LocationsKey[Site Name], LocationsKey[Waterway])</f>
        <v>Stour</v>
      </c>
      <c r="K1144" t="s">
        <v>980</v>
      </c>
      <c r="N1144" t="s">
        <v>31</v>
      </c>
      <c r="O1144">
        <v>133</v>
      </c>
      <c r="P1144">
        <v>17.5</v>
      </c>
      <c r="Q1144">
        <v>3</v>
      </c>
      <c r="R1144" s="107" t="str">
        <f>IF(AllData[[#This Row],[Nitrate (PPM)]]&gt;2, "Very high", IF(AllData[[#This Row],[Nitrate (PPM)]]&gt;1, "High", IF(AllData[[#This Row],[Nitrate (PPM)]]&gt;0.5, "Some evidence", IF(AllData[[#This Row],[Nitrate (PPM)]]&gt;=0, "No evidence"))))</f>
        <v>Very high</v>
      </c>
      <c r="S1144">
        <v>1.72</v>
      </c>
      <c r="T1144" s="7" t="str">
        <f>IF(AllData[[#This Row],[Phosphate (PPM)]]&gt;0.5, "Very high", IF(AllData[[#This Row],[Phosphate (PPM)]]&gt;0.1, "High", IF(AllData[[#This Row],[Phosphate (PPM)]]&gt;0.05, "Some evidence", IF(AllData[[#This Row],[Phosphate (PPM)]]&lt;=0.05, "No Evidence", ""))))</f>
        <v>Very high</v>
      </c>
      <c r="U1144">
        <v>4</v>
      </c>
    </row>
    <row r="1145" spans="1:22" x14ac:dyDescent="0.35">
      <c r="A1145" t="s">
        <v>1804</v>
      </c>
      <c r="B1145" s="143">
        <v>45510</v>
      </c>
      <c r="C1145" s="2" t="str" cm="1">
        <f t="array" ref="C11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5">
        <f>YEAR(AllData[[#This Row],[Date]])</f>
        <v>2024</v>
      </c>
      <c r="E1145" s="1">
        <v>0.57638888888888884</v>
      </c>
      <c r="F1145" t="str">
        <f>IF(AND(AllData[[#This Row],[Time]]&lt;0.5, AllData[[#This Row],[Time]]&gt;0.17)=TRUE, "Morning", IF(AND(AllData[[#This Row],[Time]]&lt;0.75, AllData[[#This Row],[Time]]&gt;=0.5)=TRUE, "Afternoon", IF(AND(AllData[[#This Row],[Time]]&lt;1, AllData[[#This Row],[Time]]&gt;=0.75)=TRUE, "Evening", "Night")))</f>
        <v>Afternoon</v>
      </c>
      <c r="G1145" t="str">
        <f>_xlfn.XLOOKUP(AllData[[#This Row],[Location Name]], Locations[Location Name],Locations[Group As])</f>
        <v>Stour Ascott Village</v>
      </c>
      <c r="H1145" t="e" vm="1">
        <f>_xlfn.XLOOKUP(AllData[[#This Row],[Site Name]],LocationsKey[Site Name],LocationsKey[District])</f>
        <v>#VALUE!</v>
      </c>
      <c r="I1145" t="e" vm="25">
        <f>_xlfn.XLOOKUP(AllData[[#This Row],[Site Name]],LocationsKey[Site Name],LocationsKey[Town])</f>
        <v>#VALUE!</v>
      </c>
      <c r="J1145" t="str">
        <f>_xlfn.XLOOKUP(AllData[[#This Row],[Site Name]],LocationsKey[Site Name], LocationsKey[Waterway])</f>
        <v>Stour</v>
      </c>
      <c r="K1145" t="s">
        <v>927</v>
      </c>
      <c r="N1145" t="s">
        <v>68</v>
      </c>
      <c r="O1145">
        <v>502</v>
      </c>
      <c r="P1145">
        <v>20.03</v>
      </c>
      <c r="Q1145">
        <v>0.5</v>
      </c>
      <c r="R1145" s="107" t="str">
        <f>IF(AllData[[#This Row],[Nitrate (PPM)]]&gt;2, "Very high", IF(AllData[[#This Row],[Nitrate (PPM)]]&gt;1, "High", IF(AllData[[#This Row],[Nitrate (PPM)]]&gt;0.5, "Some evidence", IF(AllData[[#This Row],[Nitrate (PPM)]]&gt;=0, "No evidence"))))</f>
        <v>No evidence</v>
      </c>
      <c r="S1145">
        <v>0.3</v>
      </c>
      <c r="T1145" s="7" t="str">
        <f>IF(AllData[[#This Row],[Phosphate (PPM)]]&gt;0.5, "Very high", IF(AllData[[#This Row],[Phosphate (PPM)]]&gt;0.1, "High", IF(AllData[[#This Row],[Phosphate (PPM)]]&gt;0.05, "Some evidence", IF(AllData[[#This Row],[Phosphate (PPM)]]&lt;=0.05, "No Evidence", ""))))</f>
        <v>High</v>
      </c>
      <c r="U1145">
        <v>2.5</v>
      </c>
    </row>
    <row r="1146" spans="1:22" x14ac:dyDescent="0.35">
      <c r="A1146" t="s">
        <v>1798</v>
      </c>
      <c r="B1146" s="143">
        <v>45509</v>
      </c>
      <c r="C1146" s="2" t="str" cm="1">
        <f t="array" ref="C11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6">
        <f>YEAR(AllData[[#This Row],[Date]])</f>
        <v>2024</v>
      </c>
      <c r="E1146" s="1">
        <v>0.70138888888888884</v>
      </c>
      <c r="F1146" t="str">
        <f>IF(AND(AllData[[#This Row],[Time]]&lt;0.5, AllData[[#This Row],[Time]]&gt;0.17)=TRUE, "Morning", IF(AND(AllData[[#This Row],[Time]]&lt;0.75, AllData[[#This Row],[Time]]&gt;=0.5)=TRUE, "Afternoon", IF(AND(AllData[[#This Row],[Time]]&lt;1, AllData[[#This Row],[Time]]&gt;=0.75)=TRUE, "Evening", "Night")))</f>
        <v>Afternoon</v>
      </c>
      <c r="G1146" t="str">
        <f>_xlfn.XLOOKUP(AllData[[#This Row],[Location Name]], Locations[Location Name],Locations[Group As])</f>
        <v>Carrant Back Lane Beckford</v>
      </c>
      <c r="H1146" t="e" vm="4">
        <f>_xlfn.XLOOKUP(AllData[[#This Row],[Site Name]],LocationsKey[Site Name],LocationsKey[District])</f>
        <v>#VALUE!</v>
      </c>
      <c r="I1146" t="str">
        <f>_xlfn.XLOOKUP(AllData[[#This Row],[Site Name]],LocationsKey[Site Name],LocationsKey[Town])</f>
        <v>Beckford</v>
      </c>
      <c r="J1146" t="str">
        <f>_xlfn.XLOOKUP(AllData[[#This Row],[Site Name]],LocationsKey[Site Name], LocationsKey[Waterway])</f>
        <v>Carrant</v>
      </c>
      <c r="K1146" t="s">
        <v>1736</v>
      </c>
      <c r="L1146">
        <v>52.018538999999997</v>
      </c>
      <c r="M1146">
        <v>-2.0388130000000002</v>
      </c>
      <c r="N1146" t="s">
        <v>68</v>
      </c>
      <c r="O1146">
        <v>769</v>
      </c>
      <c r="P1146">
        <v>18.7</v>
      </c>
      <c r="Q1146">
        <v>11</v>
      </c>
      <c r="R1146" s="107" t="str">
        <f>IF(AllData[[#This Row],[Nitrate (PPM)]]&gt;2, "Very high", IF(AllData[[#This Row],[Nitrate (PPM)]]&gt;1, "High", IF(AllData[[#This Row],[Nitrate (PPM)]]&gt;0.5, "Some evidence", IF(AllData[[#This Row],[Nitrate (PPM)]]&gt;=0, "No evidence"))))</f>
        <v>Very high</v>
      </c>
      <c r="S1146" s="4">
        <v>0.73</v>
      </c>
      <c r="T1146" s="7" t="str">
        <f>IF(AllData[[#This Row],[Phosphate (PPM)]]&gt;0.5, "Very high", IF(AllData[[#This Row],[Phosphate (PPM)]]&gt;0.1, "High", IF(AllData[[#This Row],[Phosphate (PPM)]]&gt;0.05, "Some evidence", IF(AllData[[#This Row],[Phosphate (PPM)]]&lt;=0.05, "No Evidence", ""))))</f>
        <v>Very high</v>
      </c>
      <c r="U1146">
        <v>0.2</v>
      </c>
      <c r="V1146" t="s">
        <v>1799</v>
      </c>
    </row>
    <row r="1147" spans="1:22" x14ac:dyDescent="0.35">
      <c r="A1147" t="s">
        <v>1800</v>
      </c>
      <c r="B1147" s="143">
        <v>45509</v>
      </c>
      <c r="C1147" s="2" t="str" cm="1">
        <f t="array" ref="C11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7">
        <f>YEAR(AllData[[#This Row],[Date]])</f>
        <v>2024</v>
      </c>
      <c r="E1147" s="1">
        <v>0.71388888888888891</v>
      </c>
      <c r="F1147" t="str">
        <f>IF(AND(AllData[[#This Row],[Time]]&lt;0.5, AllData[[#This Row],[Time]]&gt;0.17)=TRUE, "Morning", IF(AND(AllData[[#This Row],[Time]]&lt;0.75, AllData[[#This Row],[Time]]&gt;=0.5)=TRUE, "Afternoon", IF(AND(AllData[[#This Row],[Time]]&lt;1, AllData[[#This Row],[Time]]&gt;=0.75)=TRUE, "Evening", "Night")))</f>
        <v>Afternoon</v>
      </c>
      <c r="G1147" t="str">
        <f>_xlfn.XLOOKUP(AllData[[#This Row],[Location Name]], Locations[Location Name],Locations[Group As])</f>
        <v>Bredon Marina</v>
      </c>
      <c r="H1147" t="e" vm="4">
        <f>_xlfn.XLOOKUP(AllData[[#This Row],[Site Name]],LocationsKey[Site Name],LocationsKey[District])</f>
        <v>#VALUE!</v>
      </c>
      <c r="I1147" t="e" vm="11">
        <f>_xlfn.XLOOKUP(AllData[[#This Row],[Site Name]],LocationsKey[Site Name],LocationsKey[Town])</f>
        <v>#VALUE!</v>
      </c>
      <c r="J1147" t="str">
        <f>_xlfn.XLOOKUP(AllData[[#This Row],[Site Name]],LocationsKey[Site Name], LocationsKey[Waterway])</f>
        <v>Avon</v>
      </c>
      <c r="K1147" t="s">
        <v>1661</v>
      </c>
      <c r="L1147">
        <v>52.033195999999997</v>
      </c>
      <c r="M1147">
        <v>-2.1162109999999998</v>
      </c>
      <c r="N1147" t="s">
        <v>31</v>
      </c>
      <c r="O1147">
        <v>9400</v>
      </c>
      <c r="P1147">
        <v>23.4</v>
      </c>
      <c r="Q1147">
        <v>6</v>
      </c>
      <c r="R1147" s="107" t="str">
        <f>IF(AllData[[#This Row],[Nitrate (PPM)]]&gt;2, "Very high", IF(AllData[[#This Row],[Nitrate (PPM)]]&gt;1, "High", IF(AllData[[#This Row],[Nitrate (PPM)]]&gt;0.5, "Some evidence", IF(AllData[[#This Row],[Nitrate (PPM)]]&gt;=0, "No evidence"))))</f>
        <v>Very high</v>
      </c>
      <c r="S1147" s="4">
        <v>1.58</v>
      </c>
      <c r="T1147" s="7" t="str">
        <f>IF(AllData[[#This Row],[Phosphate (PPM)]]&gt;0.5, "Very high", IF(AllData[[#This Row],[Phosphate (PPM)]]&gt;0.1, "High", IF(AllData[[#This Row],[Phosphate (PPM)]]&gt;0.05, "Some evidence", IF(AllData[[#This Row],[Phosphate (PPM)]]&lt;=0.05, "No Evidence", ""))))</f>
        <v>Very high</v>
      </c>
      <c r="U1147">
        <v>0</v>
      </c>
    </row>
    <row r="1148" spans="1:22" x14ac:dyDescent="0.35">
      <c r="A1148" t="s">
        <v>1793</v>
      </c>
      <c r="B1148" s="143">
        <v>45509</v>
      </c>
      <c r="C1148" s="2" t="str" cm="1">
        <f t="array" ref="C11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8">
        <f>YEAR(AllData[[#This Row],[Date]])</f>
        <v>2024</v>
      </c>
      <c r="E1148" s="1">
        <v>0.3125</v>
      </c>
      <c r="F1148" t="str">
        <f>IF(AND(AllData[[#This Row],[Time]]&lt;0.5, AllData[[#This Row],[Time]]&gt;0.17)=TRUE, "Morning", IF(AND(AllData[[#This Row],[Time]]&lt;0.75, AllData[[#This Row],[Time]]&gt;=0.5)=TRUE, "Afternoon", IF(AND(AllData[[#This Row],[Time]]&lt;1, AllData[[#This Row],[Time]]&gt;=0.75)=TRUE, "Evening", "Night")))</f>
        <v>Morning</v>
      </c>
      <c r="G1148" t="str">
        <f>_xlfn.XLOOKUP(AllData[[#This Row],[Location Name]], Locations[Location Name],Locations[Group As])</f>
        <v>Carrant M5 Bridge</v>
      </c>
      <c r="H1148" t="e" vm="4">
        <f>_xlfn.XLOOKUP(AllData[[#This Row],[Site Name]],LocationsKey[Site Name],LocationsKey[District])</f>
        <v>#VALUE!</v>
      </c>
      <c r="I1148" t="e" vm="4">
        <f>_xlfn.XLOOKUP(AllData[[#This Row],[Site Name]],LocationsKey[Site Name],LocationsKey[Town])</f>
        <v>#VALUE!</v>
      </c>
      <c r="J1148" t="str">
        <f>_xlfn.XLOOKUP(AllData[[#This Row],[Site Name]],LocationsKey[Site Name], LocationsKey[Waterway])</f>
        <v>Carrant</v>
      </c>
      <c r="K1148" t="s">
        <v>1144</v>
      </c>
      <c r="N1148" t="s">
        <v>25</v>
      </c>
      <c r="O1148">
        <v>793</v>
      </c>
      <c r="P1148">
        <v>20</v>
      </c>
      <c r="Q1148">
        <v>6</v>
      </c>
      <c r="R1148" s="107" t="str">
        <f>IF(AllData[[#This Row],[Nitrate (PPM)]]&gt;2, "Very high", IF(AllData[[#This Row],[Nitrate (PPM)]]&gt;1, "High", IF(AllData[[#This Row],[Nitrate (PPM)]]&gt;0.5, "Some evidence", IF(AllData[[#This Row],[Nitrate (PPM)]]&gt;=0, "No evidence"))))</f>
        <v>Very high</v>
      </c>
      <c r="S1148" s="4">
        <v>1.75</v>
      </c>
      <c r="T1148" s="7" t="str">
        <f>IF(AllData[[#This Row],[Phosphate (PPM)]]&gt;0.5, "Very high", IF(AllData[[#This Row],[Phosphate (PPM)]]&gt;0.1, "High", IF(AllData[[#This Row],[Phosphate (PPM)]]&gt;0.05, "Some evidence", IF(AllData[[#This Row],[Phosphate (PPM)]]&lt;=0.05, "No Evidence", ""))))</f>
        <v>Very high</v>
      </c>
      <c r="U1148">
        <v>0</v>
      </c>
    </row>
    <row r="1149" spans="1:22" x14ac:dyDescent="0.35">
      <c r="A1149" t="s">
        <v>1795</v>
      </c>
      <c r="B1149" s="143">
        <v>45509</v>
      </c>
      <c r="C1149" s="2" t="str" cm="1">
        <f t="array" ref="C11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49">
        <f>YEAR(AllData[[#This Row],[Date]])</f>
        <v>2024</v>
      </c>
      <c r="E1149" s="1">
        <v>0.40625</v>
      </c>
      <c r="F1149" t="str">
        <f>IF(AND(AllData[[#This Row],[Time]]&lt;0.5, AllData[[#This Row],[Time]]&gt;0.17)=TRUE, "Morning", IF(AND(AllData[[#This Row],[Time]]&lt;0.75, AllData[[#This Row],[Time]]&gt;=0.5)=TRUE, "Afternoon", IF(AND(AllData[[#This Row],[Time]]&lt;1, AllData[[#This Row],[Time]]&gt;=0.75)=TRUE, "Evening", "Night")))</f>
        <v>Morning</v>
      </c>
      <c r="G1149" t="str">
        <f>_xlfn.XLOOKUP(AllData[[#This Row],[Location Name]], Locations[Location Name],Locations[Group As])</f>
        <v>Chipping Campden Sewage Works</v>
      </c>
      <c r="H1149" t="e" vm="9">
        <f>_xlfn.XLOOKUP(AllData[[#This Row],[Site Name]],LocationsKey[Site Name],LocationsKey[District])</f>
        <v>#VALUE!</v>
      </c>
      <c r="I1149" t="e" vm="10">
        <f>_xlfn.XLOOKUP(AllData[[#This Row],[Site Name]],LocationsKey[Site Name],LocationsKey[Town])</f>
        <v>#VALUE!</v>
      </c>
      <c r="J1149" t="str">
        <f>_xlfn.XLOOKUP(AllData[[#This Row],[Site Name]],LocationsKey[Site Name], LocationsKey[Waterway])</f>
        <v>Cam Brook</v>
      </c>
      <c r="K1149" t="s">
        <v>1570</v>
      </c>
      <c r="N1149" t="s">
        <v>31</v>
      </c>
      <c r="O1149">
        <v>759</v>
      </c>
      <c r="P1149">
        <v>17</v>
      </c>
      <c r="Q1149">
        <v>5</v>
      </c>
      <c r="R1149" s="107" t="str">
        <f>IF(AllData[[#This Row],[Nitrate (PPM)]]&gt;2, "Very high", IF(AllData[[#This Row],[Nitrate (PPM)]]&gt;1, "High", IF(AllData[[#This Row],[Nitrate (PPM)]]&gt;0.5, "Some evidence", IF(AllData[[#This Row],[Nitrate (PPM)]]&gt;=0, "No evidence"))))</f>
        <v>Very high</v>
      </c>
      <c r="S1149" s="4">
        <v>0.37</v>
      </c>
      <c r="T1149" s="7" t="str">
        <f>IF(AllData[[#This Row],[Phosphate (PPM)]]&gt;0.5, "Very high", IF(AllData[[#This Row],[Phosphate (PPM)]]&gt;0.1, "High", IF(AllData[[#This Row],[Phosphate (PPM)]]&gt;0.05, "Some evidence", IF(AllData[[#This Row],[Phosphate (PPM)]]&lt;=0.05, "No Evidence", ""))))</f>
        <v>High</v>
      </c>
      <c r="U1149">
        <v>0.23</v>
      </c>
    </row>
    <row r="1150" spans="1:22" x14ac:dyDescent="0.35">
      <c r="A1150" t="s">
        <v>1794</v>
      </c>
      <c r="B1150" s="143">
        <v>45509</v>
      </c>
      <c r="C1150" s="2" t="str" cm="1">
        <f t="array" ref="C11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0">
        <f>YEAR(AllData[[#This Row],[Date]])</f>
        <v>2024</v>
      </c>
      <c r="E1150" s="1">
        <v>0.34722222222222221</v>
      </c>
      <c r="F1150" t="str">
        <f>IF(AND(AllData[[#This Row],[Time]]&lt;0.5, AllData[[#This Row],[Time]]&gt;0.17)=TRUE, "Morning", IF(AND(AllData[[#This Row],[Time]]&lt;0.75, AllData[[#This Row],[Time]]&gt;=0.5)=TRUE, "Afternoon", IF(AND(AllData[[#This Row],[Time]]&lt;1, AllData[[#This Row],[Time]]&gt;=0.75)=TRUE, "Evening", "Night")))</f>
        <v>Morning</v>
      </c>
      <c r="G1150" t="str">
        <f>_xlfn.XLOOKUP(AllData[[#This Row],[Location Name]], Locations[Location Name],Locations[Group As])</f>
        <v>Chipping Campden Lady J Gateway</v>
      </c>
      <c r="H1150" t="e" vm="9">
        <f>_xlfn.XLOOKUP(AllData[[#This Row],[Site Name]],LocationsKey[Site Name],LocationsKey[District])</f>
        <v>#VALUE!</v>
      </c>
      <c r="I1150" t="e" vm="10">
        <f>_xlfn.XLOOKUP(AllData[[#This Row],[Site Name]],LocationsKey[Site Name],LocationsKey[Town])</f>
        <v>#VALUE!</v>
      </c>
      <c r="J1150" t="str">
        <f>_xlfn.XLOOKUP(AllData[[#This Row],[Site Name]],LocationsKey[Site Name], LocationsKey[Waterway])</f>
        <v>Cam Brook</v>
      </c>
      <c r="K1150" t="s">
        <v>1573</v>
      </c>
      <c r="N1150" t="s">
        <v>68</v>
      </c>
      <c r="O1150">
        <v>450</v>
      </c>
      <c r="P1150">
        <v>17.2</v>
      </c>
      <c r="Q1150">
        <v>5</v>
      </c>
      <c r="R1150" s="107" t="str">
        <f>IF(AllData[[#This Row],[Nitrate (PPM)]]&gt;2, "Very high", IF(AllData[[#This Row],[Nitrate (PPM)]]&gt;1, "High", IF(AllData[[#This Row],[Nitrate (PPM)]]&gt;0.5, "Some evidence", IF(AllData[[#This Row],[Nitrate (PPM)]]&gt;=0, "No evidence"))))</f>
        <v>Very high</v>
      </c>
      <c r="S1150" s="4">
        <v>0.08</v>
      </c>
      <c r="T1150" s="7" t="str">
        <f>IF(AllData[[#This Row],[Phosphate (PPM)]]&gt;0.5, "Very high", IF(AllData[[#This Row],[Phosphate (PPM)]]&gt;0.1, "High", IF(AllData[[#This Row],[Phosphate (PPM)]]&gt;0.05, "Some evidence", IF(AllData[[#This Row],[Phosphate (PPM)]]&lt;=0.05, "No Evidence", ""))))</f>
        <v>Some evidence</v>
      </c>
      <c r="U1150">
        <v>0.06</v>
      </c>
    </row>
    <row r="1151" spans="1:22" x14ac:dyDescent="0.35">
      <c r="A1151" t="s">
        <v>1796</v>
      </c>
      <c r="B1151" s="143">
        <v>45509</v>
      </c>
      <c r="C1151" s="2" t="str" cm="1">
        <f t="array" ref="C11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1">
        <f>YEAR(AllData[[#This Row],[Date]])</f>
        <v>2024</v>
      </c>
      <c r="E1151" s="1">
        <v>0.63194444444444442</v>
      </c>
      <c r="F1151" t="str">
        <f>IF(AND(AllData[[#This Row],[Time]]&lt;0.5, AllData[[#This Row],[Time]]&gt;0.17)=TRUE, "Morning", IF(AND(AllData[[#This Row],[Time]]&lt;0.75, AllData[[#This Row],[Time]]&gt;=0.5)=TRUE, "Afternoon", IF(AND(AllData[[#This Row],[Time]]&lt;1, AllData[[#This Row],[Time]]&gt;=0.75)=TRUE, "Evening", "Night")))</f>
        <v>Afternoon</v>
      </c>
      <c r="G1151" t="str">
        <f>_xlfn.XLOOKUP(AllData[[#This Row],[Location Name]], Locations[Location Name],Locations[Group As])</f>
        <v>Chipping Campden Craves</v>
      </c>
      <c r="H1151" t="e" vm="9">
        <f>_xlfn.XLOOKUP(AllData[[#This Row],[Site Name]],LocationsKey[Site Name],LocationsKey[District])</f>
        <v>#VALUE!</v>
      </c>
      <c r="I1151" t="e" vm="10">
        <f>_xlfn.XLOOKUP(AllData[[#This Row],[Site Name]],LocationsKey[Site Name],LocationsKey[Town])</f>
        <v>#VALUE!</v>
      </c>
      <c r="J1151" t="str">
        <f>_xlfn.XLOOKUP(AllData[[#This Row],[Site Name]],LocationsKey[Site Name], LocationsKey[Waterway])</f>
        <v>Cam Brook</v>
      </c>
      <c r="K1151" t="s">
        <v>1797</v>
      </c>
      <c r="L1151">
        <v>52.048583000000001</v>
      </c>
      <c r="M1151">
        <v>-1.7862039999999999</v>
      </c>
      <c r="N1151" t="s">
        <v>68</v>
      </c>
      <c r="O1151">
        <v>421</v>
      </c>
      <c r="P1151">
        <v>21.4</v>
      </c>
      <c r="Q1151">
        <v>2</v>
      </c>
      <c r="R1151" s="107" t="str">
        <f>IF(AllData[[#This Row],[Nitrate (PPM)]]&gt;2, "Very high", IF(AllData[[#This Row],[Nitrate (PPM)]]&gt;1, "High", IF(AllData[[#This Row],[Nitrate (PPM)]]&gt;0.5, "Some evidence", IF(AllData[[#This Row],[Nitrate (PPM)]]&gt;=0, "No evidence"))))</f>
        <v>High</v>
      </c>
      <c r="S1151" s="4">
        <v>3</v>
      </c>
      <c r="T1151" s="7" t="str">
        <f>IF(AllData[[#This Row],[Phosphate (PPM)]]&gt;0.5, "Very high", IF(AllData[[#This Row],[Phosphate (PPM)]]&gt;0.1, "High", IF(AllData[[#This Row],[Phosphate (PPM)]]&gt;0.05, "Some evidence", IF(AllData[[#This Row],[Phosphate (PPM)]]&lt;=0.05, "No Evidence", ""))))</f>
        <v>Very high</v>
      </c>
      <c r="U1151">
        <v>17.2</v>
      </c>
    </row>
    <row r="1152" spans="1:22" x14ac:dyDescent="0.35">
      <c r="A1152" t="s">
        <v>1802</v>
      </c>
      <c r="B1152" s="143">
        <v>45509</v>
      </c>
      <c r="C1152" s="2" t="str" cm="1">
        <f t="array" ref="C11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2">
        <f>YEAR(AllData[[#This Row],[Date]])</f>
        <v>2024</v>
      </c>
      <c r="E1152" s="1">
        <v>0.72499999999999998</v>
      </c>
      <c r="F1152" t="str">
        <f>IF(AND(AllData[[#This Row],[Time]]&lt;0.5, AllData[[#This Row],[Time]]&gt;0.17)=TRUE, "Morning", IF(AND(AllData[[#This Row],[Time]]&lt;0.75, AllData[[#This Row],[Time]]&gt;=0.5)=TRUE, "Afternoon", IF(AND(AllData[[#This Row],[Time]]&lt;1, AllData[[#This Row],[Time]]&gt;=0.75)=TRUE, "Evening", "Night")))</f>
        <v>Afternoon</v>
      </c>
      <c r="G1152" t="str">
        <f>_xlfn.XLOOKUP(AllData[[#This Row],[Location Name]], Locations[Location Name],Locations[Group As])</f>
        <v>Stour Stretton-on-Fosse Sewage Works</v>
      </c>
      <c r="H1152" t="e" vm="1">
        <f>_xlfn.XLOOKUP(AllData[[#This Row],[Site Name]],LocationsKey[Site Name],LocationsKey[District])</f>
        <v>#VALUE!</v>
      </c>
      <c r="I1152" t="e" vm="30">
        <f>_xlfn.XLOOKUP(AllData[[#This Row],[Site Name]],LocationsKey[Site Name],LocationsKey[Town])</f>
        <v>#VALUE!</v>
      </c>
      <c r="J1152" t="str">
        <f>_xlfn.XLOOKUP(AllData[[#This Row],[Site Name]],LocationsKey[Site Name], LocationsKey[Waterway])</f>
        <v>Stour</v>
      </c>
      <c r="K1152" t="s">
        <v>337</v>
      </c>
      <c r="L1152">
        <v>52.045654999999996</v>
      </c>
      <c r="M1152">
        <v>-1.6719040000000001</v>
      </c>
      <c r="N1152" t="s">
        <v>31</v>
      </c>
      <c r="O1152">
        <v>890</v>
      </c>
      <c r="P1152">
        <v>19.399999999999999</v>
      </c>
      <c r="Q1152">
        <v>0.5</v>
      </c>
      <c r="R1152" s="107" t="str">
        <f>IF(AllData[[#This Row],[Nitrate (PPM)]]&gt;2, "Very high", IF(AllData[[#This Row],[Nitrate (PPM)]]&gt;1, "High", IF(AllData[[#This Row],[Nitrate (PPM)]]&gt;0.5, "Some evidence", IF(AllData[[#This Row],[Nitrate (PPM)]]&gt;=0, "No evidence"))))</f>
        <v>No evidence</v>
      </c>
      <c r="S1152" s="4">
        <v>2.5</v>
      </c>
      <c r="T1152" s="7" t="str">
        <f>IF(AllData[[#This Row],[Phosphate (PPM)]]&gt;0.5, "Very high", IF(AllData[[#This Row],[Phosphate (PPM)]]&gt;0.1, "High", IF(AllData[[#This Row],[Phosphate (PPM)]]&gt;0.05, "Some evidence", IF(AllData[[#This Row],[Phosphate (PPM)]]&lt;=0.05, "No Evidence", ""))))</f>
        <v>Very high</v>
      </c>
      <c r="U1152">
        <v>0.2</v>
      </c>
      <c r="V1152" t="s">
        <v>1356</v>
      </c>
    </row>
    <row r="1153" spans="1:22" x14ac:dyDescent="0.35">
      <c r="A1153" t="s">
        <v>1801</v>
      </c>
      <c r="B1153" s="143">
        <v>45509</v>
      </c>
      <c r="C1153" s="2" t="str" cm="1">
        <f t="array" ref="C11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3">
        <f>YEAR(AllData[[#This Row],[Date]])</f>
        <v>2024</v>
      </c>
      <c r="E1153" s="1">
        <v>0.71527777777777779</v>
      </c>
      <c r="F1153" t="str">
        <f>IF(AND(AllData[[#This Row],[Time]]&lt;0.5, AllData[[#This Row],[Time]]&gt;0.17)=TRUE, "Morning", IF(AND(AllData[[#This Row],[Time]]&lt;0.75, AllData[[#This Row],[Time]]&gt;=0.5)=TRUE, "Afternoon", IF(AND(AllData[[#This Row],[Time]]&lt;1, AllData[[#This Row],[Time]]&gt;=0.75)=TRUE, "Evening", "Night")))</f>
        <v>Afternoon</v>
      </c>
      <c r="G1153" t="str">
        <f>_xlfn.XLOOKUP(AllData[[#This Row],[Location Name]], Locations[Location Name],Locations[Group As])</f>
        <v>Stour Stretton-on-Fosse Village</v>
      </c>
      <c r="H1153" t="e" vm="1">
        <f>_xlfn.XLOOKUP(AllData[[#This Row],[Site Name]],LocationsKey[Site Name],LocationsKey[District])</f>
        <v>#VALUE!</v>
      </c>
      <c r="I1153" t="e" vm="30">
        <f>_xlfn.XLOOKUP(AllData[[#This Row],[Site Name]],LocationsKey[Site Name],LocationsKey[Town])</f>
        <v>#VALUE!</v>
      </c>
      <c r="J1153" t="str">
        <f>_xlfn.XLOOKUP(AllData[[#This Row],[Site Name]],LocationsKey[Site Name], LocationsKey[Waterway])</f>
        <v>Stour</v>
      </c>
      <c r="K1153" t="s">
        <v>548</v>
      </c>
      <c r="L1153">
        <v>52.046540999999998</v>
      </c>
      <c r="M1153">
        <v>-1.6734070000000001</v>
      </c>
      <c r="N1153" t="s">
        <v>68</v>
      </c>
      <c r="O1153">
        <v>742</v>
      </c>
      <c r="P1153">
        <v>18.5</v>
      </c>
      <c r="Q1153">
        <v>0.5</v>
      </c>
      <c r="R1153" s="107" t="str">
        <f>IF(AllData[[#This Row],[Nitrate (PPM)]]&gt;2, "Very high", IF(AllData[[#This Row],[Nitrate (PPM)]]&gt;1, "High", IF(AllData[[#This Row],[Nitrate (PPM)]]&gt;0.5, "Some evidence", IF(AllData[[#This Row],[Nitrate (PPM)]]&gt;=0, "No evidence"))))</f>
        <v>No evidence</v>
      </c>
      <c r="S1153" s="4">
        <v>2.5</v>
      </c>
      <c r="T1153" s="7" t="str">
        <f>IF(AllData[[#This Row],[Phosphate (PPM)]]&gt;0.5, "Very high", IF(AllData[[#This Row],[Phosphate (PPM)]]&gt;0.1, "High", IF(AllData[[#This Row],[Phosphate (PPM)]]&gt;0.05, "Some evidence", IF(AllData[[#This Row],[Phosphate (PPM)]]&lt;=0.05, "No Evidence", ""))))</f>
        <v>Very high</v>
      </c>
      <c r="U1153">
        <v>0.15</v>
      </c>
      <c r="V1153" t="s">
        <v>1356</v>
      </c>
    </row>
    <row r="1154" spans="1:22" x14ac:dyDescent="0.35">
      <c r="A1154" t="s">
        <v>1788</v>
      </c>
      <c r="B1154" s="143">
        <v>45508</v>
      </c>
      <c r="C1154" s="2" t="str" cm="1">
        <f t="array" ref="C11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4">
        <f>YEAR(AllData[[#This Row],[Date]])</f>
        <v>2024</v>
      </c>
      <c r="E1154" s="1">
        <v>0.41666666666666669</v>
      </c>
      <c r="F1154" t="str">
        <f>IF(AND(AllData[[#This Row],[Time]]&lt;0.5, AllData[[#This Row],[Time]]&gt;0.17)=TRUE, "Morning", IF(AND(AllData[[#This Row],[Time]]&lt;0.75, AllData[[#This Row],[Time]]&gt;=0.5)=TRUE, "Afternoon", IF(AND(AllData[[#This Row],[Time]]&lt;1, AllData[[#This Row],[Time]]&gt;=0.75)=TRUE, "Evening", "Night")))</f>
        <v>Morning</v>
      </c>
      <c r="G1154" t="str">
        <f>_xlfn.XLOOKUP(AllData[[#This Row],[Location Name]], Locations[Location Name],Locations[Group As])</f>
        <v>Sherbourne Brook 1</v>
      </c>
      <c r="H1154" t="e" vm="1">
        <f>_xlfn.XLOOKUP(AllData[[#This Row],[Site Name]],LocationsKey[Site Name],LocationsKey[District])</f>
        <v>#VALUE!</v>
      </c>
      <c r="I1154" t="e" vm="23">
        <f>_xlfn.XLOOKUP(AllData[[#This Row],[Site Name]],LocationsKey[Site Name],LocationsKey[Town])</f>
        <v>#VALUE!</v>
      </c>
      <c r="J1154" t="str">
        <f>_xlfn.XLOOKUP(AllData[[#This Row],[Site Name]],LocationsKey[Site Name], LocationsKey[Waterway])</f>
        <v>Sherbourne Brook</v>
      </c>
      <c r="K1154" t="s">
        <v>541</v>
      </c>
      <c r="L1154">
        <v>52.252499999999998</v>
      </c>
      <c r="M1154">
        <v>-1.6685000000000001</v>
      </c>
      <c r="N1154" t="s">
        <v>25</v>
      </c>
      <c r="O1154">
        <v>1110</v>
      </c>
      <c r="P1154">
        <v>16.5</v>
      </c>
      <c r="Q1154">
        <v>9</v>
      </c>
      <c r="R1154" s="107" t="str">
        <f>IF(AllData[[#This Row],[Nitrate (PPM)]]&gt;2, "Very high", IF(AllData[[#This Row],[Nitrate (PPM)]]&gt;1, "High", IF(AllData[[#This Row],[Nitrate (PPM)]]&gt;0.5, "Some evidence", IF(AllData[[#This Row],[Nitrate (PPM)]]&gt;=0, "No evidence"))))</f>
        <v>Very high</v>
      </c>
      <c r="S1154" s="4">
        <v>0.39</v>
      </c>
      <c r="T1154" s="7" t="str">
        <f>IF(AllData[[#This Row],[Phosphate (PPM)]]&gt;0.5, "Very high", IF(AllData[[#This Row],[Phosphate (PPM)]]&gt;0.1, "High", IF(AllData[[#This Row],[Phosphate (PPM)]]&gt;0.05, "Some evidence", IF(AllData[[#This Row],[Phosphate (PPM)]]&lt;=0.05, "No Evidence", ""))))</f>
        <v>High</v>
      </c>
      <c r="U1154">
        <v>0.1</v>
      </c>
    </row>
    <row r="1155" spans="1:22" x14ac:dyDescent="0.35">
      <c r="A1155" t="s">
        <v>1789</v>
      </c>
      <c r="B1155" s="143">
        <v>45508</v>
      </c>
      <c r="C1155" s="2" t="str" cm="1">
        <f t="array" ref="C11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5">
        <f>YEAR(AllData[[#This Row],[Date]])</f>
        <v>2024</v>
      </c>
      <c r="E1155" s="1">
        <v>0.42708333333333331</v>
      </c>
      <c r="F1155" t="str">
        <f>IF(AND(AllData[[#This Row],[Time]]&lt;0.5, AllData[[#This Row],[Time]]&gt;0.17)=TRUE, "Morning", IF(AND(AllData[[#This Row],[Time]]&lt;0.75, AllData[[#This Row],[Time]]&gt;=0.5)=TRUE, "Afternoon", IF(AND(AllData[[#This Row],[Time]]&lt;1, AllData[[#This Row],[Time]]&gt;=0.75)=TRUE, "Evening", "Night")))</f>
        <v>Morning</v>
      </c>
      <c r="G1155" t="str">
        <f>_xlfn.XLOOKUP(AllData[[#This Row],[Location Name]], Locations[Location Name],Locations[Group As])</f>
        <v>Bell Brook 1</v>
      </c>
      <c r="H1155" t="e" vm="1">
        <f>_xlfn.XLOOKUP(AllData[[#This Row],[Site Name]],LocationsKey[Site Name],LocationsKey[District])</f>
        <v>#VALUE!</v>
      </c>
      <c r="I1155" t="e" vm="19">
        <f>_xlfn.XLOOKUP(AllData[[#This Row],[Site Name]],LocationsKey[Site Name],LocationsKey[Town])</f>
        <v>#VALUE!</v>
      </c>
      <c r="J1155" t="str">
        <f>_xlfn.XLOOKUP(AllData[[#This Row],[Site Name]],LocationsKey[Site Name], LocationsKey[Waterway])</f>
        <v>Bell Brook</v>
      </c>
      <c r="K1155" t="s">
        <v>538</v>
      </c>
      <c r="L1155">
        <v>52.244900000000001</v>
      </c>
      <c r="M1155">
        <v>-1.6617</v>
      </c>
      <c r="N1155" t="s">
        <v>25</v>
      </c>
      <c r="O1155">
        <v>909</v>
      </c>
      <c r="P1155">
        <v>17.600000000000001</v>
      </c>
      <c r="Q1155">
        <v>8</v>
      </c>
      <c r="R1155" s="107" t="str">
        <f>IF(AllData[[#This Row],[Nitrate (PPM)]]&gt;2, "Very high", IF(AllData[[#This Row],[Nitrate (PPM)]]&gt;1, "High", IF(AllData[[#This Row],[Nitrate (PPM)]]&gt;0.5, "Some evidence", IF(AllData[[#This Row],[Nitrate (PPM)]]&gt;=0, "No evidence"))))</f>
        <v>Very high</v>
      </c>
      <c r="S1155" s="4">
        <v>0.67</v>
      </c>
      <c r="T1155" s="7" t="str">
        <f>IF(AllData[[#This Row],[Phosphate (PPM)]]&gt;0.5, "Very high", IF(AllData[[#This Row],[Phosphate (PPM)]]&gt;0.1, "High", IF(AllData[[#This Row],[Phosphate (PPM)]]&gt;0.05, "Some evidence", IF(AllData[[#This Row],[Phosphate (PPM)]]&lt;=0.05, "No Evidence", ""))))</f>
        <v>Very high</v>
      </c>
      <c r="U1155">
        <v>0.1</v>
      </c>
    </row>
    <row r="1156" spans="1:22" x14ac:dyDescent="0.35">
      <c r="A1156" t="s">
        <v>1787</v>
      </c>
      <c r="B1156" s="143">
        <v>45508</v>
      </c>
      <c r="C1156" s="2" t="str" cm="1">
        <f t="array" ref="C11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6">
        <f>YEAR(AllData[[#This Row],[Date]])</f>
        <v>2024</v>
      </c>
      <c r="E1156" s="1">
        <v>0.35694444444444445</v>
      </c>
      <c r="F1156" t="str">
        <f>IF(AND(AllData[[#This Row],[Time]]&lt;0.5, AllData[[#This Row],[Time]]&gt;0.17)=TRUE, "Morning", IF(AND(AllData[[#This Row],[Time]]&lt;0.75, AllData[[#This Row],[Time]]&gt;=0.5)=TRUE, "Afternoon", IF(AND(AllData[[#This Row],[Time]]&lt;1, AllData[[#This Row],[Time]]&gt;=0.75)=TRUE, "Evening", "Night")))</f>
        <v>Morning</v>
      </c>
      <c r="G1156" t="str">
        <f>_xlfn.XLOOKUP(AllData[[#This Row],[Location Name]], Locations[Location Name],Locations[Group As])</f>
        <v>The Ford, Langley</v>
      </c>
      <c r="H1156" t="e" vm="1">
        <f>_xlfn.XLOOKUP(AllData[[#This Row],[Site Name]],LocationsKey[Site Name],LocationsKey[District])</f>
        <v>#VALUE!</v>
      </c>
      <c r="I1156" t="str">
        <f>_xlfn.XLOOKUP(AllData[[#This Row],[Site Name]],LocationsKey[Site Name],LocationsKey[Town])</f>
        <v>Langley</v>
      </c>
      <c r="J1156" t="str">
        <f>_xlfn.XLOOKUP(AllData[[#This Row],[Site Name]],LocationsKey[Site Name], LocationsKey[Waterway])</f>
        <v>Langley Ford</v>
      </c>
      <c r="K1156" t="s">
        <v>561</v>
      </c>
      <c r="L1156">
        <v>52.259782000000001</v>
      </c>
      <c r="M1156">
        <v>-1.7185280000000001</v>
      </c>
      <c r="N1156" t="s">
        <v>31</v>
      </c>
      <c r="O1156">
        <v>844</v>
      </c>
      <c r="P1156">
        <v>16.899999999999999</v>
      </c>
      <c r="Q1156">
        <v>5</v>
      </c>
      <c r="R1156" s="107" t="str">
        <f>IF(AllData[[#This Row],[Nitrate (PPM)]]&gt;2, "Very high", IF(AllData[[#This Row],[Nitrate (PPM)]]&gt;1, "High", IF(AllData[[#This Row],[Nitrate (PPM)]]&gt;0.5, "Some evidence", IF(AllData[[#This Row],[Nitrate (PPM)]]&gt;=0, "No evidence"))))</f>
        <v>Very high</v>
      </c>
      <c r="S1156" s="4">
        <v>0.97</v>
      </c>
      <c r="T1156" s="7" t="str">
        <f>IF(AllData[[#This Row],[Phosphate (PPM)]]&gt;0.5, "Very high", IF(AllData[[#This Row],[Phosphate (PPM)]]&gt;0.1, "High", IF(AllData[[#This Row],[Phosphate (PPM)]]&gt;0.05, "Some evidence", IF(AllData[[#This Row],[Phosphate (PPM)]]&lt;=0.05, "No Evidence", ""))))</f>
        <v>Very high</v>
      </c>
      <c r="U1156">
        <v>0.05</v>
      </c>
    </row>
    <row r="1157" spans="1:22" x14ac:dyDescent="0.35">
      <c r="A1157" t="s">
        <v>1792</v>
      </c>
      <c r="B1157" s="143">
        <v>45508</v>
      </c>
      <c r="C1157" s="2" t="str" cm="1">
        <f t="array" ref="C11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7">
        <f>YEAR(AllData[[#This Row],[Date]])</f>
        <v>2024</v>
      </c>
      <c r="E1157" s="1">
        <v>0.58333333333333337</v>
      </c>
      <c r="F1157" t="str">
        <f>IF(AND(AllData[[#This Row],[Time]]&lt;0.5, AllData[[#This Row],[Time]]&gt;0.17)=TRUE, "Morning", IF(AND(AllData[[#This Row],[Time]]&lt;0.75, AllData[[#This Row],[Time]]&gt;=0.5)=TRUE, "Afternoon", IF(AND(AllData[[#This Row],[Time]]&lt;1, AllData[[#This Row],[Time]]&gt;=0.75)=TRUE, "Evening", "Night")))</f>
        <v>Afternoon</v>
      </c>
      <c r="G1157" t="str">
        <f>_xlfn.XLOOKUP(AllData[[#This Row],[Location Name]], Locations[Location Name],Locations[Group As])</f>
        <v>Clifford Chambers Mill Bridge</v>
      </c>
      <c r="H1157" t="e" vm="1">
        <f>_xlfn.XLOOKUP(AllData[[#This Row],[Site Name]],LocationsKey[Site Name],LocationsKey[District])</f>
        <v>#VALUE!</v>
      </c>
      <c r="I1157" t="e" vm="22">
        <f>_xlfn.XLOOKUP(AllData[[#This Row],[Site Name]],LocationsKey[Site Name],LocationsKey[Town])</f>
        <v>#VALUE!</v>
      </c>
      <c r="J1157" t="str">
        <f>_xlfn.XLOOKUP(AllData[[#This Row],[Site Name]],LocationsKey[Site Name], LocationsKey[Waterway])</f>
        <v>Stour</v>
      </c>
      <c r="K1157" t="s">
        <v>266</v>
      </c>
      <c r="L1157">
        <v>52.166370000000001</v>
      </c>
      <c r="M1157">
        <v>-1.708032</v>
      </c>
      <c r="N1157" t="s">
        <v>68</v>
      </c>
      <c r="O1157">
        <v>687</v>
      </c>
      <c r="P1157">
        <v>20.8</v>
      </c>
      <c r="Q1157">
        <v>5</v>
      </c>
      <c r="R1157" s="107" t="str">
        <f>IF(AllData[[#This Row],[Nitrate (PPM)]]&gt;2, "Very high", IF(AllData[[#This Row],[Nitrate (PPM)]]&gt;1, "High", IF(AllData[[#This Row],[Nitrate (PPM)]]&gt;0.5, "Some evidence", IF(AllData[[#This Row],[Nitrate (PPM)]]&gt;=0, "No evidence"))))</f>
        <v>Very high</v>
      </c>
      <c r="S1157">
        <v>0.4</v>
      </c>
      <c r="T1157" s="7" t="str">
        <f>IF(AllData[[#This Row],[Phosphate (PPM)]]&gt;0.5, "Very high", IF(AllData[[#This Row],[Phosphate (PPM)]]&gt;0.1, "High", IF(AllData[[#This Row],[Phosphate (PPM)]]&gt;0.05, "Some evidence", IF(AllData[[#This Row],[Phosphate (PPM)]]&lt;=0.05, "No Evidence", ""))))</f>
        <v>High</v>
      </c>
      <c r="U1157">
        <v>0.4</v>
      </c>
    </row>
    <row r="1158" spans="1:22" x14ac:dyDescent="0.35">
      <c r="A1158" t="s">
        <v>1790</v>
      </c>
      <c r="B1158" s="143">
        <v>45508</v>
      </c>
      <c r="C1158" s="2" t="str" cm="1">
        <f t="array" ref="C11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8">
        <f>YEAR(AllData[[#This Row],[Date]])</f>
        <v>2024</v>
      </c>
      <c r="E1158" s="1">
        <v>0.6875</v>
      </c>
      <c r="F1158" t="str">
        <f>IF(AND(AllData[[#This Row],[Time]]&lt;0.5, AllData[[#This Row],[Time]]&gt;0.17)=TRUE, "Morning", IF(AND(AllData[[#This Row],[Time]]&lt;0.75, AllData[[#This Row],[Time]]&gt;=0.5)=TRUE, "Afternoon", IF(AND(AllData[[#This Row],[Time]]&lt;1, AllData[[#This Row],[Time]]&gt;=0.75)=TRUE, "Evening", "Night")))</f>
        <v>Afternoon</v>
      </c>
      <c r="G1158" t="str">
        <f>_xlfn.XLOOKUP(AllData[[#This Row],[Location Name]], Locations[Location Name],Locations[Group As])</f>
        <v>Fell Mill Footbridge</v>
      </c>
      <c r="H1158" t="e" vm="1">
        <f>_xlfn.XLOOKUP(AllData[[#This Row],[Site Name]],LocationsKey[Site Name],LocationsKey[District])</f>
        <v>#VALUE!</v>
      </c>
      <c r="I1158" t="e" vm="15">
        <f>_xlfn.XLOOKUP(AllData[[#This Row],[Site Name]],LocationsKey[Site Name],LocationsKey[Town])</f>
        <v>#VALUE!</v>
      </c>
      <c r="J1158" t="str">
        <f>_xlfn.XLOOKUP(AllData[[#This Row],[Site Name]],LocationsKey[Site Name], LocationsKey[Waterway])</f>
        <v>Stour</v>
      </c>
      <c r="K1158" t="s">
        <v>875</v>
      </c>
      <c r="L1158">
        <v>52.070086000000003</v>
      </c>
      <c r="M1158">
        <v>-1.61145</v>
      </c>
      <c r="N1158" t="s">
        <v>31</v>
      </c>
      <c r="O1158">
        <v>626</v>
      </c>
      <c r="P1158">
        <v>18.399999999999999</v>
      </c>
      <c r="Q1158">
        <v>5</v>
      </c>
      <c r="R1158" s="107" t="str">
        <f>IF(AllData[[#This Row],[Nitrate (PPM)]]&gt;2, "Very high", IF(AllData[[#This Row],[Nitrate (PPM)]]&gt;1, "High", IF(AllData[[#This Row],[Nitrate (PPM)]]&gt;0.5, "Some evidence", IF(AllData[[#This Row],[Nitrate (PPM)]]&gt;=0, "No evidence"))))</f>
        <v>Very high</v>
      </c>
      <c r="S1158" s="4">
        <v>0.51</v>
      </c>
      <c r="T1158" s="7" t="str">
        <f>IF(AllData[[#This Row],[Phosphate (PPM)]]&gt;0.5, "Very high", IF(AllData[[#This Row],[Phosphate (PPM)]]&gt;0.1, "High", IF(AllData[[#This Row],[Phosphate (PPM)]]&gt;0.05, "Some evidence", IF(AllData[[#This Row],[Phosphate (PPM)]]&lt;=0.05, "No Evidence", ""))))</f>
        <v>Very high</v>
      </c>
      <c r="U1158">
        <v>1.1000000000000001</v>
      </c>
      <c r="V1158" t="s">
        <v>1791</v>
      </c>
    </row>
    <row r="1159" spans="1:22" x14ac:dyDescent="0.35">
      <c r="A1159" t="s">
        <v>1785</v>
      </c>
      <c r="B1159" s="143">
        <v>45507</v>
      </c>
      <c r="C1159" s="2" t="str" cm="1">
        <f t="array" ref="C11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59">
        <f>YEAR(AllData[[#This Row],[Date]])</f>
        <v>2024</v>
      </c>
      <c r="E1159" s="1">
        <v>0.80625000000000002</v>
      </c>
      <c r="F1159" t="str">
        <f>IF(AND(AllData[[#This Row],[Time]]&lt;0.5, AllData[[#This Row],[Time]]&gt;0.17)=TRUE, "Morning", IF(AND(AllData[[#This Row],[Time]]&lt;0.75, AllData[[#This Row],[Time]]&gt;=0.5)=TRUE, "Afternoon", IF(AND(AllData[[#This Row],[Time]]&lt;1, AllData[[#This Row],[Time]]&gt;=0.75)=TRUE, "Evening", "Night")))</f>
        <v>Evening</v>
      </c>
      <c r="G1159" t="str">
        <f>_xlfn.XLOOKUP(AllData[[#This Row],[Location Name]], Locations[Location Name],Locations[Group As])</f>
        <v>Abbey Mill</v>
      </c>
      <c r="H1159" t="e" vm="4">
        <f>_xlfn.XLOOKUP(AllData[[#This Row],[Site Name]],LocationsKey[Site Name],LocationsKey[District])</f>
        <v>#VALUE!</v>
      </c>
      <c r="I1159" t="e" vm="4">
        <f>_xlfn.XLOOKUP(AllData[[#This Row],[Site Name]],LocationsKey[Site Name],LocationsKey[Town])</f>
        <v>#VALUE!</v>
      </c>
      <c r="J1159" t="str">
        <f>_xlfn.XLOOKUP(AllData[[#This Row],[Site Name]],LocationsKey[Site Name], LocationsKey[Waterway])</f>
        <v>Avon</v>
      </c>
      <c r="K1159" t="s">
        <v>27</v>
      </c>
      <c r="L1159">
        <v>51.991456999999997</v>
      </c>
      <c r="M1159">
        <v>-2.1626150000000002</v>
      </c>
      <c r="N1159" t="s">
        <v>25</v>
      </c>
      <c r="O1159">
        <v>983</v>
      </c>
      <c r="P1159">
        <v>22.7</v>
      </c>
      <c r="Q1159">
        <v>15</v>
      </c>
      <c r="R1159" s="107" t="str">
        <f>IF(AllData[[#This Row],[Nitrate (PPM)]]&gt;2, "Very high", IF(AllData[[#This Row],[Nitrate (PPM)]]&gt;1, "High", IF(AllData[[#This Row],[Nitrate (PPM)]]&gt;0.5, "Some evidence", IF(AllData[[#This Row],[Nitrate (PPM)]]&gt;=0, "No evidence"))))</f>
        <v>Very high</v>
      </c>
      <c r="S1159" s="4">
        <v>0.97</v>
      </c>
      <c r="T1159" s="7" t="str">
        <f>IF(AllData[[#This Row],[Phosphate (PPM)]]&gt;0.5, "Very high", IF(AllData[[#This Row],[Phosphate (PPM)]]&gt;0.1, "High", IF(AllData[[#This Row],[Phosphate (PPM)]]&gt;0.05, "Some evidence", IF(AllData[[#This Row],[Phosphate (PPM)]]&lt;=0.05, "No Evidence", ""))))</f>
        <v>Very high</v>
      </c>
      <c r="U1159">
        <v>0.45</v>
      </c>
    </row>
    <row r="1160" spans="1:22" x14ac:dyDescent="0.35">
      <c r="A1160" t="s">
        <v>1772</v>
      </c>
      <c r="B1160" s="143">
        <v>45507</v>
      </c>
      <c r="C1160" s="2" t="str" cm="1">
        <f t="array" ref="C11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0">
        <f>YEAR(AllData[[#This Row],[Date]])</f>
        <v>2024</v>
      </c>
      <c r="E1160" s="1">
        <v>0.39930555555555558</v>
      </c>
      <c r="F1160" t="str">
        <f>IF(AND(AllData[[#This Row],[Time]]&lt;0.5, AllData[[#This Row],[Time]]&gt;0.17)=TRUE, "Morning", IF(AND(AllData[[#This Row],[Time]]&lt;0.75, AllData[[#This Row],[Time]]&gt;=0.5)=TRUE, "Afternoon", IF(AND(AllData[[#This Row],[Time]]&lt;1, AllData[[#This Row],[Time]]&gt;=0.75)=TRUE, "Evening", "Night")))</f>
        <v>Morning</v>
      </c>
      <c r="G1160" t="str">
        <f>_xlfn.XLOOKUP(AllData[[#This Row],[Location Name]], Locations[Location Name],Locations[Group As])</f>
        <v>Avon Smiths Meadow Wyre Piddle</v>
      </c>
      <c r="H1160" t="e" vm="6">
        <f>_xlfn.XLOOKUP(AllData[[#This Row],[Site Name]],LocationsKey[Site Name],LocationsKey[District])</f>
        <v>#VALUE!</v>
      </c>
      <c r="I1160" t="e" vm="13">
        <f>_xlfn.XLOOKUP(AllData[[#This Row],[Site Name]],LocationsKey[Site Name],LocationsKey[Town])</f>
        <v>#VALUE!</v>
      </c>
      <c r="J1160" t="str">
        <f>_xlfn.XLOOKUP(AllData[[#This Row],[Site Name]],LocationsKey[Site Name], LocationsKey[Waterway])</f>
        <v>Avon</v>
      </c>
      <c r="K1160" t="s">
        <v>784</v>
      </c>
      <c r="L1160">
        <v>52.122847999999998</v>
      </c>
      <c r="M1160">
        <v>-2.057356</v>
      </c>
      <c r="N1160" t="s">
        <v>25</v>
      </c>
      <c r="O1160">
        <v>1030</v>
      </c>
      <c r="P1160">
        <v>22.6</v>
      </c>
      <c r="Q1160">
        <v>10</v>
      </c>
      <c r="R1160" s="107" t="str">
        <f>IF(AllData[[#This Row],[Nitrate (PPM)]]&gt;2, "Very high", IF(AllData[[#This Row],[Nitrate (PPM)]]&gt;1, "High", IF(AllData[[#This Row],[Nitrate (PPM)]]&gt;0.5, "Some evidence", IF(AllData[[#This Row],[Nitrate (PPM)]]&gt;=0, "No evidence"))))</f>
        <v>Very high</v>
      </c>
      <c r="S1160" s="4">
        <v>1.06</v>
      </c>
      <c r="T1160" s="7" t="str">
        <f>IF(AllData[[#This Row],[Phosphate (PPM)]]&gt;0.5, "Very high", IF(AllData[[#This Row],[Phosphate (PPM)]]&gt;0.1, "High", IF(AllData[[#This Row],[Phosphate (PPM)]]&gt;0.05, "Some evidence", IF(AllData[[#This Row],[Phosphate (PPM)]]&lt;=0.05, "No Evidence", ""))))</f>
        <v>Very high</v>
      </c>
      <c r="U1160">
        <v>0.55000000000000004</v>
      </c>
      <c r="V1160" t="s">
        <v>1773</v>
      </c>
    </row>
    <row r="1161" spans="1:22" x14ac:dyDescent="0.35">
      <c r="A1161" t="s">
        <v>1784</v>
      </c>
      <c r="B1161" s="143">
        <v>45507</v>
      </c>
      <c r="C1161" s="2" t="str" cm="1">
        <f t="array" ref="C11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1">
        <f>YEAR(AllData[[#This Row],[Date]])</f>
        <v>2024</v>
      </c>
      <c r="E1161" s="1">
        <v>0.64930555555555558</v>
      </c>
      <c r="F1161" t="str">
        <f>IF(AND(AllData[[#This Row],[Time]]&lt;0.5, AllData[[#This Row],[Time]]&gt;0.17)=TRUE, "Morning", IF(AND(AllData[[#This Row],[Time]]&lt;0.75, AllData[[#This Row],[Time]]&gt;=0.5)=TRUE, "Afternoon", IF(AND(AllData[[#This Row],[Time]]&lt;1, AllData[[#This Row],[Time]]&gt;=0.75)=TRUE, "Evening", "Night")))</f>
        <v>Afternoon</v>
      </c>
      <c r="G1161" t="str">
        <f>_xlfn.XLOOKUP(AllData[[#This Row],[Location Name]], Locations[Location Name],Locations[Group As])</f>
        <v>Black Bear</v>
      </c>
      <c r="H1161" t="e" vm="4">
        <f>_xlfn.XLOOKUP(AllData[[#This Row],[Site Name]],LocationsKey[Site Name],LocationsKey[District])</f>
        <v>#VALUE!</v>
      </c>
      <c r="I1161" t="e" vm="4">
        <f>_xlfn.XLOOKUP(AllData[[#This Row],[Site Name]],LocationsKey[Site Name],LocationsKey[Town])</f>
        <v>#VALUE!</v>
      </c>
      <c r="J1161" t="str">
        <f>_xlfn.XLOOKUP(AllData[[#This Row],[Site Name]],LocationsKey[Site Name], LocationsKey[Waterway])</f>
        <v>Avon</v>
      </c>
      <c r="K1161" t="s">
        <v>1175</v>
      </c>
      <c r="L1161">
        <v>51.997698999999997</v>
      </c>
      <c r="M1161">
        <v>-2.1563870000000001</v>
      </c>
      <c r="N1161" t="s">
        <v>25</v>
      </c>
      <c r="O1161">
        <v>980</v>
      </c>
      <c r="P1161">
        <v>23.4</v>
      </c>
      <c r="Q1161">
        <v>10</v>
      </c>
      <c r="R1161" s="107" t="str">
        <f>IF(AllData[[#This Row],[Nitrate (PPM)]]&gt;2, "Very high", IF(AllData[[#This Row],[Nitrate (PPM)]]&gt;1, "High", IF(AllData[[#This Row],[Nitrate (PPM)]]&gt;0.5, "Some evidence", IF(AllData[[#This Row],[Nitrate (PPM)]]&gt;=0, "No evidence"))))</f>
        <v>Very high</v>
      </c>
      <c r="S1161" s="4">
        <v>1.1599999999999999</v>
      </c>
      <c r="T1161" s="7" t="str">
        <f>IF(AllData[[#This Row],[Phosphate (PPM)]]&gt;0.5, "Very high", IF(AllData[[#This Row],[Phosphate (PPM)]]&gt;0.1, "High", IF(AllData[[#This Row],[Phosphate (PPM)]]&gt;0.05, "Some evidence", IF(AllData[[#This Row],[Phosphate (PPM)]]&lt;=0.05, "No Evidence", ""))))</f>
        <v>Very high</v>
      </c>
      <c r="U1161">
        <v>0</v>
      </c>
    </row>
    <row r="1162" spans="1:22" x14ac:dyDescent="0.35">
      <c r="A1162" t="s">
        <v>1781</v>
      </c>
      <c r="B1162" s="143">
        <v>45507</v>
      </c>
      <c r="C1162" s="2" t="str" cm="1">
        <f t="array" ref="C11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2">
        <f>YEAR(AllData[[#This Row],[Date]])</f>
        <v>2024</v>
      </c>
      <c r="E1162" s="1">
        <v>0.47083333333333333</v>
      </c>
      <c r="F1162" t="str">
        <f>IF(AND(AllData[[#This Row],[Time]]&lt;0.5, AllData[[#This Row],[Time]]&gt;0.17)=TRUE, "Morning", IF(AND(AllData[[#This Row],[Time]]&lt;0.75, AllData[[#This Row],[Time]]&gt;=0.5)=TRUE, "Afternoon", IF(AND(AllData[[#This Row],[Time]]&lt;1, AllData[[#This Row],[Time]]&gt;=0.75)=TRUE, "Evening", "Night")))</f>
        <v>Morning</v>
      </c>
      <c r="G1162" t="str">
        <f>_xlfn.XLOOKUP(AllData[[#This Row],[Location Name]], Locations[Location Name],Locations[Group As])</f>
        <v>Site 3  :  Severn Trent Water processing plant outflow</v>
      </c>
      <c r="H1162" t="e" vm="1">
        <f>_xlfn.XLOOKUP(AllData[[#This Row],[Site Name]],LocationsKey[Site Name],LocationsKey[District])</f>
        <v>#VALUE!</v>
      </c>
      <c r="I1162" t="e" vm="14">
        <f>_xlfn.XLOOKUP(AllData[[#This Row],[Site Name]],LocationsKey[Site Name],LocationsKey[Town])</f>
        <v>#VALUE!</v>
      </c>
      <c r="J1162" t="str">
        <f>_xlfn.XLOOKUP(AllData[[#This Row],[Site Name]],LocationsKey[Site Name], LocationsKey[Waterway])</f>
        <v>Fosseway Brook</v>
      </c>
      <c r="K1162" t="s">
        <v>1782</v>
      </c>
      <c r="L1162">
        <v>52.082183000000001</v>
      </c>
      <c r="M1162">
        <v>-1.6408750000000001</v>
      </c>
      <c r="N1162" t="s">
        <v>31</v>
      </c>
      <c r="O1162">
        <v>850</v>
      </c>
      <c r="P1162">
        <v>20.100000000000001</v>
      </c>
      <c r="Q1162">
        <v>10</v>
      </c>
      <c r="R1162" s="107" t="str">
        <f>IF(AllData[[#This Row],[Nitrate (PPM)]]&gt;2, "Very high", IF(AllData[[#This Row],[Nitrate (PPM)]]&gt;1, "High", IF(AllData[[#This Row],[Nitrate (PPM)]]&gt;0.5, "Some evidence", IF(AllData[[#This Row],[Nitrate (PPM)]]&gt;=0, "No evidence"))))</f>
        <v>Very high</v>
      </c>
      <c r="S1162" s="4">
        <v>2.5</v>
      </c>
      <c r="T1162" s="7" t="str">
        <f>IF(AllData[[#This Row],[Phosphate (PPM)]]&gt;0.5, "Very high", IF(AllData[[#This Row],[Phosphate (PPM)]]&gt;0.1, "High", IF(AllData[[#This Row],[Phosphate (PPM)]]&gt;0.05, "Some evidence", IF(AllData[[#This Row],[Phosphate (PPM)]]&lt;=0.05, "No Evidence", ""))))</f>
        <v>Very high</v>
      </c>
      <c r="U1162">
        <v>0.1</v>
      </c>
    </row>
    <row r="1163" spans="1:22" x14ac:dyDescent="0.35">
      <c r="A1163" t="s">
        <v>1774</v>
      </c>
      <c r="B1163" s="143">
        <v>45507</v>
      </c>
      <c r="C1163" s="2" t="str" cm="1">
        <f t="array" ref="C11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3">
        <f>YEAR(AllData[[#This Row],[Date]])</f>
        <v>2024</v>
      </c>
      <c r="E1163" s="1">
        <v>0.42638888888888887</v>
      </c>
      <c r="F1163" t="str">
        <f>IF(AND(AllData[[#This Row],[Time]]&lt;0.5, AllData[[#This Row],[Time]]&gt;0.17)=TRUE, "Morning", IF(AND(AllData[[#This Row],[Time]]&lt;0.75, AllData[[#This Row],[Time]]&gt;=0.5)=TRUE, "Afternoon", IF(AND(AllData[[#This Row],[Time]]&lt;1, AllData[[#This Row],[Time]]&gt;=0.75)=TRUE, "Evening", "Night")))</f>
        <v>Morning</v>
      </c>
      <c r="G1163" t="str">
        <f>_xlfn.XLOOKUP(AllData[[#This Row],[Location Name]], Locations[Location Name],Locations[Group As])</f>
        <v>Piddle Brook Wyre Piddle Bridge</v>
      </c>
      <c r="H1163" t="e" vm="6">
        <f>_xlfn.XLOOKUP(AllData[[#This Row],[Site Name]],LocationsKey[Site Name],LocationsKey[District])</f>
        <v>#VALUE!</v>
      </c>
      <c r="I1163" t="e" vm="13">
        <f>_xlfn.XLOOKUP(AllData[[#This Row],[Site Name]],LocationsKey[Site Name],LocationsKey[Town])</f>
        <v>#VALUE!</v>
      </c>
      <c r="J1163" t="str">
        <f>_xlfn.XLOOKUP(AllData[[#This Row],[Site Name]],LocationsKey[Site Name], LocationsKey[Waterway])</f>
        <v>Piddle Brook</v>
      </c>
      <c r="K1163" t="s">
        <v>787</v>
      </c>
      <c r="L1163">
        <v>52.126415000000001</v>
      </c>
      <c r="M1163">
        <v>-2.0565159999999998</v>
      </c>
      <c r="N1163" t="s">
        <v>25</v>
      </c>
      <c r="O1163">
        <v>1800</v>
      </c>
      <c r="P1163">
        <v>19.100000000000001</v>
      </c>
      <c r="Q1163">
        <v>5</v>
      </c>
      <c r="R1163" s="107" t="str">
        <f>IF(AllData[[#This Row],[Nitrate (PPM)]]&gt;2, "Very high", IF(AllData[[#This Row],[Nitrate (PPM)]]&gt;1, "High", IF(AllData[[#This Row],[Nitrate (PPM)]]&gt;0.5, "Some evidence", IF(AllData[[#This Row],[Nitrate (PPM)]]&gt;=0, "No evidence"))))</f>
        <v>Very high</v>
      </c>
      <c r="S1163" s="4">
        <v>1.32</v>
      </c>
      <c r="T1163" s="7" t="str">
        <f>IF(AllData[[#This Row],[Phosphate (PPM)]]&gt;0.5, "Very high", IF(AllData[[#This Row],[Phosphate (PPM)]]&gt;0.1, "High", IF(AllData[[#This Row],[Phosphate (PPM)]]&gt;0.05, "Some evidence", IF(AllData[[#This Row],[Phosphate (PPM)]]&lt;=0.05, "No Evidence", ""))))</f>
        <v>Very high</v>
      </c>
      <c r="U1163">
        <v>0.15</v>
      </c>
      <c r="V1163" t="s">
        <v>1775</v>
      </c>
    </row>
    <row r="1164" spans="1:22" x14ac:dyDescent="0.35">
      <c r="A1164" t="s">
        <v>1783</v>
      </c>
      <c r="B1164" s="143">
        <v>45507</v>
      </c>
      <c r="C1164" s="2" t="str" cm="1">
        <f t="array" ref="C11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4">
        <f>YEAR(AllData[[#This Row],[Date]])</f>
        <v>2024</v>
      </c>
      <c r="E1164" s="1">
        <v>0.47916666666666669</v>
      </c>
      <c r="F1164" t="str">
        <f>IF(AND(AllData[[#This Row],[Time]]&lt;0.5, AllData[[#This Row],[Time]]&gt;0.17)=TRUE, "Morning", IF(AND(AllData[[#This Row],[Time]]&lt;0.75, AllData[[#This Row],[Time]]&gt;=0.5)=TRUE, "Afternoon", IF(AND(AllData[[#This Row],[Time]]&lt;1, AllData[[#This Row],[Time]]&gt;=0.75)=TRUE, "Evening", "Night")))</f>
        <v>Morning</v>
      </c>
      <c r="G1164" t="str">
        <f>_xlfn.XLOOKUP(AllData[[#This Row],[Location Name]], Locations[Location Name],Locations[Group As])</f>
        <v>Carrant Bredon Rd</v>
      </c>
      <c r="H1164" t="e" vm="4">
        <f>_xlfn.XLOOKUP(AllData[[#This Row],[Site Name]],LocationsKey[Site Name],LocationsKey[District])</f>
        <v>#VALUE!</v>
      </c>
      <c r="I1164" t="e" vm="4">
        <f>_xlfn.XLOOKUP(AllData[[#This Row],[Site Name]],LocationsKey[Site Name],LocationsKey[Town])</f>
        <v>#VALUE!</v>
      </c>
      <c r="J1164" t="str">
        <f>_xlfn.XLOOKUP(AllData[[#This Row],[Site Name]],LocationsKey[Site Name], LocationsKey[Waterway])</f>
        <v>Carrant</v>
      </c>
      <c r="K1164" t="s">
        <v>603</v>
      </c>
      <c r="L1164">
        <v>51.996138000000002</v>
      </c>
      <c r="M1164">
        <v>-2.1559650000000001</v>
      </c>
      <c r="N1164" t="s">
        <v>25</v>
      </c>
      <c r="O1164">
        <v>698</v>
      </c>
      <c r="P1164">
        <v>19.600000000000001</v>
      </c>
      <c r="Q1164">
        <v>5</v>
      </c>
      <c r="R1164" s="107" t="str">
        <f>IF(AllData[[#This Row],[Nitrate (PPM)]]&gt;2, "Very high", IF(AllData[[#This Row],[Nitrate (PPM)]]&gt;1, "High", IF(AllData[[#This Row],[Nitrate (PPM)]]&gt;0.5, "Some evidence", IF(AllData[[#This Row],[Nitrate (PPM)]]&gt;=0, "No evidence"))))</f>
        <v>Very high</v>
      </c>
      <c r="S1164" s="4">
        <v>0.56000000000000005</v>
      </c>
      <c r="T1164" s="7" t="str">
        <f>IF(AllData[[#This Row],[Phosphate (PPM)]]&gt;0.5, "Very high", IF(AllData[[#This Row],[Phosphate (PPM)]]&gt;0.1, "High", IF(AllData[[#This Row],[Phosphate (PPM)]]&gt;0.05, "Some evidence", IF(AllData[[#This Row],[Phosphate (PPM)]]&lt;=0.05, "No Evidence", ""))))</f>
        <v>Very high</v>
      </c>
      <c r="U1164">
        <v>0</v>
      </c>
    </row>
    <row r="1165" spans="1:22" x14ac:dyDescent="0.35">
      <c r="A1165" t="s">
        <v>1779</v>
      </c>
      <c r="B1165" s="143">
        <v>45507</v>
      </c>
      <c r="C1165" s="2" t="str" cm="1">
        <f t="array" ref="C11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5">
        <f>YEAR(AllData[[#This Row],[Date]])</f>
        <v>2024</v>
      </c>
      <c r="E1165" s="1">
        <v>0.46111111111111114</v>
      </c>
      <c r="F1165" t="str">
        <f>IF(AND(AllData[[#This Row],[Time]]&lt;0.5, AllData[[#This Row],[Time]]&gt;0.17)=TRUE, "Morning", IF(AND(AllData[[#This Row],[Time]]&lt;0.75, AllData[[#This Row],[Time]]&gt;=0.5)=TRUE, "Afternoon", IF(AND(AllData[[#This Row],[Time]]&lt;1, AllData[[#This Row],[Time]]&gt;=0.75)=TRUE, "Evening", "Night")))</f>
        <v>Morning</v>
      </c>
      <c r="G1165" t="str">
        <f>_xlfn.XLOOKUP(AllData[[#This Row],[Location Name]], Locations[Location Name],Locations[Group As])</f>
        <v>Site 2  :  Cross Leys culvert</v>
      </c>
      <c r="H1165" t="e" vm="1">
        <f>_xlfn.XLOOKUP(AllData[[#This Row],[Site Name]],LocationsKey[Site Name],LocationsKey[District])</f>
        <v>#VALUE!</v>
      </c>
      <c r="I1165" t="e" vm="14">
        <f>_xlfn.XLOOKUP(AllData[[#This Row],[Site Name]],LocationsKey[Site Name],LocationsKey[Town])</f>
        <v>#VALUE!</v>
      </c>
      <c r="J1165" t="str">
        <f>_xlfn.XLOOKUP(AllData[[#This Row],[Site Name]],LocationsKey[Site Name], LocationsKey[Waterway])</f>
        <v>Fosseway Brook</v>
      </c>
      <c r="K1165" t="s">
        <v>1780</v>
      </c>
      <c r="L1165">
        <v>52.093113000000002</v>
      </c>
      <c r="M1165">
        <v>-1.6863109999999999</v>
      </c>
      <c r="N1165" t="s">
        <v>68</v>
      </c>
      <c r="O1165">
        <v>830</v>
      </c>
      <c r="P1165">
        <v>19.2</v>
      </c>
      <c r="Q1165">
        <v>0.5</v>
      </c>
      <c r="R1165" s="107" t="str">
        <f>IF(AllData[[#This Row],[Nitrate (PPM)]]&gt;2, "Very high", IF(AllData[[#This Row],[Nitrate (PPM)]]&gt;1, "High", IF(AllData[[#This Row],[Nitrate (PPM)]]&gt;0.5, "Some evidence", IF(AllData[[#This Row],[Nitrate (PPM)]]&gt;=0, "No evidence"))))</f>
        <v>No evidence</v>
      </c>
      <c r="S1165" s="4">
        <v>0.52</v>
      </c>
      <c r="T1165" s="7" t="str">
        <f>IF(AllData[[#This Row],[Phosphate (PPM)]]&gt;0.5, "Very high", IF(AllData[[#This Row],[Phosphate (PPM)]]&gt;0.1, "High", IF(AllData[[#This Row],[Phosphate (PPM)]]&gt;0.05, "Some evidence", IF(AllData[[#This Row],[Phosphate (PPM)]]&lt;=0.05, "No Evidence", ""))))</f>
        <v>Very high</v>
      </c>
      <c r="U1165">
        <v>7.0000000000000007E-2</v>
      </c>
    </row>
    <row r="1166" spans="1:22" x14ac:dyDescent="0.35">
      <c r="A1166" t="s">
        <v>1786</v>
      </c>
      <c r="B1166" s="143">
        <v>45507</v>
      </c>
      <c r="C1166" s="2" t="str" cm="1">
        <f t="array" ref="C11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6">
        <f>YEAR(AllData[[#This Row],[Date]])</f>
        <v>2024</v>
      </c>
      <c r="E1166" s="1">
        <v>0.4465277777777778</v>
      </c>
      <c r="F1166" t="str">
        <f>IF(AND(AllData[[#This Row],[Time]]&lt;0.5, AllData[[#This Row],[Time]]&gt;0.17)=TRUE, "Morning", IF(AND(AllData[[#This Row],[Time]]&lt;0.75, AllData[[#This Row],[Time]]&gt;=0.5)=TRUE, "Afternoon", IF(AND(AllData[[#This Row],[Time]]&lt;1, AllData[[#This Row],[Time]]&gt;=0.75)=TRUE, "Evening", "Night")))</f>
        <v>Morning</v>
      </c>
      <c r="G1166" t="str">
        <f>_xlfn.XLOOKUP(AllData[[#This Row],[Location Name]], Locations[Location Name],Locations[Group As])</f>
        <v>Site 1  :  Middle Street</v>
      </c>
      <c r="H1166" t="e" vm="1">
        <f>_xlfn.XLOOKUP(AllData[[#This Row],[Site Name]],LocationsKey[Site Name],LocationsKey[District])</f>
        <v>#VALUE!</v>
      </c>
      <c r="I1166" t="e" vm="14">
        <f>_xlfn.XLOOKUP(AllData[[#This Row],[Site Name]],LocationsKey[Site Name],LocationsKey[Town])</f>
        <v>#VALUE!</v>
      </c>
      <c r="J1166" t="str">
        <f>_xlfn.XLOOKUP(AllData[[#This Row],[Site Name]],LocationsKey[Site Name], LocationsKey[Waterway])</f>
        <v>Fosseway Brook</v>
      </c>
      <c r="K1166" t="s">
        <v>678</v>
      </c>
      <c r="L1166">
        <v>52.090085000000002</v>
      </c>
      <c r="M1166">
        <v>-1.692593</v>
      </c>
      <c r="N1166" t="s">
        <v>68</v>
      </c>
      <c r="O1166">
        <v>684</v>
      </c>
      <c r="P1166">
        <v>20.7</v>
      </c>
      <c r="Q1166">
        <v>0</v>
      </c>
      <c r="R1166" s="107" t="str">
        <f>IF(AllData[[#This Row],[Nitrate (PPM)]]&gt;2, "Very high", IF(AllData[[#This Row],[Nitrate (PPM)]]&gt;1, "High", IF(AllData[[#This Row],[Nitrate (PPM)]]&gt;0.5, "Some evidence", IF(AllData[[#This Row],[Nitrate (PPM)]]&gt;=0, "No evidence"))))</f>
        <v>No evidence</v>
      </c>
      <c r="S1166">
        <v>0.23</v>
      </c>
      <c r="T1166" s="7" t="str">
        <f>IF(AllData[[#This Row],[Phosphate (PPM)]]&gt;0.5, "Very high", IF(AllData[[#This Row],[Phosphate (PPM)]]&gt;0.1, "High", IF(AllData[[#This Row],[Phosphate (PPM)]]&gt;0.05, "Some evidence", IF(AllData[[#This Row],[Phosphate (PPM)]]&lt;=0.05, "No Evidence", ""))))</f>
        <v>High</v>
      </c>
      <c r="U1166">
        <v>0.05</v>
      </c>
    </row>
    <row r="1167" spans="1:22" x14ac:dyDescent="0.35">
      <c r="A1167" t="s">
        <v>1776</v>
      </c>
      <c r="B1167" s="143">
        <v>45507</v>
      </c>
      <c r="C1167" s="2" t="str" cm="1">
        <f t="array" ref="C11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7">
        <f>YEAR(AllData[[#This Row],[Date]])</f>
        <v>2024</v>
      </c>
      <c r="E1167" s="1">
        <v>0.44722222222222224</v>
      </c>
      <c r="F1167" t="str">
        <f>IF(AND(AllData[[#This Row],[Time]]&lt;0.5, AllData[[#This Row],[Time]]&gt;0.17)=TRUE, "Morning", IF(AND(AllData[[#This Row],[Time]]&lt;0.75, AllData[[#This Row],[Time]]&gt;=0.5)=TRUE, "Afternoon", IF(AND(AllData[[#This Row],[Time]]&lt;1, AllData[[#This Row],[Time]]&gt;=0.75)=TRUE, "Evening", "Night")))</f>
        <v>Morning</v>
      </c>
      <c r="G1167" t="str">
        <f>_xlfn.XLOOKUP(AllData[[#This Row],[Location Name]], Locations[Location Name],Locations[Group As])</f>
        <v>Site 1  :  Middle Street</v>
      </c>
      <c r="H1167" t="e" vm="1">
        <f>_xlfn.XLOOKUP(AllData[[#This Row],[Site Name]],LocationsKey[Site Name],LocationsKey[District])</f>
        <v>#VALUE!</v>
      </c>
      <c r="I1167" t="e" vm="14">
        <f>_xlfn.XLOOKUP(AllData[[#This Row],[Site Name]],LocationsKey[Site Name],LocationsKey[Town])</f>
        <v>#VALUE!</v>
      </c>
      <c r="J1167" t="str">
        <f>_xlfn.XLOOKUP(AllData[[#This Row],[Site Name]],LocationsKey[Site Name], LocationsKey[Waterway])</f>
        <v>Fosseway Brook</v>
      </c>
      <c r="K1167" t="s">
        <v>1777</v>
      </c>
      <c r="L1167">
        <v>52.089803000000003</v>
      </c>
      <c r="M1167">
        <v>-1.6924680000000001</v>
      </c>
      <c r="N1167" t="s">
        <v>68</v>
      </c>
      <c r="O1167">
        <v>684</v>
      </c>
      <c r="P1167">
        <v>20.7</v>
      </c>
      <c r="Q1167">
        <v>0</v>
      </c>
      <c r="R1167" s="107" t="str">
        <f>IF(AllData[[#This Row],[Nitrate (PPM)]]&gt;2, "Very high", IF(AllData[[#This Row],[Nitrate (PPM)]]&gt;1, "High", IF(AllData[[#This Row],[Nitrate (PPM)]]&gt;0.5, "Some evidence", IF(AllData[[#This Row],[Nitrate (PPM)]]&gt;=0, "No evidence"))))</f>
        <v>No evidence</v>
      </c>
      <c r="S1167" s="4">
        <v>0.23</v>
      </c>
      <c r="T1167" s="7" t="str">
        <f>IF(AllData[[#This Row],[Phosphate (PPM)]]&gt;0.5, "Very high", IF(AllData[[#This Row],[Phosphate (PPM)]]&gt;0.1, "High", IF(AllData[[#This Row],[Phosphate (PPM)]]&gt;0.05, "Some evidence", IF(AllData[[#This Row],[Phosphate (PPM)]]&lt;=0.05, "No Evidence", ""))))</f>
        <v>High</v>
      </c>
      <c r="U1167">
        <v>0.02</v>
      </c>
      <c r="V1167" t="s">
        <v>1778</v>
      </c>
    </row>
    <row r="1168" spans="1:22" x14ac:dyDescent="0.35">
      <c r="A1168" t="s">
        <v>1769</v>
      </c>
      <c r="B1168" s="143">
        <v>45506</v>
      </c>
      <c r="C1168" s="2" t="str" cm="1">
        <f t="array" ref="C11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8">
        <f>YEAR(AllData[[#This Row],[Date]])</f>
        <v>2024</v>
      </c>
      <c r="E1168" s="1">
        <v>0.43333333333333335</v>
      </c>
      <c r="F1168" t="str">
        <f>IF(AND(AllData[[#This Row],[Time]]&lt;0.5, AllData[[#This Row],[Time]]&gt;0.17)=TRUE, "Morning", IF(AND(AllData[[#This Row],[Time]]&lt;0.75, AllData[[#This Row],[Time]]&gt;=0.5)=TRUE, "Afternoon", IF(AND(AllData[[#This Row],[Time]]&lt;1, AllData[[#This Row],[Time]]&gt;=0.75)=TRUE, "Evening", "Night")))</f>
        <v>Morning</v>
      </c>
      <c r="G1168" t="str">
        <f>_xlfn.XLOOKUP(AllData[[#This Row],[Location Name]], Locations[Location Name],Locations[Group As])</f>
        <v>Bredon Marina</v>
      </c>
      <c r="H1168" t="e" vm="4">
        <f>_xlfn.XLOOKUP(AllData[[#This Row],[Site Name]],LocationsKey[Site Name],LocationsKey[District])</f>
        <v>#VALUE!</v>
      </c>
      <c r="I1168" t="e" vm="11">
        <f>_xlfn.XLOOKUP(AllData[[#This Row],[Site Name]],LocationsKey[Site Name],LocationsKey[Town])</f>
        <v>#VALUE!</v>
      </c>
      <c r="J1168" t="str">
        <f>_xlfn.XLOOKUP(AllData[[#This Row],[Site Name]],LocationsKey[Site Name], LocationsKey[Waterway])</f>
        <v>Avon</v>
      </c>
      <c r="K1168" t="s">
        <v>1661</v>
      </c>
      <c r="L1168">
        <v>52.031204000000002</v>
      </c>
      <c r="M1168">
        <v>-2.1140029999999999</v>
      </c>
      <c r="N1168" t="s">
        <v>31</v>
      </c>
      <c r="O1168">
        <v>9560</v>
      </c>
      <c r="P1168">
        <v>22.8</v>
      </c>
      <c r="Q1168">
        <v>10</v>
      </c>
      <c r="R1168" s="107" t="str">
        <f>IF(AllData[[#This Row],[Nitrate (PPM)]]&gt;2, "Very high", IF(AllData[[#This Row],[Nitrate (PPM)]]&gt;1, "High", IF(AllData[[#This Row],[Nitrate (PPM)]]&gt;0.5, "Some evidence", IF(AllData[[#This Row],[Nitrate (PPM)]]&gt;=0, "No evidence"))))</f>
        <v>Very high</v>
      </c>
      <c r="S1168" s="4">
        <v>1.21</v>
      </c>
      <c r="T1168" s="7" t="str">
        <f>IF(AllData[[#This Row],[Phosphate (PPM)]]&gt;0.5, "Very high", IF(AllData[[#This Row],[Phosphate (PPM)]]&gt;0.1, "High", IF(AllData[[#This Row],[Phosphate (PPM)]]&gt;0.05, "Some evidence", IF(AllData[[#This Row],[Phosphate (PPM)]]&lt;=0.05, "No Evidence", ""))))</f>
        <v>Very high</v>
      </c>
      <c r="U1168">
        <v>0</v>
      </c>
    </row>
    <row r="1169" spans="1:22" x14ac:dyDescent="0.35">
      <c r="A1169" t="s">
        <v>1768</v>
      </c>
      <c r="B1169" s="143">
        <v>45506</v>
      </c>
      <c r="C1169" s="2" t="str" cm="1">
        <f t="array" ref="C11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69">
        <f>YEAR(AllData[[#This Row],[Date]])</f>
        <v>2024</v>
      </c>
      <c r="E1169" s="1">
        <v>0.34583333333333333</v>
      </c>
      <c r="F1169" t="str">
        <f>IF(AND(AllData[[#This Row],[Time]]&lt;0.5, AllData[[#This Row],[Time]]&gt;0.17)=TRUE, "Morning", IF(AND(AllData[[#This Row],[Time]]&lt;0.75, AllData[[#This Row],[Time]]&gt;=0.5)=TRUE, "Afternoon", IF(AND(AllData[[#This Row],[Time]]&lt;1, AllData[[#This Row],[Time]]&gt;=0.75)=TRUE, "Evening", "Night")))</f>
        <v>Morning</v>
      </c>
      <c r="G1169" t="str">
        <f>_xlfn.XLOOKUP(AllData[[#This Row],[Location Name]], Locations[Location Name],Locations[Group As])</f>
        <v>Lower Lode</v>
      </c>
      <c r="H1169" t="e" vm="4">
        <f>_xlfn.XLOOKUP(AllData[[#This Row],[Site Name]],LocationsKey[Site Name],LocationsKey[District])</f>
        <v>#VALUE!</v>
      </c>
      <c r="I1169" t="e" vm="4">
        <f>_xlfn.XLOOKUP(AllData[[#This Row],[Site Name]],LocationsKey[Site Name],LocationsKey[Town])</f>
        <v>#VALUE!</v>
      </c>
      <c r="J1169" t="str">
        <f>_xlfn.XLOOKUP(AllData[[#This Row],[Site Name]],LocationsKey[Site Name], LocationsKey[Waterway])</f>
        <v>Avon</v>
      </c>
      <c r="K1169" t="s">
        <v>595</v>
      </c>
      <c r="L1169">
        <v>51.985059999999997</v>
      </c>
      <c r="M1169">
        <v>-2.1741440000000001</v>
      </c>
      <c r="N1169" t="s">
        <v>31</v>
      </c>
      <c r="O1169">
        <v>8140</v>
      </c>
      <c r="P1169">
        <v>22</v>
      </c>
      <c r="Q1169">
        <v>10</v>
      </c>
      <c r="R1169" s="107" t="str">
        <f>IF(AllData[[#This Row],[Nitrate (PPM)]]&gt;2, "Very high", IF(AllData[[#This Row],[Nitrate (PPM)]]&gt;1, "High", IF(AllData[[#This Row],[Nitrate (PPM)]]&gt;0.5, "Some evidence", IF(AllData[[#This Row],[Nitrate (PPM)]]&gt;=0, "No evidence"))))</f>
        <v>Very high</v>
      </c>
      <c r="S1169" s="4">
        <v>0.92</v>
      </c>
      <c r="T1169" s="7" t="str">
        <f>IF(AllData[[#This Row],[Phosphate (PPM)]]&gt;0.5, "Very high", IF(AllData[[#This Row],[Phosphate (PPM)]]&gt;0.1, "High", IF(AllData[[#This Row],[Phosphate (PPM)]]&gt;0.05, "Some evidence", IF(AllData[[#This Row],[Phosphate (PPM)]]&lt;=0.05, "No Evidence", ""))))</f>
        <v>Very high</v>
      </c>
      <c r="U1169">
        <v>0</v>
      </c>
    </row>
    <row r="1170" spans="1:22" x14ac:dyDescent="0.35">
      <c r="A1170" t="s">
        <v>1770</v>
      </c>
      <c r="B1170" s="143">
        <v>45506</v>
      </c>
      <c r="C1170" s="2" t="str" cm="1">
        <f t="array" ref="C11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0">
        <f>YEAR(AllData[[#This Row],[Date]])</f>
        <v>2024</v>
      </c>
      <c r="E1170" s="1">
        <v>0.73819444444444449</v>
      </c>
      <c r="F1170" t="str">
        <f>IF(AND(AllData[[#This Row],[Time]]&lt;0.5, AllData[[#This Row],[Time]]&gt;0.17)=TRUE, "Morning", IF(AND(AllData[[#This Row],[Time]]&lt;0.75, AllData[[#This Row],[Time]]&gt;=0.5)=TRUE, "Afternoon", IF(AND(AllData[[#This Row],[Time]]&lt;1, AllData[[#This Row],[Time]]&gt;=0.75)=TRUE, "Evening", "Night")))</f>
        <v>Afternoon</v>
      </c>
      <c r="G1170" t="str">
        <f>_xlfn.XLOOKUP(AllData[[#This Row],[Location Name]], Locations[Location Name],Locations[Group As])</f>
        <v>Preston-on-Stour River Bridge</v>
      </c>
      <c r="H1170" t="e" vm="1">
        <f>_xlfn.XLOOKUP(AllData[[#This Row],[Site Name]],LocationsKey[Site Name],LocationsKey[District])</f>
        <v>#VALUE!</v>
      </c>
      <c r="I1170" t="e" vm="20">
        <f>_xlfn.XLOOKUP(AllData[[#This Row],[Site Name]],LocationsKey[Site Name],LocationsKey[Town])</f>
        <v>#VALUE!</v>
      </c>
      <c r="J1170" t="str">
        <f>_xlfn.XLOOKUP(AllData[[#This Row],[Site Name]],LocationsKey[Site Name], LocationsKey[Waterway])</f>
        <v>Stour</v>
      </c>
      <c r="K1170" t="s">
        <v>164</v>
      </c>
      <c r="L1170">
        <v>52.146448999999997</v>
      </c>
      <c r="M1170">
        <v>-1.699927</v>
      </c>
      <c r="N1170" t="s">
        <v>31</v>
      </c>
      <c r="O1170">
        <v>646</v>
      </c>
      <c r="P1170">
        <v>21.2</v>
      </c>
      <c r="Q1170">
        <v>6</v>
      </c>
      <c r="R1170" s="107" t="str">
        <f>IF(AllData[[#This Row],[Nitrate (PPM)]]&gt;2, "Very high", IF(AllData[[#This Row],[Nitrate (PPM)]]&gt;1, "High", IF(AllData[[#This Row],[Nitrate (PPM)]]&gt;0.5, "Some evidence", IF(AllData[[#This Row],[Nitrate (PPM)]]&gt;=0, "No evidence"))))</f>
        <v>Very high</v>
      </c>
      <c r="S1170" s="4">
        <v>0.41</v>
      </c>
      <c r="T1170" s="7" t="str">
        <f>IF(AllData[[#This Row],[Phosphate (PPM)]]&gt;0.5, "Very high", IF(AllData[[#This Row],[Phosphate (PPM)]]&gt;0.1, "High", IF(AllData[[#This Row],[Phosphate (PPM)]]&gt;0.05, "Some evidence", IF(AllData[[#This Row],[Phosphate (PPM)]]&lt;=0.05, "No Evidence", ""))))</f>
        <v>High</v>
      </c>
      <c r="U1170">
        <v>1</v>
      </c>
      <c r="V1170" t="s">
        <v>1771</v>
      </c>
    </row>
    <row r="1171" spans="1:22" x14ac:dyDescent="0.35">
      <c r="A1171" t="s">
        <v>1765</v>
      </c>
      <c r="B1171" s="143">
        <v>45505</v>
      </c>
      <c r="C1171" s="2" t="str" cm="1">
        <f t="array" ref="C11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1">
        <f>YEAR(AllData[[#This Row],[Date]])</f>
        <v>2024</v>
      </c>
      <c r="E1171" s="1">
        <v>0.40972222222222221</v>
      </c>
      <c r="F1171" t="str">
        <f>IF(AND(AllData[[#This Row],[Time]]&lt;0.5, AllData[[#This Row],[Time]]&gt;0.17)=TRUE, "Morning", IF(AND(AllData[[#This Row],[Time]]&lt;0.75, AllData[[#This Row],[Time]]&gt;=0.5)=TRUE, "Afternoon", IF(AND(AllData[[#This Row],[Time]]&lt;1, AllData[[#This Row],[Time]]&gt;=0.75)=TRUE, "Evening", "Night")))</f>
        <v>Morning</v>
      </c>
      <c r="G1171" t="str">
        <f>_xlfn.XLOOKUP(AllData[[#This Row],[Location Name]], Locations[Location Name],Locations[Group As])</f>
        <v>Carrant A38</v>
      </c>
      <c r="H1171" t="e" vm="4">
        <f>_xlfn.XLOOKUP(AllData[[#This Row],[Site Name]],LocationsKey[Site Name],LocationsKey[District])</f>
        <v>#VALUE!</v>
      </c>
      <c r="I1171" t="str">
        <f>_xlfn.XLOOKUP(AllData[[#This Row],[Site Name]],LocationsKey[Site Name],LocationsKey[Town])</f>
        <v>Unknown</v>
      </c>
      <c r="J1171" t="str">
        <f>_xlfn.XLOOKUP(AllData[[#This Row],[Site Name]],LocationsKey[Site Name], LocationsKey[Waterway])</f>
        <v>Carrant</v>
      </c>
      <c r="K1171" t="s">
        <v>1766</v>
      </c>
      <c r="N1171" t="s">
        <v>25</v>
      </c>
      <c r="O1171">
        <v>1050</v>
      </c>
      <c r="P1171">
        <v>20.399999999999999</v>
      </c>
      <c r="Q1171">
        <v>5</v>
      </c>
      <c r="R1171" s="107" t="str">
        <f>IF(AllData[[#This Row],[Nitrate (PPM)]]&gt;2, "Very high", IF(AllData[[#This Row],[Nitrate (PPM)]]&gt;1, "High", IF(AllData[[#This Row],[Nitrate (PPM)]]&gt;0.5, "Some evidence", IF(AllData[[#This Row],[Nitrate (PPM)]]&gt;=0, "No evidence"))))</f>
        <v>Very high</v>
      </c>
      <c r="S1171" s="4">
        <v>0.8</v>
      </c>
      <c r="T1171" s="7" t="str">
        <f>IF(AllData[[#This Row],[Phosphate (PPM)]]&gt;0.5, "Very high", IF(AllData[[#This Row],[Phosphate (PPM)]]&gt;0.1, "High", IF(AllData[[#This Row],[Phosphate (PPM)]]&gt;0.05, "Some evidence", IF(AllData[[#This Row],[Phosphate (PPM)]]&lt;=0.05, "No Evidence", ""))))</f>
        <v>Very high</v>
      </c>
      <c r="U1171">
        <v>0</v>
      </c>
    </row>
    <row r="1172" spans="1:22" x14ac:dyDescent="0.35">
      <c r="A1172" t="s">
        <v>1767</v>
      </c>
      <c r="B1172" s="143">
        <v>45505</v>
      </c>
      <c r="C1172" s="2" t="str" cm="1">
        <f t="array" ref="C11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2">
        <f>YEAR(AllData[[#This Row],[Date]])</f>
        <v>2024</v>
      </c>
      <c r="E1172" s="1">
        <v>0.5</v>
      </c>
      <c r="F1172" t="str">
        <f>IF(AND(AllData[[#This Row],[Time]]&lt;0.5, AllData[[#This Row],[Time]]&gt;0.17)=TRUE, "Morning", IF(AND(AllData[[#This Row],[Time]]&lt;0.75, AllData[[#This Row],[Time]]&gt;=0.5)=TRUE, "Afternoon", IF(AND(AllData[[#This Row],[Time]]&lt;1, AllData[[#This Row],[Time]]&gt;=0.75)=TRUE, "Evening", "Night")))</f>
        <v>Afternoon</v>
      </c>
      <c r="G1172" t="str">
        <f>_xlfn.XLOOKUP(AllData[[#This Row],[Location Name]], Locations[Location Name],Locations[Group As])</f>
        <v>Stour Willington</v>
      </c>
      <c r="H1172" t="e" vm="1">
        <f>_xlfn.XLOOKUP(AllData[[#This Row],[Site Name]],LocationsKey[Site Name],LocationsKey[District])</f>
        <v>#VALUE!</v>
      </c>
      <c r="I1172" t="str">
        <f>_xlfn.XLOOKUP(AllData[[#This Row],[Site Name]],LocationsKey[Site Name],LocationsKey[Town])</f>
        <v>Willington</v>
      </c>
      <c r="J1172" t="str">
        <f>_xlfn.XLOOKUP(AllData[[#This Row],[Site Name]],LocationsKey[Site Name], LocationsKey[Waterway])</f>
        <v>Stour</v>
      </c>
      <c r="K1172" t="s">
        <v>521</v>
      </c>
      <c r="L1172">
        <v>52.053542999999998</v>
      </c>
      <c r="M1172">
        <v>-1.6201270000000001</v>
      </c>
      <c r="N1172" t="s">
        <v>25</v>
      </c>
      <c r="O1172">
        <v>636</v>
      </c>
      <c r="P1172">
        <v>19.8</v>
      </c>
      <c r="Q1172">
        <v>2</v>
      </c>
      <c r="R1172" s="107" t="str">
        <f>IF(AllData[[#This Row],[Nitrate (PPM)]]&gt;2, "Very high", IF(AllData[[#This Row],[Nitrate (PPM)]]&gt;1, "High", IF(AllData[[#This Row],[Nitrate (PPM)]]&gt;0.5, "Some evidence", IF(AllData[[#This Row],[Nitrate (PPM)]]&gt;=0, "No evidence"))))</f>
        <v>High</v>
      </c>
      <c r="S1172" s="4">
        <v>0.51</v>
      </c>
      <c r="T1172" s="7" t="str">
        <f>IF(AllData[[#This Row],[Phosphate (PPM)]]&gt;0.5, "Very high", IF(AllData[[#This Row],[Phosphate (PPM)]]&gt;0.1, "High", IF(AllData[[#This Row],[Phosphate (PPM)]]&gt;0.05, "Some evidence", IF(AllData[[#This Row],[Phosphate (PPM)]]&lt;=0.05, "No Evidence", ""))))</f>
        <v>Very high</v>
      </c>
      <c r="U1172">
        <v>0.5</v>
      </c>
    </row>
    <row r="1173" spans="1:22" x14ac:dyDescent="0.35">
      <c r="A1173" t="s">
        <v>1763</v>
      </c>
      <c r="B1173" s="143">
        <v>45504</v>
      </c>
      <c r="C1173" s="2" t="str" cm="1">
        <f t="array" ref="C11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3">
        <f>YEAR(AllData[[#This Row],[Date]])</f>
        <v>2024</v>
      </c>
      <c r="E1173" s="1">
        <v>0.60069444444444442</v>
      </c>
      <c r="F1173" t="str">
        <f>IF(AND(AllData[[#This Row],[Time]]&lt;0.5, AllData[[#This Row],[Time]]&gt;0.17)=TRUE, "Morning", IF(AND(AllData[[#This Row],[Time]]&lt;0.75, AllData[[#This Row],[Time]]&gt;=0.5)=TRUE, "Afternoon", IF(AND(AllData[[#This Row],[Time]]&lt;1, AllData[[#This Row],[Time]]&gt;=0.75)=TRUE, "Evening", "Night")))</f>
        <v>Afternoon</v>
      </c>
      <c r="G1173" t="str">
        <f>_xlfn.XLOOKUP(AllData[[#This Row],[Location Name]], Locations[Location Name],Locations[Group As])</f>
        <v>Swiffen Bank</v>
      </c>
      <c r="H1173" t="e" vm="1">
        <f>_xlfn.XLOOKUP(AllData[[#This Row],[Site Name]],LocationsKey[Site Name],LocationsKey[District])</f>
        <v>#VALUE!</v>
      </c>
      <c r="I1173" t="e" vm="2">
        <f>_xlfn.XLOOKUP(AllData[[#This Row],[Site Name]],LocationsKey[Site Name],LocationsKey[Town])</f>
        <v>#VALUE!</v>
      </c>
      <c r="J1173" t="str">
        <f>_xlfn.XLOOKUP(AllData[[#This Row],[Site Name]],LocationsKey[Site Name], LocationsKey[Waterway])</f>
        <v>Avon</v>
      </c>
      <c r="K1173" t="s">
        <v>286</v>
      </c>
      <c r="L1173">
        <v>52.206477999999997</v>
      </c>
      <c r="M1173">
        <v>-1.653894</v>
      </c>
      <c r="N1173" t="s">
        <v>31</v>
      </c>
      <c r="O1173">
        <v>776</v>
      </c>
      <c r="P1173">
        <v>22.8</v>
      </c>
      <c r="Q1173">
        <v>10</v>
      </c>
      <c r="R1173" s="107" t="str">
        <f>IF(AllData[[#This Row],[Nitrate (PPM)]]&gt;2, "Very high", IF(AllData[[#This Row],[Nitrate (PPM)]]&gt;1, "High", IF(AllData[[#This Row],[Nitrate (PPM)]]&gt;0.5, "Some evidence", IF(AllData[[#This Row],[Nitrate (PPM)]]&gt;=0, "No evidence"))))</f>
        <v>Very high</v>
      </c>
      <c r="S1173" s="4">
        <v>0.71</v>
      </c>
      <c r="T1173" s="7" t="str">
        <f>IF(AllData[[#This Row],[Phosphate (PPM)]]&gt;0.5, "Very high", IF(AllData[[#This Row],[Phosphate (PPM)]]&gt;0.1, "High", IF(AllData[[#This Row],[Phosphate (PPM)]]&gt;0.05, "Some evidence", IF(AllData[[#This Row],[Phosphate (PPM)]]&lt;=0.05, "No Evidence", ""))))</f>
        <v>Very high</v>
      </c>
      <c r="U1173">
        <v>-0.5</v>
      </c>
      <c r="V1173" t="s">
        <v>1764</v>
      </c>
    </row>
    <row r="1174" spans="1:22" x14ac:dyDescent="0.35">
      <c r="A1174" t="s">
        <v>1761</v>
      </c>
      <c r="B1174" s="143">
        <v>45504</v>
      </c>
      <c r="C1174" s="2" t="str" cm="1">
        <f t="array" ref="C11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4">
        <f>YEAR(AllData[[#This Row],[Date]])</f>
        <v>2024</v>
      </c>
      <c r="E1174" s="1">
        <v>0.59375</v>
      </c>
      <c r="F1174" t="str">
        <f>IF(AND(AllData[[#This Row],[Time]]&lt;0.5, AllData[[#This Row],[Time]]&gt;0.17)=TRUE, "Morning", IF(AND(AllData[[#This Row],[Time]]&lt;0.75, AllData[[#This Row],[Time]]&gt;=0.5)=TRUE, "Afternoon", IF(AND(AllData[[#This Row],[Time]]&lt;1, AllData[[#This Row],[Time]]&gt;=0.75)=TRUE, "Evening", "Night")))</f>
        <v>Afternoon</v>
      </c>
      <c r="G1174" t="str">
        <f>_xlfn.XLOOKUP(AllData[[#This Row],[Location Name]], Locations[Location Name],Locations[Group As])</f>
        <v>Alveston Weir</v>
      </c>
      <c r="H1174" t="e" vm="1">
        <f>_xlfn.XLOOKUP(AllData[[#This Row],[Site Name]],LocationsKey[Site Name],LocationsKey[District])</f>
        <v>#VALUE!</v>
      </c>
      <c r="I1174" t="e" vm="2">
        <f>_xlfn.XLOOKUP(AllData[[#This Row],[Site Name]],LocationsKey[Site Name],LocationsKey[Town])</f>
        <v>#VALUE!</v>
      </c>
      <c r="J1174" t="str">
        <f>_xlfn.XLOOKUP(AllData[[#This Row],[Site Name]],LocationsKey[Site Name], LocationsKey[Waterway])</f>
        <v>Avon</v>
      </c>
      <c r="K1174" t="s">
        <v>288</v>
      </c>
      <c r="L1174">
        <v>52.205750000000002</v>
      </c>
      <c r="M1174">
        <v>-1.655483</v>
      </c>
      <c r="N1174" t="s">
        <v>31</v>
      </c>
      <c r="O1174">
        <v>758</v>
      </c>
      <c r="P1174">
        <v>23.4</v>
      </c>
      <c r="Q1174">
        <v>10</v>
      </c>
      <c r="R1174" s="107" t="str">
        <f>IF(AllData[[#This Row],[Nitrate (PPM)]]&gt;2, "Very high", IF(AllData[[#This Row],[Nitrate (PPM)]]&gt;1, "High", IF(AllData[[#This Row],[Nitrate (PPM)]]&gt;0.5, "Some evidence", IF(AllData[[#This Row],[Nitrate (PPM)]]&gt;=0, "No evidence"))))</f>
        <v>Very high</v>
      </c>
      <c r="S1174" s="4">
        <v>0.53</v>
      </c>
      <c r="T1174" s="7" t="str">
        <f>IF(AllData[[#This Row],[Phosphate (PPM)]]&gt;0.5, "Very high", IF(AllData[[#This Row],[Phosphate (PPM)]]&gt;0.1, "High", IF(AllData[[#This Row],[Phosphate (PPM)]]&gt;0.05, "Some evidence", IF(AllData[[#This Row],[Phosphate (PPM)]]&lt;=0.05, "No Evidence", ""))))</f>
        <v>Very high</v>
      </c>
      <c r="U1174">
        <v>-1.5</v>
      </c>
      <c r="V1174" t="s">
        <v>1762</v>
      </c>
    </row>
    <row r="1175" spans="1:22" x14ac:dyDescent="0.35">
      <c r="A1175" t="s">
        <v>1759</v>
      </c>
      <c r="B1175" s="143">
        <v>45503</v>
      </c>
      <c r="C1175" s="2" t="str" cm="1">
        <f t="array" ref="C11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5">
        <f>YEAR(AllData[[#This Row],[Date]])</f>
        <v>2024</v>
      </c>
      <c r="E1175" s="1">
        <v>0.56041666666666667</v>
      </c>
      <c r="F1175" t="str">
        <f>IF(AND(AllData[[#This Row],[Time]]&lt;0.5, AllData[[#This Row],[Time]]&gt;0.17)=TRUE, "Morning", IF(AND(AllData[[#This Row],[Time]]&lt;0.75, AllData[[#This Row],[Time]]&gt;=0.5)=TRUE, "Afternoon", IF(AND(AllData[[#This Row],[Time]]&lt;1, AllData[[#This Row],[Time]]&gt;=0.75)=TRUE, "Evening", "Night")))</f>
        <v>Afternoon</v>
      </c>
      <c r="G1175" t="str">
        <f>_xlfn.XLOOKUP(AllData[[#This Row],[Location Name]], Locations[Location Name],Locations[Group As])</f>
        <v>Walcot Lane, Bow Brook Ford</v>
      </c>
      <c r="H1175" t="e" vm="6">
        <f>_xlfn.XLOOKUP(AllData[[#This Row],[Site Name]],LocationsKey[Site Name],LocationsKey[District])</f>
        <v>#VALUE!</v>
      </c>
      <c r="I1175" t="e" vm="7">
        <f>_xlfn.XLOOKUP(AllData[[#This Row],[Site Name]],LocationsKey[Site Name],LocationsKey[Town])</f>
        <v>#VALUE!</v>
      </c>
      <c r="J1175" t="str">
        <f>_xlfn.XLOOKUP(AllData[[#This Row],[Site Name]],LocationsKey[Site Name], LocationsKey[Waterway])</f>
        <v>Bow Brook</v>
      </c>
      <c r="K1175" t="s">
        <v>775</v>
      </c>
      <c r="L1175">
        <v>52.130431999999999</v>
      </c>
      <c r="M1175">
        <v>-2.0785369999999999</v>
      </c>
      <c r="N1175" t="s">
        <v>25</v>
      </c>
      <c r="O1175">
        <v>1230</v>
      </c>
      <c r="P1175">
        <v>20.399999999999999</v>
      </c>
      <c r="Q1175">
        <v>5</v>
      </c>
      <c r="R1175" s="107" t="str">
        <f>IF(AllData[[#This Row],[Nitrate (PPM)]]&gt;2, "Very high", IF(AllData[[#This Row],[Nitrate (PPM)]]&gt;1, "High", IF(AllData[[#This Row],[Nitrate (PPM)]]&gt;0.5, "Some evidence", IF(AllData[[#This Row],[Nitrate (PPM)]]&gt;=0, "No evidence"))))</f>
        <v>Very high</v>
      </c>
      <c r="S1175">
        <v>1.81</v>
      </c>
      <c r="T1175" s="7" t="str">
        <f>IF(AllData[[#This Row],[Phosphate (PPM)]]&gt;0.5, "Very high", IF(AllData[[#This Row],[Phosphate (PPM)]]&gt;0.1, "High", IF(AllData[[#This Row],[Phosphate (PPM)]]&gt;0.05, "Some evidence", IF(AllData[[#This Row],[Phosphate (PPM)]]&lt;=0.05, "No Evidence", ""))))</f>
        <v>Very high</v>
      </c>
      <c r="U1175">
        <v>0.2</v>
      </c>
      <c r="V1175" t="s">
        <v>1760</v>
      </c>
    </row>
    <row r="1176" spans="1:22" x14ac:dyDescent="0.35">
      <c r="A1176" t="s">
        <v>1758</v>
      </c>
      <c r="B1176" s="143">
        <v>45503</v>
      </c>
      <c r="C1176" s="2" t="str" cm="1">
        <f t="array" ref="C11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6">
        <f>YEAR(AllData[[#This Row],[Date]])</f>
        <v>2024</v>
      </c>
      <c r="E1176" s="1">
        <v>0.4597222222222222</v>
      </c>
      <c r="F1176" t="str">
        <f>IF(AND(AllData[[#This Row],[Time]]&lt;0.5, AllData[[#This Row],[Time]]&gt;0.17)=TRUE, "Morning", IF(AND(AllData[[#This Row],[Time]]&lt;0.75, AllData[[#This Row],[Time]]&gt;=0.5)=TRUE, "Afternoon", IF(AND(AllData[[#This Row],[Time]]&lt;1, AllData[[#This Row],[Time]]&gt;=0.75)=TRUE, "Evening", "Night")))</f>
        <v>Morning</v>
      </c>
      <c r="G1176" t="str">
        <f>_xlfn.XLOOKUP(AllData[[#This Row],[Location Name]], Locations[Location Name],Locations[Group As])</f>
        <v>Carrant Mitton Path</v>
      </c>
      <c r="H1176" t="e" vm="4">
        <f>_xlfn.XLOOKUP(AllData[[#This Row],[Site Name]],LocationsKey[Site Name],LocationsKey[District])</f>
        <v>#VALUE!</v>
      </c>
      <c r="I1176" t="e" vm="4">
        <f>_xlfn.XLOOKUP(AllData[[#This Row],[Site Name]],LocationsKey[Site Name],LocationsKey[Town])</f>
        <v>#VALUE!</v>
      </c>
      <c r="J1176" t="str">
        <f>_xlfn.XLOOKUP(AllData[[#This Row],[Site Name]],LocationsKey[Site Name], LocationsKey[Waterway])</f>
        <v>Carrant</v>
      </c>
      <c r="K1176" t="s">
        <v>1064</v>
      </c>
      <c r="L1176">
        <v>52.000320000000002</v>
      </c>
      <c r="M1176">
        <v>-2.1429360000000002</v>
      </c>
      <c r="N1176" t="s">
        <v>25</v>
      </c>
      <c r="O1176">
        <v>645</v>
      </c>
      <c r="P1176">
        <v>19.2</v>
      </c>
      <c r="Q1176">
        <v>5</v>
      </c>
      <c r="R1176" s="107" t="str">
        <f>IF(AllData[[#This Row],[Nitrate (PPM)]]&gt;2, "Very high", IF(AllData[[#This Row],[Nitrate (PPM)]]&gt;1, "High", IF(AllData[[#This Row],[Nitrate (PPM)]]&gt;0.5, "Some evidence", IF(AllData[[#This Row],[Nitrate (PPM)]]&gt;=0, "No evidence"))))</f>
        <v>Very high</v>
      </c>
      <c r="S1176" s="4">
        <v>0.46</v>
      </c>
      <c r="T1176" s="7" t="str">
        <f>IF(AllData[[#This Row],[Phosphate (PPM)]]&gt;0.5, "Very high", IF(AllData[[#This Row],[Phosphate (PPM)]]&gt;0.1, "High", IF(AllData[[#This Row],[Phosphate (PPM)]]&gt;0.05, "Some evidence", IF(AllData[[#This Row],[Phosphate (PPM)]]&lt;=0.05, "No Evidence", ""))))</f>
        <v>High</v>
      </c>
      <c r="U1176">
        <v>0</v>
      </c>
    </row>
    <row r="1177" spans="1:22" x14ac:dyDescent="0.35">
      <c r="A1177" t="s">
        <v>1755</v>
      </c>
      <c r="B1177" s="143">
        <v>45502</v>
      </c>
      <c r="C1177" s="2" t="str" cm="1">
        <f t="array" ref="C11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7">
        <f>YEAR(AllData[[#This Row],[Date]])</f>
        <v>2024</v>
      </c>
      <c r="E1177" s="1">
        <v>0.45833333333333331</v>
      </c>
      <c r="F1177" t="str">
        <f>IF(AND(AllData[[#This Row],[Time]]&lt;0.5, AllData[[#This Row],[Time]]&gt;0.17)=TRUE, "Morning", IF(AND(AllData[[#This Row],[Time]]&lt;0.75, AllData[[#This Row],[Time]]&gt;=0.5)=TRUE, "Afternoon", IF(AND(AllData[[#This Row],[Time]]&lt;1, AllData[[#This Row],[Time]]&gt;=0.75)=TRUE, "Evening", "Night")))</f>
        <v>Morning</v>
      </c>
      <c r="G1177" t="str">
        <f>_xlfn.XLOOKUP(AllData[[#This Row],[Location Name]], Locations[Location Name],Locations[Group As])</f>
        <v>Carrant M5 Bridge</v>
      </c>
      <c r="H1177" t="e" vm="4">
        <f>_xlfn.XLOOKUP(AllData[[#This Row],[Site Name]],LocationsKey[Site Name],LocationsKey[District])</f>
        <v>#VALUE!</v>
      </c>
      <c r="I1177" t="e" vm="4">
        <f>_xlfn.XLOOKUP(AllData[[#This Row],[Site Name]],LocationsKey[Site Name],LocationsKey[Town])</f>
        <v>#VALUE!</v>
      </c>
      <c r="J1177" t="str">
        <f>_xlfn.XLOOKUP(AllData[[#This Row],[Site Name]],LocationsKey[Site Name], LocationsKey[Waterway])</f>
        <v>Carrant</v>
      </c>
      <c r="K1177" t="s">
        <v>1144</v>
      </c>
      <c r="N1177" t="s">
        <v>25</v>
      </c>
      <c r="O1177">
        <v>504</v>
      </c>
      <c r="P1177">
        <v>21.3</v>
      </c>
      <c r="Q1177">
        <v>6</v>
      </c>
      <c r="R1177" s="107" t="str">
        <f>IF(AllData[[#This Row],[Nitrate (PPM)]]&gt;2, "Very high", IF(AllData[[#This Row],[Nitrate (PPM)]]&gt;1, "High", IF(AllData[[#This Row],[Nitrate (PPM)]]&gt;0.5, "Some evidence", IF(AllData[[#This Row],[Nitrate (PPM)]]&gt;=0, "No evidence"))))</f>
        <v>Very high</v>
      </c>
      <c r="S1177" s="4">
        <v>0.17</v>
      </c>
      <c r="T1177" s="7" t="str">
        <f>IF(AllData[[#This Row],[Phosphate (PPM)]]&gt;0.5, "Very high", IF(AllData[[#This Row],[Phosphate (PPM)]]&gt;0.1, "High", IF(AllData[[#This Row],[Phosphate (PPM)]]&gt;0.05, "Some evidence", IF(AllData[[#This Row],[Phosphate (PPM)]]&lt;=0.05, "No Evidence", ""))))</f>
        <v>High</v>
      </c>
      <c r="U1177">
        <v>0</v>
      </c>
    </row>
    <row r="1178" spans="1:22" x14ac:dyDescent="0.35">
      <c r="A1178" t="s">
        <v>1754</v>
      </c>
      <c r="B1178" s="143">
        <v>45502</v>
      </c>
      <c r="C1178" s="2" t="str" cm="1">
        <f t="array" ref="C11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8">
        <f>YEAR(AllData[[#This Row],[Date]])</f>
        <v>2024</v>
      </c>
      <c r="E1178" s="1">
        <v>0.3611111111111111</v>
      </c>
      <c r="F1178" t="str">
        <f>IF(AND(AllData[[#This Row],[Time]]&lt;0.5, AllData[[#This Row],[Time]]&gt;0.17)=TRUE, "Morning", IF(AND(AllData[[#This Row],[Time]]&lt;0.75, AllData[[#This Row],[Time]]&gt;=0.5)=TRUE, "Afternoon", IF(AND(AllData[[#This Row],[Time]]&lt;1, AllData[[#This Row],[Time]]&gt;=0.75)=TRUE, "Evening", "Night")))</f>
        <v>Morning</v>
      </c>
      <c r="G1178" t="str">
        <f>_xlfn.XLOOKUP(AllData[[#This Row],[Location Name]], Locations[Location Name],Locations[Group As])</f>
        <v>Chipping Campden Sewage Works</v>
      </c>
      <c r="H1178" t="e" vm="9">
        <f>_xlfn.XLOOKUP(AllData[[#This Row],[Site Name]],LocationsKey[Site Name],LocationsKey[District])</f>
        <v>#VALUE!</v>
      </c>
      <c r="I1178" t="e" vm="10">
        <f>_xlfn.XLOOKUP(AllData[[#This Row],[Site Name]],LocationsKey[Site Name],LocationsKey[Town])</f>
        <v>#VALUE!</v>
      </c>
      <c r="J1178" t="str">
        <f>_xlfn.XLOOKUP(AllData[[#This Row],[Site Name]],LocationsKey[Site Name], LocationsKey[Waterway])</f>
        <v>Cam Brook</v>
      </c>
      <c r="K1178" t="s">
        <v>1570</v>
      </c>
      <c r="N1178" t="s">
        <v>31</v>
      </c>
      <c r="O1178">
        <v>765</v>
      </c>
      <c r="P1178">
        <v>15.6</v>
      </c>
      <c r="Q1178">
        <v>5</v>
      </c>
      <c r="R1178" s="107" t="str">
        <f>IF(AllData[[#This Row],[Nitrate (PPM)]]&gt;2, "Very high", IF(AllData[[#This Row],[Nitrate (PPM)]]&gt;1, "High", IF(AllData[[#This Row],[Nitrate (PPM)]]&gt;0.5, "Some evidence", IF(AllData[[#This Row],[Nitrate (PPM)]]&gt;=0, "No evidence"))))</f>
        <v>Very high</v>
      </c>
      <c r="S1178" s="4">
        <v>0.25</v>
      </c>
      <c r="T1178" s="7" t="str">
        <f>IF(AllData[[#This Row],[Phosphate (PPM)]]&gt;0.5, "Very high", IF(AllData[[#This Row],[Phosphate (PPM)]]&gt;0.1, "High", IF(AllData[[#This Row],[Phosphate (PPM)]]&gt;0.05, "Some evidence", IF(AllData[[#This Row],[Phosphate (PPM)]]&lt;=0.05, "No Evidence", ""))))</f>
        <v>High</v>
      </c>
      <c r="U1178">
        <v>0.15</v>
      </c>
    </row>
    <row r="1179" spans="1:22" x14ac:dyDescent="0.35">
      <c r="A1179" t="s">
        <v>1753</v>
      </c>
      <c r="B1179" s="143">
        <v>45502</v>
      </c>
      <c r="C1179" s="2" t="str" cm="1">
        <f t="array" ref="C11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79">
        <f>YEAR(AllData[[#This Row],[Date]])</f>
        <v>2024</v>
      </c>
      <c r="E1179" s="1">
        <v>0.31597222222222221</v>
      </c>
      <c r="F1179" t="str">
        <f>IF(AND(AllData[[#This Row],[Time]]&lt;0.5, AllData[[#This Row],[Time]]&gt;0.17)=TRUE, "Morning", IF(AND(AllData[[#This Row],[Time]]&lt;0.75, AllData[[#This Row],[Time]]&gt;=0.5)=TRUE, "Afternoon", IF(AND(AllData[[#This Row],[Time]]&lt;1, AllData[[#This Row],[Time]]&gt;=0.75)=TRUE, "Evening", "Night")))</f>
        <v>Morning</v>
      </c>
      <c r="G1179" t="str">
        <f>_xlfn.XLOOKUP(AllData[[#This Row],[Location Name]], Locations[Location Name],Locations[Group As])</f>
        <v>Chipping Campden Lady J Gateway</v>
      </c>
      <c r="H1179" t="e" vm="9">
        <f>_xlfn.XLOOKUP(AllData[[#This Row],[Site Name]],LocationsKey[Site Name],LocationsKey[District])</f>
        <v>#VALUE!</v>
      </c>
      <c r="I1179" t="e" vm="10">
        <f>_xlfn.XLOOKUP(AllData[[#This Row],[Site Name]],LocationsKey[Site Name],LocationsKey[Town])</f>
        <v>#VALUE!</v>
      </c>
      <c r="J1179" t="str">
        <f>_xlfn.XLOOKUP(AllData[[#This Row],[Site Name]],LocationsKey[Site Name], LocationsKey[Waterway])</f>
        <v>Cam Brook</v>
      </c>
      <c r="K1179" t="s">
        <v>1573</v>
      </c>
      <c r="N1179" t="s">
        <v>68</v>
      </c>
      <c r="O1179">
        <v>510</v>
      </c>
      <c r="P1179">
        <v>16.600000000000001</v>
      </c>
      <c r="Q1179">
        <v>5</v>
      </c>
      <c r="R1179" s="107" t="str">
        <f>IF(AllData[[#This Row],[Nitrate (PPM)]]&gt;2, "Very high", IF(AllData[[#This Row],[Nitrate (PPM)]]&gt;1, "High", IF(AllData[[#This Row],[Nitrate (PPM)]]&gt;0.5, "Some evidence", IF(AllData[[#This Row],[Nitrate (PPM)]]&gt;=0, "No evidence"))))</f>
        <v>Very high</v>
      </c>
      <c r="S1179" s="4">
        <v>0.03</v>
      </c>
      <c r="T1179" s="7" t="str">
        <f>IF(AllData[[#This Row],[Phosphate (PPM)]]&gt;0.5, "Very high", IF(AllData[[#This Row],[Phosphate (PPM)]]&gt;0.1, "High", IF(AllData[[#This Row],[Phosphate (PPM)]]&gt;0.05, "Some evidence", IF(AllData[[#This Row],[Phosphate (PPM)]]&lt;=0.05, "No Evidence", ""))))</f>
        <v>No Evidence</v>
      </c>
      <c r="U1179">
        <v>0.11</v>
      </c>
    </row>
    <row r="1180" spans="1:22" x14ac:dyDescent="0.35">
      <c r="A1180" t="s">
        <v>1756</v>
      </c>
      <c r="B1180" s="143">
        <v>45502</v>
      </c>
      <c r="C1180" s="2" t="str" cm="1">
        <f t="array" ref="C11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0">
        <f>YEAR(AllData[[#This Row],[Date]])</f>
        <v>2024</v>
      </c>
      <c r="E1180" s="1">
        <v>0.75694444444444442</v>
      </c>
      <c r="F1180" t="str">
        <f>IF(AND(AllData[[#This Row],[Time]]&lt;0.5, AllData[[#This Row],[Time]]&gt;0.17)=TRUE, "Morning", IF(AND(AllData[[#This Row],[Time]]&lt;0.75, AllData[[#This Row],[Time]]&gt;=0.5)=TRUE, "Afternoon", IF(AND(AllData[[#This Row],[Time]]&lt;1, AllData[[#This Row],[Time]]&gt;=0.75)=TRUE, "Evening", "Night")))</f>
        <v>Evening</v>
      </c>
      <c r="G1180" t="str">
        <f>_xlfn.XLOOKUP(AllData[[#This Row],[Location Name]], Locations[Location Name],Locations[Group As])</f>
        <v>Fell Mill Footbridge</v>
      </c>
      <c r="H1180" t="e" vm="1">
        <f>_xlfn.XLOOKUP(AllData[[#This Row],[Site Name]],LocationsKey[Site Name],LocationsKey[District])</f>
        <v>#VALUE!</v>
      </c>
      <c r="I1180" t="e" vm="15">
        <f>_xlfn.XLOOKUP(AllData[[#This Row],[Site Name]],LocationsKey[Site Name],LocationsKey[Town])</f>
        <v>#VALUE!</v>
      </c>
      <c r="J1180" t="str">
        <f>_xlfn.XLOOKUP(AllData[[#This Row],[Site Name]],LocationsKey[Site Name], LocationsKey[Waterway])</f>
        <v>Stour</v>
      </c>
      <c r="K1180" t="s">
        <v>875</v>
      </c>
      <c r="L1180">
        <v>52.070086000000003</v>
      </c>
      <c r="M1180">
        <v>-1.61145</v>
      </c>
      <c r="N1180" t="s">
        <v>31</v>
      </c>
      <c r="P1180">
        <v>18</v>
      </c>
      <c r="Q1180">
        <v>5</v>
      </c>
      <c r="R1180" s="107" t="str">
        <f>IF(AllData[[#This Row],[Nitrate (PPM)]]&gt;2, "Very high", IF(AllData[[#This Row],[Nitrate (PPM)]]&gt;1, "High", IF(AllData[[#This Row],[Nitrate (PPM)]]&gt;0.5, "Some evidence", IF(AllData[[#This Row],[Nitrate (PPM)]]&gt;=0, "No evidence"))))</f>
        <v>Very high</v>
      </c>
      <c r="S1180" s="4">
        <v>0.77</v>
      </c>
      <c r="T1180" s="7" t="str">
        <f>IF(AllData[[#This Row],[Phosphate (PPM)]]&gt;0.5, "Very high", IF(AllData[[#This Row],[Phosphate (PPM)]]&gt;0.1, "High", IF(AllData[[#This Row],[Phosphate (PPM)]]&gt;0.05, "Some evidence", IF(AllData[[#This Row],[Phosphate (PPM)]]&lt;=0.05, "No Evidence", ""))))</f>
        <v>Very high</v>
      </c>
      <c r="U1180">
        <v>1.1000000000000001</v>
      </c>
      <c r="V1180" t="s">
        <v>1757</v>
      </c>
    </row>
    <row r="1181" spans="1:22" x14ac:dyDescent="0.35">
      <c r="A1181" t="s">
        <v>1750</v>
      </c>
      <c r="B1181" s="143">
        <v>45501</v>
      </c>
      <c r="C1181" s="2" t="str" cm="1">
        <f t="array" ref="C11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1">
        <f>YEAR(AllData[[#This Row],[Date]])</f>
        <v>2024</v>
      </c>
      <c r="E1181" s="1">
        <v>0.42222222222222222</v>
      </c>
      <c r="F1181" t="str">
        <f>IF(AND(AllData[[#This Row],[Time]]&lt;0.5, AllData[[#This Row],[Time]]&gt;0.17)=TRUE, "Morning", IF(AND(AllData[[#This Row],[Time]]&lt;0.75, AllData[[#This Row],[Time]]&gt;=0.5)=TRUE, "Afternoon", IF(AND(AllData[[#This Row],[Time]]&lt;1, AllData[[#This Row],[Time]]&gt;=0.75)=TRUE, "Evening", "Night")))</f>
        <v>Morning</v>
      </c>
      <c r="G1181" t="str">
        <f>_xlfn.XLOOKUP(AllData[[#This Row],[Location Name]], Locations[Location Name],Locations[Group As])</f>
        <v>Sherbourne Brook 1</v>
      </c>
      <c r="H1181" t="e" vm="1">
        <f>_xlfn.XLOOKUP(AllData[[#This Row],[Site Name]],LocationsKey[Site Name],LocationsKey[District])</f>
        <v>#VALUE!</v>
      </c>
      <c r="I1181" t="e" vm="23">
        <f>_xlfn.XLOOKUP(AllData[[#This Row],[Site Name]],LocationsKey[Site Name],LocationsKey[Town])</f>
        <v>#VALUE!</v>
      </c>
      <c r="J1181" t="str">
        <f>_xlfn.XLOOKUP(AllData[[#This Row],[Site Name]],LocationsKey[Site Name], LocationsKey[Waterway])</f>
        <v>Sherbourne Brook</v>
      </c>
      <c r="K1181" t="s">
        <v>541</v>
      </c>
      <c r="L1181">
        <v>52.252499999999998</v>
      </c>
      <c r="M1181">
        <v>-1.6685000000000001</v>
      </c>
      <c r="N1181" t="s">
        <v>25</v>
      </c>
      <c r="O1181">
        <v>1140</v>
      </c>
      <c r="P1181">
        <v>15.1</v>
      </c>
      <c r="Q1181">
        <v>11</v>
      </c>
      <c r="R1181" s="107" t="str">
        <f>IF(AllData[[#This Row],[Nitrate (PPM)]]&gt;2, "Very high", IF(AllData[[#This Row],[Nitrate (PPM)]]&gt;1, "High", IF(AllData[[#This Row],[Nitrate (PPM)]]&gt;0.5, "Some evidence", IF(AllData[[#This Row],[Nitrate (PPM)]]&gt;=0, "No evidence"))))</f>
        <v>Very high</v>
      </c>
      <c r="S1181" s="4">
        <v>0.36</v>
      </c>
      <c r="T1181" s="7" t="str">
        <f>IF(AllData[[#This Row],[Phosphate (PPM)]]&gt;0.5, "Very high", IF(AllData[[#This Row],[Phosphate (PPM)]]&gt;0.1, "High", IF(AllData[[#This Row],[Phosphate (PPM)]]&gt;0.05, "Some evidence", IF(AllData[[#This Row],[Phosphate (PPM)]]&lt;=0.05, "No Evidence", ""))))</f>
        <v>High</v>
      </c>
      <c r="U1181">
        <v>0.1</v>
      </c>
    </row>
    <row r="1182" spans="1:22" x14ac:dyDescent="0.35">
      <c r="A1182" t="s">
        <v>1751</v>
      </c>
      <c r="B1182" s="143">
        <v>45501</v>
      </c>
      <c r="C1182" s="2" t="str" cm="1">
        <f t="array" ref="C11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2">
        <f>YEAR(AllData[[#This Row],[Date]])</f>
        <v>2024</v>
      </c>
      <c r="E1182" s="1">
        <v>0.42708333333333331</v>
      </c>
      <c r="F1182" t="str">
        <f>IF(AND(AllData[[#This Row],[Time]]&lt;0.5, AllData[[#This Row],[Time]]&gt;0.17)=TRUE, "Morning", IF(AND(AllData[[#This Row],[Time]]&lt;0.75, AllData[[#This Row],[Time]]&gt;=0.5)=TRUE, "Afternoon", IF(AND(AllData[[#This Row],[Time]]&lt;1, AllData[[#This Row],[Time]]&gt;=0.75)=TRUE, "Evening", "Night")))</f>
        <v>Morning</v>
      </c>
      <c r="G1182" t="str">
        <f>_xlfn.XLOOKUP(AllData[[#This Row],[Location Name]], Locations[Location Name],Locations[Group As])</f>
        <v>Bell Brook 1</v>
      </c>
      <c r="H1182" t="e" vm="1">
        <f>_xlfn.XLOOKUP(AllData[[#This Row],[Site Name]],LocationsKey[Site Name],LocationsKey[District])</f>
        <v>#VALUE!</v>
      </c>
      <c r="I1182" t="e" vm="19">
        <f>_xlfn.XLOOKUP(AllData[[#This Row],[Site Name]],LocationsKey[Site Name],LocationsKey[Town])</f>
        <v>#VALUE!</v>
      </c>
      <c r="J1182" t="str">
        <f>_xlfn.XLOOKUP(AllData[[#This Row],[Site Name]],LocationsKey[Site Name], LocationsKey[Waterway])</f>
        <v>Bell Brook</v>
      </c>
      <c r="K1182" t="s">
        <v>538</v>
      </c>
      <c r="L1182">
        <v>52.244900000000001</v>
      </c>
      <c r="M1182">
        <v>-1.6617</v>
      </c>
      <c r="N1182" t="s">
        <v>25</v>
      </c>
      <c r="O1182">
        <v>858</v>
      </c>
      <c r="P1182">
        <v>16.3</v>
      </c>
      <c r="Q1182">
        <v>8</v>
      </c>
      <c r="R1182" s="107" t="str">
        <f>IF(AllData[[#This Row],[Nitrate (PPM)]]&gt;2, "Very high", IF(AllData[[#This Row],[Nitrate (PPM)]]&gt;1, "High", IF(AllData[[#This Row],[Nitrate (PPM)]]&gt;0.5, "Some evidence", IF(AllData[[#This Row],[Nitrate (PPM)]]&gt;=0, "No evidence"))))</f>
        <v>Very high</v>
      </c>
      <c r="S1182" s="4">
        <v>0.85</v>
      </c>
      <c r="T1182" s="7" t="str">
        <f>IF(AllData[[#This Row],[Phosphate (PPM)]]&gt;0.5, "Very high", IF(AllData[[#This Row],[Phosphate (PPM)]]&gt;0.1, "High", IF(AllData[[#This Row],[Phosphate (PPM)]]&gt;0.05, "Some evidence", IF(AllData[[#This Row],[Phosphate (PPM)]]&lt;=0.05, "No Evidence", ""))))</f>
        <v>Very high</v>
      </c>
      <c r="U1182">
        <v>0.1</v>
      </c>
    </row>
    <row r="1183" spans="1:22" x14ac:dyDescent="0.35">
      <c r="A1183" t="s">
        <v>1752</v>
      </c>
      <c r="B1183" s="143">
        <v>45501</v>
      </c>
      <c r="C1183" s="2" t="str" cm="1">
        <f t="array" ref="C11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3">
        <f>YEAR(AllData[[#This Row],[Date]])</f>
        <v>2024</v>
      </c>
      <c r="E1183" s="1">
        <v>0.58333333333333337</v>
      </c>
      <c r="F1183" t="str">
        <f>IF(AND(AllData[[#This Row],[Time]]&lt;0.5, AllData[[#This Row],[Time]]&gt;0.17)=TRUE, "Morning", IF(AND(AllData[[#This Row],[Time]]&lt;0.75, AllData[[#This Row],[Time]]&gt;=0.5)=TRUE, "Afternoon", IF(AND(AllData[[#This Row],[Time]]&lt;1, AllData[[#This Row],[Time]]&gt;=0.75)=TRUE, "Evening", "Night")))</f>
        <v>Afternoon</v>
      </c>
      <c r="G1183" t="str">
        <f>_xlfn.XLOOKUP(AllData[[#This Row],[Location Name]], Locations[Location Name],Locations[Group As])</f>
        <v>Clifford Chambers Mill Bridge</v>
      </c>
      <c r="H1183" t="e" vm="1">
        <f>_xlfn.XLOOKUP(AllData[[#This Row],[Site Name]],LocationsKey[Site Name],LocationsKey[District])</f>
        <v>#VALUE!</v>
      </c>
      <c r="I1183" t="e" vm="22">
        <f>_xlfn.XLOOKUP(AllData[[#This Row],[Site Name]],LocationsKey[Site Name],LocationsKey[Town])</f>
        <v>#VALUE!</v>
      </c>
      <c r="J1183" t="str">
        <f>_xlfn.XLOOKUP(AllData[[#This Row],[Site Name]],LocationsKey[Site Name], LocationsKey[Waterway])</f>
        <v>Stour</v>
      </c>
      <c r="K1183" t="s">
        <v>266</v>
      </c>
      <c r="L1183">
        <v>52.166370000000001</v>
      </c>
      <c r="M1183">
        <v>-1.708032</v>
      </c>
      <c r="N1183" t="s">
        <v>68</v>
      </c>
      <c r="O1183">
        <v>678</v>
      </c>
      <c r="P1183">
        <v>20.2</v>
      </c>
      <c r="Q1183">
        <v>7.5</v>
      </c>
      <c r="R1183" s="107" t="str">
        <f>IF(AllData[[#This Row],[Nitrate (PPM)]]&gt;2, "Very high", IF(AllData[[#This Row],[Nitrate (PPM)]]&gt;1, "High", IF(AllData[[#This Row],[Nitrate (PPM)]]&gt;0.5, "Some evidence", IF(AllData[[#This Row],[Nitrate (PPM)]]&gt;=0, "No evidence"))))</f>
        <v>Very high</v>
      </c>
      <c r="S1183">
        <v>0.42</v>
      </c>
      <c r="T1183" s="7" t="str">
        <f>IF(AllData[[#This Row],[Phosphate (PPM)]]&gt;0.5, "Very high", IF(AllData[[#This Row],[Phosphate (PPM)]]&gt;0.1, "High", IF(AllData[[#This Row],[Phosphate (PPM)]]&gt;0.05, "Some evidence", IF(AllData[[#This Row],[Phosphate (PPM)]]&lt;=0.05, "No Evidence", ""))))</f>
        <v>High</v>
      </c>
      <c r="U1183">
        <v>0.4</v>
      </c>
    </row>
    <row r="1184" spans="1:22" x14ac:dyDescent="0.35">
      <c r="A1184" t="s">
        <v>1741</v>
      </c>
      <c r="B1184" s="143">
        <v>45500</v>
      </c>
      <c r="C1184" s="2" t="str" cm="1">
        <f t="array" ref="C11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4">
        <f>YEAR(AllData[[#This Row],[Date]])</f>
        <v>2024</v>
      </c>
      <c r="E1184" s="1">
        <v>0.42222222222222222</v>
      </c>
      <c r="F1184" t="str">
        <f>IF(AND(AllData[[#This Row],[Time]]&lt;0.5, AllData[[#This Row],[Time]]&gt;0.17)=TRUE, "Morning", IF(AND(AllData[[#This Row],[Time]]&lt;0.75, AllData[[#This Row],[Time]]&gt;=0.5)=TRUE, "Afternoon", IF(AND(AllData[[#This Row],[Time]]&lt;1, AllData[[#This Row],[Time]]&gt;=0.75)=TRUE, "Evening", "Night")))</f>
        <v>Morning</v>
      </c>
      <c r="G1184" t="str">
        <f>_xlfn.XLOOKUP(AllData[[#This Row],[Location Name]], Locations[Location Name],Locations[Group As])</f>
        <v>Pitch 16</v>
      </c>
      <c r="H1184" t="e" vm="1">
        <f>_xlfn.XLOOKUP(AllData[[#This Row],[Site Name]],LocationsKey[Site Name],LocationsKey[District])</f>
        <v>#VALUE!</v>
      </c>
      <c r="I1184" t="e" vm="12">
        <f>_xlfn.XLOOKUP(AllData[[#This Row],[Site Name]],LocationsKey[Site Name],LocationsKey[Town])</f>
        <v>#VALUE!</v>
      </c>
      <c r="J1184" t="str">
        <f>_xlfn.XLOOKUP(AllData[[#This Row],[Site Name]],LocationsKey[Site Name], LocationsKey[Waterway])</f>
        <v>Avon</v>
      </c>
      <c r="K1184" t="s">
        <v>71</v>
      </c>
      <c r="L1184">
        <v>52.176070000000003</v>
      </c>
      <c r="M1184">
        <v>-1.737652</v>
      </c>
      <c r="N1184" t="s">
        <v>31</v>
      </c>
      <c r="O1184">
        <v>951</v>
      </c>
      <c r="P1184">
        <v>21.3</v>
      </c>
      <c r="Q1184">
        <v>10</v>
      </c>
      <c r="R1184" s="107" t="str">
        <f>IF(AllData[[#This Row],[Nitrate (PPM)]]&gt;2, "Very high", IF(AllData[[#This Row],[Nitrate (PPM)]]&gt;1, "High", IF(AllData[[#This Row],[Nitrate (PPM)]]&gt;0.5, "Some evidence", IF(AllData[[#This Row],[Nitrate (PPM)]]&gt;=0, "No evidence"))))</f>
        <v>Very high</v>
      </c>
      <c r="S1184" s="4">
        <v>0.56000000000000005</v>
      </c>
      <c r="T1184" s="7" t="str">
        <f>IF(AllData[[#This Row],[Phosphate (PPM)]]&gt;0.5, "Very high", IF(AllData[[#This Row],[Phosphate (PPM)]]&gt;0.1, "High", IF(AllData[[#This Row],[Phosphate (PPM)]]&gt;0.05, "Some evidence", IF(AllData[[#This Row],[Phosphate (PPM)]]&lt;=0.05, "No Evidence", ""))))</f>
        <v>Very high</v>
      </c>
      <c r="U1184">
        <v>0.6</v>
      </c>
      <c r="V1184" t="s">
        <v>1742</v>
      </c>
    </row>
    <row r="1185" spans="1:22" x14ac:dyDescent="0.35">
      <c r="A1185" t="s">
        <v>1749</v>
      </c>
      <c r="B1185" s="143">
        <v>45500</v>
      </c>
      <c r="C1185" s="2" t="str" cm="1">
        <f t="array" ref="C11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5">
        <f>YEAR(AllData[[#This Row],[Date]])</f>
        <v>2024</v>
      </c>
      <c r="E1185" s="1">
        <v>0.66180555555555554</v>
      </c>
      <c r="F1185" t="str">
        <f>IF(AND(AllData[[#This Row],[Time]]&lt;0.5, AllData[[#This Row],[Time]]&gt;0.17)=TRUE, "Morning", IF(AND(AllData[[#This Row],[Time]]&lt;0.75, AllData[[#This Row],[Time]]&gt;=0.5)=TRUE, "Afternoon", IF(AND(AllData[[#This Row],[Time]]&lt;1, AllData[[#This Row],[Time]]&gt;=0.75)=TRUE, "Evening", "Night")))</f>
        <v>Afternoon</v>
      </c>
      <c r="G1185" t="str">
        <f>_xlfn.XLOOKUP(AllData[[#This Row],[Location Name]], Locations[Location Name],Locations[Group As])</f>
        <v>Black Bear</v>
      </c>
      <c r="H1185" t="e" vm="4">
        <f>_xlfn.XLOOKUP(AllData[[#This Row],[Site Name]],LocationsKey[Site Name],LocationsKey[District])</f>
        <v>#VALUE!</v>
      </c>
      <c r="I1185" t="e" vm="4">
        <f>_xlfn.XLOOKUP(AllData[[#This Row],[Site Name]],LocationsKey[Site Name],LocationsKey[Town])</f>
        <v>#VALUE!</v>
      </c>
      <c r="J1185" t="str">
        <f>_xlfn.XLOOKUP(AllData[[#This Row],[Site Name]],LocationsKey[Site Name], LocationsKey[Waterway])</f>
        <v>Avon</v>
      </c>
      <c r="K1185" t="s">
        <v>1175</v>
      </c>
      <c r="L1185">
        <v>51.997456999999997</v>
      </c>
      <c r="M1185">
        <v>-2.156126</v>
      </c>
      <c r="N1185" t="s">
        <v>25</v>
      </c>
      <c r="O1185">
        <v>925</v>
      </c>
      <c r="P1185">
        <v>20.3</v>
      </c>
      <c r="Q1185">
        <v>10</v>
      </c>
      <c r="R1185" s="107" t="str">
        <f>IF(AllData[[#This Row],[Nitrate (PPM)]]&gt;2, "Very high", IF(AllData[[#This Row],[Nitrate (PPM)]]&gt;1, "High", IF(AllData[[#This Row],[Nitrate (PPM)]]&gt;0.5, "Some evidence", IF(AllData[[#This Row],[Nitrate (PPM)]]&gt;=0, "No evidence"))))</f>
        <v>Very high</v>
      </c>
      <c r="S1185" s="4">
        <v>0.56000000000000005</v>
      </c>
      <c r="T1185" s="7" t="str">
        <f>IF(AllData[[#This Row],[Phosphate (PPM)]]&gt;0.5, "Very high", IF(AllData[[#This Row],[Phosphate (PPM)]]&gt;0.1, "High", IF(AllData[[#This Row],[Phosphate (PPM)]]&gt;0.05, "Some evidence", IF(AllData[[#This Row],[Phosphate (PPM)]]&lt;=0.05, "No Evidence", ""))))</f>
        <v>Very high</v>
      </c>
      <c r="U1185">
        <v>0</v>
      </c>
    </row>
    <row r="1186" spans="1:22" x14ac:dyDescent="0.35">
      <c r="A1186" t="s">
        <v>1746</v>
      </c>
      <c r="B1186" s="143">
        <v>45500</v>
      </c>
      <c r="C1186" s="2" t="str" cm="1">
        <f t="array" ref="C11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6">
        <f>YEAR(AllData[[#This Row],[Date]])</f>
        <v>2024</v>
      </c>
      <c r="E1186" s="1">
        <v>0.4375</v>
      </c>
      <c r="F1186" t="str">
        <f>IF(AND(AllData[[#This Row],[Time]]&lt;0.5, AllData[[#This Row],[Time]]&gt;0.17)=TRUE, "Morning", IF(AND(AllData[[#This Row],[Time]]&lt;0.75, AllData[[#This Row],[Time]]&gt;=0.5)=TRUE, "Afternoon", IF(AND(AllData[[#This Row],[Time]]&lt;1, AllData[[#This Row],[Time]]&gt;=0.75)=TRUE, "Evening", "Night")))</f>
        <v>Morning</v>
      </c>
      <c r="G1186" t="str">
        <f>_xlfn.XLOOKUP(AllData[[#This Row],[Location Name]], Locations[Location Name],Locations[Group As])</f>
        <v>Piddle Brook Wyre Piddle Bridge</v>
      </c>
      <c r="H1186" t="e" vm="6">
        <f>_xlfn.XLOOKUP(AllData[[#This Row],[Site Name]],LocationsKey[Site Name],LocationsKey[District])</f>
        <v>#VALUE!</v>
      </c>
      <c r="I1186" t="e" vm="13">
        <f>_xlfn.XLOOKUP(AllData[[#This Row],[Site Name]],LocationsKey[Site Name],LocationsKey[Town])</f>
        <v>#VALUE!</v>
      </c>
      <c r="J1186" t="str">
        <f>_xlfn.XLOOKUP(AllData[[#This Row],[Site Name]],LocationsKey[Site Name], LocationsKey[Waterway])</f>
        <v>Piddle Brook</v>
      </c>
      <c r="K1186" t="s">
        <v>787</v>
      </c>
      <c r="L1186">
        <v>52.126404000000001</v>
      </c>
      <c r="M1186">
        <v>-2.0565410000000002</v>
      </c>
      <c r="N1186" t="s">
        <v>25</v>
      </c>
      <c r="O1186">
        <v>1620</v>
      </c>
      <c r="P1186">
        <v>16.899999999999999</v>
      </c>
      <c r="Q1186">
        <v>7</v>
      </c>
      <c r="R1186" s="107" t="str">
        <f>IF(AllData[[#This Row],[Nitrate (PPM)]]&gt;2, "Very high", IF(AllData[[#This Row],[Nitrate (PPM)]]&gt;1, "High", IF(AllData[[#This Row],[Nitrate (PPM)]]&gt;0.5, "Some evidence", IF(AllData[[#This Row],[Nitrate (PPM)]]&gt;=0, "No evidence"))))</f>
        <v>Very high</v>
      </c>
      <c r="S1186" s="4">
        <v>1.33</v>
      </c>
      <c r="T1186" s="7" t="str">
        <f>IF(AllData[[#This Row],[Phosphate (PPM)]]&gt;0.5, "Very high", IF(AllData[[#This Row],[Phosphate (PPM)]]&gt;0.1, "High", IF(AllData[[#This Row],[Phosphate (PPM)]]&gt;0.05, "Some evidence", IF(AllData[[#This Row],[Phosphate (PPM)]]&lt;=0.05, "No Evidence", ""))))</f>
        <v>Very high</v>
      </c>
      <c r="U1186">
        <v>0.15</v>
      </c>
      <c r="V1186" t="s">
        <v>1747</v>
      </c>
    </row>
    <row r="1187" spans="1:22" x14ac:dyDescent="0.35">
      <c r="A1187" t="s">
        <v>1743</v>
      </c>
      <c r="B1187" s="143">
        <v>45500</v>
      </c>
      <c r="C1187" s="2" t="str" cm="1">
        <f t="array" ref="C11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7">
        <f>YEAR(AllData[[#This Row],[Date]])</f>
        <v>2024</v>
      </c>
      <c r="E1187" s="1">
        <v>0.42708333333333331</v>
      </c>
      <c r="F1187" t="str">
        <f>IF(AND(AllData[[#This Row],[Time]]&lt;0.5, AllData[[#This Row],[Time]]&gt;0.17)=TRUE, "Morning", IF(AND(AllData[[#This Row],[Time]]&lt;0.75, AllData[[#This Row],[Time]]&gt;=0.5)=TRUE, "Afternoon", IF(AND(AllData[[#This Row],[Time]]&lt;1, AllData[[#This Row],[Time]]&gt;=0.75)=TRUE, "Evening", "Night")))</f>
        <v>Morning</v>
      </c>
      <c r="G1187" t="str">
        <f>_xlfn.XLOOKUP(AllData[[#This Row],[Location Name]], Locations[Location Name],Locations[Group As])</f>
        <v>Avon Smiths Meadow Wyre Piddle</v>
      </c>
      <c r="H1187" t="e" vm="6">
        <f>_xlfn.XLOOKUP(AllData[[#This Row],[Site Name]],LocationsKey[Site Name],LocationsKey[District])</f>
        <v>#VALUE!</v>
      </c>
      <c r="I1187" t="e" vm="13">
        <f>_xlfn.XLOOKUP(AllData[[#This Row],[Site Name]],LocationsKey[Site Name],LocationsKey[Town])</f>
        <v>#VALUE!</v>
      </c>
      <c r="J1187" t="str">
        <f>_xlfn.XLOOKUP(AllData[[#This Row],[Site Name]],LocationsKey[Site Name], LocationsKey[Waterway])</f>
        <v>Avon</v>
      </c>
      <c r="K1187" t="s">
        <v>784</v>
      </c>
      <c r="L1187">
        <v>52.122858999999998</v>
      </c>
      <c r="M1187">
        <v>-2.0575389999999998</v>
      </c>
      <c r="N1187" t="s">
        <v>25</v>
      </c>
      <c r="O1187">
        <v>859</v>
      </c>
      <c r="P1187">
        <v>19.7</v>
      </c>
      <c r="Q1187">
        <v>7</v>
      </c>
      <c r="R1187" s="107" t="str">
        <f>IF(AllData[[#This Row],[Nitrate (PPM)]]&gt;2, "Very high", IF(AllData[[#This Row],[Nitrate (PPM)]]&gt;1, "High", IF(AllData[[#This Row],[Nitrate (PPM)]]&gt;0.5, "Some evidence", IF(AllData[[#This Row],[Nitrate (PPM)]]&gt;=0, "No evidence"))))</f>
        <v>Very high</v>
      </c>
      <c r="S1187" s="4">
        <v>1.1200000000000001</v>
      </c>
      <c r="T1187" s="7" t="str">
        <f>IF(AllData[[#This Row],[Phosphate (PPM)]]&gt;0.5, "Very high", IF(AllData[[#This Row],[Phosphate (PPM)]]&gt;0.1, "High", IF(AllData[[#This Row],[Phosphate (PPM)]]&gt;0.05, "Some evidence", IF(AllData[[#This Row],[Phosphate (PPM)]]&lt;=0.05, "No Evidence", ""))))</f>
        <v>Very high</v>
      </c>
      <c r="U1187">
        <v>0.53</v>
      </c>
      <c r="V1187" t="s">
        <v>1744</v>
      </c>
    </row>
    <row r="1188" spans="1:22" x14ac:dyDescent="0.35">
      <c r="A1188" t="s">
        <v>1748</v>
      </c>
      <c r="B1188" s="143">
        <v>45500</v>
      </c>
      <c r="C1188" s="2" t="str" cm="1">
        <f t="array" ref="C11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8">
        <f>YEAR(AllData[[#This Row],[Date]])</f>
        <v>2024</v>
      </c>
      <c r="E1188" s="1">
        <v>0.44305555555555554</v>
      </c>
      <c r="F1188" t="str">
        <f>IF(AND(AllData[[#This Row],[Time]]&lt;0.5, AllData[[#This Row],[Time]]&gt;0.17)=TRUE, "Morning", IF(AND(AllData[[#This Row],[Time]]&lt;0.75, AllData[[#This Row],[Time]]&gt;=0.5)=TRUE, "Afternoon", IF(AND(AllData[[#This Row],[Time]]&lt;1, AllData[[#This Row],[Time]]&gt;=0.75)=TRUE, "Evening", "Night")))</f>
        <v>Morning</v>
      </c>
      <c r="G1188" t="str">
        <f>_xlfn.XLOOKUP(AllData[[#This Row],[Location Name]], Locations[Location Name],Locations[Group As])</f>
        <v>Avonbank Drive</v>
      </c>
      <c r="H1188" t="e" vm="1">
        <f>_xlfn.XLOOKUP(AllData[[#This Row],[Site Name]],LocationsKey[Site Name],LocationsKey[District])</f>
        <v>#VALUE!</v>
      </c>
      <c r="I1188" t="e" vm="12">
        <f>_xlfn.XLOOKUP(AllData[[#This Row],[Site Name]],LocationsKey[Site Name],LocationsKey[Town])</f>
        <v>#VALUE!</v>
      </c>
      <c r="J1188" t="str">
        <f>_xlfn.XLOOKUP(AllData[[#This Row],[Site Name]],LocationsKey[Site Name], LocationsKey[Waterway])</f>
        <v>Avon</v>
      </c>
      <c r="K1188" t="s">
        <v>67</v>
      </c>
      <c r="L1188">
        <v>52.177174999999998</v>
      </c>
      <c r="M1188">
        <v>-1.7357860000000001</v>
      </c>
      <c r="N1188" t="s">
        <v>68</v>
      </c>
      <c r="O1188">
        <v>856</v>
      </c>
      <c r="P1188">
        <v>21.8</v>
      </c>
      <c r="Q1188">
        <v>5</v>
      </c>
      <c r="R1188" s="107" t="str">
        <f>IF(AllData[[#This Row],[Nitrate (PPM)]]&gt;2, "Very high", IF(AllData[[#This Row],[Nitrate (PPM)]]&gt;1, "High", IF(AllData[[#This Row],[Nitrate (PPM)]]&gt;0.5, "Some evidence", IF(AllData[[#This Row],[Nitrate (PPM)]]&gt;=0, "No evidence"))))</f>
        <v>Very high</v>
      </c>
      <c r="S1188" s="4">
        <v>0.48</v>
      </c>
      <c r="T1188" s="7" t="str">
        <f>IF(AllData[[#This Row],[Phosphate (PPM)]]&gt;0.5, "Very high", IF(AllData[[#This Row],[Phosphate (PPM)]]&gt;0.1, "High", IF(AllData[[#This Row],[Phosphate (PPM)]]&gt;0.05, "Some evidence", IF(AllData[[#This Row],[Phosphate (PPM)]]&lt;=0.05, "No Evidence", ""))))</f>
        <v>High</v>
      </c>
      <c r="U1188">
        <v>0.6</v>
      </c>
      <c r="V1188" t="s">
        <v>1742</v>
      </c>
    </row>
    <row r="1189" spans="1:22" x14ac:dyDescent="0.35">
      <c r="A1189" t="s">
        <v>1745</v>
      </c>
      <c r="B1189" s="143">
        <v>45500</v>
      </c>
      <c r="C1189" s="2" t="str" cm="1">
        <f t="array" ref="C11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89">
        <f>YEAR(AllData[[#This Row],[Date]])</f>
        <v>2024</v>
      </c>
      <c r="E1189" s="1">
        <v>0.4375</v>
      </c>
      <c r="F1189" t="str">
        <f>IF(AND(AllData[[#This Row],[Time]]&lt;0.5, AllData[[#This Row],[Time]]&gt;0.17)=TRUE, "Morning", IF(AND(AllData[[#This Row],[Time]]&lt;0.75, AllData[[#This Row],[Time]]&gt;=0.5)=TRUE, "Afternoon", IF(AND(AllData[[#This Row],[Time]]&lt;1, AllData[[#This Row],[Time]]&gt;=0.75)=TRUE, "Evening", "Night")))</f>
        <v>Morning</v>
      </c>
      <c r="G1189" t="str">
        <f>_xlfn.XLOOKUP(AllData[[#This Row],[Location Name]], Locations[Location Name],Locations[Group As])</f>
        <v>Carrant Bredon Rd</v>
      </c>
      <c r="H1189" t="e" vm="4">
        <f>_xlfn.XLOOKUP(AllData[[#This Row],[Site Name]],LocationsKey[Site Name],LocationsKey[District])</f>
        <v>#VALUE!</v>
      </c>
      <c r="I1189" t="e" vm="4">
        <f>_xlfn.XLOOKUP(AllData[[#This Row],[Site Name]],LocationsKey[Site Name],LocationsKey[Town])</f>
        <v>#VALUE!</v>
      </c>
      <c r="J1189" t="str">
        <f>_xlfn.XLOOKUP(AllData[[#This Row],[Site Name]],LocationsKey[Site Name], LocationsKey[Waterway])</f>
        <v>Carrant</v>
      </c>
      <c r="K1189" t="s">
        <v>603</v>
      </c>
      <c r="L1189">
        <v>51.996322999999997</v>
      </c>
      <c r="M1189">
        <v>-2.1560920000000001</v>
      </c>
      <c r="N1189" t="s">
        <v>25</v>
      </c>
      <c r="O1189">
        <v>724</v>
      </c>
      <c r="P1189">
        <v>17.399999999999999</v>
      </c>
      <c r="Q1189">
        <v>5</v>
      </c>
      <c r="R1189" s="107" t="str">
        <f>IF(AllData[[#This Row],[Nitrate (PPM)]]&gt;2, "Very high", IF(AllData[[#This Row],[Nitrate (PPM)]]&gt;1, "High", IF(AllData[[#This Row],[Nitrate (PPM)]]&gt;0.5, "Some evidence", IF(AllData[[#This Row],[Nitrate (PPM)]]&gt;=0, "No evidence"))))</f>
        <v>Very high</v>
      </c>
      <c r="S1189" s="4">
        <v>0.66</v>
      </c>
      <c r="T1189" s="7" t="str">
        <f>IF(AllData[[#This Row],[Phosphate (PPM)]]&gt;0.5, "Very high", IF(AllData[[#This Row],[Phosphate (PPM)]]&gt;0.1, "High", IF(AllData[[#This Row],[Phosphate (PPM)]]&gt;0.05, "Some evidence", IF(AllData[[#This Row],[Phosphate (PPM)]]&lt;=0.05, "No Evidence", ""))))</f>
        <v>Very high</v>
      </c>
      <c r="U1189">
        <v>0</v>
      </c>
    </row>
    <row r="1190" spans="1:22" x14ac:dyDescent="0.35">
      <c r="A1190" t="s">
        <v>1734</v>
      </c>
      <c r="B1190" s="143">
        <v>45499</v>
      </c>
      <c r="C1190" s="2" t="str" cm="1">
        <f t="array" ref="C11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0">
        <f>YEAR(AllData[[#This Row],[Date]])</f>
        <v>2024</v>
      </c>
      <c r="E1190" s="1">
        <v>0.40625</v>
      </c>
      <c r="F1190" t="str">
        <f>IF(AND(AllData[[#This Row],[Time]]&lt;0.5, AllData[[#This Row],[Time]]&gt;0.17)=TRUE, "Morning", IF(AND(AllData[[#This Row],[Time]]&lt;0.75, AllData[[#This Row],[Time]]&gt;=0.5)=TRUE, "Afternoon", IF(AND(AllData[[#This Row],[Time]]&lt;1, AllData[[#This Row],[Time]]&gt;=0.75)=TRUE, "Evening", "Night")))</f>
        <v>Morning</v>
      </c>
      <c r="G1190" t="str">
        <f>_xlfn.XLOOKUP(AllData[[#This Row],[Location Name]], Locations[Location Name],Locations[Group As])</f>
        <v>Lower Lode</v>
      </c>
      <c r="H1190" t="e" vm="4">
        <f>_xlfn.XLOOKUP(AllData[[#This Row],[Site Name]],LocationsKey[Site Name],LocationsKey[District])</f>
        <v>#VALUE!</v>
      </c>
      <c r="I1190" t="e" vm="4">
        <f>_xlfn.XLOOKUP(AllData[[#This Row],[Site Name]],LocationsKey[Site Name],LocationsKey[Town])</f>
        <v>#VALUE!</v>
      </c>
      <c r="J1190" t="str">
        <f>_xlfn.XLOOKUP(AllData[[#This Row],[Site Name]],LocationsKey[Site Name], LocationsKey[Waterway])</f>
        <v>Avon</v>
      </c>
      <c r="K1190" t="s">
        <v>595</v>
      </c>
      <c r="L1190">
        <v>51.984974999999999</v>
      </c>
      <c r="M1190">
        <v>-2.1740930000000001</v>
      </c>
      <c r="N1190" t="s">
        <v>31</v>
      </c>
      <c r="O1190">
        <v>9510</v>
      </c>
      <c r="P1190">
        <v>19.8</v>
      </c>
      <c r="Q1190">
        <v>10</v>
      </c>
      <c r="R1190" s="107" t="str">
        <f>IF(AllData[[#This Row],[Nitrate (PPM)]]&gt;2, "Very high", IF(AllData[[#This Row],[Nitrate (PPM)]]&gt;1, "High", IF(AllData[[#This Row],[Nitrate (PPM)]]&gt;0.5, "Some evidence", IF(AllData[[#This Row],[Nitrate (PPM)]]&gt;=0, "No evidence"))))</f>
        <v>Very high</v>
      </c>
      <c r="S1190" s="4">
        <v>0.73</v>
      </c>
      <c r="T1190" s="7" t="str">
        <f>IF(AllData[[#This Row],[Phosphate (PPM)]]&gt;0.5, "Very high", IF(AllData[[#This Row],[Phosphate (PPM)]]&gt;0.1, "High", IF(AllData[[#This Row],[Phosphate (PPM)]]&gt;0.05, "Some evidence", IF(AllData[[#This Row],[Phosphate (PPM)]]&lt;=0.05, "No Evidence", ""))))</f>
        <v>Very high</v>
      </c>
      <c r="U1190">
        <v>0</v>
      </c>
    </row>
    <row r="1191" spans="1:22" x14ac:dyDescent="0.35">
      <c r="A1191" t="s">
        <v>1735</v>
      </c>
      <c r="B1191" s="143">
        <v>45499</v>
      </c>
      <c r="C1191" s="2" t="str" cm="1">
        <f t="array" ref="C11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1">
        <f>YEAR(AllData[[#This Row],[Date]])</f>
        <v>2024</v>
      </c>
      <c r="E1191" s="1">
        <v>0.71597222222222223</v>
      </c>
      <c r="F1191" t="str">
        <f>IF(AND(AllData[[#This Row],[Time]]&lt;0.5, AllData[[#This Row],[Time]]&gt;0.17)=TRUE, "Morning", IF(AND(AllData[[#This Row],[Time]]&lt;0.75, AllData[[#This Row],[Time]]&gt;=0.5)=TRUE, "Afternoon", IF(AND(AllData[[#This Row],[Time]]&lt;1, AllData[[#This Row],[Time]]&gt;=0.75)=TRUE, "Evening", "Night")))</f>
        <v>Afternoon</v>
      </c>
      <c r="G1191" t="str">
        <f>_xlfn.XLOOKUP(AllData[[#This Row],[Location Name]], Locations[Location Name],Locations[Group As])</f>
        <v>Carrant Back Lane Beckford</v>
      </c>
      <c r="H1191" t="e" vm="4">
        <f>_xlfn.XLOOKUP(AllData[[#This Row],[Site Name]],LocationsKey[Site Name],LocationsKey[District])</f>
        <v>#VALUE!</v>
      </c>
      <c r="I1191" t="str">
        <f>_xlfn.XLOOKUP(AllData[[#This Row],[Site Name]],LocationsKey[Site Name],LocationsKey[Town])</f>
        <v>Beckford</v>
      </c>
      <c r="J1191" t="str">
        <f>_xlfn.XLOOKUP(AllData[[#This Row],[Site Name]],LocationsKey[Site Name], LocationsKey[Waterway])</f>
        <v>Carrant</v>
      </c>
      <c r="K1191" t="s">
        <v>1736</v>
      </c>
      <c r="L1191">
        <v>52.018500000000003</v>
      </c>
      <c r="M1191">
        <v>-2.0388000000000002</v>
      </c>
      <c r="N1191" t="s">
        <v>68</v>
      </c>
      <c r="O1191">
        <v>754</v>
      </c>
      <c r="P1191">
        <v>18.3</v>
      </c>
      <c r="Q1191">
        <v>5</v>
      </c>
      <c r="R1191" s="107" t="str">
        <f>IF(AllData[[#This Row],[Nitrate (PPM)]]&gt;2, "Very high", IF(AllData[[#This Row],[Nitrate (PPM)]]&gt;1, "High", IF(AllData[[#This Row],[Nitrate (PPM)]]&gt;0.5, "Some evidence", IF(AllData[[#This Row],[Nitrate (PPM)]]&gt;=0, "No evidence"))))</f>
        <v>Very high</v>
      </c>
      <c r="S1191" s="4">
        <v>0.8</v>
      </c>
      <c r="T1191" s="7" t="str">
        <f>IF(AllData[[#This Row],[Phosphate (PPM)]]&gt;0.5, "Very high", IF(AllData[[#This Row],[Phosphate (PPM)]]&gt;0.1, "High", IF(AllData[[#This Row],[Phosphate (PPM)]]&gt;0.05, "Some evidence", IF(AllData[[#This Row],[Phosphate (PPM)]]&lt;=0.05, "No Evidence", ""))))</f>
        <v>Very high</v>
      </c>
      <c r="U1191">
        <v>0.2</v>
      </c>
    </row>
    <row r="1192" spans="1:22" x14ac:dyDescent="0.35">
      <c r="A1192" t="s">
        <v>1737</v>
      </c>
      <c r="B1192" s="143">
        <v>45499</v>
      </c>
      <c r="C1192" s="2" t="str" cm="1">
        <f t="array" ref="C11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2">
        <f>YEAR(AllData[[#This Row],[Date]])</f>
        <v>2024</v>
      </c>
      <c r="E1192" s="1">
        <v>0.76041666666666663</v>
      </c>
      <c r="F1192" t="str">
        <f>IF(AND(AllData[[#This Row],[Time]]&lt;0.5, AllData[[#This Row],[Time]]&gt;0.17)=TRUE, "Morning", IF(AND(AllData[[#This Row],[Time]]&lt;0.75, AllData[[#This Row],[Time]]&gt;=0.5)=TRUE, "Afternoon", IF(AND(AllData[[#This Row],[Time]]&lt;1, AllData[[#This Row],[Time]]&gt;=0.75)=TRUE, "Evening", "Night")))</f>
        <v>Evening</v>
      </c>
      <c r="G1192" t="str">
        <f>_xlfn.XLOOKUP(AllData[[#This Row],[Location Name]], Locations[Location Name],Locations[Group As])</f>
        <v>Mill Bridge Peopleton</v>
      </c>
      <c r="H1192" t="e" vm="6">
        <f>_xlfn.XLOOKUP(AllData[[#This Row],[Site Name]],LocationsKey[Site Name],LocationsKey[District])</f>
        <v>#VALUE!</v>
      </c>
      <c r="I1192" t="str">
        <f>_xlfn.XLOOKUP(AllData[[#This Row],[Site Name]],LocationsKey[Site Name],LocationsKey[Town])</f>
        <v>Peopleton</v>
      </c>
      <c r="J1192" t="str">
        <f>_xlfn.XLOOKUP(AllData[[#This Row],[Site Name]],LocationsKey[Site Name], LocationsKey[Waterway])</f>
        <v>Bow Brook</v>
      </c>
      <c r="K1192" t="s">
        <v>1015</v>
      </c>
      <c r="L1192">
        <v>52.15175</v>
      </c>
      <c r="M1192">
        <v>-2.0963599999999998</v>
      </c>
      <c r="N1192" t="s">
        <v>31</v>
      </c>
      <c r="O1192">
        <v>1130</v>
      </c>
      <c r="P1192">
        <v>18.600000000000001</v>
      </c>
      <c r="Q1192">
        <v>4</v>
      </c>
      <c r="R1192" s="107" t="str">
        <f>IF(AllData[[#This Row],[Nitrate (PPM)]]&gt;2, "Very high", IF(AllData[[#This Row],[Nitrate (PPM)]]&gt;1, "High", IF(AllData[[#This Row],[Nitrate (PPM)]]&gt;0.5, "Some evidence", IF(AllData[[#This Row],[Nitrate (PPM)]]&gt;=0, "No evidence"))))</f>
        <v>Very high</v>
      </c>
      <c r="S1192" s="4">
        <v>1.78</v>
      </c>
      <c r="T1192" s="7" t="str">
        <f>IF(AllData[[#This Row],[Phosphate (PPM)]]&gt;0.5, "Very high", IF(AllData[[#This Row],[Phosphate (PPM)]]&gt;0.1, "High", IF(AllData[[#This Row],[Phosphate (PPM)]]&gt;0.05, "Some evidence", IF(AllData[[#This Row],[Phosphate (PPM)]]&lt;=0.05, "No Evidence", ""))))</f>
        <v>Very high</v>
      </c>
      <c r="U1192">
        <v>0.5</v>
      </c>
      <c r="V1192" t="s">
        <v>1738</v>
      </c>
    </row>
    <row r="1193" spans="1:22" x14ac:dyDescent="0.35">
      <c r="A1193" t="s">
        <v>1739</v>
      </c>
      <c r="B1193" s="143">
        <v>45499</v>
      </c>
      <c r="C1193" s="2" t="str" cm="1">
        <f t="array" ref="C11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3">
        <f>YEAR(AllData[[#This Row],[Date]])</f>
        <v>2024</v>
      </c>
      <c r="E1193" s="1">
        <v>0.65347222222222223</v>
      </c>
      <c r="F1193" t="str">
        <f>IF(AND(AllData[[#This Row],[Time]]&lt;0.5, AllData[[#This Row],[Time]]&gt;0.17)=TRUE, "Morning", IF(AND(AllData[[#This Row],[Time]]&lt;0.75, AllData[[#This Row],[Time]]&gt;=0.5)=TRUE, "Afternoon", IF(AND(AllData[[#This Row],[Time]]&lt;1, AllData[[#This Row],[Time]]&gt;=0.75)=TRUE, "Evening", "Night")))</f>
        <v>Afternoon</v>
      </c>
      <c r="G1193" t="str">
        <f>_xlfn.XLOOKUP(AllData[[#This Row],[Location Name]], Locations[Location Name],Locations[Group As])</f>
        <v>Preston Bagot Brook</v>
      </c>
      <c r="H1193" t="e" vm="1">
        <f>_xlfn.XLOOKUP(AllData[[#This Row],[Site Name]],LocationsKey[Site Name],LocationsKey[District])</f>
        <v>#VALUE!</v>
      </c>
      <c r="I1193" t="e" vm="21">
        <f>_xlfn.XLOOKUP(AllData[[#This Row],[Site Name]],LocationsKey[Site Name],LocationsKey[Town])</f>
        <v>#VALUE!</v>
      </c>
      <c r="J1193" t="str">
        <f>_xlfn.XLOOKUP(AllData[[#This Row],[Site Name]],LocationsKey[Site Name], LocationsKey[Waterway])</f>
        <v>Preston Bagot Brook</v>
      </c>
      <c r="K1193" t="s">
        <v>621</v>
      </c>
      <c r="L1193">
        <v>52.286000000000001</v>
      </c>
      <c r="M1193">
        <v>-1.7470000000000001</v>
      </c>
      <c r="N1193" t="s">
        <v>25</v>
      </c>
      <c r="O1193">
        <v>1103</v>
      </c>
      <c r="P1193">
        <v>18.7</v>
      </c>
      <c r="Q1193">
        <v>2</v>
      </c>
      <c r="R1193" s="107" t="str">
        <f>IF(AllData[[#This Row],[Nitrate (PPM)]]&gt;2, "Very high", IF(AllData[[#This Row],[Nitrate (PPM)]]&gt;1, "High", IF(AllData[[#This Row],[Nitrate (PPM)]]&gt;0.5, "Some evidence", IF(AllData[[#This Row],[Nitrate (PPM)]]&gt;=0, "No evidence"))))</f>
        <v>High</v>
      </c>
      <c r="S1193">
        <v>0.75</v>
      </c>
      <c r="T1193" s="7" t="str">
        <f>IF(AllData[[#This Row],[Phosphate (PPM)]]&gt;0.5, "Very high", IF(AllData[[#This Row],[Phosphate (PPM)]]&gt;0.1, "High", IF(AllData[[#This Row],[Phosphate (PPM)]]&gt;0.05, "Some evidence", IF(AllData[[#This Row],[Phosphate (PPM)]]&lt;=0.05, "No Evidence", ""))))</f>
        <v>Very high</v>
      </c>
      <c r="U1193">
        <v>1</v>
      </c>
      <c r="V1193" t="s">
        <v>1667</v>
      </c>
    </row>
    <row r="1194" spans="1:22" x14ac:dyDescent="0.35">
      <c r="A1194" t="s">
        <v>1740</v>
      </c>
      <c r="B1194" s="143">
        <v>45499</v>
      </c>
      <c r="C1194" s="2" t="str" cm="1">
        <f t="array" ref="C11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4">
        <f>YEAR(AllData[[#This Row],[Date]])</f>
        <v>2024</v>
      </c>
      <c r="E1194" s="1">
        <v>0.65625</v>
      </c>
      <c r="F1194" t="str">
        <f>IF(AND(AllData[[#This Row],[Time]]&lt;0.5, AllData[[#This Row],[Time]]&gt;0.17)=TRUE, "Morning", IF(AND(AllData[[#This Row],[Time]]&lt;0.75, AllData[[#This Row],[Time]]&gt;=0.5)=TRUE, "Afternoon", IF(AND(AllData[[#This Row],[Time]]&lt;1, AllData[[#This Row],[Time]]&gt;=0.75)=TRUE, "Evening", "Night")))</f>
        <v>Afternoon</v>
      </c>
      <c r="G1194" t="str">
        <f>_xlfn.XLOOKUP(AllData[[#This Row],[Location Name]], Locations[Location Name],Locations[Group As])</f>
        <v>Preston Bagot Canal</v>
      </c>
      <c r="H1194" t="e" vm="1">
        <f>_xlfn.XLOOKUP(AllData[[#This Row],[Site Name]],LocationsKey[Site Name],LocationsKey[District])</f>
        <v>#VALUE!</v>
      </c>
      <c r="I1194" t="e" vm="21">
        <f>_xlfn.XLOOKUP(AllData[[#This Row],[Site Name]],LocationsKey[Site Name],LocationsKey[Town])</f>
        <v>#VALUE!</v>
      </c>
      <c r="J1194" t="str">
        <f>_xlfn.XLOOKUP(AllData[[#This Row],[Site Name]],LocationsKey[Site Name], LocationsKey[Waterway])</f>
        <v>Preston Bagot Canal</v>
      </c>
      <c r="K1194" t="s">
        <v>618</v>
      </c>
      <c r="L1194">
        <v>52.286999999999999</v>
      </c>
      <c r="M1194">
        <v>-1.746</v>
      </c>
      <c r="N1194" t="s">
        <v>25</v>
      </c>
      <c r="O1194">
        <v>589</v>
      </c>
      <c r="P1194">
        <v>20.5</v>
      </c>
      <c r="Q1194">
        <v>0</v>
      </c>
      <c r="R1194" s="107" t="str">
        <f>IF(AllData[[#This Row],[Nitrate (PPM)]]&gt;2, "Very high", IF(AllData[[#This Row],[Nitrate (PPM)]]&gt;1, "High", IF(AllData[[#This Row],[Nitrate (PPM)]]&gt;0.5, "Some evidence", IF(AllData[[#This Row],[Nitrate (PPM)]]&gt;=0, "No evidence"))))</f>
        <v>No evidence</v>
      </c>
      <c r="S1194">
        <v>0.04</v>
      </c>
      <c r="T1194" s="7" t="str">
        <f>IF(AllData[[#This Row],[Phosphate (PPM)]]&gt;0.5, "Very high", IF(AllData[[#This Row],[Phosphate (PPM)]]&gt;0.1, "High", IF(AllData[[#This Row],[Phosphate (PPM)]]&gt;0.05, "Some evidence", IF(AllData[[#This Row],[Phosphate (PPM)]]&lt;=0.05, "No Evidence", ""))))</f>
        <v>No Evidence</v>
      </c>
      <c r="U1194">
        <v>1</v>
      </c>
      <c r="V1194" t="s">
        <v>1667</v>
      </c>
    </row>
    <row r="1195" spans="1:22" x14ac:dyDescent="0.35">
      <c r="A1195" t="s">
        <v>1730</v>
      </c>
      <c r="B1195" s="143">
        <v>45498</v>
      </c>
      <c r="C1195" s="2" t="str" cm="1">
        <f t="array" ref="C11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5">
        <f>YEAR(AllData[[#This Row],[Date]])</f>
        <v>2024</v>
      </c>
      <c r="E1195" s="1">
        <v>0.43472222222222223</v>
      </c>
      <c r="F1195" t="str">
        <f>IF(AND(AllData[[#This Row],[Time]]&lt;0.5, AllData[[#This Row],[Time]]&gt;0.17)=TRUE, "Morning", IF(AND(AllData[[#This Row],[Time]]&lt;0.75, AllData[[#This Row],[Time]]&gt;=0.5)=TRUE, "Afternoon", IF(AND(AllData[[#This Row],[Time]]&lt;1, AllData[[#This Row],[Time]]&gt;=0.75)=TRUE, "Evening", "Night")))</f>
        <v>Morning</v>
      </c>
      <c r="G1195" t="str">
        <f>_xlfn.XLOOKUP(AllData[[#This Row],[Location Name]], Locations[Location Name],Locations[Group As])</f>
        <v>Bredon Marina</v>
      </c>
      <c r="H1195" t="e" vm="4">
        <f>_xlfn.XLOOKUP(AllData[[#This Row],[Site Name]],LocationsKey[Site Name],LocationsKey[District])</f>
        <v>#VALUE!</v>
      </c>
      <c r="I1195" t="e" vm="11">
        <f>_xlfn.XLOOKUP(AllData[[#This Row],[Site Name]],LocationsKey[Site Name],LocationsKey[Town])</f>
        <v>#VALUE!</v>
      </c>
      <c r="J1195" t="str">
        <f>_xlfn.XLOOKUP(AllData[[#This Row],[Site Name]],LocationsKey[Site Name], LocationsKey[Waterway])</f>
        <v>Avon</v>
      </c>
      <c r="K1195" t="s">
        <v>1661</v>
      </c>
      <c r="N1195" t="s">
        <v>31</v>
      </c>
      <c r="O1195">
        <v>818</v>
      </c>
      <c r="P1195">
        <v>21.5</v>
      </c>
      <c r="Q1195">
        <v>15</v>
      </c>
      <c r="R1195" s="107" t="str">
        <f>IF(AllData[[#This Row],[Nitrate (PPM)]]&gt;2, "Very high", IF(AllData[[#This Row],[Nitrate (PPM)]]&gt;1, "High", IF(AllData[[#This Row],[Nitrate (PPM)]]&gt;0.5, "Some evidence", IF(AllData[[#This Row],[Nitrate (PPM)]]&gt;=0, "No evidence"))))</f>
        <v>Very high</v>
      </c>
      <c r="S1195" s="4">
        <v>0.83</v>
      </c>
      <c r="T1195" s="7" t="str">
        <f>IF(AllData[[#This Row],[Phosphate (PPM)]]&gt;0.5, "Very high", IF(AllData[[#This Row],[Phosphate (PPM)]]&gt;0.1, "High", IF(AllData[[#This Row],[Phosphate (PPM)]]&gt;0.05, "Some evidence", IF(AllData[[#This Row],[Phosphate (PPM)]]&lt;=0.05, "No Evidence", ""))))</f>
        <v>Very high</v>
      </c>
      <c r="U1195">
        <v>1</v>
      </c>
    </row>
    <row r="1196" spans="1:22" x14ac:dyDescent="0.35">
      <c r="A1196" t="s">
        <v>1733</v>
      </c>
      <c r="B1196" s="143">
        <v>45498</v>
      </c>
      <c r="C1196" s="2" t="str" cm="1">
        <f t="array" ref="C11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6">
        <f>YEAR(AllData[[#This Row],[Date]])</f>
        <v>2024</v>
      </c>
      <c r="E1196" s="1">
        <v>0.84027777777777779</v>
      </c>
      <c r="F1196" t="str">
        <f>IF(AND(AllData[[#This Row],[Time]]&lt;0.5, AllData[[#This Row],[Time]]&gt;0.17)=TRUE, "Morning", IF(AND(AllData[[#This Row],[Time]]&lt;0.75, AllData[[#This Row],[Time]]&gt;=0.5)=TRUE, "Afternoon", IF(AND(AllData[[#This Row],[Time]]&lt;1, AllData[[#This Row],[Time]]&gt;=0.75)=TRUE, "Evening", "Night")))</f>
        <v>Evening</v>
      </c>
      <c r="G1196" t="str">
        <f>_xlfn.XLOOKUP(AllData[[#This Row],[Location Name]], Locations[Location Name],Locations[Group As])</f>
        <v>Abbey Mill</v>
      </c>
      <c r="H1196" t="e" vm="4">
        <f>_xlfn.XLOOKUP(AllData[[#This Row],[Site Name]],LocationsKey[Site Name],LocationsKey[District])</f>
        <v>#VALUE!</v>
      </c>
      <c r="I1196" t="e" vm="4">
        <f>_xlfn.XLOOKUP(AllData[[#This Row],[Site Name]],LocationsKey[Site Name],LocationsKey[Town])</f>
        <v>#VALUE!</v>
      </c>
      <c r="J1196" t="str">
        <f>_xlfn.XLOOKUP(AllData[[#This Row],[Site Name]],LocationsKey[Site Name], LocationsKey[Waterway])</f>
        <v>Avon</v>
      </c>
      <c r="K1196" t="s">
        <v>27</v>
      </c>
      <c r="L1196">
        <v>51.991379000000002</v>
      </c>
      <c r="M1196">
        <v>-2.1627969999999999</v>
      </c>
      <c r="N1196" t="s">
        <v>25</v>
      </c>
      <c r="O1196">
        <v>892</v>
      </c>
      <c r="P1196">
        <v>20.7</v>
      </c>
      <c r="Q1196">
        <v>7</v>
      </c>
      <c r="R1196" s="107" t="str">
        <f>IF(AllData[[#This Row],[Nitrate (PPM)]]&gt;2, "Very high", IF(AllData[[#This Row],[Nitrate (PPM)]]&gt;1, "High", IF(AllData[[#This Row],[Nitrate (PPM)]]&gt;0.5, "Some evidence", IF(AllData[[#This Row],[Nitrate (PPM)]]&gt;=0, "No evidence"))))</f>
        <v>Very high</v>
      </c>
      <c r="S1196" s="4">
        <v>0.94</v>
      </c>
      <c r="T1196" s="7" t="str">
        <f>IF(AllData[[#This Row],[Phosphate (PPM)]]&gt;0.5, "Very high", IF(AllData[[#This Row],[Phosphate (PPM)]]&gt;0.1, "High", IF(AllData[[#This Row],[Phosphate (PPM)]]&gt;0.05, "Some evidence", IF(AllData[[#This Row],[Phosphate (PPM)]]&lt;=0.05, "No Evidence", ""))))</f>
        <v>Very high</v>
      </c>
      <c r="U1196">
        <v>0.5</v>
      </c>
    </row>
    <row r="1197" spans="1:22" x14ac:dyDescent="0.35">
      <c r="A1197" t="s">
        <v>1732</v>
      </c>
      <c r="B1197" s="143">
        <v>45498</v>
      </c>
      <c r="C1197" s="2" t="str" cm="1">
        <f t="array" ref="C11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7">
        <f>YEAR(AllData[[#This Row],[Date]])</f>
        <v>2024</v>
      </c>
      <c r="E1197" s="1">
        <v>0.72916666666666663</v>
      </c>
      <c r="F1197" t="str">
        <f>IF(AND(AllData[[#This Row],[Time]]&lt;0.5, AllData[[#This Row],[Time]]&gt;0.17)=TRUE, "Morning", IF(AND(AllData[[#This Row],[Time]]&lt;0.75, AllData[[#This Row],[Time]]&gt;=0.5)=TRUE, "Afternoon", IF(AND(AllData[[#This Row],[Time]]&lt;1, AllData[[#This Row],[Time]]&gt;=0.75)=TRUE, "Evening", "Night")))</f>
        <v>Afternoon</v>
      </c>
      <c r="G1197" t="str">
        <f>_xlfn.XLOOKUP(AllData[[#This Row],[Location Name]], Locations[Location Name],Locations[Group As])</f>
        <v>Swilgate</v>
      </c>
      <c r="H1197" t="e" vm="4">
        <f>_xlfn.XLOOKUP(AllData[[#This Row],[Site Name]],LocationsKey[Site Name],LocationsKey[District])</f>
        <v>#VALUE!</v>
      </c>
      <c r="I1197" t="e" vm="4">
        <f>_xlfn.XLOOKUP(AllData[[#This Row],[Site Name]],LocationsKey[Site Name],LocationsKey[Town])</f>
        <v>#VALUE!</v>
      </c>
      <c r="J1197" t="str">
        <f>_xlfn.XLOOKUP(AllData[[#This Row],[Site Name]],LocationsKey[Site Name], LocationsKey[Waterway])</f>
        <v>Swilgate</v>
      </c>
      <c r="K1197" t="s">
        <v>85</v>
      </c>
      <c r="N1197" t="s">
        <v>25</v>
      </c>
      <c r="O1197">
        <v>890</v>
      </c>
      <c r="P1197">
        <v>19.7</v>
      </c>
      <c r="Q1197">
        <v>4</v>
      </c>
      <c r="R1197" s="107" t="str">
        <f>IF(AllData[[#This Row],[Nitrate (PPM)]]&gt;2, "Very high", IF(AllData[[#This Row],[Nitrate (PPM)]]&gt;1, "High", IF(AllData[[#This Row],[Nitrate (PPM)]]&gt;0.5, "Some evidence", IF(AllData[[#This Row],[Nitrate (PPM)]]&gt;=0, "No evidence"))))</f>
        <v>Very high</v>
      </c>
      <c r="S1197" s="4">
        <v>0.94</v>
      </c>
      <c r="T1197" s="7" t="str">
        <f>IF(AllData[[#This Row],[Phosphate (PPM)]]&gt;0.5, "Very high", IF(AllData[[#This Row],[Phosphate (PPM)]]&gt;0.1, "High", IF(AllData[[#This Row],[Phosphate (PPM)]]&gt;0.05, "Some evidence", IF(AllData[[#This Row],[Phosphate (PPM)]]&lt;=0.05, "No Evidence", ""))))</f>
        <v>Very high</v>
      </c>
      <c r="U1197">
        <v>0</v>
      </c>
    </row>
    <row r="1198" spans="1:22" x14ac:dyDescent="0.35">
      <c r="A1198" t="s">
        <v>1731</v>
      </c>
      <c r="B1198" s="143">
        <v>45498</v>
      </c>
      <c r="C1198" s="2" t="str" cm="1">
        <f t="array" ref="C11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8">
        <f>YEAR(AllData[[#This Row],[Date]])</f>
        <v>2024</v>
      </c>
      <c r="E1198" s="1">
        <v>0.69444444444444442</v>
      </c>
      <c r="F1198" t="str">
        <f>IF(AND(AllData[[#This Row],[Time]]&lt;0.5, AllData[[#This Row],[Time]]&gt;0.17)=TRUE, "Morning", IF(AND(AllData[[#This Row],[Time]]&lt;0.75, AllData[[#This Row],[Time]]&gt;=0.5)=TRUE, "Afternoon", IF(AND(AllData[[#This Row],[Time]]&lt;1, AllData[[#This Row],[Time]]&gt;=0.75)=TRUE, "Evening", "Night")))</f>
        <v>Afternoon</v>
      </c>
      <c r="G1198" t="str">
        <f>_xlfn.XLOOKUP(AllData[[#This Row],[Location Name]], Locations[Location Name],Locations[Group As])</f>
        <v>Stour Willington</v>
      </c>
      <c r="H1198" t="e" vm="1">
        <f>_xlfn.XLOOKUP(AllData[[#This Row],[Site Name]],LocationsKey[Site Name],LocationsKey[District])</f>
        <v>#VALUE!</v>
      </c>
      <c r="I1198" t="str">
        <f>_xlfn.XLOOKUP(AllData[[#This Row],[Site Name]],LocationsKey[Site Name],LocationsKey[Town])</f>
        <v>Willington</v>
      </c>
      <c r="J1198" t="str">
        <f>_xlfn.XLOOKUP(AllData[[#This Row],[Site Name]],LocationsKey[Site Name], LocationsKey[Waterway])</f>
        <v>Stour</v>
      </c>
      <c r="K1198" t="s">
        <v>521</v>
      </c>
      <c r="L1198">
        <v>52.053545</v>
      </c>
      <c r="M1198">
        <v>-1.620147</v>
      </c>
      <c r="N1198" t="s">
        <v>25</v>
      </c>
      <c r="O1198">
        <v>543</v>
      </c>
      <c r="P1198">
        <v>18.100000000000001</v>
      </c>
      <c r="Q1198">
        <v>2</v>
      </c>
      <c r="R1198" s="107" t="str">
        <f>IF(AllData[[#This Row],[Nitrate (PPM)]]&gt;2, "Very high", IF(AllData[[#This Row],[Nitrate (PPM)]]&gt;1, "High", IF(AllData[[#This Row],[Nitrate (PPM)]]&gt;0.5, "Some evidence", IF(AllData[[#This Row],[Nitrate (PPM)]]&gt;=0, "No evidence"))))</f>
        <v>High</v>
      </c>
      <c r="S1198" s="4">
        <v>0.44</v>
      </c>
      <c r="T1198" s="7" t="str">
        <f>IF(AllData[[#This Row],[Phosphate (PPM)]]&gt;0.5, "Very high", IF(AllData[[#This Row],[Phosphate (PPM)]]&gt;0.1, "High", IF(AllData[[#This Row],[Phosphate (PPM)]]&gt;0.05, "Some evidence", IF(AllData[[#This Row],[Phosphate (PPM)]]&lt;=0.05, "No Evidence", ""))))</f>
        <v>High</v>
      </c>
      <c r="U1198">
        <v>0.5</v>
      </c>
    </row>
    <row r="1199" spans="1:22" x14ac:dyDescent="0.35">
      <c r="A1199" t="s">
        <v>1728</v>
      </c>
      <c r="B1199" s="143">
        <v>45497</v>
      </c>
      <c r="C1199" s="2" t="str" cm="1">
        <f t="array" ref="C11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199">
        <f>YEAR(AllData[[#This Row],[Date]])</f>
        <v>2024</v>
      </c>
      <c r="E1199" s="1">
        <v>0.69374999999999998</v>
      </c>
      <c r="F1199" t="str">
        <f>IF(AND(AllData[[#This Row],[Time]]&lt;0.5, AllData[[#This Row],[Time]]&gt;0.17)=TRUE, "Morning", IF(AND(AllData[[#This Row],[Time]]&lt;0.75, AllData[[#This Row],[Time]]&gt;=0.5)=TRUE, "Afternoon", IF(AND(AllData[[#This Row],[Time]]&lt;1, AllData[[#This Row],[Time]]&gt;=0.75)=TRUE, "Evening", "Night")))</f>
        <v>Afternoon</v>
      </c>
      <c r="G1199" t="str">
        <f>_xlfn.XLOOKUP(AllData[[#This Row],[Location Name]], Locations[Location Name],Locations[Group As])</f>
        <v>Swiffen Bank</v>
      </c>
      <c r="H1199" t="e" vm="1">
        <f>_xlfn.XLOOKUP(AllData[[#This Row],[Site Name]],LocationsKey[Site Name],LocationsKey[District])</f>
        <v>#VALUE!</v>
      </c>
      <c r="I1199" t="e" vm="2">
        <f>_xlfn.XLOOKUP(AllData[[#This Row],[Site Name]],LocationsKey[Site Name],LocationsKey[Town])</f>
        <v>#VALUE!</v>
      </c>
      <c r="J1199" t="str">
        <f>_xlfn.XLOOKUP(AllData[[#This Row],[Site Name]],LocationsKey[Site Name], LocationsKey[Waterway])</f>
        <v>Avon</v>
      </c>
      <c r="K1199" t="s">
        <v>286</v>
      </c>
      <c r="L1199">
        <v>52.206488</v>
      </c>
      <c r="M1199">
        <v>-1.653894</v>
      </c>
      <c r="N1199" t="s">
        <v>31</v>
      </c>
      <c r="O1199">
        <v>710</v>
      </c>
      <c r="P1199">
        <v>20.399999999999999</v>
      </c>
      <c r="Q1199">
        <v>10</v>
      </c>
      <c r="R1199" s="107" t="str">
        <f>IF(AllData[[#This Row],[Nitrate (PPM)]]&gt;2, "Very high", IF(AllData[[#This Row],[Nitrate (PPM)]]&gt;1, "High", IF(AllData[[#This Row],[Nitrate (PPM)]]&gt;0.5, "Some evidence", IF(AllData[[#This Row],[Nitrate (PPM)]]&gt;=0, "No evidence"))))</f>
        <v>Very high</v>
      </c>
      <c r="S1199" s="4">
        <v>0.56000000000000005</v>
      </c>
      <c r="T1199" s="7" t="str">
        <f>IF(AllData[[#This Row],[Phosphate (PPM)]]&gt;0.5, "Very high", IF(AllData[[#This Row],[Phosphate (PPM)]]&gt;0.1, "High", IF(AllData[[#This Row],[Phosphate (PPM)]]&gt;0.05, "Some evidence", IF(AllData[[#This Row],[Phosphate (PPM)]]&lt;=0.05, "No Evidence", ""))))</f>
        <v>Very high</v>
      </c>
      <c r="U1199">
        <v>0</v>
      </c>
      <c r="V1199" t="s">
        <v>1729</v>
      </c>
    </row>
    <row r="1200" spans="1:22" x14ac:dyDescent="0.35">
      <c r="A1200" t="s">
        <v>1727</v>
      </c>
      <c r="B1200" s="143">
        <v>45497</v>
      </c>
      <c r="C1200" s="2" t="str" cm="1">
        <f t="array" ref="C12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0">
        <f>YEAR(AllData[[#This Row],[Date]])</f>
        <v>2024</v>
      </c>
      <c r="E1200" s="1">
        <v>0.67708333333333337</v>
      </c>
      <c r="F1200" t="str">
        <f>IF(AND(AllData[[#This Row],[Time]]&lt;0.5, AllData[[#This Row],[Time]]&gt;0.17)=TRUE, "Morning", IF(AND(AllData[[#This Row],[Time]]&lt;0.75, AllData[[#This Row],[Time]]&gt;=0.5)=TRUE, "Afternoon", IF(AND(AllData[[#This Row],[Time]]&lt;1, AllData[[#This Row],[Time]]&gt;=0.75)=TRUE, "Evening", "Night")))</f>
        <v>Afternoon</v>
      </c>
      <c r="G1200" t="str">
        <f>_xlfn.XLOOKUP(AllData[[#This Row],[Location Name]], Locations[Location Name],Locations[Group As])</f>
        <v>Alveston Weir</v>
      </c>
      <c r="H1200" t="e" vm="1">
        <f>_xlfn.XLOOKUP(AllData[[#This Row],[Site Name]],LocationsKey[Site Name],LocationsKey[District])</f>
        <v>#VALUE!</v>
      </c>
      <c r="I1200" t="e" vm="2">
        <f>_xlfn.XLOOKUP(AllData[[#This Row],[Site Name]],LocationsKey[Site Name],LocationsKey[Town])</f>
        <v>#VALUE!</v>
      </c>
      <c r="J1200" t="str">
        <f>_xlfn.XLOOKUP(AllData[[#This Row],[Site Name]],LocationsKey[Site Name], LocationsKey[Waterway])</f>
        <v>Avon</v>
      </c>
      <c r="K1200" t="s">
        <v>288</v>
      </c>
      <c r="L1200">
        <v>52.212288999999998</v>
      </c>
      <c r="M1200">
        <v>-1.660452</v>
      </c>
      <c r="N1200" t="s">
        <v>31</v>
      </c>
      <c r="O1200">
        <v>707</v>
      </c>
      <c r="P1200">
        <v>24.7</v>
      </c>
      <c r="Q1200">
        <v>5</v>
      </c>
      <c r="R1200" s="107" t="str">
        <f>IF(AllData[[#This Row],[Nitrate (PPM)]]&gt;2, "Very high", IF(AllData[[#This Row],[Nitrate (PPM)]]&gt;1, "High", IF(AllData[[#This Row],[Nitrate (PPM)]]&gt;0.5, "Some evidence", IF(AllData[[#This Row],[Nitrate (PPM)]]&gt;=0, "No evidence"))))</f>
        <v>Very high</v>
      </c>
      <c r="S1200" s="4">
        <v>0.65</v>
      </c>
      <c r="T1200" s="7" t="str">
        <f>IF(AllData[[#This Row],[Phosphate (PPM)]]&gt;0.5, "Very high", IF(AllData[[#This Row],[Phosphate (PPM)]]&gt;0.1, "High", IF(AllData[[#This Row],[Phosphate (PPM)]]&gt;0.05, "Some evidence", IF(AllData[[#This Row],[Phosphate (PPM)]]&lt;=0.05, "No Evidence", ""))))</f>
        <v>Very high</v>
      </c>
      <c r="U1200">
        <v>-0.5</v>
      </c>
    </row>
    <row r="1201" spans="1:22" x14ac:dyDescent="0.35">
      <c r="A1201" t="s">
        <v>1726</v>
      </c>
      <c r="B1201" s="143">
        <v>45497</v>
      </c>
      <c r="C1201" s="2" t="str" cm="1">
        <f t="array" ref="C12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1">
        <f>YEAR(AllData[[#This Row],[Date]])</f>
        <v>2024</v>
      </c>
      <c r="E1201" s="1">
        <v>0.48125000000000001</v>
      </c>
      <c r="F1201" t="str">
        <f>IF(AND(AllData[[#This Row],[Time]]&lt;0.5, AllData[[#This Row],[Time]]&gt;0.17)=TRUE, "Morning", IF(AND(AllData[[#This Row],[Time]]&lt;0.75, AllData[[#This Row],[Time]]&gt;=0.5)=TRUE, "Afternoon", IF(AND(AllData[[#This Row],[Time]]&lt;1, AllData[[#This Row],[Time]]&gt;=0.75)=TRUE, "Evening", "Night")))</f>
        <v>Morning</v>
      </c>
      <c r="G1201" t="str">
        <f>_xlfn.XLOOKUP(AllData[[#This Row],[Location Name]], Locations[Location Name],Locations[Group As])</f>
        <v>Carrant Mitton Path</v>
      </c>
      <c r="H1201" t="e" vm="4">
        <f>_xlfn.XLOOKUP(AllData[[#This Row],[Site Name]],LocationsKey[Site Name],LocationsKey[District])</f>
        <v>#VALUE!</v>
      </c>
      <c r="I1201" t="e" vm="4">
        <f>_xlfn.XLOOKUP(AllData[[#This Row],[Site Name]],LocationsKey[Site Name],LocationsKey[Town])</f>
        <v>#VALUE!</v>
      </c>
      <c r="J1201" t="str">
        <f>_xlfn.XLOOKUP(AllData[[#This Row],[Site Name]],LocationsKey[Site Name], LocationsKey[Waterway])</f>
        <v>Carrant</v>
      </c>
      <c r="K1201" t="s">
        <v>1064</v>
      </c>
      <c r="L1201">
        <v>51.999848</v>
      </c>
      <c r="M1201">
        <v>-2.1410930000000001</v>
      </c>
      <c r="N1201" t="s">
        <v>25</v>
      </c>
      <c r="O1201">
        <v>675</v>
      </c>
      <c r="P1201">
        <v>19.100000000000001</v>
      </c>
      <c r="Q1201">
        <v>4</v>
      </c>
      <c r="R1201" s="107" t="str">
        <f>IF(AllData[[#This Row],[Nitrate (PPM)]]&gt;2, "Very high", IF(AllData[[#This Row],[Nitrate (PPM)]]&gt;1, "High", IF(AllData[[#This Row],[Nitrate (PPM)]]&gt;0.5, "Some evidence", IF(AllData[[#This Row],[Nitrate (PPM)]]&gt;=0, "No evidence"))))</f>
        <v>Very high</v>
      </c>
      <c r="S1201" s="4">
        <v>0.62</v>
      </c>
      <c r="T1201" s="7" t="str">
        <f>IF(AllData[[#This Row],[Phosphate (PPM)]]&gt;0.5, "Very high", IF(AllData[[#This Row],[Phosphate (PPM)]]&gt;0.1, "High", IF(AllData[[#This Row],[Phosphate (PPM)]]&gt;0.05, "Some evidence", IF(AllData[[#This Row],[Phosphate (PPM)]]&lt;=0.05, "No Evidence", ""))))</f>
        <v>Very high</v>
      </c>
      <c r="U1201">
        <v>0</v>
      </c>
    </row>
    <row r="1202" spans="1:22" x14ac:dyDescent="0.35">
      <c r="A1202" t="s">
        <v>1725</v>
      </c>
      <c r="B1202" s="143">
        <v>45496</v>
      </c>
      <c r="C1202" s="2" t="str" cm="1">
        <f t="array" ref="C12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2">
        <f>YEAR(AllData[[#This Row],[Date]])</f>
        <v>2024</v>
      </c>
      <c r="E1202" s="1">
        <v>0.40486111111111112</v>
      </c>
      <c r="F1202" t="str">
        <f>IF(AND(AllData[[#This Row],[Time]]&lt;0.5, AllData[[#This Row],[Time]]&gt;0.17)=TRUE, "Morning", IF(AND(AllData[[#This Row],[Time]]&lt;0.75, AllData[[#This Row],[Time]]&gt;=0.5)=TRUE, "Afternoon", IF(AND(AllData[[#This Row],[Time]]&lt;1, AllData[[#This Row],[Time]]&gt;=0.75)=TRUE, "Evening", "Night")))</f>
        <v>Morning</v>
      </c>
      <c r="G1202" t="str">
        <f>_xlfn.XLOOKUP(AllData[[#This Row],[Location Name]], Locations[Location Name],Locations[Group As])</f>
        <v>Stour Stretton-on-Fosse Sewage Works</v>
      </c>
      <c r="H1202" t="e" vm="1">
        <f>_xlfn.XLOOKUP(AllData[[#This Row],[Site Name]],LocationsKey[Site Name],LocationsKey[District])</f>
        <v>#VALUE!</v>
      </c>
      <c r="I1202" t="e" vm="30">
        <f>_xlfn.XLOOKUP(AllData[[#This Row],[Site Name]],LocationsKey[Site Name],LocationsKey[Town])</f>
        <v>#VALUE!</v>
      </c>
      <c r="J1202" t="str">
        <f>_xlfn.XLOOKUP(AllData[[#This Row],[Site Name]],LocationsKey[Site Name], LocationsKey[Waterway])</f>
        <v>Stour</v>
      </c>
      <c r="K1202" t="s">
        <v>337</v>
      </c>
      <c r="L1202">
        <v>52.045589999999997</v>
      </c>
      <c r="M1202">
        <v>-1.67197</v>
      </c>
      <c r="N1202" t="s">
        <v>31</v>
      </c>
      <c r="O1202">
        <v>869</v>
      </c>
      <c r="P1202">
        <v>17.3</v>
      </c>
      <c r="Q1202">
        <v>5</v>
      </c>
      <c r="R1202" s="107" t="str">
        <f>IF(AllData[[#This Row],[Nitrate (PPM)]]&gt;2, "Very high", IF(AllData[[#This Row],[Nitrate (PPM)]]&gt;1, "High", IF(AllData[[#This Row],[Nitrate (PPM)]]&gt;0.5, "Some evidence", IF(AllData[[#This Row],[Nitrate (PPM)]]&gt;=0, "No evidence"))))</f>
        <v>Very high</v>
      </c>
      <c r="S1202" s="4">
        <v>2.5</v>
      </c>
      <c r="T1202" s="7" t="str">
        <f>IF(AllData[[#This Row],[Phosphate (PPM)]]&gt;0.5, "Very high", IF(AllData[[#This Row],[Phosphate (PPM)]]&gt;0.1, "High", IF(AllData[[#This Row],[Phosphate (PPM)]]&gt;0.05, "Some evidence", IF(AllData[[#This Row],[Phosphate (PPM)]]&lt;=0.05, "No Evidence", ""))))</f>
        <v>Very high</v>
      </c>
      <c r="U1202">
        <v>0.3</v>
      </c>
      <c r="V1202" t="s">
        <v>1356</v>
      </c>
    </row>
    <row r="1203" spans="1:22" x14ac:dyDescent="0.35">
      <c r="A1203" t="s">
        <v>1724</v>
      </c>
      <c r="B1203" s="143">
        <v>45496</v>
      </c>
      <c r="C1203" s="2" t="str" cm="1">
        <f t="array" ref="C12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3">
        <f>YEAR(AllData[[#This Row],[Date]])</f>
        <v>2024</v>
      </c>
      <c r="E1203" s="1">
        <v>0.39374999999999999</v>
      </c>
      <c r="F1203" t="str">
        <f>IF(AND(AllData[[#This Row],[Time]]&lt;0.5, AllData[[#This Row],[Time]]&gt;0.17)=TRUE, "Morning", IF(AND(AllData[[#This Row],[Time]]&lt;0.75, AllData[[#This Row],[Time]]&gt;=0.5)=TRUE, "Afternoon", IF(AND(AllData[[#This Row],[Time]]&lt;1, AllData[[#This Row],[Time]]&gt;=0.75)=TRUE, "Evening", "Night")))</f>
        <v>Morning</v>
      </c>
      <c r="G1203" t="str">
        <f>_xlfn.XLOOKUP(AllData[[#This Row],[Location Name]], Locations[Location Name],Locations[Group As])</f>
        <v>Stour Stretton-on-Fosse Village</v>
      </c>
      <c r="H1203" t="e" vm="1">
        <f>_xlfn.XLOOKUP(AllData[[#This Row],[Site Name]],LocationsKey[Site Name],LocationsKey[District])</f>
        <v>#VALUE!</v>
      </c>
      <c r="I1203" t="e" vm="30">
        <f>_xlfn.XLOOKUP(AllData[[#This Row],[Site Name]],LocationsKey[Site Name],LocationsKey[Town])</f>
        <v>#VALUE!</v>
      </c>
      <c r="J1203" t="str">
        <f>_xlfn.XLOOKUP(AllData[[#This Row],[Site Name]],LocationsKey[Site Name], LocationsKey[Waterway])</f>
        <v>Stour</v>
      </c>
      <c r="K1203" t="s">
        <v>548</v>
      </c>
      <c r="L1203">
        <v>52.046522000000003</v>
      </c>
      <c r="M1203">
        <v>-1.6733830000000001</v>
      </c>
      <c r="N1203" t="s">
        <v>68</v>
      </c>
      <c r="O1203">
        <v>687</v>
      </c>
      <c r="P1203">
        <v>16.8</v>
      </c>
      <c r="Q1203">
        <v>0.5</v>
      </c>
      <c r="R1203" s="107" t="str">
        <f>IF(AllData[[#This Row],[Nitrate (PPM)]]&gt;2, "Very high", IF(AllData[[#This Row],[Nitrate (PPM)]]&gt;1, "High", IF(AllData[[#This Row],[Nitrate (PPM)]]&gt;0.5, "Some evidence", IF(AllData[[#This Row],[Nitrate (PPM)]]&gt;=0, "No evidence"))))</f>
        <v>No evidence</v>
      </c>
      <c r="S1203" s="4">
        <v>2.5</v>
      </c>
      <c r="T1203" s="7" t="str">
        <f>IF(AllData[[#This Row],[Phosphate (PPM)]]&gt;0.5, "Very high", IF(AllData[[#This Row],[Phosphate (PPM)]]&gt;0.1, "High", IF(AllData[[#This Row],[Phosphate (PPM)]]&gt;0.05, "Some evidence", IF(AllData[[#This Row],[Phosphate (PPM)]]&lt;=0.05, "No Evidence", ""))))</f>
        <v>Very high</v>
      </c>
      <c r="U1203">
        <v>0.15</v>
      </c>
      <c r="V1203" t="s">
        <v>1356</v>
      </c>
    </row>
    <row r="1204" spans="1:22" x14ac:dyDescent="0.35">
      <c r="A1204" t="s">
        <v>1720</v>
      </c>
      <c r="B1204" s="143">
        <v>45495</v>
      </c>
      <c r="C1204" s="2" t="str" cm="1">
        <f t="array" ref="C12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4">
        <f>YEAR(AllData[[#This Row],[Date]])</f>
        <v>2024</v>
      </c>
      <c r="E1204" s="1">
        <v>0.33333333333333331</v>
      </c>
      <c r="F1204" t="str">
        <f>IF(AND(AllData[[#This Row],[Time]]&lt;0.5, AllData[[#This Row],[Time]]&gt;0.17)=TRUE, "Morning", IF(AND(AllData[[#This Row],[Time]]&lt;0.75, AllData[[#This Row],[Time]]&gt;=0.5)=TRUE, "Afternoon", IF(AND(AllData[[#This Row],[Time]]&lt;1, AllData[[#This Row],[Time]]&gt;=0.75)=TRUE, "Evening", "Night")))</f>
        <v>Morning</v>
      </c>
      <c r="G1204" t="str">
        <f>_xlfn.XLOOKUP(AllData[[#This Row],[Location Name]], Locations[Location Name],Locations[Group As])</f>
        <v>Carrant M5 Bridge</v>
      </c>
      <c r="H1204" t="e" vm="4">
        <f>_xlfn.XLOOKUP(AllData[[#This Row],[Site Name]],LocationsKey[Site Name],LocationsKey[District])</f>
        <v>#VALUE!</v>
      </c>
      <c r="I1204" t="e" vm="4">
        <f>_xlfn.XLOOKUP(AllData[[#This Row],[Site Name]],LocationsKey[Site Name],LocationsKey[Town])</f>
        <v>#VALUE!</v>
      </c>
      <c r="J1204" t="str">
        <f>_xlfn.XLOOKUP(AllData[[#This Row],[Site Name]],LocationsKey[Site Name], LocationsKey[Waterway])</f>
        <v>Carrant</v>
      </c>
      <c r="K1204" t="s">
        <v>1066</v>
      </c>
      <c r="N1204" t="s">
        <v>25</v>
      </c>
      <c r="O1204">
        <v>752</v>
      </c>
      <c r="P1204">
        <v>20.3</v>
      </c>
      <c r="Q1204">
        <v>7</v>
      </c>
      <c r="R1204" s="107" t="str">
        <f>IF(AllData[[#This Row],[Nitrate (PPM)]]&gt;2, "Very high", IF(AllData[[#This Row],[Nitrate (PPM)]]&gt;1, "High", IF(AllData[[#This Row],[Nitrate (PPM)]]&gt;0.5, "Some evidence", IF(AllData[[#This Row],[Nitrate (PPM)]]&gt;=0, "No evidence"))))</f>
        <v>Very high</v>
      </c>
      <c r="S1204" s="4">
        <v>1.57</v>
      </c>
      <c r="T1204" s="7" t="str">
        <f>IF(AllData[[#This Row],[Phosphate (PPM)]]&gt;0.5, "Very high", IF(AllData[[#This Row],[Phosphate (PPM)]]&gt;0.1, "High", IF(AllData[[#This Row],[Phosphate (PPM)]]&gt;0.05, "Some evidence", IF(AllData[[#This Row],[Phosphate (PPM)]]&lt;=0.05, "No Evidence", ""))))</f>
        <v>Very high</v>
      </c>
      <c r="U1204">
        <v>0</v>
      </c>
    </row>
    <row r="1205" spans="1:22" x14ac:dyDescent="0.35">
      <c r="A1205" t="s">
        <v>1721</v>
      </c>
      <c r="B1205" s="143">
        <v>45495</v>
      </c>
      <c r="C1205" s="2" t="str" cm="1">
        <f t="array" ref="C12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5">
        <f>YEAR(AllData[[#This Row],[Date]])</f>
        <v>2024</v>
      </c>
      <c r="E1205" s="1">
        <v>0.34375</v>
      </c>
      <c r="F1205" t="str">
        <f>IF(AND(AllData[[#This Row],[Time]]&lt;0.5, AllData[[#This Row],[Time]]&gt;0.17)=TRUE, "Morning", IF(AND(AllData[[#This Row],[Time]]&lt;0.75, AllData[[#This Row],[Time]]&gt;=0.5)=TRUE, "Afternoon", IF(AND(AllData[[#This Row],[Time]]&lt;1, AllData[[#This Row],[Time]]&gt;=0.75)=TRUE, "Evening", "Night")))</f>
        <v>Morning</v>
      </c>
      <c r="G1205" t="str">
        <f>_xlfn.XLOOKUP(AllData[[#This Row],[Location Name]], Locations[Location Name],Locations[Group As])</f>
        <v>Chipping Campden Lady J Gateway</v>
      </c>
      <c r="H1205" t="e" vm="9">
        <f>_xlfn.XLOOKUP(AllData[[#This Row],[Site Name]],LocationsKey[Site Name],LocationsKey[District])</f>
        <v>#VALUE!</v>
      </c>
      <c r="I1205" t="e" vm="10">
        <f>_xlfn.XLOOKUP(AllData[[#This Row],[Site Name]],LocationsKey[Site Name],LocationsKey[Town])</f>
        <v>#VALUE!</v>
      </c>
      <c r="J1205" t="str">
        <f>_xlfn.XLOOKUP(AllData[[#This Row],[Site Name]],LocationsKey[Site Name], LocationsKey[Waterway])</f>
        <v>Cam Brook</v>
      </c>
      <c r="K1205" t="s">
        <v>1573</v>
      </c>
      <c r="N1205" t="s">
        <v>68</v>
      </c>
      <c r="O1205">
        <v>458</v>
      </c>
      <c r="P1205">
        <v>17.8</v>
      </c>
      <c r="Q1205">
        <v>5</v>
      </c>
      <c r="R1205" s="107" t="str">
        <f>IF(AllData[[#This Row],[Nitrate (PPM)]]&gt;2, "Very high", IF(AllData[[#This Row],[Nitrate (PPM)]]&gt;1, "High", IF(AllData[[#This Row],[Nitrate (PPM)]]&gt;0.5, "Some evidence", IF(AllData[[#This Row],[Nitrate (PPM)]]&gt;=0, "No evidence"))))</f>
        <v>Very high</v>
      </c>
      <c r="S1205" s="4">
        <v>0.06</v>
      </c>
      <c r="T1205" s="7" t="str">
        <f>IF(AllData[[#This Row],[Phosphate (PPM)]]&gt;0.5, "Very high", IF(AllData[[#This Row],[Phosphate (PPM)]]&gt;0.1, "High", IF(AllData[[#This Row],[Phosphate (PPM)]]&gt;0.05, "Some evidence", IF(AllData[[#This Row],[Phosphate (PPM)]]&lt;=0.05, "No Evidence", ""))))</f>
        <v>Some evidence</v>
      </c>
      <c r="U1205">
        <v>0.11</v>
      </c>
    </row>
    <row r="1206" spans="1:22" x14ac:dyDescent="0.35">
      <c r="A1206" t="s">
        <v>1723</v>
      </c>
      <c r="B1206" s="143">
        <v>45495</v>
      </c>
      <c r="C1206" s="2" t="str" cm="1">
        <f t="array" ref="C12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6">
        <f>YEAR(AllData[[#This Row],[Date]])</f>
        <v>2024</v>
      </c>
      <c r="E1206" s="1">
        <v>0.63888888888888884</v>
      </c>
      <c r="F1206" t="str">
        <f>IF(AND(AllData[[#This Row],[Time]]&lt;0.5, AllData[[#This Row],[Time]]&gt;0.17)=TRUE, "Morning", IF(AND(AllData[[#This Row],[Time]]&lt;0.75, AllData[[#This Row],[Time]]&gt;=0.5)=TRUE, "Afternoon", IF(AND(AllData[[#This Row],[Time]]&lt;1, AllData[[#This Row],[Time]]&gt;=0.75)=TRUE, "Evening", "Night")))</f>
        <v>Afternoon</v>
      </c>
      <c r="G1206" t="str">
        <f>_xlfn.XLOOKUP(AllData[[#This Row],[Location Name]], Locations[Location Name],Locations[Group As])</f>
        <v>The Ford, Langley</v>
      </c>
      <c r="H1206" t="e" vm="1">
        <f>_xlfn.XLOOKUP(AllData[[#This Row],[Site Name]],LocationsKey[Site Name],LocationsKey[District])</f>
        <v>#VALUE!</v>
      </c>
      <c r="I1206" t="str">
        <f>_xlfn.XLOOKUP(AllData[[#This Row],[Site Name]],LocationsKey[Site Name],LocationsKey[Town])</f>
        <v>Langley</v>
      </c>
      <c r="J1206" t="str">
        <f>_xlfn.XLOOKUP(AllData[[#This Row],[Site Name]],LocationsKey[Site Name], LocationsKey[Waterway])</f>
        <v>Langley Ford</v>
      </c>
      <c r="K1206" t="s">
        <v>561</v>
      </c>
      <c r="L1206">
        <v>52.259782000000001</v>
      </c>
      <c r="M1206">
        <v>-1.7185280000000001</v>
      </c>
      <c r="N1206" t="s">
        <v>31</v>
      </c>
      <c r="O1206">
        <v>854</v>
      </c>
      <c r="P1206">
        <v>16.899999999999999</v>
      </c>
      <c r="Q1206">
        <v>2</v>
      </c>
      <c r="R1206" s="107" t="str">
        <f>IF(AllData[[#This Row],[Nitrate (PPM)]]&gt;2, "Very high", IF(AllData[[#This Row],[Nitrate (PPM)]]&gt;1, "High", IF(AllData[[#This Row],[Nitrate (PPM)]]&gt;0.5, "Some evidence", IF(AllData[[#This Row],[Nitrate (PPM)]]&gt;=0, "No evidence"))))</f>
        <v>High</v>
      </c>
      <c r="S1206" s="4">
        <v>0.69</v>
      </c>
      <c r="T1206" s="7" t="str">
        <f>IF(AllData[[#This Row],[Phosphate (PPM)]]&gt;0.5, "Very high", IF(AllData[[#This Row],[Phosphate (PPM)]]&gt;0.1, "High", IF(AllData[[#This Row],[Phosphate (PPM)]]&gt;0.05, "Some evidence", IF(AllData[[#This Row],[Phosphate (PPM)]]&lt;=0.05, "No Evidence", ""))))</f>
        <v>Very high</v>
      </c>
      <c r="U1206">
        <v>0.06</v>
      </c>
    </row>
    <row r="1207" spans="1:22" x14ac:dyDescent="0.35">
      <c r="A1207" t="s">
        <v>1722</v>
      </c>
      <c r="B1207" s="143">
        <v>45495</v>
      </c>
      <c r="C1207" s="2" t="str" cm="1">
        <f t="array" ref="C12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7">
        <f>YEAR(AllData[[#This Row],[Date]])</f>
        <v>2024</v>
      </c>
      <c r="E1207" s="1">
        <v>0.36458333333333331</v>
      </c>
      <c r="F1207" t="str">
        <f>IF(AND(AllData[[#This Row],[Time]]&lt;0.5, AllData[[#This Row],[Time]]&gt;0.17)=TRUE, "Morning", IF(AND(AllData[[#This Row],[Time]]&lt;0.75, AllData[[#This Row],[Time]]&gt;=0.5)=TRUE, "Afternoon", IF(AND(AllData[[#This Row],[Time]]&lt;1, AllData[[#This Row],[Time]]&gt;=0.75)=TRUE, "Evening", "Night")))</f>
        <v>Morning</v>
      </c>
      <c r="G1207" t="str">
        <f>_xlfn.XLOOKUP(AllData[[#This Row],[Location Name]], Locations[Location Name],Locations[Group As])</f>
        <v>Chipping Campden Sewage Works</v>
      </c>
      <c r="H1207" t="e" vm="9">
        <f>_xlfn.XLOOKUP(AllData[[#This Row],[Site Name]],LocationsKey[Site Name],LocationsKey[District])</f>
        <v>#VALUE!</v>
      </c>
      <c r="I1207" t="e" vm="10">
        <f>_xlfn.XLOOKUP(AllData[[#This Row],[Site Name]],LocationsKey[Site Name],LocationsKey[Town])</f>
        <v>#VALUE!</v>
      </c>
      <c r="J1207" t="str">
        <f>_xlfn.XLOOKUP(AllData[[#This Row],[Site Name]],LocationsKey[Site Name], LocationsKey[Waterway])</f>
        <v>Cam Brook</v>
      </c>
      <c r="K1207" t="s">
        <v>1570</v>
      </c>
      <c r="N1207" t="s">
        <v>31</v>
      </c>
      <c r="O1207">
        <v>730</v>
      </c>
      <c r="P1207">
        <v>16.5</v>
      </c>
      <c r="Q1207">
        <v>2</v>
      </c>
      <c r="R1207" s="107" t="str">
        <f>IF(AllData[[#This Row],[Nitrate (PPM)]]&gt;2, "Very high", IF(AllData[[#This Row],[Nitrate (PPM)]]&gt;1, "High", IF(AllData[[#This Row],[Nitrate (PPM)]]&gt;0.5, "Some evidence", IF(AllData[[#This Row],[Nitrate (PPM)]]&gt;=0, "No evidence"))))</f>
        <v>High</v>
      </c>
      <c r="S1207" s="4">
        <v>0.71</v>
      </c>
      <c r="T1207" s="7" t="str">
        <f>IF(AllData[[#This Row],[Phosphate (PPM)]]&gt;0.5, "Very high", IF(AllData[[#This Row],[Phosphate (PPM)]]&gt;0.1, "High", IF(AllData[[#This Row],[Phosphate (PPM)]]&gt;0.05, "Some evidence", IF(AllData[[#This Row],[Phosphate (PPM)]]&lt;=0.05, "No Evidence", ""))))</f>
        <v>Very high</v>
      </c>
      <c r="U1207">
        <v>0.18</v>
      </c>
    </row>
    <row r="1208" spans="1:22" x14ac:dyDescent="0.35">
      <c r="A1208" t="s">
        <v>1718</v>
      </c>
      <c r="B1208" s="143">
        <v>45494</v>
      </c>
      <c r="C1208" s="2" t="str" cm="1">
        <f t="array" ref="C12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8">
        <f>YEAR(AllData[[#This Row],[Date]])</f>
        <v>2024</v>
      </c>
      <c r="E1208" s="1">
        <v>0.61597222222222225</v>
      </c>
      <c r="F1208" t="str">
        <f>IF(AND(AllData[[#This Row],[Time]]&lt;0.5, AllData[[#This Row],[Time]]&gt;0.17)=TRUE, "Morning", IF(AND(AllData[[#This Row],[Time]]&lt;0.75, AllData[[#This Row],[Time]]&gt;=0.5)=TRUE, "Afternoon", IF(AND(AllData[[#This Row],[Time]]&lt;1, AllData[[#This Row],[Time]]&gt;=0.75)=TRUE, "Evening", "Night")))</f>
        <v>Afternoon</v>
      </c>
      <c r="G1208" t="str">
        <f>_xlfn.XLOOKUP(AllData[[#This Row],[Location Name]], Locations[Location Name],Locations[Group As])</f>
        <v>Black Bear</v>
      </c>
      <c r="H1208" t="e" vm="4">
        <f>_xlfn.XLOOKUP(AllData[[#This Row],[Site Name]],LocationsKey[Site Name],LocationsKey[District])</f>
        <v>#VALUE!</v>
      </c>
      <c r="I1208" t="e" vm="4">
        <f>_xlfn.XLOOKUP(AllData[[#This Row],[Site Name]],LocationsKey[Site Name],LocationsKey[Town])</f>
        <v>#VALUE!</v>
      </c>
      <c r="J1208" t="str">
        <f>_xlfn.XLOOKUP(AllData[[#This Row],[Site Name]],LocationsKey[Site Name], LocationsKey[Waterway])</f>
        <v>Avon</v>
      </c>
      <c r="K1208" t="s">
        <v>1175</v>
      </c>
      <c r="L1208">
        <v>51.997810000000001</v>
      </c>
      <c r="M1208">
        <v>-2.1564329999999998</v>
      </c>
      <c r="N1208" t="s">
        <v>25</v>
      </c>
      <c r="O1208">
        <v>875</v>
      </c>
      <c r="P1208">
        <v>22.4</v>
      </c>
      <c r="Q1208">
        <v>9</v>
      </c>
      <c r="R1208" s="107" t="str">
        <f>IF(AllData[[#This Row],[Nitrate (PPM)]]&gt;2, "Very high", IF(AllData[[#This Row],[Nitrate (PPM)]]&gt;1, "High", IF(AllData[[#This Row],[Nitrate (PPM)]]&gt;0.5, "Some evidence", IF(AllData[[#This Row],[Nitrate (PPM)]]&gt;=0, "No evidence"))))</f>
        <v>Very high</v>
      </c>
      <c r="S1208" s="4">
        <v>0.95</v>
      </c>
      <c r="T1208" s="7" t="str">
        <f>IF(AllData[[#This Row],[Phosphate (PPM)]]&gt;0.5, "Very high", IF(AllData[[#This Row],[Phosphate (PPM)]]&gt;0.1, "High", IF(AllData[[#This Row],[Phosphate (PPM)]]&gt;0.05, "Some evidence", IF(AllData[[#This Row],[Phosphate (PPM)]]&lt;=0.05, "No Evidence", ""))))</f>
        <v>Very high</v>
      </c>
      <c r="U1208">
        <v>0</v>
      </c>
    </row>
    <row r="1209" spans="1:22" x14ac:dyDescent="0.35">
      <c r="A1209" t="s">
        <v>1719</v>
      </c>
      <c r="B1209" s="143">
        <v>45494</v>
      </c>
      <c r="C1209" s="2" t="str" cm="1">
        <f t="array" ref="C12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09">
        <f>YEAR(AllData[[#This Row],[Date]])</f>
        <v>2024</v>
      </c>
      <c r="E1209" s="1">
        <v>0.58333333333333337</v>
      </c>
      <c r="F1209" t="str">
        <f>IF(AND(AllData[[#This Row],[Time]]&lt;0.5, AllData[[#This Row],[Time]]&gt;0.17)=TRUE, "Morning", IF(AND(AllData[[#This Row],[Time]]&lt;0.75, AllData[[#This Row],[Time]]&gt;=0.5)=TRUE, "Afternoon", IF(AND(AllData[[#This Row],[Time]]&lt;1, AllData[[#This Row],[Time]]&gt;=0.75)=TRUE, "Evening", "Night")))</f>
        <v>Afternoon</v>
      </c>
      <c r="G1209" t="str">
        <f>_xlfn.XLOOKUP(AllData[[#This Row],[Location Name]], Locations[Location Name],Locations[Group As])</f>
        <v>Clifford Chambers Mill Bridge</v>
      </c>
      <c r="H1209" t="e" vm="1">
        <f>_xlfn.XLOOKUP(AllData[[#This Row],[Site Name]],LocationsKey[Site Name],LocationsKey[District])</f>
        <v>#VALUE!</v>
      </c>
      <c r="I1209" t="e" vm="22">
        <f>_xlfn.XLOOKUP(AllData[[#This Row],[Site Name]],LocationsKey[Site Name],LocationsKey[Town])</f>
        <v>#VALUE!</v>
      </c>
      <c r="J1209" t="str">
        <f>_xlfn.XLOOKUP(AllData[[#This Row],[Site Name]],LocationsKey[Site Name], LocationsKey[Waterway])</f>
        <v>Stour</v>
      </c>
      <c r="K1209" t="s">
        <v>266</v>
      </c>
      <c r="L1209">
        <v>52.166370000000001</v>
      </c>
      <c r="M1209">
        <v>-1.708032</v>
      </c>
      <c r="N1209" t="s">
        <v>68</v>
      </c>
      <c r="O1209">
        <v>681</v>
      </c>
      <c r="P1209">
        <v>19.8</v>
      </c>
      <c r="Q1209">
        <v>7.5</v>
      </c>
      <c r="R1209" s="107" t="str">
        <f>IF(AllData[[#This Row],[Nitrate (PPM)]]&gt;2, "Very high", IF(AllData[[#This Row],[Nitrate (PPM)]]&gt;1, "High", IF(AllData[[#This Row],[Nitrate (PPM)]]&gt;0.5, "Some evidence", IF(AllData[[#This Row],[Nitrate (PPM)]]&gt;=0, "No evidence"))))</f>
        <v>Very high</v>
      </c>
      <c r="S1209">
        <v>0.69</v>
      </c>
      <c r="T1209" s="7" t="str">
        <f>IF(AllData[[#This Row],[Phosphate (PPM)]]&gt;0.5, "Very high", IF(AllData[[#This Row],[Phosphate (PPM)]]&gt;0.1, "High", IF(AllData[[#This Row],[Phosphate (PPM)]]&gt;0.05, "Some evidence", IF(AllData[[#This Row],[Phosphate (PPM)]]&lt;=0.05, "No Evidence", ""))))</f>
        <v>Very high</v>
      </c>
      <c r="U1209">
        <v>0.5</v>
      </c>
    </row>
    <row r="1210" spans="1:22" x14ac:dyDescent="0.35">
      <c r="A1210" t="s">
        <v>1712</v>
      </c>
      <c r="B1210" s="143">
        <v>45494</v>
      </c>
      <c r="C1210" s="2" t="str" cm="1">
        <f t="array" ref="C12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0">
        <f>YEAR(AllData[[#This Row],[Date]])</f>
        <v>2024</v>
      </c>
      <c r="E1210" s="1">
        <v>0.3972222222222222</v>
      </c>
      <c r="F1210" t="str">
        <f>IF(AND(AllData[[#This Row],[Time]]&lt;0.5, AllData[[#This Row],[Time]]&gt;0.17)=TRUE, "Morning", IF(AND(AllData[[#This Row],[Time]]&lt;0.75, AllData[[#This Row],[Time]]&gt;=0.5)=TRUE, "Afternoon", IF(AND(AllData[[#This Row],[Time]]&lt;1, AllData[[#This Row],[Time]]&gt;=0.75)=TRUE, "Evening", "Night")))</f>
        <v>Morning</v>
      </c>
      <c r="G1210" t="str">
        <f>_xlfn.XLOOKUP(AllData[[#This Row],[Location Name]], Locations[Location Name],Locations[Group As])</f>
        <v>Twyning Fleet</v>
      </c>
      <c r="H1210" t="e" vm="4">
        <f>_xlfn.XLOOKUP(AllData[[#This Row],[Site Name]],LocationsKey[Site Name],LocationsKey[District])</f>
        <v>#VALUE!</v>
      </c>
      <c r="I1210" t="str">
        <f>_xlfn.XLOOKUP(AllData[[#This Row],[Site Name]],LocationsKey[Site Name],LocationsKey[Town])</f>
        <v>Twyning Green</v>
      </c>
      <c r="J1210" t="str">
        <f>_xlfn.XLOOKUP(AllData[[#This Row],[Site Name]],LocationsKey[Site Name], LocationsKey[Waterway])</f>
        <v>Avon</v>
      </c>
      <c r="K1210" t="s">
        <v>56</v>
      </c>
      <c r="L1210">
        <v>52.027453000000001</v>
      </c>
      <c r="M1210">
        <v>-2.1407039999999999</v>
      </c>
      <c r="N1210" t="s">
        <v>31</v>
      </c>
      <c r="O1210">
        <v>8590</v>
      </c>
      <c r="P1210">
        <v>20.7</v>
      </c>
      <c r="Q1210">
        <v>7</v>
      </c>
      <c r="R1210" s="107" t="str">
        <f>IF(AllData[[#This Row],[Nitrate (PPM)]]&gt;2, "Very high", IF(AllData[[#This Row],[Nitrate (PPM)]]&gt;1, "High", IF(AllData[[#This Row],[Nitrate (PPM)]]&gt;0.5, "Some evidence", IF(AllData[[#This Row],[Nitrate (PPM)]]&gt;=0, "No evidence"))))</f>
        <v>Very high</v>
      </c>
      <c r="S1210" s="4">
        <v>1.1599999999999999</v>
      </c>
      <c r="T1210" s="7" t="str">
        <f>IF(AllData[[#This Row],[Phosphate (PPM)]]&gt;0.5, "Very high", IF(AllData[[#This Row],[Phosphate (PPM)]]&gt;0.1, "High", IF(AllData[[#This Row],[Phosphate (PPM)]]&gt;0.05, "Some evidence", IF(AllData[[#This Row],[Phosphate (PPM)]]&lt;=0.05, "No Evidence", ""))))</f>
        <v>Very high</v>
      </c>
      <c r="U1210">
        <v>0</v>
      </c>
      <c r="V1210" t="s">
        <v>1713</v>
      </c>
    </row>
    <row r="1211" spans="1:22" x14ac:dyDescent="0.35">
      <c r="A1211" t="s">
        <v>1714</v>
      </c>
      <c r="B1211" s="143">
        <v>45494</v>
      </c>
      <c r="C1211" s="2" t="str" cm="1">
        <f t="array" ref="C12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1">
        <f>YEAR(AllData[[#This Row],[Date]])</f>
        <v>2024</v>
      </c>
      <c r="E1211" s="1">
        <v>0.41666666666666669</v>
      </c>
      <c r="F1211" t="str">
        <f>IF(AND(AllData[[#This Row],[Time]]&lt;0.5, AllData[[#This Row],[Time]]&gt;0.17)=TRUE, "Morning", IF(AND(AllData[[#This Row],[Time]]&lt;0.75, AllData[[#This Row],[Time]]&gt;=0.5)=TRUE, "Afternoon", IF(AND(AllData[[#This Row],[Time]]&lt;1, AllData[[#This Row],[Time]]&gt;=0.75)=TRUE, "Evening", "Night")))</f>
        <v>Morning</v>
      </c>
      <c r="G1211" t="str">
        <f>_xlfn.XLOOKUP(AllData[[#This Row],[Location Name]], Locations[Location Name],Locations[Group As])</f>
        <v>Sherbourne Brook 1</v>
      </c>
      <c r="H1211" t="e" vm="1">
        <f>_xlfn.XLOOKUP(AllData[[#This Row],[Site Name]],LocationsKey[Site Name],LocationsKey[District])</f>
        <v>#VALUE!</v>
      </c>
      <c r="I1211" t="e" vm="23">
        <f>_xlfn.XLOOKUP(AllData[[#This Row],[Site Name]],LocationsKey[Site Name],LocationsKey[Town])</f>
        <v>#VALUE!</v>
      </c>
      <c r="J1211" t="str">
        <f>_xlfn.XLOOKUP(AllData[[#This Row],[Site Name]],LocationsKey[Site Name], LocationsKey[Waterway])</f>
        <v>Sherbourne Brook</v>
      </c>
      <c r="K1211" t="s">
        <v>541</v>
      </c>
      <c r="L1211">
        <v>52.252499999999998</v>
      </c>
      <c r="M1211">
        <v>-1.6685000000000001</v>
      </c>
      <c r="N1211" t="s">
        <v>25</v>
      </c>
      <c r="O1211">
        <v>1050</v>
      </c>
      <c r="P1211">
        <v>17.5</v>
      </c>
      <c r="Q1211">
        <v>7</v>
      </c>
      <c r="R1211" s="107" t="str">
        <f>IF(AllData[[#This Row],[Nitrate (PPM)]]&gt;2, "Very high", IF(AllData[[#This Row],[Nitrate (PPM)]]&gt;1, "High", IF(AllData[[#This Row],[Nitrate (PPM)]]&gt;0.5, "Some evidence", IF(AllData[[#This Row],[Nitrate (PPM)]]&gt;=0, "No evidence"))))</f>
        <v>Very high</v>
      </c>
      <c r="S1211" s="4">
        <v>0.51</v>
      </c>
      <c r="T1211" s="7" t="str">
        <f>IF(AllData[[#This Row],[Phosphate (PPM)]]&gt;0.5, "Very high", IF(AllData[[#This Row],[Phosphate (PPM)]]&gt;0.1, "High", IF(AllData[[#This Row],[Phosphate (PPM)]]&gt;0.05, "Some evidence", IF(AllData[[#This Row],[Phosphate (PPM)]]&lt;=0.05, "No Evidence", ""))))</f>
        <v>Very high</v>
      </c>
      <c r="U1211">
        <v>0.15</v>
      </c>
    </row>
    <row r="1212" spans="1:22" x14ac:dyDescent="0.35">
      <c r="A1212" t="s">
        <v>1715</v>
      </c>
      <c r="B1212" s="143">
        <v>45494</v>
      </c>
      <c r="C1212" s="2" t="str" cm="1">
        <f t="array" ref="C12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2">
        <f>YEAR(AllData[[#This Row],[Date]])</f>
        <v>2024</v>
      </c>
      <c r="E1212" s="1">
        <v>0.42708333333333331</v>
      </c>
      <c r="F1212" t="str">
        <f>IF(AND(AllData[[#This Row],[Time]]&lt;0.5, AllData[[#This Row],[Time]]&gt;0.17)=TRUE, "Morning", IF(AND(AllData[[#This Row],[Time]]&lt;0.75, AllData[[#This Row],[Time]]&gt;=0.5)=TRUE, "Afternoon", IF(AND(AllData[[#This Row],[Time]]&lt;1, AllData[[#This Row],[Time]]&gt;=0.75)=TRUE, "Evening", "Night")))</f>
        <v>Morning</v>
      </c>
      <c r="G1212" t="str">
        <f>_xlfn.XLOOKUP(AllData[[#This Row],[Location Name]], Locations[Location Name],Locations[Group As])</f>
        <v>Bell Brook 1</v>
      </c>
      <c r="H1212" t="e" vm="1">
        <f>_xlfn.XLOOKUP(AllData[[#This Row],[Site Name]],LocationsKey[Site Name],LocationsKey[District])</f>
        <v>#VALUE!</v>
      </c>
      <c r="I1212" t="e" vm="19">
        <f>_xlfn.XLOOKUP(AllData[[#This Row],[Site Name]],LocationsKey[Site Name],LocationsKey[Town])</f>
        <v>#VALUE!</v>
      </c>
      <c r="J1212" t="str">
        <f>_xlfn.XLOOKUP(AllData[[#This Row],[Site Name]],LocationsKey[Site Name], LocationsKey[Waterway])</f>
        <v>Bell Brook</v>
      </c>
      <c r="K1212" t="s">
        <v>538</v>
      </c>
      <c r="L1212">
        <v>52.244900000000001</v>
      </c>
      <c r="M1212">
        <v>-1.6617</v>
      </c>
      <c r="N1212" t="s">
        <v>25</v>
      </c>
      <c r="O1212">
        <v>726</v>
      </c>
      <c r="P1212">
        <v>18.7</v>
      </c>
      <c r="Q1212">
        <v>6</v>
      </c>
      <c r="R1212" s="107" t="str">
        <f>IF(AllData[[#This Row],[Nitrate (PPM)]]&gt;2, "Very high", IF(AllData[[#This Row],[Nitrate (PPM)]]&gt;1, "High", IF(AllData[[#This Row],[Nitrate (PPM)]]&gt;0.5, "Some evidence", IF(AllData[[#This Row],[Nitrate (PPM)]]&gt;=0, "No evidence"))))</f>
        <v>Very high</v>
      </c>
      <c r="S1212" s="4">
        <v>0.56999999999999995</v>
      </c>
      <c r="T1212" s="7" t="str">
        <f>IF(AllData[[#This Row],[Phosphate (PPM)]]&gt;0.5, "Very high", IF(AllData[[#This Row],[Phosphate (PPM)]]&gt;0.1, "High", IF(AllData[[#This Row],[Phosphate (PPM)]]&gt;0.05, "Some evidence", IF(AllData[[#This Row],[Phosphate (PPM)]]&lt;=0.05, "No Evidence", ""))))</f>
        <v>Very high</v>
      </c>
      <c r="U1212">
        <v>0.15</v>
      </c>
    </row>
    <row r="1213" spans="1:22" x14ac:dyDescent="0.35">
      <c r="A1213" t="s">
        <v>1716</v>
      </c>
      <c r="B1213" s="143">
        <v>45494</v>
      </c>
      <c r="C1213" s="2" t="str" cm="1">
        <f t="array" ref="C12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3">
        <f>YEAR(AllData[[#This Row],[Date]])</f>
        <v>2024</v>
      </c>
      <c r="E1213" s="1">
        <v>0.5</v>
      </c>
      <c r="F1213" t="str">
        <f>IF(AND(AllData[[#This Row],[Time]]&lt;0.5, AllData[[#This Row],[Time]]&gt;0.17)=TRUE, "Morning", IF(AND(AllData[[#This Row],[Time]]&lt;0.75, AllData[[#This Row],[Time]]&gt;=0.5)=TRUE, "Afternoon", IF(AND(AllData[[#This Row],[Time]]&lt;1, AllData[[#This Row],[Time]]&gt;=0.75)=TRUE, "Evening", "Night")))</f>
        <v>Afternoon</v>
      </c>
      <c r="G1213" t="str">
        <f>_xlfn.XLOOKUP(AllData[[#This Row],[Location Name]], Locations[Location Name],Locations[Group As])</f>
        <v>Carrant Bredon Rd</v>
      </c>
      <c r="H1213" t="e" vm="4">
        <f>_xlfn.XLOOKUP(AllData[[#This Row],[Site Name]],LocationsKey[Site Name],LocationsKey[District])</f>
        <v>#VALUE!</v>
      </c>
      <c r="I1213" t="e" vm="4">
        <f>_xlfn.XLOOKUP(AllData[[#This Row],[Site Name]],LocationsKey[Site Name],LocationsKey[Town])</f>
        <v>#VALUE!</v>
      </c>
      <c r="J1213" t="str">
        <f>_xlfn.XLOOKUP(AllData[[#This Row],[Site Name]],LocationsKey[Site Name], LocationsKey[Waterway])</f>
        <v>Carrant</v>
      </c>
      <c r="K1213" t="s">
        <v>603</v>
      </c>
      <c r="L1213">
        <v>51.996133</v>
      </c>
      <c r="M1213">
        <v>-2.156148</v>
      </c>
      <c r="N1213" t="s">
        <v>25</v>
      </c>
      <c r="O1213">
        <v>693</v>
      </c>
      <c r="P1213">
        <v>18.7</v>
      </c>
      <c r="Q1213">
        <v>6</v>
      </c>
      <c r="R1213" s="107" t="str">
        <f>IF(AllData[[#This Row],[Nitrate (PPM)]]&gt;2, "Very high", IF(AllData[[#This Row],[Nitrate (PPM)]]&gt;1, "High", IF(AllData[[#This Row],[Nitrate (PPM)]]&gt;0.5, "Some evidence", IF(AllData[[#This Row],[Nitrate (PPM)]]&gt;=0, "No evidence"))))</f>
        <v>Very high</v>
      </c>
      <c r="S1213" s="4">
        <v>0.69</v>
      </c>
      <c r="T1213" s="7" t="str">
        <f>IF(AllData[[#This Row],[Phosphate (PPM)]]&gt;0.5, "Very high", IF(AllData[[#This Row],[Phosphate (PPM)]]&gt;0.1, "High", IF(AllData[[#This Row],[Phosphate (PPM)]]&gt;0.05, "Some evidence", IF(AllData[[#This Row],[Phosphate (PPM)]]&lt;=0.05, "No Evidence", ""))))</f>
        <v>Very high</v>
      </c>
      <c r="U1213">
        <v>0.05</v>
      </c>
    </row>
    <row r="1214" spans="1:22" x14ac:dyDescent="0.35">
      <c r="A1214" t="s">
        <v>1717</v>
      </c>
      <c r="B1214" s="143">
        <v>45494</v>
      </c>
      <c r="C1214" s="2" t="str" cm="1">
        <f t="array" ref="C12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4">
        <f>YEAR(AllData[[#This Row],[Date]])</f>
        <v>2024</v>
      </c>
      <c r="E1214" s="1">
        <v>0.5180555555555556</v>
      </c>
      <c r="F1214" t="str">
        <f>IF(AND(AllData[[#This Row],[Time]]&lt;0.5, AllData[[#This Row],[Time]]&gt;0.17)=TRUE, "Morning", IF(AND(AllData[[#This Row],[Time]]&lt;0.75, AllData[[#This Row],[Time]]&gt;=0.5)=TRUE, "Afternoon", IF(AND(AllData[[#This Row],[Time]]&lt;1, AllData[[#This Row],[Time]]&gt;=0.75)=TRUE, "Evening", "Night")))</f>
        <v>Afternoon</v>
      </c>
      <c r="G1214" t="str">
        <f>_xlfn.XLOOKUP(AllData[[#This Row],[Location Name]], Locations[Location Name],Locations[Group As])</f>
        <v>Fell Mill Footbridge</v>
      </c>
      <c r="H1214" t="e" vm="1">
        <f>_xlfn.XLOOKUP(AllData[[#This Row],[Site Name]],LocationsKey[Site Name],LocationsKey[District])</f>
        <v>#VALUE!</v>
      </c>
      <c r="I1214" t="e" vm="15">
        <f>_xlfn.XLOOKUP(AllData[[#This Row],[Site Name]],LocationsKey[Site Name],LocationsKey[Town])</f>
        <v>#VALUE!</v>
      </c>
      <c r="J1214" t="str">
        <f>_xlfn.XLOOKUP(AllData[[#This Row],[Site Name]],LocationsKey[Site Name], LocationsKey[Waterway])</f>
        <v>Stour</v>
      </c>
      <c r="K1214" t="s">
        <v>875</v>
      </c>
      <c r="L1214">
        <v>52.070086000000003</v>
      </c>
      <c r="M1214">
        <v>-1.61145</v>
      </c>
      <c r="N1214" t="s">
        <v>31</v>
      </c>
      <c r="O1214">
        <v>654</v>
      </c>
      <c r="P1214">
        <v>18.100000000000001</v>
      </c>
      <c r="Q1214">
        <v>5</v>
      </c>
      <c r="R1214" s="107" t="str">
        <f>IF(AllData[[#This Row],[Nitrate (PPM)]]&gt;2, "Very high", IF(AllData[[#This Row],[Nitrate (PPM)]]&gt;1, "High", IF(AllData[[#This Row],[Nitrate (PPM)]]&gt;0.5, "Some evidence", IF(AllData[[#This Row],[Nitrate (PPM)]]&gt;=0, "No evidence"))))</f>
        <v>Very high</v>
      </c>
      <c r="S1214" s="4">
        <v>0.7</v>
      </c>
      <c r="T1214" s="7" t="str">
        <f>IF(AllData[[#This Row],[Phosphate (PPM)]]&gt;0.5, "Very high", IF(AllData[[#This Row],[Phosphate (PPM)]]&gt;0.1, "High", IF(AllData[[#This Row],[Phosphate (PPM)]]&gt;0.05, "Some evidence", IF(AllData[[#This Row],[Phosphate (PPM)]]&lt;=0.05, "No Evidence", ""))))</f>
        <v>Very high</v>
      </c>
      <c r="U1214">
        <v>1</v>
      </c>
    </row>
    <row r="1215" spans="1:22" x14ac:dyDescent="0.35">
      <c r="A1215" t="s">
        <v>1697</v>
      </c>
      <c r="B1215" s="143">
        <v>45493</v>
      </c>
      <c r="C1215" s="2" t="str" cm="1">
        <f t="array" ref="C12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5">
        <f>YEAR(AllData[[#This Row],[Date]])</f>
        <v>2024</v>
      </c>
      <c r="E1215" s="1">
        <v>0.52083333333333337</v>
      </c>
      <c r="F1215" t="str">
        <f>IF(AND(AllData[[#This Row],[Time]]&lt;0.5, AllData[[#This Row],[Time]]&gt;0.17)=TRUE, "Morning", IF(AND(AllData[[#This Row],[Time]]&lt;0.75, AllData[[#This Row],[Time]]&gt;=0.5)=TRUE, "Afternoon", IF(AND(AllData[[#This Row],[Time]]&lt;1, AllData[[#This Row],[Time]]&gt;=0.75)=TRUE, "Evening", "Night")))</f>
        <v>Afternoon</v>
      </c>
      <c r="G1215" t="str">
        <f>_xlfn.XLOOKUP(AllData[[#This Row],[Location Name]], Locations[Location Name],Locations[Group As])</f>
        <v>Whitsun Brook north of Bishampton</v>
      </c>
      <c r="H1215" t="e" vm="6">
        <f>_xlfn.XLOOKUP(AllData[[#This Row],[Site Name]],LocationsKey[Site Name],LocationsKey[District])</f>
        <v>#VALUE!</v>
      </c>
      <c r="I1215" t="e" vm="31">
        <f>_xlfn.XLOOKUP(AllData[[#This Row],[Site Name]],LocationsKey[Site Name],LocationsKey[Town])</f>
        <v>#VALUE!</v>
      </c>
      <c r="J1215" t="str">
        <f>_xlfn.XLOOKUP(AllData[[#This Row],[Site Name]],LocationsKey[Site Name], LocationsKey[Waterway])</f>
        <v>Whitsun Brook</v>
      </c>
      <c r="K1215" t="s">
        <v>1698</v>
      </c>
      <c r="L1215">
        <v>52.168118999999997</v>
      </c>
      <c r="M1215">
        <v>-2.0151129999999999</v>
      </c>
      <c r="N1215" t="s">
        <v>31</v>
      </c>
      <c r="O1215">
        <v>2300</v>
      </c>
      <c r="P1215">
        <v>16.7</v>
      </c>
      <c r="Q1215">
        <v>10</v>
      </c>
      <c r="R1215" s="107" t="str">
        <f>IF(AllData[[#This Row],[Nitrate (PPM)]]&gt;2, "Very high", IF(AllData[[#This Row],[Nitrate (PPM)]]&gt;1, "High", IF(AllData[[#This Row],[Nitrate (PPM)]]&gt;0.5, "Some evidence", IF(AllData[[#This Row],[Nitrate (PPM)]]&gt;=0, "No evidence"))))</f>
        <v>Very high</v>
      </c>
      <c r="S1215" s="4">
        <v>1.44</v>
      </c>
      <c r="T1215" s="7" t="str">
        <f>IF(AllData[[#This Row],[Phosphate (PPM)]]&gt;0.5, "Very high", IF(AllData[[#This Row],[Phosphate (PPM)]]&gt;0.1, "High", IF(AllData[[#This Row],[Phosphate (PPM)]]&gt;0.05, "Some evidence", IF(AllData[[#This Row],[Phosphate (PPM)]]&lt;=0.05, "No Evidence", ""))))</f>
        <v>Very high</v>
      </c>
      <c r="U1215">
        <v>0.16</v>
      </c>
      <c r="V1215" t="s">
        <v>1699</v>
      </c>
    </row>
    <row r="1216" spans="1:22" x14ac:dyDescent="0.35">
      <c r="A1216" t="s">
        <v>1677</v>
      </c>
      <c r="B1216" s="143">
        <v>45493</v>
      </c>
      <c r="C1216" s="2" t="str" cm="1">
        <f t="array" ref="C12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6">
        <f>YEAR(AllData[[#This Row],[Date]])</f>
        <v>2024</v>
      </c>
      <c r="E1216" s="1">
        <v>0.36458333333333331</v>
      </c>
      <c r="F1216" t="str">
        <f>IF(AND(AllData[[#This Row],[Time]]&lt;0.5, AllData[[#This Row],[Time]]&gt;0.17)=TRUE, "Morning", IF(AND(AllData[[#This Row],[Time]]&lt;0.75, AllData[[#This Row],[Time]]&gt;=0.5)=TRUE, "Afternoon", IF(AND(AllData[[#This Row],[Time]]&lt;1, AllData[[#This Row],[Time]]&gt;=0.75)=TRUE, "Evening", "Night")))</f>
        <v>Morning</v>
      </c>
      <c r="G1216" t="str">
        <f>_xlfn.XLOOKUP(AllData[[#This Row],[Location Name]], Locations[Location Name],Locations[Group As])</f>
        <v>Piddle Brook Wyre Piddle Bridge</v>
      </c>
      <c r="H1216" t="e" vm="6">
        <f>_xlfn.XLOOKUP(AllData[[#This Row],[Site Name]],LocationsKey[Site Name],LocationsKey[District])</f>
        <v>#VALUE!</v>
      </c>
      <c r="I1216" t="e" vm="13">
        <f>_xlfn.XLOOKUP(AllData[[#This Row],[Site Name]],LocationsKey[Site Name],LocationsKey[Town])</f>
        <v>#VALUE!</v>
      </c>
      <c r="J1216" t="str">
        <f>_xlfn.XLOOKUP(AllData[[#This Row],[Site Name]],LocationsKey[Site Name], LocationsKey[Waterway])</f>
        <v>Piddle Brook</v>
      </c>
      <c r="K1216" t="s">
        <v>787</v>
      </c>
      <c r="L1216">
        <v>52.126373000000001</v>
      </c>
      <c r="M1216">
        <v>-2.056543</v>
      </c>
      <c r="N1216" t="s">
        <v>25</v>
      </c>
      <c r="O1216">
        <v>1660</v>
      </c>
      <c r="P1216">
        <v>18.5</v>
      </c>
      <c r="Q1216">
        <v>10</v>
      </c>
      <c r="R1216" s="107" t="str">
        <f>IF(AllData[[#This Row],[Nitrate (PPM)]]&gt;2, "Very high", IF(AllData[[#This Row],[Nitrate (PPM)]]&gt;1, "High", IF(AllData[[#This Row],[Nitrate (PPM)]]&gt;0.5, "Some evidence", IF(AllData[[#This Row],[Nitrate (PPM)]]&gt;=0, "No evidence"))))</f>
        <v>Very high</v>
      </c>
      <c r="S1216" s="4">
        <v>1.2</v>
      </c>
      <c r="T1216" s="7" t="str">
        <f>IF(AllData[[#This Row],[Phosphate (PPM)]]&gt;0.5, "Very high", IF(AllData[[#This Row],[Phosphate (PPM)]]&gt;0.1, "High", IF(AllData[[#This Row],[Phosphate (PPM)]]&gt;0.05, "Some evidence", IF(AllData[[#This Row],[Phosphate (PPM)]]&lt;=0.05, "No Evidence", ""))))</f>
        <v>Very high</v>
      </c>
      <c r="U1216">
        <v>0.16</v>
      </c>
      <c r="V1216" t="s">
        <v>1678</v>
      </c>
    </row>
    <row r="1217" spans="1:22" x14ac:dyDescent="0.35">
      <c r="A1217" t="s">
        <v>1685</v>
      </c>
      <c r="B1217" s="143">
        <v>45493</v>
      </c>
      <c r="C1217" s="2" t="str" cm="1">
        <f t="array" ref="C12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7">
        <f>YEAR(AllData[[#This Row],[Date]])</f>
        <v>2024</v>
      </c>
      <c r="E1217" s="1">
        <v>0.43611111111111112</v>
      </c>
      <c r="F1217" t="str">
        <f>IF(AND(AllData[[#This Row],[Time]]&lt;0.5, AllData[[#This Row],[Time]]&gt;0.17)=TRUE, "Morning", IF(AND(AllData[[#This Row],[Time]]&lt;0.75, AllData[[#This Row],[Time]]&gt;=0.5)=TRUE, "Afternoon", IF(AND(AllData[[#This Row],[Time]]&lt;1, AllData[[#This Row],[Time]]&gt;=0.75)=TRUE, "Evening", "Night")))</f>
        <v>Morning</v>
      </c>
      <c r="G1217" t="str">
        <f>_xlfn.XLOOKUP(AllData[[#This Row],[Location Name]], Locations[Location Name],Locations[Group As])</f>
        <v>Piddle Brook North of Radford</v>
      </c>
      <c r="H1217" t="e" vm="6">
        <f>_xlfn.XLOOKUP(AllData[[#This Row],[Site Name]],LocationsKey[Site Name],LocationsKey[District])</f>
        <v>#VALUE!</v>
      </c>
      <c r="I1217" t="str">
        <f>_xlfn.XLOOKUP(AllData[[#This Row],[Site Name]],LocationsKey[Site Name],LocationsKey[Town])</f>
        <v>Radford</v>
      </c>
      <c r="J1217" t="str">
        <f>_xlfn.XLOOKUP(AllData[[#This Row],[Site Name]],LocationsKey[Site Name], LocationsKey[Waterway])</f>
        <v>Piddle Brook</v>
      </c>
      <c r="K1217" t="s">
        <v>1686</v>
      </c>
      <c r="L1217">
        <v>52.196624999999997</v>
      </c>
      <c r="M1217">
        <v>-1.9924109999999999</v>
      </c>
      <c r="O1217">
        <v>1400</v>
      </c>
      <c r="P1217">
        <v>17.2</v>
      </c>
      <c r="Q1217">
        <v>10</v>
      </c>
      <c r="R1217" s="107" t="str">
        <f>IF(AllData[[#This Row],[Nitrate (PPM)]]&gt;2, "Very high", IF(AllData[[#This Row],[Nitrate (PPM)]]&gt;1, "High", IF(AllData[[#This Row],[Nitrate (PPM)]]&gt;0.5, "Some evidence", IF(AllData[[#This Row],[Nitrate (PPM)]]&gt;=0, "No evidence"))))</f>
        <v>Very high</v>
      </c>
      <c r="S1217" s="4">
        <v>1.04</v>
      </c>
      <c r="T1217" s="7" t="str">
        <f>IF(AllData[[#This Row],[Phosphate (PPM)]]&gt;0.5, "Very high", IF(AllData[[#This Row],[Phosphate (PPM)]]&gt;0.1, "High", IF(AllData[[#This Row],[Phosphate (PPM)]]&gt;0.05, "Some evidence", IF(AllData[[#This Row],[Phosphate (PPM)]]&lt;=0.05, "No Evidence", ""))))</f>
        <v>Very high</v>
      </c>
      <c r="U1217">
        <v>0.16</v>
      </c>
      <c r="V1217" t="s">
        <v>1687</v>
      </c>
    </row>
    <row r="1218" spans="1:22" x14ac:dyDescent="0.35">
      <c r="A1218" t="s">
        <v>1710</v>
      </c>
      <c r="B1218" s="143">
        <v>45493</v>
      </c>
      <c r="C1218" s="2" t="str" cm="1">
        <f t="array" ref="C12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8">
        <f>YEAR(AllData[[#This Row],[Date]])</f>
        <v>2024</v>
      </c>
      <c r="E1218" s="1"/>
      <c r="F1218" t="str">
        <f>IF(AND(AllData[[#This Row],[Time]]&lt;0.5, AllData[[#This Row],[Time]]&gt;0.17)=TRUE, "Morning", IF(AND(AllData[[#This Row],[Time]]&lt;0.75, AllData[[#This Row],[Time]]&gt;=0.5)=TRUE, "Afternoon", IF(AND(AllData[[#This Row],[Time]]&lt;1, AllData[[#This Row],[Time]]&gt;=0.75)=TRUE, "Evening", "Night")))</f>
        <v>Night</v>
      </c>
      <c r="G1218" t="str">
        <f>_xlfn.XLOOKUP(AllData[[#This Row],[Location Name]], Locations[Location Name],Locations[Group As])</f>
        <v>Site 3  :  Severn Trent Water processing plant outflow</v>
      </c>
      <c r="H1218" t="e" vm="1">
        <f>_xlfn.XLOOKUP(AllData[[#This Row],[Site Name]],LocationsKey[Site Name],LocationsKey[District])</f>
        <v>#VALUE!</v>
      </c>
      <c r="I1218" t="e" vm="14">
        <f>_xlfn.XLOOKUP(AllData[[#This Row],[Site Name]],LocationsKey[Site Name],LocationsKey[Town])</f>
        <v>#VALUE!</v>
      </c>
      <c r="J1218" t="str">
        <f>_xlfn.XLOOKUP(AllData[[#This Row],[Site Name]],LocationsKey[Site Name], LocationsKey[Waterway])</f>
        <v>Fosseway Brook</v>
      </c>
      <c r="K1218" t="s">
        <v>676</v>
      </c>
      <c r="L1218">
        <v>52.094468999999997</v>
      </c>
      <c r="M1218">
        <v>-1.675875</v>
      </c>
      <c r="N1218" t="s">
        <v>31</v>
      </c>
      <c r="O1218">
        <v>897</v>
      </c>
      <c r="P1218">
        <v>19.399999999999999</v>
      </c>
      <c r="Q1218">
        <v>10</v>
      </c>
      <c r="R1218" s="107" t="str">
        <f>IF(AllData[[#This Row],[Nitrate (PPM)]]&gt;2, "Very high", IF(AllData[[#This Row],[Nitrate (PPM)]]&gt;1, "High", IF(AllData[[#This Row],[Nitrate (PPM)]]&gt;0.5, "Some evidence", IF(AllData[[#This Row],[Nitrate (PPM)]]&gt;=0, "No evidence"))))</f>
        <v>Very high</v>
      </c>
      <c r="S1218" s="4">
        <v>2.5</v>
      </c>
      <c r="T1218" s="7" t="str">
        <f>IF(AllData[[#This Row],[Phosphate (PPM)]]&gt;0.5, "Very high", IF(AllData[[#This Row],[Phosphate (PPM)]]&gt;0.1, "High", IF(AllData[[#This Row],[Phosphate (PPM)]]&gt;0.05, "Some evidence", IF(AllData[[#This Row],[Phosphate (PPM)]]&lt;=0.05, "No Evidence", ""))))</f>
        <v>Very high</v>
      </c>
    </row>
    <row r="1219" spans="1:22" x14ac:dyDescent="0.35">
      <c r="A1219" t="s">
        <v>1709</v>
      </c>
      <c r="B1219" s="143">
        <v>45493</v>
      </c>
      <c r="C1219" s="2" t="str" cm="1">
        <f t="array" ref="C12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19">
        <f>YEAR(AllData[[#This Row],[Date]])</f>
        <v>2024</v>
      </c>
      <c r="F1219" t="str">
        <f>IF(AND(AllData[[#This Row],[Time]]&lt;0.5, AllData[[#This Row],[Time]]&gt;0.17)=TRUE, "Morning", IF(AND(AllData[[#This Row],[Time]]&lt;0.75, AllData[[#This Row],[Time]]&gt;=0.5)=TRUE, "Afternoon", IF(AND(AllData[[#This Row],[Time]]&lt;1, AllData[[#This Row],[Time]]&gt;=0.75)=TRUE, "Evening", "Night")))</f>
        <v>Night</v>
      </c>
      <c r="G1219" t="str">
        <f>_xlfn.XLOOKUP(AllData[[#This Row],[Location Name]], Locations[Location Name],Locations[Group As])</f>
        <v>Site 3  :  Severn Trent Water processing plant outflow</v>
      </c>
      <c r="H1219" t="e" vm="1">
        <f>_xlfn.XLOOKUP(AllData[[#This Row],[Site Name]],LocationsKey[Site Name],LocationsKey[District])</f>
        <v>#VALUE!</v>
      </c>
      <c r="I1219" t="e" vm="14">
        <f>_xlfn.XLOOKUP(AllData[[#This Row],[Site Name]],LocationsKey[Site Name],LocationsKey[Town])</f>
        <v>#VALUE!</v>
      </c>
      <c r="J1219" t="str">
        <f>_xlfn.XLOOKUP(AllData[[#This Row],[Site Name]],LocationsKey[Site Name], LocationsKey[Waterway])</f>
        <v>Fosseway Brook</v>
      </c>
      <c r="K1219" t="s">
        <v>673</v>
      </c>
      <c r="L1219">
        <v>52.094468999999997</v>
      </c>
      <c r="M1219">
        <v>-1.675875</v>
      </c>
      <c r="N1219" t="s">
        <v>31</v>
      </c>
      <c r="O1219">
        <v>897</v>
      </c>
      <c r="P1219">
        <v>19.399999999999999</v>
      </c>
      <c r="Q1219">
        <v>10</v>
      </c>
      <c r="R1219" s="107" t="str">
        <f>IF(AllData[[#This Row],[Nitrate (PPM)]]&gt;2, "Very high", IF(AllData[[#This Row],[Nitrate (PPM)]]&gt;1, "High", IF(AllData[[#This Row],[Nitrate (PPM)]]&gt;0.5, "Some evidence", IF(AllData[[#This Row],[Nitrate (PPM)]]&gt;=0, "No evidence"))))</f>
        <v>Very high</v>
      </c>
      <c r="S1219" s="4">
        <v>2.5</v>
      </c>
      <c r="T1219" s="7" t="str">
        <f>IF(AllData[[#This Row],[Phosphate (PPM)]]&gt;0.5, "Very high", IF(AllData[[#This Row],[Phosphate (PPM)]]&gt;0.1, "High", IF(AllData[[#This Row],[Phosphate (PPM)]]&gt;0.05, "Some evidence", IF(AllData[[#This Row],[Phosphate (PPM)]]&lt;=0.05, "No Evidence", ""))))</f>
        <v>Very high</v>
      </c>
      <c r="U1219">
        <v>0</v>
      </c>
      <c r="V1219" t="s">
        <v>1259</v>
      </c>
    </row>
    <row r="1220" spans="1:22" x14ac:dyDescent="0.35">
      <c r="A1220" t="s">
        <v>1694</v>
      </c>
      <c r="B1220" s="143">
        <v>45493</v>
      </c>
      <c r="C1220" s="2" t="str" cm="1">
        <f t="array" ref="C12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0">
        <f>YEAR(AllData[[#This Row],[Date]])</f>
        <v>2024</v>
      </c>
      <c r="E1220" s="1">
        <v>0.50208333333333333</v>
      </c>
      <c r="F1220" t="str">
        <f>IF(AND(AllData[[#This Row],[Time]]&lt;0.5, AllData[[#This Row],[Time]]&gt;0.17)=TRUE, "Morning", IF(AND(AllData[[#This Row],[Time]]&lt;0.75, AllData[[#This Row],[Time]]&gt;=0.5)=TRUE, "Afternoon", IF(AND(AllData[[#This Row],[Time]]&lt;1, AllData[[#This Row],[Time]]&gt;=0.75)=TRUE, "Evening", "Night")))</f>
        <v>Afternoon</v>
      </c>
      <c r="G1220" t="str">
        <f>_xlfn.XLOOKUP(AllData[[#This Row],[Location Name]], Locations[Location Name],Locations[Group As])</f>
        <v>Whitsun Brook Rous Lench Bishampton</v>
      </c>
      <c r="H1220" t="e" vm="6">
        <f>_xlfn.XLOOKUP(AllData[[#This Row],[Site Name]],LocationsKey[Site Name],LocationsKey[District])</f>
        <v>#VALUE!</v>
      </c>
      <c r="I1220" t="e" vm="32">
        <f>_xlfn.XLOOKUP(AllData[[#This Row],[Site Name]],LocationsKey[Site Name],LocationsKey[Town])</f>
        <v>#VALUE!</v>
      </c>
      <c r="J1220" t="str">
        <f>_xlfn.XLOOKUP(AllData[[#This Row],[Site Name]],LocationsKey[Site Name], LocationsKey[Waterway])</f>
        <v>Whitsun Brook</v>
      </c>
      <c r="K1220" t="s">
        <v>1695</v>
      </c>
      <c r="L1220">
        <v>52.169851000000001</v>
      </c>
      <c r="M1220">
        <v>-1.9903459999999999</v>
      </c>
      <c r="N1220" t="s">
        <v>31</v>
      </c>
      <c r="O1220">
        <v>994</v>
      </c>
      <c r="P1220">
        <v>18.100000000000001</v>
      </c>
      <c r="Q1220">
        <v>9</v>
      </c>
      <c r="R1220" s="107" t="str">
        <f>IF(AllData[[#This Row],[Nitrate (PPM)]]&gt;2, "Very high", IF(AllData[[#This Row],[Nitrate (PPM)]]&gt;1, "High", IF(AllData[[#This Row],[Nitrate (PPM)]]&gt;0.5, "Some evidence", IF(AllData[[#This Row],[Nitrate (PPM)]]&gt;=0, "No evidence"))))</f>
        <v>Very high</v>
      </c>
      <c r="S1220" s="4">
        <v>1.95</v>
      </c>
      <c r="T1220" s="7" t="str">
        <f>IF(AllData[[#This Row],[Phosphate (PPM)]]&gt;0.5, "Very high", IF(AllData[[#This Row],[Phosphate (PPM)]]&gt;0.1, "High", IF(AllData[[#This Row],[Phosphate (PPM)]]&gt;0.05, "Some evidence", IF(AllData[[#This Row],[Phosphate (PPM)]]&lt;=0.05, "No Evidence", ""))))</f>
        <v>Very high</v>
      </c>
      <c r="U1220">
        <v>0.16</v>
      </c>
      <c r="V1220" t="s">
        <v>1696</v>
      </c>
    </row>
    <row r="1221" spans="1:22" x14ac:dyDescent="0.35">
      <c r="A1221" t="s">
        <v>1679</v>
      </c>
      <c r="B1221" s="143">
        <v>45493</v>
      </c>
      <c r="C1221" s="2" t="str" cm="1">
        <f t="array" ref="C12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1">
        <f>YEAR(AllData[[#This Row],[Date]])</f>
        <v>2024</v>
      </c>
      <c r="E1221" s="1">
        <v>0.38333333333333336</v>
      </c>
      <c r="F1221" t="str">
        <f>IF(AND(AllData[[#This Row],[Time]]&lt;0.5, AllData[[#This Row],[Time]]&gt;0.17)=TRUE, "Morning", IF(AND(AllData[[#This Row],[Time]]&lt;0.75, AllData[[#This Row],[Time]]&gt;=0.5)=TRUE, "Afternoon", IF(AND(AllData[[#This Row],[Time]]&lt;1, AllData[[#This Row],[Time]]&gt;=0.75)=TRUE, "Evening", "Night")))</f>
        <v>Morning</v>
      </c>
      <c r="G1221" t="str">
        <f>_xlfn.XLOOKUP(AllData[[#This Row],[Location Name]], Locations[Location Name],Locations[Group As])</f>
        <v>Piddle Brook Long Lane Pinvin</v>
      </c>
      <c r="H1221" t="e" vm="6">
        <f>_xlfn.XLOOKUP(AllData[[#This Row],[Site Name]],LocationsKey[Site Name],LocationsKey[District])</f>
        <v>#VALUE!</v>
      </c>
      <c r="I1221" t="str">
        <f>_xlfn.XLOOKUP(AllData[[#This Row],[Site Name]],LocationsKey[Site Name],LocationsKey[Town])</f>
        <v>Tilesford</v>
      </c>
      <c r="J1221" t="str">
        <f>_xlfn.XLOOKUP(AllData[[#This Row],[Site Name]],LocationsKey[Site Name], LocationsKey[Waterway])</f>
        <v>Piddle Brook</v>
      </c>
      <c r="K1221" t="s">
        <v>1680</v>
      </c>
      <c r="L1221">
        <v>52.148406999999999</v>
      </c>
      <c r="M1221">
        <v>-2.055247</v>
      </c>
      <c r="O1221">
        <v>1670</v>
      </c>
      <c r="P1221">
        <v>18.2</v>
      </c>
      <c r="Q1221">
        <v>8</v>
      </c>
      <c r="R1221" s="107" t="str">
        <f>IF(AllData[[#This Row],[Nitrate (PPM)]]&gt;2, "Very high", IF(AllData[[#This Row],[Nitrate (PPM)]]&gt;1, "High", IF(AllData[[#This Row],[Nitrate (PPM)]]&gt;0.5, "Some evidence", IF(AllData[[#This Row],[Nitrate (PPM)]]&gt;=0, "No evidence"))))</f>
        <v>Very high</v>
      </c>
      <c r="S1221" s="4">
        <v>1.32</v>
      </c>
      <c r="T1221" s="7" t="str">
        <f>IF(AllData[[#This Row],[Phosphate (PPM)]]&gt;0.5, "Very high", IF(AllData[[#This Row],[Phosphate (PPM)]]&gt;0.1, "High", IF(AllData[[#This Row],[Phosphate (PPM)]]&gt;0.05, "Some evidence", IF(AllData[[#This Row],[Phosphate (PPM)]]&lt;=0.05, "No Evidence", ""))))</f>
        <v>Very high</v>
      </c>
      <c r="U1221">
        <v>0.16</v>
      </c>
      <c r="V1221" t="s">
        <v>1681</v>
      </c>
    </row>
    <row r="1222" spans="1:22" x14ac:dyDescent="0.35">
      <c r="A1222" t="s">
        <v>1682</v>
      </c>
      <c r="B1222" s="143">
        <v>45493</v>
      </c>
      <c r="C1222" s="2" t="str" cm="1">
        <f t="array" ref="C12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2">
        <f>YEAR(AllData[[#This Row],[Date]])</f>
        <v>2024</v>
      </c>
      <c r="E1222" s="1">
        <v>0.40069444444444446</v>
      </c>
      <c r="F1222" t="str">
        <f>IF(AND(AllData[[#This Row],[Time]]&lt;0.5, AllData[[#This Row],[Time]]&gt;0.17)=TRUE, "Morning", IF(AND(AllData[[#This Row],[Time]]&lt;0.75, AllData[[#This Row],[Time]]&gt;=0.5)=TRUE, "Afternoon", IF(AND(AllData[[#This Row],[Time]]&lt;1, AllData[[#This Row],[Time]]&gt;=0.75)=TRUE, "Evening", "Night")))</f>
        <v>Morning</v>
      </c>
      <c r="G1222" t="str">
        <f>_xlfn.XLOOKUP(AllData[[#This Row],[Location Name]], Locations[Location Name],Locations[Group As])</f>
        <v>Piddle Brook Norton Beachamp Bridge</v>
      </c>
      <c r="H1222" t="e" vm="6">
        <f>_xlfn.XLOOKUP(AllData[[#This Row],[Site Name]],LocationsKey[Site Name],LocationsKey[District])</f>
        <v>#VALUE!</v>
      </c>
      <c r="I1222" t="str">
        <f>_xlfn.XLOOKUP(AllData[[#This Row],[Site Name]],LocationsKey[Site Name],LocationsKey[Town])</f>
        <v>Norton Beauchamp</v>
      </c>
      <c r="J1222" t="str">
        <f>_xlfn.XLOOKUP(AllData[[#This Row],[Site Name]],LocationsKey[Site Name], LocationsKey[Waterway])</f>
        <v>Piddle Brook</v>
      </c>
      <c r="K1222" t="s">
        <v>1683</v>
      </c>
      <c r="L1222">
        <v>52.169983999999999</v>
      </c>
      <c r="M1222">
        <v>-2.058351</v>
      </c>
      <c r="O1222">
        <v>1350</v>
      </c>
      <c r="P1222">
        <v>18.7</v>
      </c>
      <c r="Q1222">
        <v>5</v>
      </c>
      <c r="R1222" s="107" t="str">
        <f>IF(AllData[[#This Row],[Nitrate (PPM)]]&gt;2, "Very high", IF(AllData[[#This Row],[Nitrate (PPM)]]&gt;1, "High", IF(AllData[[#This Row],[Nitrate (PPM)]]&gt;0.5, "Some evidence", IF(AllData[[#This Row],[Nitrate (PPM)]]&gt;=0, "No evidence"))))</f>
        <v>Very high</v>
      </c>
      <c r="S1222" s="4">
        <v>1.45</v>
      </c>
      <c r="T1222" s="7" t="str">
        <f>IF(AllData[[#This Row],[Phosphate (PPM)]]&gt;0.5, "Very high", IF(AllData[[#This Row],[Phosphate (PPM)]]&gt;0.1, "High", IF(AllData[[#This Row],[Phosphate (PPM)]]&gt;0.05, "Some evidence", IF(AllData[[#This Row],[Phosphate (PPM)]]&lt;=0.05, "No Evidence", ""))))</f>
        <v>Very high</v>
      </c>
      <c r="U1222">
        <v>0.16</v>
      </c>
      <c r="V1222" t="s">
        <v>1684</v>
      </c>
    </row>
    <row r="1223" spans="1:22" x14ac:dyDescent="0.35">
      <c r="A1223" t="s">
        <v>1701</v>
      </c>
      <c r="B1223" s="143">
        <v>45493</v>
      </c>
      <c r="C1223" s="2" t="str" cm="1">
        <f t="array" ref="C12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3">
        <f>YEAR(AllData[[#This Row],[Date]])</f>
        <v>2024</v>
      </c>
      <c r="E1223" s="1">
        <v>0.57638888888888884</v>
      </c>
      <c r="F1223" t="str">
        <f>IF(AND(AllData[[#This Row],[Time]]&lt;0.5, AllData[[#This Row],[Time]]&gt;0.17)=TRUE, "Morning", IF(AND(AllData[[#This Row],[Time]]&lt;0.75, AllData[[#This Row],[Time]]&gt;=0.5)=TRUE, "Afternoon", IF(AND(AllData[[#This Row],[Time]]&lt;1, AllData[[#This Row],[Time]]&gt;=0.75)=TRUE, "Evening", "Night")))</f>
        <v>Afternoon</v>
      </c>
      <c r="G1223" t="str">
        <f>_xlfn.XLOOKUP(AllData[[#This Row],[Location Name]], Locations[Location Name],Locations[Group As])</f>
        <v>Avonbank Drive</v>
      </c>
      <c r="H1223" t="e" vm="1">
        <f>_xlfn.XLOOKUP(AllData[[#This Row],[Site Name]],LocationsKey[Site Name],LocationsKey[District])</f>
        <v>#VALUE!</v>
      </c>
      <c r="I1223" t="e" vm="12">
        <f>_xlfn.XLOOKUP(AllData[[#This Row],[Site Name]],LocationsKey[Site Name],LocationsKey[Town])</f>
        <v>#VALUE!</v>
      </c>
      <c r="J1223" t="str">
        <f>_xlfn.XLOOKUP(AllData[[#This Row],[Site Name]],LocationsKey[Site Name], LocationsKey[Waterway])</f>
        <v>Avon</v>
      </c>
      <c r="K1223" t="s">
        <v>67</v>
      </c>
      <c r="L1223">
        <v>52.176855000000003</v>
      </c>
      <c r="M1223">
        <v>-1.735473</v>
      </c>
      <c r="N1223" t="s">
        <v>68</v>
      </c>
      <c r="O1223">
        <v>864</v>
      </c>
      <c r="P1223">
        <v>21.3</v>
      </c>
      <c r="Q1223">
        <v>5</v>
      </c>
      <c r="R1223" s="107" t="str">
        <f>IF(AllData[[#This Row],[Nitrate (PPM)]]&gt;2, "Very high", IF(AllData[[#This Row],[Nitrate (PPM)]]&gt;1, "High", IF(AllData[[#This Row],[Nitrate (PPM)]]&gt;0.5, "Some evidence", IF(AllData[[#This Row],[Nitrate (PPM)]]&gt;=0, "No evidence"))))</f>
        <v>Very high</v>
      </c>
      <c r="S1223" s="4">
        <v>0.51</v>
      </c>
      <c r="T1223" s="7" t="str">
        <f>IF(AllData[[#This Row],[Phosphate (PPM)]]&gt;0.5, "Very high", IF(AllData[[#This Row],[Phosphate (PPM)]]&gt;0.1, "High", IF(AllData[[#This Row],[Phosphate (PPM)]]&gt;0.05, "Some evidence", IF(AllData[[#This Row],[Phosphate (PPM)]]&lt;=0.05, "No Evidence", ""))))</f>
        <v>Very high</v>
      </c>
      <c r="U1223">
        <v>0.65</v>
      </c>
    </row>
    <row r="1224" spans="1:22" x14ac:dyDescent="0.35">
      <c r="A1224" t="s">
        <v>1675</v>
      </c>
      <c r="B1224" s="143">
        <v>45493</v>
      </c>
      <c r="C1224" s="2" t="str" cm="1">
        <f t="array" ref="C12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4">
        <f>YEAR(AllData[[#This Row],[Date]])</f>
        <v>2024</v>
      </c>
      <c r="E1224" s="1">
        <v>0.34722222222222221</v>
      </c>
      <c r="F1224" t="str">
        <f>IF(AND(AllData[[#This Row],[Time]]&lt;0.5, AllData[[#This Row],[Time]]&gt;0.17)=TRUE, "Morning", IF(AND(AllData[[#This Row],[Time]]&lt;0.75, AllData[[#This Row],[Time]]&gt;=0.5)=TRUE, "Afternoon", IF(AND(AllData[[#This Row],[Time]]&lt;1, AllData[[#This Row],[Time]]&gt;=0.75)=TRUE, "Evening", "Night")))</f>
        <v>Morning</v>
      </c>
      <c r="G1224" t="str">
        <f>_xlfn.XLOOKUP(AllData[[#This Row],[Location Name]], Locations[Location Name],Locations[Group As])</f>
        <v>Avon Smiths Meadow Wyre Piddle</v>
      </c>
      <c r="H1224" t="e" vm="6">
        <f>_xlfn.XLOOKUP(AllData[[#This Row],[Site Name]],LocationsKey[Site Name],LocationsKey[District])</f>
        <v>#VALUE!</v>
      </c>
      <c r="I1224" t="e" vm="13">
        <f>_xlfn.XLOOKUP(AllData[[#This Row],[Site Name]],LocationsKey[Site Name],LocationsKey[Town])</f>
        <v>#VALUE!</v>
      </c>
      <c r="J1224" t="str">
        <f>_xlfn.XLOOKUP(AllData[[#This Row],[Site Name]],LocationsKey[Site Name], LocationsKey[Waterway])</f>
        <v>Avon</v>
      </c>
      <c r="K1224" t="s">
        <v>784</v>
      </c>
      <c r="L1224">
        <v>52.122942999999999</v>
      </c>
      <c r="M1224">
        <v>-2.0574330000000001</v>
      </c>
      <c r="N1224" t="s">
        <v>25</v>
      </c>
      <c r="O1224">
        <v>851</v>
      </c>
      <c r="P1224">
        <v>20.100000000000001</v>
      </c>
      <c r="Q1224">
        <v>5</v>
      </c>
      <c r="R1224" s="107" t="str">
        <f>IF(AllData[[#This Row],[Nitrate (PPM)]]&gt;2, "Very high", IF(AllData[[#This Row],[Nitrate (PPM)]]&gt;1, "High", IF(AllData[[#This Row],[Nitrate (PPM)]]&gt;0.5, "Some evidence", IF(AllData[[#This Row],[Nitrate (PPM)]]&gt;=0, "No evidence"))))</f>
        <v>Very high</v>
      </c>
      <c r="S1224" s="4">
        <v>0.87</v>
      </c>
      <c r="T1224" s="7" t="str">
        <f>IF(AllData[[#This Row],[Phosphate (PPM)]]&gt;0.5, "Very high", IF(AllData[[#This Row],[Phosphate (PPM)]]&gt;0.1, "High", IF(AllData[[#This Row],[Phosphate (PPM)]]&gt;0.05, "Some evidence", IF(AllData[[#This Row],[Phosphate (PPM)]]&lt;=0.05, "No Evidence", ""))))</f>
        <v>Very high</v>
      </c>
      <c r="U1224">
        <v>0.56999999999999995</v>
      </c>
      <c r="V1224" t="s">
        <v>1676</v>
      </c>
    </row>
    <row r="1225" spans="1:22" x14ac:dyDescent="0.35">
      <c r="A1225" t="s">
        <v>1700</v>
      </c>
      <c r="B1225" s="143">
        <v>45493</v>
      </c>
      <c r="C1225" s="2" t="str" cm="1">
        <f t="array" ref="C12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5">
        <f>YEAR(AllData[[#This Row],[Date]])</f>
        <v>2024</v>
      </c>
      <c r="E1225" s="1">
        <v>0.5625</v>
      </c>
      <c r="F1225" t="str">
        <f>IF(AND(AllData[[#This Row],[Time]]&lt;0.5, AllData[[#This Row],[Time]]&gt;0.17)=TRUE, "Morning", IF(AND(AllData[[#This Row],[Time]]&lt;0.75, AllData[[#This Row],[Time]]&gt;=0.5)=TRUE, "Afternoon", IF(AND(AllData[[#This Row],[Time]]&lt;1, AllData[[#This Row],[Time]]&gt;=0.75)=TRUE, "Evening", "Night")))</f>
        <v>Afternoon</v>
      </c>
      <c r="G1225" t="str">
        <f>_xlfn.XLOOKUP(AllData[[#This Row],[Location Name]], Locations[Location Name],Locations[Group As])</f>
        <v>Pitch 16</v>
      </c>
      <c r="H1225" t="e" vm="1">
        <f>_xlfn.XLOOKUP(AllData[[#This Row],[Site Name]],LocationsKey[Site Name],LocationsKey[District])</f>
        <v>#VALUE!</v>
      </c>
      <c r="I1225" t="e" vm="12">
        <f>_xlfn.XLOOKUP(AllData[[#This Row],[Site Name]],LocationsKey[Site Name],LocationsKey[Town])</f>
        <v>#VALUE!</v>
      </c>
      <c r="J1225" t="str">
        <f>_xlfn.XLOOKUP(AllData[[#This Row],[Site Name]],LocationsKey[Site Name], LocationsKey[Waterway])</f>
        <v>Avon</v>
      </c>
      <c r="K1225" t="s">
        <v>71</v>
      </c>
      <c r="L1225">
        <v>52.172643999999998</v>
      </c>
      <c r="M1225">
        <v>-1.74542</v>
      </c>
      <c r="N1225" t="s">
        <v>31</v>
      </c>
      <c r="O1225">
        <v>839</v>
      </c>
      <c r="P1225">
        <v>21.4</v>
      </c>
      <c r="Q1225">
        <v>5</v>
      </c>
      <c r="R1225" s="107" t="str">
        <f>IF(AllData[[#This Row],[Nitrate (PPM)]]&gt;2, "Very high", IF(AllData[[#This Row],[Nitrate (PPM)]]&gt;1, "High", IF(AllData[[#This Row],[Nitrate (PPM)]]&gt;0.5, "Some evidence", IF(AllData[[#This Row],[Nitrate (PPM)]]&gt;=0, "No evidence"))))</f>
        <v>Very high</v>
      </c>
      <c r="S1225" s="4">
        <v>0.64</v>
      </c>
      <c r="T1225" s="7" t="str">
        <f>IF(AllData[[#This Row],[Phosphate (PPM)]]&gt;0.5, "Very high", IF(AllData[[#This Row],[Phosphate (PPM)]]&gt;0.1, "High", IF(AllData[[#This Row],[Phosphate (PPM)]]&gt;0.05, "Some evidence", IF(AllData[[#This Row],[Phosphate (PPM)]]&lt;=0.05, "No Evidence", ""))))</f>
        <v>Very high</v>
      </c>
      <c r="U1225">
        <v>0.65</v>
      </c>
    </row>
    <row r="1226" spans="1:22" x14ac:dyDescent="0.35">
      <c r="A1226" t="s">
        <v>1702</v>
      </c>
      <c r="B1226" s="143">
        <v>45493</v>
      </c>
      <c r="C1226" s="2" t="str" cm="1">
        <f t="array" ref="C12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6">
        <f>YEAR(AllData[[#This Row],[Date]])</f>
        <v>2024</v>
      </c>
      <c r="E1226" s="1">
        <v>0.74236111111111114</v>
      </c>
      <c r="F1226" t="str">
        <f>IF(AND(AllData[[#This Row],[Time]]&lt;0.5, AllData[[#This Row],[Time]]&gt;0.17)=TRUE, "Morning", IF(AND(AllData[[#This Row],[Time]]&lt;0.75, AllData[[#This Row],[Time]]&gt;=0.5)=TRUE, "Afternoon", IF(AND(AllData[[#This Row],[Time]]&lt;1, AllData[[#This Row],[Time]]&gt;=0.75)=TRUE, "Evening", "Night")))</f>
        <v>Afternoon</v>
      </c>
      <c r="G1226" t="str">
        <f>_xlfn.XLOOKUP(AllData[[#This Row],[Location Name]], Locations[Location Name],Locations[Group As])</f>
        <v>Preston-on-Stour River Bridge</v>
      </c>
      <c r="H1226" t="e" vm="1">
        <f>_xlfn.XLOOKUP(AllData[[#This Row],[Site Name]],LocationsKey[Site Name],LocationsKey[District])</f>
        <v>#VALUE!</v>
      </c>
      <c r="I1226" t="e" vm="20">
        <f>_xlfn.XLOOKUP(AllData[[#This Row],[Site Name]],LocationsKey[Site Name],LocationsKey[Town])</f>
        <v>#VALUE!</v>
      </c>
      <c r="J1226" t="str">
        <f>_xlfn.XLOOKUP(AllData[[#This Row],[Site Name]],LocationsKey[Site Name], LocationsKey[Waterway])</f>
        <v>Stour</v>
      </c>
      <c r="K1226" t="s">
        <v>164</v>
      </c>
      <c r="L1226">
        <v>52.146473</v>
      </c>
      <c r="M1226">
        <v>-1.6998329999999999</v>
      </c>
      <c r="N1226" t="s">
        <v>31</v>
      </c>
      <c r="O1226">
        <v>647</v>
      </c>
      <c r="P1226">
        <v>20.3</v>
      </c>
      <c r="Q1226">
        <v>5</v>
      </c>
      <c r="R1226" s="107" t="str">
        <f>IF(AllData[[#This Row],[Nitrate (PPM)]]&gt;2, "Very high", IF(AllData[[#This Row],[Nitrate (PPM)]]&gt;1, "High", IF(AllData[[#This Row],[Nitrate (PPM)]]&gt;0.5, "Some evidence", IF(AllData[[#This Row],[Nitrate (PPM)]]&gt;=0, "No evidence"))))</f>
        <v>Very high</v>
      </c>
      <c r="S1226" s="4">
        <v>0.69</v>
      </c>
      <c r="T1226" s="7" t="str">
        <f>IF(AllData[[#This Row],[Phosphate (PPM)]]&gt;0.5, "Very high", IF(AllData[[#This Row],[Phosphate (PPM)]]&gt;0.1, "High", IF(AllData[[#This Row],[Phosphate (PPM)]]&gt;0.05, "Some evidence", IF(AllData[[#This Row],[Phosphate (PPM)]]&lt;=0.05, "No Evidence", ""))))</f>
        <v>Very high</v>
      </c>
      <c r="U1226">
        <v>1</v>
      </c>
    </row>
    <row r="1227" spans="1:22" x14ac:dyDescent="0.35">
      <c r="A1227" t="s">
        <v>1688</v>
      </c>
      <c r="B1227" s="143">
        <v>45493</v>
      </c>
      <c r="C1227" s="2" t="str" cm="1">
        <f t="array" ref="C12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7">
        <f>YEAR(AllData[[#This Row],[Date]])</f>
        <v>2024</v>
      </c>
      <c r="E1227" s="1">
        <v>0.45694444444444443</v>
      </c>
      <c r="F1227" t="str">
        <f>IF(AND(AllData[[#This Row],[Time]]&lt;0.5, AllData[[#This Row],[Time]]&gt;0.17)=TRUE, "Morning", IF(AND(AllData[[#This Row],[Time]]&lt;0.75, AllData[[#This Row],[Time]]&gt;=0.5)=TRUE, "Afternoon", IF(AND(AllData[[#This Row],[Time]]&lt;1, AllData[[#This Row],[Time]]&gt;=0.75)=TRUE, "Evening", "Night")))</f>
        <v>Morning</v>
      </c>
      <c r="G1227" t="str">
        <f>_xlfn.XLOOKUP(AllData[[#This Row],[Location Name]], Locations[Location Name],Locations[Group As])</f>
        <v>Whitsun Brook Rous Church Lench</v>
      </c>
      <c r="H1227" t="e" vm="6">
        <f>_xlfn.XLOOKUP(AllData[[#This Row],[Site Name]],LocationsKey[Site Name],LocationsKey[District])</f>
        <v>#VALUE!</v>
      </c>
      <c r="I1227" t="e" vm="29">
        <f>_xlfn.XLOOKUP(AllData[[#This Row],[Site Name]],LocationsKey[Site Name],LocationsKey[Town])</f>
        <v>#VALUE!</v>
      </c>
      <c r="J1227" t="str">
        <f>_xlfn.XLOOKUP(AllData[[#This Row],[Site Name]],LocationsKey[Site Name], LocationsKey[Waterway])</f>
        <v>Whitsun Brook</v>
      </c>
      <c r="K1227" t="s">
        <v>1689</v>
      </c>
      <c r="L1227">
        <v>52.168419999999998</v>
      </c>
      <c r="M1227">
        <v>-1.96041</v>
      </c>
      <c r="N1227" t="s">
        <v>68</v>
      </c>
      <c r="O1227">
        <v>762</v>
      </c>
      <c r="P1227">
        <v>17.899999999999999</v>
      </c>
      <c r="Q1227">
        <v>2</v>
      </c>
      <c r="R1227" s="107" t="str">
        <f>IF(AllData[[#This Row],[Nitrate (PPM)]]&gt;2, "Very high", IF(AllData[[#This Row],[Nitrate (PPM)]]&gt;1, "High", IF(AllData[[#This Row],[Nitrate (PPM)]]&gt;0.5, "Some evidence", IF(AllData[[#This Row],[Nitrate (PPM)]]&gt;=0, "No evidence"))))</f>
        <v>High</v>
      </c>
      <c r="S1227" s="4">
        <v>2.5</v>
      </c>
      <c r="T1227" s="7" t="str">
        <f>IF(AllData[[#This Row],[Phosphate (PPM)]]&gt;0.5, "Very high", IF(AllData[[#This Row],[Phosphate (PPM)]]&gt;0.1, "High", IF(AllData[[#This Row],[Phosphate (PPM)]]&gt;0.05, "Some evidence", IF(AllData[[#This Row],[Phosphate (PPM)]]&lt;=0.05, "No Evidence", ""))))</f>
        <v>Very high</v>
      </c>
      <c r="U1227">
        <v>0.16</v>
      </c>
      <c r="V1227" t="s">
        <v>1690</v>
      </c>
    </row>
    <row r="1228" spans="1:22" x14ac:dyDescent="0.35">
      <c r="A1228" t="s">
        <v>1691</v>
      </c>
      <c r="B1228" s="143">
        <v>45493</v>
      </c>
      <c r="C1228" s="2" t="str" cm="1">
        <f t="array" ref="C12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8">
        <f>YEAR(AllData[[#This Row],[Date]])</f>
        <v>2024</v>
      </c>
      <c r="E1228" s="1">
        <v>0.47361111111111109</v>
      </c>
      <c r="F1228" t="str">
        <f>IF(AND(AllData[[#This Row],[Time]]&lt;0.5, AllData[[#This Row],[Time]]&gt;0.17)=TRUE, "Morning", IF(AND(AllData[[#This Row],[Time]]&lt;0.75, AllData[[#This Row],[Time]]&gt;=0.5)=TRUE, "Afternoon", IF(AND(AllData[[#This Row],[Time]]&lt;1, AllData[[#This Row],[Time]]&gt;=0.75)=TRUE, "Evening", "Night")))</f>
        <v>Morning</v>
      </c>
      <c r="G1228" t="str">
        <f>_xlfn.XLOOKUP(AllData[[#This Row],[Location Name]], Locations[Location Name],Locations[Group As])</f>
        <v>Whitsun Brook Atch Lench Road, Church Lench.</v>
      </c>
      <c r="H1228" t="e" vm="6">
        <f>_xlfn.XLOOKUP(AllData[[#This Row],[Site Name]],LocationsKey[Site Name],LocationsKey[District])</f>
        <v>#VALUE!</v>
      </c>
      <c r="I1228" t="e" vm="29">
        <f>_xlfn.XLOOKUP(AllData[[#This Row],[Site Name]],LocationsKey[Site Name],LocationsKey[Town])</f>
        <v>#VALUE!</v>
      </c>
      <c r="J1228" t="str">
        <f>_xlfn.XLOOKUP(AllData[[#This Row],[Site Name]],LocationsKey[Site Name], LocationsKey[Waterway])</f>
        <v>Whitsun Brook</v>
      </c>
      <c r="K1228" t="s">
        <v>1692</v>
      </c>
      <c r="L1228">
        <v>52.158797999999997</v>
      </c>
      <c r="M1228">
        <v>-1.9573179999999999</v>
      </c>
      <c r="N1228" t="s">
        <v>68</v>
      </c>
      <c r="O1228">
        <v>632</v>
      </c>
      <c r="P1228">
        <v>18.2</v>
      </c>
      <c r="Q1228">
        <v>1</v>
      </c>
      <c r="R1228" s="107" t="str">
        <f>IF(AllData[[#This Row],[Nitrate (PPM)]]&gt;2, "Very high", IF(AllData[[#This Row],[Nitrate (PPM)]]&gt;1, "High", IF(AllData[[#This Row],[Nitrate (PPM)]]&gt;0.5, "Some evidence", IF(AllData[[#This Row],[Nitrate (PPM)]]&gt;=0, "No evidence"))))</f>
        <v>Some evidence</v>
      </c>
      <c r="S1228" s="4">
        <v>0.69</v>
      </c>
      <c r="T1228" s="7" t="str">
        <f>IF(AllData[[#This Row],[Phosphate (PPM)]]&gt;0.5, "Very high", IF(AllData[[#This Row],[Phosphate (PPM)]]&gt;0.1, "High", IF(AllData[[#This Row],[Phosphate (PPM)]]&gt;0.05, "Some evidence", IF(AllData[[#This Row],[Phosphate (PPM)]]&lt;=0.05, "No Evidence", ""))))</f>
        <v>Very high</v>
      </c>
      <c r="U1228">
        <v>0.16</v>
      </c>
      <c r="V1228" t="s">
        <v>1693</v>
      </c>
    </row>
    <row r="1229" spans="1:22" x14ac:dyDescent="0.35">
      <c r="A1229" t="s">
        <v>1705</v>
      </c>
      <c r="B1229" s="143">
        <v>45493</v>
      </c>
      <c r="C1229" s="2" t="str" cm="1">
        <f t="array" ref="C12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29">
        <f>YEAR(AllData[[#This Row],[Date]])</f>
        <v>2024</v>
      </c>
      <c r="E1229" s="1"/>
      <c r="F1229" t="str">
        <f>IF(AND(AllData[[#This Row],[Time]]&lt;0.5, AllData[[#This Row],[Time]]&gt;0.17)=TRUE, "Morning", IF(AND(AllData[[#This Row],[Time]]&lt;0.75, AllData[[#This Row],[Time]]&gt;=0.5)=TRUE, "Afternoon", IF(AND(AllData[[#This Row],[Time]]&lt;1, AllData[[#This Row],[Time]]&gt;=0.75)=TRUE, "Evening", "Night")))</f>
        <v>Night</v>
      </c>
      <c r="G1229" t="str">
        <f>_xlfn.XLOOKUP(AllData[[#This Row],[Location Name]], Locations[Location Name],Locations[Group As])</f>
        <v>Site 1  :  Middle Street</v>
      </c>
      <c r="H1229" t="e" vm="1">
        <f>_xlfn.XLOOKUP(AllData[[#This Row],[Site Name]],LocationsKey[Site Name],LocationsKey[District])</f>
        <v>#VALUE!</v>
      </c>
      <c r="I1229" t="e" vm="14">
        <f>_xlfn.XLOOKUP(AllData[[#This Row],[Site Name]],LocationsKey[Site Name],LocationsKey[Town])</f>
        <v>#VALUE!</v>
      </c>
      <c r="J1229" t="str">
        <f>_xlfn.XLOOKUP(AllData[[#This Row],[Site Name]],LocationsKey[Site Name], LocationsKey[Waterway])</f>
        <v>Fosseway Brook</v>
      </c>
      <c r="K1229" t="s">
        <v>670</v>
      </c>
      <c r="L1229">
        <v>52.090058999999997</v>
      </c>
      <c r="M1229">
        <v>-1.692636</v>
      </c>
      <c r="N1229" t="s">
        <v>68</v>
      </c>
      <c r="O1229">
        <v>603</v>
      </c>
      <c r="P1229">
        <v>21.7</v>
      </c>
      <c r="Q1229">
        <v>1</v>
      </c>
      <c r="R1229" s="107" t="str">
        <f>IF(AllData[[#This Row],[Nitrate (PPM)]]&gt;2, "Very high", IF(AllData[[#This Row],[Nitrate (PPM)]]&gt;1, "High", IF(AllData[[#This Row],[Nitrate (PPM)]]&gt;0.5, "Some evidence", IF(AllData[[#This Row],[Nitrate (PPM)]]&gt;=0, "No evidence"))))</f>
        <v>Some evidence</v>
      </c>
      <c r="S1229" s="4">
        <v>0.36</v>
      </c>
      <c r="T1229" s="7" t="str">
        <f>IF(AllData[[#This Row],[Phosphate (PPM)]]&gt;0.5, "Very high", IF(AllData[[#This Row],[Phosphate (PPM)]]&gt;0.1, "High", IF(AllData[[#This Row],[Phosphate (PPM)]]&gt;0.05, "Some evidence", IF(AllData[[#This Row],[Phosphate (PPM)]]&lt;=0.05, "No Evidence", ""))))</f>
        <v>High</v>
      </c>
      <c r="V1229" t="s">
        <v>1706</v>
      </c>
    </row>
    <row r="1230" spans="1:22" x14ac:dyDescent="0.35">
      <c r="A1230" t="s">
        <v>1703</v>
      </c>
      <c r="B1230" s="143">
        <v>45493</v>
      </c>
      <c r="C1230" s="2" t="str" cm="1">
        <f t="array" ref="C12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0">
        <f>YEAR(AllData[[#This Row],[Date]])</f>
        <v>2024</v>
      </c>
      <c r="F1230" t="str">
        <f>IF(AND(AllData[[#This Row],[Time]]&lt;0.5, AllData[[#This Row],[Time]]&gt;0.17)=TRUE, "Morning", IF(AND(AllData[[#This Row],[Time]]&lt;0.75, AllData[[#This Row],[Time]]&gt;=0.5)=TRUE, "Afternoon", IF(AND(AllData[[#This Row],[Time]]&lt;1, AllData[[#This Row],[Time]]&gt;=0.75)=TRUE, "Evening", "Night")))</f>
        <v>Night</v>
      </c>
      <c r="G1230" t="str">
        <f>_xlfn.XLOOKUP(AllData[[#This Row],[Location Name]], Locations[Location Name],Locations[Group As])</f>
        <v>Site 1  :  Middle Street</v>
      </c>
      <c r="H1230" t="e" vm="1">
        <f>_xlfn.XLOOKUP(AllData[[#This Row],[Site Name]],LocationsKey[Site Name],LocationsKey[District])</f>
        <v>#VALUE!</v>
      </c>
      <c r="I1230" t="e" vm="14">
        <f>_xlfn.XLOOKUP(AllData[[#This Row],[Site Name]],LocationsKey[Site Name],LocationsKey[Town])</f>
        <v>#VALUE!</v>
      </c>
      <c r="J1230" t="str">
        <f>_xlfn.XLOOKUP(AllData[[#This Row],[Site Name]],LocationsKey[Site Name], LocationsKey[Waterway])</f>
        <v>Fosseway Brook</v>
      </c>
      <c r="K1230" t="s">
        <v>667</v>
      </c>
      <c r="L1230">
        <v>52.090058999999997</v>
      </c>
      <c r="M1230">
        <v>-1.692636</v>
      </c>
      <c r="N1230" t="s">
        <v>68</v>
      </c>
      <c r="O1230">
        <v>603</v>
      </c>
      <c r="P1230">
        <v>21.7</v>
      </c>
      <c r="Q1230">
        <v>1</v>
      </c>
      <c r="R1230" s="107" t="str">
        <f>IF(AllData[[#This Row],[Nitrate (PPM)]]&gt;2, "Very high", IF(AllData[[#This Row],[Nitrate (PPM)]]&gt;1, "High", IF(AllData[[#This Row],[Nitrate (PPM)]]&gt;0.5, "Some evidence", IF(AllData[[#This Row],[Nitrate (PPM)]]&gt;=0, "No evidence"))))</f>
        <v>Some evidence</v>
      </c>
      <c r="S1230" s="4">
        <v>0.36</v>
      </c>
      <c r="T1230" s="7" t="str">
        <f>IF(AllData[[#This Row],[Phosphate (PPM)]]&gt;0.5, "Very high", IF(AllData[[#This Row],[Phosphate (PPM)]]&gt;0.1, "High", IF(AllData[[#This Row],[Phosphate (PPM)]]&gt;0.05, "Some evidence", IF(AllData[[#This Row],[Phosphate (PPM)]]&lt;=0.05, "No Evidence", ""))))</f>
        <v>High</v>
      </c>
      <c r="U1230">
        <v>0</v>
      </c>
      <c r="V1230" t="s">
        <v>1704</v>
      </c>
    </row>
    <row r="1231" spans="1:22" x14ac:dyDescent="0.35">
      <c r="A1231" t="s">
        <v>1711</v>
      </c>
      <c r="B1231" s="143">
        <v>45493</v>
      </c>
      <c r="C1231" s="2" t="str" cm="1">
        <f t="array" ref="C12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1">
        <f>YEAR(AllData[[#This Row],[Date]])</f>
        <v>2024</v>
      </c>
      <c r="E1231" s="1">
        <v>0.44374999999999998</v>
      </c>
      <c r="F1231" t="str">
        <f>IF(AND(AllData[[#This Row],[Time]]&lt;0.5, AllData[[#This Row],[Time]]&gt;0.17)=TRUE, "Morning", IF(AND(AllData[[#This Row],[Time]]&lt;0.75, AllData[[#This Row],[Time]]&gt;=0.5)=TRUE, "Afternoon", IF(AND(AllData[[#This Row],[Time]]&lt;1, AllData[[#This Row],[Time]]&gt;=0.75)=TRUE, "Evening", "Night")))</f>
        <v>Morning</v>
      </c>
      <c r="G1231" t="str">
        <f>_xlfn.XLOOKUP(AllData[[#This Row],[Location Name]], Locations[Location Name],Locations[Group As])</f>
        <v>Site 1  :  Middle Street</v>
      </c>
      <c r="H1231" t="e" vm="1">
        <f>_xlfn.XLOOKUP(AllData[[#This Row],[Site Name]],LocationsKey[Site Name],LocationsKey[District])</f>
        <v>#VALUE!</v>
      </c>
      <c r="I1231" t="e" vm="14">
        <f>_xlfn.XLOOKUP(AllData[[#This Row],[Site Name]],LocationsKey[Site Name],LocationsKey[Town])</f>
        <v>#VALUE!</v>
      </c>
      <c r="J1231" t="str">
        <f>_xlfn.XLOOKUP(AllData[[#This Row],[Site Name]],LocationsKey[Site Name], LocationsKey[Waterway])</f>
        <v>Fosseway Brook</v>
      </c>
      <c r="K1231" t="s">
        <v>678</v>
      </c>
      <c r="L1231">
        <v>52.090085000000002</v>
      </c>
      <c r="M1231">
        <v>-1.692593</v>
      </c>
      <c r="N1231" t="s">
        <v>68</v>
      </c>
      <c r="O1231">
        <v>603</v>
      </c>
      <c r="P1231">
        <v>21.7</v>
      </c>
      <c r="Q1231">
        <v>1</v>
      </c>
      <c r="R1231" s="107" t="str">
        <f>IF(AllData[[#This Row],[Nitrate (PPM)]]&gt;2, "Very high", IF(AllData[[#This Row],[Nitrate (PPM)]]&gt;1, "High", IF(AllData[[#This Row],[Nitrate (PPM)]]&gt;0.5, "Some evidence", IF(AllData[[#This Row],[Nitrate (PPM)]]&gt;=0, "No evidence"))))</f>
        <v>Some evidence</v>
      </c>
      <c r="S1231">
        <v>0.36</v>
      </c>
      <c r="T1231" s="7" t="str">
        <f>IF(AllData[[#This Row],[Phosphate (PPM)]]&gt;0.5, "Very high", IF(AllData[[#This Row],[Phosphate (PPM)]]&gt;0.1, "High", IF(AllData[[#This Row],[Phosphate (PPM)]]&gt;0.05, "Some evidence", IF(AllData[[#This Row],[Phosphate (PPM)]]&lt;=0.05, "No Evidence", ""))))</f>
        <v>High</v>
      </c>
      <c r="U1231">
        <v>0.05</v>
      </c>
    </row>
    <row r="1232" spans="1:22" x14ac:dyDescent="0.35">
      <c r="A1232" t="s">
        <v>1708</v>
      </c>
      <c r="B1232" s="143">
        <v>45493</v>
      </c>
      <c r="C1232" s="2" t="str" cm="1">
        <f t="array" ref="C12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2">
        <f>YEAR(AllData[[#This Row],[Date]])</f>
        <v>2024</v>
      </c>
      <c r="E1232" s="1"/>
      <c r="F1232" t="str">
        <f>IF(AND(AllData[[#This Row],[Time]]&lt;0.5, AllData[[#This Row],[Time]]&gt;0.17)=TRUE, "Morning", IF(AND(AllData[[#This Row],[Time]]&lt;0.75, AllData[[#This Row],[Time]]&gt;=0.5)=TRUE, "Afternoon", IF(AND(AllData[[#This Row],[Time]]&lt;1, AllData[[#This Row],[Time]]&gt;=0.75)=TRUE, "Evening", "Night")))</f>
        <v>Night</v>
      </c>
      <c r="G1232" t="str">
        <f>_xlfn.XLOOKUP(AllData[[#This Row],[Location Name]], Locations[Location Name],Locations[Group As])</f>
        <v>Site 2  :  Cross Leys culvert</v>
      </c>
      <c r="H1232" t="e" vm="1">
        <f>_xlfn.XLOOKUP(AllData[[#This Row],[Site Name]],LocationsKey[Site Name],LocationsKey[District])</f>
        <v>#VALUE!</v>
      </c>
      <c r="I1232" t="e" vm="14">
        <f>_xlfn.XLOOKUP(AllData[[#This Row],[Site Name]],LocationsKey[Site Name],LocationsKey[Town])</f>
        <v>#VALUE!</v>
      </c>
      <c r="J1232" t="str">
        <f>_xlfn.XLOOKUP(AllData[[#This Row],[Site Name]],LocationsKey[Site Name], LocationsKey[Waterway])</f>
        <v>Fosseway Brook</v>
      </c>
      <c r="K1232" t="s">
        <v>626</v>
      </c>
      <c r="L1232">
        <v>52.093122000000001</v>
      </c>
      <c r="M1232">
        <v>-1.6863189999999999</v>
      </c>
      <c r="N1232" t="s">
        <v>68</v>
      </c>
      <c r="O1232">
        <v>834</v>
      </c>
      <c r="P1232">
        <v>18.5</v>
      </c>
      <c r="Q1232">
        <v>0</v>
      </c>
      <c r="R1232" s="107" t="str">
        <f>IF(AllData[[#This Row],[Nitrate (PPM)]]&gt;2, "Very high", IF(AllData[[#This Row],[Nitrate (PPM)]]&gt;1, "High", IF(AllData[[#This Row],[Nitrate (PPM)]]&gt;0.5, "Some evidence", IF(AllData[[#This Row],[Nitrate (PPM)]]&gt;=0, "No evidence"))))</f>
        <v>No evidence</v>
      </c>
      <c r="S1232" s="4">
        <v>0.93</v>
      </c>
      <c r="T1232" s="7" t="str">
        <f>IF(AllData[[#This Row],[Phosphate (PPM)]]&gt;0.5, "Very high", IF(AllData[[#This Row],[Phosphate (PPM)]]&gt;0.1, "High", IF(AllData[[#This Row],[Phosphate (PPM)]]&gt;0.05, "Some evidence", IF(AllData[[#This Row],[Phosphate (PPM)]]&lt;=0.05, "No Evidence", ""))))</f>
        <v>Very high</v>
      </c>
    </row>
    <row r="1233" spans="1:22" x14ac:dyDescent="0.35">
      <c r="A1233" t="s">
        <v>1707</v>
      </c>
      <c r="B1233" s="143">
        <v>45493</v>
      </c>
      <c r="C1233" s="2" t="str" cm="1">
        <f t="array" ref="C12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3">
        <f>YEAR(AllData[[#This Row],[Date]])</f>
        <v>2024</v>
      </c>
      <c r="F1233" t="str">
        <f>IF(AND(AllData[[#This Row],[Time]]&lt;0.5, AllData[[#This Row],[Time]]&gt;0.17)=TRUE, "Morning", IF(AND(AllData[[#This Row],[Time]]&lt;0.75, AllData[[#This Row],[Time]]&gt;=0.5)=TRUE, "Afternoon", IF(AND(AllData[[#This Row],[Time]]&lt;1, AllData[[#This Row],[Time]]&gt;=0.75)=TRUE, "Evening", "Night")))</f>
        <v>Night</v>
      </c>
      <c r="G1233" t="str">
        <f>_xlfn.XLOOKUP(AllData[[#This Row],[Location Name]], Locations[Location Name],Locations[Group As])</f>
        <v>Site 2  :  Cross Leys culvert</v>
      </c>
      <c r="H1233" t="e" vm="1">
        <f>_xlfn.XLOOKUP(AllData[[#This Row],[Site Name]],LocationsKey[Site Name],LocationsKey[District])</f>
        <v>#VALUE!</v>
      </c>
      <c r="I1233" t="e" vm="14">
        <f>_xlfn.XLOOKUP(AllData[[#This Row],[Site Name]],LocationsKey[Site Name],LocationsKey[Town])</f>
        <v>#VALUE!</v>
      </c>
      <c r="J1233" t="str">
        <f>_xlfn.XLOOKUP(AllData[[#This Row],[Site Name]],LocationsKey[Site Name], LocationsKey[Waterway])</f>
        <v>Fosseway Brook</v>
      </c>
      <c r="K1233" t="s">
        <v>623</v>
      </c>
      <c r="L1233">
        <v>52.093122000000001</v>
      </c>
      <c r="M1233">
        <v>-1.6863189999999999</v>
      </c>
      <c r="N1233" t="s">
        <v>68</v>
      </c>
      <c r="O1233">
        <v>834</v>
      </c>
      <c r="P1233">
        <v>18.5</v>
      </c>
      <c r="Q1233">
        <v>0</v>
      </c>
      <c r="R1233" s="107" t="str">
        <f>IF(AllData[[#This Row],[Nitrate (PPM)]]&gt;2, "Very high", IF(AllData[[#This Row],[Nitrate (PPM)]]&gt;1, "High", IF(AllData[[#This Row],[Nitrate (PPM)]]&gt;0.5, "Some evidence", IF(AllData[[#This Row],[Nitrate (PPM)]]&gt;=0, "No evidence"))))</f>
        <v>No evidence</v>
      </c>
      <c r="S1233" s="4">
        <v>0.93</v>
      </c>
      <c r="T1233" s="7" t="str">
        <f>IF(AllData[[#This Row],[Phosphate (PPM)]]&gt;0.5, "Very high", IF(AllData[[#This Row],[Phosphate (PPM)]]&gt;0.1, "High", IF(AllData[[#This Row],[Phosphate (PPM)]]&gt;0.05, "Some evidence", IF(AllData[[#This Row],[Phosphate (PPM)]]&lt;=0.05, "No Evidence", ""))))</f>
        <v>Very high</v>
      </c>
      <c r="U1233">
        <v>0</v>
      </c>
      <c r="V1233" t="s">
        <v>835</v>
      </c>
    </row>
    <row r="1234" spans="1:22" x14ac:dyDescent="0.35">
      <c r="A1234" t="s">
        <v>1670</v>
      </c>
      <c r="B1234" s="143">
        <v>45492</v>
      </c>
      <c r="C1234" s="2" t="str" cm="1">
        <f t="array" ref="C12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4">
        <f>YEAR(AllData[[#This Row],[Date]])</f>
        <v>2024</v>
      </c>
      <c r="E1234" s="1">
        <v>0.3527777777777778</v>
      </c>
      <c r="F1234" t="str">
        <f>IF(AND(AllData[[#This Row],[Time]]&lt;0.5, AllData[[#This Row],[Time]]&gt;0.17)=TRUE, "Morning", IF(AND(AllData[[#This Row],[Time]]&lt;0.75, AllData[[#This Row],[Time]]&gt;=0.5)=TRUE, "Afternoon", IF(AND(AllData[[#This Row],[Time]]&lt;1, AllData[[#This Row],[Time]]&gt;=0.75)=TRUE, "Evening", "Night")))</f>
        <v>Morning</v>
      </c>
      <c r="G1234" t="str">
        <f>_xlfn.XLOOKUP(AllData[[#This Row],[Location Name]], Locations[Location Name],Locations[Group As])</f>
        <v>Lower Lode</v>
      </c>
      <c r="H1234" t="e" vm="4">
        <f>_xlfn.XLOOKUP(AllData[[#This Row],[Site Name]],LocationsKey[Site Name],LocationsKey[District])</f>
        <v>#VALUE!</v>
      </c>
      <c r="I1234" t="e" vm="4">
        <f>_xlfn.XLOOKUP(AllData[[#This Row],[Site Name]],LocationsKey[Site Name],LocationsKey[Town])</f>
        <v>#VALUE!</v>
      </c>
      <c r="J1234" t="str">
        <f>_xlfn.XLOOKUP(AllData[[#This Row],[Site Name]],LocationsKey[Site Name], LocationsKey[Waterway])</f>
        <v>Avon</v>
      </c>
      <c r="K1234" t="s">
        <v>595</v>
      </c>
      <c r="L1234">
        <v>51.98507</v>
      </c>
      <c r="M1234">
        <v>-2.1741890000000001</v>
      </c>
      <c r="N1234" t="s">
        <v>31</v>
      </c>
      <c r="O1234">
        <v>8880</v>
      </c>
      <c r="P1234">
        <v>21.5</v>
      </c>
      <c r="Q1234">
        <v>10</v>
      </c>
      <c r="R1234" s="107" t="str">
        <f>IF(AllData[[#This Row],[Nitrate (PPM)]]&gt;2, "Very high", IF(AllData[[#This Row],[Nitrate (PPM)]]&gt;1, "High", IF(AllData[[#This Row],[Nitrate (PPM)]]&gt;0.5, "Some evidence", IF(AllData[[#This Row],[Nitrate (PPM)]]&gt;=0, "No evidence"))))</f>
        <v>Very high</v>
      </c>
      <c r="S1234" s="4">
        <v>0.82</v>
      </c>
      <c r="T1234" s="107" t="str">
        <f>IF(AllData[[#This Row],[Phosphate (PPM)]]&gt;0.5, "Very high", IF(AllData[[#This Row],[Phosphate (PPM)]]&gt;0.1, "High", IF(AllData[[#This Row],[Phosphate (PPM)]]&gt;0.05, "Some evidence", IF(AllData[[#This Row],[Phosphate (PPM)]]&lt;=0.05, "No Evidence", ""))))</f>
        <v>Very high</v>
      </c>
      <c r="U1234">
        <v>0</v>
      </c>
    </row>
    <row r="1235" spans="1:22" x14ac:dyDescent="0.35">
      <c r="A1235" t="s">
        <v>1671</v>
      </c>
      <c r="B1235" s="143">
        <v>45492</v>
      </c>
      <c r="C1235" s="2" t="str" cm="1">
        <f t="array" ref="C12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5">
        <f>YEAR(AllData[[#This Row],[Date]])</f>
        <v>2024</v>
      </c>
      <c r="E1235" s="1">
        <v>0.70833333333333337</v>
      </c>
      <c r="F1235" t="str">
        <f>IF(AND(AllData[[#This Row],[Time]]&lt;0.5, AllData[[#This Row],[Time]]&gt;0.17)=TRUE, "Morning", IF(AND(AllData[[#This Row],[Time]]&lt;0.75, AllData[[#This Row],[Time]]&gt;=0.5)=TRUE, "Afternoon", IF(AND(AllData[[#This Row],[Time]]&lt;1, AllData[[#This Row],[Time]]&gt;=0.75)=TRUE, "Evening", "Night")))</f>
        <v>Afternoon</v>
      </c>
      <c r="G1235" t="str">
        <f>_xlfn.XLOOKUP(AllData[[#This Row],[Location Name]], Locations[Location Name],Locations[Group As])</f>
        <v>Carrant Back Lane Beckford</v>
      </c>
      <c r="H1235" t="e" vm="4">
        <f>_xlfn.XLOOKUP(AllData[[#This Row],[Site Name]],LocationsKey[Site Name],LocationsKey[District])</f>
        <v>#VALUE!</v>
      </c>
      <c r="I1235" t="str">
        <f>_xlfn.XLOOKUP(AllData[[#This Row],[Site Name]],LocationsKey[Site Name],LocationsKey[Town])</f>
        <v>Beckford</v>
      </c>
      <c r="J1235" t="str">
        <f>_xlfn.XLOOKUP(AllData[[#This Row],[Site Name]],LocationsKey[Site Name], LocationsKey[Waterway])</f>
        <v>Carrant</v>
      </c>
      <c r="K1235" t="s">
        <v>1672</v>
      </c>
      <c r="L1235">
        <v>52.018464999999999</v>
      </c>
      <c r="M1235">
        <v>-2.0388470000000001</v>
      </c>
      <c r="N1235" t="s">
        <v>68</v>
      </c>
      <c r="O1235">
        <v>726</v>
      </c>
      <c r="P1235">
        <v>19.600000000000001</v>
      </c>
      <c r="Q1235">
        <v>6</v>
      </c>
      <c r="R1235" s="107" t="str">
        <f>IF(AllData[[#This Row],[Nitrate (PPM)]]&gt;2, "Very high", IF(AllData[[#This Row],[Nitrate (PPM)]]&gt;1, "High", IF(AllData[[#This Row],[Nitrate (PPM)]]&gt;0.5, "Some evidence", IF(AllData[[#This Row],[Nitrate (PPM)]]&gt;=0, "No evidence"))))</f>
        <v>Very high</v>
      </c>
      <c r="S1235" s="4">
        <v>0.8</v>
      </c>
      <c r="T1235" s="107" t="str">
        <f>IF(AllData[[#This Row],[Phosphate (PPM)]]&gt;0.5, "Very high", IF(AllData[[#This Row],[Phosphate (PPM)]]&gt;0.1, "High", IF(AllData[[#This Row],[Phosphate (PPM)]]&gt;0.05, "Some evidence", IF(AllData[[#This Row],[Phosphate (PPM)]]&lt;=0.05, "No Evidence", ""))))</f>
        <v>Very high</v>
      </c>
      <c r="U1235">
        <v>0</v>
      </c>
      <c r="V1235" t="s">
        <v>1673</v>
      </c>
    </row>
    <row r="1236" spans="1:22" x14ac:dyDescent="0.35">
      <c r="A1236" t="s">
        <v>1674</v>
      </c>
      <c r="B1236" s="143">
        <v>45492</v>
      </c>
      <c r="C1236" s="2" t="str" cm="1">
        <f t="array" ref="C12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6">
        <f>YEAR(AllData[[#This Row],[Date]])</f>
        <v>2024</v>
      </c>
      <c r="E1236" s="1">
        <v>0.83333333333333337</v>
      </c>
      <c r="F1236" t="str">
        <f>IF(AND(AllData[[#This Row],[Time]]&lt;0.5, AllData[[#This Row],[Time]]&gt;0.17)=TRUE, "Morning", IF(AND(AllData[[#This Row],[Time]]&lt;0.75, AllData[[#This Row],[Time]]&gt;=0.5)=TRUE, "Afternoon", IF(AND(AllData[[#This Row],[Time]]&lt;1, AllData[[#This Row],[Time]]&gt;=0.75)=TRUE, "Evening", "Night")))</f>
        <v>Evening</v>
      </c>
      <c r="G1236" t="str">
        <f>_xlfn.XLOOKUP(AllData[[#This Row],[Location Name]], Locations[Location Name],Locations[Group As])</f>
        <v>Swilgate</v>
      </c>
      <c r="H1236" t="e" vm="4">
        <f>_xlfn.XLOOKUP(AllData[[#This Row],[Site Name]],LocationsKey[Site Name],LocationsKey[District])</f>
        <v>#VALUE!</v>
      </c>
      <c r="I1236" t="e" vm="4">
        <f>_xlfn.XLOOKUP(AllData[[#This Row],[Site Name]],LocationsKey[Site Name],LocationsKey[Town])</f>
        <v>#VALUE!</v>
      </c>
      <c r="J1236" t="str">
        <f>_xlfn.XLOOKUP(AllData[[#This Row],[Site Name]],LocationsKey[Site Name], LocationsKey[Waterway])</f>
        <v>Swilgate</v>
      </c>
      <c r="K1236" t="s">
        <v>85</v>
      </c>
      <c r="N1236" t="s">
        <v>25</v>
      </c>
      <c r="O1236">
        <v>998</v>
      </c>
      <c r="P1236">
        <v>22.8</v>
      </c>
      <c r="Q1236">
        <v>5</v>
      </c>
      <c r="R1236" s="107" t="str">
        <f>IF(AllData[[#This Row],[Nitrate (PPM)]]&gt;2, "Very high", IF(AllData[[#This Row],[Nitrate (PPM)]]&gt;1, "High", IF(AllData[[#This Row],[Nitrate (PPM)]]&gt;0.5, "Some evidence", IF(AllData[[#This Row],[Nitrate (PPM)]]&gt;=0, "No evidence"))))</f>
        <v>Very high</v>
      </c>
      <c r="S1236" s="4">
        <v>0.59</v>
      </c>
      <c r="T1236" s="7" t="str">
        <f>IF(AllData[[#This Row],[Phosphate (PPM)]]&gt;0.5, "Very high", IF(AllData[[#This Row],[Phosphate (PPM)]]&gt;0.1, "High", IF(AllData[[#This Row],[Phosphate (PPM)]]&gt;0.05, "Some evidence", IF(AllData[[#This Row],[Phosphate (PPM)]]&lt;=0.05, "No Evidence", ""))))</f>
        <v>Very high</v>
      </c>
      <c r="U1236">
        <v>0</v>
      </c>
    </row>
    <row r="1237" spans="1:22" x14ac:dyDescent="0.35">
      <c r="A1237" t="s">
        <v>1665</v>
      </c>
      <c r="B1237" s="143">
        <v>45491</v>
      </c>
      <c r="C1237" s="2" t="str" cm="1">
        <f t="array" ref="C12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7">
        <f>YEAR(AllData[[#This Row],[Date]])</f>
        <v>2024</v>
      </c>
      <c r="E1237" s="1">
        <v>0.89722222222222225</v>
      </c>
      <c r="F1237" t="str">
        <f>IF(AND(AllData[[#This Row],[Time]]&lt;0.5, AllData[[#This Row],[Time]]&gt;0.17)=TRUE, "Morning", IF(AND(AllData[[#This Row],[Time]]&lt;0.75, AllData[[#This Row],[Time]]&gt;=0.5)=TRUE, "Afternoon", IF(AND(AllData[[#This Row],[Time]]&lt;1, AllData[[#This Row],[Time]]&gt;=0.75)=TRUE, "Evening", "Night")))</f>
        <v>Evening</v>
      </c>
      <c r="G1237" t="str">
        <f>_xlfn.XLOOKUP(AllData[[#This Row],[Location Name]], Locations[Location Name],Locations[Group As])</f>
        <v>Abbey Mill</v>
      </c>
      <c r="H1237" t="e" vm="4">
        <f>_xlfn.XLOOKUP(AllData[[#This Row],[Site Name]],LocationsKey[Site Name],LocationsKey[District])</f>
        <v>#VALUE!</v>
      </c>
      <c r="I1237" t="e" vm="4">
        <f>_xlfn.XLOOKUP(AllData[[#This Row],[Site Name]],LocationsKey[Site Name],LocationsKey[Town])</f>
        <v>#VALUE!</v>
      </c>
      <c r="J1237" t="str">
        <f>_xlfn.XLOOKUP(AllData[[#This Row],[Site Name]],LocationsKey[Site Name], LocationsKey[Waterway])</f>
        <v>Avon</v>
      </c>
      <c r="K1237" t="s">
        <v>27</v>
      </c>
      <c r="L1237">
        <v>51.991413000000001</v>
      </c>
      <c r="M1237">
        <v>-2.1627900000000002</v>
      </c>
      <c r="N1237" t="s">
        <v>25</v>
      </c>
      <c r="O1237">
        <v>834</v>
      </c>
      <c r="P1237">
        <v>20.6</v>
      </c>
      <c r="Q1237">
        <v>7</v>
      </c>
      <c r="R1237" s="107" t="str">
        <f>IF(AllData[[#This Row],[Nitrate (PPM)]]&gt;2, "Very high", IF(AllData[[#This Row],[Nitrate (PPM)]]&gt;1, "High", IF(AllData[[#This Row],[Nitrate (PPM)]]&gt;0.5, "Some evidence", IF(AllData[[#This Row],[Nitrate (PPM)]]&gt;=0, "No evidence"))))</f>
        <v>Very high</v>
      </c>
      <c r="S1237" s="4">
        <v>0.86</v>
      </c>
      <c r="T1237" s="7" t="str">
        <f>IF(AllData[[#This Row],[Phosphate (PPM)]]&gt;0.5, "Very high", IF(AllData[[#This Row],[Phosphate (PPM)]]&gt;0.1, "High", IF(AllData[[#This Row],[Phosphate (PPM)]]&gt;0.05, "Some evidence", IF(AllData[[#This Row],[Phosphate (PPM)]]&lt;=0.05, "No Evidence", ""))))</f>
        <v>Very high</v>
      </c>
      <c r="U1237">
        <v>0.5</v>
      </c>
    </row>
    <row r="1238" spans="1:22" x14ac:dyDescent="0.35">
      <c r="A1238" t="s">
        <v>1666</v>
      </c>
      <c r="B1238" s="143">
        <v>45491</v>
      </c>
      <c r="C1238" s="2" t="str" cm="1">
        <f t="array" ref="C12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8">
        <f>YEAR(AllData[[#This Row],[Date]])</f>
        <v>2024</v>
      </c>
      <c r="E1238" s="1">
        <v>0.45624999999999999</v>
      </c>
      <c r="F1238" t="str">
        <f>IF(AND(AllData[[#This Row],[Time]]&lt;0.5, AllData[[#This Row],[Time]]&gt;0.17)=TRUE, "Morning", IF(AND(AllData[[#This Row],[Time]]&lt;0.75, AllData[[#This Row],[Time]]&gt;=0.5)=TRUE, "Afternoon", IF(AND(AllData[[#This Row],[Time]]&lt;1, AllData[[#This Row],[Time]]&gt;=0.75)=TRUE, "Evening", "Night")))</f>
        <v>Morning</v>
      </c>
      <c r="G1238" t="str">
        <f>_xlfn.XLOOKUP(AllData[[#This Row],[Location Name]], Locations[Location Name],Locations[Group As])</f>
        <v>Preston Bagot Brook</v>
      </c>
      <c r="H1238" t="e" vm="1">
        <f>_xlfn.XLOOKUP(AllData[[#This Row],[Site Name]],LocationsKey[Site Name],LocationsKey[District])</f>
        <v>#VALUE!</v>
      </c>
      <c r="I1238" t="e" vm="21">
        <f>_xlfn.XLOOKUP(AllData[[#This Row],[Site Name]],LocationsKey[Site Name],LocationsKey[Town])</f>
        <v>#VALUE!</v>
      </c>
      <c r="J1238" t="str">
        <f>_xlfn.XLOOKUP(AllData[[#This Row],[Site Name]],LocationsKey[Site Name], LocationsKey[Waterway])</f>
        <v>Preston Bagot Brook</v>
      </c>
      <c r="K1238" t="s">
        <v>621</v>
      </c>
      <c r="L1238">
        <v>52.286000000000001</v>
      </c>
      <c r="M1238">
        <v>-1.7470000000000001</v>
      </c>
      <c r="N1238" t="s">
        <v>25</v>
      </c>
      <c r="O1238">
        <v>1103</v>
      </c>
      <c r="P1238">
        <v>18.5</v>
      </c>
      <c r="Q1238">
        <v>4</v>
      </c>
      <c r="R1238" s="107" t="str">
        <f>IF(AllData[[#This Row],[Nitrate (PPM)]]&gt;2, "Very high", IF(AllData[[#This Row],[Nitrate (PPM)]]&gt;1, "High", IF(AllData[[#This Row],[Nitrate (PPM)]]&gt;0.5, "Some evidence", IF(AllData[[#This Row],[Nitrate (PPM)]]&gt;=0, "No evidence"))))</f>
        <v>Very high</v>
      </c>
      <c r="S1238">
        <v>0.68</v>
      </c>
      <c r="T1238" s="7" t="str">
        <f>IF(AllData[[#This Row],[Phosphate (PPM)]]&gt;0.5, "Very high", IF(AllData[[#This Row],[Phosphate (PPM)]]&gt;0.1, "High", IF(AllData[[#This Row],[Phosphate (PPM)]]&gt;0.05, "Some evidence", IF(AllData[[#This Row],[Phosphate (PPM)]]&lt;=0.05, "No Evidence", ""))))</f>
        <v>Very high</v>
      </c>
      <c r="U1238">
        <v>1</v>
      </c>
      <c r="V1238" t="s">
        <v>1667</v>
      </c>
    </row>
    <row r="1239" spans="1:22" x14ac:dyDescent="0.35">
      <c r="A1239" t="s">
        <v>1663</v>
      </c>
      <c r="B1239" s="143">
        <v>45491</v>
      </c>
      <c r="C1239" s="2" t="str" cm="1">
        <f t="array" ref="C12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39">
        <f>YEAR(AllData[[#This Row],[Date]])</f>
        <v>2024</v>
      </c>
      <c r="E1239" s="1">
        <v>0.75</v>
      </c>
      <c r="F1239" t="str">
        <f>IF(AND(AllData[[#This Row],[Time]]&lt;0.5, AllData[[#This Row],[Time]]&gt;0.17)=TRUE, "Morning", IF(AND(AllData[[#This Row],[Time]]&lt;0.75, AllData[[#This Row],[Time]]&gt;=0.5)=TRUE, "Afternoon", IF(AND(AllData[[#This Row],[Time]]&lt;1, AllData[[#This Row],[Time]]&gt;=0.75)=TRUE, "Evening", "Night")))</f>
        <v>Evening</v>
      </c>
      <c r="G1239" t="str">
        <f>_xlfn.XLOOKUP(AllData[[#This Row],[Location Name]], Locations[Location Name],Locations[Group As])</f>
        <v>Stour Newbold Mill</v>
      </c>
      <c r="H1239" t="e" vm="1">
        <f>_xlfn.XLOOKUP(AllData[[#This Row],[Site Name]],LocationsKey[Site Name],LocationsKey[District])</f>
        <v>#VALUE!</v>
      </c>
      <c r="I1239" t="e" vm="27">
        <f>_xlfn.XLOOKUP(AllData[[#This Row],[Site Name]],LocationsKey[Site Name],LocationsKey[Town])</f>
        <v>#VALUE!</v>
      </c>
      <c r="J1239" t="str">
        <f>_xlfn.XLOOKUP(AllData[[#This Row],[Site Name]],LocationsKey[Site Name], LocationsKey[Waterway])</f>
        <v>Stour</v>
      </c>
      <c r="K1239" t="s">
        <v>141</v>
      </c>
      <c r="N1239" t="s">
        <v>31</v>
      </c>
      <c r="O1239">
        <v>640</v>
      </c>
      <c r="P1239">
        <v>18.600000000000001</v>
      </c>
      <c r="Q1239">
        <v>2</v>
      </c>
      <c r="R1239" s="107" t="str">
        <f>IF(AllData[[#This Row],[Nitrate (PPM)]]&gt;2, "Very high", IF(AllData[[#This Row],[Nitrate (PPM)]]&gt;1, "High", IF(AllData[[#This Row],[Nitrate (PPM)]]&gt;0.5, "Some evidence", IF(AllData[[#This Row],[Nitrate (PPM)]]&gt;=0, "No evidence"))))</f>
        <v>High</v>
      </c>
      <c r="S1239" s="4">
        <v>0.54</v>
      </c>
      <c r="T1239" s="7" t="str">
        <f>IF(AllData[[#This Row],[Phosphate (PPM)]]&gt;0.5, "Very high", IF(AllData[[#This Row],[Phosphate (PPM)]]&gt;0.1, "High", IF(AllData[[#This Row],[Phosphate (PPM)]]&gt;0.05, "Some evidence", IF(AllData[[#This Row],[Phosphate (PPM)]]&lt;=0.05, "No Evidence", ""))))</f>
        <v>Very high</v>
      </c>
      <c r="U1239">
        <v>2</v>
      </c>
      <c r="V1239" t="s">
        <v>1664</v>
      </c>
    </row>
    <row r="1240" spans="1:22" x14ac:dyDescent="0.35">
      <c r="A1240" t="s">
        <v>1662</v>
      </c>
      <c r="B1240" s="143">
        <v>45491</v>
      </c>
      <c r="C1240" s="2" t="str" cm="1">
        <f t="array" ref="C12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0">
        <f>YEAR(AllData[[#This Row],[Date]])</f>
        <v>2024</v>
      </c>
      <c r="E1240" s="1">
        <v>0.4375</v>
      </c>
      <c r="F1240" t="str">
        <f>IF(AND(AllData[[#This Row],[Time]]&lt;0.5, AllData[[#This Row],[Time]]&gt;0.17)=TRUE, "Morning", IF(AND(AllData[[#This Row],[Time]]&lt;0.75, AllData[[#This Row],[Time]]&gt;=0.5)=TRUE, "Afternoon", IF(AND(AllData[[#This Row],[Time]]&lt;1, AllData[[#This Row],[Time]]&gt;=0.75)=TRUE, "Evening", "Night")))</f>
        <v>Morning</v>
      </c>
      <c r="G1240" t="str">
        <f>_xlfn.XLOOKUP(AllData[[#This Row],[Location Name]], Locations[Location Name],Locations[Group As])</f>
        <v>Stour Willington</v>
      </c>
      <c r="H1240" t="e" vm="1">
        <f>_xlfn.XLOOKUP(AllData[[#This Row],[Site Name]],LocationsKey[Site Name],LocationsKey[District])</f>
        <v>#VALUE!</v>
      </c>
      <c r="I1240" t="str">
        <f>_xlfn.XLOOKUP(AllData[[#This Row],[Site Name]],LocationsKey[Site Name],LocationsKey[Town])</f>
        <v>Willington</v>
      </c>
      <c r="J1240" t="str">
        <f>_xlfn.XLOOKUP(AllData[[#This Row],[Site Name]],LocationsKey[Site Name], LocationsKey[Waterway])</f>
        <v>Stour</v>
      </c>
      <c r="K1240" t="s">
        <v>521</v>
      </c>
      <c r="L1240">
        <v>52.053542999999998</v>
      </c>
      <c r="M1240">
        <v>-1.6201559999999999</v>
      </c>
      <c r="N1240" t="s">
        <v>25</v>
      </c>
      <c r="O1240">
        <v>625</v>
      </c>
      <c r="P1240">
        <v>16</v>
      </c>
      <c r="Q1240">
        <v>2</v>
      </c>
      <c r="R1240" s="107" t="str">
        <f>IF(AllData[[#This Row],[Nitrate (PPM)]]&gt;2, "Very high", IF(AllData[[#This Row],[Nitrate (PPM)]]&gt;1, "High", IF(AllData[[#This Row],[Nitrate (PPM)]]&gt;0.5, "Some evidence", IF(AllData[[#This Row],[Nitrate (PPM)]]&gt;=0, "No evidence"))))</f>
        <v>High</v>
      </c>
      <c r="S1240" s="4">
        <v>0.41</v>
      </c>
      <c r="T1240" s="7" t="str">
        <f>IF(AllData[[#This Row],[Phosphate (PPM)]]&gt;0.5, "Very high", IF(AllData[[#This Row],[Phosphate (PPM)]]&gt;0.1, "High", IF(AllData[[#This Row],[Phosphate (PPM)]]&gt;0.05, "Some evidence", IF(AllData[[#This Row],[Phosphate (PPM)]]&lt;=0.05, "No Evidence", ""))))</f>
        <v>High</v>
      </c>
      <c r="U1240">
        <v>0.5</v>
      </c>
    </row>
    <row r="1241" spans="1:22" x14ac:dyDescent="0.35">
      <c r="A1241" t="s">
        <v>1668</v>
      </c>
      <c r="B1241" s="143">
        <v>45491</v>
      </c>
      <c r="C1241" s="2" t="str" cm="1">
        <f t="array" ref="C12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1">
        <f>YEAR(AllData[[#This Row],[Date]])</f>
        <v>2024</v>
      </c>
      <c r="E1241" s="1">
        <v>0.4597222222222222</v>
      </c>
      <c r="F1241" t="str">
        <f>IF(AND(AllData[[#This Row],[Time]]&lt;0.5, AllData[[#This Row],[Time]]&gt;0.17)=TRUE, "Morning", IF(AND(AllData[[#This Row],[Time]]&lt;0.75, AllData[[#This Row],[Time]]&gt;=0.5)=TRUE, "Afternoon", IF(AND(AllData[[#This Row],[Time]]&lt;1, AllData[[#This Row],[Time]]&gt;=0.75)=TRUE, "Evening", "Night")))</f>
        <v>Morning</v>
      </c>
      <c r="G1241" t="str">
        <f>_xlfn.XLOOKUP(AllData[[#This Row],[Location Name]], Locations[Location Name],Locations[Group As])</f>
        <v>Preston Bagot Canal</v>
      </c>
      <c r="H1241" t="e" vm="1">
        <f>_xlfn.XLOOKUP(AllData[[#This Row],[Site Name]],LocationsKey[Site Name],LocationsKey[District])</f>
        <v>#VALUE!</v>
      </c>
      <c r="I1241" t="e" vm="21">
        <f>_xlfn.XLOOKUP(AllData[[#This Row],[Site Name]],LocationsKey[Site Name],LocationsKey[Town])</f>
        <v>#VALUE!</v>
      </c>
      <c r="J1241" t="str">
        <f>_xlfn.XLOOKUP(AllData[[#This Row],[Site Name]],LocationsKey[Site Name], LocationsKey[Waterway])</f>
        <v>Preston Bagot Canal</v>
      </c>
      <c r="K1241" t="s">
        <v>1669</v>
      </c>
      <c r="L1241">
        <v>52.286999999999999</v>
      </c>
      <c r="M1241">
        <v>-1.746</v>
      </c>
      <c r="N1241" t="s">
        <v>25</v>
      </c>
      <c r="O1241">
        <v>603</v>
      </c>
      <c r="P1241">
        <v>19.7</v>
      </c>
      <c r="Q1241">
        <v>0</v>
      </c>
      <c r="R1241" s="107" t="str">
        <f>IF(AllData[[#This Row],[Nitrate (PPM)]]&gt;2, "Very high", IF(AllData[[#This Row],[Nitrate (PPM)]]&gt;1, "High", IF(AllData[[#This Row],[Nitrate (PPM)]]&gt;0.5, "Some evidence", IF(AllData[[#This Row],[Nitrate (PPM)]]&gt;=0, "No evidence"))))</f>
        <v>No evidence</v>
      </c>
      <c r="S1241">
        <v>0.23</v>
      </c>
      <c r="T1241" s="7" t="str">
        <f>IF(AllData[[#This Row],[Phosphate (PPM)]]&gt;0.5, "Very high", IF(AllData[[#This Row],[Phosphate (PPM)]]&gt;0.1, "High", IF(AllData[[#This Row],[Phosphate (PPM)]]&gt;0.05, "Some evidence", IF(AllData[[#This Row],[Phosphate (PPM)]]&lt;=0.05, "No Evidence", ""))))</f>
        <v>High</v>
      </c>
      <c r="U1241">
        <v>1</v>
      </c>
      <c r="V1241" t="s">
        <v>970</v>
      </c>
    </row>
    <row r="1242" spans="1:22" x14ac:dyDescent="0.35">
      <c r="A1242" t="s">
        <v>1658</v>
      </c>
      <c r="B1242" s="143">
        <v>45490</v>
      </c>
      <c r="C1242" s="2" t="str" cm="1">
        <f t="array" ref="C12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2">
        <f>YEAR(AllData[[#This Row],[Date]])</f>
        <v>2024</v>
      </c>
      <c r="E1242" s="1">
        <v>0.61250000000000004</v>
      </c>
      <c r="F1242" t="str">
        <f>IF(AND(AllData[[#This Row],[Time]]&lt;0.5, AllData[[#This Row],[Time]]&gt;0.17)=TRUE, "Morning", IF(AND(AllData[[#This Row],[Time]]&lt;0.75, AllData[[#This Row],[Time]]&gt;=0.5)=TRUE, "Afternoon", IF(AND(AllData[[#This Row],[Time]]&lt;1, AllData[[#This Row],[Time]]&gt;=0.75)=TRUE, "Evening", "Night")))</f>
        <v>Afternoon</v>
      </c>
      <c r="G1242" t="str">
        <f>_xlfn.XLOOKUP(AllData[[#This Row],[Location Name]], Locations[Location Name],Locations[Group As])</f>
        <v>Alveston Weir</v>
      </c>
      <c r="H1242" t="e" vm="1">
        <f>_xlfn.XLOOKUP(AllData[[#This Row],[Site Name]],LocationsKey[Site Name],LocationsKey[District])</f>
        <v>#VALUE!</v>
      </c>
      <c r="I1242" t="e" vm="2">
        <f>_xlfn.XLOOKUP(AllData[[#This Row],[Site Name]],LocationsKey[Site Name],LocationsKey[Town])</f>
        <v>#VALUE!</v>
      </c>
      <c r="J1242" t="str">
        <f>_xlfn.XLOOKUP(AllData[[#This Row],[Site Name]],LocationsKey[Site Name], LocationsKey[Waterway])</f>
        <v>Avon</v>
      </c>
      <c r="K1242" t="s">
        <v>288</v>
      </c>
      <c r="L1242">
        <v>52.212288999999998</v>
      </c>
      <c r="M1242">
        <v>-1.660452</v>
      </c>
      <c r="N1242" t="s">
        <v>31</v>
      </c>
      <c r="O1242">
        <v>689</v>
      </c>
      <c r="P1242">
        <v>19</v>
      </c>
      <c r="Q1242">
        <v>10</v>
      </c>
      <c r="R1242" s="107" t="str">
        <f>IF(AllData[[#This Row],[Nitrate (PPM)]]&gt;2, "Very high", IF(AllData[[#This Row],[Nitrate (PPM)]]&gt;1, "High", IF(AllData[[#This Row],[Nitrate (PPM)]]&gt;0.5, "Some evidence", IF(AllData[[#This Row],[Nitrate (PPM)]]&gt;=0, "No evidence"))))</f>
        <v>Very high</v>
      </c>
      <c r="S1242" s="4">
        <v>0.46</v>
      </c>
      <c r="T1242" s="7" t="str">
        <f>IF(AllData[[#This Row],[Phosphate (PPM)]]&gt;0.5, "Very high", IF(AllData[[#This Row],[Phosphate (PPM)]]&gt;0.1, "High", IF(AllData[[#This Row],[Phosphate (PPM)]]&gt;0.05, "Some evidence", IF(AllData[[#This Row],[Phosphate (PPM)]]&lt;=0.05, "No Evidence", ""))))</f>
        <v>High</v>
      </c>
      <c r="U1242">
        <v>0</v>
      </c>
    </row>
    <row r="1243" spans="1:22" x14ac:dyDescent="0.35">
      <c r="A1243" t="s">
        <v>1657</v>
      </c>
      <c r="B1243" s="143">
        <v>45490</v>
      </c>
      <c r="C1243" s="2" t="str" cm="1">
        <f t="array" ref="C12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3">
        <f>YEAR(AllData[[#This Row],[Date]])</f>
        <v>2024</v>
      </c>
      <c r="E1243" s="1">
        <v>0.44791666666666669</v>
      </c>
      <c r="F1243" t="str">
        <f>IF(AND(AllData[[#This Row],[Time]]&lt;0.5, AllData[[#This Row],[Time]]&gt;0.17)=TRUE, "Morning", IF(AND(AllData[[#This Row],[Time]]&lt;0.75, AllData[[#This Row],[Time]]&gt;=0.5)=TRUE, "Afternoon", IF(AND(AllData[[#This Row],[Time]]&lt;1, AllData[[#This Row],[Time]]&gt;=0.75)=TRUE, "Evening", "Night")))</f>
        <v>Morning</v>
      </c>
      <c r="G1243" t="str">
        <f>_xlfn.XLOOKUP(AllData[[#This Row],[Location Name]], Locations[Location Name],Locations[Group As])</f>
        <v>Carrant Mitton Path</v>
      </c>
      <c r="H1243" t="e" vm="4">
        <f>_xlfn.XLOOKUP(AllData[[#This Row],[Site Name]],LocationsKey[Site Name],LocationsKey[District])</f>
        <v>#VALUE!</v>
      </c>
      <c r="I1243" t="e" vm="4">
        <f>_xlfn.XLOOKUP(AllData[[#This Row],[Site Name]],LocationsKey[Site Name],LocationsKey[Town])</f>
        <v>#VALUE!</v>
      </c>
      <c r="J1243" t="str">
        <f>_xlfn.XLOOKUP(AllData[[#This Row],[Site Name]],LocationsKey[Site Name], LocationsKey[Waterway])</f>
        <v>Carrant</v>
      </c>
      <c r="K1243" t="s">
        <v>1064</v>
      </c>
      <c r="L1243">
        <v>51.999809999999997</v>
      </c>
      <c r="M1243">
        <v>-2.1410680000000002</v>
      </c>
      <c r="N1243" t="s">
        <v>25</v>
      </c>
      <c r="O1243">
        <v>662</v>
      </c>
      <c r="P1243">
        <v>17.8</v>
      </c>
      <c r="Q1243">
        <v>5</v>
      </c>
      <c r="R1243" s="107" t="str">
        <f>IF(AllData[[#This Row],[Nitrate (PPM)]]&gt;2, "Very high", IF(AllData[[#This Row],[Nitrate (PPM)]]&gt;1, "High", IF(AllData[[#This Row],[Nitrate (PPM)]]&gt;0.5, "Some evidence", IF(AllData[[#This Row],[Nitrate (PPM)]]&gt;=0, "No evidence"))))</f>
        <v>Very high</v>
      </c>
      <c r="S1243" s="4">
        <v>0.71</v>
      </c>
      <c r="T1243" s="7" t="str">
        <f>IF(AllData[[#This Row],[Phosphate (PPM)]]&gt;0.5, "Very high", IF(AllData[[#This Row],[Phosphate (PPM)]]&gt;0.1, "High", IF(AllData[[#This Row],[Phosphate (PPM)]]&gt;0.05, "Some evidence", IF(AllData[[#This Row],[Phosphate (PPM)]]&lt;=0.05, "No Evidence", ""))))</f>
        <v>Very high</v>
      </c>
      <c r="U1243">
        <v>0</v>
      </c>
    </row>
    <row r="1244" spans="1:22" x14ac:dyDescent="0.35">
      <c r="A1244" t="s">
        <v>1659</v>
      </c>
      <c r="B1244" s="143">
        <v>45490</v>
      </c>
      <c r="C1244" s="2" t="str" cm="1">
        <f t="array" ref="C12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4">
        <f>YEAR(AllData[[#This Row],[Date]])</f>
        <v>2024</v>
      </c>
      <c r="E1244" s="1">
        <v>0.78055555555555556</v>
      </c>
      <c r="F1244" t="str">
        <f>IF(AND(AllData[[#This Row],[Time]]&lt;0.5, AllData[[#This Row],[Time]]&gt;0.17)=TRUE, "Morning", IF(AND(AllData[[#This Row],[Time]]&lt;0.75, AllData[[#This Row],[Time]]&gt;=0.5)=TRUE, "Afternoon", IF(AND(AllData[[#This Row],[Time]]&lt;1, AllData[[#This Row],[Time]]&gt;=0.75)=TRUE, "Evening", "Night")))</f>
        <v>Evening</v>
      </c>
      <c r="G1244" t="str">
        <f>_xlfn.XLOOKUP(AllData[[#This Row],[Location Name]], Locations[Location Name],Locations[Group As])</f>
        <v>Bredon Marina</v>
      </c>
      <c r="H1244" t="e" vm="4">
        <f>_xlfn.XLOOKUP(AllData[[#This Row],[Site Name]],LocationsKey[Site Name],LocationsKey[District])</f>
        <v>#VALUE!</v>
      </c>
      <c r="I1244" t="e" vm="11">
        <f>_xlfn.XLOOKUP(AllData[[#This Row],[Site Name]],LocationsKey[Site Name],LocationsKey[Town])</f>
        <v>#VALUE!</v>
      </c>
      <c r="J1244" t="str">
        <f>_xlfn.XLOOKUP(AllData[[#This Row],[Site Name]],LocationsKey[Site Name], LocationsKey[Waterway])</f>
        <v>Avon</v>
      </c>
      <c r="K1244" t="s">
        <v>1661</v>
      </c>
      <c r="L1244">
        <v>52.033441000000003</v>
      </c>
      <c r="M1244">
        <v>-2.1166589999999998</v>
      </c>
      <c r="N1244" t="s">
        <v>31</v>
      </c>
      <c r="O1244">
        <v>829</v>
      </c>
      <c r="P1244">
        <v>20</v>
      </c>
      <c r="Q1244">
        <v>1</v>
      </c>
      <c r="R1244" s="107" t="str">
        <f>IF(AllData[[#This Row],[Nitrate (PPM)]]&gt;2, "Very high", IF(AllData[[#This Row],[Nitrate (PPM)]]&gt;1, "High", IF(AllData[[#This Row],[Nitrate (PPM)]]&gt;0.5, "Some evidence", IF(AllData[[#This Row],[Nitrate (PPM)]]&gt;=0, "No evidence"))))</f>
        <v>Some evidence</v>
      </c>
      <c r="S1244" s="4">
        <v>0.83</v>
      </c>
      <c r="T1244" s="7" t="str">
        <f>IF(AllData[[#This Row],[Phosphate (PPM)]]&gt;0.5, "Very high", IF(AllData[[#This Row],[Phosphate (PPM)]]&gt;0.1, "High", IF(AllData[[#This Row],[Phosphate (PPM)]]&gt;0.05, "Some evidence", IF(AllData[[#This Row],[Phosphate (PPM)]]&lt;=0.05, "No Evidence", ""))))</f>
        <v>Very high</v>
      </c>
      <c r="U1244">
        <v>0</v>
      </c>
    </row>
    <row r="1245" spans="1:22" x14ac:dyDescent="0.35">
      <c r="A1245" t="s">
        <v>1654</v>
      </c>
      <c r="B1245" s="143">
        <v>45489</v>
      </c>
      <c r="C1245" s="2" t="str" cm="1">
        <f t="array" ref="C12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5">
        <f>YEAR(AllData[[#This Row],[Date]])</f>
        <v>2024</v>
      </c>
      <c r="E1245" s="1">
        <v>0.60486111111111107</v>
      </c>
      <c r="F1245" t="str">
        <f>IF(AND(AllData[[#This Row],[Time]]&lt;0.5, AllData[[#This Row],[Time]]&gt;0.17)=TRUE, "Morning", IF(AND(AllData[[#This Row],[Time]]&lt;0.75, AllData[[#This Row],[Time]]&gt;=0.5)=TRUE, "Afternoon", IF(AND(AllData[[#This Row],[Time]]&lt;1, AllData[[#This Row],[Time]]&gt;=0.75)=TRUE, "Evening", "Night")))</f>
        <v>Afternoon</v>
      </c>
      <c r="G1245" t="str">
        <f>_xlfn.XLOOKUP(AllData[[#This Row],[Location Name]], Locations[Location Name],Locations[Group As])</f>
        <v>Carrant M5 Bridge</v>
      </c>
      <c r="H1245" t="e" vm="4">
        <f>_xlfn.XLOOKUP(AllData[[#This Row],[Site Name]],LocationsKey[Site Name],LocationsKey[District])</f>
        <v>#VALUE!</v>
      </c>
      <c r="I1245" t="e" vm="4">
        <f>_xlfn.XLOOKUP(AllData[[#This Row],[Site Name]],LocationsKey[Site Name],LocationsKey[Town])</f>
        <v>#VALUE!</v>
      </c>
      <c r="J1245" t="str">
        <f>_xlfn.XLOOKUP(AllData[[#This Row],[Site Name]],LocationsKey[Site Name], LocationsKey[Waterway])</f>
        <v>Carrant</v>
      </c>
      <c r="K1245" t="s">
        <v>1066</v>
      </c>
      <c r="L1245">
        <v>52.011735000000002</v>
      </c>
      <c r="M1245">
        <v>-2.1203240000000001</v>
      </c>
      <c r="N1245" t="s">
        <v>25</v>
      </c>
      <c r="O1245">
        <v>742</v>
      </c>
      <c r="P1245">
        <v>17.2</v>
      </c>
      <c r="Q1245">
        <v>7</v>
      </c>
      <c r="R1245" s="107" t="str">
        <f>IF(AllData[[#This Row],[Nitrate (PPM)]]&gt;2, "Very high", IF(AllData[[#This Row],[Nitrate (PPM)]]&gt;1, "High", IF(AllData[[#This Row],[Nitrate (PPM)]]&gt;0.5, "Some evidence", IF(AllData[[#This Row],[Nitrate (PPM)]]&gt;=0, "No evidence"))))</f>
        <v>Very high</v>
      </c>
      <c r="S1245" s="4">
        <v>0.88</v>
      </c>
      <c r="T1245" s="7" t="str">
        <f>IF(AllData[[#This Row],[Phosphate (PPM)]]&gt;0.5, "Very high", IF(AllData[[#This Row],[Phosphate (PPM)]]&gt;0.1, "High", IF(AllData[[#This Row],[Phosphate (PPM)]]&gt;0.05, "Some evidence", IF(AllData[[#This Row],[Phosphate (PPM)]]&lt;=0.05, "No Evidence", ""))))</f>
        <v>Very high</v>
      </c>
      <c r="U1245">
        <v>0</v>
      </c>
    </row>
    <row r="1246" spans="1:22" x14ac:dyDescent="0.35">
      <c r="A1246" t="s">
        <v>1655</v>
      </c>
      <c r="B1246" s="143">
        <v>45489</v>
      </c>
      <c r="C1246" s="2" t="str" cm="1">
        <f t="array" ref="C12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6">
        <f>YEAR(AllData[[#This Row],[Date]])</f>
        <v>2024</v>
      </c>
      <c r="E1246" s="1">
        <v>0.5</v>
      </c>
      <c r="F1246" t="str">
        <f>IF(AND(AllData[[#This Row],[Time]]&lt;0.5, AllData[[#This Row],[Time]]&gt;0.17)=TRUE, "Morning", IF(AND(AllData[[#This Row],[Time]]&lt;0.75, AllData[[#This Row],[Time]]&gt;=0.5)=TRUE, "Afternoon", IF(AND(AllData[[#This Row],[Time]]&lt;1, AllData[[#This Row],[Time]]&gt;=0.75)=TRUE, "Evening", "Night")))</f>
        <v>Afternoon</v>
      </c>
      <c r="G1246" t="str">
        <f>_xlfn.XLOOKUP(AllData[[#This Row],[Location Name]], Locations[Location Name],Locations[Group As])</f>
        <v>Walcot Lane, Bow Brook Ford</v>
      </c>
      <c r="H1246" t="e" vm="6">
        <f>_xlfn.XLOOKUP(AllData[[#This Row],[Site Name]],LocationsKey[Site Name],LocationsKey[District])</f>
        <v>#VALUE!</v>
      </c>
      <c r="I1246" t="e" vm="7">
        <f>_xlfn.XLOOKUP(AllData[[#This Row],[Site Name]],LocationsKey[Site Name],LocationsKey[Town])</f>
        <v>#VALUE!</v>
      </c>
      <c r="J1246" t="str">
        <f>_xlfn.XLOOKUP(AllData[[#This Row],[Site Name]],LocationsKey[Site Name], LocationsKey[Waterway])</f>
        <v>Bow Brook</v>
      </c>
      <c r="K1246" t="s">
        <v>775</v>
      </c>
      <c r="L1246">
        <v>52.130471999999997</v>
      </c>
      <c r="M1246">
        <v>-2.0785719999999999</v>
      </c>
      <c r="N1246" t="s">
        <v>25</v>
      </c>
      <c r="O1246">
        <v>1210</v>
      </c>
      <c r="P1246">
        <v>16.8</v>
      </c>
      <c r="Q1246">
        <v>5</v>
      </c>
      <c r="R1246" s="107" t="str">
        <f>IF(AllData[[#This Row],[Nitrate (PPM)]]&gt;2, "Very high", IF(AllData[[#This Row],[Nitrate (PPM)]]&gt;1, "High", IF(AllData[[#This Row],[Nitrate (PPM)]]&gt;0.5, "Some evidence", IF(AllData[[#This Row],[Nitrate (PPM)]]&gt;=0, "No evidence"))))</f>
        <v>Very high</v>
      </c>
      <c r="S1246">
        <v>1.65</v>
      </c>
      <c r="T1246" s="7" t="str">
        <f>IF(AllData[[#This Row],[Phosphate (PPM)]]&gt;0.5, "Very high", IF(AllData[[#This Row],[Phosphate (PPM)]]&gt;0.1, "High", IF(AllData[[#This Row],[Phosphate (PPM)]]&gt;0.05, "Some evidence", IF(AllData[[#This Row],[Phosphate (PPM)]]&lt;=0.05, "No Evidence", ""))))</f>
        <v>Very high</v>
      </c>
      <c r="U1246">
        <v>0.2</v>
      </c>
      <c r="V1246" t="s">
        <v>1656</v>
      </c>
    </row>
    <row r="1247" spans="1:22" x14ac:dyDescent="0.35">
      <c r="A1247" t="s">
        <v>1653</v>
      </c>
      <c r="B1247" s="143">
        <v>45488</v>
      </c>
      <c r="C1247" s="2" t="str" cm="1">
        <f t="array" ref="C12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7">
        <f>YEAR(AllData[[#This Row],[Date]])</f>
        <v>2024</v>
      </c>
      <c r="E1247" s="1">
        <v>0.54513888888888884</v>
      </c>
      <c r="F1247" t="str">
        <f>IF(AND(AllData[[#This Row],[Time]]&lt;0.5, AllData[[#This Row],[Time]]&gt;0.17)=TRUE, "Morning", IF(AND(AllData[[#This Row],[Time]]&lt;0.75, AllData[[#This Row],[Time]]&gt;=0.5)=TRUE, "Afternoon", IF(AND(AllData[[#This Row],[Time]]&lt;1, AllData[[#This Row],[Time]]&gt;=0.75)=TRUE, "Evening", "Night")))</f>
        <v>Afternoon</v>
      </c>
      <c r="G1247" t="str">
        <f>_xlfn.XLOOKUP(AllData[[#This Row],[Location Name]], Locations[Location Name],Locations[Group As])</f>
        <v>Chipping Campden Sewage Works</v>
      </c>
      <c r="H1247" t="e" vm="9">
        <f>_xlfn.XLOOKUP(AllData[[#This Row],[Site Name]],LocationsKey[Site Name],LocationsKey[District])</f>
        <v>#VALUE!</v>
      </c>
      <c r="I1247" t="e" vm="10">
        <f>_xlfn.XLOOKUP(AllData[[#This Row],[Site Name]],LocationsKey[Site Name],LocationsKey[Town])</f>
        <v>#VALUE!</v>
      </c>
      <c r="J1247" t="str">
        <f>_xlfn.XLOOKUP(AllData[[#This Row],[Site Name]],LocationsKey[Site Name], LocationsKey[Waterway])</f>
        <v>Cam Brook</v>
      </c>
      <c r="K1247" t="s">
        <v>1570</v>
      </c>
      <c r="N1247" t="s">
        <v>31</v>
      </c>
      <c r="O1247">
        <v>689</v>
      </c>
      <c r="P1247">
        <v>15.7</v>
      </c>
      <c r="Q1247">
        <v>5</v>
      </c>
      <c r="R1247" s="107" t="str">
        <f>IF(AllData[[#This Row],[Nitrate (PPM)]]&gt;2, "Very high", IF(AllData[[#This Row],[Nitrate (PPM)]]&gt;1, "High", IF(AllData[[#This Row],[Nitrate (PPM)]]&gt;0.5, "Some evidence", IF(AllData[[#This Row],[Nitrate (PPM)]]&gt;=0, "No evidence"))))</f>
        <v>Very high</v>
      </c>
      <c r="S1247" s="4">
        <v>0.33</v>
      </c>
      <c r="T1247" s="7" t="str">
        <f>IF(AllData[[#This Row],[Phosphate (PPM)]]&gt;0.5, "Very high", IF(AllData[[#This Row],[Phosphate (PPM)]]&gt;0.1, "High", IF(AllData[[#This Row],[Phosphate (PPM)]]&gt;0.05, "Some evidence", IF(AllData[[#This Row],[Phosphate (PPM)]]&lt;=0.05, "No Evidence", ""))))</f>
        <v>High</v>
      </c>
      <c r="U1247">
        <v>0.17</v>
      </c>
    </row>
    <row r="1248" spans="1:22" x14ac:dyDescent="0.35">
      <c r="A1248" t="s">
        <v>1652</v>
      </c>
      <c r="B1248" s="143">
        <v>45488</v>
      </c>
      <c r="C1248" s="2" t="str" cm="1">
        <f t="array" ref="C12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8">
        <f>YEAR(AllData[[#This Row],[Date]])</f>
        <v>2024</v>
      </c>
      <c r="E1248" s="1">
        <v>0.28472222222222221</v>
      </c>
      <c r="F1248" t="str">
        <f>IF(AND(AllData[[#This Row],[Time]]&lt;0.5, AllData[[#This Row],[Time]]&gt;0.17)=TRUE, "Morning", IF(AND(AllData[[#This Row],[Time]]&lt;0.75, AllData[[#This Row],[Time]]&gt;=0.5)=TRUE, "Afternoon", IF(AND(AllData[[#This Row],[Time]]&lt;1, AllData[[#This Row],[Time]]&gt;=0.75)=TRUE, "Evening", "Night")))</f>
        <v>Morning</v>
      </c>
      <c r="G1248" t="str">
        <f>_xlfn.XLOOKUP(AllData[[#This Row],[Location Name]], Locations[Location Name],Locations[Group As])</f>
        <v>Chipping Campden Lady J Gateway</v>
      </c>
      <c r="H1248" t="e" vm="9">
        <f>_xlfn.XLOOKUP(AllData[[#This Row],[Site Name]],LocationsKey[Site Name],LocationsKey[District])</f>
        <v>#VALUE!</v>
      </c>
      <c r="I1248" t="e" vm="10">
        <f>_xlfn.XLOOKUP(AllData[[#This Row],[Site Name]],LocationsKey[Site Name],LocationsKey[Town])</f>
        <v>#VALUE!</v>
      </c>
      <c r="J1248" t="str">
        <f>_xlfn.XLOOKUP(AllData[[#This Row],[Site Name]],LocationsKey[Site Name], LocationsKey[Waterway])</f>
        <v>Cam Brook</v>
      </c>
      <c r="K1248" t="s">
        <v>1573</v>
      </c>
      <c r="N1248" t="s">
        <v>68</v>
      </c>
      <c r="O1248">
        <v>524</v>
      </c>
      <c r="P1248">
        <v>15.3</v>
      </c>
      <c r="Q1248">
        <v>5</v>
      </c>
      <c r="R1248" s="107" t="str">
        <f>IF(AllData[[#This Row],[Nitrate (PPM)]]&gt;2, "Very high", IF(AllData[[#This Row],[Nitrate (PPM)]]&gt;1, "High", IF(AllData[[#This Row],[Nitrate (PPM)]]&gt;0.5, "Some evidence", IF(AllData[[#This Row],[Nitrate (PPM)]]&gt;=0, "No evidence"))))</f>
        <v>Very high</v>
      </c>
      <c r="S1248" s="4">
        <v>0.04</v>
      </c>
      <c r="T1248" s="7" t="str">
        <f>IF(AllData[[#This Row],[Phosphate (PPM)]]&gt;0.5, "Very high", IF(AllData[[#This Row],[Phosphate (PPM)]]&gt;0.1, "High", IF(AllData[[#This Row],[Phosphate (PPM)]]&gt;0.05, "Some evidence", IF(AllData[[#This Row],[Phosphate (PPM)]]&lt;=0.05, "No Evidence", ""))))</f>
        <v>No Evidence</v>
      </c>
      <c r="U1248">
        <v>0.09</v>
      </c>
    </row>
    <row r="1249" spans="1:22" x14ac:dyDescent="0.35">
      <c r="A1249" t="s">
        <v>1648</v>
      </c>
      <c r="B1249" s="143">
        <v>45487</v>
      </c>
      <c r="C1249" s="2" t="str" cm="1">
        <f t="array" ref="C12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49">
        <f>YEAR(AllData[[#This Row],[Date]])</f>
        <v>2024</v>
      </c>
      <c r="E1249" s="1">
        <v>0.41666666666666669</v>
      </c>
      <c r="F1249" t="str">
        <f>IF(AND(AllData[[#This Row],[Time]]&lt;0.5, AllData[[#This Row],[Time]]&gt;0.17)=TRUE, "Morning", IF(AND(AllData[[#This Row],[Time]]&lt;0.75, AllData[[#This Row],[Time]]&gt;=0.5)=TRUE, "Afternoon", IF(AND(AllData[[#This Row],[Time]]&lt;1, AllData[[#This Row],[Time]]&gt;=0.75)=TRUE, "Evening", "Night")))</f>
        <v>Morning</v>
      </c>
      <c r="G1249" t="str">
        <f>_xlfn.XLOOKUP(AllData[[#This Row],[Location Name]], Locations[Location Name],Locations[Group As])</f>
        <v>Sherbourne Brook 1</v>
      </c>
      <c r="H1249" t="e" vm="1">
        <f>_xlfn.XLOOKUP(AllData[[#This Row],[Site Name]],LocationsKey[Site Name],LocationsKey[District])</f>
        <v>#VALUE!</v>
      </c>
      <c r="I1249" t="e" vm="23">
        <f>_xlfn.XLOOKUP(AllData[[#This Row],[Site Name]],LocationsKey[Site Name],LocationsKey[Town])</f>
        <v>#VALUE!</v>
      </c>
      <c r="J1249" t="str">
        <f>_xlfn.XLOOKUP(AllData[[#This Row],[Site Name]],LocationsKey[Site Name], LocationsKey[Waterway])</f>
        <v>Sherbourne Brook</v>
      </c>
      <c r="K1249" t="s">
        <v>541</v>
      </c>
      <c r="L1249">
        <v>52.252499999999998</v>
      </c>
      <c r="M1249">
        <v>-1.6685000000000001</v>
      </c>
      <c r="N1249" t="s">
        <v>25</v>
      </c>
      <c r="O1249">
        <v>1120</v>
      </c>
      <c r="P1249">
        <v>16.100000000000001</v>
      </c>
      <c r="Q1249">
        <v>10</v>
      </c>
      <c r="R1249" s="107" t="str">
        <f>IF(AllData[[#This Row],[Nitrate (PPM)]]&gt;2, "Very high", IF(AllData[[#This Row],[Nitrate (PPM)]]&gt;1, "High", IF(AllData[[#This Row],[Nitrate (PPM)]]&gt;0.5, "Some evidence", IF(AllData[[#This Row],[Nitrate (PPM)]]&gt;=0, "No evidence"))))</f>
        <v>Very high</v>
      </c>
      <c r="S1249" s="4">
        <v>0.42</v>
      </c>
      <c r="T1249" s="7" t="str">
        <f>IF(AllData[[#This Row],[Phosphate (PPM)]]&gt;0.5, "Very high", IF(AllData[[#This Row],[Phosphate (PPM)]]&gt;0.1, "High", IF(AllData[[#This Row],[Phosphate (PPM)]]&gt;0.05, "Some evidence", IF(AllData[[#This Row],[Phosphate (PPM)]]&lt;=0.05, "No Evidence", ""))))</f>
        <v>High</v>
      </c>
      <c r="U1249">
        <v>0.15</v>
      </c>
    </row>
    <row r="1250" spans="1:22" x14ac:dyDescent="0.35">
      <c r="A1250" t="s">
        <v>1650</v>
      </c>
      <c r="B1250" s="143">
        <v>45487</v>
      </c>
      <c r="C1250" s="2" t="str" cm="1">
        <f t="array" ref="C12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0">
        <f>YEAR(AllData[[#This Row],[Date]])</f>
        <v>2024</v>
      </c>
      <c r="E1250" s="1">
        <v>0.69861111111111107</v>
      </c>
      <c r="F1250" t="str">
        <f>IF(AND(AllData[[#This Row],[Time]]&lt;0.5, AllData[[#This Row],[Time]]&gt;0.17)=TRUE, "Morning", IF(AND(AllData[[#This Row],[Time]]&lt;0.75, AllData[[#This Row],[Time]]&gt;=0.5)=TRUE, "Afternoon", IF(AND(AllData[[#This Row],[Time]]&lt;1, AllData[[#This Row],[Time]]&gt;=0.75)=TRUE, "Evening", "Night")))</f>
        <v>Afternoon</v>
      </c>
      <c r="G1250" t="str">
        <f>_xlfn.XLOOKUP(AllData[[#This Row],[Location Name]], Locations[Location Name],Locations[Group As])</f>
        <v>Black Bear</v>
      </c>
      <c r="H1250" t="e" vm="4">
        <f>_xlfn.XLOOKUP(AllData[[#This Row],[Site Name]],LocationsKey[Site Name],LocationsKey[District])</f>
        <v>#VALUE!</v>
      </c>
      <c r="I1250" t="e" vm="4">
        <f>_xlfn.XLOOKUP(AllData[[#This Row],[Site Name]],LocationsKey[Site Name],LocationsKey[Town])</f>
        <v>#VALUE!</v>
      </c>
      <c r="J1250" t="str">
        <f>_xlfn.XLOOKUP(AllData[[#This Row],[Site Name]],LocationsKey[Site Name], LocationsKey[Waterway])</f>
        <v>Avon</v>
      </c>
      <c r="K1250" t="s">
        <v>1175</v>
      </c>
      <c r="L1250">
        <v>51.997439999999997</v>
      </c>
      <c r="M1250">
        <v>-2.156317</v>
      </c>
      <c r="N1250" t="s">
        <v>25</v>
      </c>
      <c r="O1250">
        <v>860</v>
      </c>
      <c r="P1250">
        <v>20.5</v>
      </c>
      <c r="Q1250">
        <v>10</v>
      </c>
      <c r="R1250" s="107" t="str">
        <f>IF(AllData[[#This Row],[Nitrate (PPM)]]&gt;2, "Very high", IF(AllData[[#This Row],[Nitrate (PPM)]]&gt;1, "High", IF(AllData[[#This Row],[Nitrate (PPM)]]&gt;0.5, "Some evidence", IF(AllData[[#This Row],[Nitrate (PPM)]]&gt;=0, "No evidence"))))</f>
        <v>Very high</v>
      </c>
      <c r="S1250" s="4">
        <v>0.46</v>
      </c>
      <c r="T1250" s="7" t="str">
        <f>IF(AllData[[#This Row],[Phosphate (PPM)]]&gt;0.5, "Very high", IF(AllData[[#This Row],[Phosphate (PPM)]]&gt;0.1, "High", IF(AllData[[#This Row],[Phosphate (PPM)]]&gt;0.05, "Some evidence", IF(AllData[[#This Row],[Phosphate (PPM)]]&lt;=0.05, "No Evidence", ""))))</f>
        <v>High</v>
      </c>
      <c r="U1250">
        <v>0</v>
      </c>
    </row>
    <row r="1251" spans="1:22" x14ac:dyDescent="0.35">
      <c r="A1251" t="s">
        <v>1651</v>
      </c>
      <c r="B1251" s="143">
        <v>45487</v>
      </c>
      <c r="C1251" s="2" t="str" cm="1">
        <f t="array" ref="C12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1">
        <f>YEAR(AllData[[#This Row],[Date]])</f>
        <v>2024</v>
      </c>
      <c r="E1251" s="1">
        <v>0.58333333333333337</v>
      </c>
      <c r="F1251" t="str">
        <f>IF(AND(AllData[[#This Row],[Time]]&lt;0.5, AllData[[#This Row],[Time]]&gt;0.17)=TRUE, "Morning", IF(AND(AllData[[#This Row],[Time]]&lt;0.75, AllData[[#This Row],[Time]]&gt;=0.5)=TRUE, "Afternoon", IF(AND(AllData[[#This Row],[Time]]&lt;1, AllData[[#This Row],[Time]]&gt;=0.75)=TRUE, "Evening", "Night")))</f>
        <v>Afternoon</v>
      </c>
      <c r="G1251" t="str">
        <f>_xlfn.XLOOKUP(AllData[[#This Row],[Location Name]], Locations[Location Name],Locations[Group As])</f>
        <v>Clifford Chambers Mill Bridge</v>
      </c>
      <c r="H1251" t="e" vm="1">
        <f>_xlfn.XLOOKUP(AllData[[#This Row],[Site Name]],LocationsKey[Site Name],LocationsKey[District])</f>
        <v>#VALUE!</v>
      </c>
      <c r="I1251" t="e" vm="22">
        <f>_xlfn.XLOOKUP(AllData[[#This Row],[Site Name]],LocationsKey[Site Name],LocationsKey[Town])</f>
        <v>#VALUE!</v>
      </c>
      <c r="J1251" t="str">
        <f>_xlfn.XLOOKUP(AllData[[#This Row],[Site Name]],LocationsKey[Site Name], LocationsKey[Waterway])</f>
        <v>Stour</v>
      </c>
      <c r="K1251" t="s">
        <v>266</v>
      </c>
      <c r="L1251">
        <v>52.166370000000001</v>
      </c>
      <c r="M1251">
        <v>-1.708032</v>
      </c>
      <c r="N1251" t="s">
        <v>68</v>
      </c>
      <c r="O1251">
        <v>668</v>
      </c>
      <c r="P1251">
        <v>19.2</v>
      </c>
      <c r="Q1251">
        <v>10</v>
      </c>
      <c r="R1251" s="107" t="str">
        <f>IF(AllData[[#This Row],[Nitrate (PPM)]]&gt;2, "Very high", IF(AllData[[#This Row],[Nitrate (PPM)]]&gt;1, "High", IF(AllData[[#This Row],[Nitrate (PPM)]]&gt;0.5, "Some evidence", IF(AllData[[#This Row],[Nitrate (PPM)]]&gt;=0, "No evidence"))))</f>
        <v>Very high</v>
      </c>
      <c r="S1251">
        <v>0.55000000000000004</v>
      </c>
      <c r="T1251" s="7" t="str">
        <f>IF(AllData[[#This Row],[Phosphate (PPM)]]&gt;0.5, "Very high", IF(AllData[[#This Row],[Phosphate (PPM)]]&gt;0.1, "High", IF(AllData[[#This Row],[Phosphate (PPM)]]&gt;0.05, "Some evidence", IF(AllData[[#This Row],[Phosphate (PPM)]]&lt;=0.05, "No Evidence", ""))))</f>
        <v>Very high</v>
      </c>
      <c r="U1251">
        <v>0.5</v>
      </c>
    </row>
    <row r="1252" spans="1:22" x14ac:dyDescent="0.35">
      <c r="A1252" t="s">
        <v>1649</v>
      </c>
      <c r="B1252" s="143">
        <v>45487</v>
      </c>
      <c r="C1252" s="2" t="str" cm="1">
        <f t="array" ref="C12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2">
        <f>YEAR(AllData[[#This Row],[Date]])</f>
        <v>2024</v>
      </c>
      <c r="E1252" s="1">
        <v>0.42708333333333331</v>
      </c>
      <c r="F1252" t="str">
        <f>IF(AND(AllData[[#This Row],[Time]]&lt;0.5, AllData[[#This Row],[Time]]&gt;0.17)=TRUE, "Morning", IF(AND(AllData[[#This Row],[Time]]&lt;0.75, AllData[[#This Row],[Time]]&gt;=0.5)=TRUE, "Afternoon", IF(AND(AllData[[#This Row],[Time]]&lt;1, AllData[[#This Row],[Time]]&gt;=0.75)=TRUE, "Evening", "Night")))</f>
        <v>Morning</v>
      </c>
      <c r="G1252" t="str">
        <f>_xlfn.XLOOKUP(AllData[[#This Row],[Location Name]], Locations[Location Name],Locations[Group As])</f>
        <v>Bell Brook 1</v>
      </c>
      <c r="H1252" t="e" vm="1">
        <f>_xlfn.XLOOKUP(AllData[[#This Row],[Site Name]],LocationsKey[Site Name],LocationsKey[District])</f>
        <v>#VALUE!</v>
      </c>
      <c r="I1252" t="e" vm="19">
        <f>_xlfn.XLOOKUP(AllData[[#This Row],[Site Name]],LocationsKey[Site Name],LocationsKey[Town])</f>
        <v>#VALUE!</v>
      </c>
      <c r="J1252" t="str">
        <f>_xlfn.XLOOKUP(AllData[[#This Row],[Site Name]],LocationsKey[Site Name], LocationsKey[Waterway])</f>
        <v>Bell Brook</v>
      </c>
      <c r="K1252" t="s">
        <v>538</v>
      </c>
      <c r="L1252">
        <v>52.244900000000001</v>
      </c>
      <c r="M1252">
        <v>-1.6617</v>
      </c>
      <c r="N1252" t="s">
        <v>25</v>
      </c>
      <c r="O1252">
        <v>878</v>
      </c>
      <c r="P1252">
        <v>17.8</v>
      </c>
      <c r="Q1252">
        <v>7</v>
      </c>
      <c r="R1252" s="107" t="str">
        <f>IF(AllData[[#This Row],[Nitrate (PPM)]]&gt;2, "Very high", IF(AllData[[#This Row],[Nitrate (PPM)]]&gt;1, "High", IF(AllData[[#This Row],[Nitrate (PPM)]]&gt;0.5, "Some evidence", IF(AllData[[#This Row],[Nitrate (PPM)]]&gt;=0, "No evidence"))))</f>
        <v>Very high</v>
      </c>
      <c r="S1252" s="4">
        <v>0.53</v>
      </c>
      <c r="T1252" s="7" t="str">
        <f>IF(AllData[[#This Row],[Phosphate (PPM)]]&gt;0.5, "Very high", IF(AllData[[#This Row],[Phosphate (PPM)]]&gt;0.1, "High", IF(AllData[[#This Row],[Phosphate (PPM)]]&gt;0.05, "Some evidence", IF(AllData[[#This Row],[Phosphate (PPM)]]&lt;=0.05, "No Evidence", ""))))</f>
        <v>Very high</v>
      </c>
      <c r="U1252">
        <v>0.15</v>
      </c>
    </row>
    <row r="1253" spans="1:22" x14ac:dyDescent="0.35">
      <c r="A1253" t="s">
        <v>1643</v>
      </c>
      <c r="B1253" s="143">
        <v>45486</v>
      </c>
      <c r="C1253" s="2" t="str" cm="1">
        <f t="array" ref="C12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3">
        <f>YEAR(AllData[[#This Row],[Date]])</f>
        <v>2024</v>
      </c>
      <c r="E1253" s="1">
        <v>0.50624999999999998</v>
      </c>
      <c r="F1253" t="str">
        <f>IF(AND(AllData[[#This Row],[Time]]&lt;0.5, AllData[[#This Row],[Time]]&gt;0.17)=TRUE, "Morning", IF(AND(AllData[[#This Row],[Time]]&lt;0.75, AllData[[#This Row],[Time]]&gt;=0.5)=TRUE, "Afternoon", IF(AND(AllData[[#This Row],[Time]]&lt;1, AllData[[#This Row],[Time]]&gt;=0.75)=TRUE, "Evening", "Night")))</f>
        <v>Afternoon</v>
      </c>
      <c r="G1253" t="str">
        <f>_xlfn.XLOOKUP(AllData[[#This Row],[Location Name]], Locations[Location Name],Locations[Group As])</f>
        <v>Lower Lode</v>
      </c>
      <c r="H1253" t="e" vm="4">
        <f>_xlfn.XLOOKUP(AllData[[#This Row],[Site Name]],LocationsKey[Site Name],LocationsKey[District])</f>
        <v>#VALUE!</v>
      </c>
      <c r="I1253" t="e" vm="4">
        <f>_xlfn.XLOOKUP(AllData[[#This Row],[Site Name]],LocationsKey[Site Name],LocationsKey[Town])</f>
        <v>#VALUE!</v>
      </c>
      <c r="J1253" t="str">
        <f>_xlfn.XLOOKUP(AllData[[#This Row],[Site Name]],LocationsKey[Site Name], LocationsKey[Waterway])</f>
        <v>Avon</v>
      </c>
      <c r="K1253" t="s">
        <v>595</v>
      </c>
      <c r="L1253">
        <v>51.98507</v>
      </c>
      <c r="M1253">
        <v>-2.1742189999999999</v>
      </c>
      <c r="N1253" t="s">
        <v>31</v>
      </c>
      <c r="O1253">
        <v>8740</v>
      </c>
      <c r="P1253">
        <v>18.7</v>
      </c>
      <c r="Q1253">
        <v>10</v>
      </c>
      <c r="R1253" s="107" t="str">
        <f>IF(AllData[[#This Row],[Nitrate (PPM)]]&gt;2, "Very high", IF(AllData[[#This Row],[Nitrate (PPM)]]&gt;1, "High", IF(AllData[[#This Row],[Nitrate (PPM)]]&gt;0.5, "Some evidence", IF(AllData[[#This Row],[Nitrate (PPM)]]&gt;=0, "No evidence"))))</f>
        <v>Very high</v>
      </c>
      <c r="S1253" s="4">
        <v>2.19</v>
      </c>
      <c r="T1253" s="7" t="str">
        <f>IF(AllData[[#This Row],[Phosphate (PPM)]]&gt;0.5, "Very high", IF(AllData[[#This Row],[Phosphate (PPM)]]&gt;0.1, "High", IF(AllData[[#This Row],[Phosphate (PPM)]]&gt;0.05, "Some evidence", IF(AllData[[#This Row],[Phosphate (PPM)]]&lt;=0.05, "No Evidence", ""))))</f>
        <v>Very high</v>
      </c>
      <c r="U1253">
        <v>0</v>
      </c>
      <c r="V1253" t="s">
        <v>1644</v>
      </c>
    </row>
    <row r="1254" spans="1:22" x14ac:dyDescent="0.35">
      <c r="A1254" t="s">
        <v>1641</v>
      </c>
      <c r="B1254" s="143">
        <v>45486</v>
      </c>
      <c r="C1254" s="2" t="str" cm="1">
        <f t="array" ref="C12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4">
        <f>YEAR(AllData[[#This Row],[Date]])</f>
        <v>2024</v>
      </c>
      <c r="E1254" s="1">
        <v>0.4375</v>
      </c>
      <c r="F1254" t="str">
        <f>IF(AND(AllData[[#This Row],[Time]]&lt;0.5, AllData[[#This Row],[Time]]&gt;0.17)=TRUE, "Morning", IF(AND(AllData[[#This Row],[Time]]&lt;0.75, AllData[[#This Row],[Time]]&gt;=0.5)=TRUE, "Afternoon", IF(AND(AllData[[#This Row],[Time]]&lt;1, AllData[[#This Row],[Time]]&gt;=0.75)=TRUE, "Evening", "Night")))</f>
        <v>Morning</v>
      </c>
      <c r="G1254" t="str">
        <f>_xlfn.XLOOKUP(AllData[[#This Row],[Location Name]], Locations[Location Name],Locations[Group As])</f>
        <v>Piddle Brook Wyre Piddle Bridge</v>
      </c>
      <c r="H1254" t="e" vm="6">
        <f>_xlfn.XLOOKUP(AllData[[#This Row],[Site Name]],LocationsKey[Site Name],LocationsKey[District])</f>
        <v>#VALUE!</v>
      </c>
      <c r="I1254" t="e" vm="13">
        <f>_xlfn.XLOOKUP(AllData[[#This Row],[Site Name]],LocationsKey[Site Name],LocationsKey[Town])</f>
        <v>#VALUE!</v>
      </c>
      <c r="J1254" t="str">
        <f>_xlfn.XLOOKUP(AllData[[#This Row],[Site Name]],LocationsKey[Site Name], LocationsKey[Waterway])</f>
        <v>Piddle Brook</v>
      </c>
      <c r="K1254" t="s">
        <v>787</v>
      </c>
      <c r="L1254">
        <v>52.126404000000001</v>
      </c>
      <c r="M1254">
        <v>-2.0565410000000002</v>
      </c>
      <c r="N1254" t="s">
        <v>25</v>
      </c>
      <c r="O1254">
        <v>1480</v>
      </c>
      <c r="P1254">
        <v>15.7</v>
      </c>
      <c r="Q1254">
        <v>10</v>
      </c>
      <c r="R1254" s="107" t="str">
        <f>IF(AllData[[#This Row],[Nitrate (PPM)]]&gt;2, "Very high", IF(AllData[[#This Row],[Nitrate (PPM)]]&gt;1, "High", IF(AllData[[#This Row],[Nitrate (PPM)]]&gt;0.5, "Some evidence", IF(AllData[[#This Row],[Nitrate (PPM)]]&gt;=0, "No evidence"))))</f>
        <v>Very high</v>
      </c>
      <c r="S1254" s="4">
        <v>1.18</v>
      </c>
      <c r="T1254" s="7" t="str">
        <f>IF(AllData[[#This Row],[Phosphate (PPM)]]&gt;0.5, "Very high", IF(AllData[[#This Row],[Phosphate (PPM)]]&gt;0.1, "High", IF(AllData[[#This Row],[Phosphate (PPM)]]&gt;0.05, "Some evidence", IF(AllData[[#This Row],[Phosphate (PPM)]]&lt;=0.05, "No Evidence", ""))))</f>
        <v>Very high</v>
      </c>
      <c r="U1254">
        <v>0.17</v>
      </c>
      <c r="V1254" t="s">
        <v>1642</v>
      </c>
    </row>
    <row r="1255" spans="1:22" x14ac:dyDescent="0.35">
      <c r="A1255" t="s">
        <v>1639</v>
      </c>
      <c r="B1255" s="143">
        <v>45486</v>
      </c>
      <c r="C1255" s="2" t="str" cm="1">
        <f t="array" ref="C12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5">
        <f>YEAR(AllData[[#This Row],[Date]])</f>
        <v>2024</v>
      </c>
      <c r="E1255" s="1">
        <v>0.41666666666666669</v>
      </c>
      <c r="F1255" t="str">
        <f>IF(AND(AllData[[#This Row],[Time]]&lt;0.5, AllData[[#This Row],[Time]]&gt;0.17)=TRUE, "Morning", IF(AND(AllData[[#This Row],[Time]]&lt;0.75, AllData[[#This Row],[Time]]&gt;=0.5)=TRUE, "Afternoon", IF(AND(AllData[[#This Row],[Time]]&lt;1, AllData[[#This Row],[Time]]&gt;=0.75)=TRUE, "Evening", "Night")))</f>
        <v>Morning</v>
      </c>
      <c r="G1255" t="str">
        <f>_xlfn.XLOOKUP(AllData[[#This Row],[Location Name]], Locations[Location Name],Locations[Group As])</f>
        <v>Avon Smiths Meadow Wyre Piddle</v>
      </c>
      <c r="H1255" t="e" vm="6">
        <f>_xlfn.XLOOKUP(AllData[[#This Row],[Site Name]],LocationsKey[Site Name],LocationsKey[District])</f>
        <v>#VALUE!</v>
      </c>
      <c r="I1255" t="e" vm="13">
        <f>_xlfn.XLOOKUP(AllData[[#This Row],[Site Name]],LocationsKey[Site Name],LocationsKey[Town])</f>
        <v>#VALUE!</v>
      </c>
      <c r="J1255" t="str">
        <f>_xlfn.XLOOKUP(AllData[[#This Row],[Site Name]],LocationsKey[Site Name], LocationsKey[Waterway])</f>
        <v>Avon</v>
      </c>
      <c r="K1255" t="s">
        <v>784</v>
      </c>
      <c r="L1255">
        <v>52.122858999999998</v>
      </c>
      <c r="M1255">
        <v>-2.0575389999999998</v>
      </c>
      <c r="N1255" t="s">
        <v>25</v>
      </c>
      <c r="O1255">
        <v>835</v>
      </c>
      <c r="P1255">
        <v>13.8</v>
      </c>
      <c r="Q1255">
        <v>10</v>
      </c>
      <c r="R1255" s="107" t="str">
        <f>IF(AllData[[#This Row],[Nitrate (PPM)]]&gt;2, "Very high", IF(AllData[[#This Row],[Nitrate (PPM)]]&gt;1, "High", IF(AllData[[#This Row],[Nitrate (PPM)]]&gt;0.5, "Some evidence", IF(AllData[[#This Row],[Nitrate (PPM)]]&gt;=0, "No evidence"))))</f>
        <v>Very high</v>
      </c>
      <c r="S1255" s="4">
        <v>0.86</v>
      </c>
      <c r="T1255" s="7" t="str">
        <f>IF(AllData[[#This Row],[Phosphate (PPM)]]&gt;0.5, "Very high", IF(AllData[[#This Row],[Phosphate (PPM)]]&gt;0.1, "High", IF(AllData[[#This Row],[Phosphate (PPM)]]&gt;0.05, "Some evidence", IF(AllData[[#This Row],[Phosphate (PPM)]]&lt;=0.05, "No Evidence", ""))))</f>
        <v>Very high</v>
      </c>
      <c r="U1255">
        <v>0.59</v>
      </c>
      <c r="V1255" t="s">
        <v>1640</v>
      </c>
    </row>
    <row r="1256" spans="1:22" x14ac:dyDescent="0.35">
      <c r="A1256" t="s">
        <v>1645</v>
      </c>
      <c r="B1256" s="143">
        <v>45486</v>
      </c>
      <c r="C1256" s="2" t="str" cm="1">
        <f t="array" ref="C12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6">
        <f>YEAR(AllData[[#This Row],[Date]])</f>
        <v>2024</v>
      </c>
      <c r="E1256" s="1">
        <v>0.52152777777777781</v>
      </c>
      <c r="F1256" t="str">
        <f>IF(AND(AllData[[#This Row],[Time]]&lt;0.5, AllData[[#This Row],[Time]]&gt;0.17)=TRUE, "Morning", IF(AND(AllData[[#This Row],[Time]]&lt;0.75, AllData[[#This Row],[Time]]&gt;=0.5)=TRUE, "Afternoon", IF(AND(AllData[[#This Row],[Time]]&lt;1, AllData[[#This Row],[Time]]&gt;=0.75)=TRUE, "Evening", "Night")))</f>
        <v>Afternoon</v>
      </c>
      <c r="G1256" t="str">
        <f>_xlfn.XLOOKUP(AllData[[#This Row],[Location Name]], Locations[Location Name],Locations[Group As])</f>
        <v>The Ford, Langley</v>
      </c>
      <c r="H1256" t="e" vm="1">
        <f>_xlfn.XLOOKUP(AllData[[#This Row],[Site Name]],LocationsKey[Site Name],LocationsKey[District])</f>
        <v>#VALUE!</v>
      </c>
      <c r="I1256" t="str">
        <f>_xlfn.XLOOKUP(AllData[[#This Row],[Site Name]],LocationsKey[Site Name],LocationsKey[Town])</f>
        <v>Langley</v>
      </c>
      <c r="J1256" t="str">
        <f>_xlfn.XLOOKUP(AllData[[#This Row],[Site Name]],LocationsKey[Site Name], LocationsKey[Waterway])</f>
        <v>Langley Ford</v>
      </c>
      <c r="K1256" t="s">
        <v>561</v>
      </c>
      <c r="L1256">
        <v>52.259816000000001</v>
      </c>
      <c r="M1256">
        <v>-1.7185330000000001</v>
      </c>
      <c r="N1256" t="s">
        <v>31</v>
      </c>
      <c r="O1256">
        <v>847</v>
      </c>
      <c r="P1256">
        <v>14.8</v>
      </c>
      <c r="Q1256">
        <v>5</v>
      </c>
      <c r="R1256" s="107" t="str">
        <f>IF(AllData[[#This Row],[Nitrate (PPM)]]&gt;2, "Very high", IF(AllData[[#This Row],[Nitrate (PPM)]]&gt;1, "High", IF(AllData[[#This Row],[Nitrate (PPM)]]&gt;0.5, "Some evidence", IF(AllData[[#This Row],[Nitrate (PPM)]]&gt;=0, "No evidence"))))</f>
        <v>Very high</v>
      </c>
      <c r="S1256" s="4">
        <v>0.55000000000000004</v>
      </c>
      <c r="T1256" s="7" t="str">
        <f>IF(AllData[[#This Row],[Phosphate (PPM)]]&gt;0.5, "Very high", IF(AllData[[#This Row],[Phosphate (PPM)]]&gt;0.1, "High", IF(AllData[[#This Row],[Phosphate (PPM)]]&gt;0.05, "Some evidence", IF(AllData[[#This Row],[Phosphate (PPM)]]&lt;=0.05, "No Evidence", ""))))</f>
        <v>Very high</v>
      </c>
      <c r="U1256">
        <v>0.1</v>
      </c>
    </row>
    <row r="1257" spans="1:22" x14ac:dyDescent="0.35">
      <c r="A1257" t="s">
        <v>1646</v>
      </c>
      <c r="B1257" s="143">
        <v>45486</v>
      </c>
      <c r="C1257" s="2" t="str" cm="1">
        <f t="array" ref="C12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7">
        <f>YEAR(AllData[[#This Row],[Date]])</f>
        <v>2024</v>
      </c>
      <c r="E1257" s="1">
        <v>0.70277777777777772</v>
      </c>
      <c r="F1257" t="str">
        <f>IF(AND(AllData[[#This Row],[Time]]&lt;0.5, AllData[[#This Row],[Time]]&gt;0.17)=TRUE, "Morning", IF(AND(AllData[[#This Row],[Time]]&lt;0.75, AllData[[#This Row],[Time]]&gt;=0.5)=TRUE, "Afternoon", IF(AND(AllData[[#This Row],[Time]]&lt;1, AllData[[#This Row],[Time]]&gt;=0.75)=TRUE, "Evening", "Night")))</f>
        <v>Afternoon</v>
      </c>
      <c r="G1257" t="str">
        <f>_xlfn.XLOOKUP(AllData[[#This Row],[Location Name]], Locations[Location Name],Locations[Group As])</f>
        <v>Preston Bagot Brook</v>
      </c>
      <c r="H1257" t="e" vm="1">
        <f>_xlfn.XLOOKUP(AllData[[#This Row],[Site Name]],LocationsKey[Site Name],LocationsKey[District])</f>
        <v>#VALUE!</v>
      </c>
      <c r="I1257" t="e" vm="21">
        <f>_xlfn.XLOOKUP(AllData[[#This Row],[Site Name]],LocationsKey[Site Name],LocationsKey[Town])</f>
        <v>#VALUE!</v>
      </c>
      <c r="J1257" t="str">
        <f>_xlfn.XLOOKUP(AllData[[#This Row],[Site Name]],LocationsKey[Site Name], LocationsKey[Waterway])</f>
        <v>Preston Bagot Brook</v>
      </c>
      <c r="K1257" t="s">
        <v>621</v>
      </c>
      <c r="L1257">
        <v>52.286000000000001</v>
      </c>
      <c r="M1257">
        <v>-1.7470000000000001</v>
      </c>
      <c r="N1257" t="s">
        <v>25</v>
      </c>
      <c r="O1257">
        <v>1102</v>
      </c>
      <c r="P1257">
        <v>15.7</v>
      </c>
      <c r="Q1257">
        <v>3</v>
      </c>
      <c r="R1257" s="107" t="str">
        <f>IF(AllData[[#This Row],[Nitrate (PPM)]]&gt;2, "Very high", IF(AllData[[#This Row],[Nitrate (PPM)]]&gt;1, "High", IF(AllData[[#This Row],[Nitrate (PPM)]]&gt;0.5, "Some evidence", IF(AllData[[#This Row],[Nitrate (PPM)]]&gt;=0, "No evidence"))))</f>
        <v>Very high</v>
      </c>
      <c r="S1257">
        <v>0.68</v>
      </c>
      <c r="T1257" s="7" t="str">
        <f>IF(AllData[[#This Row],[Phosphate (PPM)]]&gt;0.5, "Very high", IF(AllData[[#This Row],[Phosphate (PPM)]]&gt;0.1, "High", IF(AllData[[#This Row],[Phosphate (PPM)]]&gt;0.05, "Some evidence", IF(AllData[[#This Row],[Phosphate (PPM)]]&lt;=0.05, "No Evidence", ""))))</f>
        <v>Very high</v>
      </c>
      <c r="U1257">
        <v>1</v>
      </c>
      <c r="V1257" t="s">
        <v>970</v>
      </c>
    </row>
    <row r="1258" spans="1:22" x14ac:dyDescent="0.35">
      <c r="A1258" t="s">
        <v>1647</v>
      </c>
      <c r="B1258" s="143">
        <v>45486</v>
      </c>
      <c r="C1258" s="2" t="str" cm="1">
        <f t="array" ref="C12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8">
        <f>YEAR(AllData[[#This Row],[Date]])</f>
        <v>2024</v>
      </c>
      <c r="E1258" s="1">
        <v>0.70486111111111116</v>
      </c>
      <c r="F1258" t="str">
        <f>IF(AND(AllData[[#This Row],[Time]]&lt;0.5, AllData[[#This Row],[Time]]&gt;0.17)=TRUE, "Morning", IF(AND(AllData[[#This Row],[Time]]&lt;0.75, AllData[[#This Row],[Time]]&gt;=0.5)=TRUE, "Afternoon", IF(AND(AllData[[#This Row],[Time]]&lt;1, AllData[[#This Row],[Time]]&gt;=0.75)=TRUE, "Evening", "Night")))</f>
        <v>Afternoon</v>
      </c>
      <c r="G1258" t="str">
        <f>_xlfn.XLOOKUP(AllData[[#This Row],[Location Name]], Locations[Location Name],Locations[Group As])</f>
        <v>Preston Bagot Canal</v>
      </c>
      <c r="H1258" t="e" vm="1">
        <f>_xlfn.XLOOKUP(AllData[[#This Row],[Site Name]],LocationsKey[Site Name],LocationsKey[District])</f>
        <v>#VALUE!</v>
      </c>
      <c r="I1258" t="e" vm="21">
        <f>_xlfn.XLOOKUP(AllData[[#This Row],[Site Name]],LocationsKey[Site Name],LocationsKey[Town])</f>
        <v>#VALUE!</v>
      </c>
      <c r="J1258" t="str">
        <f>_xlfn.XLOOKUP(AllData[[#This Row],[Site Name]],LocationsKey[Site Name], LocationsKey[Waterway])</f>
        <v>Preston Bagot Canal</v>
      </c>
      <c r="K1258" t="s">
        <v>618</v>
      </c>
      <c r="L1258">
        <v>52.286999999999999</v>
      </c>
      <c r="M1258">
        <v>-1.7470000000000001</v>
      </c>
      <c r="N1258" t="s">
        <v>25</v>
      </c>
      <c r="O1258">
        <v>538</v>
      </c>
      <c r="P1258">
        <v>17.600000000000001</v>
      </c>
      <c r="Q1258">
        <v>0</v>
      </c>
      <c r="R1258" s="107" t="str">
        <f>IF(AllData[[#This Row],[Nitrate (PPM)]]&gt;2, "Very high", IF(AllData[[#This Row],[Nitrate (PPM)]]&gt;1, "High", IF(AllData[[#This Row],[Nitrate (PPM)]]&gt;0.5, "Some evidence", IF(AllData[[#This Row],[Nitrate (PPM)]]&gt;=0, "No evidence"))))</f>
        <v>No evidence</v>
      </c>
      <c r="S1258">
        <v>7.0000000000000007E-2</v>
      </c>
      <c r="T1258" s="7" t="str">
        <f>IF(AllData[[#This Row],[Phosphate (PPM)]]&gt;0.5, "Very high", IF(AllData[[#This Row],[Phosphate (PPM)]]&gt;0.1, "High", IF(AllData[[#This Row],[Phosphate (PPM)]]&gt;0.05, "Some evidence", IF(AllData[[#This Row],[Phosphate (PPM)]]&lt;=0.05, "No Evidence", ""))))</f>
        <v>Some evidence</v>
      </c>
      <c r="U1258">
        <v>1</v>
      </c>
      <c r="V1258" t="s">
        <v>970</v>
      </c>
    </row>
    <row r="1259" spans="1:22" x14ac:dyDescent="0.35">
      <c r="A1259" t="s">
        <v>1636</v>
      </c>
      <c r="B1259" s="143">
        <v>45485</v>
      </c>
      <c r="C1259" s="2" t="str" cm="1">
        <f t="array" ref="C12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59">
        <f>YEAR(AllData[[#This Row],[Date]])</f>
        <v>2024</v>
      </c>
      <c r="E1259" s="1">
        <v>0.76041666666666663</v>
      </c>
      <c r="F1259" t="str">
        <f>IF(AND(AllData[[#This Row],[Time]]&lt;0.5, AllData[[#This Row],[Time]]&gt;0.17)=TRUE, "Morning", IF(AND(AllData[[#This Row],[Time]]&lt;0.75, AllData[[#This Row],[Time]]&gt;=0.5)=TRUE, "Afternoon", IF(AND(AllData[[#This Row],[Time]]&lt;1, AllData[[#This Row],[Time]]&gt;=0.75)=TRUE, "Evening", "Night")))</f>
        <v>Evening</v>
      </c>
      <c r="G1259" t="str">
        <f>_xlfn.XLOOKUP(AllData[[#This Row],[Location Name]], Locations[Location Name],Locations[Group As])</f>
        <v>Carrant Back Lane Beckford</v>
      </c>
      <c r="H1259" t="e" vm="4">
        <f>_xlfn.XLOOKUP(AllData[[#This Row],[Site Name]],LocationsKey[Site Name],LocationsKey[District])</f>
        <v>#VALUE!</v>
      </c>
      <c r="I1259" t="str">
        <f>_xlfn.XLOOKUP(AllData[[#This Row],[Site Name]],LocationsKey[Site Name],LocationsKey[Town])</f>
        <v>Beckford</v>
      </c>
      <c r="J1259" t="str">
        <f>_xlfn.XLOOKUP(AllData[[#This Row],[Site Name]],LocationsKey[Site Name], LocationsKey[Waterway])</f>
        <v>Carrant</v>
      </c>
      <c r="K1259" t="s">
        <v>1535</v>
      </c>
      <c r="L1259">
        <v>52.018495999999999</v>
      </c>
      <c r="M1259">
        <v>-2.0388289999999998</v>
      </c>
      <c r="N1259" t="s">
        <v>68</v>
      </c>
      <c r="O1259">
        <v>772</v>
      </c>
      <c r="P1259">
        <v>16.5</v>
      </c>
      <c r="Q1259">
        <v>6</v>
      </c>
      <c r="R1259" s="107" t="str">
        <f>IF(AllData[[#This Row],[Nitrate (PPM)]]&gt;2, "Very high", IF(AllData[[#This Row],[Nitrate (PPM)]]&gt;1, "High", IF(AllData[[#This Row],[Nitrate (PPM)]]&gt;0.5, "Some evidence", IF(AllData[[#This Row],[Nitrate (PPM)]]&gt;=0, "No evidence"))))</f>
        <v>Very high</v>
      </c>
      <c r="S1259" s="4">
        <v>0.49</v>
      </c>
      <c r="T1259" s="7" t="str">
        <f>IF(AllData[[#This Row],[Phosphate (PPM)]]&gt;0.5, "Very high", IF(AllData[[#This Row],[Phosphate (PPM)]]&gt;0.1, "High", IF(AllData[[#This Row],[Phosphate (PPM)]]&gt;0.05, "Some evidence", IF(AllData[[#This Row],[Phosphate (PPM)]]&lt;=0.05, "No Evidence", ""))))</f>
        <v>High</v>
      </c>
      <c r="U1259">
        <v>0.2</v>
      </c>
    </row>
    <row r="1260" spans="1:22" x14ac:dyDescent="0.35">
      <c r="A1260" t="s">
        <v>1634</v>
      </c>
      <c r="B1260" s="143">
        <v>45485</v>
      </c>
      <c r="C1260" s="2" t="str" cm="1">
        <f t="array" ref="C12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0">
        <f>YEAR(AllData[[#This Row],[Date]])</f>
        <v>2024</v>
      </c>
      <c r="E1260" s="1">
        <v>0.43263888888888891</v>
      </c>
      <c r="F1260" t="str">
        <f>IF(AND(AllData[[#This Row],[Time]]&lt;0.5, AllData[[#This Row],[Time]]&gt;0.17)=TRUE, "Morning", IF(AND(AllData[[#This Row],[Time]]&lt;0.75, AllData[[#This Row],[Time]]&gt;=0.5)=TRUE, "Afternoon", IF(AND(AllData[[#This Row],[Time]]&lt;1, AllData[[#This Row],[Time]]&gt;=0.75)=TRUE, "Evening", "Night")))</f>
        <v>Morning</v>
      </c>
      <c r="G1260" t="str">
        <f>_xlfn.XLOOKUP(AllData[[#This Row],[Location Name]], Locations[Location Name],Locations[Group As])</f>
        <v>Mill Bridge Peopleton</v>
      </c>
      <c r="H1260" t="e" vm="6">
        <f>_xlfn.XLOOKUP(AllData[[#This Row],[Site Name]],LocationsKey[Site Name],LocationsKey[District])</f>
        <v>#VALUE!</v>
      </c>
      <c r="I1260" t="str">
        <f>_xlfn.XLOOKUP(AllData[[#This Row],[Site Name]],LocationsKey[Site Name],LocationsKey[Town])</f>
        <v>Peopleton</v>
      </c>
      <c r="J1260" t="str">
        <f>_xlfn.XLOOKUP(AllData[[#This Row],[Site Name]],LocationsKey[Site Name], LocationsKey[Waterway])</f>
        <v>Bow Brook</v>
      </c>
      <c r="K1260" t="s">
        <v>1539</v>
      </c>
      <c r="L1260">
        <v>52.15175</v>
      </c>
      <c r="M1260">
        <v>-2.0963599999999998</v>
      </c>
      <c r="N1260" t="s">
        <v>31</v>
      </c>
      <c r="O1260">
        <v>1040</v>
      </c>
      <c r="P1260">
        <v>16.5</v>
      </c>
      <c r="Q1260">
        <v>4</v>
      </c>
      <c r="R1260" s="107" t="str">
        <f>IF(AllData[[#This Row],[Nitrate (PPM)]]&gt;2, "Very high", IF(AllData[[#This Row],[Nitrate (PPM)]]&gt;1, "High", IF(AllData[[#This Row],[Nitrate (PPM)]]&gt;0.5, "Some evidence", IF(AllData[[#This Row],[Nitrate (PPM)]]&gt;=0, "No evidence"))))</f>
        <v>Very high</v>
      </c>
      <c r="S1260" s="4">
        <v>1.39</v>
      </c>
      <c r="T1260" s="7" t="str">
        <f>IF(AllData[[#This Row],[Phosphate (PPM)]]&gt;0.5, "Very high", IF(AllData[[#This Row],[Phosphate (PPM)]]&gt;0.1, "High", IF(AllData[[#This Row],[Phosphate (PPM)]]&gt;0.05, "Some evidence", IF(AllData[[#This Row],[Phosphate (PPM)]]&lt;=0.05, "No Evidence", ""))))</f>
        <v>Very high</v>
      </c>
      <c r="U1260">
        <v>0.3</v>
      </c>
      <c r="V1260" t="s">
        <v>1635</v>
      </c>
    </row>
    <row r="1261" spans="1:22" x14ac:dyDescent="0.35">
      <c r="A1261" t="s">
        <v>1633</v>
      </c>
      <c r="B1261" s="143">
        <v>45485</v>
      </c>
      <c r="C1261" s="2" t="str" cm="1">
        <f t="array" ref="C12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1">
        <f>YEAR(AllData[[#This Row],[Date]])</f>
        <v>2024</v>
      </c>
      <c r="E1261" s="1">
        <v>0.42708333333333331</v>
      </c>
      <c r="F1261" t="str">
        <f>IF(AND(AllData[[#This Row],[Time]]&lt;0.5, AllData[[#This Row],[Time]]&gt;0.17)=TRUE, "Morning", IF(AND(AllData[[#This Row],[Time]]&lt;0.75, AllData[[#This Row],[Time]]&gt;=0.5)=TRUE, "Afternoon", IF(AND(AllData[[#This Row],[Time]]&lt;1, AllData[[#This Row],[Time]]&gt;=0.75)=TRUE, "Evening", "Night")))</f>
        <v>Morning</v>
      </c>
      <c r="G1261" t="str">
        <f>_xlfn.XLOOKUP(AllData[[#This Row],[Location Name]], Locations[Location Name],Locations[Group As])</f>
        <v>Carrant Bredon Rd</v>
      </c>
      <c r="H1261" t="e" vm="4">
        <f>_xlfn.XLOOKUP(AllData[[#This Row],[Site Name]],LocationsKey[Site Name],LocationsKey[District])</f>
        <v>#VALUE!</v>
      </c>
      <c r="I1261" t="e" vm="4">
        <f>_xlfn.XLOOKUP(AllData[[#This Row],[Site Name]],LocationsKey[Site Name],LocationsKey[Town])</f>
        <v>#VALUE!</v>
      </c>
      <c r="J1261" t="str">
        <f>_xlfn.XLOOKUP(AllData[[#This Row],[Site Name]],LocationsKey[Site Name], LocationsKey[Waterway])</f>
        <v>Carrant</v>
      </c>
      <c r="K1261" t="s">
        <v>603</v>
      </c>
      <c r="L1261">
        <v>51.996276999999999</v>
      </c>
      <c r="M1261">
        <v>-2.156101</v>
      </c>
      <c r="N1261" t="s">
        <v>25</v>
      </c>
      <c r="O1261">
        <v>613</v>
      </c>
      <c r="P1261">
        <v>16.3</v>
      </c>
      <c r="Q1261">
        <v>4</v>
      </c>
      <c r="R1261" s="107" t="str">
        <f>IF(AllData[[#This Row],[Nitrate (PPM)]]&gt;2, "Very high", IF(AllData[[#This Row],[Nitrate (PPM)]]&gt;1, "High", IF(AllData[[#This Row],[Nitrate (PPM)]]&gt;0.5, "Some evidence", IF(AllData[[#This Row],[Nitrate (PPM)]]&gt;=0, "No evidence"))))</f>
        <v>Very high</v>
      </c>
      <c r="S1261" s="4">
        <v>0.68</v>
      </c>
      <c r="T1261" s="7" t="str">
        <f>IF(AllData[[#This Row],[Phosphate (PPM)]]&gt;0.5, "Very high", IF(AllData[[#This Row],[Phosphate (PPM)]]&gt;0.1, "High", IF(AllData[[#This Row],[Phosphate (PPM)]]&gt;0.05, "Some evidence", IF(AllData[[#This Row],[Phosphate (PPM)]]&lt;=0.05, "No Evidence", ""))))</f>
        <v>Very high</v>
      </c>
      <c r="U1261">
        <v>0.1</v>
      </c>
    </row>
    <row r="1262" spans="1:22" x14ac:dyDescent="0.35">
      <c r="A1262" t="s">
        <v>1638</v>
      </c>
      <c r="B1262" s="143">
        <v>45485</v>
      </c>
      <c r="C1262" s="2" t="str" cm="1">
        <f t="array" ref="C12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2">
        <f>YEAR(AllData[[#This Row],[Date]])</f>
        <v>2024</v>
      </c>
      <c r="E1262" s="1">
        <v>0.36458333333333331</v>
      </c>
      <c r="F1262" t="str">
        <f>IF(AND(AllData[[#This Row],[Time]]&lt;0.5, AllData[[#This Row],[Time]]&gt;0.17)=TRUE, "Morning", IF(AND(AllData[[#This Row],[Time]]&lt;0.75, AllData[[#This Row],[Time]]&gt;=0.5)=TRUE, "Afternoon", IF(AND(AllData[[#This Row],[Time]]&lt;1, AllData[[#This Row],[Time]]&gt;=0.75)=TRUE, "Evening", "Night")))</f>
        <v>Morning</v>
      </c>
      <c r="G1262" t="str">
        <f>_xlfn.XLOOKUP(AllData[[#This Row],[Location Name]], Locations[Location Name],Locations[Group As])</f>
        <v>Stour Whichford</v>
      </c>
      <c r="H1262" t="e" vm="1">
        <f>_xlfn.XLOOKUP(AllData[[#This Row],[Site Name]],LocationsKey[Site Name],LocationsKey[District])</f>
        <v>#VALUE!</v>
      </c>
      <c r="I1262" t="e" vm="24">
        <f>_xlfn.XLOOKUP(AllData[[#This Row],[Site Name]],LocationsKey[Site Name],LocationsKey[Town])</f>
        <v>#VALUE!</v>
      </c>
      <c r="J1262" t="str">
        <f>_xlfn.XLOOKUP(AllData[[#This Row],[Site Name]],LocationsKey[Site Name], LocationsKey[Waterway])</f>
        <v>Stour</v>
      </c>
      <c r="K1262" t="s">
        <v>980</v>
      </c>
      <c r="N1262" t="s">
        <v>31</v>
      </c>
      <c r="O1262">
        <v>678</v>
      </c>
      <c r="P1262">
        <v>14.4</v>
      </c>
      <c r="Q1262">
        <v>2.5</v>
      </c>
      <c r="R1262" s="107" t="str">
        <f>IF(AllData[[#This Row],[Nitrate (PPM)]]&gt;2, "Very high", IF(AllData[[#This Row],[Nitrate (PPM)]]&gt;1, "High", IF(AllData[[#This Row],[Nitrate (PPM)]]&gt;0.5, "Some evidence", IF(AllData[[#This Row],[Nitrate (PPM)]]&gt;=0, "No evidence"))))</f>
        <v>Very high</v>
      </c>
      <c r="S1262">
        <v>0.72</v>
      </c>
      <c r="T1262" s="7" t="str">
        <f>IF(AllData[[#This Row],[Phosphate (PPM)]]&gt;0.5, "Very high", IF(AllData[[#This Row],[Phosphate (PPM)]]&gt;0.1, "High", IF(AllData[[#This Row],[Phosphate (PPM)]]&gt;0.05, "Some evidence", IF(AllData[[#This Row],[Phosphate (PPM)]]&lt;=0.05, "No Evidence", ""))))</f>
        <v>Very high</v>
      </c>
      <c r="U1262">
        <v>6.5</v>
      </c>
    </row>
    <row r="1263" spans="1:22" x14ac:dyDescent="0.35">
      <c r="A1263" t="s">
        <v>1637</v>
      </c>
      <c r="B1263" s="143">
        <v>45485</v>
      </c>
      <c r="C1263" s="2" t="str" cm="1">
        <f t="array" ref="C12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3">
        <f>YEAR(AllData[[#This Row],[Date]])</f>
        <v>2024</v>
      </c>
      <c r="E1263" s="1">
        <v>0.3888888888888889</v>
      </c>
      <c r="F1263" t="str">
        <f>IF(AND(AllData[[#This Row],[Time]]&lt;0.5, AllData[[#This Row],[Time]]&gt;0.17)=TRUE, "Morning", IF(AND(AllData[[#This Row],[Time]]&lt;0.75, AllData[[#This Row],[Time]]&gt;=0.5)=TRUE, "Afternoon", IF(AND(AllData[[#This Row],[Time]]&lt;1, AllData[[#This Row],[Time]]&gt;=0.75)=TRUE, "Evening", "Night")))</f>
        <v>Morning</v>
      </c>
      <c r="G1263" t="str">
        <f>_xlfn.XLOOKUP(AllData[[#This Row],[Location Name]], Locations[Location Name],Locations[Group As])</f>
        <v>Stour Ascott Village</v>
      </c>
      <c r="H1263" t="e" vm="1">
        <f>_xlfn.XLOOKUP(AllData[[#This Row],[Site Name]],LocationsKey[Site Name],LocationsKey[District])</f>
        <v>#VALUE!</v>
      </c>
      <c r="I1263" t="e" vm="25">
        <f>_xlfn.XLOOKUP(AllData[[#This Row],[Site Name]],LocationsKey[Site Name],LocationsKey[Town])</f>
        <v>#VALUE!</v>
      </c>
      <c r="J1263" t="str">
        <f>_xlfn.XLOOKUP(AllData[[#This Row],[Site Name]],LocationsKey[Site Name], LocationsKey[Waterway])</f>
        <v>Stour</v>
      </c>
      <c r="K1263" t="s">
        <v>927</v>
      </c>
      <c r="N1263" t="s">
        <v>68</v>
      </c>
      <c r="O1263">
        <v>634</v>
      </c>
      <c r="P1263">
        <v>15.4</v>
      </c>
      <c r="Q1263">
        <v>0.5</v>
      </c>
      <c r="R1263" s="107" t="str">
        <f>IF(AllData[[#This Row],[Nitrate (PPM)]]&gt;2, "Very high", IF(AllData[[#This Row],[Nitrate (PPM)]]&gt;1, "High", IF(AllData[[#This Row],[Nitrate (PPM)]]&gt;0.5, "Some evidence", IF(AllData[[#This Row],[Nitrate (PPM)]]&gt;=0, "No evidence"))))</f>
        <v>No evidence</v>
      </c>
      <c r="S1263">
        <v>0.23</v>
      </c>
      <c r="T1263" s="7" t="str">
        <f>IF(AllData[[#This Row],[Phosphate (PPM)]]&gt;0.5, "Very high", IF(AllData[[#This Row],[Phosphate (PPM)]]&gt;0.1, "High", IF(AllData[[#This Row],[Phosphate (PPM)]]&gt;0.05, "Some evidence", IF(AllData[[#This Row],[Phosphate (PPM)]]&lt;=0.05, "No Evidence", ""))))</f>
        <v>High</v>
      </c>
      <c r="U1263">
        <v>4</v>
      </c>
    </row>
    <row r="1264" spans="1:22" x14ac:dyDescent="0.35">
      <c r="A1264" t="s">
        <v>1632</v>
      </c>
      <c r="B1264" s="143">
        <v>45484</v>
      </c>
      <c r="C1264" s="2" t="str" cm="1">
        <f t="array" ref="C12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4">
        <f>YEAR(AllData[[#This Row],[Date]])</f>
        <v>2024</v>
      </c>
      <c r="E1264" s="1">
        <v>0.5</v>
      </c>
      <c r="F1264" t="str">
        <f>IF(AND(AllData[[#This Row],[Time]]&lt;0.5, AllData[[#This Row],[Time]]&gt;0.17)=TRUE, "Morning", IF(AND(AllData[[#This Row],[Time]]&lt;0.75, AllData[[#This Row],[Time]]&gt;=0.5)=TRUE, "Afternoon", IF(AND(AllData[[#This Row],[Time]]&lt;1, AllData[[#This Row],[Time]]&gt;=0.75)=TRUE, "Evening", "Night")))</f>
        <v>Afternoon</v>
      </c>
      <c r="G1264" t="str">
        <f>_xlfn.XLOOKUP(AllData[[#This Row],[Location Name]], Locations[Location Name],Locations[Group As])</f>
        <v>Stour Willington</v>
      </c>
      <c r="H1264" t="e" vm="1">
        <f>_xlfn.XLOOKUP(AllData[[#This Row],[Site Name]],LocationsKey[Site Name],LocationsKey[District])</f>
        <v>#VALUE!</v>
      </c>
      <c r="I1264" t="str">
        <f>_xlfn.XLOOKUP(AllData[[#This Row],[Site Name]],LocationsKey[Site Name],LocationsKey[Town])</f>
        <v>Willington</v>
      </c>
      <c r="J1264" t="str">
        <f>_xlfn.XLOOKUP(AllData[[#This Row],[Site Name]],LocationsKey[Site Name], LocationsKey[Waterway])</f>
        <v>Stour</v>
      </c>
      <c r="K1264" t="s">
        <v>521</v>
      </c>
      <c r="N1264" t="s">
        <v>25</v>
      </c>
      <c r="O1264">
        <v>552</v>
      </c>
      <c r="P1264">
        <v>17.600000000000001</v>
      </c>
      <c r="Q1264">
        <v>5</v>
      </c>
      <c r="R1264" s="107" t="str">
        <f>IF(AllData[[#This Row],[Nitrate (PPM)]]&gt;2, "Very high", IF(AllData[[#This Row],[Nitrate (PPM)]]&gt;1, "High", IF(AllData[[#This Row],[Nitrate (PPM)]]&gt;0.5, "Some evidence", IF(AllData[[#This Row],[Nitrate (PPM)]]&gt;=0, "No evidence"))))</f>
        <v>Very high</v>
      </c>
      <c r="S1264" s="4">
        <v>0.6</v>
      </c>
      <c r="T1264" s="7" t="str">
        <f>IF(AllData[[#This Row],[Phosphate (PPM)]]&gt;0.5, "Very high", IF(AllData[[#This Row],[Phosphate (PPM)]]&gt;0.1, "High", IF(AllData[[#This Row],[Phosphate (PPM)]]&gt;0.05, "Some evidence", IF(AllData[[#This Row],[Phosphate (PPM)]]&lt;=0.05, "No Evidence", ""))))</f>
        <v>Very high</v>
      </c>
      <c r="U1264">
        <v>0.5</v>
      </c>
    </row>
    <row r="1265" spans="1:22" x14ac:dyDescent="0.35">
      <c r="A1265" t="s">
        <v>1631</v>
      </c>
      <c r="B1265" s="143">
        <v>45484</v>
      </c>
      <c r="C1265" s="2" t="str" cm="1">
        <f t="array" ref="C12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5">
        <f>YEAR(AllData[[#This Row],[Date]])</f>
        <v>2024</v>
      </c>
      <c r="E1265" s="1">
        <v>0.35416666666666669</v>
      </c>
      <c r="F1265" t="str">
        <f>IF(AND(AllData[[#This Row],[Time]]&lt;0.5, AllData[[#This Row],[Time]]&gt;0.17)=TRUE, "Morning", IF(AND(AllData[[#This Row],[Time]]&lt;0.75, AllData[[#This Row],[Time]]&gt;=0.5)=TRUE, "Afternoon", IF(AND(AllData[[#This Row],[Time]]&lt;1, AllData[[#This Row],[Time]]&gt;=0.75)=TRUE, "Evening", "Night")))</f>
        <v>Morning</v>
      </c>
      <c r="G1265" t="str">
        <f>_xlfn.XLOOKUP(AllData[[#This Row],[Location Name]], Locations[Location Name],Locations[Group As])</f>
        <v>Swilgate</v>
      </c>
      <c r="H1265" t="e" vm="4">
        <f>_xlfn.XLOOKUP(AllData[[#This Row],[Site Name]],LocationsKey[Site Name],LocationsKey[District])</f>
        <v>#VALUE!</v>
      </c>
      <c r="I1265" t="e" vm="4">
        <f>_xlfn.XLOOKUP(AllData[[#This Row],[Site Name]],LocationsKey[Site Name],LocationsKey[Town])</f>
        <v>#VALUE!</v>
      </c>
      <c r="J1265" t="str">
        <f>_xlfn.XLOOKUP(AllData[[#This Row],[Site Name]],LocationsKey[Site Name], LocationsKey[Waterway])</f>
        <v>Swilgate</v>
      </c>
      <c r="K1265" t="s">
        <v>85</v>
      </c>
      <c r="N1265" t="s">
        <v>25</v>
      </c>
      <c r="O1265">
        <v>889</v>
      </c>
      <c r="P1265">
        <v>17.2</v>
      </c>
      <c r="Q1265">
        <v>4</v>
      </c>
      <c r="R1265" s="107" t="str">
        <f>IF(AllData[[#This Row],[Nitrate (PPM)]]&gt;2, "Very high", IF(AllData[[#This Row],[Nitrate (PPM)]]&gt;1, "High", IF(AllData[[#This Row],[Nitrate (PPM)]]&gt;0.5, "Some evidence", IF(AllData[[#This Row],[Nitrate (PPM)]]&gt;=0, "No evidence"))))</f>
        <v>Very high</v>
      </c>
      <c r="S1265" s="4">
        <v>0.47</v>
      </c>
      <c r="T1265" s="7" t="str">
        <f>IF(AllData[[#This Row],[Phosphate (PPM)]]&gt;0.5, "Very high", IF(AllData[[#This Row],[Phosphate (PPM)]]&gt;0.1, "High", IF(AllData[[#This Row],[Phosphate (PPM)]]&gt;0.05, "Some evidence", IF(AllData[[#This Row],[Phosphate (PPM)]]&lt;=0.05, "No Evidence", ""))))</f>
        <v>High</v>
      </c>
      <c r="U1265">
        <v>0</v>
      </c>
    </row>
    <row r="1266" spans="1:22" x14ac:dyDescent="0.35">
      <c r="A1266" t="s">
        <v>1623</v>
      </c>
      <c r="B1266" s="143">
        <v>45483</v>
      </c>
      <c r="C1266" s="2" t="str" cm="1">
        <f t="array" ref="C12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6">
        <f>YEAR(AllData[[#This Row],[Date]])</f>
        <v>2024</v>
      </c>
      <c r="E1266" s="1">
        <v>0.45069444444444445</v>
      </c>
      <c r="F1266" t="str">
        <f>IF(AND(AllData[[#This Row],[Time]]&lt;0.5, AllData[[#This Row],[Time]]&gt;0.17)=TRUE, "Morning", IF(AND(AllData[[#This Row],[Time]]&lt;0.75, AllData[[#This Row],[Time]]&gt;=0.5)=TRUE, "Afternoon", IF(AND(AllData[[#This Row],[Time]]&lt;1, AllData[[#This Row],[Time]]&gt;=0.75)=TRUE, "Evening", "Night")))</f>
        <v>Morning</v>
      </c>
      <c r="G1266" t="str">
        <f>_xlfn.XLOOKUP(AllData[[#This Row],[Location Name]], Locations[Location Name],Locations[Group As])</f>
        <v>Bredon Dock Lane</v>
      </c>
      <c r="H1266" t="e" vm="4">
        <f>_xlfn.XLOOKUP(AllData[[#This Row],[Site Name]],LocationsKey[Site Name],LocationsKey[District])</f>
        <v>#VALUE!</v>
      </c>
      <c r="I1266" t="e" vm="11">
        <f>_xlfn.XLOOKUP(AllData[[#This Row],[Site Name]],LocationsKey[Site Name],LocationsKey[Town])</f>
        <v>#VALUE!</v>
      </c>
      <c r="J1266" t="str">
        <f>_xlfn.XLOOKUP(AllData[[#This Row],[Site Name]],LocationsKey[Site Name], LocationsKey[Waterway])</f>
        <v>Avon</v>
      </c>
      <c r="K1266" t="s">
        <v>1624</v>
      </c>
      <c r="L1266">
        <v>52.033540000000002</v>
      </c>
      <c r="M1266">
        <v>-2.116123</v>
      </c>
      <c r="N1266" t="s">
        <v>25</v>
      </c>
      <c r="O1266">
        <v>964</v>
      </c>
      <c r="P1266">
        <v>19.100000000000001</v>
      </c>
      <c r="Q1266">
        <v>10</v>
      </c>
      <c r="R1266" s="107" t="str">
        <f>IF(AllData[[#This Row],[Nitrate (PPM)]]&gt;2, "Very high", IF(AllData[[#This Row],[Nitrate (PPM)]]&gt;1, "High", IF(AllData[[#This Row],[Nitrate (PPM)]]&gt;0.5, "Some evidence", IF(AllData[[#This Row],[Nitrate (PPM)]]&gt;=0, "No evidence"))))</f>
        <v>Very high</v>
      </c>
      <c r="S1266" s="4">
        <v>0.88</v>
      </c>
      <c r="T1266" s="7" t="str">
        <f>IF(AllData[[#This Row],[Phosphate (PPM)]]&gt;0.5, "Very high", IF(AllData[[#This Row],[Phosphate (PPM)]]&gt;0.1, "High", IF(AllData[[#This Row],[Phosphate (PPM)]]&gt;0.05, "Some evidence", IF(AllData[[#This Row],[Phosphate (PPM)]]&lt;=0.05, "No Evidence", ""))))</f>
        <v>Very high</v>
      </c>
      <c r="U1266">
        <v>0</v>
      </c>
    </row>
    <row r="1267" spans="1:22" x14ac:dyDescent="0.35">
      <c r="A1267" t="s">
        <v>1627</v>
      </c>
      <c r="B1267" s="143">
        <v>45483</v>
      </c>
      <c r="C1267" s="2" t="str" cm="1">
        <f t="array" ref="C12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7">
        <f>YEAR(AllData[[#This Row],[Date]])</f>
        <v>2024</v>
      </c>
      <c r="E1267" s="1">
        <v>0.59375</v>
      </c>
      <c r="F1267" t="str">
        <f>IF(AND(AllData[[#This Row],[Time]]&lt;0.5, AllData[[#This Row],[Time]]&gt;0.17)=TRUE, "Morning", IF(AND(AllData[[#This Row],[Time]]&lt;0.75, AllData[[#This Row],[Time]]&gt;=0.5)=TRUE, "Afternoon", IF(AND(AllData[[#This Row],[Time]]&lt;1, AllData[[#This Row],[Time]]&gt;=0.75)=TRUE, "Evening", "Night")))</f>
        <v>Afternoon</v>
      </c>
      <c r="G1267" t="str">
        <f>_xlfn.XLOOKUP(AllData[[#This Row],[Location Name]], Locations[Location Name],Locations[Group As])</f>
        <v>Alveston Weir</v>
      </c>
      <c r="H1267" t="e" vm="1">
        <f>_xlfn.XLOOKUP(AllData[[#This Row],[Site Name]],LocationsKey[Site Name],LocationsKey[District])</f>
        <v>#VALUE!</v>
      </c>
      <c r="I1267" t="e" vm="2">
        <f>_xlfn.XLOOKUP(AllData[[#This Row],[Site Name]],LocationsKey[Site Name],LocationsKey[Town])</f>
        <v>#VALUE!</v>
      </c>
      <c r="J1267" t="str">
        <f>_xlfn.XLOOKUP(AllData[[#This Row],[Site Name]],LocationsKey[Site Name], LocationsKey[Waterway])</f>
        <v>Avon</v>
      </c>
      <c r="K1267" t="s">
        <v>288</v>
      </c>
      <c r="L1267">
        <v>52.212288999999998</v>
      </c>
      <c r="M1267">
        <v>-1.660045</v>
      </c>
      <c r="N1267" t="s">
        <v>31</v>
      </c>
      <c r="O1267">
        <v>654</v>
      </c>
      <c r="P1267">
        <v>18.600000000000001</v>
      </c>
      <c r="Q1267">
        <v>10</v>
      </c>
      <c r="R1267" s="107" t="str">
        <f>IF(AllData[[#This Row],[Nitrate (PPM)]]&gt;2, "Very high", IF(AllData[[#This Row],[Nitrate (PPM)]]&gt;1, "High", IF(AllData[[#This Row],[Nitrate (PPM)]]&gt;0.5, "Some evidence", IF(AllData[[#This Row],[Nitrate (PPM)]]&gt;=0, "No evidence"))))</f>
        <v>Very high</v>
      </c>
      <c r="S1267" s="4">
        <v>0.45</v>
      </c>
      <c r="T1267" s="7" t="str">
        <f>IF(AllData[[#This Row],[Phosphate (PPM)]]&gt;0.5, "Very high", IF(AllData[[#This Row],[Phosphate (PPM)]]&gt;0.1, "High", IF(AllData[[#This Row],[Phosphate (PPM)]]&gt;0.05, "Some evidence", IF(AllData[[#This Row],[Phosphate (PPM)]]&lt;=0.05, "No Evidence", ""))))</f>
        <v>High</v>
      </c>
      <c r="U1267">
        <v>0.5</v>
      </c>
      <c r="V1267" t="s">
        <v>1519</v>
      </c>
    </row>
    <row r="1268" spans="1:22" x14ac:dyDescent="0.35">
      <c r="A1268" t="s">
        <v>1628</v>
      </c>
      <c r="B1268" s="143">
        <v>45483</v>
      </c>
      <c r="C1268" s="2" t="str" cm="1">
        <f t="array" ref="C12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8">
        <f>YEAR(AllData[[#This Row],[Date]])</f>
        <v>2024</v>
      </c>
      <c r="E1268" s="1">
        <v>0.60416666666666663</v>
      </c>
      <c r="F1268" t="str">
        <f>IF(AND(AllData[[#This Row],[Time]]&lt;0.5, AllData[[#This Row],[Time]]&gt;0.17)=TRUE, "Morning", IF(AND(AllData[[#This Row],[Time]]&lt;0.75, AllData[[#This Row],[Time]]&gt;=0.5)=TRUE, "Afternoon", IF(AND(AllData[[#This Row],[Time]]&lt;1, AllData[[#This Row],[Time]]&gt;=0.75)=TRUE, "Evening", "Night")))</f>
        <v>Afternoon</v>
      </c>
      <c r="G1268" t="str">
        <f>_xlfn.XLOOKUP(AllData[[#This Row],[Location Name]], Locations[Location Name],Locations[Group As])</f>
        <v>Swiffen Bank</v>
      </c>
      <c r="H1268" t="e" vm="1">
        <f>_xlfn.XLOOKUP(AllData[[#This Row],[Site Name]],LocationsKey[Site Name],LocationsKey[District])</f>
        <v>#VALUE!</v>
      </c>
      <c r="I1268" t="e" vm="2">
        <f>_xlfn.XLOOKUP(AllData[[#This Row],[Site Name]],LocationsKey[Site Name],LocationsKey[Town])</f>
        <v>#VALUE!</v>
      </c>
      <c r="J1268" t="str">
        <f>_xlfn.XLOOKUP(AllData[[#This Row],[Site Name]],LocationsKey[Site Name], LocationsKey[Waterway])</f>
        <v>Avon</v>
      </c>
      <c r="K1268" t="s">
        <v>445</v>
      </c>
      <c r="L1268">
        <v>52.206477999999997</v>
      </c>
      <c r="M1268">
        <v>-1.653894</v>
      </c>
      <c r="N1268" t="s">
        <v>31</v>
      </c>
      <c r="O1268">
        <v>653</v>
      </c>
      <c r="P1268">
        <v>19.3</v>
      </c>
      <c r="Q1268">
        <v>10</v>
      </c>
      <c r="R1268" s="107" t="str">
        <f>IF(AllData[[#This Row],[Nitrate (PPM)]]&gt;2, "Very high", IF(AllData[[#This Row],[Nitrate (PPM)]]&gt;1, "High", IF(AllData[[#This Row],[Nitrate (PPM)]]&gt;0.5, "Some evidence", IF(AllData[[#This Row],[Nitrate (PPM)]]&gt;=0, "No evidence"))))</f>
        <v>Very high</v>
      </c>
      <c r="S1268" s="4">
        <v>0.51</v>
      </c>
      <c r="T1268" s="7" t="str">
        <f>IF(AllData[[#This Row],[Phosphate (PPM)]]&gt;0.5, "Very high", IF(AllData[[#This Row],[Phosphate (PPM)]]&gt;0.1, "High", IF(AllData[[#This Row],[Phosphate (PPM)]]&gt;0.05, "Some evidence", IF(AllData[[#This Row],[Phosphate (PPM)]]&lt;=0.05, "No Evidence", ""))))</f>
        <v>Very high</v>
      </c>
      <c r="U1268">
        <v>0.5</v>
      </c>
    </row>
    <row r="1269" spans="1:22" x14ac:dyDescent="0.35">
      <c r="A1269" t="s">
        <v>1626</v>
      </c>
      <c r="B1269" s="143">
        <v>45483</v>
      </c>
      <c r="C1269" s="2" t="str" cm="1">
        <f t="array" ref="C12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69">
        <f>YEAR(AllData[[#This Row],[Date]])</f>
        <v>2024</v>
      </c>
      <c r="E1269" s="1">
        <v>0.49861111111111112</v>
      </c>
      <c r="F1269" t="str">
        <f>IF(AND(AllData[[#This Row],[Time]]&lt;0.5, AllData[[#This Row],[Time]]&gt;0.17)=TRUE, "Morning", IF(AND(AllData[[#This Row],[Time]]&lt;0.75, AllData[[#This Row],[Time]]&gt;=0.5)=TRUE, "Afternoon", IF(AND(AllData[[#This Row],[Time]]&lt;1, AllData[[#This Row],[Time]]&gt;=0.75)=TRUE, "Evening", "Night")))</f>
        <v>Morning</v>
      </c>
      <c r="G1269" t="str">
        <f>_xlfn.XLOOKUP(AllData[[#This Row],[Location Name]], Locations[Location Name],Locations[Group As])</f>
        <v>Carrant Mitton Path</v>
      </c>
      <c r="H1269" t="e" vm="4">
        <f>_xlfn.XLOOKUP(AllData[[#This Row],[Site Name]],LocationsKey[Site Name],LocationsKey[District])</f>
        <v>#VALUE!</v>
      </c>
      <c r="I1269" t="e" vm="4">
        <f>_xlfn.XLOOKUP(AllData[[#This Row],[Site Name]],LocationsKey[Site Name],LocationsKey[Town])</f>
        <v>#VALUE!</v>
      </c>
      <c r="J1269" t="str">
        <f>_xlfn.XLOOKUP(AllData[[#This Row],[Site Name]],LocationsKey[Site Name], LocationsKey[Waterway])</f>
        <v>Carrant</v>
      </c>
      <c r="K1269" t="s">
        <v>1064</v>
      </c>
      <c r="L1269">
        <v>51.999834</v>
      </c>
      <c r="M1269">
        <v>-2.141086</v>
      </c>
      <c r="N1269" t="s">
        <v>25</v>
      </c>
      <c r="O1269">
        <v>635</v>
      </c>
      <c r="P1269">
        <v>17.5</v>
      </c>
      <c r="Q1269">
        <v>5</v>
      </c>
      <c r="R1269" s="107" t="str">
        <f>IF(AllData[[#This Row],[Nitrate (PPM)]]&gt;2, "Very high", IF(AllData[[#This Row],[Nitrate (PPM)]]&gt;1, "High", IF(AllData[[#This Row],[Nitrate (PPM)]]&gt;0.5, "Some evidence", IF(AllData[[#This Row],[Nitrate (PPM)]]&gt;=0, "No evidence"))))</f>
        <v>Very high</v>
      </c>
      <c r="S1269" s="4">
        <v>0.13</v>
      </c>
      <c r="T1269" s="7" t="str">
        <f>IF(AllData[[#This Row],[Phosphate (PPM)]]&gt;0.5, "Very high", IF(AllData[[#This Row],[Phosphate (PPM)]]&gt;0.1, "High", IF(AllData[[#This Row],[Phosphate (PPM)]]&gt;0.05, "Some evidence", IF(AllData[[#This Row],[Phosphate (PPM)]]&lt;=0.05, "No Evidence", ""))))</f>
        <v>High</v>
      </c>
      <c r="U1269">
        <v>0</v>
      </c>
    </row>
    <row r="1270" spans="1:22" x14ac:dyDescent="0.35">
      <c r="A1270" t="s">
        <v>1625</v>
      </c>
      <c r="B1270" s="143">
        <v>45483</v>
      </c>
      <c r="C1270" s="2" t="str" cm="1">
        <f t="array" ref="C12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0">
        <f>YEAR(AllData[[#This Row],[Date]])</f>
        <v>2024</v>
      </c>
      <c r="E1270" s="1">
        <v>0.4861111111111111</v>
      </c>
      <c r="F1270" t="str">
        <f>IF(AND(AllData[[#This Row],[Time]]&lt;0.5, AllData[[#This Row],[Time]]&gt;0.17)=TRUE, "Morning", IF(AND(AllData[[#This Row],[Time]]&lt;0.75, AllData[[#This Row],[Time]]&gt;=0.5)=TRUE, "Afternoon", IF(AND(AllData[[#This Row],[Time]]&lt;1, AllData[[#This Row],[Time]]&gt;=0.75)=TRUE, "Evening", "Night")))</f>
        <v>Morning</v>
      </c>
      <c r="G1270" t="str">
        <f>_xlfn.XLOOKUP(AllData[[#This Row],[Location Name]], Locations[Location Name],Locations[Group As])</f>
        <v>Carrant M5 Bridge</v>
      </c>
      <c r="H1270" t="e" vm="4">
        <f>_xlfn.XLOOKUP(AllData[[#This Row],[Site Name]],LocationsKey[Site Name],LocationsKey[District])</f>
        <v>#VALUE!</v>
      </c>
      <c r="I1270" t="e" vm="4">
        <f>_xlfn.XLOOKUP(AllData[[#This Row],[Site Name]],LocationsKey[Site Name],LocationsKey[Town])</f>
        <v>#VALUE!</v>
      </c>
      <c r="J1270" t="str">
        <f>_xlfn.XLOOKUP(AllData[[#This Row],[Site Name]],LocationsKey[Site Name], LocationsKey[Waterway])</f>
        <v>Carrant</v>
      </c>
      <c r="K1270" t="s">
        <v>1066</v>
      </c>
      <c r="L1270">
        <v>52.013286999999998</v>
      </c>
      <c r="M1270">
        <v>-2.1231710000000001</v>
      </c>
      <c r="N1270" t="s">
        <v>25</v>
      </c>
      <c r="O1270">
        <v>670</v>
      </c>
      <c r="P1270">
        <v>17.5</v>
      </c>
      <c r="Q1270">
        <v>4</v>
      </c>
      <c r="R1270" s="107" t="str">
        <f>IF(AllData[[#This Row],[Nitrate (PPM)]]&gt;2, "Very high", IF(AllData[[#This Row],[Nitrate (PPM)]]&gt;1, "High", IF(AllData[[#This Row],[Nitrate (PPM)]]&gt;0.5, "Some evidence", IF(AllData[[#This Row],[Nitrate (PPM)]]&gt;=0, "No evidence"))))</f>
        <v>Very high</v>
      </c>
      <c r="S1270" s="4">
        <v>0.71</v>
      </c>
      <c r="T1270" s="7" t="str">
        <f>IF(AllData[[#This Row],[Phosphate (PPM)]]&gt;0.5, "Very high", IF(AllData[[#This Row],[Phosphate (PPM)]]&gt;0.1, "High", IF(AllData[[#This Row],[Phosphate (PPM)]]&gt;0.05, "Some evidence", IF(AllData[[#This Row],[Phosphate (PPM)]]&lt;=0.05, "No Evidence", ""))))</f>
        <v>Very high</v>
      </c>
      <c r="U1270">
        <v>0</v>
      </c>
    </row>
    <row r="1271" spans="1:22" x14ac:dyDescent="0.35">
      <c r="A1271" t="s">
        <v>1629</v>
      </c>
      <c r="B1271" s="143">
        <v>45483</v>
      </c>
      <c r="C1271" s="2" t="str" cm="1">
        <f t="array" ref="C12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1">
        <f>YEAR(AllData[[#This Row],[Date]])</f>
        <v>2024</v>
      </c>
      <c r="E1271" s="1">
        <v>0.75</v>
      </c>
      <c r="F1271" t="str">
        <f>IF(AND(AllData[[#This Row],[Time]]&lt;0.5, AllData[[#This Row],[Time]]&gt;0.17)=TRUE, "Morning", IF(AND(AllData[[#This Row],[Time]]&lt;0.75, AllData[[#This Row],[Time]]&gt;=0.5)=TRUE, "Afternoon", IF(AND(AllData[[#This Row],[Time]]&lt;1, AllData[[#This Row],[Time]]&gt;=0.75)=TRUE, "Evening", "Night")))</f>
        <v>Evening</v>
      </c>
      <c r="G1271" t="str">
        <f>_xlfn.XLOOKUP(AllData[[#This Row],[Location Name]], Locations[Location Name],Locations[Group As])</f>
        <v>Stour Newbold Mill</v>
      </c>
      <c r="H1271" t="e" vm="1">
        <f>_xlfn.XLOOKUP(AllData[[#This Row],[Site Name]],LocationsKey[Site Name],LocationsKey[District])</f>
        <v>#VALUE!</v>
      </c>
      <c r="I1271" t="e" vm="27">
        <f>_xlfn.XLOOKUP(AllData[[#This Row],[Site Name]],LocationsKey[Site Name],LocationsKey[Town])</f>
        <v>#VALUE!</v>
      </c>
      <c r="J1271" t="str">
        <f>_xlfn.XLOOKUP(AllData[[#This Row],[Site Name]],LocationsKey[Site Name], LocationsKey[Waterway])</f>
        <v>Stour</v>
      </c>
      <c r="K1271" t="s">
        <v>141</v>
      </c>
      <c r="N1271" t="s">
        <v>31</v>
      </c>
      <c r="O1271">
        <v>622</v>
      </c>
      <c r="P1271">
        <v>16.8</v>
      </c>
      <c r="Q1271">
        <v>2</v>
      </c>
      <c r="R1271" s="107" t="str">
        <f>IF(AllData[[#This Row],[Nitrate (PPM)]]&gt;2, "Very high", IF(AllData[[#This Row],[Nitrate (PPM)]]&gt;1, "High", IF(AllData[[#This Row],[Nitrate (PPM)]]&gt;0.5, "Some evidence", IF(AllData[[#This Row],[Nitrate (PPM)]]&gt;=0, "No evidence"))))</f>
        <v>High</v>
      </c>
      <c r="S1271" s="4">
        <v>0.51</v>
      </c>
      <c r="T1271" s="7" t="str">
        <f>IF(AllData[[#This Row],[Phosphate (PPM)]]&gt;0.5, "Very high", IF(AllData[[#This Row],[Phosphate (PPM)]]&gt;0.1, "High", IF(AllData[[#This Row],[Phosphate (PPM)]]&gt;0.05, "Some evidence", IF(AllData[[#This Row],[Phosphate (PPM)]]&lt;=0.05, "No Evidence", ""))))</f>
        <v>Very high</v>
      </c>
      <c r="U1271">
        <v>2</v>
      </c>
      <c r="V1271" t="s">
        <v>1630</v>
      </c>
    </row>
    <row r="1272" spans="1:22" x14ac:dyDescent="0.35">
      <c r="A1272" t="s">
        <v>1621</v>
      </c>
      <c r="B1272" s="143">
        <v>45482</v>
      </c>
      <c r="C1272" s="2" t="str" cm="1">
        <f t="array" ref="C12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2">
        <f>YEAR(AllData[[#This Row],[Date]])</f>
        <v>2024</v>
      </c>
      <c r="E1272" s="1">
        <v>0.50208333333333333</v>
      </c>
      <c r="F1272" t="str">
        <f>IF(AND(AllData[[#This Row],[Time]]&lt;0.5, AllData[[#This Row],[Time]]&gt;0.17)=TRUE, "Morning", IF(AND(AllData[[#This Row],[Time]]&lt;0.75, AllData[[#This Row],[Time]]&gt;=0.5)=TRUE, "Afternoon", IF(AND(AllData[[#This Row],[Time]]&lt;1, AllData[[#This Row],[Time]]&gt;=0.75)=TRUE, "Evening", "Night")))</f>
        <v>Afternoon</v>
      </c>
      <c r="G1272" t="str">
        <f>_xlfn.XLOOKUP(AllData[[#This Row],[Location Name]], Locations[Location Name],Locations[Group As])</f>
        <v>Walcot Lane, Bow Brook Ford</v>
      </c>
      <c r="H1272" t="e" vm="6">
        <f>_xlfn.XLOOKUP(AllData[[#This Row],[Site Name]],LocationsKey[Site Name],LocationsKey[District])</f>
        <v>#VALUE!</v>
      </c>
      <c r="I1272" t="e" vm="7">
        <f>_xlfn.XLOOKUP(AllData[[#This Row],[Site Name]],LocationsKey[Site Name],LocationsKey[Town])</f>
        <v>#VALUE!</v>
      </c>
      <c r="J1272" t="str">
        <f>_xlfn.XLOOKUP(AllData[[#This Row],[Site Name]],LocationsKey[Site Name], LocationsKey[Waterway])</f>
        <v>Bow Brook</v>
      </c>
      <c r="K1272" t="s">
        <v>775</v>
      </c>
      <c r="L1272">
        <v>52.129151999999998</v>
      </c>
      <c r="M1272">
        <v>-2.07639</v>
      </c>
      <c r="N1272" t="s">
        <v>25</v>
      </c>
      <c r="O1272">
        <v>873</v>
      </c>
      <c r="P1272">
        <v>16.600000000000001</v>
      </c>
      <c r="Q1272">
        <v>5</v>
      </c>
      <c r="R1272" s="107" t="str">
        <f>IF(AllData[[#This Row],[Nitrate (PPM)]]&gt;2, "Very high", IF(AllData[[#This Row],[Nitrate (PPM)]]&gt;1, "High", IF(AllData[[#This Row],[Nitrate (PPM)]]&gt;0.5, "Some evidence", IF(AllData[[#This Row],[Nitrate (PPM)]]&gt;=0, "No evidence"))))</f>
        <v>Very high</v>
      </c>
      <c r="S1272">
        <v>1.25</v>
      </c>
      <c r="T1272" s="7" t="str">
        <f>IF(AllData[[#This Row],[Phosphate (PPM)]]&gt;0.5, "Very high", IF(AllData[[#This Row],[Phosphate (PPM)]]&gt;0.1, "High", IF(AllData[[#This Row],[Phosphate (PPM)]]&gt;0.05, "Some evidence", IF(AllData[[#This Row],[Phosphate (PPM)]]&lt;=0.05, "No Evidence", ""))))</f>
        <v>Very high</v>
      </c>
      <c r="U1272">
        <v>0.3</v>
      </c>
      <c r="V1272" t="s">
        <v>1622</v>
      </c>
    </row>
    <row r="1273" spans="1:22" x14ac:dyDescent="0.35">
      <c r="A1273" t="s">
        <v>1620</v>
      </c>
      <c r="B1273" s="143">
        <v>45481</v>
      </c>
      <c r="C1273" s="2" t="str" cm="1">
        <f t="array" ref="C12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3">
        <f>YEAR(AllData[[#This Row],[Date]])</f>
        <v>2024</v>
      </c>
      <c r="E1273" s="1">
        <v>0.6118055555555556</v>
      </c>
      <c r="F1273" t="str">
        <f>IF(AND(AllData[[#This Row],[Time]]&lt;0.5, AllData[[#This Row],[Time]]&gt;0.17)=TRUE, "Morning", IF(AND(AllData[[#This Row],[Time]]&lt;0.75, AllData[[#This Row],[Time]]&gt;=0.5)=TRUE, "Afternoon", IF(AND(AllData[[#This Row],[Time]]&lt;1, AllData[[#This Row],[Time]]&gt;=0.75)=TRUE, "Evening", "Night")))</f>
        <v>Afternoon</v>
      </c>
      <c r="G1273" t="str">
        <f>_xlfn.XLOOKUP(AllData[[#This Row],[Location Name]], Locations[Location Name],Locations[Group As])</f>
        <v>Abbey Mill</v>
      </c>
      <c r="H1273" t="e" vm="4">
        <f>_xlfn.XLOOKUP(AllData[[#This Row],[Site Name]],LocationsKey[Site Name],LocationsKey[District])</f>
        <v>#VALUE!</v>
      </c>
      <c r="I1273" t="e" vm="4">
        <f>_xlfn.XLOOKUP(AllData[[#This Row],[Site Name]],LocationsKey[Site Name],LocationsKey[Town])</f>
        <v>#VALUE!</v>
      </c>
      <c r="J1273" t="str">
        <f>_xlfn.XLOOKUP(AllData[[#This Row],[Site Name]],LocationsKey[Site Name], LocationsKey[Waterway])</f>
        <v>Avon</v>
      </c>
      <c r="K1273" t="s">
        <v>27</v>
      </c>
      <c r="L1273">
        <v>51.991315999999998</v>
      </c>
      <c r="M1273">
        <v>-2.1627710000000002</v>
      </c>
      <c r="N1273" t="s">
        <v>25</v>
      </c>
      <c r="O1273">
        <v>1020</v>
      </c>
      <c r="P1273">
        <v>18.600000000000001</v>
      </c>
      <c r="Q1273">
        <v>10</v>
      </c>
      <c r="R1273" s="107" t="str">
        <f>IF(AllData[[#This Row],[Nitrate (PPM)]]&gt;2, "Very high", IF(AllData[[#This Row],[Nitrate (PPM)]]&gt;1, "High", IF(AllData[[#This Row],[Nitrate (PPM)]]&gt;0.5, "Some evidence", IF(AllData[[#This Row],[Nitrate (PPM)]]&gt;=0, "No evidence"))))</f>
        <v>Very high</v>
      </c>
      <c r="S1273" s="4">
        <v>0.95</v>
      </c>
      <c r="T1273" s="7" t="str">
        <f>IF(AllData[[#This Row],[Phosphate (PPM)]]&gt;0.5, "Very high", IF(AllData[[#This Row],[Phosphate (PPM)]]&gt;0.1, "High", IF(AllData[[#This Row],[Phosphate (PPM)]]&gt;0.05, "Some evidence", IF(AllData[[#This Row],[Phosphate (PPM)]]&lt;=0.05, "No Evidence", ""))))</f>
        <v>Very high</v>
      </c>
      <c r="U1273">
        <v>0.5</v>
      </c>
    </row>
    <row r="1274" spans="1:22" x14ac:dyDescent="0.35">
      <c r="A1274" t="s">
        <v>1618</v>
      </c>
      <c r="B1274" s="143">
        <v>45481</v>
      </c>
      <c r="C1274" s="2" t="str" cm="1">
        <f t="array" ref="C12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4">
        <f>YEAR(AllData[[#This Row],[Date]])</f>
        <v>2024</v>
      </c>
      <c r="E1274" s="1">
        <v>0.4826388888888889</v>
      </c>
      <c r="F1274" t="str">
        <f>IF(AND(AllData[[#This Row],[Time]]&lt;0.5, AllData[[#This Row],[Time]]&gt;0.17)=TRUE, "Morning", IF(AND(AllData[[#This Row],[Time]]&lt;0.75, AllData[[#This Row],[Time]]&gt;=0.5)=TRUE, "Afternoon", IF(AND(AllData[[#This Row],[Time]]&lt;1, AllData[[#This Row],[Time]]&gt;=0.75)=TRUE, "Evening", "Night")))</f>
        <v>Morning</v>
      </c>
      <c r="G1274" t="str">
        <f>_xlfn.XLOOKUP(AllData[[#This Row],[Location Name]], Locations[Location Name],Locations[Group As])</f>
        <v>Chipping Campden Lady J Gateway</v>
      </c>
      <c r="H1274" t="e" vm="9">
        <f>_xlfn.XLOOKUP(AllData[[#This Row],[Site Name]],LocationsKey[Site Name],LocationsKey[District])</f>
        <v>#VALUE!</v>
      </c>
      <c r="I1274" t="e" vm="10">
        <f>_xlfn.XLOOKUP(AllData[[#This Row],[Site Name]],LocationsKey[Site Name],LocationsKey[Town])</f>
        <v>#VALUE!</v>
      </c>
      <c r="J1274" t="str">
        <f>_xlfn.XLOOKUP(AllData[[#This Row],[Site Name]],LocationsKey[Site Name], LocationsKey[Waterway])</f>
        <v>Cam Brook</v>
      </c>
      <c r="K1274" t="s">
        <v>1573</v>
      </c>
      <c r="N1274" t="s">
        <v>68</v>
      </c>
      <c r="O1274">
        <v>494</v>
      </c>
      <c r="P1274">
        <v>16.399999999999999</v>
      </c>
      <c r="Q1274">
        <v>5</v>
      </c>
      <c r="R1274" s="107" t="str">
        <f>IF(AllData[[#This Row],[Nitrate (PPM)]]&gt;2, "Very high", IF(AllData[[#This Row],[Nitrate (PPM)]]&gt;1, "High", IF(AllData[[#This Row],[Nitrate (PPM)]]&gt;0.5, "Some evidence", IF(AllData[[#This Row],[Nitrate (PPM)]]&gt;=0, "No evidence"))))</f>
        <v>Very high</v>
      </c>
      <c r="S1274" s="4">
        <v>0.18</v>
      </c>
      <c r="T1274" s="7" t="str">
        <f>IF(AllData[[#This Row],[Phosphate (PPM)]]&gt;0.5, "Very high", IF(AllData[[#This Row],[Phosphate (PPM)]]&gt;0.1, "High", IF(AllData[[#This Row],[Phosphate (PPM)]]&gt;0.05, "Some evidence", IF(AllData[[#This Row],[Phosphate (PPM)]]&lt;=0.05, "No Evidence", ""))))</f>
        <v>High</v>
      </c>
      <c r="U1274">
        <v>0.11</v>
      </c>
    </row>
    <row r="1275" spans="1:22" x14ac:dyDescent="0.35">
      <c r="A1275" t="s">
        <v>1619</v>
      </c>
      <c r="B1275" s="143">
        <v>45481</v>
      </c>
      <c r="C1275" s="2" t="str" cm="1">
        <f t="array" ref="C12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5">
        <f>YEAR(AllData[[#This Row],[Date]])</f>
        <v>2024</v>
      </c>
      <c r="E1275" s="1">
        <v>0.5131944444444444</v>
      </c>
      <c r="F1275" t="str">
        <f>IF(AND(AllData[[#This Row],[Time]]&lt;0.5, AllData[[#This Row],[Time]]&gt;0.17)=TRUE, "Morning", IF(AND(AllData[[#This Row],[Time]]&lt;0.75, AllData[[#This Row],[Time]]&gt;=0.5)=TRUE, "Afternoon", IF(AND(AllData[[#This Row],[Time]]&lt;1, AllData[[#This Row],[Time]]&gt;=0.75)=TRUE, "Evening", "Night")))</f>
        <v>Afternoon</v>
      </c>
      <c r="G1275" t="str">
        <f>_xlfn.XLOOKUP(AllData[[#This Row],[Location Name]], Locations[Location Name],Locations[Group As])</f>
        <v>Chipping Campden Sewage Works</v>
      </c>
      <c r="H1275" t="e" vm="9">
        <f>_xlfn.XLOOKUP(AllData[[#This Row],[Site Name]],LocationsKey[Site Name],LocationsKey[District])</f>
        <v>#VALUE!</v>
      </c>
      <c r="I1275" t="e" vm="10">
        <f>_xlfn.XLOOKUP(AllData[[#This Row],[Site Name]],LocationsKey[Site Name],LocationsKey[Town])</f>
        <v>#VALUE!</v>
      </c>
      <c r="J1275" t="str">
        <f>_xlfn.XLOOKUP(AllData[[#This Row],[Site Name]],LocationsKey[Site Name], LocationsKey[Waterway])</f>
        <v>Cam Brook</v>
      </c>
      <c r="K1275" t="s">
        <v>1570</v>
      </c>
      <c r="N1275" t="s">
        <v>31</v>
      </c>
      <c r="O1275">
        <v>643</v>
      </c>
      <c r="P1275">
        <v>15.6</v>
      </c>
      <c r="Q1275">
        <v>2</v>
      </c>
      <c r="R1275" s="107" t="str">
        <f>IF(AllData[[#This Row],[Nitrate (PPM)]]&gt;2, "Very high", IF(AllData[[#This Row],[Nitrate (PPM)]]&gt;1, "High", IF(AllData[[#This Row],[Nitrate (PPM)]]&gt;0.5, "Some evidence", IF(AllData[[#This Row],[Nitrate (PPM)]]&gt;=0, "No evidence"))))</f>
        <v>High</v>
      </c>
      <c r="S1275" s="4">
        <v>0.53</v>
      </c>
      <c r="T1275" s="7" t="str">
        <f>IF(AllData[[#This Row],[Phosphate (PPM)]]&gt;0.5, "Very high", IF(AllData[[#This Row],[Phosphate (PPM)]]&gt;0.1, "High", IF(AllData[[#This Row],[Phosphate (PPM)]]&gt;0.05, "Some evidence", IF(AllData[[#This Row],[Phosphate (PPM)]]&lt;=0.05, "No Evidence", ""))))</f>
        <v>Very high</v>
      </c>
      <c r="U1275">
        <v>0.14000000000000001</v>
      </c>
    </row>
    <row r="1276" spans="1:22" x14ac:dyDescent="0.35">
      <c r="A1276" t="s">
        <v>1617</v>
      </c>
      <c r="B1276" s="143">
        <v>45481</v>
      </c>
      <c r="C1276" s="2" t="str" cm="1">
        <f t="array" ref="C12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6">
        <f>YEAR(AllData[[#This Row],[Date]])</f>
        <v>2024</v>
      </c>
      <c r="E1276" s="1">
        <v>0.38472222222222224</v>
      </c>
      <c r="F1276" t="str">
        <f>IF(AND(AllData[[#This Row],[Time]]&lt;0.5, AllData[[#This Row],[Time]]&gt;0.17)=TRUE, "Morning", IF(AND(AllData[[#This Row],[Time]]&lt;0.75, AllData[[#This Row],[Time]]&gt;=0.5)=TRUE, "Afternoon", IF(AND(AllData[[#This Row],[Time]]&lt;1, AllData[[#This Row],[Time]]&gt;=0.75)=TRUE, "Evening", "Night")))</f>
        <v>Morning</v>
      </c>
      <c r="G1276" t="str">
        <f>_xlfn.XLOOKUP(AllData[[#This Row],[Location Name]], Locations[Location Name],Locations[Group As])</f>
        <v>Stour Stretton-on-Fosse Sewage Works</v>
      </c>
      <c r="H1276" t="e" vm="1">
        <f>_xlfn.XLOOKUP(AllData[[#This Row],[Site Name]],LocationsKey[Site Name],LocationsKey[District])</f>
        <v>#VALUE!</v>
      </c>
      <c r="I1276" t="e" vm="30">
        <f>_xlfn.XLOOKUP(AllData[[#This Row],[Site Name]],LocationsKey[Site Name],LocationsKey[Town])</f>
        <v>#VALUE!</v>
      </c>
      <c r="J1276" t="str">
        <f>_xlfn.XLOOKUP(AllData[[#This Row],[Site Name]],LocationsKey[Site Name], LocationsKey[Waterway])</f>
        <v>Stour</v>
      </c>
      <c r="K1276" t="s">
        <v>337</v>
      </c>
      <c r="L1276">
        <v>52.045647000000002</v>
      </c>
      <c r="M1276">
        <v>-1.6718839999999999</v>
      </c>
      <c r="N1276" t="s">
        <v>31</v>
      </c>
      <c r="O1276">
        <v>739</v>
      </c>
      <c r="P1276">
        <v>13.7</v>
      </c>
      <c r="Q1276">
        <v>0.5</v>
      </c>
      <c r="R1276" s="107" t="str">
        <f>IF(AllData[[#This Row],[Nitrate (PPM)]]&gt;2, "Very high", IF(AllData[[#This Row],[Nitrate (PPM)]]&gt;1, "High", IF(AllData[[#This Row],[Nitrate (PPM)]]&gt;0.5, "Some evidence", IF(AllData[[#This Row],[Nitrate (PPM)]]&gt;=0, "No evidence"))))</f>
        <v>No evidence</v>
      </c>
      <c r="S1276" s="4">
        <v>2.5</v>
      </c>
      <c r="T1276" s="7" t="str">
        <f>IF(AllData[[#This Row],[Phosphate (PPM)]]&gt;0.5, "Very high", IF(AllData[[#This Row],[Phosphate (PPM)]]&gt;0.1, "High", IF(AllData[[#This Row],[Phosphate (PPM)]]&gt;0.05, "Some evidence", IF(AllData[[#This Row],[Phosphate (PPM)]]&lt;=0.05, "No Evidence", ""))))</f>
        <v>Very high</v>
      </c>
      <c r="U1276">
        <v>0.3</v>
      </c>
      <c r="V1276" t="s">
        <v>1356</v>
      </c>
    </row>
    <row r="1277" spans="1:22" x14ac:dyDescent="0.35">
      <c r="A1277" t="s">
        <v>1616</v>
      </c>
      <c r="B1277" s="143">
        <v>45481</v>
      </c>
      <c r="C1277" s="2" t="str" cm="1">
        <f t="array" ref="C12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7">
        <f>YEAR(AllData[[#This Row],[Date]])</f>
        <v>2024</v>
      </c>
      <c r="E1277" s="1">
        <v>0.37777777777777777</v>
      </c>
      <c r="F1277" t="str">
        <f>IF(AND(AllData[[#This Row],[Time]]&lt;0.5, AllData[[#This Row],[Time]]&gt;0.17)=TRUE, "Morning", IF(AND(AllData[[#This Row],[Time]]&lt;0.75, AllData[[#This Row],[Time]]&gt;=0.5)=TRUE, "Afternoon", IF(AND(AllData[[#This Row],[Time]]&lt;1, AllData[[#This Row],[Time]]&gt;=0.75)=TRUE, "Evening", "Night")))</f>
        <v>Morning</v>
      </c>
      <c r="G1277" t="str">
        <f>_xlfn.XLOOKUP(AllData[[#This Row],[Location Name]], Locations[Location Name],Locations[Group As])</f>
        <v>Stour Stretton-on-Fosse Village</v>
      </c>
      <c r="H1277" t="e" vm="1">
        <f>_xlfn.XLOOKUP(AllData[[#This Row],[Site Name]],LocationsKey[Site Name],LocationsKey[District])</f>
        <v>#VALUE!</v>
      </c>
      <c r="I1277" t="e" vm="30">
        <f>_xlfn.XLOOKUP(AllData[[#This Row],[Site Name]],LocationsKey[Site Name],LocationsKey[Town])</f>
        <v>#VALUE!</v>
      </c>
      <c r="J1277" t="str">
        <f>_xlfn.XLOOKUP(AllData[[#This Row],[Site Name]],LocationsKey[Site Name], LocationsKey[Waterway])</f>
        <v>Stour</v>
      </c>
      <c r="K1277" t="s">
        <v>548</v>
      </c>
      <c r="L1277">
        <v>52.046517999999999</v>
      </c>
      <c r="M1277">
        <v>-1.6734610000000001</v>
      </c>
      <c r="N1277" t="s">
        <v>68</v>
      </c>
      <c r="O1277">
        <v>684</v>
      </c>
      <c r="P1277">
        <v>13.1</v>
      </c>
      <c r="Q1277">
        <v>0.5</v>
      </c>
      <c r="R1277" s="107" t="str">
        <f>IF(AllData[[#This Row],[Nitrate (PPM)]]&gt;2, "Very high", IF(AllData[[#This Row],[Nitrate (PPM)]]&gt;1, "High", IF(AllData[[#This Row],[Nitrate (PPM)]]&gt;0.5, "Some evidence", IF(AllData[[#This Row],[Nitrate (PPM)]]&gt;=0, "No evidence"))))</f>
        <v>No evidence</v>
      </c>
      <c r="S1277" s="4">
        <v>2.5</v>
      </c>
      <c r="T1277" s="7" t="str">
        <f>IF(AllData[[#This Row],[Phosphate (PPM)]]&gt;0.5, "Very high", IF(AllData[[#This Row],[Phosphate (PPM)]]&gt;0.1, "High", IF(AllData[[#This Row],[Phosphate (PPM)]]&gt;0.05, "Some evidence", IF(AllData[[#This Row],[Phosphate (PPM)]]&lt;=0.05, "No Evidence", ""))))</f>
        <v>Very high</v>
      </c>
      <c r="U1277">
        <v>0.2</v>
      </c>
      <c r="V1277" t="s">
        <v>1356</v>
      </c>
    </row>
    <row r="1278" spans="1:22" x14ac:dyDescent="0.35">
      <c r="A1278" t="s">
        <v>1604</v>
      </c>
      <c r="B1278" s="143">
        <v>45480</v>
      </c>
      <c r="C1278" s="2" t="str" cm="1">
        <f t="array" ref="C12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8">
        <f>YEAR(AllData[[#This Row],[Date]])</f>
        <v>2024</v>
      </c>
      <c r="E1278" s="1">
        <v>0.47291666666666665</v>
      </c>
      <c r="F1278" t="str">
        <f>IF(AND(AllData[[#This Row],[Time]]&lt;0.5, AllData[[#This Row],[Time]]&gt;0.17)=TRUE, "Morning", IF(AND(AllData[[#This Row],[Time]]&lt;0.75, AllData[[#This Row],[Time]]&gt;=0.5)=TRUE, "Afternoon", IF(AND(AllData[[#This Row],[Time]]&lt;1, AllData[[#This Row],[Time]]&gt;=0.75)=TRUE, "Evening", "Night")))</f>
        <v>Morning</v>
      </c>
      <c r="G1278" t="str">
        <f>_xlfn.XLOOKUP(AllData[[#This Row],[Location Name]], Locations[Location Name],Locations[Group As])</f>
        <v>Lower Lode</v>
      </c>
      <c r="H1278" t="e" vm="4">
        <f>_xlfn.XLOOKUP(AllData[[#This Row],[Site Name]],LocationsKey[Site Name],LocationsKey[District])</f>
        <v>#VALUE!</v>
      </c>
      <c r="I1278" t="e" vm="4">
        <f>_xlfn.XLOOKUP(AllData[[#This Row],[Site Name]],LocationsKey[Site Name],LocationsKey[Town])</f>
        <v>#VALUE!</v>
      </c>
      <c r="J1278" t="str">
        <f>_xlfn.XLOOKUP(AllData[[#This Row],[Site Name]],LocationsKey[Site Name], LocationsKey[Waterway])</f>
        <v>Avon</v>
      </c>
      <c r="K1278" t="s">
        <v>595</v>
      </c>
      <c r="L1278">
        <v>51.985075999999999</v>
      </c>
      <c r="M1278">
        <v>-2.1742900000000001</v>
      </c>
      <c r="N1278" t="s">
        <v>31</v>
      </c>
      <c r="O1278">
        <v>9270</v>
      </c>
      <c r="P1278">
        <v>17.3</v>
      </c>
      <c r="Q1278">
        <v>10</v>
      </c>
      <c r="R1278" s="107" t="str">
        <f>IF(AllData[[#This Row],[Nitrate (PPM)]]&gt;2, "Very high", IF(AllData[[#This Row],[Nitrate (PPM)]]&gt;1, "High", IF(AllData[[#This Row],[Nitrate (PPM)]]&gt;0.5, "Some evidence", IF(AllData[[#This Row],[Nitrate (PPM)]]&gt;=0, "No evidence"))))</f>
        <v>Very high</v>
      </c>
      <c r="S1278" s="4">
        <v>0.7</v>
      </c>
      <c r="T1278" s="7" t="str">
        <f>IF(AllData[[#This Row],[Phosphate (PPM)]]&gt;0.5, "Very high", IF(AllData[[#This Row],[Phosphate (PPM)]]&gt;0.1, "High", IF(AllData[[#This Row],[Phosphate (PPM)]]&gt;0.05, "Some evidence", IF(AllData[[#This Row],[Phosphate (PPM)]]&lt;=0.05, "No Evidence", ""))))</f>
        <v>Very high</v>
      </c>
      <c r="U1278">
        <v>0</v>
      </c>
    </row>
    <row r="1279" spans="1:22" x14ac:dyDescent="0.35">
      <c r="A1279" t="s">
        <v>1602</v>
      </c>
      <c r="B1279" s="143">
        <v>45480</v>
      </c>
      <c r="C1279" s="2" t="str" cm="1">
        <f t="array" ref="C12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79">
        <f>YEAR(AllData[[#This Row],[Date]])</f>
        <v>2024</v>
      </c>
      <c r="E1279" s="1">
        <v>0.42708333333333331</v>
      </c>
      <c r="F1279" t="str">
        <f>IF(AND(AllData[[#This Row],[Time]]&lt;0.5, AllData[[#This Row],[Time]]&gt;0.17)=TRUE, "Morning", IF(AND(AllData[[#This Row],[Time]]&lt;0.75, AllData[[#This Row],[Time]]&gt;=0.5)=TRUE, "Afternoon", IF(AND(AllData[[#This Row],[Time]]&lt;1, AllData[[#This Row],[Time]]&gt;=0.75)=TRUE, "Evening", "Night")))</f>
        <v>Morning</v>
      </c>
      <c r="G1279" t="str">
        <f>_xlfn.XLOOKUP(AllData[[#This Row],[Location Name]], Locations[Location Name],Locations[Group As])</f>
        <v>Sherbourne Brook 1</v>
      </c>
      <c r="H1279" t="e" vm="1">
        <f>_xlfn.XLOOKUP(AllData[[#This Row],[Site Name]],LocationsKey[Site Name],LocationsKey[District])</f>
        <v>#VALUE!</v>
      </c>
      <c r="I1279" t="e" vm="23">
        <f>_xlfn.XLOOKUP(AllData[[#This Row],[Site Name]],LocationsKey[Site Name],LocationsKey[Town])</f>
        <v>#VALUE!</v>
      </c>
      <c r="J1279" t="str">
        <f>_xlfn.XLOOKUP(AllData[[#This Row],[Site Name]],LocationsKey[Site Name], LocationsKey[Waterway])</f>
        <v>Sherbourne Brook</v>
      </c>
      <c r="K1279" t="s">
        <v>541</v>
      </c>
      <c r="L1279">
        <v>52.252499999999998</v>
      </c>
      <c r="M1279">
        <v>-1.6685000000000001</v>
      </c>
      <c r="N1279" t="s">
        <v>25</v>
      </c>
      <c r="O1279">
        <v>1120</v>
      </c>
      <c r="P1279">
        <v>14.1</v>
      </c>
      <c r="Q1279">
        <v>10</v>
      </c>
      <c r="R1279" s="107" t="str">
        <f>IF(AllData[[#This Row],[Nitrate (PPM)]]&gt;2, "Very high", IF(AllData[[#This Row],[Nitrate (PPM)]]&gt;1, "High", IF(AllData[[#This Row],[Nitrate (PPM)]]&gt;0.5, "Some evidence", IF(AllData[[#This Row],[Nitrate (PPM)]]&gt;=0, "No evidence"))))</f>
        <v>Very high</v>
      </c>
      <c r="S1279" s="4">
        <v>0.52</v>
      </c>
      <c r="T1279" s="7" t="str">
        <f>IF(AllData[[#This Row],[Phosphate (PPM)]]&gt;0.5, "Very high", IF(AllData[[#This Row],[Phosphate (PPM)]]&gt;0.1, "High", IF(AllData[[#This Row],[Phosphate (PPM)]]&gt;0.05, "Some evidence", IF(AllData[[#This Row],[Phosphate (PPM)]]&lt;=0.05, "No Evidence", ""))))</f>
        <v>Very high</v>
      </c>
      <c r="U1279">
        <v>0.1</v>
      </c>
    </row>
    <row r="1280" spans="1:22" x14ac:dyDescent="0.35">
      <c r="A1280" t="s">
        <v>1614</v>
      </c>
      <c r="B1280" s="143">
        <v>45480</v>
      </c>
      <c r="C1280" s="2" t="str" cm="1">
        <f t="array" ref="C12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0">
        <f>YEAR(AllData[[#This Row],[Date]])</f>
        <v>2024</v>
      </c>
      <c r="E1280" s="1"/>
      <c r="F1280" t="str">
        <f>IF(AND(AllData[[#This Row],[Time]]&lt;0.5, AllData[[#This Row],[Time]]&gt;0.17)=TRUE, "Morning", IF(AND(AllData[[#This Row],[Time]]&lt;0.75, AllData[[#This Row],[Time]]&gt;=0.5)=TRUE, "Afternoon", IF(AND(AllData[[#This Row],[Time]]&lt;1, AllData[[#This Row],[Time]]&gt;=0.75)=TRUE, "Evening", "Night")))</f>
        <v>Night</v>
      </c>
      <c r="G1280" t="str">
        <f>_xlfn.XLOOKUP(AllData[[#This Row],[Location Name]], Locations[Location Name],Locations[Group As])</f>
        <v>Site 3  :  Severn Trent Water processing plant outflow</v>
      </c>
      <c r="H1280" t="e" vm="1">
        <f>_xlfn.XLOOKUP(AllData[[#This Row],[Site Name]],LocationsKey[Site Name],LocationsKey[District])</f>
        <v>#VALUE!</v>
      </c>
      <c r="I1280" t="e" vm="14">
        <f>_xlfn.XLOOKUP(AllData[[#This Row],[Site Name]],LocationsKey[Site Name],LocationsKey[Town])</f>
        <v>#VALUE!</v>
      </c>
      <c r="J1280" t="str">
        <f>_xlfn.XLOOKUP(AllData[[#This Row],[Site Name]],LocationsKey[Site Name], LocationsKey[Waterway])</f>
        <v>Fosseway Brook</v>
      </c>
      <c r="K1280" t="s">
        <v>676</v>
      </c>
      <c r="L1280">
        <v>52.094423999999997</v>
      </c>
      <c r="M1280">
        <v>-1.6759090000000001</v>
      </c>
      <c r="N1280" t="s">
        <v>31</v>
      </c>
      <c r="O1280">
        <v>799</v>
      </c>
      <c r="P1280">
        <v>16.899999999999999</v>
      </c>
      <c r="Q1280">
        <v>10</v>
      </c>
      <c r="R1280" s="107" t="str">
        <f>IF(AllData[[#This Row],[Nitrate (PPM)]]&gt;2, "Very high", IF(AllData[[#This Row],[Nitrate (PPM)]]&gt;1, "High", IF(AllData[[#This Row],[Nitrate (PPM)]]&gt;0.5, "Some evidence", IF(AllData[[#This Row],[Nitrate (PPM)]]&gt;=0, "No evidence"))))</f>
        <v>Very high</v>
      </c>
      <c r="S1280" s="4">
        <v>1.06</v>
      </c>
      <c r="T1280" s="7" t="str">
        <f>IF(AllData[[#This Row],[Phosphate (PPM)]]&gt;0.5, "Very high", IF(AllData[[#This Row],[Phosphate (PPM)]]&gt;0.1, "High", IF(AllData[[#This Row],[Phosphate (PPM)]]&gt;0.05, "Some evidence", IF(AllData[[#This Row],[Phosphate (PPM)]]&lt;=0.05, "No Evidence", ""))))</f>
        <v>Very high</v>
      </c>
      <c r="V1280" t="s">
        <v>627</v>
      </c>
    </row>
    <row r="1281" spans="1:22" x14ac:dyDescent="0.35">
      <c r="A1281" t="s">
        <v>1613</v>
      </c>
      <c r="B1281" s="143">
        <v>45480</v>
      </c>
      <c r="C1281" s="2" t="str" cm="1">
        <f t="array" ref="C12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1">
        <f>YEAR(AllData[[#This Row],[Date]])</f>
        <v>2024</v>
      </c>
      <c r="F1281" t="str">
        <f>IF(AND(AllData[[#This Row],[Time]]&lt;0.5, AllData[[#This Row],[Time]]&gt;0.17)=TRUE, "Morning", IF(AND(AllData[[#This Row],[Time]]&lt;0.75, AllData[[#This Row],[Time]]&gt;=0.5)=TRUE, "Afternoon", IF(AND(AllData[[#This Row],[Time]]&lt;1, AllData[[#This Row],[Time]]&gt;=0.75)=TRUE, "Evening", "Night")))</f>
        <v>Night</v>
      </c>
      <c r="G1281" t="str">
        <f>_xlfn.XLOOKUP(AllData[[#This Row],[Location Name]], Locations[Location Name],Locations[Group As])</f>
        <v>Site 3  :  Severn Trent Water processing plant outflow</v>
      </c>
      <c r="H1281" t="e" vm="1">
        <f>_xlfn.XLOOKUP(AllData[[#This Row],[Site Name]],LocationsKey[Site Name],LocationsKey[District])</f>
        <v>#VALUE!</v>
      </c>
      <c r="I1281" t="e" vm="14">
        <f>_xlfn.XLOOKUP(AllData[[#This Row],[Site Name]],LocationsKey[Site Name],LocationsKey[Town])</f>
        <v>#VALUE!</v>
      </c>
      <c r="J1281" t="str">
        <f>_xlfn.XLOOKUP(AllData[[#This Row],[Site Name]],LocationsKey[Site Name], LocationsKey[Waterway])</f>
        <v>Fosseway Brook</v>
      </c>
      <c r="K1281" t="s">
        <v>673</v>
      </c>
      <c r="L1281">
        <v>52.094423999999997</v>
      </c>
      <c r="M1281">
        <v>-1.6759090000000001</v>
      </c>
      <c r="N1281" t="s">
        <v>31</v>
      </c>
      <c r="O1281">
        <v>799</v>
      </c>
      <c r="P1281">
        <v>16.899999999999999</v>
      </c>
      <c r="Q1281">
        <v>10</v>
      </c>
      <c r="R1281" s="107" t="str">
        <f>IF(AllData[[#This Row],[Nitrate (PPM)]]&gt;2, "Very high", IF(AllData[[#This Row],[Nitrate (PPM)]]&gt;1, "High", IF(AllData[[#This Row],[Nitrate (PPM)]]&gt;0.5, "Some evidence", IF(AllData[[#This Row],[Nitrate (PPM)]]&gt;=0, "No evidence"))))</f>
        <v>Very high</v>
      </c>
      <c r="S1281" s="4">
        <v>1.06</v>
      </c>
      <c r="T1281" s="7" t="str">
        <f>IF(AllData[[#This Row],[Phosphate (PPM)]]&gt;0.5, "Very high", IF(AllData[[#This Row],[Phosphate (PPM)]]&gt;0.1, "High", IF(AllData[[#This Row],[Phosphate (PPM)]]&gt;0.05, "Some evidence", IF(AllData[[#This Row],[Phosphate (PPM)]]&lt;=0.05, "No Evidence", ""))))</f>
        <v>Very high</v>
      </c>
      <c r="U1281">
        <v>0</v>
      </c>
      <c r="V1281" t="s">
        <v>674</v>
      </c>
    </row>
    <row r="1282" spans="1:22" x14ac:dyDescent="0.35">
      <c r="A1282" t="s">
        <v>1606</v>
      </c>
      <c r="B1282" s="143">
        <v>45480</v>
      </c>
      <c r="C1282" s="2" t="str" cm="1">
        <f t="array" ref="C12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2">
        <f>YEAR(AllData[[#This Row],[Date]])</f>
        <v>2024</v>
      </c>
      <c r="E1282" s="1">
        <v>0.77361111111111114</v>
      </c>
      <c r="F1282" t="str">
        <f>IF(AND(AllData[[#This Row],[Time]]&lt;0.5, AllData[[#This Row],[Time]]&gt;0.17)=TRUE, "Morning", IF(AND(AllData[[#This Row],[Time]]&lt;0.75, AllData[[#This Row],[Time]]&gt;=0.5)=TRUE, "Afternoon", IF(AND(AllData[[#This Row],[Time]]&lt;1, AllData[[#This Row],[Time]]&gt;=0.75)=TRUE, "Evening", "Night")))</f>
        <v>Evening</v>
      </c>
      <c r="G1282" t="str">
        <f>_xlfn.XLOOKUP(AllData[[#This Row],[Location Name]], Locations[Location Name],Locations[Group As])</f>
        <v>Black Bear</v>
      </c>
      <c r="H1282" t="e" vm="4">
        <f>_xlfn.XLOOKUP(AllData[[#This Row],[Site Name]],LocationsKey[Site Name],LocationsKey[District])</f>
        <v>#VALUE!</v>
      </c>
      <c r="I1282" t="e" vm="4">
        <f>_xlfn.XLOOKUP(AllData[[#This Row],[Site Name]],LocationsKey[Site Name],LocationsKey[Town])</f>
        <v>#VALUE!</v>
      </c>
      <c r="J1282" t="str">
        <f>_xlfn.XLOOKUP(AllData[[#This Row],[Site Name]],LocationsKey[Site Name], LocationsKey[Waterway])</f>
        <v>Avon</v>
      </c>
      <c r="K1282" t="s">
        <v>1175</v>
      </c>
      <c r="L1282">
        <v>51.997504999999997</v>
      </c>
      <c r="M1282">
        <v>-2.1559569999999999</v>
      </c>
      <c r="N1282" t="s">
        <v>25</v>
      </c>
      <c r="O1282">
        <v>976</v>
      </c>
      <c r="P1282">
        <v>20.5</v>
      </c>
      <c r="Q1282">
        <v>8</v>
      </c>
      <c r="R1282" s="107" t="str">
        <f>IF(AllData[[#This Row],[Nitrate (PPM)]]&gt;2, "Very high", IF(AllData[[#This Row],[Nitrate (PPM)]]&gt;1, "High", IF(AllData[[#This Row],[Nitrate (PPM)]]&gt;0.5, "Some evidence", IF(AllData[[#This Row],[Nitrate (PPM)]]&gt;=0, "No evidence"))))</f>
        <v>Very high</v>
      </c>
      <c r="S1282" s="4">
        <v>0.78</v>
      </c>
      <c r="T1282" s="7" t="str">
        <f>IF(AllData[[#This Row],[Phosphate (PPM)]]&gt;0.5, "Very high", IF(AllData[[#This Row],[Phosphate (PPM)]]&gt;0.1, "High", IF(AllData[[#This Row],[Phosphate (PPM)]]&gt;0.05, "Some evidence", IF(AllData[[#This Row],[Phosphate (PPM)]]&lt;=0.05, "No Evidence", ""))))</f>
        <v>Very high</v>
      </c>
      <c r="U1282">
        <v>0</v>
      </c>
    </row>
    <row r="1283" spans="1:22" x14ac:dyDescent="0.35">
      <c r="A1283" t="s">
        <v>1605</v>
      </c>
      <c r="B1283" s="143">
        <v>45480</v>
      </c>
      <c r="C1283" s="2" t="str" cm="1">
        <f t="array" ref="C12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3">
        <f>YEAR(AllData[[#This Row],[Date]])</f>
        <v>2024</v>
      </c>
      <c r="E1283" s="1">
        <v>0.64583333333333337</v>
      </c>
      <c r="F1283" t="str">
        <f>IF(AND(AllData[[#This Row],[Time]]&lt;0.5, AllData[[#This Row],[Time]]&gt;0.17)=TRUE, "Morning", IF(AND(AllData[[#This Row],[Time]]&lt;0.75, AllData[[#This Row],[Time]]&gt;=0.5)=TRUE, "Afternoon", IF(AND(AllData[[#This Row],[Time]]&lt;1, AllData[[#This Row],[Time]]&gt;=0.75)=TRUE, "Evening", "Night")))</f>
        <v>Afternoon</v>
      </c>
      <c r="G1283" t="str">
        <f>_xlfn.XLOOKUP(AllData[[#This Row],[Location Name]], Locations[Location Name],Locations[Group As])</f>
        <v>Fell Mill Footbridge</v>
      </c>
      <c r="H1283" t="e" vm="1">
        <f>_xlfn.XLOOKUP(AllData[[#This Row],[Site Name]],LocationsKey[Site Name],LocationsKey[District])</f>
        <v>#VALUE!</v>
      </c>
      <c r="I1283" t="e" vm="15">
        <f>_xlfn.XLOOKUP(AllData[[#This Row],[Site Name]],LocationsKey[Site Name],LocationsKey[Town])</f>
        <v>#VALUE!</v>
      </c>
      <c r="J1283" t="str">
        <f>_xlfn.XLOOKUP(AllData[[#This Row],[Site Name]],LocationsKey[Site Name], LocationsKey[Waterway])</f>
        <v>Stour</v>
      </c>
      <c r="K1283" t="s">
        <v>875</v>
      </c>
      <c r="L1283">
        <v>52.070086000000003</v>
      </c>
      <c r="M1283">
        <v>-1.61145</v>
      </c>
      <c r="N1283" t="s">
        <v>31</v>
      </c>
      <c r="O1283">
        <v>578</v>
      </c>
      <c r="P1283">
        <v>16.399999999999999</v>
      </c>
      <c r="Q1283">
        <v>5</v>
      </c>
      <c r="R1283" s="107" t="str">
        <f>IF(AllData[[#This Row],[Nitrate (PPM)]]&gt;2, "Very high", IF(AllData[[#This Row],[Nitrate (PPM)]]&gt;1, "High", IF(AllData[[#This Row],[Nitrate (PPM)]]&gt;0.5, "Some evidence", IF(AllData[[#This Row],[Nitrate (PPM)]]&gt;=0, "No evidence"))))</f>
        <v>Very high</v>
      </c>
      <c r="S1283" s="4">
        <v>0.79</v>
      </c>
      <c r="T1283" s="7" t="str">
        <f>IF(AllData[[#This Row],[Phosphate (PPM)]]&gt;0.5, "Very high", IF(AllData[[#This Row],[Phosphate (PPM)]]&gt;0.1, "High", IF(AllData[[#This Row],[Phosphate (PPM)]]&gt;0.05, "Some evidence", IF(AllData[[#This Row],[Phosphate (PPM)]]&lt;=0.05, "No Evidence", ""))))</f>
        <v>Very high</v>
      </c>
      <c r="U1283">
        <v>1.4</v>
      </c>
    </row>
    <row r="1284" spans="1:22" x14ac:dyDescent="0.35">
      <c r="A1284" t="s">
        <v>1603</v>
      </c>
      <c r="B1284" s="143">
        <v>45480</v>
      </c>
      <c r="C1284" s="2" t="str" cm="1">
        <f t="array" ref="C12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4">
        <f>YEAR(AllData[[#This Row],[Date]])</f>
        <v>2024</v>
      </c>
      <c r="E1284" s="1">
        <v>0.4375</v>
      </c>
      <c r="F1284" t="str">
        <f>IF(AND(AllData[[#This Row],[Time]]&lt;0.5, AllData[[#This Row],[Time]]&gt;0.17)=TRUE, "Morning", IF(AND(AllData[[#This Row],[Time]]&lt;0.75, AllData[[#This Row],[Time]]&gt;=0.5)=TRUE, "Afternoon", IF(AND(AllData[[#This Row],[Time]]&lt;1, AllData[[#This Row],[Time]]&gt;=0.75)=TRUE, "Evening", "Night")))</f>
        <v>Morning</v>
      </c>
      <c r="G1284" t="str">
        <f>_xlfn.XLOOKUP(AllData[[#This Row],[Location Name]], Locations[Location Name],Locations[Group As])</f>
        <v>Bell Brook 1</v>
      </c>
      <c r="H1284" t="e" vm="1">
        <f>_xlfn.XLOOKUP(AllData[[#This Row],[Site Name]],LocationsKey[Site Name],LocationsKey[District])</f>
        <v>#VALUE!</v>
      </c>
      <c r="I1284" t="e" vm="19">
        <f>_xlfn.XLOOKUP(AllData[[#This Row],[Site Name]],LocationsKey[Site Name],LocationsKey[Town])</f>
        <v>#VALUE!</v>
      </c>
      <c r="J1284" t="str">
        <f>_xlfn.XLOOKUP(AllData[[#This Row],[Site Name]],LocationsKey[Site Name], LocationsKey[Waterway])</f>
        <v>Bell Brook</v>
      </c>
      <c r="K1284" t="s">
        <v>538</v>
      </c>
      <c r="L1284">
        <v>52.244900000000001</v>
      </c>
      <c r="M1284">
        <v>-1.6617</v>
      </c>
      <c r="N1284" t="s">
        <v>25</v>
      </c>
      <c r="O1284">
        <v>708</v>
      </c>
      <c r="P1284">
        <v>15.1</v>
      </c>
      <c r="Q1284">
        <v>4</v>
      </c>
      <c r="R1284" s="107" t="str">
        <f>IF(AllData[[#This Row],[Nitrate (PPM)]]&gt;2, "Very high", IF(AllData[[#This Row],[Nitrate (PPM)]]&gt;1, "High", IF(AllData[[#This Row],[Nitrate (PPM)]]&gt;0.5, "Some evidence", IF(AllData[[#This Row],[Nitrate (PPM)]]&gt;=0, "No evidence"))))</f>
        <v>Very high</v>
      </c>
      <c r="S1284" s="4">
        <v>0.56000000000000005</v>
      </c>
      <c r="T1284" s="7" t="str">
        <f>IF(AllData[[#This Row],[Phosphate (PPM)]]&gt;0.5, "Very high", IF(AllData[[#This Row],[Phosphate (PPM)]]&gt;0.1, "High", IF(AllData[[#This Row],[Phosphate (PPM)]]&gt;0.05, "Some evidence", IF(AllData[[#This Row],[Phosphate (PPM)]]&lt;=0.05, "No Evidence", ""))))</f>
        <v>Very high</v>
      </c>
      <c r="U1284">
        <v>0.1</v>
      </c>
    </row>
    <row r="1285" spans="1:22" x14ac:dyDescent="0.35">
      <c r="A1285" t="s">
        <v>1612</v>
      </c>
      <c r="B1285" s="143">
        <v>45480</v>
      </c>
      <c r="C1285" s="2" t="str" cm="1">
        <f t="array" ref="C12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5">
        <f>YEAR(AllData[[#This Row],[Date]])</f>
        <v>2024</v>
      </c>
      <c r="E1285" s="1"/>
      <c r="F1285" t="str">
        <f>IF(AND(AllData[[#This Row],[Time]]&lt;0.5, AllData[[#This Row],[Time]]&gt;0.17)=TRUE, "Morning", IF(AND(AllData[[#This Row],[Time]]&lt;0.75, AllData[[#This Row],[Time]]&gt;=0.5)=TRUE, "Afternoon", IF(AND(AllData[[#This Row],[Time]]&lt;1, AllData[[#This Row],[Time]]&gt;=0.75)=TRUE, "Evening", "Night")))</f>
        <v>Night</v>
      </c>
      <c r="G1285" t="str">
        <f>_xlfn.XLOOKUP(AllData[[#This Row],[Location Name]], Locations[Location Name],Locations[Group As])</f>
        <v>Site 2  :  Cross Leys culvert</v>
      </c>
      <c r="H1285" t="e" vm="1">
        <f>_xlfn.XLOOKUP(AllData[[#This Row],[Site Name]],LocationsKey[Site Name],LocationsKey[District])</f>
        <v>#VALUE!</v>
      </c>
      <c r="I1285" t="e" vm="14">
        <f>_xlfn.XLOOKUP(AllData[[#This Row],[Site Name]],LocationsKey[Site Name],LocationsKey[Town])</f>
        <v>#VALUE!</v>
      </c>
      <c r="J1285" t="str">
        <f>_xlfn.XLOOKUP(AllData[[#This Row],[Site Name]],LocationsKey[Site Name], LocationsKey[Waterway])</f>
        <v>Fosseway Brook</v>
      </c>
      <c r="K1285" t="s">
        <v>626</v>
      </c>
      <c r="L1285">
        <v>52.092967999999999</v>
      </c>
      <c r="M1285">
        <v>-1.6862710000000001</v>
      </c>
      <c r="N1285" t="s">
        <v>68</v>
      </c>
      <c r="O1285">
        <v>705</v>
      </c>
      <c r="P1285">
        <v>15.5</v>
      </c>
      <c r="Q1285">
        <v>2</v>
      </c>
      <c r="R1285" s="107" t="str">
        <f>IF(AllData[[#This Row],[Nitrate (PPM)]]&gt;2, "Very high", IF(AllData[[#This Row],[Nitrate (PPM)]]&gt;1, "High", IF(AllData[[#This Row],[Nitrate (PPM)]]&gt;0.5, "Some evidence", IF(AllData[[#This Row],[Nitrate (PPM)]]&gt;=0, "No evidence"))))</f>
        <v>High</v>
      </c>
      <c r="S1285" s="4">
        <v>0.34</v>
      </c>
      <c r="T1285" s="7" t="str">
        <f>IF(AllData[[#This Row],[Phosphate (PPM)]]&gt;0.5, "Very high", IF(AllData[[#This Row],[Phosphate (PPM)]]&gt;0.1, "High", IF(AllData[[#This Row],[Phosphate (PPM)]]&gt;0.05, "Some evidence", IF(AllData[[#This Row],[Phosphate (PPM)]]&lt;=0.05, "No Evidence", ""))))</f>
        <v>High</v>
      </c>
    </row>
    <row r="1286" spans="1:22" x14ac:dyDescent="0.35">
      <c r="A1286" t="s">
        <v>1611</v>
      </c>
      <c r="B1286" s="143">
        <v>45480</v>
      </c>
      <c r="C1286" s="2" t="str" cm="1">
        <f t="array" ref="C12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6">
        <f>YEAR(AllData[[#This Row],[Date]])</f>
        <v>2024</v>
      </c>
      <c r="F1286" t="str">
        <f>IF(AND(AllData[[#This Row],[Time]]&lt;0.5, AllData[[#This Row],[Time]]&gt;0.17)=TRUE, "Morning", IF(AND(AllData[[#This Row],[Time]]&lt;0.75, AllData[[#This Row],[Time]]&gt;=0.5)=TRUE, "Afternoon", IF(AND(AllData[[#This Row],[Time]]&lt;1, AllData[[#This Row],[Time]]&gt;=0.75)=TRUE, "Evening", "Night")))</f>
        <v>Night</v>
      </c>
      <c r="G1286" t="str">
        <f>_xlfn.XLOOKUP(AllData[[#This Row],[Location Name]], Locations[Location Name],Locations[Group As])</f>
        <v>Site 2  :  Cross Leys culvert</v>
      </c>
      <c r="H1286" t="e" vm="1">
        <f>_xlfn.XLOOKUP(AllData[[#This Row],[Site Name]],LocationsKey[Site Name],LocationsKey[District])</f>
        <v>#VALUE!</v>
      </c>
      <c r="I1286" t="e" vm="14">
        <f>_xlfn.XLOOKUP(AllData[[#This Row],[Site Name]],LocationsKey[Site Name],LocationsKey[Town])</f>
        <v>#VALUE!</v>
      </c>
      <c r="J1286" t="str">
        <f>_xlfn.XLOOKUP(AllData[[#This Row],[Site Name]],LocationsKey[Site Name], LocationsKey[Waterway])</f>
        <v>Fosseway Brook</v>
      </c>
      <c r="K1286" t="s">
        <v>623</v>
      </c>
      <c r="L1286">
        <v>52.092967999999999</v>
      </c>
      <c r="M1286">
        <v>-1.6862710000000001</v>
      </c>
      <c r="N1286" t="s">
        <v>68</v>
      </c>
      <c r="O1286">
        <v>705</v>
      </c>
      <c r="P1286">
        <v>15.5</v>
      </c>
      <c r="Q1286">
        <v>2</v>
      </c>
      <c r="R1286" s="107" t="str">
        <f>IF(AllData[[#This Row],[Nitrate (PPM)]]&gt;2, "Very high", IF(AllData[[#This Row],[Nitrate (PPM)]]&gt;1, "High", IF(AllData[[#This Row],[Nitrate (PPM)]]&gt;0.5, "Some evidence", IF(AllData[[#This Row],[Nitrate (PPM)]]&gt;=0, "No evidence"))))</f>
        <v>High</v>
      </c>
      <c r="S1286" s="4">
        <v>0.34</v>
      </c>
      <c r="T1286" s="7" t="str">
        <f>IF(AllData[[#This Row],[Phosphate (PPM)]]&gt;0.5, "Very high", IF(AllData[[#This Row],[Phosphate (PPM)]]&gt;0.1, "High", IF(AllData[[#This Row],[Phosphate (PPM)]]&gt;0.05, "Some evidence", IF(AllData[[#This Row],[Phosphate (PPM)]]&lt;=0.05, "No Evidence", ""))))</f>
        <v>High</v>
      </c>
      <c r="U1286">
        <v>0</v>
      </c>
      <c r="V1286" t="s">
        <v>835</v>
      </c>
    </row>
    <row r="1287" spans="1:22" x14ac:dyDescent="0.35">
      <c r="A1287" t="s">
        <v>1609</v>
      </c>
      <c r="B1287" s="143">
        <v>45480</v>
      </c>
      <c r="C1287" s="2" t="str" cm="1">
        <f t="array" ref="C12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7">
        <f>YEAR(AllData[[#This Row],[Date]])</f>
        <v>2024</v>
      </c>
      <c r="E1287" s="1"/>
      <c r="F1287" t="str">
        <f>IF(AND(AllData[[#This Row],[Time]]&lt;0.5, AllData[[#This Row],[Time]]&gt;0.17)=TRUE, "Morning", IF(AND(AllData[[#This Row],[Time]]&lt;0.75, AllData[[#This Row],[Time]]&gt;=0.5)=TRUE, "Afternoon", IF(AND(AllData[[#This Row],[Time]]&lt;1, AllData[[#This Row],[Time]]&gt;=0.75)=TRUE, "Evening", "Night")))</f>
        <v>Night</v>
      </c>
      <c r="G1287" t="str">
        <f>_xlfn.XLOOKUP(AllData[[#This Row],[Location Name]], Locations[Location Name],Locations[Group As])</f>
        <v>Site 1  :  Middle Street</v>
      </c>
      <c r="H1287" t="e" vm="1">
        <f>_xlfn.XLOOKUP(AllData[[#This Row],[Site Name]],LocationsKey[Site Name],LocationsKey[District])</f>
        <v>#VALUE!</v>
      </c>
      <c r="I1287" t="e" vm="14">
        <f>_xlfn.XLOOKUP(AllData[[#This Row],[Site Name]],LocationsKey[Site Name],LocationsKey[Town])</f>
        <v>#VALUE!</v>
      </c>
      <c r="J1287" t="str">
        <f>_xlfn.XLOOKUP(AllData[[#This Row],[Site Name]],LocationsKey[Site Name], LocationsKey[Waterway])</f>
        <v>Fosseway Brook</v>
      </c>
      <c r="K1287" t="s">
        <v>670</v>
      </c>
      <c r="L1287">
        <v>52.090085000000002</v>
      </c>
      <c r="M1287">
        <v>-1.692593</v>
      </c>
      <c r="N1287" t="s">
        <v>68</v>
      </c>
      <c r="O1287">
        <v>620</v>
      </c>
      <c r="P1287">
        <v>16.5</v>
      </c>
      <c r="Q1287">
        <v>2</v>
      </c>
      <c r="R1287" s="107" t="str">
        <f>IF(AllData[[#This Row],[Nitrate (PPM)]]&gt;2, "Very high", IF(AllData[[#This Row],[Nitrate (PPM)]]&gt;1, "High", IF(AllData[[#This Row],[Nitrate (PPM)]]&gt;0.5, "Some evidence", IF(AllData[[#This Row],[Nitrate (PPM)]]&gt;=0, "No evidence"))))</f>
        <v>High</v>
      </c>
      <c r="S1287" s="4">
        <v>0.15</v>
      </c>
      <c r="T1287" s="7" t="str">
        <f>IF(AllData[[#This Row],[Phosphate (PPM)]]&gt;0.5, "Very high", IF(AllData[[#This Row],[Phosphate (PPM)]]&gt;0.1, "High", IF(AllData[[#This Row],[Phosphate (PPM)]]&gt;0.05, "Some evidence", IF(AllData[[#This Row],[Phosphate (PPM)]]&lt;=0.05, "No Evidence", ""))))</f>
        <v>High</v>
      </c>
      <c r="V1287" t="s">
        <v>1610</v>
      </c>
    </row>
    <row r="1288" spans="1:22" x14ac:dyDescent="0.35">
      <c r="A1288" t="s">
        <v>1607</v>
      </c>
      <c r="B1288" s="143">
        <v>45480</v>
      </c>
      <c r="C1288" s="2" t="str" cm="1">
        <f t="array" ref="C12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8">
        <f>YEAR(AllData[[#This Row],[Date]])</f>
        <v>2024</v>
      </c>
      <c r="F1288" t="str">
        <f>IF(AND(AllData[[#This Row],[Time]]&lt;0.5, AllData[[#This Row],[Time]]&gt;0.17)=TRUE, "Morning", IF(AND(AllData[[#This Row],[Time]]&lt;0.75, AllData[[#This Row],[Time]]&gt;=0.5)=TRUE, "Afternoon", IF(AND(AllData[[#This Row],[Time]]&lt;1, AllData[[#This Row],[Time]]&gt;=0.75)=TRUE, "Evening", "Night")))</f>
        <v>Night</v>
      </c>
      <c r="G1288" t="str">
        <f>_xlfn.XLOOKUP(AllData[[#This Row],[Location Name]], Locations[Location Name],Locations[Group As])</f>
        <v>Site 1  :  Middle Street</v>
      </c>
      <c r="H1288" t="e" vm="1">
        <f>_xlfn.XLOOKUP(AllData[[#This Row],[Site Name]],LocationsKey[Site Name],LocationsKey[District])</f>
        <v>#VALUE!</v>
      </c>
      <c r="I1288" t="e" vm="14">
        <f>_xlfn.XLOOKUP(AllData[[#This Row],[Site Name]],LocationsKey[Site Name],LocationsKey[Town])</f>
        <v>#VALUE!</v>
      </c>
      <c r="J1288" t="str">
        <f>_xlfn.XLOOKUP(AllData[[#This Row],[Site Name]],LocationsKey[Site Name], LocationsKey[Waterway])</f>
        <v>Fosseway Brook</v>
      </c>
      <c r="K1288" t="s">
        <v>667</v>
      </c>
      <c r="L1288">
        <v>52.090085000000002</v>
      </c>
      <c r="M1288">
        <v>-1.692593</v>
      </c>
      <c r="N1288" t="s">
        <v>68</v>
      </c>
      <c r="O1288">
        <v>620</v>
      </c>
      <c r="P1288">
        <v>16.5</v>
      </c>
      <c r="Q1288">
        <v>2</v>
      </c>
      <c r="R1288" s="107" t="str">
        <f>IF(AllData[[#This Row],[Nitrate (PPM)]]&gt;2, "Very high", IF(AllData[[#This Row],[Nitrate (PPM)]]&gt;1, "High", IF(AllData[[#This Row],[Nitrate (PPM)]]&gt;0.5, "Some evidence", IF(AllData[[#This Row],[Nitrate (PPM)]]&gt;=0, "No evidence"))))</f>
        <v>High</v>
      </c>
      <c r="S1288" s="4">
        <v>0.15</v>
      </c>
      <c r="T1288" s="7" t="str">
        <f>IF(AllData[[#This Row],[Phosphate (PPM)]]&gt;0.5, "Very high", IF(AllData[[#This Row],[Phosphate (PPM)]]&gt;0.1, "High", IF(AllData[[#This Row],[Phosphate (PPM)]]&gt;0.05, "Some evidence", IF(AllData[[#This Row],[Phosphate (PPM)]]&lt;=0.05, "No Evidence", ""))))</f>
        <v>High</v>
      </c>
      <c r="U1288">
        <v>0</v>
      </c>
      <c r="V1288" t="s">
        <v>1608</v>
      </c>
    </row>
    <row r="1289" spans="1:22" x14ac:dyDescent="0.35">
      <c r="A1289" t="s">
        <v>1615</v>
      </c>
      <c r="B1289" s="143">
        <v>45480</v>
      </c>
      <c r="C1289" s="2" t="str" cm="1">
        <f t="array" ref="C12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89">
        <f>YEAR(AllData[[#This Row],[Date]])</f>
        <v>2024</v>
      </c>
      <c r="E1289" s="1">
        <v>0.52500000000000002</v>
      </c>
      <c r="F1289" t="str">
        <f>IF(AND(AllData[[#This Row],[Time]]&lt;0.5, AllData[[#This Row],[Time]]&gt;0.17)=TRUE, "Morning", IF(AND(AllData[[#This Row],[Time]]&lt;0.75, AllData[[#This Row],[Time]]&gt;=0.5)=TRUE, "Afternoon", IF(AND(AllData[[#This Row],[Time]]&lt;1, AllData[[#This Row],[Time]]&gt;=0.75)=TRUE, "Evening", "Night")))</f>
        <v>Afternoon</v>
      </c>
      <c r="G1289" t="str">
        <f>_xlfn.XLOOKUP(AllData[[#This Row],[Location Name]], Locations[Location Name],Locations[Group As])</f>
        <v>Site 1  :  Middle Street</v>
      </c>
      <c r="H1289" t="e" vm="1">
        <f>_xlfn.XLOOKUP(AllData[[#This Row],[Site Name]],LocationsKey[Site Name],LocationsKey[District])</f>
        <v>#VALUE!</v>
      </c>
      <c r="I1289" t="e" vm="14">
        <f>_xlfn.XLOOKUP(AllData[[#This Row],[Site Name]],LocationsKey[Site Name],LocationsKey[Town])</f>
        <v>#VALUE!</v>
      </c>
      <c r="J1289" t="str">
        <f>_xlfn.XLOOKUP(AllData[[#This Row],[Site Name]],LocationsKey[Site Name], LocationsKey[Waterway])</f>
        <v>Fosseway Brook</v>
      </c>
      <c r="K1289" t="s">
        <v>678</v>
      </c>
      <c r="L1289">
        <v>52.090085000000002</v>
      </c>
      <c r="M1289">
        <v>-1.692593</v>
      </c>
      <c r="N1289" t="s">
        <v>68</v>
      </c>
      <c r="O1289">
        <v>620</v>
      </c>
      <c r="P1289">
        <v>16.5</v>
      </c>
      <c r="Q1289">
        <v>2</v>
      </c>
      <c r="R1289" s="107" t="str">
        <f>IF(AllData[[#This Row],[Nitrate (PPM)]]&gt;2, "Very high", IF(AllData[[#This Row],[Nitrate (PPM)]]&gt;1, "High", IF(AllData[[#This Row],[Nitrate (PPM)]]&gt;0.5, "Some evidence", IF(AllData[[#This Row],[Nitrate (PPM)]]&gt;=0, "No evidence"))))</f>
        <v>High</v>
      </c>
      <c r="S1289">
        <v>0.15</v>
      </c>
      <c r="T1289" s="7" t="str">
        <f>IF(AllData[[#This Row],[Phosphate (PPM)]]&gt;0.5, "Very high", IF(AllData[[#This Row],[Phosphate (PPM)]]&gt;0.1, "High", IF(AllData[[#This Row],[Phosphate (PPM)]]&gt;0.05, "Some evidence", IF(AllData[[#This Row],[Phosphate (PPM)]]&lt;=0.05, "No Evidence", ""))))</f>
        <v>High</v>
      </c>
      <c r="U1289">
        <v>0.05</v>
      </c>
    </row>
    <row r="1290" spans="1:22" x14ac:dyDescent="0.35">
      <c r="A1290" t="s">
        <v>1597</v>
      </c>
      <c r="B1290" s="143">
        <v>45479</v>
      </c>
      <c r="C1290" s="2" t="str" cm="1">
        <f t="array" ref="C12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0">
        <f>YEAR(AllData[[#This Row],[Date]])</f>
        <v>2024</v>
      </c>
      <c r="E1290" s="1">
        <v>0.4375</v>
      </c>
      <c r="F1290" t="str">
        <f>IF(AND(AllData[[#This Row],[Time]]&lt;0.5, AllData[[#This Row],[Time]]&gt;0.17)=TRUE, "Morning", IF(AND(AllData[[#This Row],[Time]]&lt;0.75, AllData[[#This Row],[Time]]&gt;=0.5)=TRUE, "Afternoon", IF(AND(AllData[[#This Row],[Time]]&lt;1, AllData[[#This Row],[Time]]&gt;=0.75)=TRUE, "Evening", "Night")))</f>
        <v>Morning</v>
      </c>
      <c r="G1290" t="str">
        <f>_xlfn.XLOOKUP(AllData[[#This Row],[Location Name]], Locations[Location Name],Locations[Group As])</f>
        <v>Piddle Brook Wyre Piddle Bridge</v>
      </c>
      <c r="H1290" t="e" vm="6">
        <f>_xlfn.XLOOKUP(AllData[[#This Row],[Site Name]],LocationsKey[Site Name],LocationsKey[District])</f>
        <v>#VALUE!</v>
      </c>
      <c r="I1290" t="e" vm="13">
        <f>_xlfn.XLOOKUP(AllData[[#This Row],[Site Name]],LocationsKey[Site Name],LocationsKey[Town])</f>
        <v>#VALUE!</v>
      </c>
      <c r="J1290" t="str">
        <f>_xlfn.XLOOKUP(AllData[[#This Row],[Site Name]],LocationsKey[Site Name], LocationsKey[Waterway])</f>
        <v>Piddle Brook</v>
      </c>
      <c r="K1290" t="s">
        <v>787</v>
      </c>
      <c r="L1290">
        <v>52.126404000000001</v>
      </c>
      <c r="M1290">
        <v>-2.0565410000000002</v>
      </c>
      <c r="N1290" t="s">
        <v>25</v>
      </c>
      <c r="O1290">
        <v>1650</v>
      </c>
      <c r="P1290">
        <v>14</v>
      </c>
      <c r="Q1290">
        <v>10</v>
      </c>
      <c r="R1290" s="107" t="str">
        <f>IF(AllData[[#This Row],[Nitrate (PPM)]]&gt;2, "Very high", IF(AllData[[#This Row],[Nitrate (PPM)]]&gt;1, "High", IF(AllData[[#This Row],[Nitrate (PPM)]]&gt;0.5, "Some evidence", IF(AllData[[#This Row],[Nitrate (PPM)]]&gt;=0, "No evidence"))))</f>
        <v>Very high</v>
      </c>
      <c r="S1290" s="4">
        <v>1.1299999999999999</v>
      </c>
      <c r="T1290" s="7" t="str">
        <f>IF(AllData[[#This Row],[Phosphate (PPM)]]&gt;0.5, "Very high", IF(AllData[[#This Row],[Phosphate (PPM)]]&gt;0.1, "High", IF(AllData[[#This Row],[Phosphate (PPM)]]&gt;0.05, "Some evidence", IF(AllData[[#This Row],[Phosphate (PPM)]]&lt;=0.05, "No Evidence", ""))))</f>
        <v>Very high</v>
      </c>
      <c r="U1290">
        <v>0.19</v>
      </c>
      <c r="V1290" t="s">
        <v>1598</v>
      </c>
    </row>
    <row r="1291" spans="1:22" x14ac:dyDescent="0.35">
      <c r="A1291" t="s">
        <v>1601</v>
      </c>
      <c r="B1291" s="143">
        <v>45479</v>
      </c>
      <c r="C1291" s="2" t="str" cm="1">
        <f t="array" ref="C12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1">
        <f>YEAR(AllData[[#This Row],[Date]])</f>
        <v>2024</v>
      </c>
      <c r="E1291" s="1">
        <v>0.58333333333333337</v>
      </c>
      <c r="F1291" t="str">
        <f>IF(AND(AllData[[#This Row],[Time]]&lt;0.5, AllData[[#This Row],[Time]]&gt;0.17)=TRUE, "Morning", IF(AND(AllData[[#This Row],[Time]]&lt;0.75, AllData[[#This Row],[Time]]&gt;=0.5)=TRUE, "Afternoon", IF(AND(AllData[[#This Row],[Time]]&lt;1, AllData[[#This Row],[Time]]&gt;=0.75)=TRUE, "Evening", "Night")))</f>
        <v>Afternoon</v>
      </c>
      <c r="G1291" t="str">
        <f>_xlfn.XLOOKUP(AllData[[#This Row],[Location Name]], Locations[Location Name],Locations[Group As])</f>
        <v>Clifford Chambers Mill Bridge</v>
      </c>
      <c r="H1291" t="e" vm="1">
        <f>_xlfn.XLOOKUP(AllData[[#This Row],[Site Name]],LocationsKey[Site Name],LocationsKey[District])</f>
        <v>#VALUE!</v>
      </c>
      <c r="I1291" t="e" vm="22">
        <f>_xlfn.XLOOKUP(AllData[[#This Row],[Site Name]],LocationsKey[Site Name],LocationsKey[Town])</f>
        <v>#VALUE!</v>
      </c>
      <c r="J1291" t="str">
        <f>_xlfn.XLOOKUP(AllData[[#This Row],[Site Name]],LocationsKey[Site Name], LocationsKey[Waterway])</f>
        <v>Stour</v>
      </c>
      <c r="K1291" t="s">
        <v>266</v>
      </c>
      <c r="L1291">
        <v>52.166370000000001</v>
      </c>
      <c r="M1291">
        <v>-1.708032</v>
      </c>
      <c r="N1291" t="s">
        <v>68</v>
      </c>
      <c r="O1291">
        <v>659</v>
      </c>
      <c r="P1291">
        <v>17.2</v>
      </c>
      <c r="Q1291">
        <v>10</v>
      </c>
      <c r="R1291" s="107" t="str">
        <f>IF(AllData[[#This Row],[Nitrate (PPM)]]&gt;2, "Very high", IF(AllData[[#This Row],[Nitrate (PPM)]]&gt;1, "High", IF(AllData[[#This Row],[Nitrate (PPM)]]&gt;0.5, "Some evidence", IF(AllData[[#This Row],[Nitrate (PPM)]]&gt;=0, "No evidence"))))</f>
        <v>Very high</v>
      </c>
      <c r="S1291">
        <v>0.34</v>
      </c>
      <c r="T1291" s="7" t="str">
        <f>IF(AllData[[#This Row],[Phosphate (PPM)]]&gt;0.5, "Very high", IF(AllData[[#This Row],[Phosphate (PPM)]]&gt;0.1, "High", IF(AllData[[#This Row],[Phosphate (PPM)]]&gt;0.05, "Some evidence", IF(AllData[[#This Row],[Phosphate (PPM)]]&lt;=0.05, "No Evidence", ""))))</f>
        <v>High</v>
      </c>
      <c r="U1291">
        <v>0.6</v>
      </c>
    </row>
    <row r="1292" spans="1:22" x14ac:dyDescent="0.35">
      <c r="A1292" t="s">
        <v>1595</v>
      </c>
      <c r="B1292" s="143">
        <v>45479</v>
      </c>
      <c r="C1292" s="2" t="str" cm="1">
        <f t="array" ref="C12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2">
        <f>YEAR(AllData[[#This Row],[Date]])</f>
        <v>2024</v>
      </c>
      <c r="E1292" s="1">
        <v>0.41666666666666669</v>
      </c>
      <c r="F1292" t="str">
        <f>IF(AND(AllData[[#This Row],[Time]]&lt;0.5, AllData[[#This Row],[Time]]&gt;0.17)=TRUE, "Morning", IF(AND(AllData[[#This Row],[Time]]&lt;0.75, AllData[[#This Row],[Time]]&gt;=0.5)=TRUE, "Afternoon", IF(AND(AllData[[#This Row],[Time]]&lt;1, AllData[[#This Row],[Time]]&gt;=0.75)=TRUE, "Evening", "Night")))</f>
        <v>Morning</v>
      </c>
      <c r="G1292" t="str">
        <f>_xlfn.XLOOKUP(AllData[[#This Row],[Location Name]], Locations[Location Name],Locations[Group As])</f>
        <v>Avon Smiths Meadow Wyre Piddle</v>
      </c>
      <c r="H1292" t="e" vm="6">
        <f>_xlfn.XLOOKUP(AllData[[#This Row],[Site Name]],LocationsKey[Site Name],LocationsKey[District])</f>
        <v>#VALUE!</v>
      </c>
      <c r="I1292" t="e" vm="13">
        <f>_xlfn.XLOOKUP(AllData[[#This Row],[Site Name]],LocationsKey[Site Name],LocationsKey[Town])</f>
        <v>#VALUE!</v>
      </c>
      <c r="J1292" t="str">
        <f>_xlfn.XLOOKUP(AllData[[#This Row],[Site Name]],LocationsKey[Site Name], LocationsKey[Waterway])</f>
        <v>Avon</v>
      </c>
      <c r="K1292" t="s">
        <v>784</v>
      </c>
      <c r="L1292">
        <v>52.122858999999998</v>
      </c>
      <c r="M1292">
        <v>-2.0575389999999998</v>
      </c>
      <c r="N1292" t="s">
        <v>25</v>
      </c>
      <c r="O1292">
        <v>1060</v>
      </c>
      <c r="P1292">
        <v>19.2</v>
      </c>
      <c r="Q1292">
        <v>5</v>
      </c>
      <c r="R1292" s="107" t="str">
        <f>IF(AllData[[#This Row],[Nitrate (PPM)]]&gt;2, "Very high", IF(AllData[[#This Row],[Nitrate (PPM)]]&gt;1, "High", IF(AllData[[#This Row],[Nitrate (PPM)]]&gt;0.5, "Some evidence", IF(AllData[[#This Row],[Nitrate (PPM)]]&gt;=0, "No evidence"))))</f>
        <v>Very high</v>
      </c>
      <c r="S1292" s="4">
        <v>0.87</v>
      </c>
      <c r="T1292" s="7" t="str">
        <f>IF(AllData[[#This Row],[Phosphate (PPM)]]&gt;0.5, "Very high", IF(AllData[[#This Row],[Phosphate (PPM)]]&gt;0.1, "High", IF(AllData[[#This Row],[Phosphate (PPM)]]&gt;0.05, "Some evidence", IF(AllData[[#This Row],[Phosphate (PPM)]]&lt;=0.05, "No Evidence", ""))))</f>
        <v>Very high</v>
      </c>
      <c r="U1292">
        <v>0.6</v>
      </c>
      <c r="V1292" t="s">
        <v>1596</v>
      </c>
    </row>
    <row r="1293" spans="1:22" x14ac:dyDescent="0.35">
      <c r="A1293" t="s">
        <v>1599</v>
      </c>
      <c r="B1293" s="143">
        <v>45479</v>
      </c>
      <c r="C1293" s="2" t="str" cm="1">
        <f t="array" ref="C12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3">
        <f>YEAR(AllData[[#This Row],[Date]])</f>
        <v>2024</v>
      </c>
      <c r="E1293" s="1">
        <v>0.52083333333333337</v>
      </c>
      <c r="F1293" t="str">
        <f>IF(AND(AllData[[#This Row],[Time]]&lt;0.5, AllData[[#This Row],[Time]]&gt;0.17)=TRUE, "Morning", IF(AND(AllData[[#This Row],[Time]]&lt;0.75, AllData[[#This Row],[Time]]&gt;=0.5)=TRUE, "Afternoon", IF(AND(AllData[[#This Row],[Time]]&lt;1, AllData[[#This Row],[Time]]&gt;=0.75)=TRUE, "Evening", "Night")))</f>
        <v>Afternoon</v>
      </c>
      <c r="G1293" t="str">
        <f>_xlfn.XLOOKUP(AllData[[#This Row],[Location Name]], Locations[Location Name],Locations[Group As])</f>
        <v>Carrant Bredon Rd</v>
      </c>
      <c r="H1293" t="e" vm="4">
        <f>_xlfn.XLOOKUP(AllData[[#This Row],[Site Name]],LocationsKey[Site Name],LocationsKey[District])</f>
        <v>#VALUE!</v>
      </c>
      <c r="I1293" t="e" vm="4">
        <f>_xlfn.XLOOKUP(AllData[[#This Row],[Site Name]],LocationsKey[Site Name],LocationsKey[Town])</f>
        <v>#VALUE!</v>
      </c>
      <c r="J1293" t="str">
        <f>_xlfn.XLOOKUP(AllData[[#This Row],[Site Name]],LocationsKey[Site Name], LocationsKey[Waterway])</f>
        <v>Carrant</v>
      </c>
      <c r="K1293" t="s">
        <v>603</v>
      </c>
      <c r="L1293">
        <v>51.996139999999997</v>
      </c>
      <c r="M1293">
        <v>-2.1558609999999998</v>
      </c>
      <c r="N1293" t="s">
        <v>25</v>
      </c>
      <c r="O1293">
        <v>414</v>
      </c>
      <c r="P1293">
        <v>15.3</v>
      </c>
      <c r="Q1293">
        <v>4</v>
      </c>
      <c r="R1293" s="107" t="str">
        <f>IF(AllData[[#This Row],[Nitrate (PPM)]]&gt;2, "Very high", IF(AllData[[#This Row],[Nitrate (PPM)]]&gt;1, "High", IF(AllData[[#This Row],[Nitrate (PPM)]]&gt;0.5, "Some evidence", IF(AllData[[#This Row],[Nitrate (PPM)]]&gt;=0, "No evidence"))))</f>
        <v>Very high</v>
      </c>
      <c r="S1293" s="4">
        <v>0.67</v>
      </c>
      <c r="T1293" s="7" t="str">
        <f>IF(AllData[[#This Row],[Phosphate (PPM)]]&gt;0.5, "Very high", IF(AllData[[#This Row],[Phosphate (PPM)]]&gt;0.1, "High", IF(AllData[[#This Row],[Phosphate (PPM)]]&gt;0.05, "Some evidence", IF(AllData[[#This Row],[Phosphate (PPM)]]&lt;=0.05, "No Evidence", ""))))</f>
        <v>Very high</v>
      </c>
      <c r="U1293">
        <v>0.1</v>
      </c>
      <c r="V1293" t="s">
        <v>1600</v>
      </c>
    </row>
    <row r="1294" spans="1:22" x14ac:dyDescent="0.35">
      <c r="A1294" t="s">
        <v>1589</v>
      </c>
      <c r="B1294" s="143">
        <v>45478</v>
      </c>
      <c r="C1294" s="2" t="str" cm="1">
        <f t="array" ref="C12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4">
        <f>YEAR(AllData[[#This Row],[Date]])</f>
        <v>2024</v>
      </c>
      <c r="E1294" s="1">
        <v>0.45833333333333331</v>
      </c>
      <c r="F1294" t="str">
        <f>IF(AND(AllData[[#This Row],[Time]]&lt;0.5, AllData[[#This Row],[Time]]&gt;0.17)=TRUE, "Morning", IF(AND(AllData[[#This Row],[Time]]&lt;0.75, AllData[[#This Row],[Time]]&gt;=0.5)=TRUE, "Afternoon", IF(AND(AllData[[#This Row],[Time]]&lt;1, AllData[[#This Row],[Time]]&gt;=0.75)=TRUE, "Evening", "Night")))</f>
        <v>Morning</v>
      </c>
      <c r="G1294" t="str">
        <f>_xlfn.XLOOKUP(AllData[[#This Row],[Location Name]], Locations[Location Name],Locations[Group As])</f>
        <v>Carrant Back Lane Beckford</v>
      </c>
      <c r="H1294" t="e" vm="4">
        <f>_xlfn.XLOOKUP(AllData[[#This Row],[Site Name]],LocationsKey[Site Name],LocationsKey[District])</f>
        <v>#VALUE!</v>
      </c>
      <c r="I1294" t="str">
        <f>_xlfn.XLOOKUP(AllData[[#This Row],[Site Name]],LocationsKey[Site Name],LocationsKey[Town])</f>
        <v>Beckford</v>
      </c>
      <c r="J1294" t="str">
        <f>_xlfn.XLOOKUP(AllData[[#This Row],[Site Name]],LocationsKey[Site Name], LocationsKey[Waterway])</f>
        <v>Carrant</v>
      </c>
      <c r="K1294" t="s">
        <v>1535</v>
      </c>
      <c r="L1294">
        <v>52.018484000000001</v>
      </c>
      <c r="M1294">
        <v>-2.0387339999999998</v>
      </c>
      <c r="N1294" t="s">
        <v>68</v>
      </c>
      <c r="O1294">
        <v>770</v>
      </c>
      <c r="P1294">
        <v>16.899999999999999</v>
      </c>
      <c r="Q1294">
        <v>8</v>
      </c>
      <c r="R1294" s="107" t="str">
        <f>IF(AllData[[#This Row],[Nitrate (PPM)]]&gt;2, "Very high", IF(AllData[[#This Row],[Nitrate (PPM)]]&gt;1, "High", IF(AllData[[#This Row],[Nitrate (PPM)]]&gt;0.5, "Some evidence", IF(AllData[[#This Row],[Nitrate (PPM)]]&gt;=0, "No evidence"))))</f>
        <v>Very high</v>
      </c>
      <c r="S1294" s="4">
        <v>0.62</v>
      </c>
      <c r="T1294" s="7" t="str">
        <f>IF(AllData[[#This Row],[Phosphate (PPM)]]&gt;0.5, "Very high", IF(AllData[[#This Row],[Phosphate (PPM)]]&gt;0.1, "High", IF(AllData[[#This Row],[Phosphate (PPM)]]&gt;0.05, "Some evidence", IF(AllData[[#This Row],[Phosphate (PPM)]]&lt;=0.05, "No Evidence", ""))))</f>
        <v>Very high</v>
      </c>
      <c r="U1294">
        <v>0.03</v>
      </c>
      <c r="V1294" t="s">
        <v>1590</v>
      </c>
    </row>
    <row r="1295" spans="1:22" x14ac:dyDescent="0.35">
      <c r="A1295" t="s">
        <v>1593</v>
      </c>
      <c r="B1295" s="143">
        <v>45478</v>
      </c>
      <c r="C1295" s="2" t="str" cm="1">
        <f t="array" ref="C12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5">
        <f>YEAR(AllData[[#This Row],[Date]])</f>
        <v>2024</v>
      </c>
      <c r="E1295" s="1">
        <v>0.68680555555555556</v>
      </c>
      <c r="F1295" t="str">
        <f>IF(AND(AllData[[#This Row],[Time]]&lt;0.5, AllData[[#This Row],[Time]]&gt;0.17)=TRUE, "Morning", IF(AND(AllData[[#This Row],[Time]]&lt;0.75, AllData[[#This Row],[Time]]&gt;=0.5)=TRUE, "Afternoon", IF(AND(AllData[[#This Row],[Time]]&lt;1, AllData[[#This Row],[Time]]&gt;=0.75)=TRUE, "Evening", "Night")))</f>
        <v>Afternoon</v>
      </c>
      <c r="G1295" t="str">
        <f>_xlfn.XLOOKUP(AllData[[#This Row],[Location Name]], Locations[Location Name],Locations[Group As])</f>
        <v>Preston Bagot Brook</v>
      </c>
      <c r="H1295" t="e" vm="1">
        <f>_xlfn.XLOOKUP(AllData[[#This Row],[Site Name]],LocationsKey[Site Name],LocationsKey[District])</f>
        <v>#VALUE!</v>
      </c>
      <c r="I1295" t="e" vm="21">
        <f>_xlfn.XLOOKUP(AllData[[#This Row],[Site Name]],LocationsKey[Site Name],LocationsKey[Town])</f>
        <v>#VALUE!</v>
      </c>
      <c r="J1295" t="str">
        <f>_xlfn.XLOOKUP(AllData[[#This Row],[Site Name]],LocationsKey[Site Name], LocationsKey[Waterway])</f>
        <v>Preston Bagot Brook</v>
      </c>
      <c r="K1295" t="s">
        <v>621</v>
      </c>
      <c r="L1295">
        <v>52.286000000000001</v>
      </c>
      <c r="M1295">
        <v>-1.7470000000000001</v>
      </c>
      <c r="N1295" t="s">
        <v>25</v>
      </c>
      <c r="O1295">
        <v>1108</v>
      </c>
      <c r="P1295">
        <v>16.5</v>
      </c>
      <c r="Q1295">
        <v>4</v>
      </c>
      <c r="R1295" s="107" t="str">
        <f>IF(AllData[[#This Row],[Nitrate (PPM)]]&gt;2, "Very high", IF(AllData[[#This Row],[Nitrate (PPM)]]&gt;1, "High", IF(AllData[[#This Row],[Nitrate (PPM)]]&gt;0.5, "Some evidence", IF(AllData[[#This Row],[Nitrate (PPM)]]&gt;=0, "No evidence"))))</f>
        <v>Very high</v>
      </c>
      <c r="S1295">
        <v>0.73</v>
      </c>
      <c r="T1295" s="7" t="str">
        <f>IF(AllData[[#This Row],[Phosphate (PPM)]]&gt;0.5, "Very high", IF(AllData[[#This Row],[Phosphate (PPM)]]&gt;0.1, "High", IF(AllData[[#This Row],[Phosphate (PPM)]]&gt;0.05, "Some evidence", IF(AllData[[#This Row],[Phosphate (PPM)]]&lt;=0.05, "No Evidence", ""))))</f>
        <v>Very high</v>
      </c>
      <c r="U1295">
        <v>1</v>
      </c>
      <c r="V1295" t="s">
        <v>970</v>
      </c>
    </row>
    <row r="1296" spans="1:22" x14ac:dyDescent="0.35">
      <c r="A1296" t="s">
        <v>1592</v>
      </c>
      <c r="B1296" s="143">
        <v>45478</v>
      </c>
      <c r="C1296" s="2" t="str" cm="1">
        <f t="array" ref="C12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6">
        <f>YEAR(AllData[[#This Row],[Date]])</f>
        <v>2024</v>
      </c>
      <c r="E1296" s="1">
        <v>0.49166666666666664</v>
      </c>
      <c r="F1296" t="str">
        <f>IF(AND(AllData[[#This Row],[Time]]&lt;0.5, AllData[[#This Row],[Time]]&gt;0.17)=TRUE, "Morning", IF(AND(AllData[[#This Row],[Time]]&lt;0.75, AllData[[#This Row],[Time]]&gt;=0.5)=TRUE, "Afternoon", IF(AND(AllData[[#This Row],[Time]]&lt;1, AllData[[#This Row],[Time]]&gt;=0.75)=TRUE, "Evening", "Night")))</f>
        <v>Morning</v>
      </c>
      <c r="G1296" t="str">
        <f>_xlfn.XLOOKUP(AllData[[#This Row],[Location Name]], Locations[Location Name],Locations[Group As])</f>
        <v>Stour Whichford</v>
      </c>
      <c r="H1296" t="e" vm="1">
        <f>_xlfn.XLOOKUP(AllData[[#This Row],[Site Name]],LocationsKey[Site Name],LocationsKey[District])</f>
        <v>#VALUE!</v>
      </c>
      <c r="I1296" t="e" vm="24">
        <f>_xlfn.XLOOKUP(AllData[[#This Row],[Site Name]],LocationsKey[Site Name],LocationsKey[Town])</f>
        <v>#VALUE!</v>
      </c>
      <c r="J1296" t="str">
        <f>_xlfn.XLOOKUP(AllData[[#This Row],[Site Name]],LocationsKey[Site Name], LocationsKey[Waterway])</f>
        <v>Stour</v>
      </c>
      <c r="K1296" t="s">
        <v>980</v>
      </c>
      <c r="N1296" t="s">
        <v>31</v>
      </c>
      <c r="O1296">
        <v>104</v>
      </c>
      <c r="P1296">
        <v>14.8</v>
      </c>
      <c r="Q1296">
        <v>2</v>
      </c>
      <c r="R1296" s="107" t="str">
        <f>IF(AllData[[#This Row],[Nitrate (PPM)]]&gt;2, "Very high", IF(AllData[[#This Row],[Nitrate (PPM)]]&gt;1, "High", IF(AllData[[#This Row],[Nitrate (PPM)]]&gt;0.5, "Some evidence", IF(AllData[[#This Row],[Nitrate (PPM)]]&gt;=0, "No evidence"))))</f>
        <v>High</v>
      </c>
      <c r="S1296">
        <v>0.89</v>
      </c>
      <c r="T1296" s="7" t="str">
        <f>IF(AllData[[#This Row],[Phosphate (PPM)]]&gt;0.5, "Very high", IF(AllData[[#This Row],[Phosphate (PPM)]]&gt;0.1, "High", IF(AllData[[#This Row],[Phosphate (PPM)]]&gt;0.05, "Some evidence", IF(AllData[[#This Row],[Phosphate (PPM)]]&lt;=0.05, "No Evidence", ""))))</f>
        <v>Very high</v>
      </c>
      <c r="U1296">
        <v>5</v>
      </c>
    </row>
    <row r="1297" spans="1:22" x14ac:dyDescent="0.35">
      <c r="A1297" t="s">
        <v>1591</v>
      </c>
      <c r="B1297" s="143">
        <v>45478</v>
      </c>
      <c r="C1297" s="2" t="str" cm="1">
        <f t="array" ref="C12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7">
        <f>YEAR(AllData[[#This Row],[Date]])</f>
        <v>2024</v>
      </c>
      <c r="E1297" s="1">
        <v>0.47291666666666665</v>
      </c>
      <c r="F1297" t="str">
        <f>IF(AND(AllData[[#This Row],[Time]]&lt;0.5, AllData[[#This Row],[Time]]&gt;0.17)=TRUE, "Morning", IF(AND(AllData[[#This Row],[Time]]&lt;0.75, AllData[[#This Row],[Time]]&gt;=0.5)=TRUE, "Afternoon", IF(AND(AllData[[#This Row],[Time]]&lt;1, AllData[[#This Row],[Time]]&gt;=0.75)=TRUE, "Evening", "Night")))</f>
        <v>Morning</v>
      </c>
      <c r="G1297" t="str">
        <f>_xlfn.XLOOKUP(AllData[[#This Row],[Location Name]], Locations[Location Name],Locations[Group As])</f>
        <v>Stour Ascott Village</v>
      </c>
      <c r="H1297" t="e" vm="1">
        <f>_xlfn.XLOOKUP(AllData[[#This Row],[Site Name]],LocationsKey[Site Name],LocationsKey[District])</f>
        <v>#VALUE!</v>
      </c>
      <c r="I1297" t="e" vm="25">
        <f>_xlfn.XLOOKUP(AllData[[#This Row],[Site Name]],LocationsKey[Site Name],LocationsKey[Town])</f>
        <v>#VALUE!</v>
      </c>
      <c r="J1297" t="str">
        <f>_xlfn.XLOOKUP(AllData[[#This Row],[Site Name]],LocationsKey[Site Name], LocationsKey[Waterway])</f>
        <v>Stour</v>
      </c>
      <c r="K1297" t="s">
        <v>1441</v>
      </c>
      <c r="N1297" t="s">
        <v>68</v>
      </c>
      <c r="O1297">
        <v>475</v>
      </c>
      <c r="P1297">
        <v>16.7</v>
      </c>
      <c r="Q1297">
        <v>1</v>
      </c>
      <c r="R1297" s="107" t="str">
        <f>IF(AllData[[#This Row],[Nitrate (PPM)]]&gt;2, "Very high", IF(AllData[[#This Row],[Nitrate (PPM)]]&gt;1, "High", IF(AllData[[#This Row],[Nitrate (PPM)]]&gt;0.5, "Some evidence", IF(AllData[[#This Row],[Nitrate (PPM)]]&gt;=0, "No evidence"))))</f>
        <v>Some evidence</v>
      </c>
      <c r="S1297">
        <v>0.12</v>
      </c>
      <c r="T1297" s="7" t="str">
        <f>IF(AllData[[#This Row],[Phosphate (PPM)]]&gt;0.5, "Very high", IF(AllData[[#This Row],[Phosphate (PPM)]]&gt;0.1, "High", IF(AllData[[#This Row],[Phosphate (PPM)]]&gt;0.05, "Some evidence", IF(AllData[[#This Row],[Phosphate (PPM)]]&lt;=0.05, "No Evidence", ""))))</f>
        <v>High</v>
      </c>
      <c r="U1297">
        <v>5</v>
      </c>
    </row>
    <row r="1298" spans="1:22" x14ac:dyDescent="0.35">
      <c r="A1298" t="s">
        <v>1594</v>
      </c>
      <c r="B1298" s="143">
        <v>45478</v>
      </c>
      <c r="C1298" s="2" t="str" cm="1">
        <f t="array" ref="C12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8">
        <f>YEAR(AllData[[#This Row],[Date]])</f>
        <v>2024</v>
      </c>
      <c r="E1298" s="1">
        <v>0.67222222222222228</v>
      </c>
      <c r="F1298" t="str">
        <f>IF(AND(AllData[[#This Row],[Time]]&lt;0.5, AllData[[#This Row],[Time]]&gt;0.17)=TRUE, "Morning", IF(AND(AllData[[#This Row],[Time]]&lt;0.75, AllData[[#This Row],[Time]]&gt;=0.5)=TRUE, "Afternoon", IF(AND(AllData[[#This Row],[Time]]&lt;1, AllData[[#This Row],[Time]]&gt;=0.75)=TRUE, "Evening", "Night")))</f>
        <v>Afternoon</v>
      </c>
      <c r="G1298" t="str">
        <f>_xlfn.XLOOKUP(AllData[[#This Row],[Location Name]], Locations[Location Name],Locations[Group As])</f>
        <v>Preston Bagot Canal</v>
      </c>
      <c r="H1298" t="e" vm="1">
        <f>_xlfn.XLOOKUP(AllData[[#This Row],[Site Name]],LocationsKey[Site Name],LocationsKey[District])</f>
        <v>#VALUE!</v>
      </c>
      <c r="I1298" t="e" vm="21">
        <f>_xlfn.XLOOKUP(AllData[[#This Row],[Site Name]],LocationsKey[Site Name],LocationsKey[Town])</f>
        <v>#VALUE!</v>
      </c>
      <c r="J1298" t="str">
        <f>_xlfn.XLOOKUP(AllData[[#This Row],[Site Name]],LocationsKey[Site Name], LocationsKey[Waterway])</f>
        <v>Preston Bagot Canal</v>
      </c>
      <c r="K1298" t="s">
        <v>618</v>
      </c>
      <c r="L1298">
        <v>52.286999999999999</v>
      </c>
      <c r="M1298">
        <v>-1.746</v>
      </c>
      <c r="N1298" t="s">
        <v>25</v>
      </c>
      <c r="O1298">
        <v>495</v>
      </c>
      <c r="P1298">
        <v>18.399999999999999</v>
      </c>
      <c r="Q1298">
        <v>0</v>
      </c>
      <c r="R1298" s="107" t="str">
        <f>IF(AllData[[#This Row],[Nitrate (PPM)]]&gt;2, "Very high", IF(AllData[[#This Row],[Nitrate (PPM)]]&gt;1, "High", IF(AllData[[#This Row],[Nitrate (PPM)]]&gt;0.5, "Some evidence", IF(AllData[[#This Row],[Nitrate (PPM)]]&gt;=0, "No evidence"))))</f>
        <v>No evidence</v>
      </c>
      <c r="S1298">
        <v>0.14000000000000001</v>
      </c>
      <c r="T1298" s="7" t="str">
        <f>IF(AllData[[#This Row],[Phosphate (PPM)]]&gt;0.5, "Very high", IF(AllData[[#This Row],[Phosphate (PPM)]]&gt;0.1, "High", IF(AllData[[#This Row],[Phosphate (PPM)]]&gt;0.05, "Some evidence", IF(AllData[[#This Row],[Phosphate (PPM)]]&lt;=0.05, "No Evidence", ""))))</f>
        <v>High</v>
      </c>
      <c r="U1298">
        <v>1</v>
      </c>
      <c r="V1298" t="s">
        <v>970</v>
      </c>
    </row>
    <row r="1299" spans="1:22" x14ac:dyDescent="0.35">
      <c r="A1299" t="s">
        <v>1583</v>
      </c>
      <c r="B1299" s="143">
        <v>45477</v>
      </c>
      <c r="C1299" s="2" t="str" cm="1">
        <f t="array" ref="C12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299">
        <f>YEAR(AllData[[#This Row],[Date]])</f>
        <v>2024</v>
      </c>
      <c r="E1299" s="1">
        <v>0.60416666666666663</v>
      </c>
      <c r="F1299" t="str">
        <f>IF(AND(AllData[[#This Row],[Time]]&lt;0.5, AllData[[#This Row],[Time]]&gt;0.17)=TRUE, "Morning", IF(AND(AllData[[#This Row],[Time]]&lt;0.75, AllData[[#This Row],[Time]]&gt;=0.5)=TRUE, "Afternoon", IF(AND(AllData[[#This Row],[Time]]&lt;1, AllData[[#This Row],[Time]]&gt;=0.75)=TRUE, "Evening", "Night")))</f>
        <v>Afternoon</v>
      </c>
      <c r="G1299" t="str">
        <f>_xlfn.XLOOKUP(AllData[[#This Row],[Location Name]], Locations[Location Name],Locations[Group As])</f>
        <v>Swiffen Bank</v>
      </c>
      <c r="H1299" t="e" vm="1">
        <f>_xlfn.XLOOKUP(AllData[[#This Row],[Site Name]],LocationsKey[Site Name],LocationsKey[District])</f>
        <v>#VALUE!</v>
      </c>
      <c r="I1299" t="e" vm="2">
        <f>_xlfn.XLOOKUP(AllData[[#This Row],[Site Name]],LocationsKey[Site Name],LocationsKey[Town])</f>
        <v>#VALUE!</v>
      </c>
      <c r="J1299" t="str">
        <f>_xlfn.XLOOKUP(AllData[[#This Row],[Site Name]],LocationsKey[Site Name], LocationsKey[Waterway])</f>
        <v>Avon</v>
      </c>
      <c r="K1299" t="s">
        <v>286</v>
      </c>
      <c r="L1299">
        <v>52.206477999999997</v>
      </c>
      <c r="M1299">
        <v>-1.653894</v>
      </c>
      <c r="N1299" t="s">
        <v>31</v>
      </c>
      <c r="O1299">
        <v>776</v>
      </c>
      <c r="P1299">
        <v>18.5</v>
      </c>
      <c r="Q1299">
        <v>10</v>
      </c>
      <c r="R1299" s="107" t="str">
        <f>IF(AllData[[#This Row],[Nitrate (PPM)]]&gt;2, "Very high", IF(AllData[[#This Row],[Nitrate (PPM)]]&gt;1, "High", IF(AllData[[#This Row],[Nitrate (PPM)]]&gt;0.5, "Some evidence", IF(AllData[[#This Row],[Nitrate (PPM)]]&gt;=0, "No evidence"))))</f>
        <v>Very high</v>
      </c>
      <c r="S1299" s="4">
        <v>0.56999999999999995</v>
      </c>
      <c r="T1299" s="7" t="str">
        <f>IF(AllData[[#This Row],[Phosphate (PPM)]]&gt;0.5, "Very high", IF(AllData[[#This Row],[Phosphate (PPM)]]&gt;0.1, "High", IF(AllData[[#This Row],[Phosphate (PPM)]]&gt;0.05, "Some evidence", IF(AllData[[#This Row],[Phosphate (PPM)]]&lt;=0.05, "No Evidence", ""))))</f>
        <v>Very high</v>
      </c>
      <c r="U1299">
        <v>0</v>
      </c>
    </row>
    <row r="1300" spans="1:22" x14ac:dyDescent="0.35">
      <c r="A1300" t="s">
        <v>1587</v>
      </c>
      <c r="B1300" s="143">
        <v>45477</v>
      </c>
      <c r="C1300" s="2" t="str" cm="1">
        <f t="array" ref="C13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0">
        <f>YEAR(AllData[[#This Row],[Date]])</f>
        <v>2024</v>
      </c>
      <c r="E1300" s="1">
        <v>0.78749999999999998</v>
      </c>
      <c r="F1300" t="str">
        <f>IF(AND(AllData[[#This Row],[Time]]&lt;0.5, AllData[[#This Row],[Time]]&gt;0.17)=TRUE, "Morning", IF(AND(AllData[[#This Row],[Time]]&lt;0.75, AllData[[#This Row],[Time]]&gt;=0.5)=TRUE, "Afternoon", IF(AND(AllData[[#This Row],[Time]]&lt;1, AllData[[#This Row],[Time]]&gt;=0.75)=TRUE, "Evening", "Night")))</f>
        <v>Evening</v>
      </c>
      <c r="G1300" t="str">
        <f>_xlfn.XLOOKUP(AllData[[#This Row],[Location Name]], Locations[Location Name],Locations[Group As])</f>
        <v>Preston-on-Stour River Bridge</v>
      </c>
      <c r="H1300" t="e" vm="1">
        <f>_xlfn.XLOOKUP(AllData[[#This Row],[Site Name]],LocationsKey[Site Name],LocationsKey[District])</f>
        <v>#VALUE!</v>
      </c>
      <c r="I1300" t="e" vm="20">
        <f>_xlfn.XLOOKUP(AllData[[#This Row],[Site Name]],LocationsKey[Site Name],LocationsKey[Town])</f>
        <v>#VALUE!</v>
      </c>
      <c r="J1300" t="str">
        <f>_xlfn.XLOOKUP(AllData[[#This Row],[Site Name]],LocationsKey[Site Name], LocationsKey[Waterway])</f>
        <v>Stour</v>
      </c>
      <c r="K1300" t="s">
        <v>164</v>
      </c>
      <c r="L1300">
        <v>52.146512000000001</v>
      </c>
      <c r="M1300">
        <v>-1.6999010000000001</v>
      </c>
      <c r="N1300" t="s">
        <v>31</v>
      </c>
      <c r="O1300">
        <v>664</v>
      </c>
      <c r="P1300">
        <v>15.9</v>
      </c>
      <c r="Q1300">
        <v>8</v>
      </c>
      <c r="R1300" s="107" t="str">
        <f>IF(AllData[[#This Row],[Nitrate (PPM)]]&gt;2, "Very high", IF(AllData[[#This Row],[Nitrate (PPM)]]&gt;1, "High", IF(AllData[[#This Row],[Nitrate (PPM)]]&gt;0.5, "Some evidence", IF(AllData[[#This Row],[Nitrate (PPM)]]&gt;=0, "No evidence"))))</f>
        <v>Very high</v>
      </c>
      <c r="S1300" s="4">
        <v>0.42</v>
      </c>
      <c r="T1300" s="7" t="str">
        <f>IF(AllData[[#This Row],[Phosphate (PPM)]]&gt;0.5, "Very high", IF(AllData[[#This Row],[Phosphate (PPM)]]&gt;0.1, "High", IF(AllData[[#This Row],[Phosphate (PPM)]]&gt;0.05, "Some evidence", IF(AllData[[#This Row],[Phosphate (PPM)]]&lt;=0.05, "No Evidence", ""))))</f>
        <v>High</v>
      </c>
      <c r="U1300">
        <v>2.5</v>
      </c>
      <c r="V1300" t="s">
        <v>1588</v>
      </c>
    </row>
    <row r="1301" spans="1:22" x14ac:dyDescent="0.35">
      <c r="A1301" t="s">
        <v>1584</v>
      </c>
      <c r="B1301" s="143">
        <v>45477</v>
      </c>
      <c r="C1301" s="2" t="str" cm="1">
        <f t="array" ref="C13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1">
        <f>YEAR(AllData[[#This Row],[Date]])</f>
        <v>2024</v>
      </c>
      <c r="E1301" s="1">
        <v>0.61875000000000002</v>
      </c>
      <c r="F1301" t="str">
        <f>IF(AND(AllData[[#This Row],[Time]]&lt;0.5, AllData[[#This Row],[Time]]&gt;0.17)=TRUE, "Morning", IF(AND(AllData[[#This Row],[Time]]&lt;0.75, AllData[[#This Row],[Time]]&gt;=0.5)=TRUE, "Afternoon", IF(AND(AllData[[#This Row],[Time]]&lt;1, AllData[[#This Row],[Time]]&gt;=0.75)=TRUE, "Evening", "Night")))</f>
        <v>Afternoon</v>
      </c>
      <c r="G1301" t="str">
        <f>_xlfn.XLOOKUP(AllData[[#This Row],[Location Name]], Locations[Location Name],Locations[Group As])</f>
        <v>Alveston Weir</v>
      </c>
      <c r="H1301" t="e" vm="1">
        <f>_xlfn.XLOOKUP(AllData[[#This Row],[Site Name]],LocationsKey[Site Name],LocationsKey[District])</f>
        <v>#VALUE!</v>
      </c>
      <c r="I1301" t="e" vm="2">
        <f>_xlfn.XLOOKUP(AllData[[#This Row],[Site Name]],LocationsKey[Site Name],LocationsKey[Town])</f>
        <v>#VALUE!</v>
      </c>
      <c r="J1301" t="str">
        <f>_xlfn.XLOOKUP(AllData[[#This Row],[Site Name]],LocationsKey[Site Name], LocationsKey[Waterway])</f>
        <v>Avon</v>
      </c>
      <c r="K1301" t="s">
        <v>288</v>
      </c>
      <c r="L1301">
        <v>52.212288999999998</v>
      </c>
      <c r="M1301">
        <v>-1.660452</v>
      </c>
      <c r="N1301" t="s">
        <v>31</v>
      </c>
      <c r="O1301">
        <v>767</v>
      </c>
      <c r="P1301">
        <v>17.600000000000001</v>
      </c>
      <c r="Q1301">
        <v>5</v>
      </c>
      <c r="R1301" s="107" t="str">
        <f>IF(AllData[[#This Row],[Nitrate (PPM)]]&gt;2, "Very high", IF(AllData[[#This Row],[Nitrate (PPM)]]&gt;1, "High", IF(AllData[[#This Row],[Nitrate (PPM)]]&gt;0.5, "Some evidence", IF(AllData[[#This Row],[Nitrate (PPM)]]&gt;=0, "No evidence"))))</f>
        <v>Very high</v>
      </c>
      <c r="S1301" s="4">
        <v>0.5</v>
      </c>
      <c r="T1301" s="7" t="str">
        <f>IF(AllData[[#This Row],[Phosphate (PPM)]]&gt;0.5, "Very high", IF(AllData[[#This Row],[Phosphate (PPM)]]&gt;0.1, "High", IF(AllData[[#This Row],[Phosphate (PPM)]]&gt;0.05, "Some evidence", IF(AllData[[#This Row],[Phosphate (PPM)]]&lt;=0.05, "No Evidence", ""))))</f>
        <v>High</v>
      </c>
      <c r="U1301">
        <v>0</v>
      </c>
    </row>
    <row r="1302" spans="1:22" x14ac:dyDescent="0.35">
      <c r="A1302" t="s">
        <v>1581</v>
      </c>
      <c r="B1302" s="143">
        <v>45477</v>
      </c>
      <c r="C1302" s="2" t="str" cm="1">
        <f t="array" ref="C13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2">
        <f>YEAR(AllData[[#This Row],[Date]])</f>
        <v>2024</v>
      </c>
      <c r="E1302" s="1">
        <v>0.44444444444444442</v>
      </c>
      <c r="F1302" t="str">
        <f>IF(AND(AllData[[#This Row],[Time]]&lt;0.5, AllData[[#This Row],[Time]]&gt;0.17)=TRUE, "Morning", IF(AND(AllData[[#This Row],[Time]]&lt;0.75, AllData[[#This Row],[Time]]&gt;=0.5)=TRUE, "Afternoon", IF(AND(AllData[[#This Row],[Time]]&lt;1, AllData[[#This Row],[Time]]&gt;=0.75)=TRUE, "Evening", "Night")))</f>
        <v>Morning</v>
      </c>
      <c r="G1302" t="str">
        <f>_xlfn.XLOOKUP(AllData[[#This Row],[Location Name]], Locations[Location Name],Locations[Group As])</f>
        <v>Swilgate</v>
      </c>
      <c r="H1302" t="e" vm="4">
        <f>_xlfn.XLOOKUP(AllData[[#This Row],[Site Name]],LocationsKey[Site Name],LocationsKey[District])</f>
        <v>#VALUE!</v>
      </c>
      <c r="I1302" t="e" vm="4">
        <f>_xlfn.XLOOKUP(AllData[[#This Row],[Site Name]],LocationsKey[Site Name],LocationsKey[Town])</f>
        <v>#VALUE!</v>
      </c>
      <c r="J1302" t="str">
        <f>_xlfn.XLOOKUP(AllData[[#This Row],[Site Name]],LocationsKey[Site Name], LocationsKey[Waterway])</f>
        <v>Swilgate</v>
      </c>
      <c r="K1302" t="s">
        <v>85</v>
      </c>
      <c r="N1302" t="s">
        <v>25</v>
      </c>
      <c r="O1302">
        <v>1050</v>
      </c>
      <c r="P1302">
        <v>16</v>
      </c>
      <c r="Q1302">
        <v>4</v>
      </c>
      <c r="R1302" s="107" t="str">
        <f>IF(AllData[[#This Row],[Nitrate (PPM)]]&gt;2, "Very high", IF(AllData[[#This Row],[Nitrate (PPM)]]&gt;1, "High", IF(AllData[[#This Row],[Nitrate (PPM)]]&gt;0.5, "Some evidence", IF(AllData[[#This Row],[Nitrate (PPM)]]&gt;=0, "No evidence"))))</f>
        <v>Very high</v>
      </c>
      <c r="S1302" s="4">
        <v>0.68</v>
      </c>
      <c r="T1302" s="7" t="str">
        <f>IF(AllData[[#This Row],[Phosphate (PPM)]]&gt;0.5, "Very high", IF(AllData[[#This Row],[Phosphate (PPM)]]&gt;0.1, "High", IF(AllData[[#This Row],[Phosphate (PPM)]]&gt;0.05, "Some evidence", IF(AllData[[#This Row],[Phosphate (PPM)]]&lt;=0.05, "No Evidence", ""))))</f>
        <v>Very high</v>
      </c>
      <c r="U1302">
        <v>0</v>
      </c>
      <c r="V1302" t="s">
        <v>1582</v>
      </c>
    </row>
    <row r="1303" spans="1:22" x14ac:dyDescent="0.35">
      <c r="A1303" t="s">
        <v>1585</v>
      </c>
      <c r="B1303" s="143">
        <v>45477</v>
      </c>
      <c r="C1303" s="2" t="str" cm="1">
        <f t="array" ref="C13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3">
        <f>YEAR(AllData[[#This Row],[Date]])</f>
        <v>2024</v>
      </c>
      <c r="E1303" s="1">
        <v>0.70833333333333337</v>
      </c>
      <c r="F1303" t="str">
        <f>IF(AND(AllData[[#This Row],[Time]]&lt;0.5, AllData[[#This Row],[Time]]&gt;0.17)=TRUE, "Morning", IF(AND(AllData[[#This Row],[Time]]&lt;0.75, AllData[[#This Row],[Time]]&gt;=0.5)=TRUE, "Afternoon", IF(AND(AllData[[#This Row],[Time]]&lt;1, AllData[[#This Row],[Time]]&gt;=0.75)=TRUE, "Evening", "Night")))</f>
        <v>Afternoon</v>
      </c>
      <c r="G1303" t="str">
        <f>_xlfn.XLOOKUP(AllData[[#This Row],[Location Name]], Locations[Location Name],Locations[Group As])</f>
        <v>Stour Newbold Mill</v>
      </c>
      <c r="H1303" t="e" vm="1">
        <f>_xlfn.XLOOKUP(AllData[[#This Row],[Site Name]],LocationsKey[Site Name],LocationsKey[District])</f>
        <v>#VALUE!</v>
      </c>
      <c r="I1303" t="e" vm="27">
        <f>_xlfn.XLOOKUP(AllData[[#This Row],[Site Name]],LocationsKey[Site Name],LocationsKey[Town])</f>
        <v>#VALUE!</v>
      </c>
      <c r="J1303" t="str">
        <f>_xlfn.XLOOKUP(AllData[[#This Row],[Site Name]],LocationsKey[Site Name], LocationsKey[Waterway])</f>
        <v>Stour</v>
      </c>
      <c r="K1303" t="s">
        <v>141</v>
      </c>
      <c r="N1303" t="s">
        <v>31</v>
      </c>
      <c r="O1303">
        <v>656</v>
      </c>
      <c r="P1303">
        <v>16.100000000000001</v>
      </c>
      <c r="Q1303">
        <v>2</v>
      </c>
      <c r="R1303" s="107" t="str">
        <f>IF(AllData[[#This Row],[Nitrate (PPM)]]&gt;2, "Very high", IF(AllData[[#This Row],[Nitrate (PPM)]]&gt;1, "High", IF(AllData[[#This Row],[Nitrate (PPM)]]&gt;0.5, "Some evidence", IF(AllData[[#This Row],[Nitrate (PPM)]]&gt;=0, "No evidence"))))</f>
        <v>High</v>
      </c>
      <c r="S1303" s="4">
        <v>0.42</v>
      </c>
      <c r="T1303" s="7" t="str">
        <f>IF(AllData[[#This Row],[Phosphate (PPM)]]&gt;0.5, "Very high", IF(AllData[[#This Row],[Phosphate (PPM)]]&gt;0.1, "High", IF(AllData[[#This Row],[Phosphate (PPM)]]&gt;0.05, "Some evidence", IF(AllData[[#This Row],[Phosphate (PPM)]]&lt;=0.05, "No Evidence", ""))))</f>
        <v>High</v>
      </c>
      <c r="U1303">
        <v>2</v>
      </c>
      <c r="V1303" t="s">
        <v>1586</v>
      </c>
    </row>
    <row r="1304" spans="1:22" x14ac:dyDescent="0.35">
      <c r="A1304" t="s">
        <v>1580</v>
      </c>
      <c r="B1304" s="143">
        <v>45477</v>
      </c>
      <c r="C1304" s="2" t="str" cm="1">
        <f t="array" ref="C13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4">
        <f>YEAR(AllData[[#This Row],[Date]])</f>
        <v>2024</v>
      </c>
      <c r="E1304" s="1">
        <v>0.4375</v>
      </c>
      <c r="F1304" t="str">
        <f>IF(AND(AllData[[#This Row],[Time]]&lt;0.5, AllData[[#This Row],[Time]]&gt;0.17)=TRUE, "Morning", IF(AND(AllData[[#This Row],[Time]]&lt;0.75, AllData[[#This Row],[Time]]&gt;=0.5)=TRUE, "Afternoon", IF(AND(AllData[[#This Row],[Time]]&lt;1, AllData[[#This Row],[Time]]&gt;=0.75)=TRUE, "Evening", "Night")))</f>
        <v>Morning</v>
      </c>
      <c r="G1304" t="str">
        <f>_xlfn.XLOOKUP(AllData[[#This Row],[Location Name]], Locations[Location Name],Locations[Group As])</f>
        <v>Stour Willington</v>
      </c>
      <c r="H1304" t="e" vm="1">
        <f>_xlfn.XLOOKUP(AllData[[#This Row],[Site Name]],LocationsKey[Site Name],LocationsKey[District])</f>
        <v>#VALUE!</v>
      </c>
      <c r="I1304" t="str">
        <f>_xlfn.XLOOKUP(AllData[[#This Row],[Site Name]],LocationsKey[Site Name],LocationsKey[Town])</f>
        <v>Willington</v>
      </c>
      <c r="J1304" t="str">
        <f>_xlfn.XLOOKUP(AllData[[#This Row],[Site Name]],LocationsKey[Site Name], LocationsKey[Waterway])</f>
        <v>Stour</v>
      </c>
      <c r="K1304" t="s">
        <v>521</v>
      </c>
      <c r="L1304">
        <v>52.053542</v>
      </c>
      <c r="M1304">
        <v>-1.6201399999999999</v>
      </c>
      <c r="N1304" t="s">
        <v>25</v>
      </c>
      <c r="O1304">
        <v>615</v>
      </c>
      <c r="P1304">
        <v>15.2</v>
      </c>
      <c r="Q1304">
        <v>2</v>
      </c>
      <c r="R1304" s="107" t="str">
        <f>IF(AllData[[#This Row],[Nitrate (PPM)]]&gt;2, "Very high", IF(AllData[[#This Row],[Nitrate (PPM)]]&gt;1, "High", IF(AllData[[#This Row],[Nitrate (PPM)]]&gt;0.5, "Some evidence", IF(AllData[[#This Row],[Nitrate (PPM)]]&gt;=0, "No evidence"))))</f>
        <v>High</v>
      </c>
      <c r="S1304" s="4">
        <v>0.41</v>
      </c>
      <c r="T1304" s="7" t="str">
        <f>IF(AllData[[#This Row],[Phosphate (PPM)]]&gt;0.5, "Very high", IF(AllData[[#This Row],[Phosphate (PPM)]]&gt;0.1, "High", IF(AllData[[#This Row],[Phosphate (PPM)]]&gt;0.05, "Some evidence", IF(AllData[[#This Row],[Phosphate (PPM)]]&lt;=0.05, "No Evidence", ""))))</f>
        <v>High</v>
      </c>
      <c r="U1304">
        <v>0.5</v>
      </c>
    </row>
    <row r="1305" spans="1:22" x14ac:dyDescent="0.35">
      <c r="A1305" t="s">
        <v>1578</v>
      </c>
      <c r="B1305" s="143">
        <v>45475</v>
      </c>
      <c r="C1305" s="2" t="str" cm="1">
        <f t="array" ref="C13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5">
        <f>YEAR(AllData[[#This Row],[Date]])</f>
        <v>2024</v>
      </c>
      <c r="E1305" s="1">
        <v>0.49930555555555556</v>
      </c>
      <c r="F1305" t="str">
        <f>IF(AND(AllData[[#This Row],[Time]]&lt;0.5, AllData[[#This Row],[Time]]&gt;0.17)=TRUE, "Morning", IF(AND(AllData[[#This Row],[Time]]&lt;0.75, AllData[[#This Row],[Time]]&gt;=0.5)=TRUE, "Afternoon", IF(AND(AllData[[#This Row],[Time]]&lt;1, AllData[[#This Row],[Time]]&gt;=0.75)=TRUE, "Evening", "Night")))</f>
        <v>Morning</v>
      </c>
      <c r="G1305" t="str">
        <f>_xlfn.XLOOKUP(AllData[[#This Row],[Location Name]], Locations[Location Name],Locations[Group As])</f>
        <v>Walcot Lane, Bow Brook Ford</v>
      </c>
      <c r="H1305" t="e" vm="6">
        <f>_xlfn.XLOOKUP(AllData[[#This Row],[Site Name]],LocationsKey[Site Name],LocationsKey[District])</f>
        <v>#VALUE!</v>
      </c>
      <c r="I1305" t="e" vm="7">
        <f>_xlfn.XLOOKUP(AllData[[#This Row],[Site Name]],LocationsKey[Site Name],LocationsKey[Town])</f>
        <v>#VALUE!</v>
      </c>
      <c r="J1305" t="str">
        <f>_xlfn.XLOOKUP(AllData[[#This Row],[Site Name]],LocationsKey[Site Name], LocationsKey[Waterway])</f>
        <v>Bow Brook</v>
      </c>
      <c r="K1305" t="s">
        <v>775</v>
      </c>
      <c r="L1305">
        <v>52.130451000000001</v>
      </c>
      <c r="M1305">
        <v>-2.0786259999999999</v>
      </c>
      <c r="N1305" t="s">
        <v>25</v>
      </c>
      <c r="O1305">
        <v>1310</v>
      </c>
      <c r="P1305">
        <v>15.9</v>
      </c>
      <c r="Q1305">
        <v>5</v>
      </c>
      <c r="R1305" s="107" t="str">
        <f>IF(AllData[[#This Row],[Nitrate (PPM)]]&gt;2, "Very high", IF(AllData[[#This Row],[Nitrate (PPM)]]&gt;1, "High", IF(AllData[[#This Row],[Nitrate (PPM)]]&gt;0.5, "Some evidence", IF(AllData[[#This Row],[Nitrate (PPM)]]&gt;=0, "No evidence"))))</f>
        <v>Very high</v>
      </c>
      <c r="S1305">
        <v>1.88</v>
      </c>
      <c r="T1305" s="7" t="str">
        <f>IF(AllData[[#This Row],[Phosphate (PPM)]]&gt;0.5, "Very high", IF(AllData[[#This Row],[Phosphate (PPM)]]&gt;0.1, "High", IF(AllData[[#This Row],[Phosphate (PPM)]]&gt;0.05, "Some evidence", IF(AllData[[#This Row],[Phosphate (PPM)]]&lt;=0.05, "No Evidence", ""))))</f>
        <v>Very high</v>
      </c>
      <c r="U1305">
        <v>0.2</v>
      </c>
      <c r="V1305" t="s">
        <v>1579</v>
      </c>
    </row>
    <row r="1306" spans="1:22" x14ac:dyDescent="0.35">
      <c r="A1306" t="s">
        <v>1577</v>
      </c>
      <c r="B1306" s="143">
        <v>45475</v>
      </c>
      <c r="C1306" s="2" t="str" cm="1">
        <f t="array" ref="C13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6">
        <f>YEAR(AllData[[#This Row],[Date]])</f>
        <v>2024</v>
      </c>
      <c r="E1306" s="1">
        <v>0.56736111111111109</v>
      </c>
      <c r="F1306" t="str">
        <f>IF(AND(AllData[[#This Row],[Time]]&lt;0.5, AllData[[#This Row],[Time]]&gt;0.17)=TRUE, "Morning", IF(AND(AllData[[#This Row],[Time]]&lt;0.75, AllData[[#This Row],[Time]]&gt;=0.5)=TRUE, "Afternoon", IF(AND(AllData[[#This Row],[Time]]&lt;1, AllData[[#This Row],[Time]]&gt;=0.75)=TRUE, "Evening", "Night")))</f>
        <v>Afternoon</v>
      </c>
      <c r="G1306" t="str">
        <f>_xlfn.XLOOKUP(AllData[[#This Row],[Location Name]], Locations[Location Name],Locations[Group As])</f>
        <v>Carrant M5 Bridge</v>
      </c>
      <c r="H1306" t="e" vm="4">
        <f>_xlfn.XLOOKUP(AllData[[#This Row],[Site Name]],LocationsKey[Site Name],LocationsKey[District])</f>
        <v>#VALUE!</v>
      </c>
      <c r="I1306" t="e" vm="4">
        <f>_xlfn.XLOOKUP(AllData[[#This Row],[Site Name]],LocationsKey[Site Name],LocationsKey[Town])</f>
        <v>#VALUE!</v>
      </c>
      <c r="J1306" t="str">
        <f>_xlfn.XLOOKUP(AllData[[#This Row],[Site Name]],LocationsKey[Site Name], LocationsKey[Waterway])</f>
        <v>Carrant</v>
      </c>
      <c r="K1306" t="s">
        <v>1144</v>
      </c>
      <c r="L1306">
        <v>52.016700999999998</v>
      </c>
      <c r="M1306">
        <v>-2.1296439999999999</v>
      </c>
      <c r="N1306" t="s">
        <v>25</v>
      </c>
      <c r="O1306">
        <v>768</v>
      </c>
      <c r="P1306">
        <v>16.100000000000001</v>
      </c>
      <c r="Q1306">
        <v>5</v>
      </c>
      <c r="R1306" s="107" t="str">
        <f>IF(AllData[[#This Row],[Nitrate (PPM)]]&gt;2, "Very high", IF(AllData[[#This Row],[Nitrate (PPM)]]&gt;1, "High", IF(AllData[[#This Row],[Nitrate (PPM)]]&gt;0.5, "Some evidence", IF(AllData[[#This Row],[Nitrate (PPM)]]&gt;=0, "No evidence"))))</f>
        <v>Very high</v>
      </c>
      <c r="S1306" s="4">
        <v>0.48</v>
      </c>
      <c r="T1306" s="7" t="str">
        <f>IF(AllData[[#This Row],[Phosphate (PPM)]]&gt;0.5, "Very high", IF(AllData[[#This Row],[Phosphate (PPM)]]&gt;0.1, "High", IF(AllData[[#This Row],[Phosphate (PPM)]]&gt;0.05, "Some evidence", IF(AllData[[#This Row],[Phosphate (PPM)]]&lt;=0.05, "No Evidence", ""))))</f>
        <v>High</v>
      </c>
      <c r="U1306">
        <v>0</v>
      </c>
    </row>
    <row r="1307" spans="1:22" x14ac:dyDescent="0.35">
      <c r="A1307" t="s">
        <v>1576</v>
      </c>
      <c r="B1307" s="143">
        <v>45475</v>
      </c>
      <c r="C1307" s="2" t="str" cm="1">
        <f t="array" ref="C13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7">
        <f>YEAR(AllData[[#This Row],[Date]])</f>
        <v>2024</v>
      </c>
      <c r="E1307" s="1">
        <v>0.3840277777777778</v>
      </c>
      <c r="F1307" t="str">
        <f>IF(AND(AllData[[#This Row],[Time]]&lt;0.5, AllData[[#This Row],[Time]]&gt;0.17)=TRUE, "Morning", IF(AND(AllData[[#This Row],[Time]]&lt;0.75, AllData[[#This Row],[Time]]&gt;=0.5)=TRUE, "Afternoon", IF(AND(AllData[[#This Row],[Time]]&lt;1, AllData[[#This Row],[Time]]&gt;=0.75)=TRUE, "Evening", "Night")))</f>
        <v>Morning</v>
      </c>
      <c r="G1307" t="str">
        <f>_xlfn.XLOOKUP(AllData[[#This Row],[Location Name]], Locations[Location Name],Locations[Group As])</f>
        <v>Carrant Mitton Path</v>
      </c>
      <c r="H1307" t="e" vm="4">
        <f>_xlfn.XLOOKUP(AllData[[#This Row],[Site Name]],LocationsKey[Site Name],LocationsKey[District])</f>
        <v>#VALUE!</v>
      </c>
      <c r="I1307" t="e" vm="4">
        <f>_xlfn.XLOOKUP(AllData[[#This Row],[Site Name]],LocationsKey[Site Name],LocationsKey[Town])</f>
        <v>#VALUE!</v>
      </c>
      <c r="J1307" t="str">
        <f>_xlfn.XLOOKUP(AllData[[#This Row],[Site Name]],LocationsKey[Site Name], LocationsKey[Waterway])</f>
        <v>Carrant</v>
      </c>
      <c r="K1307" t="s">
        <v>1064</v>
      </c>
      <c r="L1307">
        <v>51.9998</v>
      </c>
      <c r="M1307">
        <v>-2.1412719999999998</v>
      </c>
      <c r="N1307" t="s">
        <v>25</v>
      </c>
      <c r="O1307">
        <v>695</v>
      </c>
      <c r="P1307">
        <v>15.4</v>
      </c>
      <c r="Q1307">
        <v>5</v>
      </c>
      <c r="R1307" s="107" t="str">
        <f>IF(AllData[[#This Row],[Nitrate (PPM)]]&gt;2, "Very high", IF(AllData[[#This Row],[Nitrate (PPM)]]&gt;1, "High", IF(AllData[[#This Row],[Nitrate (PPM)]]&gt;0.5, "Some evidence", IF(AllData[[#This Row],[Nitrate (PPM)]]&gt;=0, "No evidence"))))</f>
        <v>Very high</v>
      </c>
      <c r="S1307" s="4">
        <v>0.22</v>
      </c>
      <c r="T1307" s="7" t="str">
        <f>IF(AllData[[#This Row],[Phosphate (PPM)]]&gt;0.5, "Very high", IF(AllData[[#This Row],[Phosphate (PPM)]]&gt;0.1, "High", IF(AllData[[#This Row],[Phosphate (PPM)]]&gt;0.05, "Some evidence", IF(AllData[[#This Row],[Phosphate (PPM)]]&lt;=0.05, "No Evidence", ""))))</f>
        <v>High</v>
      </c>
      <c r="U1307">
        <v>0</v>
      </c>
    </row>
    <row r="1308" spans="1:22" x14ac:dyDescent="0.35">
      <c r="A1308" t="s">
        <v>1574</v>
      </c>
      <c r="B1308" s="143">
        <v>45474</v>
      </c>
      <c r="C1308" s="2" t="str" cm="1">
        <f t="array" ref="C13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8">
        <f>YEAR(AllData[[#This Row],[Date]])</f>
        <v>2024</v>
      </c>
      <c r="E1308" s="1">
        <v>0.60833333333333328</v>
      </c>
      <c r="F1308" t="str">
        <f>IF(AND(AllData[[#This Row],[Time]]&lt;0.5, AllData[[#This Row],[Time]]&gt;0.17)=TRUE, "Morning", IF(AND(AllData[[#This Row],[Time]]&lt;0.75, AllData[[#This Row],[Time]]&gt;=0.5)=TRUE, "Afternoon", IF(AND(AllData[[#This Row],[Time]]&lt;1, AllData[[#This Row],[Time]]&gt;=0.75)=TRUE, "Evening", "Night")))</f>
        <v>Afternoon</v>
      </c>
      <c r="G1308" t="str">
        <f>_xlfn.XLOOKUP(AllData[[#This Row],[Location Name]], Locations[Location Name],Locations[Group As])</f>
        <v>Abbey Mill</v>
      </c>
      <c r="H1308" t="e" vm="4">
        <f>_xlfn.XLOOKUP(AllData[[#This Row],[Site Name]],LocationsKey[Site Name],LocationsKey[District])</f>
        <v>#VALUE!</v>
      </c>
      <c r="I1308" t="e" vm="4">
        <f>_xlfn.XLOOKUP(AllData[[#This Row],[Site Name]],LocationsKey[Site Name],LocationsKey[Town])</f>
        <v>#VALUE!</v>
      </c>
      <c r="J1308" t="str">
        <f>_xlfn.XLOOKUP(AllData[[#This Row],[Site Name]],LocationsKey[Site Name], LocationsKey[Waterway])</f>
        <v>Avon</v>
      </c>
      <c r="K1308" t="s">
        <v>27</v>
      </c>
      <c r="L1308">
        <v>51.991247000000001</v>
      </c>
      <c r="M1308">
        <v>-2.1627100000000001</v>
      </c>
      <c r="N1308" t="s">
        <v>25</v>
      </c>
      <c r="O1308">
        <v>1020</v>
      </c>
      <c r="P1308">
        <v>20.6</v>
      </c>
      <c r="Q1308">
        <v>10</v>
      </c>
      <c r="R1308" s="107" t="str">
        <f>IF(AllData[[#This Row],[Nitrate (PPM)]]&gt;2, "Very high", IF(AllData[[#This Row],[Nitrate (PPM)]]&gt;1, "High", IF(AllData[[#This Row],[Nitrate (PPM)]]&gt;0.5, "Some evidence", IF(AllData[[#This Row],[Nitrate (PPM)]]&gt;=0, "No evidence"))))</f>
        <v>Very high</v>
      </c>
      <c r="S1308" s="4">
        <v>0.75</v>
      </c>
      <c r="T1308" s="7" t="str">
        <f>IF(AllData[[#This Row],[Phosphate (PPM)]]&gt;0.5, "Very high", IF(AllData[[#This Row],[Phosphate (PPM)]]&gt;0.1, "High", IF(AllData[[#This Row],[Phosphate (PPM)]]&gt;0.05, "Some evidence", IF(AllData[[#This Row],[Phosphate (PPM)]]&lt;=0.05, "No Evidence", ""))))</f>
        <v>Very high</v>
      </c>
      <c r="U1308">
        <v>0.4</v>
      </c>
    </row>
    <row r="1309" spans="1:22" x14ac:dyDescent="0.35">
      <c r="A1309" t="s">
        <v>1575</v>
      </c>
      <c r="B1309" s="143">
        <v>45474</v>
      </c>
      <c r="C1309" s="2" t="str" cm="1">
        <f t="array" ref="C13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09">
        <f>YEAR(AllData[[#This Row],[Date]])</f>
        <v>2024</v>
      </c>
      <c r="E1309" s="1">
        <v>0.79583333333333328</v>
      </c>
      <c r="F1309" t="str">
        <f>IF(AND(AllData[[#This Row],[Time]]&lt;0.5, AllData[[#This Row],[Time]]&gt;0.17)=TRUE, "Morning", IF(AND(AllData[[#This Row],[Time]]&lt;0.75, AllData[[#This Row],[Time]]&gt;=0.5)=TRUE, "Afternoon", IF(AND(AllData[[#This Row],[Time]]&lt;1, AllData[[#This Row],[Time]]&gt;=0.75)=TRUE, "Evening", "Night")))</f>
        <v>Evening</v>
      </c>
      <c r="G1309" t="str">
        <f>_xlfn.XLOOKUP(AllData[[#This Row],[Location Name]], Locations[Location Name],Locations[Group As])</f>
        <v>The Ford, Langley</v>
      </c>
      <c r="H1309" t="e" vm="1">
        <f>_xlfn.XLOOKUP(AllData[[#This Row],[Site Name]],LocationsKey[Site Name],LocationsKey[District])</f>
        <v>#VALUE!</v>
      </c>
      <c r="I1309" t="str">
        <f>_xlfn.XLOOKUP(AllData[[#This Row],[Site Name]],LocationsKey[Site Name],LocationsKey[Town])</f>
        <v>Langley</v>
      </c>
      <c r="J1309" t="str">
        <f>_xlfn.XLOOKUP(AllData[[#This Row],[Site Name]],LocationsKey[Site Name], LocationsKey[Waterway])</f>
        <v>Langley Ford</v>
      </c>
      <c r="K1309" t="s">
        <v>561</v>
      </c>
      <c r="L1309">
        <v>52.259816000000001</v>
      </c>
      <c r="M1309">
        <v>-1.7185330000000001</v>
      </c>
      <c r="N1309" t="s">
        <v>31</v>
      </c>
      <c r="O1309">
        <v>846</v>
      </c>
      <c r="P1309">
        <v>14.5</v>
      </c>
      <c r="Q1309">
        <v>5</v>
      </c>
      <c r="R1309" s="107" t="str">
        <f>IF(AllData[[#This Row],[Nitrate (PPM)]]&gt;2, "Very high", IF(AllData[[#This Row],[Nitrate (PPM)]]&gt;1, "High", IF(AllData[[#This Row],[Nitrate (PPM)]]&gt;0.5, "Some evidence", IF(AllData[[#This Row],[Nitrate (PPM)]]&gt;=0, "No evidence"))))</f>
        <v>Very high</v>
      </c>
      <c r="S1309" s="4">
        <v>0.93</v>
      </c>
      <c r="T1309" s="7" t="str">
        <f>IF(AllData[[#This Row],[Phosphate (PPM)]]&gt;0.5, "Very high", IF(AllData[[#This Row],[Phosphate (PPM)]]&gt;0.1, "High", IF(AllData[[#This Row],[Phosphate (PPM)]]&gt;0.05, "Some evidence", IF(AllData[[#This Row],[Phosphate (PPM)]]&lt;=0.05, "No Evidence", ""))))</f>
        <v>Very high</v>
      </c>
      <c r="U1309">
        <v>0.1</v>
      </c>
    </row>
    <row r="1310" spans="1:22" x14ac:dyDescent="0.35">
      <c r="A1310" t="s">
        <v>1572</v>
      </c>
      <c r="B1310" s="143">
        <v>45474</v>
      </c>
      <c r="C1310" s="2" t="str" cm="1">
        <f t="array" ref="C13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0">
        <f>YEAR(AllData[[#This Row],[Date]])</f>
        <v>2024</v>
      </c>
      <c r="E1310" s="1">
        <v>0.46875</v>
      </c>
      <c r="F1310" t="str">
        <f>IF(AND(AllData[[#This Row],[Time]]&lt;0.5, AllData[[#This Row],[Time]]&gt;0.17)=TRUE, "Morning", IF(AND(AllData[[#This Row],[Time]]&lt;0.75, AllData[[#This Row],[Time]]&gt;=0.5)=TRUE, "Afternoon", IF(AND(AllData[[#This Row],[Time]]&lt;1, AllData[[#This Row],[Time]]&gt;=0.75)=TRUE, "Evening", "Night")))</f>
        <v>Morning</v>
      </c>
      <c r="G1310" t="str">
        <f>_xlfn.XLOOKUP(AllData[[#This Row],[Location Name]], Locations[Location Name],Locations[Group As])</f>
        <v>Chipping Campden Lady J Gateway</v>
      </c>
      <c r="H1310" t="e" vm="9">
        <f>_xlfn.XLOOKUP(AllData[[#This Row],[Site Name]],LocationsKey[Site Name],LocationsKey[District])</f>
        <v>#VALUE!</v>
      </c>
      <c r="I1310" t="e" vm="10">
        <f>_xlfn.XLOOKUP(AllData[[#This Row],[Site Name]],LocationsKey[Site Name],LocationsKey[Town])</f>
        <v>#VALUE!</v>
      </c>
      <c r="J1310" t="str">
        <f>_xlfn.XLOOKUP(AllData[[#This Row],[Site Name]],LocationsKey[Site Name], LocationsKey[Waterway])</f>
        <v>Cam Brook</v>
      </c>
      <c r="K1310" t="s">
        <v>1573</v>
      </c>
      <c r="N1310" t="s">
        <v>68</v>
      </c>
      <c r="O1310">
        <v>515</v>
      </c>
      <c r="P1310">
        <v>17.899999999999999</v>
      </c>
      <c r="Q1310">
        <v>5</v>
      </c>
      <c r="R1310" s="107" t="str">
        <f>IF(AllData[[#This Row],[Nitrate (PPM)]]&gt;2, "Very high", IF(AllData[[#This Row],[Nitrate (PPM)]]&gt;1, "High", IF(AllData[[#This Row],[Nitrate (PPM)]]&gt;0.5, "Some evidence", IF(AllData[[#This Row],[Nitrate (PPM)]]&gt;=0, "No evidence"))))</f>
        <v>Very high</v>
      </c>
      <c r="S1310" s="4">
        <v>0.32</v>
      </c>
      <c r="T1310" s="7" t="str">
        <f>IF(AllData[[#This Row],[Phosphate (PPM)]]&gt;0.5, "Very high", IF(AllData[[#This Row],[Phosphate (PPM)]]&gt;0.1, "High", IF(AllData[[#This Row],[Phosphate (PPM)]]&gt;0.05, "Some evidence", IF(AllData[[#This Row],[Phosphate (PPM)]]&lt;=0.05, "No Evidence", ""))))</f>
        <v>High</v>
      </c>
      <c r="U1310">
        <v>7.0000000000000007E-2</v>
      </c>
    </row>
    <row r="1311" spans="1:22" x14ac:dyDescent="0.35">
      <c r="A1311" t="s">
        <v>1569</v>
      </c>
      <c r="B1311" s="143">
        <v>45474</v>
      </c>
      <c r="C1311" s="2" t="str" cm="1">
        <f t="array" ref="C13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1">
        <f>YEAR(AllData[[#This Row],[Date]])</f>
        <v>2024</v>
      </c>
      <c r="E1311" s="1">
        <v>0.35416666666666669</v>
      </c>
      <c r="F1311" t="str">
        <f>IF(AND(AllData[[#This Row],[Time]]&lt;0.5, AllData[[#This Row],[Time]]&gt;0.17)=TRUE, "Morning", IF(AND(AllData[[#This Row],[Time]]&lt;0.75, AllData[[#This Row],[Time]]&gt;=0.5)=TRUE, "Afternoon", IF(AND(AllData[[#This Row],[Time]]&lt;1, AllData[[#This Row],[Time]]&gt;=0.75)=TRUE, "Evening", "Night")))</f>
        <v>Morning</v>
      </c>
      <c r="G1311" t="str">
        <f>_xlfn.XLOOKUP(AllData[[#This Row],[Location Name]], Locations[Location Name],Locations[Group As])</f>
        <v>Chipping Campden Sewage Works</v>
      </c>
      <c r="H1311" t="e" vm="9">
        <f>_xlfn.XLOOKUP(AllData[[#This Row],[Site Name]],LocationsKey[Site Name],LocationsKey[District])</f>
        <v>#VALUE!</v>
      </c>
      <c r="I1311" t="e" vm="10">
        <f>_xlfn.XLOOKUP(AllData[[#This Row],[Site Name]],LocationsKey[Site Name],LocationsKey[Town])</f>
        <v>#VALUE!</v>
      </c>
      <c r="J1311" t="str">
        <f>_xlfn.XLOOKUP(AllData[[#This Row],[Site Name]],LocationsKey[Site Name], LocationsKey[Waterway])</f>
        <v>Cam Brook</v>
      </c>
      <c r="K1311" t="s">
        <v>1570</v>
      </c>
      <c r="N1311" t="s">
        <v>31</v>
      </c>
      <c r="O1311">
        <v>690</v>
      </c>
      <c r="P1311">
        <v>15.3</v>
      </c>
      <c r="Q1311">
        <v>2</v>
      </c>
      <c r="R1311" s="107" t="str">
        <f>IF(AllData[[#This Row],[Nitrate (PPM)]]&gt;2, "Very high", IF(AllData[[#This Row],[Nitrate (PPM)]]&gt;1, "High", IF(AllData[[#This Row],[Nitrate (PPM)]]&gt;0.5, "Some evidence", IF(AllData[[#This Row],[Nitrate (PPM)]]&gt;=0, "No evidence"))))</f>
        <v>High</v>
      </c>
      <c r="S1311" s="4">
        <v>0.4</v>
      </c>
      <c r="T1311" s="7" t="str">
        <f>IF(AllData[[#This Row],[Phosphate (PPM)]]&gt;0.5, "Very high", IF(AllData[[#This Row],[Phosphate (PPM)]]&gt;0.1, "High", IF(AllData[[#This Row],[Phosphate (PPM)]]&gt;0.05, "Some evidence", IF(AllData[[#This Row],[Phosphate (PPM)]]&lt;=0.05, "No Evidence", ""))))</f>
        <v>High</v>
      </c>
      <c r="U1311">
        <v>0.13</v>
      </c>
      <c r="V1311" t="s">
        <v>1571</v>
      </c>
    </row>
    <row r="1312" spans="1:22" x14ac:dyDescent="0.35">
      <c r="A1312" t="s">
        <v>1553</v>
      </c>
      <c r="B1312" s="143">
        <v>45473</v>
      </c>
      <c r="C1312" s="2" t="str" cm="1">
        <f t="array" ref="C13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2">
        <f>YEAR(AllData[[#This Row],[Date]])</f>
        <v>2024</v>
      </c>
      <c r="E1312" s="1">
        <v>0.68472222222222223</v>
      </c>
      <c r="F1312" t="str">
        <f>IF(AND(AllData[[#This Row],[Time]]&lt;0.5, AllData[[#This Row],[Time]]&gt;0.17)=TRUE, "Morning", IF(AND(AllData[[#This Row],[Time]]&lt;0.75, AllData[[#This Row],[Time]]&gt;=0.5)=TRUE, "Afternoon", IF(AND(AllData[[#This Row],[Time]]&lt;1, AllData[[#This Row],[Time]]&gt;=0.75)=TRUE, "Evening", "Night")))</f>
        <v>Afternoon</v>
      </c>
      <c r="G1312" t="str">
        <f>_xlfn.XLOOKUP(AllData[[#This Row],[Location Name]], Locations[Location Name],Locations[Group As])</f>
        <v>Black Bear</v>
      </c>
      <c r="H1312" t="e" vm="4">
        <f>_xlfn.XLOOKUP(AllData[[#This Row],[Site Name]],LocationsKey[Site Name],LocationsKey[District])</f>
        <v>#VALUE!</v>
      </c>
      <c r="I1312" t="e" vm="4">
        <f>_xlfn.XLOOKUP(AllData[[#This Row],[Site Name]],LocationsKey[Site Name],LocationsKey[Town])</f>
        <v>#VALUE!</v>
      </c>
      <c r="J1312" t="str">
        <f>_xlfn.XLOOKUP(AllData[[#This Row],[Site Name]],LocationsKey[Site Name], LocationsKey[Waterway])</f>
        <v>Avon</v>
      </c>
      <c r="K1312" t="s">
        <v>1175</v>
      </c>
      <c r="L1312">
        <v>51.997250999999999</v>
      </c>
      <c r="M1312">
        <v>-2.1561900000000001</v>
      </c>
      <c r="N1312" t="s">
        <v>25</v>
      </c>
      <c r="O1312">
        <v>980</v>
      </c>
      <c r="P1312">
        <v>20.399999999999999</v>
      </c>
      <c r="Q1312">
        <v>12</v>
      </c>
      <c r="R1312" s="107" t="str">
        <f>IF(AllData[[#This Row],[Nitrate (PPM)]]&gt;2, "Very high", IF(AllData[[#This Row],[Nitrate (PPM)]]&gt;1, "High", IF(AllData[[#This Row],[Nitrate (PPM)]]&gt;0.5, "Some evidence", IF(AllData[[#This Row],[Nitrate (PPM)]]&gt;=0, "No evidence"))))</f>
        <v>Very high</v>
      </c>
      <c r="S1312" s="4">
        <v>1.0900000000000001</v>
      </c>
      <c r="T1312" s="7" t="str">
        <f>IF(AllData[[#This Row],[Phosphate (PPM)]]&gt;0.5, "Very high", IF(AllData[[#This Row],[Phosphate (PPM)]]&gt;0.1, "High", IF(AllData[[#This Row],[Phosphate (PPM)]]&gt;0.05, "Some evidence", IF(AllData[[#This Row],[Phosphate (PPM)]]&lt;=0.05, "No Evidence", ""))))</f>
        <v>Very high</v>
      </c>
      <c r="U1312">
        <v>0</v>
      </c>
    </row>
    <row r="1313" spans="1:22" x14ac:dyDescent="0.35">
      <c r="A1313" t="s">
        <v>1550</v>
      </c>
      <c r="B1313" s="143">
        <v>45473</v>
      </c>
      <c r="C1313" s="2" t="str" cm="1">
        <f t="array" ref="C13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3">
        <f>YEAR(AllData[[#This Row],[Date]])</f>
        <v>2024</v>
      </c>
      <c r="E1313" s="1">
        <v>0.41666666666666669</v>
      </c>
      <c r="F1313" t="str">
        <f>IF(AND(AllData[[#This Row],[Time]]&lt;0.5, AllData[[#This Row],[Time]]&gt;0.17)=TRUE, "Morning", IF(AND(AllData[[#This Row],[Time]]&lt;0.75, AllData[[#This Row],[Time]]&gt;=0.5)=TRUE, "Afternoon", IF(AND(AllData[[#This Row],[Time]]&lt;1, AllData[[#This Row],[Time]]&gt;=0.75)=TRUE, "Evening", "Night")))</f>
        <v>Morning</v>
      </c>
      <c r="G1313" t="str">
        <f>_xlfn.XLOOKUP(AllData[[#This Row],[Location Name]], Locations[Location Name],Locations[Group As])</f>
        <v>Bell Brook 1</v>
      </c>
      <c r="H1313" t="e" vm="1">
        <f>_xlfn.XLOOKUP(AllData[[#This Row],[Site Name]],LocationsKey[Site Name],LocationsKey[District])</f>
        <v>#VALUE!</v>
      </c>
      <c r="I1313" t="e" vm="19">
        <f>_xlfn.XLOOKUP(AllData[[#This Row],[Site Name]],LocationsKey[Site Name],LocationsKey[Town])</f>
        <v>#VALUE!</v>
      </c>
      <c r="J1313" t="str">
        <f>_xlfn.XLOOKUP(AllData[[#This Row],[Site Name]],LocationsKey[Site Name], LocationsKey[Waterway])</f>
        <v>Bell Brook</v>
      </c>
      <c r="K1313" t="s">
        <v>538</v>
      </c>
      <c r="L1313">
        <v>52.244900000000001</v>
      </c>
      <c r="M1313">
        <v>-1.6617</v>
      </c>
      <c r="N1313" t="s">
        <v>25</v>
      </c>
      <c r="O1313">
        <v>879</v>
      </c>
      <c r="P1313">
        <v>15.4</v>
      </c>
      <c r="Q1313">
        <v>12</v>
      </c>
      <c r="R1313" s="107" t="str">
        <f>IF(AllData[[#This Row],[Nitrate (PPM)]]&gt;2, "Very high", IF(AllData[[#This Row],[Nitrate (PPM)]]&gt;1, "High", IF(AllData[[#This Row],[Nitrate (PPM)]]&gt;0.5, "Some evidence", IF(AllData[[#This Row],[Nitrate (PPM)]]&gt;=0, "No evidence"))))</f>
        <v>Very high</v>
      </c>
      <c r="S1313" s="4">
        <v>0.62</v>
      </c>
      <c r="T1313" s="7" t="str">
        <f>IF(AllData[[#This Row],[Phosphate (PPM)]]&gt;0.5, "Very high", IF(AllData[[#This Row],[Phosphate (PPM)]]&gt;0.1, "High", IF(AllData[[#This Row],[Phosphate (PPM)]]&gt;0.05, "Some evidence", IF(AllData[[#This Row],[Phosphate (PPM)]]&lt;=0.05, "No Evidence", ""))))</f>
        <v>Very high</v>
      </c>
      <c r="U1313">
        <v>0.1</v>
      </c>
    </row>
    <row r="1314" spans="1:22" x14ac:dyDescent="0.35">
      <c r="A1314" t="s">
        <v>1566</v>
      </c>
      <c r="B1314" s="143">
        <v>45473</v>
      </c>
      <c r="C1314" s="2" t="str" cm="1">
        <f t="array" ref="C13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4">
        <f>YEAR(AllData[[#This Row],[Date]])</f>
        <v>2024</v>
      </c>
      <c r="E1314" s="1"/>
      <c r="F1314" t="str">
        <f>IF(AND(AllData[[#This Row],[Time]]&lt;0.5, AllData[[#This Row],[Time]]&gt;0.17)=TRUE, "Morning", IF(AND(AllData[[#This Row],[Time]]&lt;0.75, AllData[[#This Row],[Time]]&gt;=0.5)=TRUE, "Afternoon", IF(AND(AllData[[#This Row],[Time]]&lt;1, AllData[[#This Row],[Time]]&gt;=0.75)=TRUE, "Evening", "Night")))</f>
        <v>Night</v>
      </c>
      <c r="G1314" t="str">
        <f>_xlfn.XLOOKUP(AllData[[#This Row],[Location Name]], Locations[Location Name],Locations[Group As])</f>
        <v>Site 3  :  Severn Trent Water processing plant outflow</v>
      </c>
      <c r="H1314" t="e" vm="1">
        <f>_xlfn.XLOOKUP(AllData[[#This Row],[Site Name]],LocationsKey[Site Name],LocationsKey[District])</f>
        <v>#VALUE!</v>
      </c>
      <c r="I1314" t="e" vm="14">
        <f>_xlfn.XLOOKUP(AllData[[#This Row],[Site Name]],LocationsKey[Site Name],LocationsKey[Town])</f>
        <v>#VALUE!</v>
      </c>
      <c r="J1314" t="str">
        <f>_xlfn.XLOOKUP(AllData[[#This Row],[Site Name]],LocationsKey[Site Name], LocationsKey[Waterway])</f>
        <v>Fosseway Brook</v>
      </c>
      <c r="K1314" t="s">
        <v>676</v>
      </c>
      <c r="N1314" t="s">
        <v>31</v>
      </c>
      <c r="O1314">
        <v>959</v>
      </c>
      <c r="P1314">
        <v>17.2</v>
      </c>
      <c r="Q1314">
        <v>10</v>
      </c>
      <c r="R1314" s="107" t="str">
        <f>IF(AllData[[#This Row],[Nitrate (PPM)]]&gt;2, "Very high", IF(AllData[[#This Row],[Nitrate (PPM)]]&gt;1, "High", IF(AllData[[#This Row],[Nitrate (PPM)]]&gt;0.5, "Some evidence", IF(AllData[[#This Row],[Nitrate (PPM)]]&gt;=0, "No evidence"))))</f>
        <v>Very high</v>
      </c>
      <c r="S1314" s="4">
        <v>2.5</v>
      </c>
      <c r="T1314" s="7" t="str">
        <f>IF(AllData[[#This Row],[Phosphate (PPM)]]&gt;0.5, "Very high", IF(AllData[[#This Row],[Phosphate (PPM)]]&gt;0.1, "High", IF(AllData[[#This Row],[Phosphate (PPM)]]&gt;0.05, "Some evidence", IF(AllData[[#This Row],[Phosphate (PPM)]]&lt;=0.05, "No Evidence", ""))))</f>
        <v>Very high</v>
      </c>
      <c r="V1314" t="s">
        <v>1567</v>
      </c>
    </row>
    <row r="1315" spans="1:22" x14ac:dyDescent="0.35">
      <c r="A1315" t="s">
        <v>1564</v>
      </c>
      <c r="B1315" s="143">
        <v>45473</v>
      </c>
      <c r="C1315" s="2" t="str" cm="1">
        <f t="array" ref="C13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5">
        <f>YEAR(AllData[[#This Row],[Date]])</f>
        <v>2024</v>
      </c>
      <c r="F1315" t="str">
        <f>IF(AND(AllData[[#This Row],[Time]]&lt;0.5, AllData[[#This Row],[Time]]&gt;0.17)=TRUE, "Morning", IF(AND(AllData[[#This Row],[Time]]&lt;0.75, AllData[[#This Row],[Time]]&gt;=0.5)=TRUE, "Afternoon", IF(AND(AllData[[#This Row],[Time]]&lt;1, AllData[[#This Row],[Time]]&gt;=0.75)=TRUE, "Evening", "Night")))</f>
        <v>Night</v>
      </c>
      <c r="G1315" t="str">
        <f>_xlfn.XLOOKUP(AllData[[#This Row],[Location Name]], Locations[Location Name],Locations[Group As])</f>
        <v>Site 3  :  Severn Trent Water processing plant outflow</v>
      </c>
      <c r="H1315" t="e" vm="1">
        <f>_xlfn.XLOOKUP(AllData[[#This Row],[Site Name]],LocationsKey[Site Name],LocationsKey[District])</f>
        <v>#VALUE!</v>
      </c>
      <c r="I1315" t="e" vm="14">
        <f>_xlfn.XLOOKUP(AllData[[#This Row],[Site Name]],LocationsKey[Site Name],LocationsKey[Town])</f>
        <v>#VALUE!</v>
      </c>
      <c r="J1315" t="str">
        <f>_xlfn.XLOOKUP(AllData[[#This Row],[Site Name]],LocationsKey[Site Name], LocationsKey[Waterway])</f>
        <v>Fosseway Brook</v>
      </c>
      <c r="K1315" t="s">
        <v>673</v>
      </c>
      <c r="N1315" t="s">
        <v>31</v>
      </c>
      <c r="O1315">
        <v>959</v>
      </c>
      <c r="P1315">
        <v>17.2</v>
      </c>
      <c r="Q1315">
        <v>10</v>
      </c>
      <c r="R1315" s="107" t="str">
        <f>IF(AllData[[#This Row],[Nitrate (PPM)]]&gt;2, "Very high", IF(AllData[[#This Row],[Nitrate (PPM)]]&gt;1, "High", IF(AllData[[#This Row],[Nitrate (PPM)]]&gt;0.5, "Some evidence", IF(AllData[[#This Row],[Nitrate (PPM)]]&gt;=0, "No evidence"))))</f>
        <v>Very high</v>
      </c>
      <c r="S1315" s="4">
        <v>2.5</v>
      </c>
      <c r="T1315" s="7" t="str">
        <f>IF(AllData[[#This Row],[Phosphate (PPM)]]&gt;0.5, "Very high", IF(AllData[[#This Row],[Phosphate (PPM)]]&gt;0.1, "High", IF(AllData[[#This Row],[Phosphate (PPM)]]&gt;0.05, "Some evidence", IF(AllData[[#This Row],[Phosphate (PPM)]]&lt;=0.05, "No Evidence", ""))))</f>
        <v>Very high</v>
      </c>
      <c r="U1315">
        <v>0</v>
      </c>
      <c r="V1315" t="s">
        <v>1565</v>
      </c>
    </row>
    <row r="1316" spans="1:22" x14ac:dyDescent="0.35">
      <c r="A1316" t="s">
        <v>1549</v>
      </c>
      <c r="B1316" s="143">
        <v>45473</v>
      </c>
      <c r="C1316" s="2" t="str" cm="1">
        <f t="array" ref="C13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6">
        <f>YEAR(AllData[[#This Row],[Date]])</f>
        <v>2024</v>
      </c>
      <c r="E1316" s="1">
        <v>0.40625</v>
      </c>
      <c r="F1316" t="str">
        <f>IF(AND(AllData[[#This Row],[Time]]&lt;0.5, AllData[[#This Row],[Time]]&gt;0.17)=TRUE, "Morning", IF(AND(AllData[[#This Row],[Time]]&lt;0.75, AllData[[#This Row],[Time]]&gt;=0.5)=TRUE, "Afternoon", IF(AND(AllData[[#This Row],[Time]]&lt;1, AllData[[#This Row],[Time]]&gt;=0.75)=TRUE, "Evening", "Night")))</f>
        <v>Morning</v>
      </c>
      <c r="G1316" t="str">
        <f>_xlfn.XLOOKUP(AllData[[#This Row],[Location Name]], Locations[Location Name],Locations[Group As])</f>
        <v>Sherbourne Brook 1</v>
      </c>
      <c r="H1316" t="e" vm="1">
        <f>_xlfn.XLOOKUP(AllData[[#This Row],[Site Name]],LocationsKey[Site Name],LocationsKey[District])</f>
        <v>#VALUE!</v>
      </c>
      <c r="I1316" t="e" vm="23">
        <f>_xlfn.XLOOKUP(AllData[[#This Row],[Site Name]],LocationsKey[Site Name],LocationsKey[Town])</f>
        <v>#VALUE!</v>
      </c>
      <c r="J1316" t="str">
        <f>_xlfn.XLOOKUP(AllData[[#This Row],[Site Name]],LocationsKey[Site Name], LocationsKey[Waterway])</f>
        <v>Sherbourne Brook</v>
      </c>
      <c r="K1316" t="s">
        <v>541</v>
      </c>
      <c r="L1316">
        <v>52.252499999999998</v>
      </c>
      <c r="M1316">
        <v>-1.6685000000000001</v>
      </c>
      <c r="N1316" t="s">
        <v>25</v>
      </c>
      <c r="O1316">
        <v>1120</v>
      </c>
      <c r="P1316">
        <v>13.9</v>
      </c>
      <c r="Q1316">
        <v>8</v>
      </c>
      <c r="R1316" s="107" t="str">
        <f>IF(AllData[[#This Row],[Nitrate (PPM)]]&gt;2, "Very high", IF(AllData[[#This Row],[Nitrate (PPM)]]&gt;1, "High", IF(AllData[[#This Row],[Nitrate (PPM)]]&gt;0.5, "Some evidence", IF(AllData[[#This Row],[Nitrate (PPM)]]&gt;=0, "No evidence"))))</f>
        <v>Very high</v>
      </c>
      <c r="S1316" s="4">
        <v>0.4</v>
      </c>
      <c r="T1316" s="7" t="str">
        <f>IF(AllData[[#This Row],[Phosphate (PPM)]]&gt;0.5, "Very high", IF(AllData[[#This Row],[Phosphate (PPM)]]&gt;0.1, "High", IF(AllData[[#This Row],[Phosphate (PPM)]]&gt;0.05, "Some evidence", IF(AllData[[#This Row],[Phosphate (PPM)]]&lt;=0.05, "No Evidence", ""))))</f>
        <v>High</v>
      </c>
      <c r="U1316">
        <v>0.1</v>
      </c>
    </row>
    <row r="1317" spans="1:22" x14ac:dyDescent="0.35">
      <c r="A1317" t="s">
        <v>1555</v>
      </c>
      <c r="B1317" s="143">
        <v>45473</v>
      </c>
      <c r="C1317" s="2" t="str" cm="1">
        <f t="array" ref="C13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7">
        <f>YEAR(AllData[[#This Row],[Date]])</f>
        <v>2024</v>
      </c>
      <c r="E1317" s="1">
        <v>0.72847222222222219</v>
      </c>
      <c r="F1317" t="str">
        <f>IF(AND(AllData[[#This Row],[Time]]&lt;0.5, AllData[[#This Row],[Time]]&gt;0.17)=TRUE, "Morning", IF(AND(AllData[[#This Row],[Time]]&lt;0.75, AllData[[#This Row],[Time]]&gt;=0.5)=TRUE, "Afternoon", IF(AND(AllData[[#This Row],[Time]]&lt;1, AllData[[#This Row],[Time]]&gt;=0.75)=TRUE, "Evening", "Night")))</f>
        <v>Afternoon</v>
      </c>
      <c r="G1317" t="str">
        <f>_xlfn.XLOOKUP(AllData[[#This Row],[Location Name]], Locations[Location Name],Locations[Group As])</f>
        <v>Stour Stretton-on-Fosse Sewage Works</v>
      </c>
      <c r="H1317" t="e" vm="1">
        <f>_xlfn.XLOOKUP(AllData[[#This Row],[Site Name]],LocationsKey[Site Name],LocationsKey[District])</f>
        <v>#VALUE!</v>
      </c>
      <c r="I1317" t="e" vm="30">
        <f>_xlfn.XLOOKUP(AllData[[#This Row],[Site Name]],LocationsKey[Site Name],LocationsKey[Town])</f>
        <v>#VALUE!</v>
      </c>
      <c r="J1317" t="str">
        <f>_xlfn.XLOOKUP(AllData[[#This Row],[Site Name]],LocationsKey[Site Name], LocationsKey[Waterway])</f>
        <v>Stour</v>
      </c>
      <c r="K1317" t="s">
        <v>337</v>
      </c>
      <c r="L1317">
        <v>52.045704999999998</v>
      </c>
      <c r="M1317">
        <v>-1.67181</v>
      </c>
      <c r="N1317" t="s">
        <v>31</v>
      </c>
      <c r="O1317">
        <v>932</v>
      </c>
      <c r="P1317">
        <v>16.399999999999999</v>
      </c>
      <c r="Q1317">
        <v>5</v>
      </c>
      <c r="R1317" s="107" t="str">
        <f>IF(AllData[[#This Row],[Nitrate (PPM)]]&gt;2, "Very high", IF(AllData[[#This Row],[Nitrate (PPM)]]&gt;1, "High", IF(AllData[[#This Row],[Nitrate (PPM)]]&gt;0.5, "Some evidence", IF(AllData[[#This Row],[Nitrate (PPM)]]&gt;=0, "No evidence"))))</f>
        <v>Very high</v>
      </c>
      <c r="S1317" s="4">
        <v>2.5</v>
      </c>
      <c r="T1317" s="7" t="str">
        <f>IF(AllData[[#This Row],[Phosphate (PPM)]]&gt;0.5, "Very high", IF(AllData[[#This Row],[Phosphate (PPM)]]&gt;0.1, "High", IF(AllData[[#This Row],[Phosphate (PPM)]]&gt;0.05, "Some evidence", IF(AllData[[#This Row],[Phosphate (PPM)]]&lt;=0.05, "No Evidence", ""))))</f>
        <v>Very high</v>
      </c>
      <c r="U1317">
        <v>0.3</v>
      </c>
      <c r="V1317" t="s">
        <v>1391</v>
      </c>
    </row>
    <row r="1318" spans="1:22" x14ac:dyDescent="0.35">
      <c r="A1318" t="s">
        <v>1551</v>
      </c>
      <c r="B1318" s="143">
        <v>45473</v>
      </c>
      <c r="C1318" s="2" t="str" cm="1">
        <f t="array" ref="C13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8">
        <f>YEAR(AllData[[#This Row],[Date]])</f>
        <v>2024</v>
      </c>
      <c r="E1318" s="1">
        <v>0.52986111111111112</v>
      </c>
      <c r="F1318" t="str">
        <f>IF(AND(AllData[[#This Row],[Time]]&lt;0.5, AllData[[#This Row],[Time]]&gt;0.17)=TRUE, "Morning", IF(AND(AllData[[#This Row],[Time]]&lt;0.75, AllData[[#This Row],[Time]]&gt;=0.5)=TRUE, "Afternoon", IF(AND(AllData[[#This Row],[Time]]&lt;1, AllData[[#This Row],[Time]]&gt;=0.75)=TRUE, "Evening", "Night")))</f>
        <v>Afternoon</v>
      </c>
      <c r="G1318" t="str">
        <f>_xlfn.XLOOKUP(AllData[[#This Row],[Location Name]], Locations[Location Name],Locations[Group As])</f>
        <v>Fell Mill Footbridge</v>
      </c>
      <c r="H1318" t="e" vm="1">
        <f>_xlfn.XLOOKUP(AllData[[#This Row],[Site Name]],LocationsKey[Site Name],LocationsKey[District])</f>
        <v>#VALUE!</v>
      </c>
      <c r="I1318" t="e" vm="15">
        <f>_xlfn.XLOOKUP(AllData[[#This Row],[Site Name]],LocationsKey[Site Name],LocationsKey[Town])</f>
        <v>#VALUE!</v>
      </c>
      <c r="J1318" t="str">
        <f>_xlfn.XLOOKUP(AllData[[#This Row],[Site Name]],LocationsKey[Site Name], LocationsKey[Waterway])</f>
        <v>Stour</v>
      </c>
      <c r="K1318" t="s">
        <v>1552</v>
      </c>
      <c r="L1318">
        <v>52.010086000000001</v>
      </c>
      <c r="M1318">
        <v>-1.61145</v>
      </c>
      <c r="N1318" t="s">
        <v>31</v>
      </c>
      <c r="O1318">
        <v>635</v>
      </c>
      <c r="P1318">
        <v>16.8</v>
      </c>
      <c r="Q1318">
        <v>5</v>
      </c>
      <c r="R1318" s="107" t="str">
        <f>IF(AllData[[#This Row],[Nitrate (PPM)]]&gt;2, "Very high", IF(AllData[[#This Row],[Nitrate (PPM)]]&gt;1, "High", IF(AllData[[#This Row],[Nitrate (PPM)]]&gt;0.5, "Some evidence", IF(AllData[[#This Row],[Nitrate (PPM)]]&gt;=0, "No evidence"))))</f>
        <v>Very high</v>
      </c>
      <c r="S1318" s="4">
        <v>0.45</v>
      </c>
      <c r="T1318" s="7" t="str">
        <f>IF(AllData[[#This Row],[Phosphate (PPM)]]&gt;0.5, "Very high", IF(AllData[[#This Row],[Phosphate (PPM)]]&gt;0.1, "High", IF(AllData[[#This Row],[Phosphate (PPM)]]&gt;0.05, "Some evidence", IF(AllData[[#This Row],[Phosphate (PPM)]]&lt;=0.05, "No Evidence", ""))))</f>
        <v>High</v>
      </c>
      <c r="U1318">
        <v>2.2999999999999998</v>
      </c>
    </row>
    <row r="1319" spans="1:22" x14ac:dyDescent="0.35">
      <c r="A1319" t="s">
        <v>1554</v>
      </c>
      <c r="B1319" s="143">
        <v>45473</v>
      </c>
      <c r="C1319" s="2" t="str" cm="1">
        <f t="array" ref="C13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19">
        <f>YEAR(AllData[[#This Row],[Date]])</f>
        <v>2024</v>
      </c>
      <c r="E1319" s="1">
        <v>0.70763888888888893</v>
      </c>
      <c r="F1319" t="str">
        <f>IF(AND(AllData[[#This Row],[Time]]&lt;0.5, AllData[[#This Row],[Time]]&gt;0.17)=TRUE, "Morning", IF(AND(AllData[[#This Row],[Time]]&lt;0.75, AllData[[#This Row],[Time]]&gt;=0.5)=TRUE, "Afternoon", IF(AND(AllData[[#This Row],[Time]]&lt;1, AllData[[#This Row],[Time]]&gt;=0.75)=TRUE, "Evening", "Night")))</f>
        <v>Afternoon</v>
      </c>
      <c r="G1319" t="str">
        <f>_xlfn.XLOOKUP(AllData[[#This Row],[Location Name]], Locations[Location Name],Locations[Group As])</f>
        <v>Stour Stretton-on-Fosse Village</v>
      </c>
      <c r="H1319" t="e" vm="1">
        <f>_xlfn.XLOOKUP(AllData[[#This Row],[Site Name]],LocationsKey[Site Name],LocationsKey[District])</f>
        <v>#VALUE!</v>
      </c>
      <c r="I1319" t="e" vm="30">
        <f>_xlfn.XLOOKUP(AllData[[#This Row],[Site Name]],LocationsKey[Site Name],LocationsKey[Town])</f>
        <v>#VALUE!</v>
      </c>
      <c r="J1319" t="str">
        <f>_xlfn.XLOOKUP(AllData[[#This Row],[Site Name]],LocationsKey[Site Name], LocationsKey[Waterway])</f>
        <v>Stour</v>
      </c>
      <c r="K1319" t="s">
        <v>548</v>
      </c>
      <c r="L1319">
        <v>52.046447000000001</v>
      </c>
      <c r="M1319">
        <v>-1.6734819999999999</v>
      </c>
      <c r="N1319" t="s">
        <v>68</v>
      </c>
      <c r="O1319">
        <v>717</v>
      </c>
      <c r="P1319">
        <v>14.1</v>
      </c>
      <c r="Q1319">
        <v>2</v>
      </c>
      <c r="R1319" s="107" t="str">
        <f>IF(AllData[[#This Row],[Nitrate (PPM)]]&gt;2, "Very high", IF(AllData[[#This Row],[Nitrate (PPM)]]&gt;1, "High", IF(AllData[[#This Row],[Nitrate (PPM)]]&gt;0.5, "Some evidence", IF(AllData[[#This Row],[Nitrate (PPM)]]&gt;=0, "No evidence"))))</f>
        <v>High</v>
      </c>
      <c r="S1319" s="4">
        <v>2.5</v>
      </c>
      <c r="T1319" s="7" t="str">
        <f>IF(AllData[[#This Row],[Phosphate (PPM)]]&gt;0.5, "Very high", IF(AllData[[#This Row],[Phosphate (PPM)]]&gt;0.1, "High", IF(AllData[[#This Row],[Phosphate (PPM)]]&gt;0.05, "Some evidence", IF(AllData[[#This Row],[Phosphate (PPM)]]&lt;=0.05, "No Evidence", ""))))</f>
        <v>Very high</v>
      </c>
      <c r="U1319">
        <v>0.2</v>
      </c>
      <c r="V1319" t="s">
        <v>1356</v>
      </c>
    </row>
    <row r="1320" spans="1:22" x14ac:dyDescent="0.35">
      <c r="A1320" t="s">
        <v>1558</v>
      </c>
      <c r="B1320" s="143">
        <v>45473</v>
      </c>
      <c r="C1320" s="2" t="str" cm="1">
        <f t="array" ref="C13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0">
        <f>YEAR(AllData[[#This Row],[Date]])</f>
        <v>2024</v>
      </c>
      <c r="E1320" s="1"/>
      <c r="F1320" t="str">
        <f>IF(AND(AllData[[#This Row],[Time]]&lt;0.5, AllData[[#This Row],[Time]]&gt;0.17)=TRUE, "Morning", IF(AND(AllData[[#This Row],[Time]]&lt;0.75, AllData[[#This Row],[Time]]&gt;=0.5)=TRUE, "Afternoon", IF(AND(AllData[[#This Row],[Time]]&lt;1, AllData[[#This Row],[Time]]&gt;=0.75)=TRUE, "Evening", "Night")))</f>
        <v>Night</v>
      </c>
      <c r="G1320" t="str">
        <f>_xlfn.XLOOKUP(AllData[[#This Row],[Location Name]], Locations[Location Name],Locations[Group As])</f>
        <v>Site 1  :  Middle Street</v>
      </c>
      <c r="H1320" t="e" vm="1">
        <f>_xlfn.XLOOKUP(AllData[[#This Row],[Site Name]],LocationsKey[Site Name],LocationsKey[District])</f>
        <v>#VALUE!</v>
      </c>
      <c r="I1320" t="e" vm="14">
        <f>_xlfn.XLOOKUP(AllData[[#This Row],[Site Name]],LocationsKey[Site Name],LocationsKey[Town])</f>
        <v>#VALUE!</v>
      </c>
      <c r="J1320" t="str">
        <f>_xlfn.XLOOKUP(AllData[[#This Row],[Site Name]],LocationsKey[Site Name], LocationsKey[Waterway])</f>
        <v>Fosseway Brook</v>
      </c>
      <c r="K1320" t="s">
        <v>670</v>
      </c>
      <c r="N1320" t="s">
        <v>68</v>
      </c>
      <c r="O1320">
        <v>684</v>
      </c>
      <c r="P1320">
        <v>17.399999999999999</v>
      </c>
      <c r="Q1320">
        <v>2</v>
      </c>
      <c r="R1320" s="107" t="str">
        <f>IF(AllData[[#This Row],[Nitrate (PPM)]]&gt;2, "Very high", IF(AllData[[#This Row],[Nitrate (PPM)]]&gt;1, "High", IF(AllData[[#This Row],[Nitrate (PPM)]]&gt;0.5, "Some evidence", IF(AllData[[#This Row],[Nitrate (PPM)]]&gt;=0, "No evidence"))))</f>
        <v>High</v>
      </c>
      <c r="S1320" s="4">
        <v>0.76</v>
      </c>
      <c r="T1320" s="7" t="str">
        <f>IF(AllData[[#This Row],[Phosphate (PPM)]]&gt;0.5, "Very high", IF(AllData[[#This Row],[Phosphate (PPM)]]&gt;0.1, "High", IF(AllData[[#This Row],[Phosphate (PPM)]]&gt;0.05, "Some evidence", IF(AllData[[#This Row],[Phosphate (PPM)]]&lt;=0.05, "No Evidence", ""))))</f>
        <v>Very high</v>
      </c>
      <c r="V1320" t="s">
        <v>1559</v>
      </c>
    </row>
    <row r="1321" spans="1:22" x14ac:dyDescent="0.35">
      <c r="A1321" t="s">
        <v>1556</v>
      </c>
      <c r="B1321" s="143">
        <v>45473</v>
      </c>
      <c r="C1321" s="2" t="str" cm="1">
        <f t="array" ref="C13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1">
        <f>YEAR(AllData[[#This Row],[Date]])</f>
        <v>2024</v>
      </c>
      <c r="F1321" t="str">
        <f>IF(AND(AllData[[#This Row],[Time]]&lt;0.5, AllData[[#This Row],[Time]]&gt;0.17)=TRUE, "Morning", IF(AND(AllData[[#This Row],[Time]]&lt;0.75, AllData[[#This Row],[Time]]&gt;=0.5)=TRUE, "Afternoon", IF(AND(AllData[[#This Row],[Time]]&lt;1, AllData[[#This Row],[Time]]&gt;=0.75)=TRUE, "Evening", "Night")))</f>
        <v>Night</v>
      </c>
      <c r="G1321" t="str">
        <f>_xlfn.XLOOKUP(AllData[[#This Row],[Location Name]], Locations[Location Name],Locations[Group As])</f>
        <v>Site 1  :  Middle Street</v>
      </c>
      <c r="H1321" t="e" vm="1">
        <f>_xlfn.XLOOKUP(AllData[[#This Row],[Site Name]],LocationsKey[Site Name],LocationsKey[District])</f>
        <v>#VALUE!</v>
      </c>
      <c r="I1321" t="e" vm="14">
        <f>_xlfn.XLOOKUP(AllData[[#This Row],[Site Name]],LocationsKey[Site Name],LocationsKey[Town])</f>
        <v>#VALUE!</v>
      </c>
      <c r="J1321" t="str">
        <f>_xlfn.XLOOKUP(AllData[[#This Row],[Site Name]],LocationsKey[Site Name], LocationsKey[Waterway])</f>
        <v>Fosseway Brook</v>
      </c>
      <c r="K1321" t="s">
        <v>667</v>
      </c>
      <c r="N1321" t="s">
        <v>68</v>
      </c>
      <c r="O1321">
        <v>684</v>
      </c>
      <c r="P1321">
        <v>17.399999999999999</v>
      </c>
      <c r="Q1321">
        <v>2</v>
      </c>
      <c r="R1321" s="107" t="str">
        <f>IF(AllData[[#This Row],[Nitrate (PPM)]]&gt;2, "Very high", IF(AllData[[#This Row],[Nitrate (PPM)]]&gt;1, "High", IF(AllData[[#This Row],[Nitrate (PPM)]]&gt;0.5, "Some evidence", IF(AllData[[#This Row],[Nitrate (PPM)]]&gt;=0, "No evidence"))))</f>
        <v>High</v>
      </c>
      <c r="S1321" s="4">
        <v>0.76</v>
      </c>
      <c r="T1321" s="7" t="str">
        <f>IF(AllData[[#This Row],[Phosphate (PPM)]]&gt;0.5, "Very high", IF(AllData[[#This Row],[Phosphate (PPM)]]&gt;0.1, "High", IF(AllData[[#This Row],[Phosphate (PPM)]]&gt;0.05, "Some evidence", IF(AllData[[#This Row],[Phosphate (PPM)]]&lt;=0.05, "No Evidence", ""))))</f>
        <v>Very high</v>
      </c>
      <c r="U1321">
        <v>0</v>
      </c>
      <c r="V1321" t="s">
        <v>1557</v>
      </c>
    </row>
    <row r="1322" spans="1:22" x14ac:dyDescent="0.35">
      <c r="A1322" t="s">
        <v>1568</v>
      </c>
      <c r="B1322" s="143">
        <v>45473</v>
      </c>
      <c r="C1322" s="2" t="str" cm="1">
        <f t="array" ref="C13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2">
        <f>YEAR(AllData[[#This Row],[Date]])</f>
        <v>2024</v>
      </c>
      <c r="E1322" s="1">
        <v>0.39930555555555558</v>
      </c>
      <c r="F1322" t="str">
        <f>IF(AND(AllData[[#This Row],[Time]]&lt;0.5, AllData[[#This Row],[Time]]&gt;0.17)=TRUE, "Morning", IF(AND(AllData[[#This Row],[Time]]&lt;0.75, AllData[[#This Row],[Time]]&gt;=0.5)=TRUE, "Afternoon", IF(AND(AllData[[#This Row],[Time]]&lt;1, AllData[[#This Row],[Time]]&gt;=0.75)=TRUE, "Evening", "Night")))</f>
        <v>Morning</v>
      </c>
      <c r="G1322" t="str">
        <f>_xlfn.XLOOKUP(AllData[[#This Row],[Location Name]], Locations[Location Name],Locations[Group As])</f>
        <v>Site 1  :  Middle Street</v>
      </c>
      <c r="H1322" t="e" vm="1">
        <f>_xlfn.XLOOKUP(AllData[[#This Row],[Site Name]],LocationsKey[Site Name],LocationsKey[District])</f>
        <v>#VALUE!</v>
      </c>
      <c r="I1322" t="e" vm="14">
        <f>_xlfn.XLOOKUP(AllData[[#This Row],[Site Name]],LocationsKey[Site Name],LocationsKey[Town])</f>
        <v>#VALUE!</v>
      </c>
      <c r="J1322" t="str">
        <f>_xlfn.XLOOKUP(AllData[[#This Row],[Site Name]],LocationsKey[Site Name], LocationsKey[Waterway])</f>
        <v>Fosseway Brook</v>
      </c>
      <c r="K1322" t="s">
        <v>678</v>
      </c>
      <c r="L1322">
        <v>52.090085000000002</v>
      </c>
      <c r="M1322">
        <v>-1.692593</v>
      </c>
      <c r="N1322" t="s">
        <v>68</v>
      </c>
      <c r="O1322">
        <v>684</v>
      </c>
      <c r="P1322">
        <v>17.399999999999999</v>
      </c>
      <c r="Q1322">
        <v>2</v>
      </c>
      <c r="R1322" s="107" t="str">
        <f>IF(AllData[[#This Row],[Nitrate (PPM)]]&gt;2, "Very high", IF(AllData[[#This Row],[Nitrate (PPM)]]&gt;1, "High", IF(AllData[[#This Row],[Nitrate (PPM)]]&gt;0.5, "Some evidence", IF(AllData[[#This Row],[Nitrate (PPM)]]&gt;=0, "No evidence"))))</f>
        <v>High</v>
      </c>
      <c r="S1322">
        <v>0.76</v>
      </c>
      <c r="T1322" s="7" t="str">
        <f>IF(AllData[[#This Row],[Phosphate (PPM)]]&gt;0.5, "Very high", IF(AllData[[#This Row],[Phosphate (PPM)]]&gt;0.1, "High", IF(AllData[[#This Row],[Phosphate (PPM)]]&gt;0.05, "Some evidence", IF(AllData[[#This Row],[Phosphate (PPM)]]&lt;=0.05, "No Evidence", ""))))</f>
        <v>Very high</v>
      </c>
      <c r="U1322">
        <v>0.05</v>
      </c>
    </row>
    <row r="1323" spans="1:22" x14ac:dyDescent="0.35">
      <c r="A1323" t="s">
        <v>1562</v>
      </c>
      <c r="B1323" s="143">
        <v>45473</v>
      </c>
      <c r="C1323" s="2" t="str" cm="1">
        <f t="array" ref="C13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3">
        <f>YEAR(AllData[[#This Row],[Date]])</f>
        <v>2024</v>
      </c>
      <c r="E1323" s="1"/>
      <c r="F1323" t="str">
        <f>IF(AND(AllData[[#This Row],[Time]]&lt;0.5, AllData[[#This Row],[Time]]&gt;0.17)=TRUE, "Morning", IF(AND(AllData[[#This Row],[Time]]&lt;0.75, AllData[[#This Row],[Time]]&gt;=0.5)=TRUE, "Afternoon", IF(AND(AllData[[#This Row],[Time]]&lt;1, AllData[[#This Row],[Time]]&gt;=0.75)=TRUE, "Evening", "Night")))</f>
        <v>Night</v>
      </c>
      <c r="G1323" t="str">
        <f>_xlfn.XLOOKUP(AllData[[#This Row],[Location Name]], Locations[Location Name],Locations[Group As])</f>
        <v>Site 2  :  Cross Leys culvert</v>
      </c>
      <c r="H1323" t="e" vm="1">
        <f>_xlfn.XLOOKUP(AllData[[#This Row],[Site Name]],LocationsKey[Site Name],LocationsKey[District])</f>
        <v>#VALUE!</v>
      </c>
      <c r="I1323" t="e" vm="14">
        <f>_xlfn.XLOOKUP(AllData[[#This Row],[Site Name]],LocationsKey[Site Name],LocationsKey[Town])</f>
        <v>#VALUE!</v>
      </c>
      <c r="J1323" t="str">
        <f>_xlfn.XLOOKUP(AllData[[#This Row],[Site Name]],LocationsKey[Site Name], LocationsKey[Waterway])</f>
        <v>Fosseway Brook</v>
      </c>
      <c r="K1323" t="s">
        <v>626</v>
      </c>
      <c r="N1323" t="s">
        <v>68</v>
      </c>
      <c r="O1323">
        <v>1100</v>
      </c>
      <c r="P1323">
        <v>15.6</v>
      </c>
      <c r="Q1323">
        <v>0</v>
      </c>
      <c r="R1323" s="107" t="str">
        <f>IF(AllData[[#This Row],[Nitrate (PPM)]]&gt;2, "Very high", IF(AllData[[#This Row],[Nitrate (PPM)]]&gt;1, "High", IF(AllData[[#This Row],[Nitrate (PPM)]]&gt;0.5, "Some evidence", IF(AllData[[#This Row],[Nitrate (PPM)]]&gt;=0, "No evidence"))))</f>
        <v>No evidence</v>
      </c>
      <c r="S1323" s="4">
        <v>2.5</v>
      </c>
      <c r="T1323" s="7" t="str">
        <f>IF(AllData[[#This Row],[Phosphate (PPM)]]&gt;0.5, "Very high", IF(AllData[[#This Row],[Phosphate (PPM)]]&gt;0.1, "High", IF(AllData[[#This Row],[Phosphate (PPM)]]&gt;0.05, "Some evidence", IF(AllData[[#This Row],[Phosphate (PPM)]]&lt;=0.05, "No Evidence", ""))))</f>
        <v>Very high</v>
      </c>
      <c r="V1323" t="s">
        <v>1563</v>
      </c>
    </row>
    <row r="1324" spans="1:22" x14ac:dyDescent="0.35">
      <c r="A1324" t="s">
        <v>1560</v>
      </c>
      <c r="B1324" s="143">
        <v>45473</v>
      </c>
      <c r="C1324" s="2" t="str" cm="1">
        <f t="array" ref="C13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4">
        <f>YEAR(AllData[[#This Row],[Date]])</f>
        <v>2024</v>
      </c>
      <c r="F1324" t="str">
        <f>IF(AND(AllData[[#This Row],[Time]]&lt;0.5, AllData[[#This Row],[Time]]&gt;0.17)=TRUE, "Morning", IF(AND(AllData[[#This Row],[Time]]&lt;0.75, AllData[[#This Row],[Time]]&gt;=0.5)=TRUE, "Afternoon", IF(AND(AllData[[#This Row],[Time]]&lt;1, AllData[[#This Row],[Time]]&gt;=0.75)=TRUE, "Evening", "Night")))</f>
        <v>Night</v>
      </c>
      <c r="G1324" t="str">
        <f>_xlfn.XLOOKUP(AllData[[#This Row],[Location Name]], Locations[Location Name],Locations[Group As])</f>
        <v>Site 2  :  Cross Leys culvert</v>
      </c>
      <c r="H1324" t="e" vm="1">
        <f>_xlfn.XLOOKUP(AllData[[#This Row],[Site Name]],LocationsKey[Site Name],LocationsKey[District])</f>
        <v>#VALUE!</v>
      </c>
      <c r="I1324" t="e" vm="14">
        <f>_xlfn.XLOOKUP(AllData[[#This Row],[Site Name]],LocationsKey[Site Name],LocationsKey[Town])</f>
        <v>#VALUE!</v>
      </c>
      <c r="J1324" t="str">
        <f>_xlfn.XLOOKUP(AllData[[#This Row],[Site Name]],LocationsKey[Site Name], LocationsKey[Waterway])</f>
        <v>Fosseway Brook</v>
      </c>
      <c r="K1324" t="s">
        <v>623</v>
      </c>
      <c r="N1324" t="s">
        <v>68</v>
      </c>
      <c r="O1324">
        <v>1100</v>
      </c>
      <c r="P1324">
        <v>15.6</v>
      </c>
      <c r="Q1324">
        <v>0</v>
      </c>
      <c r="R1324" s="107" t="str">
        <f>IF(AllData[[#This Row],[Nitrate (PPM)]]&gt;2, "Very high", IF(AllData[[#This Row],[Nitrate (PPM)]]&gt;1, "High", IF(AllData[[#This Row],[Nitrate (PPM)]]&gt;0.5, "Some evidence", IF(AllData[[#This Row],[Nitrate (PPM)]]&gt;=0, "No evidence"))))</f>
        <v>No evidence</v>
      </c>
      <c r="S1324" s="4">
        <v>2.5</v>
      </c>
      <c r="T1324" s="7" t="str">
        <f>IF(AllData[[#This Row],[Phosphate (PPM)]]&gt;0.5, "Very high", IF(AllData[[#This Row],[Phosphate (PPM)]]&gt;0.1, "High", IF(AllData[[#This Row],[Phosphate (PPM)]]&gt;0.05, "Some evidence", IF(AllData[[#This Row],[Phosphate (PPM)]]&lt;=0.05, "No Evidence", ""))))</f>
        <v>Very high</v>
      </c>
      <c r="U1324">
        <v>0</v>
      </c>
      <c r="V1324" t="s">
        <v>1561</v>
      </c>
    </row>
    <row r="1325" spans="1:22" x14ac:dyDescent="0.35">
      <c r="A1325" t="s">
        <v>1544</v>
      </c>
      <c r="B1325" s="143">
        <v>45472</v>
      </c>
      <c r="C1325" s="2" t="str" cm="1">
        <f t="array" ref="C13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5">
        <f>YEAR(AllData[[#This Row],[Date]])</f>
        <v>2024</v>
      </c>
      <c r="E1325" s="1">
        <v>0.41666666666666669</v>
      </c>
      <c r="F1325" t="str">
        <f>IF(AND(AllData[[#This Row],[Time]]&lt;0.5, AllData[[#This Row],[Time]]&gt;0.17)=TRUE, "Morning", IF(AND(AllData[[#This Row],[Time]]&lt;0.75, AllData[[#This Row],[Time]]&gt;=0.5)=TRUE, "Afternoon", IF(AND(AllData[[#This Row],[Time]]&lt;1, AllData[[#This Row],[Time]]&gt;=0.75)=TRUE, "Evening", "Night")))</f>
        <v>Morning</v>
      </c>
      <c r="G1325" t="str">
        <f>_xlfn.XLOOKUP(AllData[[#This Row],[Location Name]], Locations[Location Name],Locations[Group As])</f>
        <v>Piddle Brook Wyre Piddle Bridge</v>
      </c>
      <c r="H1325" t="e" vm="6">
        <f>_xlfn.XLOOKUP(AllData[[#This Row],[Site Name]],LocationsKey[Site Name],LocationsKey[District])</f>
        <v>#VALUE!</v>
      </c>
      <c r="I1325" t="e" vm="13">
        <f>_xlfn.XLOOKUP(AllData[[#This Row],[Site Name]],LocationsKey[Site Name],LocationsKey[Town])</f>
        <v>#VALUE!</v>
      </c>
      <c r="J1325" t="str">
        <f>_xlfn.XLOOKUP(AllData[[#This Row],[Site Name]],LocationsKey[Site Name], LocationsKey[Waterway])</f>
        <v>Piddle Brook</v>
      </c>
      <c r="K1325" t="s">
        <v>787</v>
      </c>
      <c r="L1325">
        <v>52.126404000000001</v>
      </c>
      <c r="M1325">
        <v>-2.0565410000000002</v>
      </c>
      <c r="N1325" t="s">
        <v>25</v>
      </c>
      <c r="O1325">
        <v>1710</v>
      </c>
      <c r="P1325">
        <v>15.8</v>
      </c>
      <c r="Q1325">
        <v>10</v>
      </c>
      <c r="R1325" s="107" t="str">
        <f>IF(AllData[[#This Row],[Nitrate (PPM)]]&gt;2, "Very high", IF(AllData[[#This Row],[Nitrate (PPM)]]&gt;1, "High", IF(AllData[[#This Row],[Nitrate (PPM)]]&gt;0.5, "Some evidence", IF(AllData[[#This Row],[Nitrate (PPM)]]&gt;=0, "No evidence"))))</f>
        <v>Very high</v>
      </c>
      <c r="S1325" s="4">
        <v>1.1000000000000001</v>
      </c>
      <c r="T1325" s="7" t="str">
        <f>IF(AllData[[#This Row],[Phosphate (PPM)]]&gt;0.5, "Very high", IF(AllData[[#This Row],[Phosphate (PPM)]]&gt;0.1, "High", IF(AllData[[#This Row],[Phosphate (PPM)]]&gt;0.05, "Some evidence", IF(AllData[[#This Row],[Phosphate (PPM)]]&lt;=0.05, "No Evidence", ""))))</f>
        <v>Very high</v>
      </c>
      <c r="U1325">
        <v>0.16</v>
      </c>
      <c r="V1325" t="s">
        <v>1545</v>
      </c>
    </row>
    <row r="1326" spans="1:22" x14ac:dyDescent="0.35">
      <c r="A1326" t="s">
        <v>1542</v>
      </c>
      <c r="B1326" s="143">
        <v>45472</v>
      </c>
      <c r="C1326" s="2" t="str" cm="1">
        <f t="array" ref="C13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6">
        <f>YEAR(AllData[[#This Row],[Date]])</f>
        <v>2024</v>
      </c>
      <c r="E1326" s="1">
        <v>0.39583333333333331</v>
      </c>
      <c r="F1326" t="str">
        <f>IF(AND(AllData[[#This Row],[Time]]&lt;0.5, AllData[[#This Row],[Time]]&gt;0.17)=TRUE, "Morning", IF(AND(AllData[[#This Row],[Time]]&lt;0.75, AllData[[#This Row],[Time]]&gt;=0.5)=TRUE, "Afternoon", IF(AND(AllData[[#This Row],[Time]]&lt;1, AllData[[#This Row],[Time]]&gt;=0.75)=TRUE, "Evening", "Night")))</f>
        <v>Morning</v>
      </c>
      <c r="G1326" t="str">
        <f>_xlfn.XLOOKUP(AllData[[#This Row],[Location Name]], Locations[Location Name],Locations[Group As])</f>
        <v>Avon Smiths Meadow Wyre Piddle</v>
      </c>
      <c r="H1326" t="e" vm="6">
        <f>_xlfn.XLOOKUP(AllData[[#This Row],[Site Name]],LocationsKey[Site Name],LocationsKey[District])</f>
        <v>#VALUE!</v>
      </c>
      <c r="I1326" t="e" vm="13">
        <f>_xlfn.XLOOKUP(AllData[[#This Row],[Site Name]],LocationsKey[Site Name],LocationsKey[Town])</f>
        <v>#VALUE!</v>
      </c>
      <c r="J1326" t="str">
        <f>_xlfn.XLOOKUP(AllData[[#This Row],[Site Name]],LocationsKey[Site Name], LocationsKey[Waterway])</f>
        <v>Avon</v>
      </c>
      <c r="K1326" t="s">
        <v>784</v>
      </c>
      <c r="L1326">
        <v>52.122858999999998</v>
      </c>
      <c r="M1326">
        <v>-2.0575389999999998</v>
      </c>
      <c r="N1326" t="s">
        <v>25</v>
      </c>
      <c r="O1326">
        <v>1030</v>
      </c>
      <c r="P1326">
        <v>20.2</v>
      </c>
      <c r="Q1326">
        <v>10</v>
      </c>
      <c r="R1326" s="107" t="str">
        <f>IF(AllData[[#This Row],[Nitrate (PPM)]]&gt;2, "Very high", IF(AllData[[#This Row],[Nitrate (PPM)]]&gt;1, "High", IF(AllData[[#This Row],[Nitrate (PPM)]]&gt;0.5, "Some evidence", IF(AllData[[#This Row],[Nitrate (PPM)]]&gt;=0, "No evidence"))))</f>
        <v>Very high</v>
      </c>
      <c r="S1326" s="4">
        <v>0.76</v>
      </c>
      <c r="T1326" s="7" t="str">
        <f>IF(AllData[[#This Row],[Phosphate (PPM)]]&gt;0.5, "Very high", IF(AllData[[#This Row],[Phosphate (PPM)]]&gt;0.1, "High", IF(AllData[[#This Row],[Phosphate (PPM)]]&gt;0.05, "Some evidence", IF(AllData[[#This Row],[Phosphate (PPM)]]&lt;=0.05, "No Evidence", ""))))</f>
        <v>Very high</v>
      </c>
      <c r="U1326">
        <v>0.53</v>
      </c>
      <c r="V1326" t="s">
        <v>1543</v>
      </c>
    </row>
    <row r="1327" spans="1:22" x14ac:dyDescent="0.35">
      <c r="A1327" t="s">
        <v>1547</v>
      </c>
      <c r="B1327" s="143">
        <v>45472</v>
      </c>
      <c r="C1327" s="2" t="str" cm="1">
        <f t="array" ref="C13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7">
        <f>YEAR(AllData[[#This Row],[Date]])</f>
        <v>2024</v>
      </c>
      <c r="E1327" s="1">
        <v>0.44930555555555557</v>
      </c>
      <c r="F1327" t="str">
        <f>IF(AND(AllData[[#This Row],[Time]]&lt;0.5, AllData[[#This Row],[Time]]&gt;0.17)=TRUE, "Morning", IF(AND(AllData[[#This Row],[Time]]&lt;0.75, AllData[[#This Row],[Time]]&gt;=0.5)=TRUE, "Afternoon", IF(AND(AllData[[#This Row],[Time]]&lt;1, AllData[[#This Row],[Time]]&gt;=0.75)=TRUE, "Evening", "Night")))</f>
        <v>Morning</v>
      </c>
      <c r="G1327" t="str">
        <f>_xlfn.XLOOKUP(AllData[[#This Row],[Location Name]], Locations[Location Name],Locations[Group As])</f>
        <v>Avonbank Drive</v>
      </c>
      <c r="H1327" t="e" vm="1">
        <f>_xlfn.XLOOKUP(AllData[[#This Row],[Site Name]],LocationsKey[Site Name],LocationsKey[District])</f>
        <v>#VALUE!</v>
      </c>
      <c r="I1327" t="e" vm="12">
        <f>_xlfn.XLOOKUP(AllData[[#This Row],[Site Name]],LocationsKey[Site Name],LocationsKey[Town])</f>
        <v>#VALUE!</v>
      </c>
      <c r="J1327" t="str">
        <f>_xlfn.XLOOKUP(AllData[[#This Row],[Site Name]],LocationsKey[Site Name], LocationsKey[Waterway])</f>
        <v>Avon</v>
      </c>
      <c r="K1327" t="s">
        <v>328</v>
      </c>
      <c r="L1327">
        <v>52.177107999999997</v>
      </c>
      <c r="M1327">
        <v>-1.7359720000000001</v>
      </c>
      <c r="N1327" t="s">
        <v>68</v>
      </c>
      <c r="O1327">
        <v>1010</v>
      </c>
      <c r="P1327">
        <v>20.6</v>
      </c>
      <c r="Q1327">
        <v>10</v>
      </c>
      <c r="R1327" s="107" t="str">
        <f>IF(AllData[[#This Row],[Nitrate (PPM)]]&gt;2, "Very high", IF(AllData[[#This Row],[Nitrate (PPM)]]&gt;1, "High", IF(AllData[[#This Row],[Nitrate (PPM)]]&gt;0.5, "Some evidence", IF(AllData[[#This Row],[Nitrate (PPM)]]&gt;=0, "No evidence"))))</f>
        <v>Very high</v>
      </c>
      <c r="S1327" s="4">
        <v>0.43</v>
      </c>
      <c r="T1327" s="7" t="str">
        <f>IF(AllData[[#This Row],[Phosphate (PPM)]]&gt;0.5, "Very high", IF(AllData[[#This Row],[Phosphate (PPM)]]&gt;0.1, "High", IF(AllData[[#This Row],[Phosphate (PPM)]]&gt;0.05, "Some evidence", IF(AllData[[#This Row],[Phosphate (PPM)]]&lt;=0.05, "No Evidence", ""))))</f>
        <v>High</v>
      </c>
      <c r="U1327">
        <v>0.6</v>
      </c>
    </row>
    <row r="1328" spans="1:22" x14ac:dyDescent="0.35">
      <c r="A1328" t="s">
        <v>1546</v>
      </c>
      <c r="B1328" s="143">
        <v>45472</v>
      </c>
      <c r="C1328" s="2" t="str" cm="1">
        <f t="array" ref="C13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8">
        <f>YEAR(AllData[[#This Row],[Date]])</f>
        <v>2024</v>
      </c>
      <c r="E1328" s="1">
        <v>0.43263888888888891</v>
      </c>
      <c r="F1328" t="str">
        <f>IF(AND(AllData[[#This Row],[Time]]&lt;0.5, AllData[[#This Row],[Time]]&gt;0.17)=TRUE, "Morning", IF(AND(AllData[[#This Row],[Time]]&lt;0.75, AllData[[#This Row],[Time]]&gt;=0.5)=TRUE, "Afternoon", IF(AND(AllData[[#This Row],[Time]]&lt;1, AllData[[#This Row],[Time]]&gt;=0.75)=TRUE, "Evening", "Night")))</f>
        <v>Morning</v>
      </c>
      <c r="G1328" t="str">
        <f>_xlfn.XLOOKUP(AllData[[#This Row],[Location Name]], Locations[Location Name],Locations[Group As])</f>
        <v>Pitch 16</v>
      </c>
      <c r="H1328" t="e" vm="1">
        <f>_xlfn.XLOOKUP(AllData[[#This Row],[Site Name]],LocationsKey[Site Name],LocationsKey[District])</f>
        <v>#VALUE!</v>
      </c>
      <c r="I1328" t="e" vm="12">
        <f>_xlfn.XLOOKUP(AllData[[#This Row],[Site Name]],LocationsKey[Site Name],LocationsKey[Town])</f>
        <v>#VALUE!</v>
      </c>
      <c r="J1328" t="str">
        <f>_xlfn.XLOOKUP(AllData[[#This Row],[Site Name]],LocationsKey[Site Name], LocationsKey[Waterway])</f>
        <v>Avon</v>
      </c>
      <c r="K1328" t="s">
        <v>71</v>
      </c>
      <c r="L1328">
        <v>52.172500999999997</v>
      </c>
      <c r="M1328">
        <v>-1.745303</v>
      </c>
      <c r="N1328" t="s">
        <v>31</v>
      </c>
      <c r="O1328">
        <v>1010</v>
      </c>
      <c r="P1328">
        <v>20.5</v>
      </c>
      <c r="Q1328">
        <v>8</v>
      </c>
      <c r="R1328" s="107" t="str">
        <f>IF(AllData[[#This Row],[Nitrate (PPM)]]&gt;2, "Very high", IF(AllData[[#This Row],[Nitrate (PPM)]]&gt;1, "High", IF(AllData[[#This Row],[Nitrate (PPM)]]&gt;0.5, "Some evidence", IF(AllData[[#This Row],[Nitrate (PPM)]]&gt;=0, "No evidence"))))</f>
        <v>Very high</v>
      </c>
      <c r="S1328" s="4">
        <v>0.57999999999999996</v>
      </c>
      <c r="T1328" s="7" t="str">
        <f>IF(AllData[[#This Row],[Phosphate (PPM)]]&gt;0.5, "Very high", IF(AllData[[#This Row],[Phosphate (PPM)]]&gt;0.1, "High", IF(AllData[[#This Row],[Phosphate (PPM)]]&gt;0.05, "Some evidence", IF(AllData[[#This Row],[Phosphate (PPM)]]&lt;=0.05, "No Evidence", ""))))</f>
        <v>Very high</v>
      </c>
      <c r="U1328">
        <v>0.6</v>
      </c>
    </row>
    <row r="1329" spans="1:22" x14ac:dyDescent="0.35">
      <c r="A1329" t="s">
        <v>1548</v>
      </c>
      <c r="B1329" s="143">
        <v>45472</v>
      </c>
      <c r="C1329" s="2" t="str" cm="1">
        <f t="array" ref="C13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29">
        <f>YEAR(AllData[[#This Row],[Date]])</f>
        <v>2024</v>
      </c>
      <c r="E1329" s="1">
        <v>0.5</v>
      </c>
      <c r="F1329" t="str">
        <f>IF(AND(AllData[[#This Row],[Time]]&lt;0.5, AllData[[#This Row],[Time]]&gt;0.17)=TRUE, "Morning", IF(AND(AllData[[#This Row],[Time]]&lt;0.75, AllData[[#This Row],[Time]]&gt;=0.5)=TRUE, "Afternoon", IF(AND(AllData[[#This Row],[Time]]&lt;1, AllData[[#This Row],[Time]]&gt;=0.75)=TRUE, "Evening", "Night")))</f>
        <v>Afternoon</v>
      </c>
      <c r="G1329" t="str">
        <f>_xlfn.XLOOKUP(AllData[[#This Row],[Location Name]], Locations[Location Name],Locations[Group As])</f>
        <v>Carrant Bredon Rd</v>
      </c>
      <c r="H1329" t="e" vm="4">
        <f>_xlfn.XLOOKUP(AllData[[#This Row],[Site Name]],LocationsKey[Site Name],LocationsKey[District])</f>
        <v>#VALUE!</v>
      </c>
      <c r="I1329" t="e" vm="4">
        <f>_xlfn.XLOOKUP(AllData[[#This Row],[Site Name]],LocationsKey[Site Name],LocationsKey[Town])</f>
        <v>#VALUE!</v>
      </c>
      <c r="J1329" t="str">
        <f>_xlfn.XLOOKUP(AllData[[#This Row],[Site Name]],LocationsKey[Site Name], LocationsKey[Waterway])</f>
        <v>Carrant</v>
      </c>
      <c r="K1329" t="s">
        <v>603</v>
      </c>
      <c r="L1329">
        <v>51.996307000000002</v>
      </c>
      <c r="M1329">
        <v>-2.1562160000000001</v>
      </c>
      <c r="N1329" t="s">
        <v>25</v>
      </c>
      <c r="O1329">
        <v>732</v>
      </c>
      <c r="P1329">
        <v>16.5</v>
      </c>
      <c r="Q1329">
        <v>4</v>
      </c>
      <c r="R1329" s="107" t="str">
        <f>IF(AllData[[#This Row],[Nitrate (PPM)]]&gt;2, "Very high", IF(AllData[[#This Row],[Nitrate (PPM)]]&gt;1, "High", IF(AllData[[#This Row],[Nitrate (PPM)]]&gt;0.5, "Some evidence", IF(AllData[[#This Row],[Nitrate (PPM)]]&gt;=0, "No evidence"))))</f>
        <v>Very high</v>
      </c>
      <c r="S1329" s="4">
        <v>0.51</v>
      </c>
      <c r="T1329" s="7" t="str">
        <f>IF(AllData[[#This Row],[Phosphate (PPM)]]&gt;0.5, "Very high", IF(AllData[[#This Row],[Phosphate (PPM)]]&gt;0.1, "High", IF(AllData[[#This Row],[Phosphate (PPM)]]&gt;0.05, "Some evidence", IF(AllData[[#This Row],[Phosphate (PPM)]]&lt;=0.05, "No Evidence", ""))))</f>
        <v>Very high</v>
      </c>
      <c r="U1329">
        <v>0</v>
      </c>
    </row>
    <row r="1330" spans="1:22" x14ac:dyDescent="0.35">
      <c r="A1330" t="s">
        <v>1533</v>
      </c>
      <c r="B1330" s="143">
        <v>45471</v>
      </c>
      <c r="C1330" s="2" t="str" cm="1">
        <f t="array" ref="C13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0">
        <f>YEAR(AllData[[#This Row],[Date]])</f>
        <v>2024</v>
      </c>
      <c r="E1330" s="1">
        <v>0.34513888888888888</v>
      </c>
      <c r="F1330" t="str">
        <f>IF(AND(AllData[[#This Row],[Time]]&lt;0.5, AllData[[#This Row],[Time]]&gt;0.17)=TRUE, "Morning", IF(AND(AllData[[#This Row],[Time]]&lt;0.75, AllData[[#This Row],[Time]]&gt;=0.5)=TRUE, "Afternoon", IF(AND(AllData[[#This Row],[Time]]&lt;1, AllData[[#This Row],[Time]]&gt;=0.75)=TRUE, "Evening", "Night")))</f>
        <v>Morning</v>
      </c>
      <c r="G1330" t="str">
        <f>_xlfn.XLOOKUP(AllData[[#This Row],[Location Name]], Locations[Location Name],Locations[Group As])</f>
        <v>Lower Lode</v>
      </c>
      <c r="H1330" t="e" vm="4">
        <f>_xlfn.XLOOKUP(AllData[[#This Row],[Site Name]],LocationsKey[Site Name],LocationsKey[District])</f>
        <v>#VALUE!</v>
      </c>
      <c r="I1330" t="e" vm="4">
        <f>_xlfn.XLOOKUP(AllData[[#This Row],[Site Name]],LocationsKey[Site Name],LocationsKey[Town])</f>
        <v>#VALUE!</v>
      </c>
      <c r="J1330" t="str">
        <f>_xlfn.XLOOKUP(AllData[[#This Row],[Site Name]],LocationsKey[Site Name], LocationsKey[Waterway])</f>
        <v>Avon</v>
      </c>
      <c r="K1330" t="s">
        <v>595</v>
      </c>
      <c r="L1330">
        <v>51.984009</v>
      </c>
      <c r="M1330">
        <v>-2.1756470000000001</v>
      </c>
      <c r="N1330" t="s">
        <v>31</v>
      </c>
      <c r="O1330">
        <v>1200</v>
      </c>
      <c r="P1330">
        <v>18.3</v>
      </c>
      <c r="Q1330">
        <v>10</v>
      </c>
      <c r="R1330" s="107" t="str">
        <f>IF(AllData[[#This Row],[Nitrate (PPM)]]&gt;2, "Very high", IF(AllData[[#This Row],[Nitrate (PPM)]]&gt;1, "High", IF(AllData[[#This Row],[Nitrate (PPM)]]&gt;0.5, "Some evidence", IF(AllData[[#This Row],[Nitrate (PPM)]]&gt;=0, "No evidence"))))</f>
        <v>Very high</v>
      </c>
      <c r="S1330" s="4">
        <v>0.44</v>
      </c>
      <c r="T1330" s="7" t="str">
        <f>IF(AllData[[#This Row],[Phosphate (PPM)]]&gt;0.5, "Very high", IF(AllData[[#This Row],[Phosphate (PPM)]]&gt;0.1, "High", IF(AllData[[#This Row],[Phosphate (PPM)]]&gt;0.05, "Some evidence", IF(AllData[[#This Row],[Phosphate (PPM)]]&lt;=0.05, "No Evidence", ""))))</f>
        <v>High</v>
      </c>
      <c r="U1330">
        <v>1</v>
      </c>
    </row>
    <row r="1331" spans="1:22" x14ac:dyDescent="0.35">
      <c r="A1331" t="s">
        <v>1536</v>
      </c>
      <c r="B1331" s="143">
        <v>45471</v>
      </c>
      <c r="C1331" s="2" t="str" cm="1">
        <f t="array" ref="C13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1">
        <f>YEAR(AllData[[#This Row],[Date]])</f>
        <v>2024</v>
      </c>
      <c r="E1331" s="1">
        <v>0.41180555555555554</v>
      </c>
      <c r="F1331" t="str">
        <f>IF(AND(AllData[[#This Row],[Time]]&lt;0.5, AllData[[#This Row],[Time]]&gt;0.17)=TRUE, "Morning", IF(AND(AllData[[#This Row],[Time]]&lt;0.75, AllData[[#This Row],[Time]]&gt;=0.5)=TRUE, "Afternoon", IF(AND(AllData[[#This Row],[Time]]&lt;1, AllData[[#This Row],[Time]]&gt;=0.75)=TRUE, "Evening", "Night")))</f>
        <v>Morning</v>
      </c>
      <c r="G1331" t="str">
        <f>_xlfn.XLOOKUP(AllData[[#This Row],[Location Name]], Locations[Location Name],Locations[Group As])</f>
        <v>Carrant Beckford Sewage Works</v>
      </c>
      <c r="H1331" t="e" vm="4">
        <f>_xlfn.XLOOKUP(AllData[[#This Row],[Site Name]],LocationsKey[Site Name],LocationsKey[District])</f>
        <v>#VALUE!</v>
      </c>
      <c r="I1331" t="str">
        <f>_xlfn.XLOOKUP(AllData[[#This Row],[Site Name]],LocationsKey[Site Name],LocationsKey[Town])</f>
        <v>Beckford</v>
      </c>
      <c r="J1331" t="str">
        <f>_xlfn.XLOOKUP(AllData[[#This Row],[Site Name]],LocationsKey[Site Name], LocationsKey[Waterway])</f>
        <v>Carrant</v>
      </c>
      <c r="K1331" t="s">
        <v>1537</v>
      </c>
      <c r="L1331">
        <v>52.015557999999999</v>
      </c>
      <c r="M1331">
        <v>-2.0442779999999998</v>
      </c>
      <c r="N1331" t="s">
        <v>31</v>
      </c>
      <c r="O1331">
        <v>800</v>
      </c>
      <c r="P1331">
        <v>15.7</v>
      </c>
      <c r="Q1331">
        <v>6</v>
      </c>
      <c r="R1331" s="107" t="str">
        <f>IF(AllData[[#This Row],[Nitrate (PPM)]]&gt;2, "Very high", IF(AllData[[#This Row],[Nitrate (PPM)]]&gt;1, "High", IF(AllData[[#This Row],[Nitrate (PPM)]]&gt;0.5, "Some evidence", IF(AllData[[#This Row],[Nitrate (PPM)]]&gt;=0, "No evidence"))))</f>
        <v>Very high</v>
      </c>
      <c r="S1331" s="4">
        <v>0.82</v>
      </c>
      <c r="T1331" s="7" t="str">
        <f>IF(AllData[[#This Row],[Phosphate (PPM)]]&gt;0.5, "Very high", IF(AllData[[#This Row],[Phosphate (PPM)]]&gt;0.1, "High", IF(AllData[[#This Row],[Phosphate (PPM)]]&gt;0.05, "Some evidence", IF(AllData[[#This Row],[Phosphate (PPM)]]&lt;=0.05, "No Evidence", ""))))</f>
        <v>Very high</v>
      </c>
      <c r="U1331">
        <v>0</v>
      </c>
    </row>
    <row r="1332" spans="1:22" x14ac:dyDescent="0.35">
      <c r="A1332" t="s">
        <v>1534</v>
      </c>
      <c r="B1332" s="143">
        <v>45471</v>
      </c>
      <c r="C1332" s="2" t="str" cm="1">
        <f t="array" ref="C13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2">
        <f>YEAR(AllData[[#This Row],[Date]])</f>
        <v>2024</v>
      </c>
      <c r="E1332" s="1">
        <v>0.38680555555555557</v>
      </c>
      <c r="F1332" t="str">
        <f>IF(AND(AllData[[#This Row],[Time]]&lt;0.5, AllData[[#This Row],[Time]]&gt;0.17)=TRUE, "Morning", IF(AND(AllData[[#This Row],[Time]]&lt;0.75, AllData[[#This Row],[Time]]&gt;=0.5)=TRUE, "Afternoon", IF(AND(AllData[[#This Row],[Time]]&lt;1, AllData[[#This Row],[Time]]&gt;=0.75)=TRUE, "Evening", "Night")))</f>
        <v>Morning</v>
      </c>
      <c r="G1332" t="str">
        <f>_xlfn.XLOOKUP(AllData[[#This Row],[Location Name]], Locations[Location Name],Locations[Group As])</f>
        <v>Carrant Back Lane Beckford</v>
      </c>
      <c r="H1332" t="e" vm="4">
        <f>_xlfn.XLOOKUP(AllData[[#This Row],[Site Name]],LocationsKey[Site Name],LocationsKey[District])</f>
        <v>#VALUE!</v>
      </c>
      <c r="I1332" t="str">
        <f>_xlfn.XLOOKUP(AllData[[#This Row],[Site Name]],LocationsKey[Site Name],LocationsKey[Town])</f>
        <v>Beckford</v>
      </c>
      <c r="J1332" t="str">
        <f>_xlfn.XLOOKUP(AllData[[#This Row],[Site Name]],LocationsKey[Site Name], LocationsKey[Waterway])</f>
        <v>Carrant</v>
      </c>
      <c r="K1332" t="s">
        <v>1535</v>
      </c>
      <c r="L1332">
        <v>52.011721000000001</v>
      </c>
      <c r="M1332">
        <v>-2.04243</v>
      </c>
      <c r="N1332" t="s">
        <v>68</v>
      </c>
      <c r="O1332">
        <v>790</v>
      </c>
      <c r="P1332">
        <v>15.7</v>
      </c>
      <c r="Q1332">
        <v>5</v>
      </c>
      <c r="R1332" s="107" t="str">
        <f>IF(AllData[[#This Row],[Nitrate (PPM)]]&gt;2, "Very high", IF(AllData[[#This Row],[Nitrate (PPM)]]&gt;1, "High", IF(AllData[[#This Row],[Nitrate (PPM)]]&gt;0.5, "Some evidence", IF(AllData[[#This Row],[Nitrate (PPM)]]&gt;=0, "No evidence"))))</f>
        <v>Very high</v>
      </c>
      <c r="S1332" s="4">
        <v>1.4</v>
      </c>
      <c r="T1332" s="7" t="str">
        <f>IF(AllData[[#This Row],[Phosphate (PPM)]]&gt;0.5, "Very high", IF(AllData[[#This Row],[Phosphate (PPM)]]&gt;0.1, "High", IF(AllData[[#This Row],[Phosphate (PPM)]]&gt;0.05, "Some evidence", IF(AllData[[#This Row],[Phosphate (PPM)]]&lt;=0.05, "No Evidence", ""))))</f>
        <v>Very high</v>
      </c>
      <c r="U1332">
        <v>0</v>
      </c>
    </row>
    <row r="1333" spans="1:22" x14ac:dyDescent="0.35">
      <c r="A1333" t="s">
        <v>1538</v>
      </c>
      <c r="B1333" s="143">
        <v>45471</v>
      </c>
      <c r="C1333" s="2" t="str" cm="1">
        <f t="array" ref="C13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3">
        <f>YEAR(AllData[[#This Row],[Date]])</f>
        <v>2024</v>
      </c>
      <c r="E1333" s="1">
        <v>0.45416666666666666</v>
      </c>
      <c r="F1333" t="str">
        <f>IF(AND(AllData[[#This Row],[Time]]&lt;0.5, AllData[[#This Row],[Time]]&gt;0.17)=TRUE, "Morning", IF(AND(AllData[[#This Row],[Time]]&lt;0.75, AllData[[#This Row],[Time]]&gt;=0.5)=TRUE, "Afternoon", IF(AND(AllData[[#This Row],[Time]]&lt;1, AllData[[#This Row],[Time]]&gt;=0.75)=TRUE, "Evening", "Night")))</f>
        <v>Morning</v>
      </c>
      <c r="G1333" t="str">
        <f>_xlfn.XLOOKUP(AllData[[#This Row],[Location Name]], Locations[Location Name],Locations[Group As])</f>
        <v>Mill Bridge Peopleton</v>
      </c>
      <c r="H1333" t="e" vm="6">
        <f>_xlfn.XLOOKUP(AllData[[#This Row],[Site Name]],LocationsKey[Site Name],LocationsKey[District])</f>
        <v>#VALUE!</v>
      </c>
      <c r="I1333" t="str">
        <f>_xlfn.XLOOKUP(AllData[[#This Row],[Site Name]],LocationsKey[Site Name],LocationsKey[Town])</f>
        <v>Peopleton</v>
      </c>
      <c r="J1333" t="str">
        <f>_xlfn.XLOOKUP(AllData[[#This Row],[Site Name]],LocationsKey[Site Name], LocationsKey[Waterway])</f>
        <v>Bow Brook</v>
      </c>
      <c r="K1333" t="s">
        <v>1539</v>
      </c>
      <c r="L1333">
        <v>52.151657999999998</v>
      </c>
      <c r="M1333">
        <v>-2.0962730000000001</v>
      </c>
      <c r="N1333" t="s">
        <v>31</v>
      </c>
      <c r="O1333">
        <v>130</v>
      </c>
      <c r="P1333">
        <v>18.8</v>
      </c>
      <c r="Q1333">
        <v>5</v>
      </c>
      <c r="R1333" s="107" t="str">
        <f>IF(AllData[[#This Row],[Nitrate (PPM)]]&gt;2, "Very high", IF(AllData[[#This Row],[Nitrate (PPM)]]&gt;1, "High", IF(AllData[[#This Row],[Nitrate (PPM)]]&gt;0.5, "Some evidence", IF(AllData[[#This Row],[Nitrate (PPM)]]&gt;=0, "No evidence"))))</f>
        <v>Very high</v>
      </c>
      <c r="S1333" s="4">
        <v>0.04</v>
      </c>
      <c r="T1333" s="7" t="str">
        <f>IF(AllData[[#This Row],[Phosphate (PPM)]]&gt;0.5, "Very high", IF(AllData[[#This Row],[Phosphate (PPM)]]&gt;0.1, "High", IF(AllData[[#This Row],[Phosphate (PPM)]]&gt;0.05, "Some evidence", IF(AllData[[#This Row],[Phosphate (PPM)]]&lt;=0.05, "No Evidence", ""))))</f>
        <v>No Evidence</v>
      </c>
      <c r="U1333">
        <v>0.25</v>
      </c>
      <c r="V1333" t="s">
        <v>1540</v>
      </c>
    </row>
    <row r="1334" spans="1:22" x14ac:dyDescent="0.35">
      <c r="A1334" t="s">
        <v>1541</v>
      </c>
      <c r="B1334" s="143">
        <v>45471</v>
      </c>
      <c r="C1334" s="2" t="str" cm="1">
        <f t="array" ref="C13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4">
        <f>YEAR(AllData[[#This Row],[Date]])</f>
        <v>2024</v>
      </c>
      <c r="E1334" s="1">
        <v>0.64930555555555558</v>
      </c>
      <c r="F1334" t="str">
        <f>IF(AND(AllData[[#This Row],[Time]]&lt;0.5, AllData[[#This Row],[Time]]&gt;0.17)=TRUE, "Morning", IF(AND(AllData[[#This Row],[Time]]&lt;0.75, AllData[[#This Row],[Time]]&gt;=0.5)=TRUE, "Afternoon", IF(AND(AllData[[#This Row],[Time]]&lt;1, AllData[[#This Row],[Time]]&gt;=0.75)=TRUE, "Evening", "Night")))</f>
        <v>Afternoon</v>
      </c>
      <c r="G1334" t="str">
        <f>_xlfn.XLOOKUP(AllData[[#This Row],[Location Name]], Locations[Location Name],Locations[Group As])</f>
        <v>Preston Bagot Canal</v>
      </c>
      <c r="H1334" t="e" vm="1">
        <f>_xlfn.XLOOKUP(AllData[[#This Row],[Site Name]],LocationsKey[Site Name],LocationsKey[District])</f>
        <v>#VALUE!</v>
      </c>
      <c r="I1334" t="e" vm="21">
        <f>_xlfn.XLOOKUP(AllData[[#This Row],[Site Name]],LocationsKey[Site Name],LocationsKey[Town])</f>
        <v>#VALUE!</v>
      </c>
      <c r="J1334" t="str">
        <f>_xlfn.XLOOKUP(AllData[[#This Row],[Site Name]],LocationsKey[Site Name], LocationsKey[Waterway])</f>
        <v>Preston Bagot Canal</v>
      </c>
      <c r="K1334" t="s">
        <v>618</v>
      </c>
      <c r="L1334">
        <v>52.286999999999999</v>
      </c>
      <c r="M1334">
        <v>-1.746</v>
      </c>
      <c r="N1334" t="s">
        <v>25</v>
      </c>
      <c r="O1334">
        <v>462</v>
      </c>
      <c r="P1334">
        <v>19.600000000000001</v>
      </c>
      <c r="Q1334">
        <v>0</v>
      </c>
      <c r="R1334" s="107" t="str">
        <f>IF(AllData[[#This Row],[Nitrate (PPM)]]&gt;2, "Very high", IF(AllData[[#This Row],[Nitrate (PPM)]]&gt;1, "High", IF(AllData[[#This Row],[Nitrate (PPM)]]&gt;0.5, "Some evidence", IF(AllData[[#This Row],[Nitrate (PPM)]]&gt;=0, "No evidence"))))</f>
        <v>No evidence</v>
      </c>
      <c r="S1334">
        <v>0.13</v>
      </c>
      <c r="T1334" s="7" t="str">
        <f>IF(AllData[[#This Row],[Phosphate (PPM)]]&gt;0.5, "Very high", IF(AllData[[#This Row],[Phosphate (PPM)]]&gt;0.1, "High", IF(AllData[[#This Row],[Phosphate (PPM)]]&gt;0.05, "Some evidence", IF(AllData[[#This Row],[Phosphate (PPM)]]&lt;=0.05, "No Evidence", ""))))</f>
        <v>High</v>
      </c>
      <c r="U1334">
        <v>1</v>
      </c>
      <c r="V1334" t="s">
        <v>970</v>
      </c>
    </row>
    <row r="1335" spans="1:22" x14ac:dyDescent="0.35">
      <c r="A1335" t="s">
        <v>1532</v>
      </c>
      <c r="B1335" s="143">
        <v>45470</v>
      </c>
      <c r="C1335" s="2" t="str" cm="1">
        <f t="array" ref="C13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5">
        <f>YEAR(AllData[[#This Row],[Date]])</f>
        <v>2024</v>
      </c>
      <c r="E1335" s="1">
        <v>0.58333333333333337</v>
      </c>
      <c r="F1335" t="str">
        <f>IF(AND(AllData[[#This Row],[Time]]&lt;0.5, AllData[[#This Row],[Time]]&gt;0.17)=TRUE, "Morning", IF(AND(AllData[[#This Row],[Time]]&lt;0.75, AllData[[#This Row],[Time]]&gt;=0.5)=TRUE, "Afternoon", IF(AND(AllData[[#This Row],[Time]]&lt;1, AllData[[#This Row],[Time]]&gt;=0.75)=TRUE, "Evening", "Night")))</f>
        <v>Afternoon</v>
      </c>
      <c r="G1335" t="str">
        <f>_xlfn.XLOOKUP(AllData[[#This Row],[Location Name]], Locations[Location Name],Locations[Group As])</f>
        <v>Clifford Chambers Mill Bridge</v>
      </c>
      <c r="H1335" t="e" vm="1">
        <f>_xlfn.XLOOKUP(AllData[[#This Row],[Site Name]],LocationsKey[Site Name],LocationsKey[District])</f>
        <v>#VALUE!</v>
      </c>
      <c r="I1335" t="e" vm="22">
        <f>_xlfn.XLOOKUP(AllData[[#This Row],[Site Name]],LocationsKey[Site Name],LocationsKey[Town])</f>
        <v>#VALUE!</v>
      </c>
      <c r="J1335" t="str">
        <f>_xlfn.XLOOKUP(AllData[[#This Row],[Site Name]],LocationsKey[Site Name], LocationsKey[Waterway])</f>
        <v>Stour</v>
      </c>
      <c r="K1335" t="s">
        <v>266</v>
      </c>
      <c r="L1335">
        <v>52.166370000000001</v>
      </c>
      <c r="M1335">
        <v>-1.708032</v>
      </c>
      <c r="N1335" t="s">
        <v>68</v>
      </c>
      <c r="O1335">
        <v>640</v>
      </c>
      <c r="P1335">
        <v>19.899999999999999</v>
      </c>
      <c r="Q1335">
        <v>10</v>
      </c>
      <c r="R1335" s="107" t="str">
        <f>IF(AllData[[#This Row],[Nitrate (PPM)]]&gt;2, "Very high", IF(AllData[[#This Row],[Nitrate (PPM)]]&gt;1, "High", IF(AllData[[#This Row],[Nitrate (PPM)]]&gt;0.5, "Some evidence", IF(AllData[[#This Row],[Nitrate (PPM)]]&gt;=0, "No evidence"))))</f>
        <v>Very high</v>
      </c>
      <c r="S1335">
        <v>0.26</v>
      </c>
      <c r="T1335" s="7" t="str">
        <f>IF(AllData[[#This Row],[Phosphate (PPM)]]&gt;0.5, "Very high", IF(AllData[[#This Row],[Phosphate (PPM)]]&gt;0.1, "High", IF(AllData[[#This Row],[Phosphate (PPM)]]&gt;0.05, "Some evidence", IF(AllData[[#This Row],[Phosphate (PPM)]]&lt;=0.05, "No Evidence", ""))))</f>
        <v>High</v>
      </c>
      <c r="U1335">
        <v>0.5</v>
      </c>
    </row>
    <row r="1336" spans="1:22" x14ac:dyDescent="0.35">
      <c r="A1336" t="s">
        <v>1530</v>
      </c>
      <c r="B1336" s="143">
        <v>45470</v>
      </c>
      <c r="C1336" s="2" t="str" cm="1">
        <f t="array" ref="C13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6">
        <f>YEAR(AllData[[#This Row],[Date]])</f>
        <v>2024</v>
      </c>
      <c r="E1336" s="1">
        <v>0.50694444444444442</v>
      </c>
      <c r="F1336" t="str">
        <f>IF(AND(AllData[[#This Row],[Time]]&lt;0.5, AllData[[#This Row],[Time]]&gt;0.17)=TRUE, "Morning", IF(AND(AllData[[#This Row],[Time]]&lt;0.75, AllData[[#This Row],[Time]]&gt;=0.5)=TRUE, "Afternoon", IF(AND(AllData[[#This Row],[Time]]&lt;1, AllData[[#This Row],[Time]]&gt;=0.75)=TRUE, "Evening", "Night")))</f>
        <v>Afternoon</v>
      </c>
      <c r="G1336" t="str">
        <f>_xlfn.XLOOKUP(AllData[[#This Row],[Location Name]], Locations[Location Name],Locations[Group As])</f>
        <v>Twyning Fleet</v>
      </c>
      <c r="H1336" t="e" vm="4">
        <f>_xlfn.XLOOKUP(AllData[[#This Row],[Site Name]],LocationsKey[Site Name],LocationsKey[District])</f>
        <v>#VALUE!</v>
      </c>
      <c r="I1336" t="str">
        <f>_xlfn.XLOOKUP(AllData[[#This Row],[Site Name]],LocationsKey[Site Name],LocationsKey[Town])</f>
        <v>Twyning Green</v>
      </c>
      <c r="J1336" t="str">
        <f>_xlfn.XLOOKUP(AllData[[#This Row],[Site Name]],LocationsKey[Site Name], LocationsKey[Waterway])</f>
        <v>Avon</v>
      </c>
      <c r="K1336" t="s">
        <v>56</v>
      </c>
      <c r="L1336">
        <v>52.027059999999999</v>
      </c>
      <c r="M1336">
        <v>-2.140463</v>
      </c>
      <c r="N1336" t="s">
        <v>31</v>
      </c>
      <c r="O1336">
        <v>1000</v>
      </c>
      <c r="P1336">
        <v>23.3</v>
      </c>
      <c r="Q1336">
        <v>9</v>
      </c>
      <c r="R1336" s="107" t="str">
        <f>IF(AllData[[#This Row],[Nitrate (PPM)]]&gt;2, "Very high", IF(AllData[[#This Row],[Nitrate (PPM)]]&gt;1, "High", IF(AllData[[#This Row],[Nitrate (PPM)]]&gt;0.5, "Some evidence", IF(AllData[[#This Row],[Nitrate (PPM)]]&gt;=0, "No evidence"))))</f>
        <v>Very high</v>
      </c>
      <c r="S1336" s="4">
        <v>0.86</v>
      </c>
      <c r="T1336" s="7" t="str">
        <f>IF(AllData[[#This Row],[Phosphate (PPM)]]&gt;0.5, "Very high", IF(AllData[[#This Row],[Phosphate (PPM)]]&gt;0.1, "High", IF(AllData[[#This Row],[Phosphate (PPM)]]&gt;0.05, "Some evidence", IF(AllData[[#This Row],[Phosphate (PPM)]]&lt;=0.05, "No Evidence", ""))))</f>
        <v>Very high</v>
      </c>
      <c r="U1336">
        <v>0</v>
      </c>
      <c r="V1336" t="s">
        <v>1531</v>
      </c>
    </row>
    <row r="1337" spans="1:22" x14ac:dyDescent="0.35">
      <c r="A1337" t="s">
        <v>1528</v>
      </c>
      <c r="B1337" s="143">
        <v>45470</v>
      </c>
      <c r="C1337" s="2" t="str" cm="1">
        <f t="array" ref="C13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7">
        <f>YEAR(AllData[[#This Row],[Date]])</f>
        <v>2024</v>
      </c>
      <c r="E1337" s="1">
        <v>0.4236111111111111</v>
      </c>
      <c r="F1337" t="str">
        <f>IF(AND(AllData[[#This Row],[Time]]&lt;0.5, AllData[[#This Row],[Time]]&gt;0.17)=TRUE, "Morning", IF(AND(AllData[[#This Row],[Time]]&lt;0.75, AllData[[#This Row],[Time]]&gt;=0.5)=TRUE, "Afternoon", IF(AND(AllData[[#This Row],[Time]]&lt;1, AllData[[#This Row],[Time]]&gt;=0.75)=TRUE, "Evening", "Night")))</f>
        <v>Morning</v>
      </c>
      <c r="G1337" t="str">
        <f>_xlfn.XLOOKUP(AllData[[#This Row],[Location Name]], Locations[Location Name],Locations[Group As])</f>
        <v>Swilgate</v>
      </c>
      <c r="H1337" t="e" vm="4">
        <f>_xlfn.XLOOKUP(AllData[[#This Row],[Site Name]],LocationsKey[Site Name],LocationsKey[District])</f>
        <v>#VALUE!</v>
      </c>
      <c r="I1337" t="e" vm="4">
        <f>_xlfn.XLOOKUP(AllData[[#This Row],[Site Name]],LocationsKey[Site Name],LocationsKey[Town])</f>
        <v>#VALUE!</v>
      </c>
      <c r="J1337" t="str">
        <f>_xlfn.XLOOKUP(AllData[[#This Row],[Site Name]],LocationsKey[Site Name], LocationsKey[Waterway])</f>
        <v>Swilgate</v>
      </c>
      <c r="K1337" t="s">
        <v>85</v>
      </c>
      <c r="N1337" t="s">
        <v>25</v>
      </c>
      <c r="O1337">
        <v>102</v>
      </c>
      <c r="P1337">
        <v>19.600000000000001</v>
      </c>
      <c r="Q1337">
        <v>4</v>
      </c>
      <c r="R1337" s="107" t="str">
        <f>IF(AllData[[#This Row],[Nitrate (PPM)]]&gt;2, "Very high", IF(AllData[[#This Row],[Nitrate (PPM)]]&gt;1, "High", IF(AllData[[#This Row],[Nitrate (PPM)]]&gt;0.5, "Some evidence", IF(AllData[[#This Row],[Nitrate (PPM)]]&gt;=0, "No evidence"))))</f>
        <v>Very high</v>
      </c>
      <c r="S1337" s="4">
        <v>0.73</v>
      </c>
      <c r="T1337" s="7" t="str">
        <f>IF(AllData[[#This Row],[Phosphate (PPM)]]&gt;0.5, "Very high", IF(AllData[[#This Row],[Phosphate (PPM)]]&gt;0.1, "High", IF(AllData[[#This Row],[Phosphate (PPM)]]&gt;0.05, "Some evidence", IF(AllData[[#This Row],[Phosphate (PPM)]]&lt;=0.05, "No Evidence", ""))))</f>
        <v>Very high</v>
      </c>
      <c r="U1337">
        <v>0</v>
      </c>
    </row>
    <row r="1338" spans="1:22" x14ac:dyDescent="0.35">
      <c r="A1338" t="s">
        <v>1529</v>
      </c>
      <c r="B1338" s="143">
        <v>45470</v>
      </c>
      <c r="C1338" s="2" t="str" cm="1">
        <f t="array" ref="C13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8">
        <f>YEAR(AllData[[#This Row],[Date]])</f>
        <v>2024</v>
      </c>
      <c r="E1338" s="1">
        <v>0.45833333333333331</v>
      </c>
      <c r="F1338" t="str">
        <f>IF(AND(AllData[[#This Row],[Time]]&lt;0.5, AllData[[#This Row],[Time]]&gt;0.17)=TRUE, "Morning", IF(AND(AllData[[#This Row],[Time]]&lt;0.75, AllData[[#This Row],[Time]]&gt;=0.5)=TRUE, "Afternoon", IF(AND(AllData[[#This Row],[Time]]&lt;1, AllData[[#This Row],[Time]]&gt;=0.75)=TRUE, "Evening", "Night")))</f>
        <v>Morning</v>
      </c>
      <c r="G1338" t="str">
        <f>_xlfn.XLOOKUP(AllData[[#This Row],[Location Name]], Locations[Location Name],Locations[Group As])</f>
        <v>Stour Willington</v>
      </c>
      <c r="H1338" t="e" vm="1">
        <f>_xlfn.XLOOKUP(AllData[[#This Row],[Site Name]],LocationsKey[Site Name],LocationsKey[District])</f>
        <v>#VALUE!</v>
      </c>
      <c r="I1338" t="str">
        <f>_xlfn.XLOOKUP(AllData[[#This Row],[Site Name]],LocationsKey[Site Name],LocationsKey[Town])</f>
        <v>Willington</v>
      </c>
      <c r="J1338" t="str">
        <f>_xlfn.XLOOKUP(AllData[[#This Row],[Site Name]],LocationsKey[Site Name], LocationsKey[Waterway])</f>
        <v>Stour</v>
      </c>
      <c r="K1338" t="s">
        <v>521</v>
      </c>
      <c r="L1338">
        <v>52.053550999999999</v>
      </c>
      <c r="M1338">
        <v>-1.6201300000000001</v>
      </c>
      <c r="N1338" t="s">
        <v>25</v>
      </c>
      <c r="O1338">
        <v>607</v>
      </c>
      <c r="P1338">
        <v>15.5</v>
      </c>
      <c r="Q1338">
        <v>2</v>
      </c>
      <c r="R1338" s="107" t="str">
        <f>IF(AllData[[#This Row],[Nitrate (PPM)]]&gt;2, "Very high", IF(AllData[[#This Row],[Nitrate (PPM)]]&gt;1, "High", IF(AllData[[#This Row],[Nitrate (PPM)]]&gt;0.5, "Some evidence", IF(AllData[[#This Row],[Nitrate (PPM)]]&gt;=0, "No evidence"))))</f>
        <v>High</v>
      </c>
      <c r="S1338" s="4">
        <v>0.39</v>
      </c>
      <c r="T1338" s="7" t="str">
        <f>IF(AllData[[#This Row],[Phosphate (PPM)]]&gt;0.5, "Very high", IF(AllData[[#This Row],[Phosphate (PPM)]]&gt;0.1, "High", IF(AllData[[#This Row],[Phosphate (PPM)]]&gt;0.05, "Some evidence", IF(AllData[[#This Row],[Phosphate (PPM)]]&lt;=0.05, "No Evidence", ""))))</f>
        <v>High</v>
      </c>
      <c r="U1338">
        <v>0.5</v>
      </c>
    </row>
    <row r="1339" spans="1:22" x14ac:dyDescent="0.35">
      <c r="A1339" t="s">
        <v>1524</v>
      </c>
      <c r="B1339" s="143">
        <v>45469</v>
      </c>
      <c r="C1339" s="2" t="str" cm="1">
        <f t="array" ref="C13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39">
        <f>YEAR(AllData[[#This Row],[Date]])</f>
        <v>2024</v>
      </c>
      <c r="E1339" s="1">
        <v>0.47083333333333333</v>
      </c>
      <c r="F1339" t="str">
        <f>IF(AND(AllData[[#This Row],[Time]]&lt;0.5, AllData[[#This Row],[Time]]&gt;0.17)=TRUE, "Morning", IF(AND(AllData[[#This Row],[Time]]&lt;0.75, AllData[[#This Row],[Time]]&gt;=0.5)=TRUE, "Afternoon", IF(AND(AllData[[#This Row],[Time]]&lt;1, AllData[[#This Row],[Time]]&gt;=0.75)=TRUE, "Evening", "Night")))</f>
        <v>Morning</v>
      </c>
      <c r="G1339" t="str">
        <f>_xlfn.XLOOKUP(AllData[[#This Row],[Location Name]], Locations[Location Name],Locations[Group As])</f>
        <v>Carrant Mitton Path</v>
      </c>
      <c r="H1339" t="e" vm="4">
        <f>_xlfn.XLOOKUP(AllData[[#This Row],[Site Name]],LocationsKey[Site Name],LocationsKey[District])</f>
        <v>#VALUE!</v>
      </c>
      <c r="I1339" t="e" vm="4">
        <f>_xlfn.XLOOKUP(AllData[[#This Row],[Site Name]],LocationsKey[Site Name],LocationsKey[Town])</f>
        <v>#VALUE!</v>
      </c>
      <c r="J1339" t="str">
        <f>_xlfn.XLOOKUP(AllData[[#This Row],[Site Name]],LocationsKey[Site Name], LocationsKey[Waterway])</f>
        <v>Carrant</v>
      </c>
      <c r="K1339" t="s">
        <v>1064</v>
      </c>
      <c r="L1339">
        <v>51.999786999999998</v>
      </c>
      <c r="M1339">
        <v>-2.1410100000000001</v>
      </c>
      <c r="N1339" t="s">
        <v>25</v>
      </c>
      <c r="O1339">
        <v>671</v>
      </c>
      <c r="P1339">
        <v>20.399999999999999</v>
      </c>
      <c r="Q1339">
        <v>10</v>
      </c>
      <c r="R1339" s="107" t="str">
        <f>IF(AllData[[#This Row],[Nitrate (PPM)]]&gt;2, "Very high", IF(AllData[[#This Row],[Nitrate (PPM)]]&gt;1, "High", IF(AllData[[#This Row],[Nitrate (PPM)]]&gt;0.5, "Some evidence", IF(AllData[[#This Row],[Nitrate (PPM)]]&gt;=0, "No evidence"))))</f>
        <v>Very high</v>
      </c>
      <c r="S1339" s="4">
        <v>0.22</v>
      </c>
      <c r="T1339" s="7" t="str">
        <f>IF(AllData[[#This Row],[Phosphate (PPM)]]&gt;0.5, "Very high", IF(AllData[[#This Row],[Phosphate (PPM)]]&gt;0.1, "High", IF(AllData[[#This Row],[Phosphate (PPM)]]&gt;0.05, "Some evidence", IF(AllData[[#This Row],[Phosphate (PPM)]]&lt;=0.05, "No Evidence", ""))))</f>
        <v>High</v>
      </c>
      <c r="U1339">
        <v>0</v>
      </c>
    </row>
    <row r="1340" spans="1:22" x14ac:dyDescent="0.35">
      <c r="A1340" t="s">
        <v>1525</v>
      </c>
      <c r="B1340" s="143">
        <v>45469</v>
      </c>
      <c r="C1340" s="2" t="str" cm="1">
        <f t="array" ref="C13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0">
        <f>YEAR(AllData[[#This Row],[Date]])</f>
        <v>2024</v>
      </c>
      <c r="E1340" s="1">
        <v>0.48333333333333334</v>
      </c>
      <c r="F1340" t="str">
        <f>IF(AND(AllData[[#This Row],[Time]]&lt;0.5, AllData[[#This Row],[Time]]&gt;0.17)=TRUE, "Morning", IF(AND(AllData[[#This Row],[Time]]&lt;0.75, AllData[[#This Row],[Time]]&gt;=0.5)=TRUE, "Afternoon", IF(AND(AllData[[#This Row],[Time]]&lt;1, AllData[[#This Row],[Time]]&gt;=0.75)=TRUE, "Evening", "Night")))</f>
        <v>Morning</v>
      </c>
      <c r="G1340" t="str">
        <f>_xlfn.XLOOKUP(AllData[[#This Row],[Location Name]], Locations[Location Name],Locations[Group As])</f>
        <v>Carrant M5 Bridge</v>
      </c>
      <c r="H1340" t="e" vm="4">
        <f>_xlfn.XLOOKUP(AllData[[#This Row],[Site Name]],LocationsKey[Site Name],LocationsKey[District])</f>
        <v>#VALUE!</v>
      </c>
      <c r="I1340" t="e" vm="4">
        <f>_xlfn.XLOOKUP(AllData[[#This Row],[Site Name]],LocationsKey[Site Name],LocationsKey[Town])</f>
        <v>#VALUE!</v>
      </c>
      <c r="J1340" t="str">
        <f>_xlfn.XLOOKUP(AllData[[#This Row],[Site Name]],LocationsKey[Site Name], LocationsKey[Waterway])</f>
        <v>Carrant</v>
      </c>
      <c r="K1340" t="s">
        <v>1144</v>
      </c>
      <c r="L1340">
        <v>52.011873999999999</v>
      </c>
      <c r="M1340">
        <v>-2.120193</v>
      </c>
      <c r="N1340" t="s">
        <v>25</v>
      </c>
      <c r="O1340">
        <v>761</v>
      </c>
      <c r="P1340">
        <v>20.8</v>
      </c>
      <c r="Q1340">
        <v>7</v>
      </c>
      <c r="R1340" s="107" t="str">
        <f>IF(AllData[[#This Row],[Nitrate (PPM)]]&gt;2, "Very high", IF(AllData[[#This Row],[Nitrate (PPM)]]&gt;1, "High", IF(AllData[[#This Row],[Nitrate (PPM)]]&gt;0.5, "Some evidence", IF(AllData[[#This Row],[Nitrate (PPM)]]&gt;=0, "No evidence"))))</f>
        <v>Very high</v>
      </c>
      <c r="S1340" s="4">
        <v>0.31</v>
      </c>
      <c r="T1340" s="7" t="str">
        <f>IF(AllData[[#This Row],[Phosphate (PPM)]]&gt;0.5, "Very high", IF(AllData[[#This Row],[Phosphate (PPM)]]&gt;0.1, "High", IF(AllData[[#This Row],[Phosphate (PPM)]]&gt;0.05, "Some evidence", IF(AllData[[#This Row],[Phosphate (PPM)]]&lt;=0.05, "No Evidence", ""))))</f>
        <v>High</v>
      </c>
      <c r="U1340">
        <v>0</v>
      </c>
    </row>
    <row r="1341" spans="1:22" x14ac:dyDescent="0.35">
      <c r="A1341" t="s">
        <v>1526</v>
      </c>
      <c r="B1341" s="143">
        <v>45469</v>
      </c>
      <c r="C1341" s="2" t="str" cm="1">
        <f t="array" ref="C13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1">
        <f>YEAR(AllData[[#This Row],[Date]])</f>
        <v>2024</v>
      </c>
      <c r="E1341" s="1">
        <v>0.75</v>
      </c>
      <c r="F1341" t="str">
        <f>IF(AND(AllData[[#This Row],[Time]]&lt;0.5, AllData[[#This Row],[Time]]&gt;0.17)=TRUE, "Morning", IF(AND(AllData[[#This Row],[Time]]&lt;0.75, AllData[[#This Row],[Time]]&gt;=0.5)=TRUE, "Afternoon", IF(AND(AllData[[#This Row],[Time]]&lt;1, AllData[[#This Row],[Time]]&gt;=0.75)=TRUE, "Evening", "Night")))</f>
        <v>Evening</v>
      </c>
      <c r="G1341" t="str">
        <f>_xlfn.XLOOKUP(AllData[[#This Row],[Location Name]], Locations[Location Name],Locations[Group As])</f>
        <v>Stour Newbold Mill</v>
      </c>
      <c r="H1341" t="e" vm="1">
        <f>_xlfn.XLOOKUP(AllData[[#This Row],[Site Name]],LocationsKey[Site Name],LocationsKey[District])</f>
        <v>#VALUE!</v>
      </c>
      <c r="I1341" t="e" vm="27">
        <f>_xlfn.XLOOKUP(AllData[[#This Row],[Site Name]],LocationsKey[Site Name],LocationsKey[Town])</f>
        <v>#VALUE!</v>
      </c>
      <c r="J1341" t="str">
        <f>_xlfn.XLOOKUP(AllData[[#This Row],[Site Name]],LocationsKey[Site Name], LocationsKey[Waterway])</f>
        <v>Stour</v>
      </c>
      <c r="K1341" t="s">
        <v>141</v>
      </c>
      <c r="N1341" t="s">
        <v>31</v>
      </c>
      <c r="O1341">
        <v>667</v>
      </c>
      <c r="P1341">
        <v>21</v>
      </c>
      <c r="Q1341">
        <v>2</v>
      </c>
      <c r="R1341" s="107" t="str">
        <f>IF(AllData[[#This Row],[Nitrate (PPM)]]&gt;2, "Very high", IF(AllData[[#This Row],[Nitrate (PPM)]]&gt;1, "High", IF(AllData[[#This Row],[Nitrate (PPM)]]&gt;0.5, "Some evidence", IF(AllData[[#This Row],[Nitrate (PPM)]]&gt;=0, "No evidence"))))</f>
        <v>High</v>
      </c>
      <c r="S1341" s="4">
        <v>0.34</v>
      </c>
      <c r="T1341" s="7" t="str">
        <f>IF(AllData[[#This Row],[Phosphate (PPM)]]&gt;0.5, "Very high", IF(AllData[[#This Row],[Phosphate (PPM)]]&gt;0.1, "High", IF(AllData[[#This Row],[Phosphate (PPM)]]&gt;0.05, "Some evidence", IF(AllData[[#This Row],[Phosphate (PPM)]]&lt;=0.05, "No Evidence", ""))))</f>
        <v>High</v>
      </c>
      <c r="U1341">
        <v>2</v>
      </c>
      <c r="V1341" t="s">
        <v>1527</v>
      </c>
    </row>
    <row r="1342" spans="1:22" x14ac:dyDescent="0.35">
      <c r="A1342" t="s">
        <v>1518</v>
      </c>
      <c r="B1342" s="143">
        <v>45468</v>
      </c>
      <c r="C1342" s="2" t="str" cm="1">
        <f t="array" ref="C13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2">
        <f>YEAR(AllData[[#This Row],[Date]])</f>
        <v>2024</v>
      </c>
      <c r="E1342" s="1">
        <v>0.59375</v>
      </c>
      <c r="F1342" t="str">
        <f>IF(AND(AllData[[#This Row],[Time]]&lt;0.5, AllData[[#This Row],[Time]]&gt;0.17)=TRUE, "Morning", IF(AND(AllData[[#This Row],[Time]]&lt;0.75, AllData[[#This Row],[Time]]&gt;=0.5)=TRUE, "Afternoon", IF(AND(AllData[[#This Row],[Time]]&lt;1, AllData[[#This Row],[Time]]&gt;=0.75)=TRUE, "Evening", "Night")))</f>
        <v>Afternoon</v>
      </c>
      <c r="G1342" t="str">
        <f>_xlfn.XLOOKUP(AllData[[#This Row],[Location Name]], Locations[Location Name],Locations[Group As])</f>
        <v>Alveston Weir</v>
      </c>
      <c r="H1342" t="e" vm="1">
        <f>_xlfn.XLOOKUP(AllData[[#This Row],[Site Name]],LocationsKey[Site Name],LocationsKey[District])</f>
        <v>#VALUE!</v>
      </c>
      <c r="I1342" t="e" vm="2">
        <f>_xlfn.XLOOKUP(AllData[[#This Row],[Site Name]],LocationsKey[Site Name],LocationsKey[Town])</f>
        <v>#VALUE!</v>
      </c>
      <c r="J1342" t="str">
        <f>_xlfn.XLOOKUP(AllData[[#This Row],[Site Name]],LocationsKey[Site Name], LocationsKey[Waterway])</f>
        <v>Avon</v>
      </c>
      <c r="K1342" t="s">
        <v>288</v>
      </c>
      <c r="L1342">
        <v>52.212288999999998</v>
      </c>
      <c r="M1342">
        <v>-1.660452</v>
      </c>
      <c r="N1342" t="s">
        <v>31</v>
      </c>
      <c r="O1342">
        <v>836</v>
      </c>
      <c r="P1342">
        <v>26</v>
      </c>
      <c r="Q1342">
        <v>10</v>
      </c>
      <c r="R1342" s="107" t="str">
        <f>IF(AllData[[#This Row],[Nitrate (PPM)]]&gt;2, "Very high", IF(AllData[[#This Row],[Nitrate (PPM)]]&gt;1, "High", IF(AllData[[#This Row],[Nitrate (PPM)]]&gt;0.5, "Some evidence", IF(AllData[[#This Row],[Nitrate (PPM)]]&gt;=0, "No evidence"))))</f>
        <v>Very high</v>
      </c>
      <c r="S1342" s="4">
        <v>0.35</v>
      </c>
      <c r="T1342" s="7" t="str">
        <f>IF(AllData[[#This Row],[Phosphate (PPM)]]&gt;0.5, "Very high", IF(AllData[[#This Row],[Phosphate (PPM)]]&gt;0.1, "High", IF(AllData[[#This Row],[Phosphate (PPM)]]&gt;0.05, "Some evidence", IF(AllData[[#This Row],[Phosphate (PPM)]]&lt;=0.05, "No Evidence", ""))))</f>
        <v>High</v>
      </c>
      <c r="U1342">
        <v>-1</v>
      </c>
      <c r="V1342" t="s">
        <v>1519</v>
      </c>
    </row>
    <row r="1343" spans="1:22" x14ac:dyDescent="0.35">
      <c r="A1343" t="s">
        <v>1520</v>
      </c>
      <c r="B1343" s="143">
        <v>45468</v>
      </c>
      <c r="C1343" s="2" t="str" cm="1">
        <f t="array" ref="C13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3">
        <f>YEAR(AllData[[#This Row],[Date]])</f>
        <v>2024</v>
      </c>
      <c r="E1343" s="1">
        <v>0.6069444444444444</v>
      </c>
      <c r="F1343" t="str">
        <f>IF(AND(AllData[[#This Row],[Time]]&lt;0.5, AllData[[#This Row],[Time]]&gt;0.17)=TRUE, "Morning", IF(AND(AllData[[#This Row],[Time]]&lt;0.75, AllData[[#This Row],[Time]]&gt;=0.5)=TRUE, "Afternoon", IF(AND(AllData[[#This Row],[Time]]&lt;1, AllData[[#This Row],[Time]]&gt;=0.75)=TRUE, "Evening", "Night")))</f>
        <v>Afternoon</v>
      </c>
      <c r="G1343" t="str">
        <f>_xlfn.XLOOKUP(AllData[[#This Row],[Location Name]], Locations[Location Name],Locations[Group As])</f>
        <v>Swiffen Bank</v>
      </c>
      <c r="H1343" t="e" vm="1">
        <f>_xlfn.XLOOKUP(AllData[[#This Row],[Site Name]],LocationsKey[Site Name],LocationsKey[District])</f>
        <v>#VALUE!</v>
      </c>
      <c r="I1343" t="e" vm="2">
        <f>_xlfn.XLOOKUP(AllData[[#This Row],[Site Name]],LocationsKey[Site Name],LocationsKey[Town])</f>
        <v>#VALUE!</v>
      </c>
      <c r="J1343" t="str">
        <f>_xlfn.XLOOKUP(AllData[[#This Row],[Site Name]],LocationsKey[Site Name], LocationsKey[Waterway])</f>
        <v>Avon</v>
      </c>
      <c r="K1343" t="s">
        <v>445</v>
      </c>
      <c r="L1343">
        <v>52.206000000000003</v>
      </c>
      <c r="M1343">
        <v>-1.6539999999999999</v>
      </c>
      <c r="N1343" t="s">
        <v>31</v>
      </c>
      <c r="O1343">
        <v>735</v>
      </c>
      <c r="P1343">
        <v>22.1</v>
      </c>
      <c r="Q1343">
        <v>10</v>
      </c>
      <c r="R1343" s="107" t="str">
        <f>IF(AllData[[#This Row],[Nitrate (PPM)]]&gt;2, "Very high", IF(AllData[[#This Row],[Nitrate (PPM)]]&gt;1, "High", IF(AllData[[#This Row],[Nitrate (PPM)]]&gt;0.5, "Some evidence", IF(AllData[[#This Row],[Nitrate (PPM)]]&gt;=0, "No evidence"))))</f>
        <v>Very high</v>
      </c>
      <c r="S1343" s="4">
        <v>0.44</v>
      </c>
      <c r="T1343" s="7" t="str">
        <f>IF(AllData[[#This Row],[Phosphate (PPM)]]&gt;0.5, "Very high", IF(AllData[[#This Row],[Phosphate (PPM)]]&gt;0.1, "High", IF(AllData[[#This Row],[Phosphate (PPM)]]&gt;0.05, "Some evidence", IF(AllData[[#This Row],[Phosphate (PPM)]]&lt;=0.05, "No Evidence", ""))))</f>
        <v>High</v>
      </c>
      <c r="U1343">
        <v>0</v>
      </c>
      <c r="V1343" t="s">
        <v>1521</v>
      </c>
    </row>
    <row r="1344" spans="1:22" x14ac:dyDescent="0.35">
      <c r="A1344" t="s">
        <v>1522</v>
      </c>
      <c r="B1344" s="143">
        <v>45468</v>
      </c>
      <c r="C1344" s="2" t="str" cm="1">
        <f t="array" ref="C13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4">
        <f>YEAR(AllData[[#This Row],[Date]])</f>
        <v>2024</v>
      </c>
      <c r="E1344" s="1">
        <v>0.55625000000000002</v>
      </c>
      <c r="F1344" t="str">
        <f>IF(AND(AllData[[#This Row],[Time]]&lt;0.5, AllData[[#This Row],[Time]]&gt;0.17)=TRUE, "Morning", IF(AND(AllData[[#This Row],[Time]]&lt;0.75, AllData[[#This Row],[Time]]&gt;=0.5)=TRUE, "Afternoon", IF(AND(AllData[[#This Row],[Time]]&lt;1, AllData[[#This Row],[Time]]&gt;=0.75)=TRUE, "Evening", "Night")))</f>
        <v>Afternoon</v>
      </c>
      <c r="G1344" t="str">
        <f>_xlfn.XLOOKUP(AllData[[#This Row],[Location Name]], Locations[Location Name],Locations[Group As])</f>
        <v>Walcot Lane, Bow Brook Ford</v>
      </c>
      <c r="H1344" t="e" vm="6">
        <f>_xlfn.XLOOKUP(AllData[[#This Row],[Site Name]],LocationsKey[Site Name],LocationsKey[District])</f>
        <v>#VALUE!</v>
      </c>
      <c r="I1344" t="e" vm="7">
        <f>_xlfn.XLOOKUP(AllData[[#This Row],[Site Name]],LocationsKey[Site Name],LocationsKey[Town])</f>
        <v>#VALUE!</v>
      </c>
      <c r="J1344" t="str">
        <f>_xlfn.XLOOKUP(AllData[[#This Row],[Site Name]],LocationsKey[Site Name], LocationsKey[Waterway])</f>
        <v>Bow Brook</v>
      </c>
      <c r="K1344" t="s">
        <v>775</v>
      </c>
      <c r="L1344">
        <v>52.130119000000001</v>
      </c>
      <c r="M1344">
        <v>-2.0757110000000001</v>
      </c>
      <c r="N1344" t="s">
        <v>25</v>
      </c>
      <c r="O1344">
        <v>1270</v>
      </c>
      <c r="P1344">
        <v>20.100000000000001</v>
      </c>
      <c r="Q1344">
        <v>5</v>
      </c>
      <c r="R1344" s="107" t="str">
        <f>IF(AllData[[#This Row],[Nitrate (PPM)]]&gt;2, "Very high", IF(AllData[[#This Row],[Nitrate (PPM)]]&gt;1, "High", IF(AllData[[#This Row],[Nitrate (PPM)]]&gt;0.5, "Some evidence", IF(AllData[[#This Row],[Nitrate (PPM)]]&gt;=0, "No evidence"))))</f>
        <v>Very high</v>
      </c>
      <c r="S1344">
        <v>1.67</v>
      </c>
      <c r="T1344" s="7" t="str">
        <f>IF(AllData[[#This Row],[Phosphate (PPM)]]&gt;0.5, "Very high", IF(AllData[[#This Row],[Phosphate (PPM)]]&gt;0.1, "High", IF(AllData[[#This Row],[Phosphate (PPM)]]&gt;0.05, "Some evidence", IF(AllData[[#This Row],[Phosphate (PPM)]]&lt;=0.05, "No Evidence", ""))))</f>
        <v>Very high</v>
      </c>
      <c r="U1344">
        <v>0.2</v>
      </c>
      <c r="V1344" t="s">
        <v>1523</v>
      </c>
    </row>
    <row r="1345" spans="1:22" x14ac:dyDescent="0.35">
      <c r="A1345" t="s">
        <v>1503</v>
      </c>
      <c r="B1345" s="143">
        <v>45466</v>
      </c>
      <c r="C1345" s="2" t="str" cm="1">
        <f t="array" ref="C13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5">
        <f>YEAR(AllData[[#This Row],[Date]])</f>
        <v>2024</v>
      </c>
      <c r="E1345" s="1">
        <v>0.61458333333333337</v>
      </c>
      <c r="F1345" t="str">
        <f>IF(AND(AllData[[#This Row],[Time]]&lt;0.5, AllData[[#This Row],[Time]]&gt;0.17)=TRUE, "Morning", IF(AND(AllData[[#This Row],[Time]]&lt;0.75, AllData[[#This Row],[Time]]&gt;=0.5)=TRUE, "Afternoon", IF(AND(AllData[[#This Row],[Time]]&lt;1, AllData[[#This Row],[Time]]&gt;=0.75)=TRUE, "Evening", "Night")))</f>
        <v>Afternoon</v>
      </c>
      <c r="G1345" t="str">
        <f>_xlfn.XLOOKUP(AllData[[#This Row],[Location Name]], Locations[Location Name],Locations[Group As])</f>
        <v>Sherbourne Brook 1</v>
      </c>
      <c r="H1345" t="e" vm="1">
        <f>_xlfn.XLOOKUP(AllData[[#This Row],[Site Name]],LocationsKey[Site Name],LocationsKey[District])</f>
        <v>#VALUE!</v>
      </c>
      <c r="I1345" t="e" vm="23">
        <f>_xlfn.XLOOKUP(AllData[[#This Row],[Site Name]],LocationsKey[Site Name],LocationsKey[Town])</f>
        <v>#VALUE!</v>
      </c>
      <c r="J1345" t="str">
        <f>_xlfn.XLOOKUP(AllData[[#This Row],[Site Name]],LocationsKey[Site Name], LocationsKey[Waterway])</f>
        <v>Sherbourne Brook</v>
      </c>
      <c r="K1345" t="s">
        <v>541</v>
      </c>
      <c r="L1345">
        <v>52.252499999999998</v>
      </c>
      <c r="M1345">
        <v>-1.6685000000000001</v>
      </c>
      <c r="N1345" t="s">
        <v>25</v>
      </c>
      <c r="O1345">
        <v>1080</v>
      </c>
      <c r="P1345">
        <v>17.3</v>
      </c>
      <c r="Q1345">
        <v>12</v>
      </c>
      <c r="R1345" s="107" t="str">
        <f>IF(AllData[[#This Row],[Nitrate (PPM)]]&gt;2, "Very high", IF(AllData[[#This Row],[Nitrate (PPM)]]&gt;1, "High", IF(AllData[[#This Row],[Nitrate (PPM)]]&gt;0.5, "Some evidence", IF(AllData[[#This Row],[Nitrate (PPM)]]&gt;=0, "No evidence"))))</f>
        <v>Very high</v>
      </c>
      <c r="S1345" s="4">
        <v>0.22</v>
      </c>
      <c r="T1345" s="7" t="str">
        <f>IF(AllData[[#This Row],[Phosphate (PPM)]]&gt;0.5, "Very high", IF(AllData[[#This Row],[Phosphate (PPM)]]&gt;0.1, "High", IF(AllData[[#This Row],[Phosphate (PPM)]]&gt;0.05, "Some evidence", IF(AllData[[#This Row],[Phosphate (PPM)]]&lt;=0.05, "No Evidence", ""))))</f>
        <v>High</v>
      </c>
      <c r="U1345">
        <v>0.1</v>
      </c>
    </row>
    <row r="1346" spans="1:22" x14ac:dyDescent="0.35">
      <c r="A1346" t="s">
        <v>1504</v>
      </c>
      <c r="B1346" s="143">
        <v>45466</v>
      </c>
      <c r="C1346" s="2" t="str" cm="1">
        <f t="array" ref="C13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6">
        <f>YEAR(AllData[[#This Row],[Date]])</f>
        <v>2024</v>
      </c>
      <c r="E1346" s="1">
        <v>0.625</v>
      </c>
      <c r="F1346" t="str">
        <f>IF(AND(AllData[[#This Row],[Time]]&lt;0.5, AllData[[#This Row],[Time]]&gt;0.17)=TRUE, "Morning", IF(AND(AllData[[#This Row],[Time]]&lt;0.75, AllData[[#This Row],[Time]]&gt;=0.5)=TRUE, "Afternoon", IF(AND(AllData[[#This Row],[Time]]&lt;1, AllData[[#This Row],[Time]]&gt;=0.75)=TRUE, "Evening", "Night")))</f>
        <v>Afternoon</v>
      </c>
      <c r="G1346" t="str">
        <f>_xlfn.XLOOKUP(AllData[[#This Row],[Location Name]], Locations[Location Name],Locations[Group As])</f>
        <v>Bell Brook 1</v>
      </c>
      <c r="H1346" t="e" vm="1">
        <f>_xlfn.XLOOKUP(AllData[[#This Row],[Site Name]],LocationsKey[Site Name],LocationsKey[District])</f>
        <v>#VALUE!</v>
      </c>
      <c r="I1346" t="e" vm="19">
        <f>_xlfn.XLOOKUP(AllData[[#This Row],[Site Name]],LocationsKey[Site Name],LocationsKey[Town])</f>
        <v>#VALUE!</v>
      </c>
      <c r="J1346" t="str">
        <f>_xlfn.XLOOKUP(AllData[[#This Row],[Site Name]],LocationsKey[Site Name], LocationsKey[Waterway])</f>
        <v>Bell Brook</v>
      </c>
      <c r="K1346" t="s">
        <v>538</v>
      </c>
      <c r="L1346">
        <v>52.244900000000001</v>
      </c>
      <c r="M1346">
        <v>-1.6617</v>
      </c>
      <c r="N1346" t="s">
        <v>25</v>
      </c>
      <c r="O1346">
        <v>788</v>
      </c>
      <c r="P1346">
        <v>21.1</v>
      </c>
      <c r="Q1346">
        <v>10</v>
      </c>
      <c r="R1346" s="107" t="str">
        <f>IF(AllData[[#This Row],[Nitrate (PPM)]]&gt;2, "Very high", IF(AllData[[#This Row],[Nitrate (PPM)]]&gt;1, "High", IF(AllData[[#This Row],[Nitrate (PPM)]]&gt;0.5, "Some evidence", IF(AllData[[#This Row],[Nitrate (PPM)]]&gt;=0, "No evidence"))))</f>
        <v>Very high</v>
      </c>
      <c r="S1346" s="4">
        <v>0.37</v>
      </c>
      <c r="T1346" s="7" t="str">
        <f>IF(AllData[[#This Row],[Phosphate (PPM)]]&gt;0.5, "Very high", IF(AllData[[#This Row],[Phosphate (PPM)]]&gt;0.1, "High", IF(AllData[[#This Row],[Phosphate (PPM)]]&gt;0.05, "Some evidence", IF(AllData[[#This Row],[Phosphate (PPM)]]&lt;=0.05, "No Evidence", ""))))</f>
        <v>High</v>
      </c>
      <c r="U1346">
        <v>0.1</v>
      </c>
    </row>
    <row r="1347" spans="1:22" x14ac:dyDescent="0.35">
      <c r="A1347" t="s">
        <v>1501</v>
      </c>
      <c r="B1347" s="143">
        <v>45466</v>
      </c>
      <c r="C1347" s="2" t="str" cm="1">
        <f t="array" ref="C13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7">
        <f>YEAR(AllData[[#This Row],[Date]])</f>
        <v>2024</v>
      </c>
      <c r="E1347" s="1">
        <v>0.47222222222222221</v>
      </c>
      <c r="F1347" t="str">
        <f>IF(AND(AllData[[#This Row],[Time]]&lt;0.5, AllData[[#This Row],[Time]]&gt;0.17)=TRUE, "Morning", IF(AND(AllData[[#This Row],[Time]]&lt;0.75, AllData[[#This Row],[Time]]&gt;=0.5)=TRUE, "Afternoon", IF(AND(AllData[[#This Row],[Time]]&lt;1, AllData[[#This Row],[Time]]&gt;=0.75)=TRUE, "Evening", "Night")))</f>
        <v>Morning</v>
      </c>
      <c r="G1347" t="str">
        <f>_xlfn.XLOOKUP(AllData[[#This Row],[Location Name]], Locations[Location Name],Locations[Group As])</f>
        <v>Fell Mill Footbridge</v>
      </c>
      <c r="H1347" t="e" vm="1">
        <f>_xlfn.XLOOKUP(AllData[[#This Row],[Site Name]],LocationsKey[Site Name],LocationsKey[District])</f>
        <v>#VALUE!</v>
      </c>
      <c r="I1347" t="e" vm="15">
        <f>_xlfn.XLOOKUP(AllData[[#This Row],[Site Name]],LocationsKey[Site Name],LocationsKey[Town])</f>
        <v>#VALUE!</v>
      </c>
      <c r="J1347" t="str">
        <f>_xlfn.XLOOKUP(AllData[[#This Row],[Site Name]],LocationsKey[Site Name], LocationsKey[Waterway])</f>
        <v>Stour</v>
      </c>
      <c r="K1347" t="s">
        <v>875</v>
      </c>
      <c r="L1347">
        <v>52.070086000000003</v>
      </c>
      <c r="M1347">
        <v>-1.61145</v>
      </c>
      <c r="N1347" t="s">
        <v>31</v>
      </c>
      <c r="O1347">
        <v>637</v>
      </c>
      <c r="P1347">
        <v>17.8</v>
      </c>
      <c r="Q1347">
        <v>10</v>
      </c>
      <c r="R1347" s="107" t="str">
        <f>IF(AllData[[#This Row],[Nitrate (PPM)]]&gt;2, "Very high", IF(AllData[[#This Row],[Nitrate (PPM)]]&gt;1, "High", IF(AllData[[#This Row],[Nitrate (PPM)]]&gt;0.5, "Some evidence", IF(AllData[[#This Row],[Nitrate (PPM)]]&gt;=0, "No evidence"))))</f>
        <v>Very high</v>
      </c>
      <c r="S1347" s="4">
        <v>0.43</v>
      </c>
      <c r="T1347" s="7" t="str">
        <f>IF(AllData[[#This Row],[Phosphate (PPM)]]&gt;0.5, "Very high", IF(AllData[[#This Row],[Phosphate (PPM)]]&gt;0.1, "High", IF(AllData[[#This Row],[Phosphate (PPM)]]&gt;0.05, "Some evidence", IF(AllData[[#This Row],[Phosphate (PPM)]]&lt;=0.05, "No Evidence", ""))))</f>
        <v>High</v>
      </c>
      <c r="U1347">
        <v>1.1000000000000001</v>
      </c>
      <c r="V1347" t="s">
        <v>1502</v>
      </c>
    </row>
    <row r="1348" spans="1:22" x14ac:dyDescent="0.35">
      <c r="A1348" t="s">
        <v>1515</v>
      </c>
      <c r="B1348" s="143">
        <v>45466</v>
      </c>
      <c r="C1348" s="2" t="str" cm="1">
        <f t="array" ref="C13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8">
        <f>YEAR(AllData[[#This Row],[Date]])</f>
        <v>2024</v>
      </c>
      <c r="E1348" s="1"/>
      <c r="F1348" t="str">
        <f>IF(AND(AllData[[#This Row],[Time]]&lt;0.5, AllData[[#This Row],[Time]]&gt;0.17)=TRUE, "Morning", IF(AND(AllData[[#This Row],[Time]]&lt;0.75, AllData[[#This Row],[Time]]&gt;=0.5)=TRUE, "Afternoon", IF(AND(AllData[[#This Row],[Time]]&lt;1, AllData[[#This Row],[Time]]&gt;=0.75)=TRUE, "Evening", "Night")))</f>
        <v>Night</v>
      </c>
      <c r="G1348" t="str">
        <f>_xlfn.XLOOKUP(AllData[[#This Row],[Location Name]], Locations[Location Name],Locations[Group As])</f>
        <v>Site 3  :  Severn Trent Water processing plant outflow</v>
      </c>
      <c r="H1348" t="e" vm="1">
        <f>_xlfn.XLOOKUP(AllData[[#This Row],[Site Name]],LocationsKey[Site Name],LocationsKey[District])</f>
        <v>#VALUE!</v>
      </c>
      <c r="I1348" t="e" vm="14">
        <f>_xlfn.XLOOKUP(AllData[[#This Row],[Site Name]],LocationsKey[Site Name],LocationsKey[Town])</f>
        <v>#VALUE!</v>
      </c>
      <c r="J1348" t="str">
        <f>_xlfn.XLOOKUP(AllData[[#This Row],[Site Name]],LocationsKey[Site Name], LocationsKey[Waterway])</f>
        <v>Fosseway Brook</v>
      </c>
      <c r="K1348" t="s">
        <v>676</v>
      </c>
      <c r="L1348">
        <v>52.094414</v>
      </c>
      <c r="M1348">
        <v>-1.675883</v>
      </c>
      <c r="N1348" t="s">
        <v>31</v>
      </c>
      <c r="O1348">
        <v>938</v>
      </c>
      <c r="P1348">
        <v>16.600000000000001</v>
      </c>
      <c r="Q1348">
        <v>5</v>
      </c>
      <c r="R1348" s="107" t="str">
        <f>IF(AllData[[#This Row],[Nitrate (PPM)]]&gt;2, "Very high", IF(AllData[[#This Row],[Nitrate (PPM)]]&gt;1, "High", IF(AllData[[#This Row],[Nitrate (PPM)]]&gt;0.5, "Some evidence", IF(AllData[[#This Row],[Nitrate (PPM)]]&gt;=0, "No evidence"))))</f>
        <v>Very high</v>
      </c>
      <c r="S1348" s="4">
        <v>2.5</v>
      </c>
      <c r="T1348" s="7" t="str">
        <f>IF(AllData[[#This Row],[Phosphate (PPM)]]&gt;0.5, "Very high", IF(AllData[[#This Row],[Phosphate (PPM)]]&gt;0.1, "High", IF(AllData[[#This Row],[Phosphate (PPM)]]&gt;0.05, "Some evidence", IF(AllData[[#This Row],[Phosphate (PPM)]]&lt;=0.05, "No Evidence", ""))))</f>
        <v>Very high</v>
      </c>
      <c r="V1348" t="s">
        <v>1516</v>
      </c>
    </row>
    <row r="1349" spans="1:22" x14ac:dyDescent="0.35">
      <c r="A1349" t="s">
        <v>1513</v>
      </c>
      <c r="B1349" s="143">
        <v>45466</v>
      </c>
      <c r="C1349" s="2" t="str" cm="1">
        <f t="array" ref="C13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49">
        <f>YEAR(AllData[[#This Row],[Date]])</f>
        <v>2024</v>
      </c>
      <c r="F1349" t="str">
        <f>IF(AND(AllData[[#This Row],[Time]]&lt;0.5, AllData[[#This Row],[Time]]&gt;0.17)=TRUE, "Morning", IF(AND(AllData[[#This Row],[Time]]&lt;0.75, AllData[[#This Row],[Time]]&gt;=0.5)=TRUE, "Afternoon", IF(AND(AllData[[#This Row],[Time]]&lt;1, AllData[[#This Row],[Time]]&gt;=0.75)=TRUE, "Evening", "Night")))</f>
        <v>Night</v>
      </c>
      <c r="G1349" t="str">
        <f>_xlfn.XLOOKUP(AllData[[#This Row],[Location Name]], Locations[Location Name],Locations[Group As])</f>
        <v>Site 3  :  Severn Trent Water processing plant outflow</v>
      </c>
      <c r="H1349" t="e" vm="1">
        <f>_xlfn.XLOOKUP(AllData[[#This Row],[Site Name]],LocationsKey[Site Name],LocationsKey[District])</f>
        <v>#VALUE!</v>
      </c>
      <c r="I1349" t="e" vm="14">
        <f>_xlfn.XLOOKUP(AllData[[#This Row],[Site Name]],LocationsKey[Site Name],LocationsKey[Town])</f>
        <v>#VALUE!</v>
      </c>
      <c r="J1349" t="str">
        <f>_xlfn.XLOOKUP(AllData[[#This Row],[Site Name]],LocationsKey[Site Name], LocationsKey[Waterway])</f>
        <v>Fosseway Brook</v>
      </c>
      <c r="K1349" t="s">
        <v>673</v>
      </c>
      <c r="L1349">
        <v>52.094414</v>
      </c>
      <c r="M1349">
        <v>-1.675883</v>
      </c>
      <c r="N1349" t="s">
        <v>31</v>
      </c>
      <c r="O1349">
        <v>938</v>
      </c>
      <c r="P1349">
        <v>16.600000000000001</v>
      </c>
      <c r="Q1349">
        <v>5</v>
      </c>
      <c r="R1349" s="107" t="str">
        <f>IF(AllData[[#This Row],[Nitrate (PPM)]]&gt;2, "Very high", IF(AllData[[#This Row],[Nitrate (PPM)]]&gt;1, "High", IF(AllData[[#This Row],[Nitrate (PPM)]]&gt;0.5, "Some evidence", IF(AllData[[#This Row],[Nitrate (PPM)]]&gt;=0, "No evidence"))))</f>
        <v>Very high</v>
      </c>
      <c r="S1349" s="4">
        <v>2.5</v>
      </c>
      <c r="T1349" s="7" t="str">
        <f>IF(AllData[[#This Row],[Phosphate (PPM)]]&gt;0.5, "Very high", IF(AllData[[#This Row],[Phosphate (PPM)]]&gt;0.1, "High", IF(AllData[[#This Row],[Phosphate (PPM)]]&gt;0.05, "Some evidence", IF(AllData[[#This Row],[Phosphate (PPM)]]&lt;=0.05, "No Evidence", ""))))</f>
        <v>Very high</v>
      </c>
      <c r="U1349">
        <v>0</v>
      </c>
      <c r="V1349" t="s">
        <v>1514</v>
      </c>
    </row>
    <row r="1350" spans="1:22" x14ac:dyDescent="0.35">
      <c r="A1350" t="s">
        <v>1507</v>
      </c>
      <c r="B1350" s="143">
        <v>45466</v>
      </c>
      <c r="C1350" s="2" t="str" cm="1">
        <f t="array" ref="C13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0">
        <f>YEAR(AllData[[#This Row],[Date]])</f>
        <v>2024</v>
      </c>
      <c r="E1350" s="1"/>
      <c r="F1350" t="str">
        <f>IF(AND(AllData[[#This Row],[Time]]&lt;0.5, AllData[[#This Row],[Time]]&gt;0.17)=TRUE, "Morning", IF(AND(AllData[[#This Row],[Time]]&lt;0.75, AllData[[#This Row],[Time]]&gt;=0.5)=TRUE, "Afternoon", IF(AND(AllData[[#This Row],[Time]]&lt;1, AllData[[#This Row],[Time]]&gt;=0.75)=TRUE, "Evening", "Night")))</f>
        <v>Night</v>
      </c>
      <c r="G1350" t="str">
        <f>_xlfn.XLOOKUP(AllData[[#This Row],[Location Name]], Locations[Location Name],Locations[Group As])</f>
        <v>Site 1  :  Middle Street</v>
      </c>
      <c r="H1350" t="e" vm="1">
        <f>_xlfn.XLOOKUP(AllData[[#This Row],[Site Name]],LocationsKey[Site Name],LocationsKey[District])</f>
        <v>#VALUE!</v>
      </c>
      <c r="I1350" t="e" vm="14">
        <f>_xlfn.XLOOKUP(AllData[[#This Row],[Site Name]],LocationsKey[Site Name],LocationsKey[Town])</f>
        <v>#VALUE!</v>
      </c>
      <c r="J1350" t="str">
        <f>_xlfn.XLOOKUP(AllData[[#This Row],[Site Name]],LocationsKey[Site Name], LocationsKey[Waterway])</f>
        <v>Fosseway Brook</v>
      </c>
      <c r="K1350" t="s">
        <v>670</v>
      </c>
      <c r="L1350">
        <v>52.090066</v>
      </c>
      <c r="M1350">
        <v>-1.6926650000000001</v>
      </c>
      <c r="N1350" t="s">
        <v>68</v>
      </c>
      <c r="O1350">
        <v>656</v>
      </c>
      <c r="P1350">
        <v>18.600000000000001</v>
      </c>
      <c r="Q1350">
        <v>2</v>
      </c>
      <c r="R1350" s="107" t="str">
        <f>IF(AllData[[#This Row],[Nitrate (PPM)]]&gt;2, "Very high", IF(AllData[[#This Row],[Nitrate (PPM)]]&gt;1, "High", IF(AllData[[#This Row],[Nitrate (PPM)]]&gt;0.5, "Some evidence", IF(AllData[[#This Row],[Nitrate (PPM)]]&gt;=0, "No evidence"))))</f>
        <v>High</v>
      </c>
      <c r="S1350" s="4">
        <v>0.54</v>
      </c>
      <c r="T1350" s="7" t="str">
        <f>IF(AllData[[#This Row],[Phosphate (PPM)]]&gt;0.5, "Very high", IF(AllData[[#This Row],[Phosphate (PPM)]]&gt;0.1, "High", IF(AllData[[#This Row],[Phosphate (PPM)]]&gt;0.05, "Some evidence", IF(AllData[[#This Row],[Phosphate (PPM)]]&lt;=0.05, "No Evidence", ""))))</f>
        <v>Very high</v>
      </c>
      <c r="V1350" t="s">
        <v>1508</v>
      </c>
    </row>
    <row r="1351" spans="1:22" x14ac:dyDescent="0.35">
      <c r="A1351" t="s">
        <v>1505</v>
      </c>
      <c r="B1351" s="143">
        <v>45466</v>
      </c>
      <c r="C1351" s="2" t="str" cm="1">
        <f t="array" ref="C13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1">
        <f>YEAR(AllData[[#This Row],[Date]])</f>
        <v>2024</v>
      </c>
      <c r="F1351" t="str">
        <f>IF(AND(AllData[[#This Row],[Time]]&lt;0.5, AllData[[#This Row],[Time]]&gt;0.17)=TRUE, "Morning", IF(AND(AllData[[#This Row],[Time]]&lt;0.75, AllData[[#This Row],[Time]]&gt;=0.5)=TRUE, "Afternoon", IF(AND(AllData[[#This Row],[Time]]&lt;1, AllData[[#This Row],[Time]]&gt;=0.75)=TRUE, "Evening", "Night")))</f>
        <v>Night</v>
      </c>
      <c r="G1351" t="str">
        <f>_xlfn.XLOOKUP(AllData[[#This Row],[Location Name]], Locations[Location Name],Locations[Group As])</f>
        <v>Site 1  :  Middle Street</v>
      </c>
      <c r="H1351" t="e" vm="1">
        <f>_xlfn.XLOOKUP(AllData[[#This Row],[Site Name]],LocationsKey[Site Name],LocationsKey[District])</f>
        <v>#VALUE!</v>
      </c>
      <c r="I1351" t="e" vm="14">
        <f>_xlfn.XLOOKUP(AllData[[#This Row],[Site Name]],LocationsKey[Site Name],LocationsKey[Town])</f>
        <v>#VALUE!</v>
      </c>
      <c r="J1351" t="str">
        <f>_xlfn.XLOOKUP(AllData[[#This Row],[Site Name]],LocationsKey[Site Name], LocationsKey[Waterway])</f>
        <v>Fosseway Brook</v>
      </c>
      <c r="K1351" t="s">
        <v>667</v>
      </c>
      <c r="L1351">
        <v>52.090066</v>
      </c>
      <c r="M1351">
        <v>-1.6926650000000001</v>
      </c>
      <c r="N1351" t="s">
        <v>68</v>
      </c>
      <c r="O1351">
        <v>656</v>
      </c>
      <c r="P1351">
        <v>18.600000000000001</v>
      </c>
      <c r="Q1351">
        <v>2</v>
      </c>
      <c r="R1351" s="107" t="str">
        <f>IF(AllData[[#This Row],[Nitrate (PPM)]]&gt;2, "Very high", IF(AllData[[#This Row],[Nitrate (PPM)]]&gt;1, "High", IF(AllData[[#This Row],[Nitrate (PPM)]]&gt;0.5, "Some evidence", IF(AllData[[#This Row],[Nitrate (PPM)]]&gt;=0, "No evidence"))))</f>
        <v>High</v>
      </c>
      <c r="S1351" s="4">
        <v>0.54</v>
      </c>
      <c r="T1351" s="7" t="str">
        <f>IF(AllData[[#This Row],[Phosphate (PPM)]]&gt;0.5, "Very high", IF(AllData[[#This Row],[Phosphate (PPM)]]&gt;0.1, "High", IF(AllData[[#This Row],[Phosphate (PPM)]]&gt;0.05, "Some evidence", IF(AllData[[#This Row],[Phosphate (PPM)]]&lt;=0.05, "No Evidence", ""))))</f>
        <v>Very high</v>
      </c>
      <c r="U1351">
        <v>0</v>
      </c>
      <c r="V1351" t="s">
        <v>1506</v>
      </c>
    </row>
    <row r="1352" spans="1:22" x14ac:dyDescent="0.35">
      <c r="A1352" t="s">
        <v>1517</v>
      </c>
      <c r="B1352" s="143">
        <v>45466</v>
      </c>
      <c r="C1352" s="2" t="str" cm="1">
        <f t="array" ref="C13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2">
        <f>YEAR(AllData[[#This Row],[Date]])</f>
        <v>2024</v>
      </c>
      <c r="E1352" s="1">
        <v>0.48125000000000001</v>
      </c>
      <c r="F1352" t="str">
        <f>IF(AND(AllData[[#This Row],[Time]]&lt;0.5, AllData[[#This Row],[Time]]&gt;0.17)=TRUE, "Morning", IF(AND(AllData[[#This Row],[Time]]&lt;0.75, AllData[[#This Row],[Time]]&gt;=0.5)=TRUE, "Afternoon", IF(AND(AllData[[#This Row],[Time]]&lt;1, AllData[[#This Row],[Time]]&gt;=0.75)=TRUE, "Evening", "Night")))</f>
        <v>Morning</v>
      </c>
      <c r="G1352" t="str">
        <f>_xlfn.XLOOKUP(AllData[[#This Row],[Location Name]], Locations[Location Name],Locations[Group As])</f>
        <v>Site 1  :  Middle Street</v>
      </c>
      <c r="H1352" t="e" vm="1">
        <f>_xlfn.XLOOKUP(AllData[[#This Row],[Site Name]],LocationsKey[Site Name],LocationsKey[District])</f>
        <v>#VALUE!</v>
      </c>
      <c r="I1352" t="e" vm="14">
        <f>_xlfn.XLOOKUP(AllData[[#This Row],[Site Name]],LocationsKey[Site Name],LocationsKey[Town])</f>
        <v>#VALUE!</v>
      </c>
      <c r="J1352" t="str">
        <f>_xlfn.XLOOKUP(AllData[[#This Row],[Site Name]],LocationsKey[Site Name], LocationsKey[Waterway])</f>
        <v>Fosseway Brook</v>
      </c>
      <c r="K1352" t="s">
        <v>678</v>
      </c>
      <c r="L1352">
        <v>52.090085000000002</v>
      </c>
      <c r="M1352">
        <v>-1.692593</v>
      </c>
      <c r="N1352" t="s">
        <v>68</v>
      </c>
      <c r="O1352">
        <v>656</v>
      </c>
      <c r="P1352">
        <v>18.600000000000001</v>
      </c>
      <c r="Q1352">
        <v>2</v>
      </c>
      <c r="R1352" s="107" t="str">
        <f>IF(AllData[[#This Row],[Nitrate (PPM)]]&gt;2, "Very high", IF(AllData[[#This Row],[Nitrate (PPM)]]&gt;1, "High", IF(AllData[[#This Row],[Nitrate (PPM)]]&gt;0.5, "Some evidence", IF(AllData[[#This Row],[Nitrate (PPM)]]&gt;=0, "No evidence"))))</f>
        <v>High</v>
      </c>
      <c r="S1352">
        <v>0.54</v>
      </c>
      <c r="T1352" s="7" t="str">
        <f>IF(AllData[[#This Row],[Phosphate (PPM)]]&gt;0.5, "Very high", IF(AllData[[#This Row],[Phosphate (PPM)]]&gt;0.1, "High", IF(AllData[[#This Row],[Phosphate (PPM)]]&gt;0.05, "Some evidence", IF(AllData[[#This Row],[Phosphate (PPM)]]&lt;=0.05, "No Evidence", ""))))</f>
        <v>Very high</v>
      </c>
      <c r="U1352">
        <v>0.05</v>
      </c>
    </row>
    <row r="1353" spans="1:22" x14ac:dyDescent="0.35">
      <c r="A1353" t="s">
        <v>1511</v>
      </c>
      <c r="B1353" s="143">
        <v>45466</v>
      </c>
      <c r="C1353" s="2" t="str" cm="1">
        <f t="array" ref="C13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3">
        <f>YEAR(AllData[[#This Row],[Date]])</f>
        <v>2024</v>
      </c>
      <c r="E1353" s="1"/>
      <c r="F1353" t="str">
        <f>IF(AND(AllData[[#This Row],[Time]]&lt;0.5, AllData[[#This Row],[Time]]&gt;0.17)=TRUE, "Morning", IF(AND(AllData[[#This Row],[Time]]&lt;0.75, AllData[[#This Row],[Time]]&gt;=0.5)=TRUE, "Afternoon", IF(AND(AllData[[#This Row],[Time]]&lt;1, AllData[[#This Row],[Time]]&gt;=0.75)=TRUE, "Evening", "Night")))</f>
        <v>Night</v>
      </c>
      <c r="G1353" t="str">
        <f>_xlfn.XLOOKUP(AllData[[#This Row],[Location Name]], Locations[Location Name],Locations[Group As])</f>
        <v>Site 2  :  Cross Leys culvert</v>
      </c>
      <c r="H1353" t="e" vm="1">
        <f>_xlfn.XLOOKUP(AllData[[#This Row],[Site Name]],LocationsKey[Site Name],LocationsKey[District])</f>
        <v>#VALUE!</v>
      </c>
      <c r="I1353" t="e" vm="14">
        <f>_xlfn.XLOOKUP(AllData[[#This Row],[Site Name]],LocationsKey[Site Name],LocationsKey[Town])</f>
        <v>#VALUE!</v>
      </c>
      <c r="J1353" t="str">
        <f>_xlfn.XLOOKUP(AllData[[#This Row],[Site Name]],LocationsKey[Site Name], LocationsKey[Waterway])</f>
        <v>Fosseway Brook</v>
      </c>
      <c r="K1353" t="s">
        <v>626</v>
      </c>
      <c r="L1353">
        <v>52.092984999999999</v>
      </c>
      <c r="M1353">
        <v>-1.686261</v>
      </c>
      <c r="N1353" t="s">
        <v>68</v>
      </c>
      <c r="O1353">
        <v>968</v>
      </c>
      <c r="P1353">
        <v>15.1</v>
      </c>
      <c r="Q1353">
        <v>1</v>
      </c>
      <c r="R1353" s="107" t="str">
        <f>IF(AllData[[#This Row],[Nitrate (PPM)]]&gt;2, "Very high", IF(AllData[[#This Row],[Nitrate (PPM)]]&gt;1, "High", IF(AllData[[#This Row],[Nitrate (PPM)]]&gt;0.5, "Some evidence", IF(AllData[[#This Row],[Nitrate (PPM)]]&gt;=0, "No evidence"))))</f>
        <v>Some evidence</v>
      </c>
      <c r="S1353" s="4">
        <v>1.1299999999999999</v>
      </c>
      <c r="T1353" s="7" t="str">
        <f>IF(AllData[[#This Row],[Phosphate (PPM)]]&gt;0.5, "Very high", IF(AllData[[#This Row],[Phosphate (PPM)]]&gt;0.1, "High", IF(AllData[[#This Row],[Phosphate (PPM)]]&gt;0.05, "Some evidence", IF(AllData[[#This Row],[Phosphate (PPM)]]&lt;=0.05, "No Evidence", ""))))</f>
        <v>Very high</v>
      </c>
      <c r="V1353" t="s">
        <v>1512</v>
      </c>
    </row>
    <row r="1354" spans="1:22" x14ac:dyDescent="0.35">
      <c r="A1354" t="s">
        <v>1509</v>
      </c>
      <c r="B1354" s="143">
        <v>45466</v>
      </c>
      <c r="C1354" s="2" t="str" cm="1">
        <f t="array" ref="C13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4">
        <f>YEAR(AllData[[#This Row],[Date]])</f>
        <v>2024</v>
      </c>
      <c r="F1354" t="str">
        <f>IF(AND(AllData[[#This Row],[Time]]&lt;0.5, AllData[[#This Row],[Time]]&gt;0.17)=TRUE, "Morning", IF(AND(AllData[[#This Row],[Time]]&lt;0.75, AllData[[#This Row],[Time]]&gt;=0.5)=TRUE, "Afternoon", IF(AND(AllData[[#This Row],[Time]]&lt;1, AllData[[#This Row],[Time]]&gt;=0.75)=TRUE, "Evening", "Night")))</f>
        <v>Night</v>
      </c>
      <c r="G1354" t="str">
        <f>_xlfn.XLOOKUP(AllData[[#This Row],[Location Name]], Locations[Location Name],Locations[Group As])</f>
        <v>Site 2  :  Cross Leys culvert</v>
      </c>
      <c r="H1354" t="e" vm="1">
        <f>_xlfn.XLOOKUP(AllData[[#This Row],[Site Name]],LocationsKey[Site Name],LocationsKey[District])</f>
        <v>#VALUE!</v>
      </c>
      <c r="I1354" t="e" vm="14">
        <f>_xlfn.XLOOKUP(AllData[[#This Row],[Site Name]],LocationsKey[Site Name],LocationsKey[Town])</f>
        <v>#VALUE!</v>
      </c>
      <c r="J1354" t="str">
        <f>_xlfn.XLOOKUP(AllData[[#This Row],[Site Name]],LocationsKey[Site Name], LocationsKey[Waterway])</f>
        <v>Fosseway Brook</v>
      </c>
      <c r="K1354" t="s">
        <v>623</v>
      </c>
      <c r="L1354">
        <v>52.092984999999999</v>
      </c>
      <c r="M1354">
        <v>-1.686261</v>
      </c>
      <c r="N1354" t="s">
        <v>68</v>
      </c>
      <c r="O1354">
        <v>968</v>
      </c>
      <c r="P1354">
        <v>15.1</v>
      </c>
      <c r="Q1354">
        <v>1</v>
      </c>
      <c r="R1354" s="107" t="str">
        <f>IF(AllData[[#This Row],[Nitrate (PPM)]]&gt;2, "Very high", IF(AllData[[#This Row],[Nitrate (PPM)]]&gt;1, "High", IF(AllData[[#This Row],[Nitrate (PPM)]]&gt;0.5, "Some evidence", IF(AllData[[#This Row],[Nitrate (PPM)]]&gt;=0, "No evidence"))))</f>
        <v>Some evidence</v>
      </c>
      <c r="S1354" s="4">
        <v>1.1299999999999999</v>
      </c>
      <c r="T1354" s="7" t="str">
        <f>IF(AllData[[#This Row],[Phosphate (PPM)]]&gt;0.5, "Very high", IF(AllData[[#This Row],[Phosphate (PPM)]]&gt;0.1, "High", IF(AllData[[#This Row],[Phosphate (PPM)]]&gt;0.05, "Some evidence", IF(AllData[[#This Row],[Phosphate (PPM)]]&lt;=0.05, "No Evidence", ""))))</f>
        <v>Very high</v>
      </c>
      <c r="U1354">
        <v>0</v>
      </c>
      <c r="V1354" t="s">
        <v>1510</v>
      </c>
    </row>
    <row r="1355" spans="1:22" x14ac:dyDescent="0.35">
      <c r="A1355" t="s">
        <v>1491</v>
      </c>
      <c r="B1355" s="143">
        <v>45465</v>
      </c>
      <c r="C1355" s="2" t="str" cm="1">
        <f t="array" ref="C13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5">
        <f>YEAR(AllData[[#This Row],[Date]])</f>
        <v>2024</v>
      </c>
      <c r="E1355" s="1">
        <v>0.41736111111111113</v>
      </c>
      <c r="F1355" t="str">
        <f>IF(AND(AllData[[#This Row],[Time]]&lt;0.5, AllData[[#This Row],[Time]]&gt;0.17)=TRUE, "Morning", IF(AND(AllData[[#This Row],[Time]]&lt;0.75, AllData[[#This Row],[Time]]&gt;=0.5)=TRUE, "Afternoon", IF(AND(AllData[[#This Row],[Time]]&lt;1, AllData[[#This Row],[Time]]&gt;=0.75)=TRUE, "Evening", "Night")))</f>
        <v>Morning</v>
      </c>
      <c r="G1355" t="str">
        <f>_xlfn.XLOOKUP(AllData[[#This Row],[Location Name]], Locations[Location Name],Locations[Group As])</f>
        <v>Avon Smiths Meadow Wyre Piddle</v>
      </c>
      <c r="H1355" t="e" vm="6">
        <f>_xlfn.XLOOKUP(AllData[[#This Row],[Site Name]],LocationsKey[Site Name],LocationsKey[District])</f>
        <v>#VALUE!</v>
      </c>
      <c r="I1355" t="e" vm="13">
        <f>_xlfn.XLOOKUP(AllData[[#This Row],[Site Name]],LocationsKey[Site Name],LocationsKey[Town])</f>
        <v>#VALUE!</v>
      </c>
      <c r="J1355" t="str">
        <f>_xlfn.XLOOKUP(AllData[[#This Row],[Site Name]],LocationsKey[Site Name], LocationsKey[Waterway])</f>
        <v>Avon</v>
      </c>
      <c r="K1355" t="s">
        <v>784</v>
      </c>
      <c r="L1355">
        <v>52.123027</v>
      </c>
      <c r="M1355">
        <v>-2.0574509999999999</v>
      </c>
      <c r="N1355" t="s">
        <v>25</v>
      </c>
      <c r="O1355">
        <v>991</v>
      </c>
      <c r="P1355">
        <v>19</v>
      </c>
      <c r="Q1355">
        <v>15</v>
      </c>
      <c r="R1355" s="107" t="str">
        <f>IF(AllData[[#This Row],[Nitrate (PPM)]]&gt;2, "Very high", IF(AllData[[#This Row],[Nitrate (PPM)]]&gt;1, "High", IF(AllData[[#This Row],[Nitrate (PPM)]]&gt;0.5, "Some evidence", IF(AllData[[#This Row],[Nitrate (PPM)]]&gt;=0, "No evidence"))))</f>
        <v>Very high</v>
      </c>
      <c r="S1355" s="4">
        <v>0.62</v>
      </c>
      <c r="T1355" s="7" t="str">
        <f>IF(AllData[[#This Row],[Phosphate (PPM)]]&gt;0.5, "Very high", IF(AllData[[#This Row],[Phosphate (PPM)]]&gt;0.1, "High", IF(AllData[[#This Row],[Phosphate (PPM)]]&gt;0.05, "Some evidence", IF(AllData[[#This Row],[Phosphate (PPM)]]&lt;=0.05, "No Evidence", ""))))</f>
        <v>Very high</v>
      </c>
      <c r="U1355">
        <v>0.66</v>
      </c>
      <c r="V1355" t="s">
        <v>1492</v>
      </c>
    </row>
    <row r="1356" spans="1:22" x14ac:dyDescent="0.35">
      <c r="A1356" t="s">
        <v>1493</v>
      </c>
      <c r="B1356" s="143">
        <v>45465</v>
      </c>
      <c r="C1356" s="2" t="str" cm="1">
        <f t="array" ref="C13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6">
        <f>YEAR(AllData[[#This Row],[Date]])</f>
        <v>2024</v>
      </c>
      <c r="E1356" s="1">
        <v>0.4375</v>
      </c>
      <c r="F1356" t="str">
        <f>IF(AND(AllData[[#This Row],[Time]]&lt;0.5, AllData[[#This Row],[Time]]&gt;0.17)=TRUE, "Morning", IF(AND(AllData[[#This Row],[Time]]&lt;0.75, AllData[[#This Row],[Time]]&gt;=0.5)=TRUE, "Afternoon", IF(AND(AllData[[#This Row],[Time]]&lt;1, AllData[[#This Row],[Time]]&gt;=0.75)=TRUE, "Evening", "Night")))</f>
        <v>Morning</v>
      </c>
      <c r="G1356" t="str">
        <f>_xlfn.XLOOKUP(AllData[[#This Row],[Location Name]], Locations[Location Name],Locations[Group As])</f>
        <v>Piddle Brook Wyre Piddle Bridge</v>
      </c>
      <c r="H1356" t="e" vm="6">
        <f>_xlfn.XLOOKUP(AllData[[#This Row],[Site Name]],LocationsKey[Site Name],LocationsKey[District])</f>
        <v>#VALUE!</v>
      </c>
      <c r="I1356" t="e" vm="13">
        <f>_xlfn.XLOOKUP(AllData[[#This Row],[Site Name]],LocationsKey[Site Name],LocationsKey[Town])</f>
        <v>#VALUE!</v>
      </c>
      <c r="J1356" t="str">
        <f>_xlfn.XLOOKUP(AllData[[#This Row],[Site Name]],LocationsKey[Site Name], LocationsKey[Waterway])</f>
        <v>Piddle Brook</v>
      </c>
      <c r="K1356" t="s">
        <v>787</v>
      </c>
      <c r="L1356">
        <v>52.126404000000001</v>
      </c>
      <c r="M1356">
        <v>-2.0565410000000002</v>
      </c>
      <c r="N1356" t="s">
        <v>25</v>
      </c>
      <c r="O1356">
        <v>1650</v>
      </c>
      <c r="P1356">
        <v>17.100000000000001</v>
      </c>
      <c r="Q1356">
        <v>10</v>
      </c>
      <c r="R1356" s="107" t="str">
        <f>IF(AllData[[#This Row],[Nitrate (PPM)]]&gt;2, "Very high", IF(AllData[[#This Row],[Nitrate (PPM)]]&gt;1, "High", IF(AllData[[#This Row],[Nitrate (PPM)]]&gt;0.5, "Some evidence", IF(AllData[[#This Row],[Nitrate (PPM)]]&gt;=0, "No evidence"))))</f>
        <v>Very high</v>
      </c>
      <c r="S1356" s="4">
        <v>1.1000000000000001</v>
      </c>
      <c r="T1356" s="7" t="str">
        <f>IF(AllData[[#This Row],[Phosphate (PPM)]]&gt;0.5, "Very high", IF(AllData[[#This Row],[Phosphate (PPM)]]&gt;0.1, "High", IF(AllData[[#This Row],[Phosphate (PPM)]]&gt;0.05, "Some evidence", IF(AllData[[#This Row],[Phosphate (PPM)]]&lt;=0.05, "No Evidence", ""))))</f>
        <v>Very high</v>
      </c>
      <c r="U1356">
        <v>0.17</v>
      </c>
      <c r="V1356" t="s">
        <v>1494</v>
      </c>
    </row>
    <row r="1357" spans="1:22" x14ac:dyDescent="0.35">
      <c r="A1357" t="s">
        <v>1496</v>
      </c>
      <c r="B1357" s="143">
        <v>45465</v>
      </c>
      <c r="C1357" s="2" t="str" cm="1">
        <f t="array" ref="C13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7">
        <f>YEAR(AllData[[#This Row],[Date]])</f>
        <v>2024</v>
      </c>
      <c r="E1357" s="1">
        <v>0.7055555555555556</v>
      </c>
      <c r="F1357" t="str">
        <f>IF(AND(AllData[[#This Row],[Time]]&lt;0.5, AllData[[#This Row],[Time]]&gt;0.17)=TRUE, "Morning", IF(AND(AllData[[#This Row],[Time]]&lt;0.75, AllData[[#This Row],[Time]]&gt;=0.5)=TRUE, "Afternoon", IF(AND(AllData[[#This Row],[Time]]&lt;1, AllData[[#This Row],[Time]]&gt;=0.75)=TRUE, "Evening", "Night")))</f>
        <v>Afternoon</v>
      </c>
      <c r="G1357" t="str">
        <f>_xlfn.XLOOKUP(AllData[[#This Row],[Location Name]], Locations[Location Name],Locations[Group As])</f>
        <v>Black Bear</v>
      </c>
      <c r="H1357" t="e" vm="4">
        <f>_xlfn.XLOOKUP(AllData[[#This Row],[Site Name]],LocationsKey[Site Name],LocationsKey[District])</f>
        <v>#VALUE!</v>
      </c>
      <c r="I1357" t="e" vm="4">
        <f>_xlfn.XLOOKUP(AllData[[#This Row],[Site Name]],LocationsKey[Site Name],LocationsKey[Town])</f>
        <v>#VALUE!</v>
      </c>
      <c r="J1357" t="str">
        <f>_xlfn.XLOOKUP(AllData[[#This Row],[Site Name]],LocationsKey[Site Name], LocationsKey[Waterway])</f>
        <v>Avon</v>
      </c>
      <c r="K1357" t="s">
        <v>1175</v>
      </c>
      <c r="L1357">
        <v>51.997523999999999</v>
      </c>
      <c r="M1357">
        <v>-2.1561319999999999</v>
      </c>
      <c r="N1357" t="s">
        <v>25</v>
      </c>
      <c r="O1357">
        <v>885</v>
      </c>
      <c r="P1357">
        <v>22.6</v>
      </c>
      <c r="Q1357">
        <v>10</v>
      </c>
      <c r="R1357" s="107" t="str">
        <f>IF(AllData[[#This Row],[Nitrate (PPM)]]&gt;2, "Very high", IF(AllData[[#This Row],[Nitrate (PPM)]]&gt;1, "High", IF(AllData[[#This Row],[Nitrate (PPM)]]&gt;0.5, "Some evidence", IF(AllData[[#This Row],[Nitrate (PPM)]]&gt;=0, "No evidence"))))</f>
        <v>Very high</v>
      </c>
      <c r="S1357" s="4">
        <v>0.56999999999999995</v>
      </c>
      <c r="T1357" s="7" t="str">
        <f>IF(AllData[[#This Row],[Phosphate (PPM)]]&gt;0.5, "Very high", IF(AllData[[#This Row],[Phosphate (PPM)]]&gt;0.1, "High", IF(AllData[[#This Row],[Phosphate (PPM)]]&gt;0.05, "Some evidence", IF(AllData[[#This Row],[Phosphate (PPM)]]&lt;=0.05, "No Evidence", ""))))</f>
        <v>Very high</v>
      </c>
      <c r="U1357">
        <v>0</v>
      </c>
    </row>
    <row r="1358" spans="1:22" x14ac:dyDescent="0.35">
      <c r="A1358" t="s">
        <v>1495</v>
      </c>
      <c r="B1358" s="143">
        <v>45465</v>
      </c>
      <c r="C1358" s="2" t="str" cm="1">
        <f t="array" ref="C13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8">
        <f>YEAR(AllData[[#This Row],[Date]])</f>
        <v>2024</v>
      </c>
      <c r="E1358" s="1">
        <v>0.52083333333333337</v>
      </c>
      <c r="F1358" t="str">
        <f>IF(AND(AllData[[#This Row],[Time]]&lt;0.5, AllData[[#This Row],[Time]]&gt;0.17)=TRUE, "Morning", IF(AND(AllData[[#This Row],[Time]]&lt;0.75, AllData[[#This Row],[Time]]&gt;=0.5)=TRUE, "Afternoon", IF(AND(AllData[[#This Row],[Time]]&lt;1, AllData[[#This Row],[Time]]&gt;=0.75)=TRUE, "Evening", "Night")))</f>
        <v>Afternoon</v>
      </c>
      <c r="G1358" t="str">
        <f>_xlfn.XLOOKUP(AllData[[#This Row],[Location Name]], Locations[Location Name],Locations[Group As])</f>
        <v>Carrant Bredon Rd</v>
      </c>
      <c r="H1358" t="e" vm="4">
        <f>_xlfn.XLOOKUP(AllData[[#This Row],[Site Name]],LocationsKey[Site Name],LocationsKey[District])</f>
        <v>#VALUE!</v>
      </c>
      <c r="I1358" t="e" vm="4">
        <f>_xlfn.XLOOKUP(AllData[[#This Row],[Site Name]],LocationsKey[Site Name],LocationsKey[Town])</f>
        <v>#VALUE!</v>
      </c>
      <c r="J1358" t="str">
        <f>_xlfn.XLOOKUP(AllData[[#This Row],[Site Name]],LocationsKey[Site Name], LocationsKey[Waterway])</f>
        <v>Carrant</v>
      </c>
      <c r="K1358" t="s">
        <v>603</v>
      </c>
      <c r="L1358">
        <v>51.996174000000003</v>
      </c>
      <c r="M1358">
        <v>-2.1561189999999999</v>
      </c>
      <c r="N1358" t="s">
        <v>25</v>
      </c>
      <c r="O1358">
        <v>733</v>
      </c>
      <c r="P1358">
        <v>17.3</v>
      </c>
      <c r="Q1358">
        <v>5</v>
      </c>
      <c r="R1358" s="107" t="str">
        <f>IF(AllData[[#This Row],[Nitrate (PPM)]]&gt;2, "Very high", IF(AllData[[#This Row],[Nitrate (PPM)]]&gt;1, "High", IF(AllData[[#This Row],[Nitrate (PPM)]]&gt;0.5, "Some evidence", IF(AllData[[#This Row],[Nitrate (PPM)]]&gt;=0, "No evidence"))))</f>
        <v>Very high</v>
      </c>
      <c r="S1358" s="4">
        <v>0.41</v>
      </c>
      <c r="T1358" s="7" t="str">
        <f>IF(AllData[[#This Row],[Phosphate (PPM)]]&gt;0.5, "Very high", IF(AllData[[#This Row],[Phosphate (PPM)]]&gt;0.1, "High", IF(AllData[[#This Row],[Phosphate (PPM)]]&gt;0.05, "Some evidence", IF(AllData[[#This Row],[Phosphate (PPM)]]&lt;=0.05, "No Evidence", ""))))</f>
        <v>High</v>
      </c>
      <c r="U1358">
        <v>0</v>
      </c>
    </row>
    <row r="1359" spans="1:22" x14ac:dyDescent="0.35">
      <c r="A1359" t="s">
        <v>1499</v>
      </c>
      <c r="B1359" s="143">
        <v>45465</v>
      </c>
      <c r="C1359" s="2" t="str" cm="1">
        <f t="array" ref="C13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59">
        <f>YEAR(AllData[[#This Row],[Date]])</f>
        <v>2024</v>
      </c>
      <c r="E1359" s="1">
        <v>0.65416666666666667</v>
      </c>
      <c r="F1359" t="str">
        <f>IF(AND(AllData[[#This Row],[Time]]&lt;0.5, AllData[[#This Row],[Time]]&gt;0.17)=TRUE, "Morning", IF(AND(AllData[[#This Row],[Time]]&lt;0.75, AllData[[#This Row],[Time]]&gt;=0.5)=TRUE, "Afternoon", IF(AND(AllData[[#This Row],[Time]]&lt;1, AllData[[#This Row],[Time]]&gt;=0.75)=TRUE, "Evening", "Night")))</f>
        <v>Afternoon</v>
      </c>
      <c r="G1359" t="str">
        <f>_xlfn.XLOOKUP(AllData[[#This Row],[Location Name]], Locations[Location Name],Locations[Group As])</f>
        <v>Preston Bagot Brook</v>
      </c>
      <c r="H1359" t="e" vm="1">
        <f>_xlfn.XLOOKUP(AllData[[#This Row],[Site Name]],LocationsKey[Site Name],LocationsKey[District])</f>
        <v>#VALUE!</v>
      </c>
      <c r="I1359" t="e" vm="21">
        <f>_xlfn.XLOOKUP(AllData[[#This Row],[Site Name]],LocationsKey[Site Name],LocationsKey[Town])</f>
        <v>#VALUE!</v>
      </c>
      <c r="J1359" t="str">
        <f>_xlfn.XLOOKUP(AllData[[#This Row],[Site Name]],LocationsKey[Site Name], LocationsKey[Waterway])</f>
        <v>Preston Bagot Brook</v>
      </c>
      <c r="K1359" t="s">
        <v>621</v>
      </c>
      <c r="L1359">
        <v>52.286000000000001</v>
      </c>
      <c r="M1359">
        <v>-1.7470000000000001</v>
      </c>
      <c r="N1359" t="s">
        <v>25</v>
      </c>
      <c r="O1359">
        <v>998</v>
      </c>
      <c r="P1359">
        <v>17</v>
      </c>
      <c r="Q1359">
        <v>2</v>
      </c>
      <c r="R1359" s="107" t="str">
        <f>IF(AllData[[#This Row],[Nitrate (PPM)]]&gt;2, "Very high", IF(AllData[[#This Row],[Nitrate (PPM)]]&gt;1, "High", IF(AllData[[#This Row],[Nitrate (PPM)]]&gt;0.5, "Some evidence", IF(AllData[[#This Row],[Nitrate (PPM)]]&gt;=0, "No evidence"))))</f>
        <v>High</v>
      </c>
      <c r="S1359">
        <v>0.55000000000000004</v>
      </c>
      <c r="T1359" s="7" t="str">
        <f>IF(AllData[[#This Row],[Phosphate (PPM)]]&gt;0.5, "Very high", IF(AllData[[#This Row],[Phosphate (PPM)]]&gt;0.1, "High", IF(AllData[[#This Row],[Phosphate (PPM)]]&gt;0.05, "Some evidence", IF(AllData[[#This Row],[Phosphate (PPM)]]&lt;=0.05, "No Evidence", ""))))</f>
        <v>Very high</v>
      </c>
      <c r="U1359">
        <v>1</v>
      </c>
      <c r="V1359" t="s">
        <v>970</v>
      </c>
    </row>
    <row r="1360" spans="1:22" x14ac:dyDescent="0.35">
      <c r="A1360" t="s">
        <v>1498</v>
      </c>
      <c r="B1360" s="143">
        <v>45465</v>
      </c>
      <c r="C1360" s="2" t="str" cm="1">
        <f t="array" ref="C13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0">
        <f>YEAR(AllData[[#This Row],[Date]])</f>
        <v>2024</v>
      </c>
      <c r="E1360" s="1">
        <v>0.42708333333333331</v>
      </c>
      <c r="F1360" t="str">
        <f>IF(AND(AllData[[#This Row],[Time]]&lt;0.5, AllData[[#This Row],[Time]]&gt;0.17)=TRUE, "Morning", IF(AND(AllData[[#This Row],[Time]]&lt;0.75, AllData[[#This Row],[Time]]&gt;=0.5)=TRUE, "Afternoon", IF(AND(AllData[[#This Row],[Time]]&lt;1, AllData[[#This Row],[Time]]&gt;=0.75)=TRUE, "Evening", "Night")))</f>
        <v>Morning</v>
      </c>
      <c r="G1360" t="str">
        <f>_xlfn.XLOOKUP(AllData[[#This Row],[Location Name]], Locations[Location Name],Locations[Group As])</f>
        <v>Stour Whichford</v>
      </c>
      <c r="H1360" t="e" vm="1">
        <f>_xlfn.XLOOKUP(AllData[[#This Row],[Site Name]],LocationsKey[Site Name],LocationsKey[District])</f>
        <v>#VALUE!</v>
      </c>
      <c r="I1360" t="e" vm="24">
        <f>_xlfn.XLOOKUP(AllData[[#This Row],[Site Name]],LocationsKey[Site Name],LocationsKey[Town])</f>
        <v>#VALUE!</v>
      </c>
      <c r="J1360" t="str">
        <f>_xlfn.XLOOKUP(AllData[[#This Row],[Site Name]],LocationsKey[Site Name], LocationsKey[Waterway])</f>
        <v>Stour</v>
      </c>
      <c r="K1360" t="s">
        <v>980</v>
      </c>
      <c r="N1360" t="s">
        <v>31</v>
      </c>
      <c r="O1360">
        <v>564</v>
      </c>
      <c r="P1360">
        <v>16.100000000000001</v>
      </c>
      <c r="Q1360">
        <v>2</v>
      </c>
      <c r="R1360" s="107" t="str">
        <f>IF(AllData[[#This Row],[Nitrate (PPM)]]&gt;2, "Very high", IF(AllData[[#This Row],[Nitrate (PPM)]]&gt;1, "High", IF(AllData[[#This Row],[Nitrate (PPM)]]&gt;0.5, "Some evidence", IF(AllData[[#This Row],[Nitrate (PPM)]]&gt;=0, "No evidence"))))</f>
        <v>High</v>
      </c>
      <c r="S1360">
        <v>0.78</v>
      </c>
      <c r="T1360" s="7" t="str">
        <f>IF(AllData[[#This Row],[Phosphate (PPM)]]&gt;0.5, "Very high", IF(AllData[[#This Row],[Phosphate (PPM)]]&gt;0.1, "High", IF(AllData[[#This Row],[Phosphate (PPM)]]&gt;0.05, "Some evidence", IF(AllData[[#This Row],[Phosphate (PPM)]]&lt;=0.05, "No Evidence", ""))))</f>
        <v>Very high</v>
      </c>
      <c r="U1360">
        <v>5</v>
      </c>
    </row>
    <row r="1361" spans="1:22" x14ac:dyDescent="0.35">
      <c r="A1361" t="s">
        <v>1497</v>
      </c>
      <c r="B1361" s="143">
        <v>45465</v>
      </c>
      <c r="C1361" s="2" t="str" cm="1">
        <f t="array" ref="C13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1">
        <f>YEAR(AllData[[#This Row],[Date]])</f>
        <v>2024</v>
      </c>
      <c r="E1361" s="1">
        <v>0.44444444444444442</v>
      </c>
      <c r="F1361" t="str">
        <f>IF(AND(AllData[[#This Row],[Time]]&lt;0.5, AllData[[#This Row],[Time]]&gt;0.17)=TRUE, "Morning", IF(AND(AllData[[#This Row],[Time]]&lt;0.75, AllData[[#This Row],[Time]]&gt;=0.5)=TRUE, "Afternoon", IF(AND(AllData[[#This Row],[Time]]&lt;1, AllData[[#This Row],[Time]]&gt;=0.75)=TRUE, "Evening", "Night")))</f>
        <v>Morning</v>
      </c>
      <c r="G1361" t="str">
        <f>_xlfn.XLOOKUP(AllData[[#This Row],[Location Name]], Locations[Location Name],Locations[Group As])</f>
        <v>Stour Ascott Village</v>
      </c>
      <c r="H1361" t="e" vm="1">
        <f>_xlfn.XLOOKUP(AllData[[#This Row],[Site Name]],LocationsKey[Site Name],LocationsKey[District])</f>
        <v>#VALUE!</v>
      </c>
      <c r="I1361" t="e" vm="25">
        <f>_xlfn.XLOOKUP(AllData[[#This Row],[Site Name]],LocationsKey[Site Name],LocationsKey[Town])</f>
        <v>#VALUE!</v>
      </c>
      <c r="J1361" t="str">
        <f>_xlfn.XLOOKUP(AllData[[#This Row],[Site Name]],LocationsKey[Site Name], LocationsKey[Waterway])</f>
        <v>Stour</v>
      </c>
      <c r="K1361" t="s">
        <v>927</v>
      </c>
      <c r="N1361" t="s">
        <v>68</v>
      </c>
      <c r="O1361">
        <v>513</v>
      </c>
      <c r="P1361">
        <v>17.600000000000001</v>
      </c>
      <c r="Q1361">
        <v>0.8</v>
      </c>
      <c r="R1361" s="107" t="str">
        <f>IF(AllData[[#This Row],[Nitrate (PPM)]]&gt;2, "Very high", IF(AllData[[#This Row],[Nitrate (PPM)]]&gt;1, "High", IF(AllData[[#This Row],[Nitrate (PPM)]]&gt;0.5, "Some evidence", IF(AllData[[#This Row],[Nitrate (PPM)]]&gt;=0, "No evidence"))))</f>
        <v>Some evidence</v>
      </c>
      <c r="S1361">
        <v>0.5</v>
      </c>
      <c r="T1361" s="7" t="str">
        <f>IF(AllData[[#This Row],[Phosphate (PPM)]]&gt;0.5, "Very high", IF(AllData[[#This Row],[Phosphate (PPM)]]&gt;0.1, "High", IF(AllData[[#This Row],[Phosphate (PPM)]]&gt;0.05, "Some evidence", IF(AllData[[#This Row],[Phosphate (PPM)]]&lt;=0.05, "No Evidence", ""))))</f>
        <v>High</v>
      </c>
      <c r="U1361">
        <v>5</v>
      </c>
    </row>
    <row r="1362" spans="1:22" x14ac:dyDescent="0.35">
      <c r="A1362" t="s">
        <v>1500</v>
      </c>
      <c r="B1362" s="143">
        <v>45465</v>
      </c>
      <c r="C1362" s="2" t="str" cm="1">
        <f t="array" ref="C13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2">
        <f>YEAR(AllData[[#This Row],[Date]])</f>
        <v>2024</v>
      </c>
      <c r="E1362" s="1">
        <v>0.65277777777777779</v>
      </c>
      <c r="F1362" t="str">
        <f>IF(AND(AllData[[#This Row],[Time]]&lt;0.5, AllData[[#This Row],[Time]]&gt;0.17)=TRUE, "Morning", IF(AND(AllData[[#This Row],[Time]]&lt;0.75, AllData[[#This Row],[Time]]&gt;=0.5)=TRUE, "Afternoon", IF(AND(AllData[[#This Row],[Time]]&lt;1, AllData[[#This Row],[Time]]&gt;=0.75)=TRUE, "Evening", "Night")))</f>
        <v>Afternoon</v>
      </c>
      <c r="G1362" t="str">
        <f>_xlfn.XLOOKUP(AllData[[#This Row],[Location Name]], Locations[Location Name],Locations[Group As])</f>
        <v>Preston Bagot Canal</v>
      </c>
      <c r="H1362" t="e" vm="1">
        <f>_xlfn.XLOOKUP(AllData[[#This Row],[Site Name]],LocationsKey[Site Name],LocationsKey[District])</f>
        <v>#VALUE!</v>
      </c>
      <c r="I1362" t="e" vm="21">
        <f>_xlfn.XLOOKUP(AllData[[#This Row],[Site Name]],LocationsKey[Site Name],LocationsKey[Town])</f>
        <v>#VALUE!</v>
      </c>
      <c r="J1362" t="str">
        <f>_xlfn.XLOOKUP(AllData[[#This Row],[Site Name]],LocationsKey[Site Name], LocationsKey[Waterway])</f>
        <v>Preston Bagot Canal</v>
      </c>
      <c r="K1362" t="s">
        <v>618</v>
      </c>
      <c r="L1362">
        <v>52.286999999999999</v>
      </c>
      <c r="M1362">
        <v>-1.746</v>
      </c>
      <c r="N1362" t="s">
        <v>25</v>
      </c>
      <c r="O1362">
        <v>479</v>
      </c>
      <c r="P1362">
        <v>19.399999999999999</v>
      </c>
      <c r="Q1362">
        <v>0.3</v>
      </c>
      <c r="R1362" s="107" t="str">
        <f>IF(AllData[[#This Row],[Nitrate (PPM)]]&gt;2, "Very high", IF(AllData[[#This Row],[Nitrate (PPM)]]&gt;1, "High", IF(AllData[[#This Row],[Nitrate (PPM)]]&gt;0.5, "Some evidence", IF(AllData[[#This Row],[Nitrate (PPM)]]&gt;=0, "No evidence"))))</f>
        <v>No evidence</v>
      </c>
      <c r="S1362">
        <v>0.06</v>
      </c>
      <c r="T1362" s="7" t="str">
        <f>IF(AllData[[#This Row],[Phosphate (PPM)]]&gt;0.5, "Very high", IF(AllData[[#This Row],[Phosphate (PPM)]]&gt;0.1, "High", IF(AllData[[#This Row],[Phosphate (PPM)]]&gt;0.05, "Some evidence", IF(AllData[[#This Row],[Phosphate (PPM)]]&lt;=0.05, "No Evidence", ""))))</f>
        <v>Some evidence</v>
      </c>
      <c r="U1362">
        <v>1</v>
      </c>
      <c r="V1362" t="s">
        <v>970</v>
      </c>
    </row>
    <row r="1363" spans="1:22" x14ac:dyDescent="0.35">
      <c r="A1363" t="s">
        <v>1490</v>
      </c>
      <c r="B1363" s="143">
        <v>45464</v>
      </c>
      <c r="C1363" s="2" t="str" cm="1">
        <f t="array" ref="C13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3">
        <f>YEAR(AllData[[#This Row],[Date]])</f>
        <v>2024</v>
      </c>
      <c r="E1363" s="1">
        <v>0.47916666666666669</v>
      </c>
      <c r="F1363" t="str">
        <f>IF(AND(AllData[[#This Row],[Time]]&lt;0.5, AllData[[#This Row],[Time]]&gt;0.17)=TRUE, "Morning", IF(AND(AllData[[#This Row],[Time]]&lt;0.75, AllData[[#This Row],[Time]]&gt;=0.5)=TRUE, "Afternoon", IF(AND(AllData[[#This Row],[Time]]&lt;1, AllData[[#This Row],[Time]]&gt;=0.75)=TRUE, "Evening", "Night")))</f>
        <v>Morning</v>
      </c>
      <c r="G1363" t="str">
        <f>_xlfn.XLOOKUP(AllData[[#This Row],[Location Name]], Locations[Location Name],Locations[Group As])</f>
        <v>Stour Willington</v>
      </c>
      <c r="H1363" t="e" vm="1">
        <f>_xlfn.XLOOKUP(AllData[[#This Row],[Site Name]],LocationsKey[Site Name],LocationsKey[District])</f>
        <v>#VALUE!</v>
      </c>
      <c r="I1363" t="str">
        <f>_xlfn.XLOOKUP(AllData[[#This Row],[Site Name]],LocationsKey[Site Name],LocationsKey[Town])</f>
        <v>Willington</v>
      </c>
      <c r="J1363" t="str">
        <f>_xlfn.XLOOKUP(AllData[[#This Row],[Site Name]],LocationsKey[Site Name], LocationsKey[Waterway])</f>
        <v>Stour</v>
      </c>
      <c r="K1363" t="s">
        <v>521</v>
      </c>
      <c r="L1363">
        <v>52.053550999999999</v>
      </c>
      <c r="M1363">
        <v>-1.620139</v>
      </c>
      <c r="N1363" t="s">
        <v>25</v>
      </c>
      <c r="O1363">
        <v>619</v>
      </c>
      <c r="P1363">
        <v>15.7</v>
      </c>
      <c r="Q1363">
        <v>5</v>
      </c>
      <c r="R1363" s="107" t="str">
        <f>IF(AllData[[#This Row],[Nitrate (PPM)]]&gt;2, "Very high", IF(AllData[[#This Row],[Nitrate (PPM)]]&gt;1, "High", IF(AllData[[#This Row],[Nitrate (PPM)]]&gt;0.5, "Some evidence", IF(AllData[[#This Row],[Nitrate (PPM)]]&gt;=0, "No evidence"))))</f>
        <v>Very high</v>
      </c>
      <c r="S1363" s="4">
        <v>0.49</v>
      </c>
      <c r="T1363" s="7" t="str">
        <f>IF(AllData[[#This Row],[Phosphate (PPM)]]&gt;0.5, "Very high", IF(AllData[[#This Row],[Phosphate (PPM)]]&gt;0.1, "High", IF(AllData[[#This Row],[Phosphate (PPM)]]&gt;0.05, "Some evidence", IF(AllData[[#This Row],[Phosphate (PPM)]]&lt;=0.05, "No Evidence", ""))))</f>
        <v>High</v>
      </c>
      <c r="U1363">
        <v>0.5</v>
      </c>
    </row>
    <row r="1364" spans="1:22" x14ac:dyDescent="0.35">
      <c r="A1364" t="s">
        <v>1489</v>
      </c>
      <c r="B1364" s="143">
        <v>45464</v>
      </c>
      <c r="C1364" s="2" t="str" cm="1">
        <f t="array" ref="C13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4">
        <f>YEAR(AllData[[#This Row],[Date]])</f>
        <v>2024</v>
      </c>
      <c r="E1364" s="1">
        <v>0.35416666666666669</v>
      </c>
      <c r="F1364" t="str">
        <f>IF(AND(AllData[[#This Row],[Time]]&lt;0.5, AllData[[#This Row],[Time]]&gt;0.17)=TRUE, "Morning", IF(AND(AllData[[#This Row],[Time]]&lt;0.75, AllData[[#This Row],[Time]]&gt;=0.5)=TRUE, "Afternoon", IF(AND(AllData[[#This Row],[Time]]&lt;1, AllData[[#This Row],[Time]]&gt;=0.75)=TRUE, "Evening", "Night")))</f>
        <v>Morning</v>
      </c>
      <c r="G1364" t="str">
        <f>_xlfn.XLOOKUP(AllData[[#This Row],[Location Name]], Locations[Location Name],Locations[Group As])</f>
        <v>Swilgate</v>
      </c>
      <c r="H1364" t="e" vm="4">
        <f>_xlfn.XLOOKUP(AllData[[#This Row],[Site Name]],LocationsKey[Site Name],LocationsKey[District])</f>
        <v>#VALUE!</v>
      </c>
      <c r="I1364" t="e" vm="4">
        <f>_xlfn.XLOOKUP(AllData[[#This Row],[Site Name]],LocationsKey[Site Name],LocationsKey[Town])</f>
        <v>#VALUE!</v>
      </c>
      <c r="J1364" t="str">
        <f>_xlfn.XLOOKUP(AllData[[#This Row],[Site Name]],LocationsKey[Site Name], LocationsKey[Waterway])</f>
        <v>Swilgate</v>
      </c>
      <c r="K1364" t="s">
        <v>85</v>
      </c>
      <c r="N1364" t="s">
        <v>25</v>
      </c>
      <c r="O1364">
        <v>965</v>
      </c>
      <c r="P1364">
        <v>17.100000000000001</v>
      </c>
      <c r="Q1364">
        <v>4</v>
      </c>
      <c r="R1364" s="107" t="str">
        <f>IF(AllData[[#This Row],[Nitrate (PPM)]]&gt;2, "Very high", IF(AllData[[#This Row],[Nitrate (PPM)]]&gt;1, "High", IF(AllData[[#This Row],[Nitrate (PPM)]]&gt;0.5, "Some evidence", IF(AllData[[#This Row],[Nitrate (PPM)]]&gt;=0, "No evidence"))))</f>
        <v>Very high</v>
      </c>
      <c r="S1364" s="4">
        <v>1.28</v>
      </c>
      <c r="T1364" s="7" t="str">
        <f>IF(AllData[[#This Row],[Phosphate (PPM)]]&gt;0.5, "Very high", IF(AllData[[#This Row],[Phosphate (PPM)]]&gt;0.1, "High", IF(AllData[[#This Row],[Phosphate (PPM)]]&gt;0.05, "Some evidence", IF(AllData[[#This Row],[Phosphate (PPM)]]&lt;=0.05, "No Evidence", ""))))</f>
        <v>Very high</v>
      </c>
      <c r="U1364">
        <v>0</v>
      </c>
    </row>
    <row r="1365" spans="1:22" x14ac:dyDescent="0.35">
      <c r="A1365" t="s">
        <v>1488</v>
      </c>
      <c r="B1365" s="143">
        <v>45463</v>
      </c>
      <c r="C1365" s="2" t="str" cm="1">
        <f t="array" ref="C13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5">
        <f>YEAR(AllData[[#This Row],[Date]])</f>
        <v>2024</v>
      </c>
      <c r="E1365" s="1">
        <v>0.67708333333333337</v>
      </c>
      <c r="F1365" t="str">
        <f>IF(AND(AllData[[#This Row],[Time]]&lt;0.5, AllData[[#This Row],[Time]]&gt;0.17)=TRUE, "Morning", IF(AND(AllData[[#This Row],[Time]]&lt;0.75, AllData[[#This Row],[Time]]&gt;=0.5)=TRUE, "Afternoon", IF(AND(AllData[[#This Row],[Time]]&lt;1, AllData[[#This Row],[Time]]&gt;=0.75)=TRUE, "Evening", "Night")))</f>
        <v>Afternoon</v>
      </c>
      <c r="G1365" t="str">
        <f>_xlfn.XLOOKUP(AllData[[#This Row],[Location Name]], Locations[Location Name],Locations[Group As])</f>
        <v>The Ford, Langley</v>
      </c>
      <c r="H1365" t="e" vm="1">
        <f>_xlfn.XLOOKUP(AllData[[#This Row],[Site Name]],LocationsKey[Site Name],LocationsKey[District])</f>
        <v>#VALUE!</v>
      </c>
      <c r="I1365" t="str">
        <f>_xlfn.XLOOKUP(AllData[[#This Row],[Site Name]],LocationsKey[Site Name],LocationsKey[Town])</f>
        <v>Langley</v>
      </c>
      <c r="J1365" t="str">
        <f>_xlfn.XLOOKUP(AllData[[#This Row],[Site Name]],LocationsKey[Site Name], LocationsKey[Waterway])</f>
        <v>Langley Ford</v>
      </c>
      <c r="K1365" t="s">
        <v>561</v>
      </c>
      <c r="L1365">
        <v>52.269112999999997</v>
      </c>
      <c r="M1365">
        <v>-1.723298</v>
      </c>
      <c r="N1365" t="s">
        <v>31</v>
      </c>
      <c r="O1365">
        <v>861</v>
      </c>
      <c r="P1365">
        <v>15.1</v>
      </c>
      <c r="Q1365">
        <v>5</v>
      </c>
      <c r="R1365" s="107" t="str">
        <f>IF(AllData[[#This Row],[Nitrate (PPM)]]&gt;2, "Very high", IF(AllData[[#This Row],[Nitrate (PPM)]]&gt;1, "High", IF(AllData[[#This Row],[Nitrate (PPM)]]&gt;0.5, "Some evidence", IF(AllData[[#This Row],[Nitrate (PPM)]]&gt;=0, "No evidence"))))</f>
        <v>Very high</v>
      </c>
      <c r="S1365" s="4">
        <v>0.7</v>
      </c>
      <c r="T1365" s="7" t="str">
        <f>IF(AllData[[#This Row],[Phosphate (PPM)]]&gt;0.5, "Very high", IF(AllData[[#This Row],[Phosphate (PPM)]]&gt;0.1, "High", IF(AllData[[#This Row],[Phosphate (PPM)]]&gt;0.05, "Some evidence", IF(AllData[[#This Row],[Phosphate (PPM)]]&lt;=0.05, "No Evidence", ""))))</f>
        <v>Very high</v>
      </c>
      <c r="U1365">
        <v>0.1</v>
      </c>
    </row>
    <row r="1366" spans="1:22" x14ac:dyDescent="0.35">
      <c r="A1366" t="s">
        <v>1485</v>
      </c>
      <c r="B1366" s="143">
        <v>45462</v>
      </c>
      <c r="C1366" s="2" t="str" cm="1">
        <f t="array" ref="C13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6">
        <f>YEAR(AllData[[#This Row],[Date]])</f>
        <v>2024</v>
      </c>
      <c r="E1366" s="1">
        <v>0.52638888888888891</v>
      </c>
      <c r="F1366" t="str">
        <f>IF(AND(AllData[[#This Row],[Time]]&lt;0.5, AllData[[#This Row],[Time]]&gt;0.17)=TRUE, "Morning", IF(AND(AllData[[#This Row],[Time]]&lt;0.75, AllData[[#This Row],[Time]]&gt;=0.5)=TRUE, "Afternoon", IF(AND(AllData[[#This Row],[Time]]&lt;1, AllData[[#This Row],[Time]]&gt;=0.75)=TRUE, "Evening", "Night")))</f>
        <v>Afternoon</v>
      </c>
      <c r="G1366" t="str">
        <f>_xlfn.XLOOKUP(AllData[[#This Row],[Location Name]], Locations[Location Name],Locations[Group As])</f>
        <v>Swiffen Bank</v>
      </c>
      <c r="H1366" t="e" vm="1">
        <f>_xlfn.XLOOKUP(AllData[[#This Row],[Site Name]],LocationsKey[Site Name],LocationsKey[District])</f>
        <v>#VALUE!</v>
      </c>
      <c r="I1366" t="e" vm="2">
        <f>_xlfn.XLOOKUP(AllData[[#This Row],[Site Name]],LocationsKey[Site Name],LocationsKey[Town])</f>
        <v>#VALUE!</v>
      </c>
      <c r="J1366" t="str">
        <f>_xlfn.XLOOKUP(AllData[[#This Row],[Site Name]],LocationsKey[Site Name], LocationsKey[Waterway])</f>
        <v>Avon</v>
      </c>
      <c r="K1366" t="s">
        <v>286</v>
      </c>
      <c r="L1366">
        <v>52.206468000000001</v>
      </c>
      <c r="M1366">
        <v>-1.653894</v>
      </c>
      <c r="N1366" t="s">
        <v>31</v>
      </c>
      <c r="O1366">
        <v>685</v>
      </c>
      <c r="P1366">
        <v>17.7</v>
      </c>
      <c r="Q1366">
        <v>10</v>
      </c>
      <c r="R1366" s="107" t="str">
        <f>IF(AllData[[#This Row],[Nitrate (PPM)]]&gt;2, "Very high", IF(AllData[[#This Row],[Nitrate (PPM)]]&gt;1, "High", IF(AllData[[#This Row],[Nitrate (PPM)]]&gt;0.5, "Some evidence", IF(AllData[[#This Row],[Nitrate (PPM)]]&gt;=0, "No evidence"))))</f>
        <v>Very high</v>
      </c>
      <c r="S1366" s="4">
        <v>0.15</v>
      </c>
      <c r="T1366" s="7" t="str">
        <f>IF(AllData[[#This Row],[Phosphate (PPM)]]&gt;0.5, "Very high", IF(AllData[[#This Row],[Phosphate (PPM)]]&gt;0.1, "High", IF(AllData[[#This Row],[Phosphate (PPM)]]&gt;0.05, "Some evidence", IF(AllData[[#This Row],[Phosphate (PPM)]]&lt;=0.05, "No Evidence", ""))))</f>
        <v>High</v>
      </c>
      <c r="U1366">
        <v>0</v>
      </c>
      <c r="V1366" t="s">
        <v>1486</v>
      </c>
    </row>
    <row r="1367" spans="1:22" x14ac:dyDescent="0.35">
      <c r="A1367" t="s">
        <v>1487</v>
      </c>
      <c r="B1367" s="143">
        <v>45462</v>
      </c>
      <c r="C1367" s="2" t="str" cm="1">
        <f t="array" ref="C13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7">
        <f>YEAR(AllData[[#This Row],[Date]])</f>
        <v>2024</v>
      </c>
      <c r="E1367" s="1">
        <v>0.55000000000000004</v>
      </c>
      <c r="F1367" t="str">
        <f>IF(AND(AllData[[#This Row],[Time]]&lt;0.5, AllData[[#This Row],[Time]]&gt;0.17)=TRUE, "Morning", IF(AND(AllData[[#This Row],[Time]]&lt;0.75, AllData[[#This Row],[Time]]&gt;=0.5)=TRUE, "Afternoon", IF(AND(AllData[[#This Row],[Time]]&lt;1, AllData[[#This Row],[Time]]&gt;=0.75)=TRUE, "Evening", "Night")))</f>
        <v>Afternoon</v>
      </c>
      <c r="G1367" t="str">
        <f>_xlfn.XLOOKUP(AllData[[#This Row],[Location Name]], Locations[Location Name],Locations[Group As])</f>
        <v>Alveston Weir</v>
      </c>
      <c r="H1367" t="e" vm="1">
        <f>_xlfn.XLOOKUP(AllData[[#This Row],[Site Name]],LocationsKey[Site Name],LocationsKey[District])</f>
        <v>#VALUE!</v>
      </c>
      <c r="I1367" t="e" vm="2">
        <f>_xlfn.XLOOKUP(AllData[[#This Row],[Site Name]],LocationsKey[Site Name],LocationsKey[Town])</f>
        <v>#VALUE!</v>
      </c>
      <c r="J1367" t="str">
        <f>_xlfn.XLOOKUP(AllData[[#This Row],[Site Name]],LocationsKey[Site Name], LocationsKey[Waterway])</f>
        <v>Avon</v>
      </c>
      <c r="K1367" t="s">
        <v>288</v>
      </c>
      <c r="L1367">
        <v>52.212288999999998</v>
      </c>
      <c r="M1367">
        <v>-1.660452</v>
      </c>
      <c r="N1367" t="s">
        <v>31</v>
      </c>
      <c r="O1367">
        <v>777</v>
      </c>
      <c r="P1367">
        <v>19.100000000000001</v>
      </c>
      <c r="Q1367">
        <v>5</v>
      </c>
      <c r="R1367" s="107" t="str">
        <f>IF(AllData[[#This Row],[Nitrate (PPM)]]&gt;2, "Very high", IF(AllData[[#This Row],[Nitrate (PPM)]]&gt;1, "High", IF(AllData[[#This Row],[Nitrate (PPM)]]&gt;0.5, "Some evidence", IF(AllData[[#This Row],[Nitrate (PPM)]]&gt;=0, "No evidence"))))</f>
        <v>Very high</v>
      </c>
      <c r="S1367" s="4">
        <v>0.41</v>
      </c>
      <c r="T1367" s="7" t="str">
        <f>IF(AllData[[#This Row],[Phosphate (PPM)]]&gt;0.5, "Very high", IF(AllData[[#This Row],[Phosphate (PPM)]]&gt;0.1, "High", IF(AllData[[#This Row],[Phosphate (PPM)]]&gt;0.05, "Some evidence", IF(AllData[[#This Row],[Phosphate (PPM)]]&lt;=0.05, "No Evidence", ""))))</f>
        <v>High</v>
      </c>
      <c r="U1367">
        <v>0</v>
      </c>
    </row>
    <row r="1368" spans="1:22" x14ac:dyDescent="0.35">
      <c r="A1368" t="s">
        <v>1483</v>
      </c>
      <c r="B1368" s="143">
        <v>45461</v>
      </c>
      <c r="C1368" s="2" t="str" cm="1">
        <f t="array" ref="C13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8">
        <f>YEAR(AllData[[#This Row],[Date]])</f>
        <v>2024</v>
      </c>
      <c r="E1368" s="1">
        <v>0.61736111111111114</v>
      </c>
      <c r="F1368" t="str">
        <f>IF(AND(AllData[[#This Row],[Time]]&lt;0.5, AllData[[#This Row],[Time]]&gt;0.17)=TRUE, "Morning", IF(AND(AllData[[#This Row],[Time]]&lt;0.75, AllData[[#This Row],[Time]]&gt;=0.5)=TRUE, "Afternoon", IF(AND(AllData[[#This Row],[Time]]&lt;1, AllData[[#This Row],[Time]]&gt;=0.75)=TRUE, "Evening", "Night")))</f>
        <v>Afternoon</v>
      </c>
      <c r="G1368" t="str">
        <f>_xlfn.XLOOKUP(AllData[[#This Row],[Location Name]], Locations[Location Name],Locations[Group As])</f>
        <v>Abbey Mill</v>
      </c>
      <c r="H1368" t="e" vm="4">
        <f>_xlfn.XLOOKUP(AllData[[#This Row],[Site Name]],LocationsKey[Site Name],LocationsKey[District])</f>
        <v>#VALUE!</v>
      </c>
      <c r="I1368" t="e" vm="4">
        <f>_xlfn.XLOOKUP(AllData[[#This Row],[Site Name]],LocationsKey[Site Name],LocationsKey[Town])</f>
        <v>#VALUE!</v>
      </c>
      <c r="J1368" t="str">
        <f>_xlfn.XLOOKUP(AllData[[#This Row],[Site Name]],LocationsKey[Site Name], LocationsKey[Waterway])</f>
        <v>Avon</v>
      </c>
      <c r="K1368" t="s">
        <v>27</v>
      </c>
      <c r="L1368">
        <v>51.991249000000003</v>
      </c>
      <c r="M1368">
        <v>-2.1626020000000001</v>
      </c>
      <c r="N1368" t="s">
        <v>25</v>
      </c>
      <c r="O1368">
        <v>1010</v>
      </c>
      <c r="P1368">
        <v>17.100000000000001</v>
      </c>
      <c r="Q1368">
        <v>10</v>
      </c>
      <c r="R1368" s="107" t="str">
        <f>IF(AllData[[#This Row],[Nitrate (PPM)]]&gt;2, "Very high", IF(AllData[[#This Row],[Nitrate (PPM)]]&gt;1, "High", IF(AllData[[#This Row],[Nitrate (PPM)]]&gt;0.5, "Some evidence", IF(AllData[[#This Row],[Nitrate (PPM)]]&gt;=0, "No evidence"))))</f>
        <v>Very high</v>
      </c>
      <c r="S1368" s="4">
        <v>0.65</v>
      </c>
      <c r="T1368" s="7" t="str">
        <f>IF(AllData[[#This Row],[Phosphate (PPM)]]&gt;0.5, "Very high", IF(AllData[[#This Row],[Phosphate (PPM)]]&gt;0.1, "High", IF(AllData[[#This Row],[Phosphate (PPM)]]&gt;0.05, "Some evidence", IF(AllData[[#This Row],[Phosphate (PPM)]]&lt;=0.05, "No Evidence", ""))))</f>
        <v>Very high</v>
      </c>
      <c r="U1368">
        <v>0.5</v>
      </c>
    </row>
    <row r="1369" spans="1:22" x14ac:dyDescent="0.35">
      <c r="A1369" t="s">
        <v>1482</v>
      </c>
      <c r="B1369" s="143">
        <v>45461</v>
      </c>
      <c r="C1369" s="2" t="str" cm="1">
        <f t="array" ref="C13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69">
        <f>YEAR(AllData[[#This Row],[Date]])</f>
        <v>2024</v>
      </c>
      <c r="E1369" s="1">
        <v>0.46736111111111112</v>
      </c>
      <c r="F1369" t="str">
        <f>IF(AND(AllData[[#This Row],[Time]]&lt;0.5, AllData[[#This Row],[Time]]&gt;0.17)=TRUE, "Morning", IF(AND(AllData[[#This Row],[Time]]&lt;0.75, AllData[[#This Row],[Time]]&gt;=0.5)=TRUE, "Afternoon", IF(AND(AllData[[#This Row],[Time]]&lt;1, AllData[[#This Row],[Time]]&gt;=0.75)=TRUE, "Evening", "Night")))</f>
        <v>Morning</v>
      </c>
      <c r="G1369" t="str">
        <f>_xlfn.XLOOKUP(AllData[[#This Row],[Location Name]], Locations[Location Name],Locations[Group As])</f>
        <v>Carrant M5 Bridge</v>
      </c>
      <c r="H1369" t="e" vm="4">
        <f>_xlfn.XLOOKUP(AllData[[#This Row],[Site Name]],LocationsKey[Site Name],LocationsKey[District])</f>
        <v>#VALUE!</v>
      </c>
      <c r="I1369" t="e" vm="4">
        <f>_xlfn.XLOOKUP(AllData[[#This Row],[Site Name]],LocationsKey[Site Name],LocationsKey[Town])</f>
        <v>#VALUE!</v>
      </c>
      <c r="J1369" t="str">
        <f>_xlfn.XLOOKUP(AllData[[#This Row],[Site Name]],LocationsKey[Site Name], LocationsKey[Waterway])</f>
        <v>Carrant</v>
      </c>
      <c r="K1369" t="s">
        <v>1066</v>
      </c>
      <c r="L1369">
        <v>52.011493999999999</v>
      </c>
      <c r="M1369">
        <v>-2.1196660000000001</v>
      </c>
      <c r="N1369" t="s">
        <v>25</v>
      </c>
      <c r="O1369">
        <v>742</v>
      </c>
      <c r="P1369">
        <v>16.100000000000001</v>
      </c>
      <c r="Q1369">
        <v>5</v>
      </c>
      <c r="R1369" s="107" t="str">
        <f>IF(AllData[[#This Row],[Nitrate (PPM)]]&gt;2, "Very high", IF(AllData[[#This Row],[Nitrate (PPM)]]&gt;1, "High", IF(AllData[[#This Row],[Nitrate (PPM)]]&gt;0.5, "Some evidence", IF(AllData[[#This Row],[Nitrate (PPM)]]&gt;=0, "No evidence"))))</f>
        <v>Very high</v>
      </c>
      <c r="S1369" s="4">
        <v>0.48</v>
      </c>
      <c r="T1369" s="7" t="str">
        <f>IF(AllData[[#This Row],[Phosphate (PPM)]]&gt;0.5, "Very high", IF(AllData[[#This Row],[Phosphate (PPM)]]&gt;0.1, "High", IF(AllData[[#This Row],[Phosphate (PPM)]]&gt;0.05, "Some evidence", IF(AllData[[#This Row],[Phosphate (PPM)]]&lt;=0.05, "No Evidence", ""))))</f>
        <v>High</v>
      </c>
      <c r="U1369">
        <v>0</v>
      </c>
    </row>
    <row r="1370" spans="1:22" x14ac:dyDescent="0.35">
      <c r="A1370" t="s">
        <v>1484</v>
      </c>
      <c r="B1370" s="143">
        <v>45461</v>
      </c>
      <c r="C1370" s="2" t="str" cm="1">
        <f t="array" ref="C13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0">
        <f>YEAR(AllData[[#This Row],[Date]])</f>
        <v>2024</v>
      </c>
      <c r="E1370" s="1">
        <v>0.58333333333333337</v>
      </c>
      <c r="F1370" t="str">
        <f>IF(AND(AllData[[#This Row],[Time]]&lt;0.5, AllData[[#This Row],[Time]]&gt;0.17)=TRUE, "Morning", IF(AND(AllData[[#This Row],[Time]]&lt;0.75, AllData[[#This Row],[Time]]&gt;=0.5)=TRUE, "Afternoon", IF(AND(AllData[[#This Row],[Time]]&lt;1, AllData[[#This Row],[Time]]&gt;=0.75)=TRUE, "Evening", "Night")))</f>
        <v>Afternoon</v>
      </c>
      <c r="G1370" t="str">
        <f>_xlfn.XLOOKUP(AllData[[#This Row],[Location Name]], Locations[Location Name],Locations[Group As])</f>
        <v>Clifford Chambers Mill Bridge</v>
      </c>
      <c r="H1370" t="e" vm="1">
        <f>_xlfn.XLOOKUP(AllData[[#This Row],[Site Name]],LocationsKey[Site Name],LocationsKey[District])</f>
        <v>#VALUE!</v>
      </c>
      <c r="I1370" t="e" vm="22">
        <f>_xlfn.XLOOKUP(AllData[[#This Row],[Site Name]],LocationsKey[Site Name],LocationsKey[Town])</f>
        <v>#VALUE!</v>
      </c>
      <c r="J1370" t="str">
        <f>_xlfn.XLOOKUP(AllData[[#This Row],[Site Name]],LocationsKey[Site Name], LocationsKey[Waterway])</f>
        <v>Stour</v>
      </c>
      <c r="K1370" t="s">
        <v>266</v>
      </c>
      <c r="L1370">
        <v>52.166370000000001</v>
      </c>
      <c r="M1370">
        <v>-1.708032</v>
      </c>
      <c r="N1370" t="s">
        <v>68</v>
      </c>
      <c r="O1370">
        <v>645</v>
      </c>
      <c r="P1370">
        <v>18.2</v>
      </c>
      <c r="Q1370">
        <v>5</v>
      </c>
      <c r="R1370" s="107" t="str">
        <f>IF(AllData[[#This Row],[Nitrate (PPM)]]&gt;2, "Very high", IF(AllData[[#This Row],[Nitrate (PPM)]]&gt;1, "High", IF(AllData[[#This Row],[Nitrate (PPM)]]&gt;0.5, "Some evidence", IF(AllData[[#This Row],[Nitrate (PPM)]]&gt;=0, "No evidence"))))</f>
        <v>Very high</v>
      </c>
      <c r="S1370">
        <v>0.21</v>
      </c>
      <c r="T1370" s="7" t="str">
        <f>IF(AllData[[#This Row],[Phosphate (PPM)]]&gt;0.5, "Very high", IF(AllData[[#This Row],[Phosphate (PPM)]]&gt;0.1, "High", IF(AllData[[#This Row],[Phosphate (PPM)]]&gt;0.05, "Some evidence", IF(AllData[[#This Row],[Phosphate (PPM)]]&lt;=0.05, "No Evidence", ""))))</f>
        <v>High</v>
      </c>
      <c r="U1370">
        <v>0.7</v>
      </c>
    </row>
    <row r="1371" spans="1:22" x14ac:dyDescent="0.35">
      <c r="A1371" t="s">
        <v>1481</v>
      </c>
      <c r="B1371" s="143">
        <v>45461</v>
      </c>
      <c r="C1371" s="2" t="str" cm="1">
        <f t="array" ref="C13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1">
        <f>YEAR(AllData[[#This Row],[Date]])</f>
        <v>2024</v>
      </c>
      <c r="E1371" s="1">
        <v>0.4513888888888889</v>
      </c>
      <c r="F1371" t="str">
        <f>IF(AND(AllData[[#This Row],[Time]]&lt;0.5, AllData[[#This Row],[Time]]&gt;0.17)=TRUE, "Morning", IF(AND(AllData[[#This Row],[Time]]&lt;0.75, AllData[[#This Row],[Time]]&gt;=0.5)=TRUE, "Afternoon", IF(AND(AllData[[#This Row],[Time]]&lt;1, AllData[[#This Row],[Time]]&gt;=0.75)=TRUE, "Evening", "Night")))</f>
        <v>Morning</v>
      </c>
      <c r="G1371" t="str">
        <f>_xlfn.XLOOKUP(AllData[[#This Row],[Location Name]], Locations[Location Name],Locations[Group As])</f>
        <v>Carrant Mitton Path</v>
      </c>
      <c r="H1371" t="e" vm="4">
        <f>_xlfn.XLOOKUP(AllData[[#This Row],[Site Name]],LocationsKey[Site Name],LocationsKey[District])</f>
        <v>#VALUE!</v>
      </c>
      <c r="I1371" t="e" vm="4">
        <f>_xlfn.XLOOKUP(AllData[[#This Row],[Site Name]],LocationsKey[Site Name],LocationsKey[Town])</f>
        <v>#VALUE!</v>
      </c>
      <c r="J1371" t="str">
        <f>_xlfn.XLOOKUP(AllData[[#This Row],[Site Name]],LocationsKey[Site Name], LocationsKey[Waterway])</f>
        <v>Carrant</v>
      </c>
      <c r="K1371" t="s">
        <v>1064</v>
      </c>
      <c r="L1371">
        <v>51.999799000000003</v>
      </c>
      <c r="M1371">
        <v>-2.1410619999999998</v>
      </c>
      <c r="N1371" t="s">
        <v>25</v>
      </c>
      <c r="O1371">
        <v>688</v>
      </c>
      <c r="P1371">
        <v>16</v>
      </c>
      <c r="Q1371">
        <v>4</v>
      </c>
      <c r="R1371" s="107" t="str">
        <f>IF(AllData[[#This Row],[Nitrate (PPM)]]&gt;2, "Very high", IF(AllData[[#This Row],[Nitrate (PPM)]]&gt;1, "High", IF(AllData[[#This Row],[Nitrate (PPM)]]&gt;0.5, "Some evidence", IF(AllData[[#This Row],[Nitrate (PPM)]]&gt;=0, "No evidence"))))</f>
        <v>Very high</v>
      </c>
      <c r="S1371" s="4">
        <v>0.56000000000000005</v>
      </c>
      <c r="T1371" s="7" t="str">
        <f>IF(AllData[[#This Row],[Phosphate (PPM)]]&gt;0.5, "Very high", IF(AllData[[#This Row],[Phosphate (PPM)]]&gt;0.1, "High", IF(AllData[[#This Row],[Phosphate (PPM)]]&gt;0.05, "Some evidence", IF(AllData[[#This Row],[Phosphate (PPM)]]&lt;=0.05, "No Evidence", ""))))</f>
        <v>Very high</v>
      </c>
      <c r="U1371">
        <v>0</v>
      </c>
    </row>
    <row r="1372" spans="1:22" x14ac:dyDescent="0.35">
      <c r="A1372" t="s">
        <v>1480</v>
      </c>
      <c r="B1372" s="143">
        <v>45460</v>
      </c>
      <c r="C1372" s="2" t="str" cm="1">
        <f t="array" ref="C13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2">
        <f>YEAR(AllData[[#This Row],[Date]])</f>
        <v>2024</v>
      </c>
      <c r="E1372" s="1">
        <v>0.42222222222222222</v>
      </c>
      <c r="F1372" t="str">
        <f>IF(AND(AllData[[#This Row],[Time]]&lt;0.5, AllData[[#This Row],[Time]]&gt;0.17)=TRUE, "Morning", IF(AND(AllData[[#This Row],[Time]]&lt;0.75, AllData[[#This Row],[Time]]&gt;=0.5)=TRUE, "Afternoon", IF(AND(AllData[[#This Row],[Time]]&lt;1, AllData[[#This Row],[Time]]&gt;=0.75)=TRUE, "Evening", "Night")))</f>
        <v>Morning</v>
      </c>
      <c r="G1372" t="str">
        <f>_xlfn.XLOOKUP(AllData[[#This Row],[Location Name]], Locations[Location Name],Locations[Group As])</f>
        <v>Stour Stretton-on-Fosse Sewage Works</v>
      </c>
      <c r="H1372" t="e" vm="1">
        <f>_xlfn.XLOOKUP(AllData[[#This Row],[Site Name]],LocationsKey[Site Name],LocationsKey[District])</f>
        <v>#VALUE!</v>
      </c>
      <c r="I1372" t="e" vm="30">
        <f>_xlfn.XLOOKUP(AllData[[#This Row],[Site Name]],LocationsKey[Site Name],LocationsKey[Town])</f>
        <v>#VALUE!</v>
      </c>
      <c r="J1372" t="str">
        <f>_xlfn.XLOOKUP(AllData[[#This Row],[Site Name]],LocationsKey[Site Name], LocationsKey[Waterway])</f>
        <v>Stour</v>
      </c>
      <c r="K1372" t="s">
        <v>337</v>
      </c>
      <c r="L1372">
        <v>52.045628999999998</v>
      </c>
      <c r="M1372">
        <v>-1.6719729999999999</v>
      </c>
      <c r="N1372" t="s">
        <v>31</v>
      </c>
      <c r="O1372">
        <v>818</v>
      </c>
      <c r="P1372">
        <v>14.4</v>
      </c>
      <c r="Q1372">
        <v>2</v>
      </c>
      <c r="R1372" s="107" t="str">
        <f>IF(AllData[[#This Row],[Nitrate (PPM)]]&gt;2, "Very high", IF(AllData[[#This Row],[Nitrate (PPM)]]&gt;1, "High", IF(AllData[[#This Row],[Nitrate (PPM)]]&gt;0.5, "Some evidence", IF(AllData[[#This Row],[Nitrate (PPM)]]&gt;=0, "No evidence"))))</f>
        <v>High</v>
      </c>
      <c r="S1372" s="4">
        <v>2.5</v>
      </c>
      <c r="T1372" s="7" t="str">
        <f>IF(AllData[[#This Row],[Phosphate (PPM)]]&gt;0.5, "Very high", IF(AllData[[#This Row],[Phosphate (PPM)]]&gt;0.1, "High", IF(AllData[[#This Row],[Phosphate (PPM)]]&gt;0.05, "Some evidence", IF(AllData[[#This Row],[Phosphate (PPM)]]&lt;=0.05, "No Evidence", ""))))</f>
        <v>Very high</v>
      </c>
      <c r="U1372">
        <v>0.3</v>
      </c>
      <c r="V1372" t="s">
        <v>1391</v>
      </c>
    </row>
    <row r="1373" spans="1:22" x14ac:dyDescent="0.35">
      <c r="A1373" t="s">
        <v>1478</v>
      </c>
      <c r="B1373" s="143">
        <v>45460</v>
      </c>
      <c r="C1373" s="2" t="str" cm="1">
        <f t="array" ref="C13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3">
        <f>YEAR(AllData[[#This Row],[Date]])</f>
        <v>2024</v>
      </c>
      <c r="E1373" s="1">
        <v>0.41458333333333336</v>
      </c>
      <c r="F1373" t="str">
        <f>IF(AND(AllData[[#This Row],[Time]]&lt;0.5, AllData[[#This Row],[Time]]&gt;0.17)=TRUE, "Morning", IF(AND(AllData[[#This Row],[Time]]&lt;0.75, AllData[[#This Row],[Time]]&gt;=0.5)=TRUE, "Afternoon", IF(AND(AllData[[#This Row],[Time]]&lt;1, AllData[[#This Row],[Time]]&gt;=0.75)=TRUE, "Evening", "Night")))</f>
        <v>Morning</v>
      </c>
      <c r="G1373" t="str">
        <f>_xlfn.XLOOKUP(AllData[[#This Row],[Location Name]], Locations[Location Name],Locations[Group As])</f>
        <v>Stour Stretton-on-Fosse Village</v>
      </c>
      <c r="H1373" t="e" vm="1">
        <f>_xlfn.XLOOKUP(AllData[[#This Row],[Site Name]],LocationsKey[Site Name],LocationsKey[District])</f>
        <v>#VALUE!</v>
      </c>
      <c r="I1373" t="e" vm="30">
        <f>_xlfn.XLOOKUP(AllData[[#This Row],[Site Name]],LocationsKey[Site Name],LocationsKey[Town])</f>
        <v>#VALUE!</v>
      </c>
      <c r="J1373" t="str">
        <f>_xlfn.XLOOKUP(AllData[[#This Row],[Site Name]],LocationsKey[Site Name], LocationsKey[Waterway])</f>
        <v>Stour</v>
      </c>
      <c r="K1373" t="s">
        <v>548</v>
      </c>
      <c r="L1373">
        <v>52.046531999999999</v>
      </c>
      <c r="M1373">
        <v>-1.6733690000000001</v>
      </c>
      <c r="N1373" t="s">
        <v>68</v>
      </c>
      <c r="O1373">
        <v>690</v>
      </c>
      <c r="P1373">
        <v>12.6</v>
      </c>
      <c r="Q1373">
        <v>0.5</v>
      </c>
      <c r="R1373" s="107" t="str">
        <f>IF(AllData[[#This Row],[Nitrate (PPM)]]&gt;2, "Very high", IF(AllData[[#This Row],[Nitrate (PPM)]]&gt;1, "High", IF(AllData[[#This Row],[Nitrate (PPM)]]&gt;0.5, "Some evidence", IF(AllData[[#This Row],[Nitrate (PPM)]]&gt;=0, "No evidence"))))</f>
        <v>No evidence</v>
      </c>
      <c r="S1373" s="4">
        <v>2.5</v>
      </c>
      <c r="T1373" s="7" t="str">
        <f>IF(AllData[[#This Row],[Phosphate (PPM)]]&gt;0.5, "Very high", IF(AllData[[#This Row],[Phosphate (PPM)]]&gt;0.1, "High", IF(AllData[[#This Row],[Phosphate (PPM)]]&gt;0.05, "Some evidence", IF(AllData[[#This Row],[Phosphate (PPM)]]&lt;=0.05, "No Evidence", ""))))</f>
        <v>Very high</v>
      </c>
      <c r="U1373">
        <v>0.2</v>
      </c>
      <c r="V1373" t="s">
        <v>1479</v>
      </c>
    </row>
    <row r="1374" spans="1:22" x14ac:dyDescent="0.35">
      <c r="A1374" t="s">
        <v>1468</v>
      </c>
      <c r="B1374" s="143">
        <v>45459</v>
      </c>
      <c r="C1374" s="2" t="str" cm="1">
        <f t="array" ref="C13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4">
        <f>YEAR(AllData[[#This Row],[Date]])</f>
        <v>2024</v>
      </c>
      <c r="E1374" s="1">
        <v>0.37361111111111112</v>
      </c>
      <c r="F1374" t="str">
        <f>IF(AND(AllData[[#This Row],[Time]]&lt;0.5, AllData[[#This Row],[Time]]&gt;0.17)=TRUE, "Morning", IF(AND(AllData[[#This Row],[Time]]&lt;0.75, AllData[[#This Row],[Time]]&gt;=0.5)=TRUE, "Afternoon", IF(AND(AllData[[#This Row],[Time]]&lt;1, AllData[[#This Row],[Time]]&gt;=0.75)=TRUE, "Evening", "Night")))</f>
        <v>Morning</v>
      </c>
      <c r="G1374" t="str">
        <f>_xlfn.XLOOKUP(AllData[[#This Row],[Location Name]], Locations[Location Name],Locations[Group As])</f>
        <v>Lower Lode</v>
      </c>
      <c r="H1374" t="e" vm="4">
        <f>_xlfn.XLOOKUP(AllData[[#This Row],[Site Name]],LocationsKey[Site Name],LocationsKey[District])</f>
        <v>#VALUE!</v>
      </c>
      <c r="I1374" t="e" vm="4">
        <f>_xlfn.XLOOKUP(AllData[[#This Row],[Site Name]],LocationsKey[Site Name],LocationsKey[Town])</f>
        <v>#VALUE!</v>
      </c>
      <c r="J1374" t="str">
        <f>_xlfn.XLOOKUP(AllData[[#This Row],[Site Name]],LocationsKey[Site Name], LocationsKey[Waterway])</f>
        <v>Avon</v>
      </c>
      <c r="K1374" t="s">
        <v>595</v>
      </c>
      <c r="L1374">
        <v>51.985056999999998</v>
      </c>
      <c r="M1374">
        <v>-2.174277</v>
      </c>
      <c r="N1374" t="s">
        <v>31</v>
      </c>
      <c r="O1374">
        <v>8400</v>
      </c>
      <c r="P1374">
        <v>16.7</v>
      </c>
      <c r="Q1374">
        <v>10</v>
      </c>
      <c r="R1374" s="107" t="str">
        <f>IF(AllData[[#This Row],[Nitrate (PPM)]]&gt;2, "Very high", IF(AllData[[#This Row],[Nitrate (PPM)]]&gt;1, "High", IF(AllData[[#This Row],[Nitrate (PPM)]]&gt;0.5, "Some evidence", IF(AllData[[#This Row],[Nitrate (PPM)]]&gt;=0, "No evidence"))))</f>
        <v>Very high</v>
      </c>
      <c r="S1374" s="4">
        <v>0.82</v>
      </c>
      <c r="T1374" s="7" t="str">
        <f>IF(AllData[[#This Row],[Phosphate (PPM)]]&gt;0.5, "Very high", IF(AllData[[#This Row],[Phosphate (PPM)]]&gt;0.1, "High", IF(AllData[[#This Row],[Phosphate (PPM)]]&gt;0.05, "Some evidence", IF(AllData[[#This Row],[Phosphate (PPM)]]&lt;=0.05, "No Evidence", ""))))</f>
        <v>Very high</v>
      </c>
      <c r="U1374">
        <v>1</v>
      </c>
    </row>
    <row r="1375" spans="1:22" x14ac:dyDescent="0.35">
      <c r="A1375" t="s">
        <v>1476</v>
      </c>
      <c r="B1375" s="143">
        <v>45459</v>
      </c>
      <c r="C1375" s="2" t="str" cm="1">
        <f t="array" ref="C13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5">
        <f>YEAR(AllData[[#This Row],[Date]])</f>
        <v>2024</v>
      </c>
      <c r="E1375" s="1"/>
      <c r="F1375" t="str">
        <f>IF(AND(AllData[[#This Row],[Time]]&lt;0.5, AllData[[#This Row],[Time]]&gt;0.17)=TRUE, "Morning", IF(AND(AllData[[#This Row],[Time]]&lt;0.75, AllData[[#This Row],[Time]]&gt;=0.5)=TRUE, "Afternoon", IF(AND(AllData[[#This Row],[Time]]&lt;1, AllData[[#This Row],[Time]]&gt;=0.75)=TRUE, "Evening", "Night")))</f>
        <v>Night</v>
      </c>
      <c r="G1375" t="str">
        <f>_xlfn.XLOOKUP(AllData[[#This Row],[Location Name]], Locations[Location Name],Locations[Group As])</f>
        <v>Site 3  :  Severn Trent Water processing plant outflow</v>
      </c>
      <c r="H1375" t="e" vm="1">
        <f>_xlfn.XLOOKUP(AllData[[#This Row],[Site Name]],LocationsKey[Site Name],LocationsKey[District])</f>
        <v>#VALUE!</v>
      </c>
      <c r="I1375" t="e" vm="14">
        <f>_xlfn.XLOOKUP(AllData[[#This Row],[Site Name]],LocationsKey[Site Name],LocationsKey[Town])</f>
        <v>#VALUE!</v>
      </c>
      <c r="J1375" t="str">
        <f>_xlfn.XLOOKUP(AllData[[#This Row],[Site Name]],LocationsKey[Site Name], LocationsKey[Waterway])</f>
        <v>Fosseway Brook</v>
      </c>
      <c r="K1375" t="s">
        <v>676</v>
      </c>
      <c r="L1375">
        <v>52.094423999999997</v>
      </c>
      <c r="M1375">
        <v>-1.6759090000000001</v>
      </c>
      <c r="N1375" t="s">
        <v>31</v>
      </c>
      <c r="O1375">
        <v>935</v>
      </c>
      <c r="P1375">
        <v>18</v>
      </c>
      <c r="Q1375">
        <v>10</v>
      </c>
      <c r="R1375" s="107" t="str">
        <f>IF(AllData[[#This Row],[Nitrate (PPM)]]&gt;2, "Very high", IF(AllData[[#This Row],[Nitrate (PPM)]]&gt;1, "High", IF(AllData[[#This Row],[Nitrate (PPM)]]&gt;0.5, "Some evidence", IF(AllData[[#This Row],[Nitrate (PPM)]]&gt;=0, "No evidence"))))</f>
        <v>Very high</v>
      </c>
      <c r="S1375" s="4">
        <v>2.5</v>
      </c>
      <c r="T1375" s="7" t="str">
        <f>IF(AllData[[#This Row],[Phosphate (PPM)]]&gt;0.5, "Very high", IF(AllData[[#This Row],[Phosphate (PPM)]]&gt;0.1, "High", IF(AllData[[#This Row],[Phosphate (PPM)]]&gt;0.05, "Some evidence", IF(AllData[[#This Row],[Phosphate (PPM)]]&lt;=0.05, "No Evidence", ""))))</f>
        <v>Very high</v>
      </c>
    </row>
    <row r="1376" spans="1:22" x14ac:dyDescent="0.35">
      <c r="A1376" t="s">
        <v>1475</v>
      </c>
      <c r="B1376" s="143">
        <v>45459</v>
      </c>
      <c r="C1376" s="2" t="str" cm="1">
        <f t="array" ref="C13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6">
        <f>YEAR(AllData[[#This Row],[Date]])</f>
        <v>2024</v>
      </c>
      <c r="F1376" t="str">
        <f>IF(AND(AllData[[#This Row],[Time]]&lt;0.5, AllData[[#This Row],[Time]]&gt;0.17)=TRUE, "Morning", IF(AND(AllData[[#This Row],[Time]]&lt;0.75, AllData[[#This Row],[Time]]&gt;=0.5)=TRUE, "Afternoon", IF(AND(AllData[[#This Row],[Time]]&lt;1, AllData[[#This Row],[Time]]&gt;=0.75)=TRUE, "Evening", "Night")))</f>
        <v>Night</v>
      </c>
      <c r="G1376" t="str">
        <f>_xlfn.XLOOKUP(AllData[[#This Row],[Location Name]], Locations[Location Name],Locations[Group As])</f>
        <v>Site 3  :  Severn Trent Water processing plant outflow</v>
      </c>
      <c r="H1376" t="e" vm="1">
        <f>_xlfn.XLOOKUP(AllData[[#This Row],[Site Name]],LocationsKey[Site Name],LocationsKey[District])</f>
        <v>#VALUE!</v>
      </c>
      <c r="I1376" t="e" vm="14">
        <f>_xlfn.XLOOKUP(AllData[[#This Row],[Site Name]],LocationsKey[Site Name],LocationsKey[Town])</f>
        <v>#VALUE!</v>
      </c>
      <c r="J1376" t="str">
        <f>_xlfn.XLOOKUP(AllData[[#This Row],[Site Name]],LocationsKey[Site Name], LocationsKey[Waterway])</f>
        <v>Fosseway Brook</v>
      </c>
      <c r="K1376" t="s">
        <v>673</v>
      </c>
      <c r="L1376">
        <v>52.094423999999997</v>
      </c>
      <c r="M1376">
        <v>-1.6759090000000001</v>
      </c>
      <c r="N1376" t="s">
        <v>31</v>
      </c>
      <c r="O1376">
        <v>935</v>
      </c>
      <c r="P1376">
        <v>18</v>
      </c>
      <c r="Q1376">
        <v>10</v>
      </c>
      <c r="R1376" s="107" t="str">
        <f>IF(AllData[[#This Row],[Nitrate (PPM)]]&gt;2, "Very high", IF(AllData[[#This Row],[Nitrate (PPM)]]&gt;1, "High", IF(AllData[[#This Row],[Nitrate (PPM)]]&gt;0.5, "Some evidence", IF(AllData[[#This Row],[Nitrate (PPM)]]&gt;=0, "No evidence"))))</f>
        <v>Very high</v>
      </c>
      <c r="S1376" s="4">
        <v>2.5</v>
      </c>
      <c r="T1376" s="7" t="str">
        <f>IF(AllData[[#This Row],[Phosphate (PPM)]]&gt;0.5, "Very high", IF(AllData[[#This Row],[Phosphate (PPM)]]&gt;0.1, "High", IF(AllData[[#This Row],[Phosphate (PPM)]]&gt;0.05, "Some evidence", IF(AllData[[#This Row],[Phosphate (PPM)]]&lt;=0.05, "No Evidence", ""))))</f>
        <v>Very high</v>
      </c>
      <c r="U1376">
        <v>0</v>
      </c>
      <c r="V1376" t="s">
        <v>840</v>
      </c>
    </row>
    <row r="1377" spans="1:22" x14ac:dyDescent="0.35">
      <c r="A1377" t="s">
        <v>1470</v>
      </c>
      <c r="B1377" s="143">
        <v>45459</v>
      </c>
      <c r="C1377" s="2" t="str" cm="1">
        <f t="array" ref="C13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7">
        <f>YEAR(AllData[[#This Row],[Date]])</f>
        <v>2024</v>
      </c>
      <c r="E1377" s="1">
        <v>0.77986111111111112</v>
      </c>
      <c r="F1377" t="str">
        <f>IF(AND(AllData[[#This Row],[Time]]&lt;0.5, AllData[[#This Row],[Time]]&gt;0.17)=TRUE, "Morning", IF(AND(AllData[[#This Row],[Time]]&lt;0.75, AllData[[#This Row],[Time]]&gt;=0.5)=TRUE, "Afternoon", IF(AND(AllData[[#This Row],[Time]]&lt;1, AllData[[#This Row],[Time]]&gt;=0.75)=TRUE, "Evening", "Night")))</f>
        <v>Evening</v>
      </c>
      <c r="G1377" t="str">
        <f>_xlfn.XLOOKUP(AllData[[#This Row],[Location Name]], Locations[Location Name],Locations[Group As])</f>
        <v>Black Bear</v>
      </c>
      <c r="H1377" t="e" vm="4">
        <f>_xlfn.XLOOKUP(AllData[[#This Row],[Site Name]],LocationsKey[Site Name],LocationsKey[District])</f>
        <v>#VALUE!</v>
      </c>
      <c r="I1377" t="e" vm="4">
        <f>_xlfn.XLOOKUP(AllData[[#This Row],[Site Name]],LocationsKey[Site Name],LocationsKey[Town])</f>
        <v>#VALUE!</v>
      </c>
      <c r="J1377" t="str">
        <f>_xlfn.XLOOKUP(AllData[[#This Row],[Site Name]],LocationsKey[Site Name], LocationsKey[Waterway])</f>
        <v>Avon</v>
      </c>
      <c r="K1377" t="s">
        <v>1175</v>
      </c>
      <c r="L1377">
        <v>51.997414999999997</v>
      </c>
      <c r="M1377">
        <v>-2.15632</v>
      </c>
      <c r="N1377" t="s">
        <v>25</v>
      </c>
      <c r="O1377">
        <v>950</v>
      </c>
      <c r="P1377">
        <v>17.600000000000001</v>
      </c>
      <c r="Q1377">
        <v>9</v>
      </c>
      <c r="R1377" s="107" t="str">
        <f>IF(AllData[[#This Row],[Nitrate (PPM)]]&gt;2, "Very high", IF(AllData[[#This Row],[Nitrate (PPM)]]&gt;1, "High", IF(AllData[[#This Row],[Nitrate (PPM)]]&gt;0.5, "Some evidence", IF(AllData[[#This Row],[Nitrate (PPM)]]&gt;=0, "No evidence"))))</f>
        <v>Very high</v>
      </c>
      <c r="S1377" s="4">
        <v>0.65</v>
      </c>
      <c r="T1377" s="7" t="str">
        <f>IF(AllData[[#This Row],[Phosphate (PPM)]]&gt;0.5, "Very high", IF(AllData[[#This Row],[Phosphate (PPM)]]&gt;0.1, "High", IF(AllData[[#This Row],[Phosphate (PPM)]]&gt;0.05, "Some evidence", IF(AllData[[#This Row],[Phosphate (PPM)]]&lt;=0.05, "No Evidence", ""))))</f>
        <v>Very high</v>
      </c>
      <c r="U1377">
        <v>0</v>
      </c>
    </row>
    <row r="1378" spans="1:22" x14ac:dyDescent="0.35">
      <c r="A1378" t="s">
        <v>1469</v>
      </c>
      <c r="B1378" s="143">
        <v>45459</v>
      </c>
      <c r="C1378" s="2" t="str" cm="1">
        <f t="array" ref="C13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8">
        <f>YEAR(AllData[[#This Row],[Date]])</f>
        <v>2024</v>
      </c>
      <c r="E1378" s="1">
        <v>0.61805555555555558</v>
      </c>
      <c r="F1378" t="str">
        <f>IF(AND(AllData[[#This Row],[Time]]&lt;0.5, AllData[[#This Row],[Time]]&gt;0.17)=TRUE, "Morning", IF(AND(AllData[[#This Row],[Time]]&lt;0.75, AllData[[#This Row],[Time]]&gt;=0.5)=TRUE, "Afternoon", IF(AND(AllData[[#This Row],[Time]]&lt;1, AllData[[#This Row],[Time]]&gt;=0.75)=TRUE, "Evening", "Night")))</f>
        <v>Afternoon</v>
      </c>
      <c r="G1378" t="str">
        <f>_xlfn.XLOOKUP(AllData[[#This Row],[Location Name]], Locations[Location Name],Locations[Group As])</f>
        <v>Fell Mill Footbridge</v>
      </c>
      <c r="H1378" t="e" vm="1">
        <f>_xlfn.XLOOKUP(AllData[[#This Row],[Site Name]],LocationsKey[Site Name],LocationsKey[District])</f>
        <v>#VALUE!</v>
      </c>
      <c r="I1378" t="e" vm="15">
        <f>_xlfn.XLOOKUP(AllData[[#This Row],[Site Name]],LocationsKey[Site Name],LocationsKey[Town])</f>
        <v>#VALUE!</v>
      </c>
      <c r="J1378" t="str">
        <f>_xlfn.XLOOKUP(AllData[[#This Row],[Site Name]],LocationsKey[Site Name], LocationsKey[Waterway])</f>
        <v>Stour</v>
      </c>
      <c r="K1378" t="s">
        <v>875</v>
      </c>
      <c r="L1378">
        <v>52.070086000000003</v>
      </c>
      <c r="M1378">
        <v>-1.61145</v>
      </c>
      <c r="N1378" t="s">
        <v>31</v>
      </c>
      <c r="O1378">
        <v>614</v>
      </c>
      <c r="P1378">
        <v>16.100000000000001</v>
      </c>
      <c r="Q1378">
        <v>5</v>
      </c>
      <c r="R1378" s="107" t="str">
        <f>IF(AllData[[#This Row],[Nitrate (PPM)]]&gt;2, "Very high", IF(AllData[[#This Row],[Nitrate (PPM)]]&gt;1, "High", IF(AllData[[#This Row],[Nitrate (PPM)]]&gt;0.5, "Some evidence", IF(AllData[[#This Row],[Nitrate (PPM)]]&gt;=0, "No evidence"))))</f>
        <v>Very high</v>
      </c>
      <c r="S1378" s="4">
        <v>0.48</v>
      </c>
      <c r="T1378" s="7" t="str">
        <f>IF(AllData[[#This Row],[Phosphate (PPM)]]&gt;0.5, "Very high", IF(AllData[[#This Row],[Phosphate (PPM)]]&gt;0.1, "High", IF(AllData[[#This Row],[Phosphate (PPM)]]&gt;0.05, "Some evidence", IF(AllData[[#This Row],[Phosphate (PPM)]]&lt;=0.05, "No Evidence", ""))))</f>
        <v>High</v>
      </c>
      <c r="U1378">
        <v>2.1</v>
      </c>
    </row>
    <row r="1379" spans="1:22" x14ac:dyDescent="0.35">
      <c r="A1379" t="s">
        <v>1474</v>
      </c>
      <c r="B1379" s="143">
        <v>45459</v>
      </c>
      <c r="C1379" s="2" t="str" cm="1">
        <f t="array" ref="C13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79">
        <f>YEAR(AllData[[#This Row],[Date]])</f>
        <v>2024</v>
      </c>
      <c r="E1379" s="1"/>
      <c r="F1379" t="str">
        <f>IF(AND(AllData[[#This Row],[Time]]&lt;0.5, AllData[[#This Row],[Time]]&gt;0.17)=TRUE, "Morning", IF(AND(AllData[[#This Row],[Time]]&lt;0.75, AllData[[#This Row],[Time]]&gt;=0.5)=TRUE, "Afternoon", IF(AND(AllData[[#This Row],[Time]]&lt;1, AllData[[#This Row],[Time]]&gt;=0.75)=TRUE, "Evening", "Night")))</f>
        <v>Night</v>
      </c>
      <c r="G1379" t="str">
        <f>_xlfn.XLOOKUP(AllData[[#This Row],[Location Name]], Locations[Location Name],Locations[Group As])</f>
        <v>Site 2  :  Cross Leys culvert</v>
      </c>
      <c r="H1379" t="e" vm="1">
        <f>_xlfn.XLOOKUP(AllData[[#This Row],[Site Name]],LocationsKey[Site Name],LocationsKey[District])</f>
        <v>#VALUE!</v>
      </c>
      <c r="I1379" t="e" vm="14">
        <f>_xlfn.XLOOKUP(AllData[[#This Row],[Site Name]],LocationsKey[Site Name],LocationsKey[Town])</f>
        <v>#VALUE!</v>
      </c>
      <c r="J1379" t="str">
        <f>_xlfn.XLOOKUP(AllData[[#This Row],[Site Name]],LocationsKey[Site Name], LocationsKey[Waterway])</f>
        <v>Fosseway Brook</v>
      </c>
      <c r="K1379" t="s">
        <v>626</v>
      </c>
      <c r="L1379">
        <v>52.092967999999999</v>
      </c>
      <c r="M1379">
        <v>-1.6862710000000001</v>
      </c>
      <c r="N1379" t="s">
        <v>68</v>
      </c>
      <c r="O1379">
        <v>723</v>
      </c>
      <c r="P1379">
        <v>17</v>
      </c>
      <c r="Q1379">
        <v>2</v>
      </c>
      <c r="R1379" s="107" t="str">
        <f>IF(AllData[[#This Row],[Nitrate (PPM)]]&gt;2, "Very high", IF(AllData[[#This Row],[Nitrate (PPM)]]&gt;1, "High", IF(AllData[[#This Row],[Nitrate (PPM)]]&gt;0.5, "Some evidence", IF(AllData[[#This Row],[Nitrate (PPM)]]&gt;=0, "No evidence"))))</f>
        <v>High</v>
      </c>
      <c r="S1379" s="4">
        <v>0.41</v>
      </c>
      <c r="T1379" s="7" t="str">
        <f>IF(AllData[[#This Row],[Phosphate (PPM)]]&gt;0.5, "Very high", IF(AllData[[#This Row],[Phosphate (PPM)]]&gt;0.1, "High", IF(AllData[[#This Row],[Phosphate (PPM)]]&gt;0.05, "Some evidence", IF(AllData[[#This Row],[Phosphate (PPM)]]&lt;=0.05, "No Evidence", ""))))</f>
        <v>High</v>
      </c>
    </row>
    <row r="1380" spans="1:22" x14ac:dyDescent="0.35">
      <c r="A1380" t="s">
        <v>1473</v>
      </c>
      <c r="B1380" s="143">
        <v>45459</v>
      </c>
      <c r="C1380" s="2" t="str" cm="1">
        <f t="array" ref="C13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0">
        <f>YEAR(AllData[[#This Row],[Date]])</f>
        <v>2024</v>
      </c>
      <c r="F1380" t="str">
        <f>IF(AND(AllData[[#This Row],[Time]]&lt;0.5, AllData[[#This Row],[Time]]&gt;0.17)=TRUE, "Morning", IF(AND(AllData[[#This Row],[Time]]&lt;0.75, AllData[[#This Row],[Time]]&gt;=0.5)=TRUE, "Afternoon", IF(AND(AllData[[#This Row],[Time]]&lt;1, AllData[[#This Row],[Time]]&gt;=0.75)=TRUE, "Evening", "Night")))</f>
        <v>Night</v>
      </c>
      <c r="G1380" t="str">
        <f>_xlfn.XLOOKUP(AllData[[#This Row],[Location Name]], Locations[Location Name],Locations[Group As])</f>
        <v>Site 2  :  Cross Leys culvert</v>
      </c>
      <c r="H1380" t="e" vm="1">
        <f>_xlfn.XLOOKUP(AllData[[#This Row],[Site Name]],LocationsKey[Site Name],LocationsKey[District])</f>
        <v>#VALUE!</v>
      </c>
      <c r="I1380" t="e" vm="14">
        <f>_xlfn.XLOOKUP(AllData[[#This Row],[Site Name]],LocationsKey[Site Name],LocationsKey[Town])</f>
        <v>#VALUE!</v>
      </c>
      <c r="J1380" t="str">
        <f>_xlfn.XLOOKUP(AllData[[#This Row],[Site Name]],LocationsKey[Site Name], LocationsKey[Waterway])</f>
        <v>Fosseway Brook</v>
      </c>
      <c r="K1380" t="s">
        <v>623</v>
      </c>
      <c r="L1380">
        <v>52.092967999999999</v>
      </c>
      <c r="M1380">
        <v>-1.6862710000000001</v>
      </c>
      <c r="N1380" t="s">
        <v>68</v>
      </c>
      <c r="O1380">
        <v>723</v>
      </c>
      <c r="P1380">
        <v>17</v>
      </c>
      <c r="Q1380">
        <v>2</v>
      </c>
      <c r="R1380" s="107" t="str">
        <f>IF(AllData[[#This Row],[Nitrate (PPM)]]&gt;2, "Very high", IF(AllData[[#This Row],[Nitrate (PPM)]]&gt;1, "High", IF(AllData[[#This Row],[Nitrate (PPM)]]&gt;0.5, "Some evidence", IF(AllData[[#This Row],[Nitrate (PPM)]]&gt;=0, "No evidence"))))</f>
        <v>High</v>
      </c>
      <c r="S1380" s="4">
        <v>0.41</v>
      </c>
      <c r="T1380" s="7" t="str">
        <f>IF(AllData[[#This Row],[Phosphate (PPM)]]&gt;0.5, "Very high", IF(AllData[[#This Row],[Phosphate (PPM)]]&gt;0.1, "High", IF(AllData[[#This Row],[Phosphate (PPM)]]&gt;0.05, "Some evidence", IF(AllData[[#This Row],[Phosphate (PPM)]]&lt;=0.05, "No Evidence", ""))))</f>
        <v>High</v>
      </c>
      <c r="U1380">
        <v>0</v>
      </c>
      <c r="V1380" t="s">
        <v>835</v>
      </c>
    </row>
    <row r="1381" spans="1:22" x14ac:dyDescent="0.35">
      <c r="A1381" t="s">
        <v>1472</v>
      </c>
      <c r="B1381" s="143">
        <v>45459</v>
      </c>
      <c r="C1381" s="2" t="str" cm="1">
        <f t="array" ref="C13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1">
        <f>YEAR(AllData[[#This Row],[Date]])</f>
        <v>2024</v>
      </c>
      <c r="E1381" s="1"/>
      <c r="F1381" t="str">
        <f>IF(AND(AllData[[#This Row],[Time]]&lt;0.5, AllData[[#This Row],[Time]]&gt;0.17)=TRUE, "Morning", IF(AND(AllData[[#This Row],[Time]]&lt;0.75, AllData[[#This Row],[Time]]&gt;=0.5)=TRUE, "Afternoon", IF(AND(AllData[[#This Row],[Time]]&lt;1, AllData[[#This Row],[Time]]&gt;=0.75)=TRUE, "Evening", "Night")))</f>
        <v>Night</v>
      </c>
      <c r="G1381" t="str">
        <f>_xlfn.XLOOKUP(AllData[[#This Row],[Location Name]], Locations[Location Name],Locations[Group As])</f>
        <v>Site 1  :  Middle Street</v>
      </c>
      <c r="H1381" t="e" vm="1">
        <f>_xlfn.XLOOKUP(AllData[[#This Row],[Site Name]],LocationsKey[Site Name],LocationsKey[District])</f>
        <v>#VALUE!</v>
      </c>
      <c r="I1381" t="e" vm="14">
        <f>_xlfn.XLOOKUP(AllData[[#This Row],[Site Name]],LocationsKey[Site Name],LocationsKey[Town])</f>
        <v>#VALUE!</v>
      </c>
      <c r="J1381" t="str">
        <f>_xlfn.XLOOKUP(AllData[[#This Row],[Site Name]],LocationsKey[Site Name], LocationsKey[Waterway])</f>
        <v>Fosseway Brook</v>
      </c>
      <c r="K1381" t="s">
        <v>670</v>
      </c>
      <c r="L1381">
        <v>52.090085000000002</v>
      </c>
      <c r="M1381">
        <v>-1.692593</v>
      </c>
      <c r="N1381" t="s">
        <v>68</v>
      </c>
      <c r="O1381">
        <v>630</v>
      </c>
      <c r="P1381">
        <v>19.3</v>
      </c>
      <c r="Q1381">
        <v>2</v>
      </c>
      <c r="R1381" s="107" t="str">
        <f>IF(AllData[[#This Row],[Nitrate (PPM)]]&gt;2, "Very high", IF(AllData[[#This Row],[Nitrate (PPM)]]&gt;1, "High", IF(AllData[[#This Row],[Nitrate (PPM)]]&gt;0.5, "Some evidence", IF(AllData[[#This Row],[Nitrate (PPM)]]&gt;=0, "No evidence"))))</f>
        <v>High</v>
      </c>
      <c r="S1381" s="4">
        <v>0.1</v>
      </c>
      <c r="T1381" s="7" t="str">
        <f>IF(AllData[[#This Row],[Phosphate (PPM)]]&gt;0.5, "Very high", IF(AllData[[#This Row],[Phosphate (PPM)]]&gt;0.1, "High", IF(AllData[[#This Row],[Phosphate (PPM)]]&gt;0.05, "Some evidence", IF(AllData[[#This Row],[Phosphate (PPM)]]&lt;=0.05, "No Evidence", ""))))</f>
        <v>Some evidence</v>
      </c>
    </row>
    <row r="1382" spans="1:22" x14ac:dyDescent="0.35">
      <c r="A1382" t="s">
        <v>1471</v>
      </c>
      <c r="B1382" s="143">
        <v>45459</v>
      </c>
      <c r="C1382" s="2" t="str" cm="1">
        <f t="array" ref="C13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2">
        <f>YEAR(AllData[[#This Row],[Date]])</f>
        <v>2024</v>
      </c>
      <c r="F1382" t="str">
        <f>IF(AND(AllData[[#This Row],[Time]]&lt;0.5, AllData[[#This Row],[Time]]&gt;0.17)=TRUE, "Morning", IF(AND(AllData[[#This Row],[Time]]&lt;0.75, AllData[[#This Row],[Time]]&gt;=0.5)=TRUE, "Afternoon", IF(AND(AllData[[#This Row],[Time]]&lt;1, AllData[[#This Row],[Time]]&gt;=0.75)=TRUE, "Evening", "Night")))</f>
        <v>Night</v>
      </c>
      <c r="G1382" t="str">
        <f>_xlfn.XLOOKUP(AllData[[#This Row],[Location Name]], Locations[Location Name],Locations[Group As])</f>
        <v>Site 1  :  Middle Street</v>
      </c>
      <c r="H1382" t="e" vm="1">
        <f>_xlfn.XLOOKUP(AllData[[#This Row],[Site Name]],LocationsKey[Site Name],LocationsKey[District])</f>
        <v>#VALUE!</v>
      </c>
      <c r="I1382" t="e" vm="14">
        <f>_xlfn.XLOOKUP(AllData[[#This Row],[Site Name]],LocationsKey[Site Name],LocationsKey[Town])</f>
        <v>#VALUE!</v>
      </c>
      <c r="J1382" t="str">
        <f>_xlfn.XLOOKUP(AllData[[#This Row],[Site Name]],LocationsKey[Site Name], LocationsKey[Waterway])</f>
        <v>Fosseway Brook</v>
      </c>
      <c r="K1382" t="s">
        <v>667</v>
      </c>
      <c r="L1382">
        <v>52.090085000000002</v>
      </c>
      <c r="M1382">
        <v>-1.692593</v>
      </c>
      <c r="N1382" t="s">
        <v>68</v>
      </c>
      <c r="O1382">
        <v>630</v>
      </c>
      <c r="P1382">
        <v>19.3</v>
      </c>
      <c r="Q1382">
        <v>2</v>
      </c>
      <c r="R1382" s="107" t="str">
        <f>IF(AllData[[#This Row],[Nitrate (PPM)]]&gt;2, "Very high", IF(AllData[[#This Row],[Nitrate (PPM)]]&gt;1, "High", IF(AllData[[#This Row],[Nitrate (PPM)]]&gt;0.5, "Some evidence", IF(AllData[[#This Row],[Nitrate (PPM)]]&gt;=0, "No evidence"))))</f>
        <v>High</v>
      </c>
      <c r="S1382" s="4">
        <v>0.1</v>
      </c>
      <c r="T1382" s="7" t="str">
        <f>IF(AllData[[#This Row],[Phosphate (PPM)]]&gt;0.5, "Very high", IF(AllData[[#This Row],[Phosphate (PPM)]]&gt;0.1, "High", IF(AllData[[#This Row],[Phosphate (PPM)]]&gt;0.05, "Some evidence", IF(AllData[[#This Row],[Phosphate (PPM)]]&lt;=0.05, "No Evidence", ""))))</f>
        <v>Some evidence</v>
      </c>
      <c r="U1382">
        <v>0</v>
      </c>
      <c r="V1382" t="s">
        <v>835</v>
      </c>
    </row>
    <row r="1383" spans="1:22" x14ac:dyDescent="0.35">
      <c r="A1383" t="s">
        <v>1477</v>
      </c>
      <c r="B1383" s="143">
        <v>45459</v>
      </c>
      <c r="C1383" s="2" t="str" cm="1">
        <f t="array" ref="C13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3">
        <f>YEAR(AllData[[#This Row],[Date]])</f>
        <v>2024</v>
      </c>
      <c r="E1383" s="1">
        <v>0.52152777777777781</v>
      </c>
      <c r="F1383" t="str">
        <f>IF(AND(AllData[[#This Row],[Time]]&lt;0.5, AllData[[#This Row],[Time]]&gt;0.17)=TRUE, "Morning", IF(AND(AllData[[#This Row],[Time]]&lt;0.75, AllData[[#This Row],[Time]]&gt;=0.5)=TRUE, "Afternoon", IF(AND(AllData[[#This Row],[Time]]&lt;1, AllData[[#This Row],[Time]]&gt;=0.75)=TRUE, "Evening", "Night")))</f>
        <v>Afternoon</v>
      </c>
      <c r="G1383" t="str">
        <f>_xlfn.XLOOKUP(AllData[[#This Row],[Location Name]], Locations[Location Name],Locations[Group As])</f>
        <v>Site 1  :  Middle Street</v>
      </c>
      <c r="H1383" t="e" vm="1">
        <f>_xlfn.XLOOKUP(AllData[[#This Row],[Site Name]],LocationsKey[Site Name],LocationsKey[District])</f>
        <v>#VALUE!</v>
      </c>
      <c r="I1383" t="e" vm="14">
        <f>_xlfn.XLOOKUP(AllData[[#This Row],[Site Name]],LocationsKey[Site Name],LocationsKey[Town])</f>
        <v>#VALUE!</v>
      </c>
      <c r="J1383" t="str">
        <f>_xlfn.XLOOKUP(AllData[[#This Row],[Site Name]],LocationsKey[Site Name], LocationsKey[Waterway])</f>
        <v>Fosseway Brook</v>
      </c>
      <c r="K1383" t="s">
        <v>678</v>
      </c>
      <c r="L1383">
        <v>52.090085000000002</v>
      </c>
      <c r="M1383">
        <v>-1.692593</v>
      </c>
      <c r="N1383" t="s">
        <v>68</v>
      </c>
      <c r="O1383">
        <v>630</v>
      </c>
      <c r="P1383">
        <v>19.3</v>
      </c>
      <c r="Q1383">
        <v>2</v>
      </c>
      <c r="R1383" s="107" t="str">
        <f>IF(AllData[[#This Row],[Nitrate (PPM)]]&gt;2, "Very high", IF(AllData[[#This Row],[Nitrate (PPM)]]&gt;1, "High", IF(AllData[[#This Row],[Nitrate (PPM)]]&gt;0.5, "Some evidence", IF(AllData[[#This Row],[Nitrate (PPM)]]&gt;=0, "No evidence"))))</f>
        <v>High</v>
      </c>
      <c r="S1383">
        <v>0.1</v>
      </c>
      <c r="T1383" s="7" t="str">
        <f>IF(AllData[[#This Row],[Phosphate (PPM)]]&gt;0.5, "Very high", IF(AllData[[#This Row],[Phosphate (PPM)]]&gt;0.1, "High", IF(AllData[[#This Row],[Phosphate (PPM)]]&gt;0.05, "Some evidence", IF(AllData[[#This Row],[Phosphate (PPM)]]&lt;=0.05, "No Evidence", ""))))</f>
        <v>Some evidence</v>
      </c>
      <c r="U1383">
        <v>0.05</v>
      </c>
    </row>
    <row r="1384" spans="1:22" x14ac:dyDescent="0.35">
      <c r="A1384" t="s">
        <v>1462</v>
      </c>
      <c r="B1384" s="143">
        <v>45458</v>
      </c>
      <c r="C1384" s="2" t="str" cm="1">
        <f t="array" ref="C13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4">
        <f>YEAR(AllData[[#This Row],[Date]])</f>
        <v>2024</v>
      </c>
      <c r="E1384" s="1">
        <v>0.30208333333333331</v>
      </c>
      <c r="F1384" t="str">
        <f>IF(AND(AllData[[#This Row],[Time]]&lt;0.5, AllData[[#This Row],[Time]]&gt;0.17)=TRUE, "Morning", IF(AND(AllData[[#This Row],[Time]]&lt;0.75, AllData[[#This Row],[Time]]&gt;=0.5)=TRUE, "Afternoon", IF(AND(AllData[[#This Row],[Time]]&lt;1, AllData[[#This Row],[Time]]&gt;=0.75)=TRUE, "Evening", "Night")))</f>
        <v>Morning</v>
      </c>
      <c r="G1384" t="str">
        <f>_xlfn.XLOOKUP(AllData[[#This Row],[Location Name]], Locations[Location Name],Locations[Group As])</f>
        <v>Avon Smiths Meadow Wyre Piddle</v>
      </c>
      <c r="H1384" t="e" vm="6">
        <f>_xlfn.XLOOKUP(AllData[[#This Row],[Site Name]],LocationsKey[Site Name],LocationsKey[District])</f>
        <v>#VALUE!</v>
      </c>
      <c r="I1384" t="e" vm="13">
        <f>_xlfn.XLOOKUP(AllData[[#This Row],[Site Name]],LocationsKey[Site Name],LocationsKey[Town])</f>
        <v>#VALUE!</v>
      </c>
      <c r="J1384" t="str">
        <f>_xlfn.XLOOKUP(AllData[[#This Row],[Site Name]],LocationsKey[Site Name], LocationsKey[Waterway])</f>
        <v>Avon</v>
      </c>
      <c r="K1384" t="s">
        <v>784</v>
      </c>
      <c r="L1384">
        <v>52.122858999999998</v>
      </c>
      <c r="M1384">
        <v>-2.0575389999999998</v>
      </c>
      <c r="N1384" t="s">
        <v>25</v>
      </c>
      <c r="O1384">
        <v>864</v>
      </c>
      <c r="P1384">
        <v>15.9</v>
      </c>
      <c r="Q1384">
        <v>10</v>
      </c>
      <c r="R1384" s="107" t="str">
        <f>IF(AllData[[#This Row],[Nitrate (PPM)]]&gt;2, "Very high", IF(AllData[[#This Row],[Nitrate (PPM)]]&gt;1, "High", IF(AllData[[#This Row],[Nitrate (PPM)]]&gt;0.5, "Some evidence", IF(AllData[[#This Row],[Nitrate (PPM)]]&gt;=0, "No evidence"))))</f>
        <v>Very high</v>
      </c>
      <c r="S1384" s="4">
        <v>0.73</v>
      </c>
      <c r="T1384" s="7" t="str">
        <f>IF(AllData[[#This Row],[Phosphate (PPM)]]&gt;0.5, "Very high", IF(AllData[[#This Row],[Phosphate (PPM)]]&gt;0.1, "High", IF(AllData[[#This Row],[Phosphate (PPM)]]&gt;0.05, "Some evidence", IF(AllData[[#This Row],[Phosphate (PPM)]]&lt;=0.05, "No Evidence", ""))))</f>
        <v>Very high</v>
      </c>
      <c r="U1384">
        <v>0.59</v>
      </c>
      <c r="V1384" t="s">
        <v>1463</v>
      </c>
    </row>
    <row r="1385" spans="1:22" x14ac:dyDescent="0.35">
      <c r="A1385" t="s">
        <v>1464</v>
      </c>
      <c r="B1385" s="143">
        <v>45458</v>
      </c>
      <c r="C1385" s="2" t="str" cm="1">
        <f t="array" ref="C13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5">
        <f>YEAR(AllData[[#This Row],[Date]])</f>
        <v>2024</v>
      </c>
      <c r="E1385" s="1">
        <v>0.33333333333333331</v>
      </c>
      <c r="F1385" t="str">
        <f>IF(AND(AllData[[#This Row],[Time]]&lt;0.5, AllData[[#This Row],[Time]]&gt;0.17)=TRUE, "Morning", IF(AND(AllData[[#This Row],[Time]]&lt;0.75, AllData[[#This Row],[Time]]&gt;=0.5)=TRUE, "Afternoon", IF(AND(AllData[[#This Row],[Time]]&lt;1, AllData[[#This Row],[Time]]&gt;=0.75)=TRUE, "Evening", "Night")))</f>
        <v>Morning</v>
      </c>
      <c r="G1385" t="str">
        <f>_xlfn.XLOOKUP(AllData[[#This Row],[Location Name]], Locations[Location Name],Locations[Group As])</f>
        <v>Piddle Brook Wyre Piddle Bridge</v>
      </c>
      <c r="H1385" t="e" vm="6">
        <f>_xlfn.XLOOKUP(AllData[[#This Row],[Site Name]],LocationsKey[Site Name],LocationsKey[District])</f>
        <v>#VALUE!</v>
      </c>
      <c r="I1385" t="e" vm="13">
        <f>_xlfn.XLOOKUP(AllData[[#This Row],[Site Name]],LocationsKey[Site Name],LocationsKey[Town])</f>
        <v>#VALUE!</v>
      </c>
      <c r="J1385" t="str">
        <f>_xlfn.XLOOKUP(AllData[[#This Row],[Site Name]],LocationsKey[Site Name], LocationsKey[Waterway])</f>
        <v>Piddle Brook</v>
      </c>
      <c r="K1385" t="s">
        <v>787</v>
      </c>
      <c r="L1385">
        <v>52.126404000000001</v>
      </c>
      <c r="M1385">
        <v>-2.0565410000000002</v>
      </c>
      <c r="N1385" t="s">
        <v>25</v>
      </c>
      <c r="O1385">
        <v>836</v>
      </c>
      <c r="P1385">
        <v>13.1</v>
      </c>
      <c r="Q1385">
        <v>8</v>
      </c>
      <c r="R1385" s="107" t="str">
        <f>IF(AllData[[#This Row],[Nitrate (PPM)]]&gt;2, "Very high", IF(AllData[[#This Row],[Nitrate (PPM)]]&gt;1, "High", IF(AllData[[#This Row],[Nitrate (PPM)]]&gt;0.5, "Some evidence", IF(AllData[[#This Row],[Nitrate (PPM)]]&gt;=0, "No evidence"))))</f>
        <v>Very high</v>
      </c>
      <c r="S1385" s="4">
        <v>1.03</v>
      </c>
      <c r="T1385" s="7" t="str">
        <f>IF(AllData[[#This Row],[Phosphate (PPM)]]&gt;0.5, "Very high", IF(AllData[[#This Row],[Phosphate (PPM)]]&gt;0.1, "High", IF(AllData[[#This Row],[Phosphate (PPM)]]&gt;0.05, "Some evidence", IF(AllData[[#This Row],[Phosphate (PPM)]]&lt;=0.05, "No Evidence", ""))))</f>
        <v>Very high</v>
      </c>
      <c r="U1385">
        <v>0.18</v>
      </c>
      <c r="V1385" t="s">
        <v>1465</v>
      </c>
    </row>
    <row r="1386" spans="1:22" x14ac:dyDescent="0.35">
      <c r="A1386" t="s">
        <v>1466</v>
      </c>
      <c r="B1386" s="143">
        <v>45458</v>
      </c>
      <c r="C1386" s="2" t="str" cm="1">
        <f t="array" ref="C13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6">
        <f>YEAR(AllData[[#This Row],[Date]])</f>
        <v>2024</v>
      </c>
      <c r="E1386" s="1">
        <v>0.5</v>
      </c>
      <c r="F1386" t="str">
        <f>IF(AND(AllData[[#This Row],[Time]]&lt;0.5, AllData[[#This Row],[Time]]&gt;0.17)=TRUE, "Morning", IF(AND(AllData[[#This Row],[Time]]&lt;0.75, AllData[[#This Row],[Time]]&gt;=0.5)=TRUE, "Afternoon", IF(AND(AllData[[#This Row],[Time]]&lt;1, AllData[[#This Row],[Time]]&gt;=0.75)=TRUE, "Evening", "Night")))</f>
        <v>Afternoon</v>
      </c>
      <c r="G1386" t="str">
        <f>_xlfn.XLOOKUP(AllData[[#This Row],[Location Name]], Locations[Location Name],Locations[Group As])</f>
        <v>Carrant Bredon Rd</v>
      </c>
      <c r="H1386" t="e" vm="4">
        <f>_xlfn.XLOOKUP(AllData[[#This Row],[Site Name]],LocationsKey[Site Name],LocationsKey[District])</f>
        <v>#VALUE!</v>
      </c>
      <c r="I1386" t="e" vm="4">
        <f>_xlfn.XLOOKUP(AllData[[#This Row],[Site Name]],LocationsKey[Site Name],LocationsKey[Town])</f>
        <v>#VALUE!</v>
      </c>
      <c r="J1386" t="str">
        <f>_xlfn.XLOOKUP(AllData[[#This Row],[Site Name]],LocationsKey[Site Name], LocationsKey[Waterway])</f>
        <v>Carrant</v>
      </c>
      <c r="K1386" t="s">
        <v>603</v>
      </c>
      <c r="L1386">
        <v>51.996327000000001</v>
      </c>
      <c r="M1386">
        <v>-2.156183</v>
      </c>
      <c r="N1386" t="s">
        <v>25</v>
      </c>
      <c r="O1386">
        <v>733</v>
      </c>
      <c r="P1386">
        <v>14.5</v>
      </c>
      <c r="Q1386">
        <v>5</v>
      </c>
      <c r="R1386" s="107" t="str">
        <f>IF(AllData[[#This Row],[Nitrate (PPM)]]&gt;2, "Very high", IF(AllData[[#This Row],[Nitrate (PPM)]]&gt;1, "High", IF(AllData[[#This Row],[Nitrate (PPM)]]&gt;0.5, "Some evidence", IF(AllData[[#This Row],[Nitrate (PPM)]]&gt;=0, "No evidence"))))</f>
        <v>Very high</v>
      </c>
      <c r="S1386" s="4">
        <v>0.33</v>
      </c>
      <c r="T1386" s="7" t="str">
        <f>IF(AllData[[#This Row],[Phosphate (PPM)]]&gt;0.5, "Very high", IF(AllData[[#This Row],[Phosphate (PPM)]]&gt;0.1, "High", IF(AllData[[#This Row],[Phosphate (PPM)]]&gt;0.05, "Some evidence", IF(AllData[[#This Row],[Phosphate (PPM)]]&lt;=0.05, "No Evidence", ""))))</f>
        <v>High</v>
      </c>
      <c r="U1386">
        <v>0.04</v>
      </c>
    </row>
    <row r="1387" spans="1:22" x14ac:dyDescent="0.35">
      <c r="A1387" t="s">
        <v>1467</v>
      </c>
      <c r="B1387" s="143">
        <v>45458</v>
      </c>
      <c r="C1387" s="2" t="str" cm="1">
        <f t="array" ref="C13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7">
        <f>YEAR(AllData[[#This Row],[Date]])</f>
        <v>2024</v>
      </c>
      <c r="E1387" s="1">
        <v>0.58333333333333337</v>
      </c>
      <c r="F1387" t="str">
        <f>IF(AND(AllData[[#This Row],[Time]]&lt;0.5, AllData[[#This Row],[Time]]&gt;0.17)=TRUE, "Morning", IF(AND(AllData[[#This Row],[Time]]&lt;0.75, AllData[[#This Row],[Time]]&gt;=0.5)=TRUE, "Afternoon", IF(AND(AllData[[#This Row],[Time]]&lt;1, AllData[[#This Row],[Time]]&gt;=0.75)=TRUE, "Evening", "Night")))</f>
        <v>Afternoon</v>
      </c>
      <c r="G1387" t="str">
        <f>_xlfn.XLOOKUP(AllData[[#This Row],[Location Name]], Locations[Location Name],Locations[Group As])</f>
        <v>Stour Willington</v>
      </c>
      <c r="H1387" t="e" vm="1">
        <f>_xlfn.XLOOKUP(AllData[[#This Row],[Site Name]],LocationsKey[Site Name],LocationsKey[District])</f>
        <v>#VALUE!</v>
      </c>
      <c r="I1387" t="str">
        <f>_xlfn.XLOOKUP(AllData[[#This Row],[Site Name]],LocationsKey[Site Name],LocationsKey[Town])</f>
        <v>Willington</v>
      </c>
      <c r="J1387" t="str">
        <f>_xlfn.XLOOKUP(AllData[[#This Row],[Site Name]],LocationsKey[Site Name], LocationsKey[Waterway])</f>
        <v>Stour</v>
      </c>
      <c r="K1387" t="s">
        <v>521</v>
      </c>
      <c r="L1387">
        <v>52.053548999999997</v>
      </c>
      <c r="M1387">
        <v>-1.6201620000000001</v>
      </c>
      <c r="N1387" t="s">
        <v>25</v>
      </c>
      <c r="O1387">
        <v>605</v>
      </c>
      <c r="P1387">
        <v>15.3</v>
      </c>
      <c r="Q1387">
        <v>2</v>
      </c>
      <c r="R1387" s="107" t="str">
        <f>IF(AllData[[#This Row],[Nitrate (PPM)]]&gt;2, "Very high", IF(AllData[[#This Row],[Nitrate (PPM)]]&gt;1, "High", IF(AllData[[#This Row],[Nitrate (PPM)]]&gt;0.5, "Some evidence", IF(AllData[[#This Row],[Nitrate (PPM)]]&gt;=0, "No evidence"))))</f>
        <v>High</v>
      </c>
      <c r="S1387" s="4">
        <v>0.48</v>
      </c>
      <c r="T1387" s="7" t="str">
        <f>IF(AllData[[#This Row],[Phosphate (PPM)]]&gt;0.5, "Very high", IF(AllData[[#This Row],[Phosphate (PPM)]]&gt;0.1, "High", IF(AllData[[#This Row],[Phosphate (PPM)]]&gt;0.05, "Some evidence", IF(AllData[[#This Row],[Phosphate (PPM)]]&lt;=0.05, "No Evidence", ""))))</f>
        <v>High</v>
      </c>
      <c r="U1387">
        <v>0.5</v>
      </c>
    </row>
    <row r="1388" spans="1:22" x14ac:dyDescent="0.35">
      <c r="A1388" t="s">
        <v>1451</v>
      </c>
      <c r="B1388" s="143">
        <v>45457</v>
      </c>
      <c r="C1388" s="2" t="str" cm="1">
        <f t="array" ref="C13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8">
        <f>YEAR(AllData[[#This Row],[Date]])</f>
        <v>2024</v>
      </c>
      <c r="E1388" s="1">
        <v>0.39583333333333331</v>
      </c>
      <c r="F1388" t="str">
        <f>IF(AND(AllData[[#This Row],[Time]]&lt;0.5, AllData[[#This Row],[Time]]&gt;0.17)=TRUE, "Morning", IF(AND(AllData[[#This Row],[Time]]&lt;0.75, AllData[[#This Row],[Time]]&gt;=0.5)=TRUE, "Afternoon", IF(AND(AllData[[#This Row],[Time]]&lt;1, AllData[[#This Row],[Time]]&gt;=0.75)=TRUE, "Evening", "Night")))</f>
        <v>Morning</v>
      </c>
      <c r="G1388" t="str">
        <f>_xlfn.XLOOKUP(AllData[[#This Row],[Location Name]], Locations[Location Name],Locations[Group As])</f>
        <v>Sherbourne Brook 1</v>
      </c>
      <c r="H1388" t="e" vm="1">
        <f>_xlfn.XLOOKUP(AllData[[#This Row],[Site Name]],LocationsKey[Site Name],LocationsKey[District])</f>
        <v>#VALUE!</v>
      </c>
      <c r="I1388" t="e" vm="23">
        <f>_xlfn.XLOOKUP(AllData[[#This Row],[Site Name]],LocationsKey[Site Name],LocationsKey[Town])</f>
        <v>#VALUE!</v>
      </c>
      <c r="J1388" t="str">
        <f>_xlfn.XLOOKUP(AllData[[#This Row],[Site Name]],LocationsKey[Site Name], LocationsKey[Waterway])</f>
        <v>Sherbourne Brook</v>
      </c>
      <c r="K1388" t="s">
        <v>541</v>
      </c>
      <c r="L1388">
        <v>52.252499999999998</v>
      </c>
      <c r="M1388">
        <v>-1.6685000000000001</v>
      </c>
      <c r="N1388" t="s">
        <v>25</v>
      </c>
      <c r="O1388">
        <v>1090</v>
      </c>
      <c r="P1388">
        <v>13.6</v>
      </c>
      <c r="Q1388">
        <v>15</v>
      </c>
      <c r="R1388" s="107" t="str">
        <f>IF(AllData[[#This Row],[Nitrate (PPM)]]&gt;2, "Very high", IF(AllData[[#This Row],[Nitrate (PPM)]]&gt;1, "High", IF(AllData[[#This Row],[Nitrate (PPM)]]&gt;0.5, "Some evidence", IF(AllData[[#This Row],[Nitrate (PPM)]]&gt;=0, "No evidence"))))</f>
        <v>Very high</v>
      </c>
      <c r="S1388" s="4">
        <v>0.26</v>
      </c>
      <c r="T1388" s="7" t="str">
        <f>IF(AllData[[#This Row],[Phosphate (PPM)]]&gt;0.5, "Very high", IF(AllData[[#This Row],[Phosphate (PPM)]]&gt;0.1, "High", IF(AllData[[#This Row],[Phosphate (PPM)]]&gt;0.05, "Some evidence", IF(AllData[[#This Row],[Phosphate (PPM)]]&lt;=0.05, "No Evidence", ""))))</f>
        <v>High</v>
      </c>
      <c r="U1388">
        <v>0.2</v>
      </c>
    </row>
    <row r="1389" spans="1:22" x14ac:dyDescent="0.35">
      <c r="A1389" t="s">
        <v>1457</v>
      </c>
      <c r="B1389" s="143">
        <v>45457</v>
      </c>
      <c r="C1389" s="2" t="str" cm="1">
        <f t="array" ref="C13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89">
        <f>YEAR(AllData[[#This Row],[Date]])</f>
        <v>2024</v>
      </c>
      <c r="E1389" s="1">
        <v>0.60416666666666663</v>
      </c>
      <c r="F1389" t="str">
        <f>IF(AND(AllData[[#This Row],[Time]]&lt;0.5, AllData[[#This Row],[Time]]&gt;0.17)=TRUE, "Morning", IF(AND(AllData[[#This Row],[Time]]&lt;0.75, AllData[[#This Row],[Time]]&gt;=0.5)=TRUE, "Afternoon", IF(AND(AllData[[#This Row],[Time]]&lt;1, AllData[[#This Row],[Time]]&gt;=0.75)=TRUE, "Evening", "Night")))</f>
        <v>Afternoon</v>
      </c>
      <c r="G1389" t="str">
        <f>_xlfn.XLOOKUP(AllData[[#This Row],[Location Name]], Locations[Location Name],Locations[Group As])</f>
        <v>Swilgate</v>
      </c>
      <c r="H1389" t="e" vm="4">
        <f>_xlfn.XLOOKUP(AllData[[#This Row],[Site Name]],LocationsKey[Site Name],LocationsKey[District])</f>
        <v>#VALUE!</v>
      </c>
      <c r="I1389" t="e" vm="4">
        <f>_xlfn.XLOOKUP(AllData[[#This Row],[Site Name]],LocationsKey[Site Name],LocationsKey[Town])</f>
        <v>#VALUE!</v>
      </c>
      <c r="J1389" t="str">
        <f>_xlfn.XLOOKUP(AllData[[#This Row],[Site Name]],LocationsKey[Site Name], LocationsKey[Waterway])</f>
        <v>Swilgate</v>
      </c>
      <c r="K1389" t="s">
        <v>85</v>
      </c>
      <c r="N1389" t="s">
        <v>25</v>
      </c>
      <c r="O1389">
        <v>875</v>
      </c>
      <c r="P1389">
        <v>16.100000000000001</v>
      </c>
      <c r="Q1389">
        <v>7</v>
      </c>
      <c r="R1389" s="107" t="str">
        <f>IF(AllData[[#This Row],[Nitrate (PPM)]]&gt;2, "Very high", IF(AllData[[#This Row],[Nitrate (PPM)]]&gt;1, "High", IF(AllData[[#This Row],[Nitrate (PPM)]]&gt;0.5, "Some evidence", IF(AllData[[#This Row],[Nitrate (PPM)]]&gt;=0, "No evidence"))))</f>
        <v>Very high</v>
      </c>
      <c r="S1389" s="4">
        <v>1.25</v>
      </c>
      <c r="T1389" s="7" t="str">
        <f>IF(AllData[[#This Row],[Phosphate (PPM)]]&gt;0.5, "Very high", IF(AllData[[#This Row],[Phosphate (PPM)]]&gt;0.1, "High", IF(AllData[[#This Row],[Phosphate (PPM)]]&gt;0.05, "Some evidence", IF(AllData[[#This Row],[Phosphate (PPM)]]&lt;=0.05, "No Evidence", ""))))</f>
        <v>Very high</v>
      </c>
      <c r="U1389">
        <v>0</v>
      </c>
    </row>
    <row r="1390" spans="1:22" x14ac:dyDescent="0.35">
      <c r="A1390" t="s">
        <v>1460</v>
      </c>
      <c r="B1390" s="143">
        <v>45457</v>
      </c>
      <c r="C1390" s="2" t="str" cm="1">
        <f t="array" ref="C13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0">
        <f>YEAR(AllData[[#This Row],[Date]])</f>
        <v>2024</v>
      </c>
      <c r="E1390" s="1">
        <v>0.46250000000000002</v>
      </c>
      <c r="F1390" t="str">
        <f>IF(AND(AllData[[#This Row],[Time]]&lt;0.5, AllData[[#This Row],[Time]]&gt;0.17)=TRUE, "Morning", IF(AND(AllData[[#This Row],[Time]]&lt;0.75, AllData[[#This Row],[Time]]&gt;=0.5)=TRUE, "Afternoon", IF(AND(AllData[[#This Row],[Time]]&lt;1, AllData[[#This Row],[Time]]&gt;=0.75)=TRUE, "Evening", "Night")))</f>
        <v>Morning</v>
      </c>
      <c r="G1390" t="str">
        <f>_xlfn.XLOOKUP(AllData[[#This Row],[Location Name]], Locations[Location Name],Locations[Group As])</f>
        <v>Walcot Lane, Bow Brook Ford</v>
      </c>
      <c r="H1390" t="e" vm="6">
        <f>_xlfn.XLOOKUP(AllData[[#This Row],[Site Name]],LocationsKey[Site Name],LocationsKey[District])</f>
        <v>#VALUE!</v>
      </c>
      <c r="I1390" t="e" vm="7">
        <f>_xlfn.XLOOKUP(AllData[[#This Row],[Site Name]],LocationsKey[Site Name],LocationsKey[Town])</f>
        <v>#VALUE!</v>
      </c>
      <c r="J1390" t="str">
        <f>_xlfn.XLOOKUP(AllData[[#This Row],[Site Name]],LocationsKey[Site Name], LocationsKey[Waterway])</f>
        <v>Bow Brook</v>
      </c>
      <c r="K1390" t="s">
        <v>775</v>
      </c>
      <c r="L1390">
        <v>52.130529000000003</v>
      </c>
      <c r="M1390">
        <v>-2.0786190000000002</v>
      </c>
      <c r="N1390" t="s">
        <v>25</v>
      </c>
      <c r="O1390">
        <v>1270</v>
      </c>
      <c r="P1390">
        <v>14.1</v>
      </c>
      <c r="Q1390">
        <v>5</v>
      </c>
      <c r="R1390" s="107" t="str">
        <f>IF(AllData[[#This Row],[Nitrate (PPM)]]&gt;2, "Very high", IF(AllData[[#This Row],[Nitrate (PPM)]]&gt;1, "High", IF(AllData[[#This Row],[Nitrate (PPM)]]&gt;0.5, "Some evidence", IF(AllData[[#This Row],[Nitrate (PPM)]]&gt;=0, "No evidence"))))</f>
        <v>Very high</v>
      </c>
      <c r="S1390">
        <v>1.39</v>
      </c>
      <c r="T1390" s="7" t="str">
        <f>IF(AllData[[#This Row],[Phosphate (PPM)]]&gt;0.5, "Very high", IF(AllData[[#This Row],[Phosphate (PPM)]]&gt;0.1, "High", IF(AllData[[#This Row],[Phosphate (PPM)]]&gt;0.05, "Some evidence", IF(AllData[[#This Row],[Phosphate (PPM)]]&lt;=0.05, "No Evidence", ""))))</f>
        <v>Very high</v>
      </c>
      <c r="U1390">
        <v>0.2</v>
      </c>
      <c r="V1390" t="s">
        <v>1461</v>
      </c>
    </row>
    <row r="1391" spans="1:22" x14ac:dyDescent="0.35">
      <c r="A1391" t="s">
        <v>1455</v>
      </c>
      <c r="B1391" s="143">
        <v>45457</v>
      </c>
      <c r="C1391" s="2" t="str" cm="1">
        <f t="array" ref="C13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1">
        <f>YEAR(AllData[[#This Row],[Date]])</f>
        <v>2024</v>
      </c>
      <c r="E1391" s="1">
        <v>0.59583333333333333</v>
      </c>
      <c r="F1391" t="str">
        <f>IF(AND(AllData[[#This Row],[Time]]&lt;0.5, AllData[[#This Row],[Time]]&gt;0.17)=TRUE, "Morning", IF(AND(AllData[[#This Row],[Time]]&lt;0.75, AllData[[#This Row],[Time]]&gt;=0.5)=TRUE, "Afternoon", IF(AND(AllData[[#This Row],[Time]]&lt;1, AllData[[#This Row],[Time]]&gt;=0.75)=TRUE, "Evening", "Night")))</f>
        <v>Afternoon</v>
      </c>
      <c r="G1391" t="str">
        <f>_xlfn.XLOOKUP(AllData[[#This Row],[Location Name]], Locations[Location Name],Locations[Group As])</f>
        <v>The Ford, Langley</v>
      </c>
      <c r="H1391" t="e" vm="1">
        <f>_xlfn.XLOOKUP(AllData[[#This Row],[Site Name]],LocationsKey[Site Name],LocationsKey[District])</f>
        <v>#VALUE!</v>
      </c>
      <c r="I1391" t="str">
        <f>_xlfn.XLOOKUP(AllData[[#This Row],[Site Name]],LocationsKey[Site Name],LocationsKey[Town])</f>
        <v>Langley</v>
      </c>
      <c r="J1391" t="str">
        <f>_xlfn.XLOOKUP(AllData[[#This Row],[Site Name]],LocationsKey[Site Name], LocationsKey[Waterway])</f>
        <v>Langley Ford</v>
      </c>
      <c r="K1391" t="s">
        <v>561</v>
      </c>
      <c r="L1391">
        <v>52.259779999999999</v>
      </c>
      <c r="M1391">
        <v>-1.71854</v>
      </c>
      <c r="N1391" t="s">
        <v>31</v>
      </c>
      <c r="O1391">
        <v>846</v>
      </c>
      <c r="P1391">
        <v>13.6</v>
      </c>
      <c r="Q1391">
        <v>5</v>
      </c>
      <c r="R1391" s="107" t="str">
        <f>IF(AllData[[#This Row],[Nitrate (PPM)]]&gt;2, "Very high", IF(AllData[[#This Row],[Nitrate (PPM)]]&gt;1, "High", IF(AllData[[#This Row],[Nitrate (PPM)]]&gt;0.5, "Some evidence", IF(AllData[[#This Row],[Nitrate (PPM)]]&gt;=0, "No evidence"))))</f>
        <v>Very high</v>
      </c>
      <c r="S1391" s="4">
        <v>0.6</v>
      </c>
      <c r="T1391" s="7" t="str">
        <f>IF(AllData[[#This Row],[Phosphate (PPM)]]&gt;0.5, "Very high", IF(AllData[[#This Row],[Phosphate (PPM)]]&gt;0.1, "High", IF(AllData[[#This Row],[Phosphate (PPM)]]&gt;0.05, "Some evidence", IF(AllData[[#This Row],[Phosphate (PPM)]]&lt;=0.05, "No Evidence", ""))))</f>
        <v>Very high</v>
      </c>
      <c r="U1391">
        <v>0.15</v>
      </c>
      <c r="V1391" t="s">
        <v>1456</v>
      </c>
    </row>
    <row r="1392" spans="1:22" x14ac:dyDescent="0.35">
      <c r="A1392" t="s">
        <v>1452</v>
      </c>
      <c r="B1392" s="143">
        <v>45457</v>
      </c>
      <c r="C1392" s="2" t="str" cm="1">
        <f t="array" ref="C13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2">
        <f>YEAR(AllData[[#This Row],[Date]])</f>
        <v>2024</v>
      </c>
      <c r="E1392" s="1">
        <v>0.40625</v>
      </c>
      <c r="F1392" t="str">
        <f>IF(AND(AllData[[#This Row],[Time]]&lt;0.5, AllData[[#This Row],[Time]]&gt;0.17)=TRUE, "Morning", IF(AND(AllData[[#This Row],[Time]]&lt;0.75, AllData[[#This Row],[Time]]&gt;=0.5)=TRUE, "Afternoon", IF(AND(AllData[[#This Row],[Time]]&lt;1, AllData[[#This Row],[Time]]&gt;=0.75)=TRUE, "Evening", "Night")))</f>
        <v>Morning</v>
      </c>
      <c r="G1392" t="str">
        <f>_xlfn.XLOOKUP(AllData[[#This Row],[Location Name]], Locations[Location Name],Locations[Group As])</f>
        <v>Bell Brook 1</v>
      </c>
      <c r="H1392" t="e" vm="1">
        <f>_xlfn.XLOOKUP(AllData[[#This Row],[Site Name]],LocationsKey[Site Name],LocationsKey[District])</f>
        <v>#VALUE!</v>
      </c>
      <c r="I1392" t="e" vm="19">
        <f>_xlfn.XLOOKUP(AllData[[#This Row],[Site Name]],LocationsKey[Site Name],LocationsKey[Town])</f>
        <v>#VALUE!</v>
      </c>
      <c r="J1392" t="str">
        <f>_xlfn.XLOOKUP(AllData[[#This Row],[Site Name]],LocationsKey[Site Name], LocationsKey[Waterway])</f>
        <v>Bell Brook</v>
      </c>
      <c r="K1392" t="s">
        <v>538</v>
      </c>
      <c r="L1392">
        <v>52.244900000000001</v>
      </c>
      <c r="M1392">
        <v>-1.6617</v>
      </c>
      <c r="N1392" t="s">
        <v>25</v>
      </c>
      <c r="O1392">
        <v>822</v>
      </c>
      <c r="P1392">
        <v>14.6</v>
      </c>
      <c r="Q1392">
        <v>5</v>
      </c>
      <c r="R1392" s="107" t="str">
        <f>IF(AllData[[#This Row],[Nitrate (PPM)]]&gt;2, "Very high", IF(AllData[[#This Row],[Nitrate (PPM)]]&gt;1, "High", IF(AllData[[#This Row],[Nitrate (PPM)]]&gt;0.5, "Some evidence", IF(AllData[[#This Row],[Nitrate (PPM)]]&gt;=0, "No evidence"))))</f>
        <v>Very high</v>
      </c>
      <c r="S1392" s="4">
        <v>0.65</v>
      </c>
      <c r="T1392" s="7" t="str">
        <f>IF(AllData[[#This Row],[Phosphate (PPM)]]&gt;0.5, "Very high", IF(AllData[[#This Row],[Phosphate (PPM)]]&gt;0.1, "High", IF(AllData[[#This Row],[Phosphate (PPM)]]&gt;0.05, "Some evidence", IF(AllData[[#This Row],[Phosphate (PPM)]]&lt;=0.05, "No Evidence", ""))))</f>
        <v>Very high</v>
      </c>
      <c r="U1392">
        <v>0.2</v>
      </c>
    </row>
    <row r="1393" spans="1:22" x14ac:dyDescent="0.35">
      <c r="A1393" t="s">
        <v>1459</v>
      </c>
      <c r="B1393" s="143">
        <v>45457</v>
      </c>
      <c r="C1393" s="2" t="str" cm="1">
        <f t="array" ref="C13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3">
        <f>YEAR(AllData[[#This Row],[Date]])</f>
        <v>2024</v>
      </c>
      <c r="E1393" s="1">
        <v>0.70833333333333337</v>
      </c>
      <c r="F1393" t="str">
        <f>IF(AND(AllData[[#This Row],[Time]]&lt;0.5, AllData[[#This Row],[Time]]&gt;0.17)=TRUE, "Morning", IF(AND(AllData[[#This Row],[Time]]&lt;0.75, AllData[[#This Row],[Time]]&gt;=0.5)=TRUE, "Afternoon", IF(AND(AllData[[#This Row],[Time]]&lt;1, AllData[[#This Row],[Time]]&gt;=0.75)=TRUE, "Evening", "Night")))</f>
        <v>Afternoon</v>
      </c>
      <c r="G1393" t="str">
        <f>_xlfn.XLOOKUP(AllData[[#This Row],[Location Name]], Locations[Location Name],Locations[Group As])</f>
        <v>Stour Whichford</v>
      </c>
      <c r="H1393" t="e" vm="1">
        <f>_xlfn.XLOOKUP(AllData[[#This Row],[Site Name]],LocationsKey[Site Name],LocationsKey[District])</f>
        <v>#VALUE!</v>
      </c>
      <c r="I1393" t="e" vm="24">
        <f>_xlfn.XLOOKUP(AllData[[#This Row],[Site Name]],LocationsKey[Site Name],LocationsKey[Town])</f>
        <v>#VALUE!</v>
      </c>
      <c r="J1393" t="str">
        <f>_xlfn.XLOOKUP(AllData[[#This Row],[Site Name]],LocationsKey[Site Name], LocationsKey[Waterway])</f>
        <v>Stour</v>
      </c>
      <c r="K1393" t="s">
        <v>980</v>
      </c>
      <c r="N1393" t="s">
        <v>31</v>
      </c>
      <c r="O1393">
        <v>671</v>
      </c>
      <c r="P1393">
        <v>14.7</v>
      </c>
      <c r="Q1393">
        <v>2</v>
      </c>
      <c r="R1393" s="107" t="str">
        <f>IF(AllData[[#This Row],[Nitrate (PPM)]]&gt;2, "Very high", IF(AllData[[#This Row],[Nitrate (PPM)]]&gt;1, "High", IF(AllData[[#This Row],[Nitrate (PPM)]]&gt;0.5, "Some evidence", IF(AllData[[#This Row],[Nitrate (PPM)]]&gt;=0, "No evidence"))))</f>
        <v>High</v>
      </c>
      <c r="S1393">
        <v>1.0900000000000001</v>
      </c>
      <c r="T1393" s="7" t="str">
        <f>IF(AllData[[#This Row],[Phosphate (PPM)]]&gt;0.5, "Very high", IF(AllData[[#This Row],[Phosphate (PPM)]]&gt;0.1, "High", IF(AllData[[#This Row],[Phosphate (PPM)]]&gt;0.05, "Some evidence", IF(AllData[[#This Row],[Phosphate (PPM)]]&lt;=0.05, "No Evidence", ""))))</f>
        <v>Very high</v>
      </c>
      <c r="U1393">
        <v>7</v>
      </c>
    </row>
    <row r="1394" spans="1:22" x14ac:dyDescent="0.35">
      <c r="A1394" t="s">
        <v>1453</v>
      </c>
      <c r="B1394" s="143">
        <v>45457</v>
      </c>
      <c r="C1394" s="2" t="str" cm="1">
        <f t="array" ref="C13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4">
        <f>YEAR(AllData[[#This Row],[Date]])</f>
        <v>2024</v>
      </c>
      <c r="E1394" s="1">
        <v>0.45763888888888887</v>
      </c>
      <c r="F1394" t="str">
        <f>IF(AND(AllData[[#This Row],[Time]]&lt;0.5, AllData[[#This Row],[Time]]&gt;0.17)=TRUE, "Morning", IF(AND(AllData[[#This Row],[Time]]&lt;0.75, AllData[[#This Row],[Time]]&gt;=0.5)=TRUE, "Afternoon", IF(AND(AllData[[#This Row],[Time]]&lt;1, AllData[[#This Row],[Time]]&gt;=0.75)=TRUE, "Evening", "Night")))</f>
        <v>Morning</v>
      </c>
      <c r="G1394" t="str">
        <f>_xlfn.XLOOKUP(AllData[[#This Row],[Location Name]], Locations[Location Name],Locations[Group As])</f>
        <v>Mill Bridge Peopleton</v>
      </c>
      <c r="H1394" t="e" vm="6">
        <f>_xlfn.XLOOKUP(AllData[[#This Row],[Site Name]],LocationsKey[Site Name],LocationsKey[District])</f>
        <v>#VALUE!</v>
      </c>
      <c r="I1394" t="str">
        <f>_xlfn.XLOOKUP(AllData[[#This Row],[Site Name]],LocationsKey[Site Name],LocationsKey[Town])</f>
        <v>Peopleton</v>
      </c>
      <c r="J1394" t="str">
        <f>_xlfn.XLOOKUP(AllData[[#This Row],[Site Name]],LocationsKey[Site Name], LocationsKey[Waterway])</f>
        <v>Bow Brook</v>
      </c>
      <c r="K1394" t="s">
        <v>1454</v>
      </c>
      <c r="L1394">
        <v>52.15175</v>
      </c>
      <c r="M1394">
        <v>-2.0963599999999998</v>
      </c>
      <c r="N1394" t="s">
        <v>31</v>
      </c>
      <c r="O1394">
        <v>119</v>
      </c>
      <c r="P1394">
        <v>16</v>
      </c>
      <c r="Q1394">
        <v>2</v>
      </c>
      <c r="R1394" s="107" t="str">
        <f>IF(AllData[[#This Row],[Nitrate (PPM)]]&gt;2, "Very high", IF(AllData[[#This Row],[Nitrate (PPM)]]&gt;1, "High", IF(AllData[[#This Row],[Nitrate (PPM)]]&gt;0.5, "Some evidence", IF(AllData[[#This Row],[Nitrate (PPM)]]&gt;=0, "No evidence"))))</f>
        <v>High</v>
      </c>
      <c r="S1394" s="4">
        <v>1.43</v>
      </c>
      <c r="T1394" s="7" t="str">
        <f>IF(AllData[[#This Row],[Phosphate (PPM)]]&gt;0.5, "Very high", IF(AllData[[#This Row],[Phosphate (PPM)]]&gt;0.1, "High", IF(AllData[[#This Row],[Phosphate (PPM)]]&gt;0.05, "Some evidence", IF(AllData[[#This Row],[Phosphate (PPM)]]&lt;=0.05, "No Evidence", ""))))</f>
        <v>Very high</v>
      </c>
      <c r="U1394">
        <v>0.3</v>
      </c>
    </row>
    <row r="1395" spans="1:22" x14ac:dyDescent="0.35">
      <c r="A1395" t="s">
        <v>1458</v>
      </c>
      <c r="B1395" s="143">
        <v>45457</v>
      </c>
      <c r="C1395" s="2" t="str" cm="1">
        <f t="array" ref="C13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5">
        <f>YEAR(AllData[[#This Row],[Date]])</f>
        <v>2024</v>
      </c>
      <c r="E1395" s="1">
        <v>0.72916666666666663</v>
      </c>
      <c r="F1395" t="str">
        <f>IF(AND(AllData[[#This Row],[Time]]&lt;0.5, AllData[[#This Row],[Time]]&gt;0.17)=TRUE, "Morning", IF(AND(AllData[[#This Row],[Time]]&lt;0.75, AllData[[#This Row],[Time]]&gt;=0.5)=TRUE, "Afternoon", IF(AND(AllData[[#This Row],[Time]]&lt;1, AllData[[#This Row],[Time]]&gt;=0.75)=TRUE, "Evening", "Night")))</f>
        <v>Afternoon</v>
      </c>
      <c r="G1395" t="str">
        <f>_xlfn.XLOOKUP(AllData[[#This Row],[Location Name]], Locations[Location Name],Locations[Group As])</f>
        <v>Stour Ascott Village</v>
      </c>
      <c r="H1395" t="e" vm="1">
        <f>_xlfn.XLOOKUP(AllData[[#This Row],[Site Name]],LocationsKey[Site Name],LocationsKey[District])</f>
        <v>#VALUE!</v>
      </c>
      <c r="I1395" t="e" vm="25">
        <f>_xlfn.XLOOKUP(AllData[[#This Row],[Site Name]],LocationsKey[Site Name],LocationsKey[Town])</f>
        <v>#VALUE!</v>
      </c>
      <c r="J1395" t="str">
        <f>_xlfn.XLOOKUP(AllData[[#This Row],[Site Name]],LocationsKey[Site Name], LocationsKey[Waterway])</f>
        <v>Stour</v>
      </c>
      <c r="K1395" t="s">
        <v>927</v>
      </c>
      <c r="N1395" t="s">
        <v>68</v>
      </c>
      <c r="O1395">
        <v>546</v>
      </c>
      <c r="P1395">
        <v>15.5</v>
      </c>
      <c r="Q1395">
        <v>1.5</v>
      </c>
      <c r="R1395" s="107" t="str">
        <f>IF(AllData[[#This Row],[Nitrate (PPM)]]&gt;2, "Very high", IF(AllData[[#This Row],[Nitrate (PPM)]]&gt;1, "High", IF(AllData[[#This Row],[Nitrate (PPM)]]&gt;0.5, "Some evidence", IF(AllData[[#This Row],[Nitrate (PPM)]]&gt;=0, "No evidence"))))</f>
        <v>High</v>
      </c>
      <c r="S1395">
        <v>0.14000000000000001</v>
      </c>
      <c r="T1395" s="7" t="str">
        <f>IF(AllData[[#This Row],[Phosphate (PPM)]]&gt;0.5, "Very high", IF(AllData[[#This Row],[Phosphate (PPM)]]&gt;0.1, "High", IF(AllData[[#This Row],[Phosphate (PPM)]]&gt;0.05, "Some evidence", IF(AllData[[#This Row],[Phosphate (PPM)]]&lt;=0.05, "No Evidence", ""))))</f>
        <v>High</v>
      </c>
      <c r="U1395">
        <v>5</v>
      </c>
    </row>
    <row r="1396" spans="1:22" x14ac:dyDescent="0.35">
      <c r="A1396" t="s">
        <v>1445</v>
      </c>
      <c r="B1396" s="143">
        <v>45455</v>
      </c>
      <c r="C1396" s="2" t="str" cm="1">
        <f t="array" ref="C13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6">
        <f>YEAR(AllData[[#This Row],[Date]])</f>
        <v>2024</v>
      </c>
      <c r="E1396" s="1">
        <v>0.59444444444444444</v>
      </c>
      <c r="F1396" t="str">
        <f>IF(AND(AllData[[#This Row],[Time]]&lt;0.5, AllData[[#This Row],[Time]]&gt;0.17)=TRUE, "Morning", IF(AND(AllData[[#This Row],[Time]]&lt;0.75, AllData[[#This Row],[Time]]&gt;=0.5)=TRUE, "Afternoon", IF(AND(AllData[[#This Row],[Time]]&lt;1, AllData[[#This Row],[Time]]&gt;=0.75)=TRUE, "Evening", "Night")))</f>
        <v>Afternoon</v>
      </c>
      <c r="G1396" t="str">
        <f>_xlfn.XLOOKUP(AllData[[#This Row],[Location Name]], Locations[Location Name],Locations[Group As])</f>
        <v>Alveston Weir</v>
      </c>
      <c r="H1396" t="e" vm="1">
        <f>_xlfn.XLOOKUP(AllData[[#This Row],[Site Name]],LocationsKey[Site Name],LocationsKey[District])</f>
        <v>#VALUE!</v>
      </c>
      <c r="I1396" t="e" vm="2">
        <f>_xlfn.XLOOKUP(AllData[[#This Row],[Site Name]],LocationsKey[Site Name],LocationsKey[Town])</f>
        <v>#VALUE!</v>
      </c>
      <c r="J1396" t="str">
        <f>_xlfn.XLOOKUP(AllData[[#This Row],[Site Name]],LocationsKey[Site Name], LocationsKey[Waterway])</f>
        <v>Avon</v>
      </c>
      <c r="K1396" t="s">
        <v>288</v>
      </c>
      <c r="L1396">
        <v>52.212288999999998</v>
      </c>
      <c r="M1396">
        <v>-1.660452</v>
      </c>
      <c r="N1396" t="s">
        <v>31</v>
      </c>
      <c r="O1396">
        <v>858</v>
      </c>
      <c r="P1396">
        <v>15.7</v>
      </c>
      <c r="Q1396">
        <v>10</v>
      </c>
      <c r="R1396" s="107" t="str">
        <f>IF(AllData[[#This Row],[Nitrate (PPM)]]&gt;2, "Very high", IF(AllData[[#This Row],[Nitrate (PPM)]]&gt;1, "High", IF(AllData[[#This Row],[Nitrate (PPM)]]&gt;0.5, "Some evidence", IF(AllData[[#This Row],[Nitrate (PPM)]]&gt;=0, "No evidence"))))</f>
        <v>Very high</v>
      </c>
      <c r="S1396" s="4">
        <v>0.31</v>
      </c>
      <c r="T1396" s="7" t="str">
        <f>IF(AllData[[#This Row],[Phosphate (PPM)]]&gt;0.5, "Very high", IF(AllData[[#This Row],[Phosphate (PPM)]]&gt;0.1, "High", IF(AllData[[#This Row],[Phosphate (PPM)]]&gt;0.05, "Some evidence", IF(AllData[[#This Row],[Phosphate (PPM)]]&lt;=0.05, "No Evidence", ""))))</f>
        <v>High</v>
      </c>
      <c r="U1396">
        <v>0</v>
      </c>
      <c r="V1396" t="s">
        <v>1446</v>
      </c>
    </row>
    <row r="1397" spans="1:22" x14ac:dyDescent="0.35">
      <c r="A1397" t="s">
        <v>1447</v>
      </c>
      <c r="B1397" s="143">
        <v>45455</v>
      </c>
      <c r="C1397" s="2" t="str" cm="1">
        <f t="array" ref="C13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7">
        <f>YEAR(AllData[[#This Row],[Date]])</f>
        <v>2024</v>
      </c>
      <c r="E1397" s="1">
        <v>0.60416666666666663</v>
      </c>
      <c r="F1397" t="str">
        <f>IF(AND(AllData[[#This Row],[Time]]&lt;0.5, AllData[[#This Row],[Time]]&gt;0.17)=TRUE, "Morning", IF(AND(AllData[[#This Row],[Time]]&lt;0.75, AllData[[#This Row],[Time]]&gt;=0.5)=TRUE, "Afternoon", IF(AND(AllData[[#This Row],[Time]]&lt;1, AllData[[#This Row],[Time]]&gt;=0.75)=TRUE, "Evening", "Night")))</f>
        <v>Afternoon</v>
      </c>
      <c r="G1397" t="str">
        <f>_xlfn.XLOOKUP(AllData[[#This Row],[Location Name]], Locations[Location Name],Locations[Group As])</f>
        <v>Swiffen Bank</v>
      </c>
      <c r="H1397" t="e" vm="1">
        <f>_xlfn.XLOOKUP(AllData[[#This Row],[Site Name]],LocationsKey[Site Name],LocationsKey[District])</f>
        <v>#VALUE!</v>
      </c>
      <c r="I1397" t="e" vm="2">
        <f>_xlfn.XLOOKUP(AllData[[#This Row],[Site Name]],LocationsKey[Site Name],LocationsKey[Town])</f>
        <v>#VALUE!</v>
      </c>
      <c r="J1397" t="str">
        <f>_xlfn.XLOOKUP(AllData[[#This Row],[Site Name]],LocationsKey[Site Name], LocationsKey[Waterway])</f>
        <v>Avon</v>
      </c>
      <c r="K1397" t="s">
        <v>1448</v>
      </c>
      <c r="L1397">
        <v>52.206000000000003</v>
      </c>
      <c r="M1397">
        <v>-1.6539999999999999</v>
      </c>
      <c r="N1397" t="s">
        <v>31</v>
      </c>
      <c r="O1397">
        <v>729</v>
      </c>
      <c r="P1397">
        <v>16.7</v>
      </c>
      <c r="Q1397">
        <v>10</v>
      </c>
      <c r="R1397" s="107" t="str">
        <f>IF(AllData[[#This Row],[Nitrate (PPM)]]&gt;2, "Very high", IF(AllData[[#This Row],[Nitrate (PPM)]]&gt;1, "High", IF(AllData[[#This Row],[Nitrate (PPM)]]&gt;0.5, "Some evidence", IF(AllData[[#This Row],[Nitrate (PPM)]]&gt;=0, "No evidence"))))</f>
        <v>Very high</v>
      </c>
      <c r="S1397" s="4">
        <v>0.43</v>
      </c>
      <c r="T1397" s="7" t="str">
        <f>IF(AllData[[#This Row],[Phosphate (PPM)]]&gt;0.5, "Very high", IF(AllData[[#This Row],[Phosphate (PPM)]]&gt;0.1, "High", IF(AllData[[#This Row],[Phosphate (PPM)]]&gt;0.05, "Some evidence", IF(AllData[[#This Row],[Phosphate (PPM)]]&lt;=0.05, "No Evidence", ""))))</f>
        <v>High</v>
      </c>
      <c r="U1397">
        <v>0</v>
      </c>
      <c r="V1397" t="s">
        <v>1449</v>
      </c>
    </row>
    <row r="1398" spans="1:22" x14ac:dyDescent="0.35">
      <c r="A1398" t="s">
        <v>1450</v>
      </c>
      <c r="B1398" s="143">
        <v>45455</v>
      </c>
      <c r="C1398" s="2" t="str" cm="1">
        <f t="array" ref="C13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8">
        <f>YEAR(AllData[[#This Row],[Date]])</f>
        <v>2024</v>
      </c>
      <c r="E1398" s="1">
        <v>0.66666666666666663</v>
      </c>
      <c r="F1398" t="str">
        <f>IF(AND(AllData[[#This Row],[Time]]&lt;0.5, AllData[[#This Row],[Time]]&gt;0.17)=TRUE, "Morning", IF(AND(AllData[[#This Row],[Time]]&lt;0.75, AllData[[#This Row],[Time]]&gt;=0.5)=TRUE, "Afternoon", IF(AND(AllData[[#This Row],[Time]]&lt;1, AllData[[#This Row],[Time]]&gt;=0.75)=TRUE, "Evening", "Night")))</f>
        <v>Afternoon</v>
      </c>
      <c r="G1398" t="str">
        <f>_xlfn.XLOOKUP(AllData[[#This Row],[Location Name]], Locations[Location Name],Locations[Group As])</f>
        <v>Stour Newbold Mill</v>
      </c>
      <c r="H1398" t="e" vm="1">
        <f>_xlfn.XLOOKUP(AllData[[#This Row],[Site Name]],LocationsKey[Site Name],LocationsKey[District])</f>
        <v>#VALUE!</v>
      </c>
      <c r="I1398" t="e" vm="27">
        <f>_xlfn.XLOOKUP(AllData[[#This Row],[Site Name]],LocationsKey[Site Name],LocationsKey[Town])</f>
        <v>#VALUE!</v>
      </c>
      <c r="J1398" t="str">
        <f>_xlfn.XLOOKUP(AllData[[#This Row],[Site Name]],LocationsKey[Site Name], LocationsKey[Waterway])</f>
        <v>Stour</v>
      </c>
      <c r="K1398" t="s">
        <v>141</v>
      </c>
      <c r="N1398" t="s">
        <v>31</v>
      </c>
      <c r="O1398">
        <v>656</v>
      </c>
      <c r="P1398">
        <v>16</v>
      </c>
      <c r="Q1398">
        <v>2</v>
      </c>
      <c r="R1398" s="107" t="str">
        <f>IF(AllData[[#This Row],[Nitrate (PPM)]]&gt;2, "Very high", IF(AllData[[#This Row],[Nitrate (PPM)]]&gt;1, "High", IF(AllData[[#This Row],[Nitrate (PPM)]]&gt;0.5, "Some evidence", IF(AllData[[#This Row],[Nitrate (PPM)]]&gt;=0, "No evidence"))))</f>
        <v>High</v>
      </c>
      <c r="S1398" s="4">
        <v>0.22</v>
      </c>
      <c r="T1398" s="7" t="str">
        <f>IF(AllData[[#This Row],[Phosphate (PPM)]]&gt;0.5, "Very high", IF(AllData[[#This Row],[Phosphate (PPM)]]&gt;0.1, "High", IF(AllData[[#This Row],[Phosphate (PPM)]]&gt;0.05, "Some evidence", IF(AllData[[#This Row],[Phosphate (PPM)]]&lt;=0.05, "No Evidence", ""))))</f>
        <v>High</v>
      </c>
      <c r="U1398">
        <v>2</v>
      </c>
      <c r="V1398" t="s">
        <v>533</v>
      </c>
    </row>
    <row r="1399" spans="1:22" x14ac:dyDescent="0.35">
      <c r="A1399" t="s">
        <v>1444</v>
      </c>
      <c r="B1399" s="143">
        <v>45454</v>
      </c>
      <c r="C1399" s="2" t="str" cm="1">
        <f t="array" ref="C13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399">
        <f>YEAR(AllData[[#This Row],[Date]])</f>
        <v>2024</v>
      </c>
      <c r="E1399" s="1">
        <v>0.61250000000000004</v>
      </c>
      <c r="F1399" t="str">
        <f>IF(AND(AllData[[#This Row],[Time]]&lt;0.5, AllData[[#This Row],[Time]]&gt;0.17)=TRUE, "Morning", IF(AND(AllData[[#This Row],[Time]]&lt;0.75, AllData[[#This Row],[Time]]&gt;=0.5)=TRUE, "Afternoon", IF(AND(AllData[[#This Row],[Time]]&lt;1, AllData[[#This Row],[Time]]&gt;=0.75)=TRUE, "Evening", "Night")))</f>
        <v>Afternoon</v>
      </c>
      <c r="G1399" t="str">
        <f>_xlfn.XLOOKUP(AllData[[#This Row],[Location Name]], Locations[Location Name],Locations[Group As])</f>
        <v>Abbey Mill</v>
      </c>
      <c r="H1399" t="e" vm="4">
        <f>_xlfn.XLOOKUP(AllData[[#This Row],[Site Name]],LocationsKey[Site Name],LocationsKey[District])</f>
        <v>#VALUE!</v>
      </c>
      <c r="I1399" t="e" vm="4">
        <f>_xlfn.XLOOKUP(AllData[[#This Row],[Site Name]],LocationsKey[Site Name],LocationsKey[Town])</f>
        <v>#VALUE!</v>
      </c>
      <c r="J1399" t="str">
        <f>_xlfn.XLOOKUP(AllData[[#This Row],[Site Name]],LocationsKey[Site Name], LocationsKey[Waterway])</f>
        <v>Avon</v>
      </c>
      <c r="K1399" t="s">
        <v>27</v>
      </c>
      <c r="L1399">
        <v>51.991258000000002</v>
      </c>
      <c r="M1399">
        <v>-2.1627000000000001</v>
      </c>
      <c r="N1399" t="s">
        <v>25</v>
      </c>
      <c r="O1399">
        <v>979</v>
      </c>
      <c r="P1399">
        <v>16.5</v>
      </c>
      <c r="Q1399">
        <v>10</v>
      </c>
      <c r="R1399" s="107" t="str">
        <f>IF(AllData[[#This Row],[Nitrate (PPM)]]&gt;2, "Very high", IF(AllData[[#This Row],[Nitrate (PPM)]]&gt;1, "High", IF(AllData[[#This Row],[Nitrate (PPM)]]&gt;0.5, "Some evidence", IF(AllData[[#This Row],[Nitrate (PPM)]]&gt;=0, "No evidence"))))</f>
        <v>Very high</v>
      </c>
      <c r="S1399" s="4">
        <v>0.77</v>
      </c>
      <c r="T1399" s="7" t="str">
        <f>IF(AllData[[#This Row],[Phosphate (PPM)]]&gt;0.5, "Very high", IF(AllData[[#This Row],[Phosphate (PPM)]]&gt;0.1, "High", IF(AllData[[#This Row],[Phosphate (PPM)]]&gt;0.05, "Some evidence", IF(AllData[[#This Row],[Phosphate (PPM)]]&lt;=0.05, "No Evidence", ""))))</f>
        <v>Very high</v>
      </c>
      <c r="U1399">
        <v>0.6</v>
      </c>
    </row>
    <row r="1400" spans="1:22" x14ac:dyDescent="0.35">
      <c r="A1400" t="s">
        <v>1442</v>
      </c>
      <c r="B1400" s="143">
        <v>45454</v>
      </c>
      <c r="C1400" s="2" t="str" cm="1">
        <f t="array" ref="C14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0">
        <f>YEAR(AllData[[#This Row],[Date]])</f>
        <v>2024</v>
      </c>
      <c r="E1400" s="1">
        <v>0.44513888888888886</v>
      </c>
      <c r="F1400" t="str">
        <f>IF(AND(AllData[[#This Row],[Time]]&lt;0.5, AllData[[#This Row],[Time]]&gt;0.17)=TRUE, "Morning", IF(AND(AllData[[#This Row],[Time]]&lt;0.75, AllData[[#This Row],[Time]]&gt;=0.5)=TRUE, "Afternoon", IF(AND(AllData[[#This Row],[Time]]&lt;1, AllData[[#This Row],[Time]]&gt;=0.75)=TRUE, "Evening", "Night")))</f>
        <v>Morning</v>
      </c>
      <c r="G1400" t="str">
        <f>_xlfn.XLOOKUP(AllData[[#This Row],[Location Name]], Locations[Location Name],Locations[Group As])</f>
        <v>Carrant Mitton Path</v>
      </c>
      <c r="H1400" t="e" vm="4">
        <f>_xlfn.XLOOKUP(AllData[[#This Row],[Site Name]],LocationsKey[Site Name],LocationsKey[District])</f>
        <v>#VALUE!</v>
      </c>
      <c r="I1400" t="e" vm="4">
        <f>_xlfn.XLOOKUP(AllData[[#This Row],[Site Name]],LocationsKey[Site Name],LocationsKey[Town])</f>
        <v>#VALUE!</v>
      </c>
      <c r="J1400" t="str">
        <f>_xlfn.XLOOKUP(AllData[[#This Row],[Site Name]],LocationsKey[Site Name], LocationsKey[Waterway])</f>
        <v>Carrant</v>
      </c>
      <c r="K1400" t="s">
        <v>1064</v>
      </c>
      <c r="L1400">
        <v>51.999853000000002</v>
      </c>
      <c r="M1400">
        <v>-2.1410260000000001</v>
      </c>
      <c r="N1400" t="s">
        <v>25</v>
      </c>
      <c r="O1400">
        <v>707</v>
      </c>
      <c r="P1400">
        <v>14.5</v>
      </c>
      <c r="Q1400">
        <v>6</v>
      </c>
      <c r="R1400" s="107" t="str">
        <f>IF(AllData[[#This Row],[Nitrate (PPM)]]&gt;2, "Very high", IF(AllData[[#This Row],[Nitrate (PPM)]]&gt;1, "High", IF(AllData[[#This Row],[Nitrate (PPM)]]&gt;0.5, "Some evidence", IF(AllData[[#This Row],[Nitrate (PPM)]]&gt;=0, "No evidence"))))</f>
        <v>Very high</v>
      </c>
      <c r="S1400" s="4">
        <v>0.56000000000000005</v>
      </c>
      <c r="T1400" s="7" t="str">
        <f>IF(AllData[[#This Row],[Phosphate (PPM)]]&gt;0.5, "Very high", IF(AllData[[#This Row],[Phosphate (PPM)]]&gt;0.1, "High", IF(AllData[[#This Row],[Phosphate (PPM)]]&gt;0.05, "Some evidence", IF(AllData[[#This Row],[Phosphate (PPM)]]&lt;=0.05, "No Evidence", ""))))</f>
        <v>Very high</v>
      </c>
      <c r="U1400">
        <v>0</v>
      </c>
    </row>
    <row r="1401" spans="1:22" x14ac:dyDescent="0.35">
      <c r="A1401" t="s">
        <v>1443</v>
      </c>
      <c r="B1401" s="143">
        <v>45454</v>
      </c>
      <c r="C1401" s="2" t="str" cm="1">
        <f t="array" ref="C14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1">
        <f>YEAR(AllData[[#This Row],[Date]])</f>
        <v>2024</v>
      </c>
      <c r="E1401" s="1">
        <v>0.4597222222222222</v>
      </c>
      <c r="F1401" t="str">
        <f>IF(AND(AllData[[#This Row],[Time]]&lt;0.5, AllData[[#This Row],[Time]]&gt;0.17)=TRUE, "Morning", IF(AND(AllData[[#This Row],[Time]]&lt;0.75, AllData[[#This Row],[Time]]&gt;=0.5)=TRUE, "Afternoon", IF(AND(AllData[[#This Row],[Time]]&lt;1, AllData[[#This Row],[Time]]&gt;=0.75)=TRUE, "Evening", "Night")))</f>
        <v>Morning</v>
      </c>
      <c r="G1401" t="str">
        <f>_xlfn.XLOOKUP(AllData[[#This Row],[Location Name]], Locations[Location Name],Locations[Group As])</f>
        <v>Carrant M5 Bridge</v>
      </c>
      <c r="H1401" t="e" vm="4">
        <f>_xlfn.XLOOKUP(AllData[[#This Row],[Site Name]],LocationsKey[Site Name],LocationsKey[District])</f>
        <v>#VALUE!</v>
      </c>
      <c r="I1401" t="e" vm="4">
        <f>_xlfn.XLOOKUP(AllData[[#This Row],[Site Name]],LocationsKey[Site Name],LocationsKey[Town])</f>
        <v>#VALUE!</v>
      </c>
      <c r="J1401" t="str">
        <f>_xlfn.XLOOKUP(AllData[[#This Row],[Site Name]],LocationsKey[Site Name], LocationsKey[Waterway])</f>
        <v>Carrant</v>
      </c>
      <c r="K1401" t="s">
        <v>1066</v>
      </c>
      <c r="L1401">
        <v>52.011837</v>
      </c>
      <c r="M1401">
        <v>-2.1204269999999998</v>
      </c>
      <c r="N1401" t="s">
        <v>25</v>
      </c>
      <c r="O1401">
        <v>779</v>
      </c>
      <c r="P1401">
        <v>13.7</v>
      </c>
      <c r="Q1401">
        <v>5</v>
      </c>
      <c r="R1401" s="107" t="str">
        <f>IF(AllData[[#This Row],[Nitrate (PPM)]]&gt;2, "Very high", IF(AllData[[#This Row],[Nitrate (PPM)]]&gt;1, "High", IF(AllData[[#This Row],[Nitrate (PPM)]]&gt;0.5, "Some evidence", IF(AllData[[#This Row],[Nitrate (PPM)]]&gt;=0, "No evidence"))))</f>
        <v>Very high</v>
      </c>
      <c r="S1401" s="4">
        <v>0.4</v>
      </c>
      <c r="T1401" s="7" t="str">
        <f>IF(AllData[[#This Row],[Phosphate (PPM)]]&gt;0.5, "Very high", IF(AllData[[#This Row],[Phosphate (PPM)]]&gt;0.1, "High", IF(AllData[[#This Row],[Phosphate (PPM)]]&gt;0.05, "Some evidence", IF(AllData[[#This Row],[Phosphate (PPM)]]&lt;=0.05, "No Evidence", ""))))</f>
        <v>High</v>
      </c>
      <c r="U1401">
        <v>0</v>
      </c>
    </row>
    <row r="1402" spans="1:22" x14ac:dyDescent="0.35">
      <c r="A1402" t="s">
        <v>1439</v>
      </c>
      <c r="B1402" s="143">
        <v>45453</v>
      </c>
      <c r="C1402" s="2" t="str" cm="1">
        <f t="array" ref="C14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2">
        <f>YEAR(AllData[[#This Row],[Date]])</f>
        <v>2024</v>
      </c>
      <c r="E1402" s="1">
        <v>0.74513888888888891</v>
      </c>
      <c r="F1402" t="str">
        <f>IF(AND(AllData[[#This Row],[Time]]&lt;0.5, AllData[[#This Row],[Time]]&gt;0.17)=TRUE, "Morning", IF(AND(AllData[[#This Row],[Time]]&lt;0.75, AllData[[#This Row],[Time]]&gt;=0.5)=TRUE, "Afternoon", IF(AND(AllData[[#This Row],[Time]]&lt;1, AllData[[#This Row],[Time]]&gt;=0.75)=TRUE, "Evening", "Night")))</f>
        <v>Afternoon</v>
      </c>
      <c r="G1402" t="str">
        <f>_xlfn.XLOOKUP(AllData[[#This Row],[Location Name]], Locations[Location Name],Locations[Group As])</f>
        <v>Stour Stretton-on-Fosse Sewage Works</v>
      </c>
      <c r="H1402" t="e" vm="1">
        <f>_xlfn.XLOOKUP(AllData[[#This Row],[Site Name]],LocationsKey[Site Name],LocationsKey[District])</f>
        <v>#VALUE!</v>
      </c>
      <c r="I1402" t="e" vm="30">
        <f>_xlfn.XLOOKUP(AllData[[#This Row],[Site Name]],LocationsKey[Site Name],LocationsKey[Town])</f>
        <v>#VALUE!</v>
      </c>
      <c r="J1402" t="str">
        <f>_xlfn.XLOOKUP(AllData[[#This Row],[Site Name]],LocationsKey[Site Name], LocationsKey[Waterway])</f>
        <v>Stour</v>
      </c>
      <c r="K1402" t="s">
        <v>337</v>
      </c>
      <c r="L1402">
        <v>52.045664000000002</v>
      </c>
      <c r="M1402">
        <v>-1.671948</v>
      </c>
      <c r="N1402" t="s">
        <v>31</v>
      </c>
      <c r="O1402">
        <v>823</v>
      </c>
      <c r="P1402">
        <v>14.1</v>
      </c>
      <c r="Q1402">
        <v>5</v>
      </c>
      <c r="R1402" s="107" t="str">
        <f>IF(AllData[[#This Row],[Nitrate (PPM)]]&gt;2, "Very high", IF(AllData[[#This Row],[Nitrate (PPM)]]&gt;1, "High", IF(AllData[[#This Row],[Nitrate (PPM)]]&gt;0.5, "Some evidence", IF(AllData[[#This Row],[Nitrate (PPM)]]&gt;=0, "No evidence"))))</f>
        <v>Very high</v>
      </c>
      <c r="S1402" s="4">
        <v>2.5</v>
      </c>
      <c r="T1402" s="7" t="str">
        <f>IF(AllData[[#This Row],[Phosphate (PPM)]]&gt;0.5, "Very high", IF(AllData[[#This Row],[Phosphate (PPM)]]&gt;0.1, "High", IF(AllData[[#This Row],[Phosphate (PPM)]]&gt;0.05, "Some evidence", IF(AllData[[#This Row],[Phosphate (PPM)]]&lt;=0.05, "No Evidence", ""))))</f>
        <v>Very high</v>
      </c>
      <c r="U1402">
        <v>0.3</v>
      </c>
      <c r="V1402" t="s">
        <v>1438</v>
      </c>
    </row>
    <row r="1403" spans="1:22" x14ac:dyDescent="0.35">
      <c r="A1403" t="s">
        <v>1437</v>
      </c>
      <c r="B1403" s="143">
        <v>45453</v>
      </c>
      <c r="C1403" s="2" t="str" cm="1">
        <f t="array" ref="C14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3">
        <f>YEAR(AllData[[#This Row],[Date]])</f>
        <v>2024</v>
      </c>
      <c r="E1403" s="1">
        <v>0.73333333333333328</v>
      </c>
      <c r="F1403" t="str">
        <f>IF(AND(AllData[[#This Row],[Time]]&lt;0.5, AllData[[#This Row],[Time]]&gt;0.17)=TRUE, "Morning", IF(AND(AllData[[#This Row],[Time]]&lt;0.75, AllData[[#This Row],[Time]]&gt;=0.5)=TRUE, "Afternoon", IF(AND(AllData[[#This Row],[Time]]&lt;1, AllData[[#This Row],[Time]]&gt;=0.75)=TRUE, "Evening", "Night")))</f>
        <v>Afternoon</v>
      </c>
      <c r="G1403" t="str">
        <f>_xlfn.XLOOKUP(AllData[[#This Row],[Location Name]], Locations[Location Name],Locations[Group As])</f>
        <v>Stour Stretton-on-Fosse Village</v>
      </c>
      <c r="H1403" t="e" vm="1">
        <f>_xlfn.XLOOKUP(AllData[[#This Row],[Site Name]],LocationsKey[Site Name],LocationsKey[District])</f>
        <v>#VALUE!</v>
      </c>
      <c r="I1403" t="e" vm="30">
        <f>_xlfn.XLOOKUP(AllData[[#This Row],[Site Name]],LocationsKey[Site Name],LocationsKey[Town])</f>
        <v>#VALUE!</v>
      </c>
      <c r="J1403" t="str">
        <f>_xlfn.XLOOKUP(AllData[[#This Row],[Site Name]],LocationsKey[Site Name], LocationsKey[Waterway])</f>
        <v>Stour</v>
      </c>
      <c r="K1403" t="s">
        <v>548</v>
      </c>
      <c r="L1403">
        <v>52.046562000000002</v>
      </c>
      <c r="M1403">
        <v>-1.673435</v>
      </c>
      <c r="N1403" t="s">
        <v>68</v>
      </c>
      <c r="O1403">
        <v>700</v>
      </c>
      <c r="P1403">
        <v>12.7</v>
      </c>
      <c r="Q1403">
        <v>2</v>
      </c>
      <c r="R1403" s="107" t="str">
        <f>IF(AllData[[#This Row],[Nitrate (PPM)]]&gt;2, "Very high", IF(AllData[[#This Row],[Nitrate (PPM)]]&gt;1, "High", IF(AllData[[#This Row],[Nitrate (PPM)]]&gt;0.5, "Some evidence", IF(AllData[[#This Row],[Nitrate (PPM)]]&gt;=0, "No evidence"))))</f>
        <v>High</v>
      </c>
      <c r="S1403" s="4">
        <v>2.5</v>
      </c>
      <c r="T1403" s="7" t="str">
        <f>IF(AllData[[#This Row],[Phosphate (PPM)]]&gt;0.5, "Very high", IF(AllData[[#This Row],[Phosphate (PPM)]]&gt;0.1, "High", IF(AllData[[#This Row],[Phosphate (PPM)]]&gt;0.05, "Some evidence", IF(AllData[[#This Row],[Phosphate (PPM)]]&lt;=0.05, "No Evidence", ""))))</f>
        <v>Very high</v>
      </c>
      <c r="U1403">
        <v>0.2</v>
      </c>
      <c r="V1403" t="s">
        <v>1438</v>
      </c>
    </row>
    <row r="1404" spans="1:22" x14ac:dyDescent="0.35">
      <c r="A1404" t="s">
        <v>1440</v>
      </c>
      <c r="B1404" s="143">
        <v>45453</v>
      </c>
      <c r="C1404" s="2" t="str" cm="1">
        <f t="array" ref="C14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4">
        <f>YEAR(AllData[[#This Row],[Date]])</f>
        <v>2024</v>
      </c>
      <c r="E1404" s="1">
        <v>0.5</v>
      </c>
      <c r="F1404" t="str">
        <f>IF(AND(AllData[[#This Row],[Time]]&lt;0.5, AllData[[#This Row],[Time]]&gt;0.17)=TRUE, "Morning", IF(AND(AllData[[#This Row],[Time]]&lt;0.75, AllData[[#This Row],[Time]]&gt;=0.5)=TRUE, "Afternoon", IF(AND(AllData[[#This Row],[Time]]&lt;1, AllData[[#This Row],[Time]]&gt;=0.75)=TRUE, "Evening", "Night")))</f>
        <v>Afternoon</v>
      </c>
      <c r="G1404" t="str">
        <f>_xlfn.XLOOKUP(AllData[[#This Row],[Location Name]], Locations[Location Name],Locations[Group As])</f>
        <v>Stour Ascott Village</v>
      </c>
      <c r="H1404" t="e" vm="1">
        <f>_xlfn.XLOOKUP(AllData[[#This Row],[Site Name]],LocationsKey[Site Name],LocationsKey[District])</f>
        <v>#VALUE!</v>
      </c>
      <c r="I1404" t="e" vm="25">
        <f>_xlfn.XLOOKUP(AllData[[#This Row],[Site Name]],LocationsKey[Site Name],LocationsKey[Town])</f>
        <v>#VALUE!</v>
      </c>
      <c r="J1404" t="str">
        <f>_xlfn.XLOOKUP(AllData[[#This Row],[Site Name]],LocationsKey[Site Name], LocationsKey[Waterway])</f>
        <v>Stour</v>
      </c>
      <c r="K1404" t="s">
        <v>1441</v>
      </c>
      <c r="N1404" t="s">
        <v>68</v>
      </c>
      <c r="O1404">
        <v>5.44</v>
      </c>
      <c r="P1404">
        <v>13.8</v>
      </c>
      <c r="Q1404">
        <v>2</v>
      </c>
      <c r="R1404" s="107" t="str">
        <f>IF(AllData[[#This Row],[Nitrate (PPM)]]&gt;2, "Very high", IF(AllData[[#This Row],[Nitrate (PPM)]]&gt;1, "High", IF(AllData[[#This Row],[Nitrate (PPM)]]&gt;0.5, "Some evidence", IF(AllData[[#This Row],[Nitrate (PPM)]]&gt;=0, "No evidence"))))</f>
        <v>High</v>
      </c>
      <c r="S1404">
        <v>0.12</v>
      </c>
      <c r="T1404" s="7" t="str">
        <f>IF(AllData[[#This Row],[Phosphate (PPM)]]&gt;0.5, "Very high", IF(AllData[[#This Row],[Phosphate (PPM)]]&gt;0.1, "High", IF(AllData[[#This Row],[Phosphate (PPM)]]&gt;0.05, "Some evidence", IF(AllData[[#This Row],[Phosphate (PPM)]]&lt;=0.05, "No Evidence", ""))))</f>
        <v>High</v>
      </c>
      <c r="U1404">
        <v>7</v>
      </c>
    </row>
    <row r="1405" spans="1:22" x14ac:dyDescent="0.35">
      <c r="A1405" t="s">
        <v>1435</v>
      </c>
      <c r="B1405" s="143">
        <v>45452</v>
      </c>
      <c r="C1405" s="2" t="str" cm="1">
        <f t="array" ref="C14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5">
        <f>YEAR(AllData[[#This Row],[Date]])</f>
        <v>2024</v>
      </c>
      <c r="E1405" s="1"/>
      <c r="F1405" t="str">
        <f>IF(AND(AllData[[#This Row],[Time]]&lt;0.5, AllData[[#This Row],[Time]]&gt;0.17)=TRUE, "Morning", IF(AND(AllData[[#This Row],[Time]]&lt;0.75, AllData[[#This Row],[Time]]&gt;=0.5)=TRUE, "Afternoon", IF(AND(AllData[[#This Row],[Time]]&lt;1, AllData[[#This Row],[Time]]&gt;=0.75)=TRUE, "Evening", "Night")))</f>
        <v>Night</v>
      </c>
      <c r="G1405" t="str">
        <f>_xlfn.XLOOKUP(AllData[[#This Row],[Location Name]], Locations[Location Name],Locations[Group As])</f>
        <v>Site 3  :  Severn Trent Water processing plant outflow</v>
      </c>
      <c r="H1405" t="e" vm="1">
        <f>_xlfn.XLOOKUP(AllData[[#This Row],[Site Name]],LocationsKey[Site Name],LocationsKey[District])</f>
        <v>#VALUE!</v>
      </c>
      <c r="I1405" t="e" vm="14">
        <f>_xlfn.XLOOKUP(AllData[[#This Row],[Site Name]],LocationsKey[Site Name],LocationsKey[Town])</f>
        <v>#VALUE!</v>
      </c>
      <c r="J1405" t="str">
        <f>_xlfn.XLOOKUP(AllData[[#This Row],[Site Name]],LocationsKey[Site Name], LocationsKey[Waterway])</f>
        <v>Fosseway Brook</v>
      </c>
      <c r="K1405" t="s">
        <v>676</v>
      </c>
      <c r="L1405">
        <v>52.094484999999999</v>
      </c>
      <c r="M1405">
        <v>-1.6757979999999999</v>
      </c>
      <c r="N1405" t="s">
        <v>31</v>
      </c>
      <c r="O1405">
        <v>923</v>
      </c>
      <c r="P1405">
        <v>15.7</v>
      </c>
      <c r="Q1405">
        <v>10</v>
      </c>
      <c r="R1405" s="107" t="str">
        <f>IF(AllData[[#This Row],[Nitrate (PPM)]]&gt;2, "Very high", IF(AllData[[#This Row],[Nitrate (PPM)]]&gt;1, "High", IF(AllData[[#This Row],[Nitrate (PPM)]]&gt;0.5, "Some evidence", IF(AllData[[#This Row],[Nitrate (PPM)]]&gt;=0, "No evidence"))))</f>
        <v>Very high</v>
      </c>
      <c r="S1405" s="4">
        <v>2.5</v>
      </c>
      <c r="T1405" s="7" t="str">
        <f>IF(AllData[[#This Row],[Phosphate (PPM)]]&gt;0.5, "Very high", IF(AllData[[#This Row],[Phosphate (PPM)]]&gt;0.1, "High", IF(AllData[[#This Row],[Phosphate (PPM)]]&gt;0.05, "Some evidence", IF(AllData[[#This Row],[Phosphate (PPM)]]&lt;=0.05, "No Evidence", ""))))</f>
        <v>Very high</v>
      </c>
    </row>
    <row r="1406" spans="1:22" x14ac:dyDescent="0.35">
      <c r="A1406" t="s">
        <v>1434</v>
      </c>
      <c r="B1406" s="143">
        <v>45452</v>
      </c>
      <c r="C1406" s="2" t="str" cm="1">
        <f t="array" ref="C14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6">
        <f>YEAR(AllData[[#This Row],[Date]])</f>
        <v>2024</v>
      </c>
      <c r="F1406" t="str">
        <f>IF(AND(AllData[[#This Row],[Time]]&lt;0.5, AllData[[#This Row],[Time]]&gt;0.17)=TRUE, "Morning", IF(AND(AllData[[#This Row],[Time]]&lt;0.75, AllData[[#This Row],[Time]]&gt;=0.5)=TRUE, "Afternoon", IF(AND(AllData[[#This Row],[Time]]&lt;1, AllData[[#This Row],[Time]]&gt;=0.75)=TRUE, "Evening", "Night")))</f>
        <v>Night</v>
      </c>
      <c r="G1406" t="str">
        <f>_xlfn.XLOOKUP(AllData[[#This Row],[Location Name]], Locations[Location Name],Locations[Group As])</f>
        <v>Site 3  :  Severn Trent Water processing plant outflow</v>
      </c>
      <c r="H1406" t="e" vm="1">
        <f>_xlfn.XLOOKUP(AllData[[#This Row],[Site Name]],LocationsKey[Site Name],LocationsKey[District])</f>
        <v>#VALUE!</v>
      </c>
      <c r="I1406" t="e" vm="14">
        <f>_xlfn.XLOOKUP(AllData[[#This Row],[Site Name]],LocationsKey[Site Name],LocationsKey[Town])</f>
        <v>#VALUE!</v>
      </c>
      <c r="J1406" t="str">
        <f>_xlfn.XLOOKUP(AllData[[#This Row],[Site Name]],LocationsKey[Site Name], LocationsKey[Waterway])</f>
        <v>Fosseway Brook</v>
      </c>
      <c r="K1406" t="s">
        <v>673</v>
      </c>
      <c r="L1406">
        <v>52.094484999999999</v>
      </c>
      <c r="M1406">
        <v>-1.6757979999999999</v>
      </c>
      <c r="N1406" t="s">
        <v>31</v>
      </c>
      <c r="O1406">
        <v>923</v>
      </c>
      <c r="P1406">
        <v>15.7</v>
      </c>
      <c r="Q1406">
        <v>10</v>
      </c>
      <c r="R1406" s="107" t="str">
        <f>IF(AllData[[#This Row],[Nitrate (PPM)]]&gt;2, "Very high", IF(AllData[[#This Row],[Nitrate (PPM)]]&gt;1, "High", IF(AllData[[#This Row],[Nitrate (PPM)]]&gt;0.5, "Some evidence", IF(AllData[[#This Row],[Nitrate (PPM)]]&gt;=0, "No evidence"))))</f>
        <v>Very high</v>
      </c>
      <c r="S1406" s="4">
        <v>2.5</v>
      </c>
      <c r="T1406" s="7" t="str">
        <f>IF(AllData[[#This Row],[Phosphate (PPM)]]&gt;0.5, "Very high", IF(AllData[[#This Row],[Phosphate (PPM)]]&gt;0.1, "High", IF(AllData[[#This Row],[Phosphate (PPM)]]&gt;0.05, "Some evidence", IF(AllData[[#This Row],[Phosphate (PPM)]]&lt;=0.05, "No Evidence", ""))))</f>
        <v>Very high</v>
      </c>
      <c r="U1406">
        <v>0</v>
      </c>
      <c r="V1406" t="s">
        <v>840</v>
      </c>
    </row>
    <row r="1407" spans="1:22" x14ac:dyDescent="0.35">
      <c r="A1407" t="s">
        <v>1427</v>
      </c>
      <c r="B1407" s="143">
        <v>45452</v>
      </c>
      <c r="C1407" s="2" t="str" cm="1">
        <f t="array" ref="C14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7">
        <f>YEAR(AllData[[#This Row],[Date]])</f>
        <v>2024</v>
      </c>
      <c r="E1407" s="1">
        <v>0.82777777777777772</v>
      </c>
      <c r="F1407" t="str">
        <f>IF(AND(AllData[[#This Row],[Time]]&lt;0.5, AllData[[#This Row],[Time]]&gt;0.17)=TRUE, "Morning", IF(AND(AllData[[#This Row],[Time]]&lt;0.75, AllData[[#This Row],[Time]]&gt;=0.5)=TRUE, "Afternoon", IF(AND(AllData[[#This Row],[Time]]&lt;1, AllData[[#This Row],[Time]]&gt;=0.75)=TRUE, "Evening", "Night")))</f>
        <v>Evening</v>
      </c>
      <c r="G1407" t="str">
        <f>_xlfn.XLOOKUP(AllData[[#This Row],[Location Name]], Locations[Location Name],Locations[Group As])</f>
        <v>The Ford, Langley</v>
      </c>
      <c r="H1407" t="e" vm="1">
        <f>_xlfn.XLOOKUP(AllData[[#This Row],[Site Name]],LocationsKey[Site Name],LocationsKey[District])</f>
        <v>#VALUE!</v>
      </c>
      <c r="I1407" t="str">
        <f>_xlfn.XLOOKUP(AllData[[#This Row],[Site Name]],LocationsKey[Site Name],LocationsKey[Town])</f>
        <v>Langley</v>
      </c>
      <c r="J1407" t="str">
        <f>_xlfn.XLOOKUP(AllData[[#This Row],[Site Name]],LocationsKey[Site Name], LocationsKey[Waterway])</f>
        <v>Langley Ford</v>
      </c>
      <c r="K1407" t="s">
        <v>561</v>
      </c>
      <c r="L1407">
        <v>52.259824000000002</v>
      </c>
      <c r="M1407">
        <v>-1.718574</v>
      </c>
      <c r="N1407" t="s">
        <v>31</v>
      </c>
      <c r="O1407">
        <v>811</v>
      </c>
      <c r="P1407">
        <v>12.5</v>
      </c>
      <c r="Q1407">
        <v>5</v>
      </c>
      <c r="R1407" s="107" t="str">
        <f>IF(AllData[[#This Row],[Nitrate (PPM)]]&gt;2, "Very high", IF(AllData[[#This Row],[Nitrate (PPM)]]&gt;1, "High", IF(AllData[[#This Row],[Nitrate (PPM)]]&gt;0.5, "Some evidence", IF(AllData[[#This Row],[Nitrate (PPM)]]&gt;=0, "No evidence"))))</f>
        <v>Very high</v>
      </c>
      <c r="S1407" s="4">
        <v>0.56000000000000005</v>
      </c>
      <c r="T1407" s="7" t="str">
        <f>IF(AllData[[#This Row],[Phosphate (PPM)]]&gt;0.5, "Very high", IF(AllData[[#This Row],[Phosphate (PPM)]]&gt;0.1, "High", IF(AllData[[#This Row],[Phosphate (PPM)]]&gt;0.05, "Some evidence", IF(AllData[[#This Row],[Phosphate (PPM)]]&lt;=0.05, "No Evidence", ""))))</f>
        <v>Very high</v>
      </c>
      <c r="U1407">
        <v>0.15</v>
      </c>
    </row>
    <row r="1408" spans="1:22" x14ac:dyDescent="0.35">
      <c r="A1408" t="s">
        <v>1433</v>
      </c>
      <c r="B1408" s="143">
        <v>45452</v>
      </c>
      <c r="C1408" s="2" t="str" cm="1">
        <f t="array" ref="C14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8">
        <f>YEAR(AllData[[#This Row],[Date]])</f>
        <v>2024</v>
      </c>
      <c r="E1408" s="1"/>
      <c r="F1408" t="str">
        <f>IF(AND(AllData[[#This Row],[Time]]&lt;0.5, AllData[[#This Row],[Time]]&gt;0.17)=TRUE, "Morning", IF(AND(AllData[[#This Row],[Time]]&lt;0.75, AllData[[#This Row],[Time]]&gt;=0.5)=TRUE, "Afternoon", IF(AND(AllData[[#This Row],[Time]]&lt;1, AllData[[#This Row],[Time]]&gt;=0.75)=TRUE, "Evening", "Night")))</f>
        <v>Night</v>
      </c>
      <c r="G1408" t="str">
        <f>_xlfn.XLOOKUP(AllData[[#This Row],[Location Name]], Locations[Location Name],Locations[Group As])</f>
        <v>Site 2  :  Cross Leys culvert</v>
      </c>
      <c r="H1408" t="e" vm="1">
        <f>_xlfn.XLOOKUP(AllData[[#This Row],[Site Name]],LocationsKey[Site Name],LocationsKey[District])</f>
        <v>#VALUE!</v>
      </c>
      <c r="I1408" t="e" vm="14">
        <f>_xlfn.XLOOKUP(AllData[[#This Row],[Site Name]],LocationsKey[Site Name],LocationsKey[Town])</f>
        <v>#VALUE!</v>
      </c>
      <c r="J1408" t="str">
        <f>_xlfn.XLOOKUP(AllData[[#This Row],[Site Name]],LocationsKey[Site Name], LocationsKey[Waterway])</f>
        <v>Fosseway Brook</v>
      </c>
      <c r="K1408" t="s">
        <v>626</v>
      </c>
      <c r="L1408">
        <v>52.093029000000001</v>
      </c>
      <c r="M1408">
        <v>-1.6863349999999999</v>
      </c>
      <c r="N1408" t="s">
        <v>68</v>
      </c>
      <c r="O1408">
        <v>742</v>
      </c>
      <c r="P1408">
        <v>13.3</v>
      </c>
      <c r="Q1408">
        <v>2</v>
      </c>
      <c r="R1408" s="107" t="str">
        <f>IF(AllData[[#This Row],[Nitrate (PPM)]]&gt;2, "Very high", IF(AllData[[#This Row],[Nitrate (PPM)]]&gt;1, "High", IF(AllData[[#This Row],[Nitrate (PPM)]]&gt;0.5, "Some evidence", IF(AllData[[#This Row],[Nitrate (PPM)]]&gt;=0, "No evidence"))))</f>
        <v>High</v>
      </c>
      <c r="S1408" s="4">
        <v>0.59</v>
      </c>
      <c r="T1408" s="7" t="str">
        <f>IF(AllData[[#This Row],[Phosphate (PPM)]]&gt;0.5, "Very high", IF(AllData[[#This Row],[Phosphate (PPM)]]&gt;0.1, "High", IF(AllData[[#This Row],[Phosphate (PPM)]]&gt;0.05, "Some evidence", IF(AllData[[#This Row],[Phosphate (PPM)]]&lt;=0.05, "No Evidence", ""))))</f>
        <v>Very high</v>
      </c>
    </row>
    <row r="1409" spans="1:22" x14ac:dyDescent="0.35">
      <c r="A1409" t="s">
        <v>1432</v>
      </c>
      <c r="B1409" s="143">
        <v>45452</v>
      </c>
      <c r="C1409" s="2" t="str" cm="1">
        <f t="array" ref="C14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09">
        <f>YEAR(AllData[[#This Row],[Date]])</f>
        <v>2024</v>
      </c>
      <c r="F1409" t="str">
        <f>IF(AND(AllData[[#This Row],[Time]]&lt;0.5, AllData[[#This Row],[Time]]&gt;0.17)=TRUE, "Morning", IF(AND(AllData[[#This Row],[Time]]&lt;0.75, AllData[[#This Row],[Time]]&gt;=0.5)=TRUE, "Afternoon", IF(AND(AllData[[#This Row],[Time]]&lt;1, AllData[[#This Row],[Time]]&gt;=0.75)=TRUE, "Evening", "Night")))</f>
        <v>Night</v>
      </c>
      <c r="G1409" t="str">
        <f>_xlfn.XLOOKUP(AllData[[#This Row],[Location Name]], Locations[Location Name],Locations[Group As])</f>
        <v>Site 2  :  Cross Leys culvert</v>
      </c>
      <c r="H1409" t="e" vm="1">
        <f>_xlfn.XLOOKUP(AllData[[#This Row],[Site Name]],LocationsKey[Site Name],LocationsKey[District])</f>
        <v>#VALUE!</v>
      </c>
      <c r="I1409" t="e" vm="14">
        <f>_xlfn.XLOOKUP(AllData[[#This Row],[Site Name]],LocationsKey[Site Name],LocationsKey[Town])</f>
        <v>#VALUE!</v>
      </c>
      <c r="J1409" t="str">
        <f>_xlfn.XLOOKUP(AllData[[#This Row],[Site Name]],LocationsKey[Site Name], LocationsKey[Waterway])</f>
        <v>Fosseway Brook</v>
      </c>
      <c r="K1409" t="s">
        <v>623</v>
      </c>
      <c r="L1409">
        <v>52.093029000000001</v>
      </c>
      <c r="M1409">
        <v>-1.6863349999999999</v>
      </c>
      <c r="N1409" t="s">
        <v>68</v>
      </c>
      <c r="O1409">
        <v>742</v>
      </c>
      <c r="P1409">
        <v>13.3</v>
      </c>
      <c r="Q1409">
        <v>2</v>
      </c>
      <c r="R1409" s="107" t="str">
        <f>IF(AllData[[#This Row],[Nitrate (PPM)]]&gt;2, "Very high", IF(AllData[[#This Row],[Nitrate (PPM)]]&gt;1, "High", IF(AllData[[#This Row],[Nitrate (PPM)]]&gt;0.5, "Some evidence", IF(AllData[[#This Row],[Nitrate (PPM)]]&gt;=0, "No evidence"))))</f>
        <v>High</v>
      </c>
      <c r="S1409" s="4">
        <v>0.59</v>
      </c>
      <c r="T1409" s="7" t="str">
        <f>IF(AllData[[#This Row],[Phosphate (PPM)]]&gt;0.5, "Very high", IF(AllData[[#This Row],[Phosphate (PPM)]]&gt;0.1, "High", IF(AllData[[#This Row],[Phosphate (PPM)]]&gt;0.05, "Some evidence", IF(AllData[[#This Row],[Phosphate (PPM)]]&lt;=0.05, "No Evidence", ""))))</f>
        <v>Very high</v>
      </c>
      <c r="U1409">
        <v>0</v>
      </c>
      <c r="V1409" t="s">
        <v>835</v>
      </c>
    </row>
    <row r="1410" spans="1:22" x14ac:dyDescent="0.35">
      <c r="A1410" t="s">
        <v>1430</v>
      </c>
      <c r="B1410" s="143">
        <v>45452</v>
      </c>
      <c r="C1410" s="2" t="str" cm="1">
        <f t="array" ref="C14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0">
        <f>YEAR(AllData[[#This Row],[Date]])</f>
        <v>2024</v>
      </c>
      <c r="E1410" s="1"/>
      <c r="F1410" t="str">
        <f>IF(AND(AllData[[#This Row],[Time]]&lt;0.5, AllData[[#This Row],[Time]]&gt;0.17)=TRUE, "Morning", IF(AND(AllData[[#This Row],[Time]]&lt;0.75, AllData[[#This Row],[Time]]&gt;=0.5)=TRUE, "Afternoon", IF(AND(AllData[[#This Row],[Time]]&lt;1, AllData[[#This Row],[Time]]&gt;=0.75)=TRUE, "Evening", "Night")))</f>
        <v>Night</v>
      </c>
      <c r="G1410" t="str">
        <f>_xlfn.XLOOKUP(AllData[[#This Row],[Location Name]], Locations[Location Name],Locations[Group As])</f>
        <v>Site 1  :  Middle Street</v>
      </c>
      <c r="H1410" t="e" vm="1">
        <f>_xlfn.XLOOKUP(AllData[[#This Row],[Site Name]],LocationsKey[Site Name],LocationsKey[District])</f>
        <v>#VALUE!</v>
      </c>
      <c r="I1410" t="e" vm="14">
        <f>_xlfn.XLOOKUP(AllData[[#This Row],[Site Name]],LocationsKey[Site Name],LocationsKey[Town])</f>
        <v>#VALUE!</v>
      </c>
      <c r="J1410" t="str">
        <f>_xlfn.XLOOKUP(AllData[[#This Row],[Site Name]],LocationsKey[Site Name], LocationsKey[Waterway])</f>
        <v>Fosseway Brook</v>
      </c>
      <c r="K1410" t="s">
        <v>670</v>
      </c>
      <c r="L1410">
        <v>52.090057999999999</v>
      </c>
      <c r="M1410">
        <v>-1.6927080000000001</v>
      </c>
      <c r="N1410" t="s">
        <v>68</v>
      </c>
      <c r="O1410">
        <v>640</v>
      </c>
      <c r="P1410">
        <v>17.2</v>
      </c>
      <c r="Q1410">
        <v>2</v>
      </c>
      <c r="R1410" s="107" t="str">
        <f>IF(AllData[[#This Row],[Nitrate (PPM)]]&gt;2, "Very high", IF(AllData[[#This Row],[Nitrate (PPM)]]&gt;1, "High", IF(AllData[[#This Row],[Nitrate (PPM)]]&gt;0.5, "Some evidence", IF(AllData[[#This Row],[Nitrate (PPM)]]&gt;=0, "No evidence"))))</f>
        <v>High</v>
      </c>
      <c r="S1410" s="4">
        <v>0.13</v>
      </c>
      <c r="T1410" s="7" t="str">
        <f>IF(AllData[[#This Row],[Phosphate (PPM)]]&gt;0.5, "Very high", IF(AllData[[#This Row],[Phosphate (PPM)]]&gt;0.1, "High", IF(AllData[[#This Row],[Phosphate (PPM)]]&gt;0.05, "Some evidence", IF(AllData[[#This Row],[Phosphate (PPM)]]&lt;=0.05, "No Evidence", ""))))</f>
        <v>High</v>
      </c>
      <c r="V1410" t="s">
        <v>1431</v>
      </c>
    </row>
    <row r="1411" spans="1:22" x14ac:dyDescent="0.35">
      <c r="A1411" t="s">
        <v>1428</v>
      </c>
      <c r="B1411" s="143">
        <v>45452</v>
      </c>
      <c r="C1411" s="2" t="str" cm="1">
        <f t="array" ref="C14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1">
        <f>YEAR(AllData[[#This Row],[Date]])</f>
        <v>2024</v>
      </c>
      <c r="F1411" t="str">
        <f>IF(AND(AllData[[#This Row],[Time]]&lt;0.5, AllData[[#This Row],[Time]]&gt;0.17)=TRUE, "Morning", IF(AND(AllData[[#This Row],[Time]]&lt;0.75, AllData[[#This Row],[Time]]&gt;=0.5)=TRUE, "Afternoon", IF(AND(AllData[[#This Row],[Time]]&lt;1, AllData[[#This Row],[Time]]&gt;=0.75)=TRUE, "Evening", "Night")))</f>
        <v>Night</v>
      </c>
      <c r="G1411" t="str">
        <f>_xlfn.XLOOKUP(AllData[[#This Row],[Location Name]], Locations[Location Name],Locations[Group As])</f>
        <v>Site 1  :  Middle Street</v>
      </c>
      <c r="H1411" t="e" vm="1">
        <f>_xlfn.XLOOKUP(AllData[[#This Row],[Site Name]],LocationsKey[Site Name],LocationsKey[District])</f>
        <v>#VALUE!</v>
      </c>
      <c r="I1411" t="e" vm="14">
        <f>_xlfn.XLOOKUP(AllData[[#This Row],[Site Name]],LocationsKey[Site Name],LocationsKey[Town])</f>
        <v>#VALUE!</v>
      </c>
      <c r="J1411" t="str">
        <f>_xlfn.XLOOKUP(AllData[[#This Row],[Site Name]],LocationsKey[Site Name], LocationsKey[Waterway])</f>
        <v>Fosseway Brook</v>
      </c>
      <c r="K1411" t="s">
        <v>667</v>
      </c>
      <c r="L1411">
        <v>52.090057999999999</v>
      </c>
      <c r="M1411">
        <v>-1.6927080000000001</v>
      </c>
      <c r="N1411" t="s">
        <v>68</v>
      </c>
      <c r="O1411">
        <v>640</v>
      </c>
      <c r="P1411">
        <v>17.2</v>
      </c>
      <c r="Q1411">
        <v>2</v>
      </c>
      <c r="R1411" s="107" t="str">
        <f>IF(AllData[[#This Row],[Nitrate (PPM)]]&gt;2, "Very high", IF(AllData[[#This Row],[Nitrate (PPM)]]&gt;1, "High", IF(AllData[[#This Row],[Nitrate (PPM)]]&gt;0.5, "Some evidence", IF(AllData[[#This Row],[Nitrate (PPM)]]&gt;=0, "No evidence"))))</f>
        <v>High</v>
      </c>
      <c r="S1411" s="4">
        <v>0.13</v>
      </c>
      <c r="T1411" s="7" t="str">
        <f>IF(AllData[[#This Row],[Phosphate (PPM)]]&gt;0.5, "Very high", IF(AllData[[#This Row],[Phosphate (PPM)]]&gt;0.1, "High", IF(AllData[[#This Row],[Phosphate (PPM)]]&gt;0.05, "Some evidence", IF(AllData[[#This Row],[Phosphate (PPM)]]&lt;=0.05, "No Evidence", ""))))</f>
        <v>High</v>
      </c>
      <c r="U1411">
        <v>0</v>
      </c>
      <c r="V1411" t="s">
        <v>1429</v>
      </c>
    </row>
    <row r="1412" spans="1:22" x14ac:dyDescent="0.35">
      <c r="A1412" t="s">
        <v>1436</v>
      </c>
      <c r="B1412" s="143">
        <v>45452</v>
      </c>
      <c r="C1412" s="2" t="str" cm="1">
        <f t="array" ref="C14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2">
        <f>YEAR(AllData[[#This Row],[Date]])</f>
        <v>2024</v>
      </c>
      <c r="E1412" s="1">
        <v>0.47847222222222224</v>
      </c>
      <c r="F1412" t="str">
        <f>IF(AND(AllData[[#This Row],[Time]]&lt;0.5, AllData[[#This Row],[Time]]&gt;0.17)=TRUE, "Morning", IF(AND(AllData[[#This Row],[Time]]&lt;0.75, AllData[[#This Row],[Time]]&gt;=0.5)=TRUE, "Afternoon", IF(AND(AllData[[#This Row],[Time]]&lt;1, AllData[[#This Row],[Time]]&gt;=0.75)=TRUE, "Evening", "Night")))</f>
        <v>Morning</v>
      </c>
      <c r="G1412" t="str">
        <f>_xlfn.XLOOKUP(AllData[[#This Row],[Location Name]], Locations[Location Name],Locations[Group As])</f>
        <v>Site 1  :  Middle Street</v>
      </c>
      <c r="H1412" t="e" vm="1">
        <f>_xlfn.XLOOKUP(AllData[[#This Row],[Site Name]],LocationsKey[Site Name],LocationsKey[District])</f>
        <v>#VALUE!</v>
      </c>
      <c r="I1412" t="e" vm="14">
        <f>_xlfn.XLOOKUP(AllData[[#This Row],[Site Name]],LocationsKey[Site Name],LocationsKey[Town])</f>
        <v>#VALUE!</v>
      </c>
      <c r="J1412" t="str">
        <f>_xlfn.XLOOKUP(AllData[[#This Row],[Site Name]],LocationsKey[Site Name], LocationsKey[Waterway])</f>
        <v>Fosseway Brook</v>
      </c>
      <c r="K1412" t="s">
        <v>678</v>
      </c>
      <c r="L1412">
        <v>52.090085000000002</v>
      </c>
      <c r="M1412">
        <v>-1.692593</v>
      </c>
      <c r="N1412" t="s">
        <v>68</v>
      </c>
      <c r="O1412">
        <v>640</v>
      </c>
      <c r="P1412">
        <v>17.2</v>
      </c>
      <c r="Q1412">
        <v>2</v>
      </c>
      <c r="R1412" s="107" t="str">
        <f>IF(AllData[[#This Row],[Nitrate (PPM)]]&gt;2, "Very high", IF(AllData[[#This Row],[Nitrate (PPM)]]&gt;1, "High", IF(AllData[[#This Row],[Nitrate (PPM)]]&gt;0.5, "Some evidence", IF(AllData[[#This Row],[Nitrate (PPM)]]&gt;=0, "No evidence"))))</f>
        <v>High</v>
      </c>
      <c r="S1412">
        <v>0.13</v>
      </c>
      <c r="T1412" s="7" t="str">
        <f>IF(AllData[[#This Row],[Phosphate (PPM)]]&gt;0.5, "Very high", IF(AllData[[#This Row],[Phosphate (PPM)]]&gt;0.1, "High", IF(AllData[[#This Row],[Phosphate (PPM)]]&gt;0.05, "Some evidence", IF(AllData[[#This Row],[Phosphate (PPM)]]&lt;=0.05, "No Evidence", ""))))</f>
        <v>High</v>
      </c>
      <c r="U1412">
        <v>0.05</v>
      </c>
    </row>
    <row r="1413" spans="1:22" x14ac:dyDescent="0.35">
      <c r="A1413" t="s">
        <v>1415</v>
      </c>
      <c r="B1413" s="143">
        <v>45451</v>
      </c>
      <c r="C1413" s="2" t="str" cm="1">
        <f t="array" ref="C14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3">
        <f>YEAR(AllData[[#This Row],[Date]])</f>
        <v>2024</v>
      </c>
      <c r="E1413" s="1">
        <v>0.39583333333333331</v>
      </c>
      <c r="F1413" t="str">
        <f>IF(AND(AllData[[#This Row],[Time]]&lt;0.5, AllData[[#This Row],[Time]]&gt;0.17)=TRUE, "Morning", IF(AND(AllData[[#This Row],[Time]]&lt;0.75, AllData[[#This Row],[Time]]&gt;=0.5)=TRUE, "Afternoon", IF(AND(AllData[[#This Row],[Time]]&lt;1, AllData[[#This Row],[Time]]&gt;=0.75)=TRUE, "Evening", "Night")))</f>
        <v>Morning</v>
      </c>
      <c r="G1413" t="str">
        <f>_xlfn.XLOOKUP(AllData[[#This Row],[Location Name]], Locations[Location Name],Locations[Group As])</f>
        <v>Stratford RSC</v>
      </c>
      <c r="H1413" t="e" vm="1">
        <f>_xlfn.XLOOKUP(AllData[[#This Row],[Site Name]],LocationsKey[Site Name],LocationsKey[District])</f>
        <v>#VALUE!</v>
      </c>
      <c r="I1413" t="e" vm="12">
        <f>_xlfn.XLOOKUP(AllData[[#This Row],[Site Name]],LocationsKey[Site Name],LocationsKey[Town])</f>
        <v>#VALUE!</v>
      </c>
      <c r="J1413" t="str">
        <f>_xlfn.XLOOKUP(AllData[[#This Row],[Site Name]],LocationsKey[Site Name], LocationsKey[Waterway])</f>
        <v>Avon</v>
      </c>
      <c r="K1413" t="s">
        <v>1416</v>
      </c>
      <c r="L1413">
        <v>52.1907</v>
      </c>
      <c r="M1413">
        <v>-1.7032</v>
      </c>
      <c r="N1413" t="s">
        <v>191</v>
      </c>
      <c r="O1413">
        <v>726</v>
      </c>
      <c r="P1413">
        <v>17.600000000000001</v>
      </c>
      <c r="Q1413">
        <v>20</v>
      </c>
      <c r="R1413" s="107" t="str">
        <f>IF(AllData[[#This Row],[Nitrate (PPM)]]&gt;2, "Very high", IF(AllData[[#This Row],[Nitrate (PPM)]]&gt;1, "High", IF(AllData[[#This Row],[Nitrate (PPM)]]&gt;0.5, "Some evidence", IF(AllData[[#This Row],[Nitrate (PPM)]]&gt;=0, "No evidence"))))</f>
        <v>Very high</v>
      </c>
      <c r="S1413" s="4">
        <v>0.51</v>
      </c>
      <c r="T1413" s="7" t="str">
        <f>IF(AllData[[#This Row],[Phosphate (PPM)]]&gt;0.5, "Very high", IF(AllData[[#This Row],[Phosphate (PPM)]]&gt;0.1, "High", IF(AllData[[#This Row],[Phosphate (PPM)]]&gt;0.05, "Some evidence", IF(AllData[[#This Row],[Phosphate (PPM)]]&lt;=0.05, "No Evidence", ""))))</f>
        <v>Very high</v>
      </c>
      <c r="U1413">
        <v>0</v>
      </c>
      <c r="V1413" t="s">
        <v>1417</v>
      </c>
    </row>
    <row r="1414" spans="1:22" x14ac:dyDescent="0.35">
      <c r="A1414" t="s">
        <v>1418</v>
      </c>
      <c r="B1414" s="143">
        <v>45451</v>
      </c>
      <c r="C1414" s="2" t="str" cm="1">
        <f t="array" ref="C14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4">
        <f>YEAR(AllData[[#This Row],[Date]])</f>
        <v>2024</v>
      </c>
      <c r="E1414" s="1">
        <v>0.4236111111111111</v>
      </c>
      <c r="F1414" t="str">
        <f>IF(AND(AllData[[#This Row],[Time]]&lt;0.5, AllData[[#This Row],[Time]]&gt;0.17)=TRUE, "Morning", IF(AND(AllData[[#This Row],[Time]]&lt;0.75, AllData[[#This Row],[Time]]&gt;=0.5)=TRUE, "Afternoon", IF(AND(AllData[[#This Row],[Time]]&lt;1, AllData[[#This Row],[Time]]&gt;=0.75)=TRUE, "Evening", "Night")))</f>
        <v>Morning</v>
      </c>
      <c r="G1414" t="str">
        <f>_xlfn.XLOOKUP(AllData[[#This Row],[Location Name]], Locations[Location Name],Locations[Group As])</f>
        <v>Piddle Brook Wyre Piddle Bridge</v>
      </c>
      <c r="H1414" t="e" vm="6">
        <f>_xlfn.XLOOKUP(AllData[[#This Row],[Site Name]],LocationsKey[Site Name],LocationsKey[District])</f>
        <v>#VALUE!</v>
      </c>
      <c r="I1414" t="e" vm="13">
        <f>_xlfn.XLOOKUP(AllData[[#This Row],[Site Name]],LocationsKey[Site Name],LocationsKey[Town])</f>
        <v>#VALUE!</v>
      </c>
      <c r="J1414" t="str">
        <f>_xlfn.XLOOKUP(AllData[[#This Row],[Site Name]],LocationsKey[Site Name], LocationsKey[Waterway])</f>
        <v>Piddle Brook</v>
      </c>
      <c r="K1414" t="s">
        <v>787</v>
      </c>
      <c r="L1414">
        <v>52.126404000000001</v>
      </c>
      <c r="M1414">
        <v>-2.0565410000000002</v>
      </c>
      <c r="N1414" t="s">
        <v>25</v>
      </c>
      <c r="O1414">
        <v>1530</v>
      </c>
      <c r="P1414">
        <v>13.8</v>
      </c>
      <c r="Q1414">
        <v>10</v>
      </c>
      <c r="R1414" s="107" t="str">
        <f>IF(AllData[[#This Row],[Nitrate (PPM)]]&gt;2, "Very high", IF(AllData[[#This Row],[Nitrate (PPM)]]&gt;1, "High", IF(AllData[[#This Row],[Nitrate (PPM)]]&gt;0.5, "Some evidence", IF(AllData[[#This Row],[Nitrate (PPM)]]&gt;=0, "No evidence"))))</f>
        <v>Very high</v>
      </c>
      <c r="S1414" s="4">
        <v>0.75</v>
      </c>
      <c r="T1414" s="7" t="str">
        <f>IF(AllData[[#This Row],[Phosphate (PPM)]]&gt;0.5, "Very high", IF(AllData[[#This Row],[Phosphate (PPM)]]&gt;0.1, "High", IF(AllData[[#This Row],[Phosphate (PPM)]]&gt;0.05, "Some evidence", IF(AllData[[#This Row],[Phosphate (PPM)]]&lt;=0.05, "No Evidence", ""))))</f>
        <v>Very high</v>
      </c>
      <c r="U1414">
        <v>0.18</v>
      </c>
      <c r="V1414" t="s">
        <v>1419</v>
      </c>
    </row>
    <row r="1415" spans="1:22" x14ac:dyDescent="0.35">
      <c r="A1415" t="s">
        <v>1425</v>
      </c>
      <c r="B1415" s="143">
        <v>45451</v>
      </c>
      <c r="C1415" s="2" t="str" cm="1">
        <f t="array" ref="C14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5">
        <f>YEAR(AllData[[#This Row],[Date]])</f>
        <v>2024</v>
      </c>
      <c r="E1415" s="1">
        <v>0.72916666666666663</v>
      </c>
      <c r="F1415" t="str">
        <f>IF(AND(AllData[[#This Row],[Time]]&lt;0.5, AllData[[#This Row],[Time]]&gt;0.17)=TRUE, "Morning", IF(AND(AllData[[#This Row],[Time]]&lt;0.75, AllData[[#This Row],[Time]]&gt;=0.5)=TRUE, "Afternoon", IF(AND(AllData[[#This Row],[Time]]&lt;1, AllData[[#This Row],[Time]]&gt;=0.75)=TRUE, "Evening", "Night")))</f>
        <v>Afternoon</v>
      </c>
      <c r="G1415" t="str">
        <f>_xlfn.XLOOKUP(AllData[[#This Row],[Location Name]], Locations[Location Name],Locations[Group As])</f>
        <v>Sherbourne Brook 1</v>
      </c>
      <c r="H1415" t="e" vm="1">
        <f>_xlfn.XLOOKUP(AllData[[#This Row],[Site Name]],LocationsKey[Site Name],LocationsKey[District])</f>
        <v>#VALUE!</v>
      </c>
      <c r="I1415" t="e" vm="23">
        <f>_xlfn.XLOOKUP(AllData[[#This Row],[Site Name]],LocationsKey[Site Name],LocationsKey[Town])</f>
        <v>#VALUE!</v>
      </c>
      <c r="J1415" t="str">
        <f>_xlfn.XLOOKUP(AllData[[#This Row],[Site Name]],LocationsKey[Site Name], LocationsKey[Waterway])</f>
        <v>Sherbourne Brook</v>
      </c>
      <c r="K1415" t="s">
        <v>541</v>
      </c>
      <c r="L1415">
        <v>52.252499999999998</v>
      </c>
      <c r="M1415">
        <v>-1.6685000000000001</v>
      </c>
      <c r="N1415" t="s">
        <v>25</v>
      </c>
      <c r="O1415">
        <v>1070</v>
      </c>
      <c r="P1415">
        <v>14.3</v>
      </c>
      <c r="Q1415">
        <v>10</v>
      </c>
      <c r="R1415" s="107" t="str">
        <f>IF(AllData[[#This Row],[Nitrate (PPM)]]&gt;2, "Very high", IF(AllData[[#This Row],[Nitrate (PPM)]]&gt;1, "High", IF(AllData[[#This Row],[Nitrate (PPM)]]&gt;0.5, "Some evidence", IF(AllData[[#This Row],[Nitrate (PPM)]]&gt;=0, "No evidence"))))</f>
        <v>Very high</v>
      </c>
      <c r="S1415" s="4">
        <v>0.37</v>
      </c>
      <c r="T1415" s="7" t="str">
        <f>IF(AllData[[#This Row],[Phosphate (PPM)]]&gt;0.5, "Very high", IF(AllData[[#This Row],[Phosphate (PPM)]]&gt;0.1, "High", IF(AllData[[#This Row],[Phosphate (PPM)]]&gt;0.05, "Some evidence", IF(AllData[[#This Row],[Phosphate (PPM)]]&lt;=0.05, "No Evidence", ""))))</f>
        <v>High</v>
      </c>
      <c r="U1415">
        <v>0.2</v>
      </c>
    </row>
    <row r="1416" spans="1:22" x14ac:dyDescent="0.35">
      <c r="A1416" t="s">
        <v>1423</v>
      </c>
      <c r="B1416" s="143">
        <v>45451</v>
      </c>
      <c r="C1416" s="2" t="str" cm="1">
        <f t="array" ref="C14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6">
        <f>YEAR(AllData[[#This Row],[Date]])</f>
        <v>2024</v>
      </c>
      <c r="E1416" s="1">
        <v>0.47638888888888886</v>
      </c>
      <c r="F1416" t="str">
        <f>IF(AND(AllData[[#This Row],[Time]]&lt;0.5, AllData[[#This Row],[Time]]&gt;0.17)=TRUE, "Morning", IF(AND(AllData[[#This Row],[Time]]&lt;0.75, AllData[[#This Row],[Time]]&gt;=0.5)=TRUE, "Afternoon", IF(AND(AllData[[#This Row],[Time]]&lt;1, AllData[[#This Row],[Time]]&gt;=0.75)=TRUE, "Evening", "Night")))</f>
        <v>Morning</v>
      </c>
      <c r="G1416" t="str">
        <f>_xlfn.XLOOKUP(AllData[[#This Row],[Location Name]], Locations[Location Name],Locations[Group As])</f>
        <v>Avonbank Drive</v>
      </c>
      <c r="H1416" t="e" vm="1">
        <f>_xlfn.XLOOKUP(AllData[[#This Row],[Site Name]],LocationsKey[Site Name],LocationsKey[District])</f>
        <v>#VALUE!</v>
      </c>
      <c r="I1416" t="e" vm="12">
        <f>_xlfn.XLOOKUP(AllData[[#This Row],[Site Name]],LocationsKey[Site Name],LocationsKey[Town])</f>
        <v>#VALUE!</v>
      </c>
      <c r="J1416" t="str">
        <f>_xlfn.XLOOKUP(AllData[[#This Row],[Site Name]],LocationsKey[Site Name], LocationsKey[Waterway])</f>
        <v>Avon</v>
      </c>
      <c r="K1416" t="s">
        <v>328</v>
      </c>
      <c r="L1416">
        <v>52.176555999999998</v>
      </c>
      <c r="M1416">
        <v>-1.735069</v>
      </c>
      <c r="N1416" t="s">
        <v>68</v>
      </c>
      <c r="O1416">
        <v>943</v>
      </c>
      <c r="P1416">
        <v>17.2</v>
      </c>
      <c r="Q1416">
        <v>10</v>
      </c>
      <c r="R1416" s="107" t="str">
        <f>IF(AllData[[#This Row],[Nitrate (PPM)]]&gt;2, "Very high", IF(AllData[[#This Row],[Nitrate (PPM)]]&gt;1, "High", IF(AllData[[#This Row],[Nitrate (PPM)]]&gt;0.5, "Some evidence", IF(AllData[[#This Row],[Nitrate (PPM)]]&gt;=0, "No evidence"))))</f>
        <v>Very high</v>
      </c>
      <c r="S1416" s="4">
        <v>0.67</v>
      </c>
      <c r="T1416" s="7" t="str">
        <f>IF(AllData[[#This Row],[Phosphate (PPM)]]&gt;0.5, "Very high", IF(AllData[[#This Row],[Phosphate (PPM)]]&gt;0.1, "High", IF(AllData[[#This Row],[Phosphate (PPM)]]&gt;0.05, "Some evidence", IF(AllData[[#This Row],[Phosphate (PPM)]]&lt;=0.05, "No Evidence", ""))))</f>
        <v>Very high</v>
      </c>
      <c r="U1416">
        <v>0.68</v>
      </c>
    </row>
    <row r="1417" spans="1:22" x14ac:dyDescent="0.35">
      <c r="A1417" t="s">
        <v>1421</v>
      </c>
      <c r="B1417" s="143">
        <v>45451</v>
      </c>
      <c r="C1417" s="2" t="str" cm="1">
        <f t="array" ref="C14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7">
        <f>YEAR(AllData[[#This Row],[Date]])</f>
        <v>2024</v>
      </c>
      <c r="E1417" s="1">
        <v>0.45833333333333331</v>
      </c>
      <c r="F1417" t="str">
        <f>IF(AND(AllData[[#This Row],[Time]]&lt;0.5, AllData[[#This Row],[Time]]&gt;0.17)=TRUE, "Morning", IF(AND(AllData[[#This Row],[Time]]&lt;0.75, AllData[[#This Row],[Time]]&gt;=0.5)=TRUE, "Afternoon", IF(AND(AllData[[#This Row],[Time]]&lt;1, AllData[[#This Row],[Time]]&gt;=0.75)=TRUE, "Evening", "Night")))</f>
        <v>Morning</v>
      </c>
      <c r="G1417" t="str">
        <f>_xlfn.XLOOKUP(AllData[[#This Row],[Location Name]], Locations[Location Name],Locations[Group As])</f>
        <v>Avon Smiths Meadow Wyre Piddle</v>
      </c>
      <c r="H1417" t="e" vm="6">
        <f>_xlfn.XLOOKUP(AllData[[#This Row],[Site Name]],LocationsKey[Site Name],LocationsKey[District])</f>
        <v>#VALUE!</v>
      </c>
      <c r="I1417" t="e" vm="13">
        <f>_xlfn.XLOOKUP(AllData[[#This Row],[Site Name]],LocationsKey[Site Name],LocationsKey[Town])</f>
        <v>#VALUE!</v>
      </c>
      <c r="J1417" t="str">
        <f>_xlfn.XLOOKUP(AllData[[#This Row],[Site Name]],LocationsKey[Site Name], LocationsKey[Waterway])</f>
        <v>Avon</v>
      </c>
      <c r="K1417" t="s">
        <v>784</v>
      </c>
      <c r="L1417">
        <v>52.122858999999998</v>
      </c>
      <c r="M1417">
        <v>-2.0575389999999998</v>
      </c>
      <c r="N1417" t="s">
        <v>25</v>
      </c>
      <c r="O1417">
        <v>936</v>
      </c>
      <c r="P1417">
        <v>15.8</v>
      </c>
      <c r="Q1417">
        <v>10</v>
      </c>
      <c r="R1417" s="107" t="str">
        <f>IF(AllData[[#This Row],[Nitrate (PPM)]]&gt;2, "Very high", IF(AllData[[#This Row],[Nitrate (PPM)]]&gt;1, "High", IF(AllData[[#This Row],[Nitrate (PPM)]]&gt;0.5, "Some evidence", IF(AllData[[#This Row],[Nitrate (PPM)]]&gt;=0, "No evidence"))))</f>
        <v>Very high</v>
      </c>
      <c r="S1417" s="4">
        <v>0.78</v>
      </c>
      <c r="T1417" s="7" t="str">
        <f>IF(AllData[[#This Row],[Phosphate (PPM)]]&gt;0.5, "Very high", IF(AllData[[#This Row],[Phosphate (PPM)]]&gt;0.1, "High", IF(AllData[[#This Row],[Phosphate (PPM)]]&gt;0.05, "Some evidence", IF(AllData[[#This Row],[Phosphate (PPM)]]&lt;=0.05, "No Evidence", ""))))</f>
        <v>Very high</v>
      </c>
      <c r="U1417">
        <v>0.59</v>
      </c>
      <c r="V1417" t="s">
        <v>1422</v>
      </c>
    </row>
    <row r="1418" spans="1:22" x14ac:dyDescent="0.35">
      <c r="A1418" t="s">
        <v>1420</v>
      </c>
      <c r="B1418" s="143">
        <v>45451</v>
      </c>
      <c r="C1418" s="2" t="str" cm="1">
        <f t="array" ref="C14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8">
        <f>YEAR(AllData[[#This Row],[Date]])</f>
        <v>2024</v>
      </c>
      <c r="E1418" s="1">
        <v>0.4513888888888889</v>
      </c>
      <c r="F1418" t="str">
        <f>IF(AND(AllData[[#This Row],[Time]]&lt;0.5, AllData[[#This Row],[Time]]&gt;0.17)=TRUE, "Morning", IF(AND(AllData[[#This Row],[Time]]&lt;0.75, AllData[[#This Row],[Time]]&gt;=0.5)=TRUE, "Afternoon", IF(AND(AllData[[#This Row],[Time]]&lt;1, AllData[[#This Row],[Time]]&gt;=0.75)=TRUE, "Evening", "Night")))</f>
        <v>Morning</v>
      </c>
      <c r="G1418" t="str">
        <f>_xlfn.XLOOKUP(AllData[[#This Row],[Location Name]], Locations[Location Name],Locations[Group As])</f>
        <v>Pitch 16</v>
      </c>
      <c r="H1418" t="e" vm="1">
        <f>_xlfn.XLOOKUP(AllData[[#This Row],[Site Name]],LocationsKey[Site Name],LocationsKey[District])</f>
        <v>#VALUE!</v>
      </c>
      <c r="I1418" t="e" vm="12">
        <f>_xlfn.XLOOKUP(AllData[[#This Row],[Site Name]],LocationsKey[Site Name],LocationsKey[Town])</f>
        <v>#VALUE!</v>
      </c>
      <c r="J1418" t="str">
        <f>_xlfn.XLOOKUP(AllData[[#This Row],[Site Name]],LocationsKey[Site Name], LocationsKey[Waterway])</f>
        <v>Avon</v>
      </c>
      <c r="K1418" t="s">
        <v>71</v>
      </c>
      <c r="L1418">
        <v>52.172567000000001</v>
      </c>
      <c r="M1418">
        <v>-1.7455419999999999</v>
      </c>
      <c r="N1418" t="s">
        <v>31</v>
      </c>
      <c r="O1418">
        <v>939</v>
      </c>
      <c r="P1418">
        <v>17.399999999999999</v>
      </c>
      <c r="Q1418">
        <v>9</v>
      </c>
      <c r="R1418" s="107" t="str">
        <f>IF(AllData[[#This Row],[Nitrate (PPM)]]&gt;2, "Very high", IF(AllData[[#This Row],[Nitrate (PPM)]]&gt;1, "High", IF(AllData[[#This Row],[Nitrate (PPM)]]&gt;0.5, "Some evidence", IF(AllData[[#This Row],[Nitrate (PPM)]]&gt;=0, "No evidence"))))</f>
        <v>Very high</v>
      </c>
      <c r="S1418" s="4">
        <v>0.59</v>
      </c>
      <c r="T1418" s="7" t="str">
        <f>IF(AllData[[#This Row],[Phosphate (PPM)]]&gt;0.5, "Very high", IF(AllData[[#This Row],[Phosphate (PPM)]]&gt;0.1, "High", IF(AllData[[#This Row],[Phosphate (PPM)]]&gt;0.05, "Some evidence", IF(AllData[[#This Row],[Phosphate (PPM)]]&lt;=0.05, "No Evidence", ""))))</f>
        <v>Very high</v>
      </c>
      <c r="U1418">
        <v>0.68</v>
      </c>
    </row>
    <row r="1419" spans="1:22" x14ac:dyDescent="0.35">
      <c r="A1419" t="s">
        <v>1426</v>
      </c>
      <c r="B1419" s="143">
        <v>45451</v>
      </c>
      <c r="C1419" s="2" t="str" cm="1">
        <f t="array" ref="C14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19">
        <f>YEAR(AllData[[#This Row],[Date]])</f>
        <v>2024</v>
      </c>
      <c r="E1419" s="1">
        <v>0.73958333333333337</v>
      </c>
      <c r="F1419" t="str">
        <f>IF(AND(AllData[[#This Row],[Time]]&lt;0.5, AllData[[#This Row],[Time]]&gt;0.17)=TRUE, "Morning", IF(AND(AllData[[#This Row],[Time]]&lt;0.75, AllData[[#This Row],[Time]]&gt;=0.5)=TRUE, "Afternoon", IF(AND(AllData[[#This Row],[Time]]&lt;1, AllData[[#This Row],[Time]]&gt;=0.75)=TRUE, "Evening", "Night")))</f>
        <v>Afternoon</v>
      </c>
      <c r="G1419" t="str">
        <f>_xlfn.XLOOKUP(AllData[[#This Row],[Location Name]], Locations[Location Name],Locations[Group As])</f>
        <v>Bell Brook 1</v>
      </c>
      <c r="H1419" t="e" vm="1">
        <f>_xlfn.XLOOKUP(AllData[[#This Row],[Site Name]],LocationsKey[Site Name],LocationsKey[District])</f>
        <v>#VALUE!</v>
      </c>
      <c r="I1419" t="e" vm="19">
        <f>_xlfn.XLOOKUP(AllData[[#This Row],[Site Name]],LocationsKey[Site Name],LocationsKey[Town])</f>
        <v>#VALUE!</v>
      </c>
      <c r="J1419" t="str">
        <f>_xlfn.XLOOKUP(AllData[[#This Row],[Site Name]],LocationsKey[Site Name], LocationsKey[Waterway])</f>
        <v>Bell Brook</v>
      </c>
      <c r="K1419" t="s">
        <v>538</v>
      </c>
      <c r="L1419">
        <v>52.244900000000001</v>
      </c>
      <c r="M1419">
        <v>-1.6617</v>
      </c>
      <c r="N1419" t="s">
        <v>25</v>
      </c>
      <c r="O1419">
        <v>821</v>
      </c>
      <c r="P1419">
        <v>15.8</v>
      </c>
      <c r="Q1419">
        <v>5</v>
      </c>
      <c r="R1419" s="107" t="str">
        <f>IF(AllData[[#This Row],[Nitrate (PPM)]]&gt;2, "Very high", IF(AllData[[#This Row],[Nitrate (PPM)]]&gt;1, "High", IF(AllData[[#This Row],[Nitrate (PPM)]]&gt;0.5, "Some evidence", IF(AllData[[#This Row],[Nitrate (PPM)]]&gt;=0, "No evidence"))))</f>
        <v>Very high</v>
      </c>
      <c r="S1419" s="4">
        <v>0.48</v>
      </c>
      <c r="T1419" s="7" t="str">
        <f>IF(AllData[[#This Row],[Phosphate (PPM)]]&gt;0.5, "Very high", IF(AllData[[#This Row],[Phosphate (PPM)]]&gt;0.1, "High", IF(AllData[[#This Row],[Phosphate (PPM)]]&gt;0.05, "Some evidence", IF(AllData[[#This Row],[Phosphate (PPM)]]&lt;=0.05, "No Evidence", ""))))</f>
        <v>High</v>
      </c>
      <c r="U1419">
        <v>0.2</v>
      </c>
    </row>
    <row r="1420" spans="1:22" x14ac:dyDescent="0.35">
      <c r="A1420" t="s">
        <v>1424</v>
      </c>
      <c r="B1420" s="143">
        <v>45451</v>
      </c>
      <c r="C1420" s="2" t="str" cm="1">
        <f t="array" ref="C14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0">
        <f>YEAR(AllData[[#This Row],[Date]])</f>
        <v>2024</v>
      </c>
      <c r="E1420" s="1">
        <v>0.6875</v>
      </c>
      <c r="F1420" t="str">
        <f>IF(AND(AllData[[#This Row],[Time]]&lt;0.5, AllData[[#This Row],[Time]]&gt;0.17)=TRUE, "Morning", IF(AND(AllData[[#This Row],[Time]]&lt;0.75, AllData[[#This Row],[Time]]&gt;=0.5)=TRUE, "Afternoon", IF(AND(AllData[[#This Row],[Time]]&lt;1, AllData[[#This Row],[Time]]&gt;=0.75)=TRUE, "Evening", "Night")))</f>
        <v>Afternoon</v>
      </c>
      <c r="G1420" t="str">
        <f>_xlfn.XLOOKUP(AllData[[#This Row],[Location Name]], Locations[Location Name],Locations[Group As])</f>
        <v>Carrant Bredon Rd</v>
      </c>
      <c r="H1420" t="e" vm="4">
        <f>_xlfn.XLOOKUP(AllData[[#This Row],[Site Name]],LocationsKey[Site Name],LocationsKey[District])</f>
        <v>#VALUE!</v>
      </c>
      <c r="I1420" t="e" vm="4">
        <f>_xlfn.XLOOKUP(AllData[[#This Row],[Site Name]],LocationsKey[Site Name],LocationsKey[Town])</f>
        <v>#VALUE!</v>
      </c>
      <c r="J1420" t="str">
        <f>_xlfn.XLOOKUP(AllData[[#This Row],[Site Name]],LocationsKey[Site Name], LocationsKey[Waterway])</f>
        <v>Carrant</v>
      </c>
      <c r="K1420" t="s">
        <v>603</v>
      </c>
      <c r="L1420">
        <v>51.996178999999998</v>
      </c>
      <c r="M1420">
        <v>-2.1561180000000002</v>
      </c>
      <c r="N1420" t="s">
        <v>25</v>
      </c>
      <c r="O1420">
        <v>749</v>
      </c>
      <c r="P1420">
        <v>15.5</v>
      </c>
      <c r="Q1420">
        <v>5</v>
      </c>
      <c r="R1420" s="107" t="str">
        <f>IF(AllData[[#This Row],[Nitrate (PPM)]]&gt;2, "Very high", IF(AllData[[#This Row],[Nitrate (PPM)]]&gt;1, "High", IF(AllData[[#This Row],[Nitrate (PPM)]]&gt;0.5, "Some evidence", IF(AllData[[#This Row],[Nitrate (PPM)]]&gt;=0, "No evidence"))))</f>
        <v>Very high</v>
      </c>
      <c r="S1420" s="4">
        <v>0.36</v>
      </c>
      <c r="T1420" s="7" t="str">
        <f>IF(AllData[[#This Row],[Phosphate (PPM)]]&gt;0.5, "Very high", IF(AllData[[#This Row],[Phosphate (PPM)]]&gt;0.1, "High", IF(AllData[[#This Row],[Phosphate (PPM)]]&gt;0.05, "Some evidence", IF(AllData[[#This Row],[Phosphate (PPM)]]&lt;=0.05, "No Evidence", ""))))</f>
        <v>High</v>
      </c>
      <c r="U1420">
        <v>0</v>
      </c>
    </row>
    <row r="1421" spans="1:22" x14ac:dyDescent="0.35">
      <c r="A1421" t="s">
        <v>1407</v>
      </c>
      <c r="B1421" s="143">
        <v>45450</v>
      </c>
      <c r="C1421" s="2" t="str" cm="1">
        <f t="array" ref="C14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1">
        <f>YEAR(AllData[[#This Row],[Date]])</f>
        <v>2024</v>
      </c>
      <c r="E1421" s="1">
        <v>0.33888888888888891</v>
      </c>
      <c r="F1421" t="str">
        <f>IF(AND(AllData[[#This Row],[Time]]&lt;0.5, AllData[[#This Row],[Time]]&gt;0.17)=TRUE, "Morning", IF(AND(AllData[[#This Row],[Time]]&lt;0.75, AllData[[#This Row],[Time]]&gt;=0.5)=TRUE, "Afternoon", IF(AND(AllData[[#This Row],[Time]]&lt;1, AllData[[#This Row],[Time]]&gt;=0.75)=TRUE, "Evening", "Night")))</f>
        <v>Morning</v>
      </c>
      <c r="G1421" t="str">
        <f>_xlfn.XLOOKUP(AllData[[#This Row],[Location Name]], Locations[Location Name],Locations[Group As])</f>
        <v>Lower Lode</v>
      </c>
      <c r="H1421" t="e" vm="4">
        <f>_xlfn.XLOOKUP(AllData[[#This Row],[Site Name]],LocationsKey[Site Name],LocationsKey[District])</f>
        <v>#VALUE!</v>
      </c>
      <c r="I1421" t="e" vm="4">
        <f>_xlfn.XLOOKUP(AllData[[#This Row],[Site Name]],LocationsKey[Site Name],LocationsKey[Town])</f>
        <v>#VALUE!</v>
      </c>
      <c r="J1421" t="str">
        <f>_xlfn.XLOOKUP(AllData[[#This Row],[Site Name]],LocationsKey[Site Name], LocationsKey[Waterway])</f>
        <v>Avon</v>
      </c>
      <c r="K1421" t="s">
        <v>595</v>
      </c>
      <c r="L1421">
        <v>51.985019000000001</v>
      </c>
      <c r="M1421">
        <v>-2.1741329999999999</v>
      </c>
      <c r="N1421" t="s">
        <v>31</v>
      </c>
      <c r="O1421">
        <v>8150</v>
      </c>
      <c r="P1421">
        <v>16.8</v>
      </c>
      <c r="Q1421">
        <v>10</v>
      </c>
      <c r="R1421" s="107" t="str">
        <f>IF(AllData[[#This Row],[Nitrate (PPM)]]&gt;2, "Very high", IF(AllData[[#This Row],[Nitrate (PPM)]]&gt;1, "High", IF(AllData[[#This Row],[Nitrate (PPM)]]&gt;0.5, "Some evidence", IF(AllData[[#This Row],[Nitrate (PPM)]]&gt;=0, "No evidence"))))</f>
        <v>Very high</v>
      </c>
      <c r="S1421" s="4">
        <v>0.6</v>
      </c>
      <c r="T1421" s="7" t="str">
        <f>IF(AllData[[#This Row],[Phosphate (PPM)]]&gt;0.5, "Very high", IF(AllData[[#This Row],[Phosphate (PPM)]]&gt;0.1, "High", IF(AllData[[#This Row],[Phosphate (PPM)]]&gt;0.05, "Some evidence", IF(AllData[[#This Row],[Phosphate (PPM)]]&lt;=0.05, "No Evidence", ""))))</f>
        <v>Very high</v>
      </c>
      <c r="U1421">
        <v>-1</v>
      </c>
    </row>
    <row r="1422" spans="1:22" x14ac:dyDescent="0.35">
      <c r="A1422" t="s">
        <v>1412</v>
      </c>
      <c r="B1422" s="143">
        <v>45450</v>
      </c>
      <c r="C1422" s="2" t="str" cm="1">
        <f t="array" ref="C14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2">
        <f>YEAR(AllData[[#This Row],[Date]])</f>
        <v>2024</v>
      </c>
      <c r="E1422" s="1">
        <v>0.57708333333333328</v>
      </c>
      <c r="F1422" t="str">
        <f>IF(AND(AllData[[#This Row],[Time]]&lt;0.5, AllData[[#This Row],[Time]]&gt;0.17)=TRUE, "Morning", IF(AND(AllData[[#This Row],[Time]]&lt;0.75, AllData[[#This Row],[Time]]&gt;=0.5)=TRUE, "Afternoon", IF(AND(AllData[[#This Row],[Time]]&lt;1, AllData[[#This Row],[Time]]&gt;=0.75)=TRUE, "Evening", "Night")))</f>
        <v>Afternoon</v>
      </c>
      <c r="G1422" t="str">
        <f>_xlfn.XLOOKUP(AllData[[#This Row],[Location Name]], Locations[Location Name],Locations[Group As])</f>
        <v>Black Bear</v>
      </c>
      <c r="H1422" t="e" vm="4">
        <f>_xlfn.XLOOKUP(AllData[[#This Row],[Site Name]],LocationsKey[Site Name],LocationsKey[District])</f>
        <v>#VALUE!</v>
      </c>
      <c r="I1422" t="e" vm="4">
        <f>_xlfn.XLOOKUP(AllData[[#This Row],[Site Name]],LocationsKey[Site Name],LocationsKey[Town])</f>
        <v>#VALUE!</v>
      </c>
      <c r="J1422" t="str">
        <f>_xlfn.XLOOKUP(AllData[[#This Row],[Site Name]],LocationsKey[Site Name], LocationsKey[Waterway])</f>
        <v>Avon</v>
      </c>
      <c r="K1422" t="s">
        <v>1175</v>
      </c>
      <c r="L1422">
        <v>51.997458000000002</v>
      </c>
      <c r="M1422">
        <v>-2.156066</v>
      </c>
      <c r="N1422" t="s">
        <v>25</v>
      </c>
      <c r="O1422">
        <v>922</v>
      </c>
      <c r="P1422">
        <v>18</v>
      </c>
      <c r="Q1422">
        <v>9</v>
      </c>
      <c r="R1422" s="107" t="str">
        <f>IF(AllData[[#This Row],[Nitrate (PPM)]]&gt;2, "Very high", IF(AllData[[#This Row],[Nitrate (PPM)]]&gt;1, "High", IF(AllData[[#This Row],[Nitrate (PPM)]]&gt;0.5, "Some evidence", IF(AllData[[#This Row],[Nitrate (PPM)]]&gt;=0, "No evidence"))))</f>
        <v>Very high</v>
      </c>
      <c r="S1422" s="4">
        <v>1.81</v>
      </c>
      <c r="T1422" s="7" t="str">
        <f>IF(AllData[[#This Row],[Phosphate (PPM)]]&gt;0.5, "Very high", IF(AllData[[#This Row],[Phosphate (PPM)]]&gt;0.1, "High", IF(AllData[[#This Row],[Phosphate (PPM)]]&gt;0.05, "Some evidence", IF(AllData[[#This Row],[Phosphate (PPM)]]&lt;=0.05, "No Evidence", ""))))</f>
        <v>Very high</v>
      </c>
      <c r="U1422">
        <v>0</v>
      </c>
    </row>
    <row r="1423" spans="1:22" x14ac:dyDescent="0.35">
      <c r="A1423" t="s">
        <v>1408</v>
      </c>
      <c r="B1423" s="143">
        <v>45450</v>
      </c>
      <c r="C1423" s="2" t="str" cm="1">
        <f t="array" ref="C14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3">
        <f>YEAR(AllData[[#This Row],[Date]])</f>
        <v>2024</v>
      </c>
      <c r="E1423" s="1">
        <v>0.4375</v>
      </c>
      <c r="F1423" t="str">
        <f>IF(AND(AllData[[#This Row],[Time]]&lt;0.5, AllData[[#This Row],[Time]]&gt;0.17)=TRUE, "Morning", IF(AND(AllData[[#This Row],[Time]]&lt;0.75, AllData[[#This Row],[Time]]&gt;=0.5)=TRUE, "Afternoon", IF(AND(AllData[[#This Row],[Time]]&lt;1, AllData[[#This Row],[Time]]&gt;=0.75)=TRUE, "Evening", "Night")))</f>
        <v>Morning</v>
      </c>
      <c r="G1423" t="str">
        <f>_xlfn.XLOOKUP(AllData[[#This Row],[Location Name]], Locations[Location Name],Locations[Group As])</f>
        <v>Swillgate TNR 2nd bridge</v>
      </c>
      <c r="H1423" t="e" vm="4">
        <f>_xlfn.XLOOKUP(AllData[[#This Row],[Site Name]],LocationsKey[Site Name],LocationsKey[District])</f>
        <v>#VALUE!</v>
      </c>
      <c r="I1423" t="e" vm="4">
        <f>_xlfn.XLOOKUP(AllData[[#This Row],[Site Name]],LocationsKey[Site Name],LocationsKey[Town])</f>
        <v>#VALUE!</v>
      </c>
      <c r="J1423" t="str">
        <f>_xlfn.XLOOKUP(AllData[[#This Row],[Site Name]],LocationsKey[Site Name], LocationsKey[Waterway])</f>
        <v>Swilgate</v>
      </c>
      <c r="K1423" t="s">
        <v>1409</v>
      </c>
      <c r="L1423">
        <v>51.980561000000002</v>
      </c>
      <c r="M1423">
        <v>-2.150067</v>
      </c>
      <c r="N1423" t="s">
        <v>25</v>
      </c>
      <c r="O1423">
        <v>851</v>
      </c>
      <c r="P1423">
        <v>15.3</v>
      </c>
      <c r="Q1423">
        <v>8</v>
      </c>
      <c r="R1423" s="107" t="str">
        <f>IF(AllData[[#This Row],[Nitrate (PPM)]]&gt;2, "Very high", IF(AllData[[#This Row],[Nitrate (PPM)]]&gt;1, "High", IF(AllData[[#This Row],[Nitrate (PPM)]]&gt;0.5, "Some evidence", IF(AllData[[#This Row],[Nitrate (PPM)]]&gt;=0, "No evidence"))))</f>
        <v>Very high</v>
      </c>
      <c r="S1423" s="4">
        <v>0.7</v>
      </c>
      <c r="T1423" s="7" t="str">
        <f>IF(AllData[[#This Row],[Phosphate (PPM)]]&gt;0.5, "Very high", IF(AllData[[#This Row],[Phosphate (PPM)]]&gt;0.1, "High", IF(AllData[[#This Row],[Phosphate (PPM)]]&gt;0.05, "Some evidence", IF(AllData[[#This Row],[Phosphate (PPM)]]&lt;=0.05, "No Evidence", ""))))</f>
        <v>Very high</v>
      </c>
      <c r="U1423">
        <v>0</v>
      </c>
    </row>
    <row r="1424" spans="1:22" x14ac:dyDescent="0.35">
      <c r="A1424" t="s">
        <v>1410</v>
      </c>
      <c r="B1424" s="143">
        <v>45450</v>
      </c>
      <c r="C1424" s="2" t="str" cm="1">
        <f t="array" ref="C14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4">
        <f>YEAR(AllData[[#This Row],[Date]])</f>
        <v>2024</v>
      </c>
      <c r="E1424" s="1">
        <v>0.50416666666666665</v>
      </c>
      <c r="F1424" t="str">
        <f>IF(AND(AllData[[#This Row],[Time]]&lt;0.5, AllData[[#This Row],[Time]]&gt;0.17)=TRUE, "Morning", IF(AND(AllData[[#This Row],[Time]]&lt;0.75, AllData[[#This Row],[Time]]&gt;=0.5)=TRUE, "Afternoon", IF(AND(AllData[[#This Row],[Time]]&lt;1, AllData[[#This Row],[Time]]&gt;=0.75)=TRUE, "Evening", "Night")))</f>
        <v>Afternoon</v>
      </c>
      <c r="G1424" t="str">
        <f>_xlfn.XLOOKUP(AllData[[#This Row],[Location Name]], Locations[Location Name],Locations[Group As])</f>
        <v>Walcot Lane, Bow Brook Ford</v>
      </c>
      <c r="H1424" t="e" vm="6">
        <f>_xlfn.XLOOKUP(AllData[[#This Row],[Site Name]],LocationsKey[Site Name],LocationsKey[District])</f>
        <v>#VALUE!</v>
      </c>
      <c r="I1424" t="e" vm="7">
        <f>_xlfn.XLOOKUP(AllData[[#This Row],[Site Name]],LocationsKey[Site Name],LocationsKey[Town])</f>
        <v>#VALUE!</v>
      </c>
      <c r="J1424" t="str">
        <f>_xlfn.XLOOKUP(AllData[[#This Row],[Site Name]],LocationsKey[Site Name], LocationsKey[Waterway])</f>
        <v>Bow Brook</v>
      </c>
      <c r="K1424" t="s">
        <v>775</v>
      </c>
      <c r="L1424">
        <v>52.130504999999999</v>
      </c>
      <c r="M1424">
        <v>-2.0786190000000002</v>
      </c>
      <c r="N1424" t="s">
        <v>25</v>
      </c>
      <c r="O1424">
        <v>119</v>
      </c>
      <c r="P1424">
        <v>15.6</v>
      </c>
      <c r="Q1424">
        <v>5</v>
      </c>
      <c r="R1424" s="107" t="str">
        <f>IF(AllData[[#This Row],[Nitrate (PPM)]]&gt;2, "Very high", IF(AllData[[#This Row],[Nitrate (PPM)]]&gt;1, "High", IF(AllData[[#This Row],[Nitrate (PPM)]]&gt;0.5, "Some evidence", IF(AllData[[#This Row],[Nitrate (PPM)]]&gt;=0, "No evidence"))))</f>
        <v>Very high</v>
      </c>
      <c r="S1424" s="4">
        <v>1.26</v>
      </c>
      <c r="T1424" s="7" t="str">
        <f>IF(AllData[[#This Row],[Phosphate (PPM)]]&gt;0.5, "Very high", IF(AllData[[#This Row],[Phosphate (PPM)]]&gt;0.1, "High", IF(AllData[[#This Row],[Phosphate (PPM)]]&gt;0.05, "Some evidence", IF(AllData[[#This Row],[Phosphate (PPM)]]&lt;=0.05, "No Evidence", ""))))</f>
        <v>Very high</v>
      </c>
      <c r="U1424">
        <v>0.2</v>
      </c>
      <c r="V1424" t="s">
        <v>1411</v>
      </c>
    </row>
    <row r="1425" spans="1:22" x14ac:dyDescent="0.35">
      <c r="A1425" t="s">
        <v>1414</v>
      </c>
      <c r="B1425" s="143">
        <v>45450</v>
      </c>
      <c r="C1425" s="2" t="str" cm="1">
        <f t="array" ref="C14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5">
        <f>YEAR(AllData[[#This Row],[Date]])</f>
        <v>2024</v>
      </c>
      <c r="E1425" s="1">
        <v>0.35416666666666669</v>
      </c>
      <c r="F1425" t="str">
        <f>IF(AND(AllData[[#This Row],[Time]]&lt;0.5, AllData[[#This Row],[Time]]&gt;0.17)=TRUE, "Morning", IF(AND(AllData[[#This Row],[Time]]&lt;0.75, AllData[[#This Row],[Time]]&gt;=0.5)=TRUE, "Afternoon", IF(AND(AllData[[#This Row],[Time]]&lt;1, AllData[[#This Row],[Time]]&gt;=0.75)=TRUE, "Evening", "Night")))</f>
        <v>Morning</v>
      </c>
      <c r="G1425" t="str">
        <f>_xlfn.XLOOKUP(AllData[[#This Row],[Location Name]], Locations[Location Name],Locations[Group As])</f>
        <v>Stour Whichford</v>
      </c>
      <c r="H1425" t="e" vm="1">
        <f>_xlfn.XLOOKUP(AllData[[#This Row],[Site Name]],LocationsKey[Site Name],LocationsKey[District])</f>
        <v>#VALUE!</v>
      </c>
      <c r="I1425" t="e" vm="24">
        <f>_xlfn.XLOOKUP(AllData[[#This Row],[Site Name]],LocationsKey[Site Name],LocationsKey[Town])</f>
        <v>#VALUE!</v>
      </c>
      <c r="J1425" t="str">
        <f>_xlfn.XLOOKUP(AllData[[#This Row],[Site Name]],LocationsKey[Site Name], LocationsKey[Waterway])</f>
        <v>Stour</v>
      </c>
      <c r="K1425" t="s">
        <v>980</v>
      </c>
      <c r="N1425" t="s">
        <v>31</v>
      </c>
      <c r="O1425">
        <v>662</v>
      </c>
      <c r="P1425">
        <v>11.3</v>
      </c>
      <c r="Q1425">
        <v>2</v>
      </c>
      <c r="R1425" s="107" t="str">
        <f>IF(AllData[[#This Row],[Nitrate (PPM)]]&gt;2, "Very high", IF(AllData[[#This Row],[Nitrate (PPM)]]&gt;1, "High", IF(AllData[[#This Row],[Nitrate (PPM)]]&gt;0.5, "Some evidence", IF(AllData[[#This Row],[Nitrate (PPM)]]&gt;=0, "No evidence"))))</f>
        <v>High</v>
      </c>
      <c r="S1425">
        <v>0.42</v>
      </c>
      <c r="T1425" s="7" t="str">
        <f>IF(AllData[[#This Row],[Phosphate (PPM)]]&gt;0.5, "Very high", IF(AllData[[#This Row],[Phosphate (PPM)]]&gt;0.1, "High", IF(AllData[[#This Row],[Phosphate (PPM)]]&gt;0.05, "Some evidence", IF(AllData[[#This Row],[Phosphate (PPM)]]&lt;=0.05, "No Evidence", ""))))</f>
        <v>High</v>
      </c>
      <c r="U1425">
        <v>10</v>
      </c>
    </row>
    <row r="1426" spans="1:22" x14ac:dyDescent="0.35">
      <c r="A1426" t="s">
        <v>1413</v>
      </c>
      <c r="B1426" s="143">
        <v>45450</v>
      </c>
      <c r="C1426" s="2" t="str" cm="1">
        <f t="array" ref="C14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6">
        <f>YEAR(AllData[[#This Row],[Date]])</f>
        <v>2024</v>
      </c>
      <c r="E1426" s="1">
        <v>0.70833333333333337</v>
      </c>
      <c r="F1426" t="str">
        <f>IF(AND(AllData[[#This Row],[Time]]&lt;0.5, AllData[[#This Row],[Time]]&gt;0.17)=TRUE, "Morning", IF(AND(AllData[[#This Row],[Time]]&lt;0.75, AllData[[#This Row],[Time]]&gt;=0.5)=TRUE, "Afternoon", IF(AND(AllData[[#This Row],[Time]]&lt;1, AllData[[#This Row],[Time]]&gt;=0.75)=TRUE, "Evening", "Night")))</f>
        <v>Afternoon</v>
      </c>
      <c r="G1426" t="str">
        <f>_xlfn.XLOOKUP(AllData[[#This Row],[Location Name]], Locations[Location Name],Locations[Group As])</f>
        <v>Stour Willington</v>
      </c>
      <c r="H1426" t="e" vm="1">
        <f>_xlfn.XLOOKUP(AllData[[#This Row],[Site Name]],LocationsKey[Site Name],LocationsKey[District])</f>
        <v>#VALUE!</v>
      </c>
      <c r="I1426" t="str">
        <f>_xlfn.XLOOKUP(AllData[[#This Row],[Site Name]],LocationsKey[Site Name],LocationsKey[Town])</f>
        <v>Willington</v>
      </c>
      <c r="J1426" t="str">
        <f>_xlfn.XLOOKUP(AllData[[#This Row],[Site Name]],LocationsKey[Site Name], LocationsKey[Waterway])</f>
        <v>Stour</v>
      </c>
      <c r="K1426" t="s">
        <v>521</v>
      </c>
      <c r="L1426">
        <v>52.053552000000003</v>
      </c>
      <c r="M1426">
        <v>-1.6201509999999999</v>
      </c>
      <c r="N1426" t="s">
        <v>25</v>
      </c>
      <c r="O1426">
        <v>614</v>
      </c>
      <c r="P1426">
        <v>15.7</v>
      </c>
      <c r="Q1426">
        <v>2</v>
      </c>
      <c r="R1426" s="107" t="str">
        <f>IF(AllData[[#This Row],[Nitrate (PPM)]]&gt;2, "Very high", IF(AllData[[#This Row],[Nitrate (PPM)]]&gt;1, "High", IF(AllData[[#This Row],[Nitrate (PPM)]]&gt;0.5, "Some evidence", IF(AllData[[#This Row],[Nitrate (PPM)]]&gt;=0, "No evidence"))))</f>
        <v>High</v>
      </c>
      <c r="S1426" s="4">
        <v>0.33</v>
      </c>
      <c r="T1426" s="7" t="str">
        <f>IF(AllData[[#This Row],[Phosphate (PPM)]]&gt;0.5, "Very high", IF(AllData[[#This Row],[Phosphate (PPM)]]&gt;0.1, "High", IF(AllData[[#This Row],[Phosphate (PPM)]]&gt;0.05, "Some evidence", IF(AllData[[#This Row],[Phosphate (PPM)]]&lt;=0.05, "No Evidence", ""))))</f>
        <v>High</v>
      </c>
      <c r="U1426">
        <v>0.5</v>
      </c>
    </row>
    <row r="1427" spans="1:22" x14ac:dyDescent="0.35">
      <c r="A1427" t="s">
        <v>1406</v>
      </c>
      <c r="B1427" s="143">
        <v>45449</v>
      </c>
      <c r="C1427" s="2" t="str" cm="1">
        <f t="array" ref="C14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7">
        <f>YEAR(AllData[[#This Row],[Date]])</f>
        <v>2024</v>
      </c>
      <c r="E1427" s="1">
        <v>0.78472222222222221</v>
      </c>
      <c r="F1427" t="str">
        <f>IF(AND(AllData[[#This Row],[Time]]&lt;0.5, AllData[[#This Row],[Time]]&gt;0.17)=TRUE, "Morning", IF(AND(AllData[[#This Row],[Time]]&lt;0.75, AllData[[#This Row],[Time]]&gt;=0.5)=TRUE, "Afternoon", IF(AND(AllData[[#This Row],[Time]]&lt;1, AllData[[#This Row],[Time]]&gt;=0.75)=TRUE, "Evening", "Night")))</f>
        <v>Evening</v>
      </c>
      <c r="G1427" t="str">
        <f>_xlfn.XLOOKUP(AllData[[#This Row],[Location Name]], Locations[Location Name],Locations[Group As])</f>
        <v>Preston-on-Stour River Bridge</v>
      </c>
      <c r="H1427" t="e" vm="1">
        <f>_xlfn.XLOOKUP(AllData[[#This Row],[Site Name]],LocationsKey[Site Name],LocationsKey[District])</f>
        <v>#VALUE!</v>
      </c>
      <c r="I1427" t="e" vm="20">
        <f>_xlfn.XLOOKUP(AllData[[#This Row],[Site Name]],LocationsKey[Site Name],LocationsKey[Town])</f>
        <v>#VALUE!</v>
      </c>
      <c r="J1427" t="str">
        <f>_xlfn.XLOOKUP(AllData[[#This Row],[Site Name]],LocationsKey[Site Name], LocationsKey[Waterway])</f>
        <v>Stour</v>
      </c>
      <c r="K1427" t="s">
        <v>164</v>
      </c>
      <c r="L1427">
        <v>52.146481999999999</v>
      </c>
      <c r="M1427">
        <v>-1.699813</v>
      </c>
      <c r="N1427" t="s">
        <v>31</v>
      </c>
      <c r="O1427">
        <v>644</v>
      </c>
      <c r="P1427">
        <v>15.6</v>
      </c>
      <c r="Q1427">
        <v>6</v>
      </c>
      <c r="R1427" s="107" t="str">
        <f>IF(AllData[[#This Row],[Nitrate (PPM)]]&gt;2, "Very high", IF(AllData[[#This Row],[Nitrate (PPM)]]&gt;1, "High", IF(AllData[[#This Row],[Nitrate (PPM)]]&gt;0.5, "Some evidence", IF(AllData[[#This Row],[Nitrate (PPM)]]&gt;=0, "No evidence"))))</f>
        <v>Very high</v>
      </c>
      <c r="S1427" s="4">
        <v>0.27</v>
      </c>
      <c r="T1427" s="7" t="str">
        <f>IF(AllData[[#This Row],[Phosphate (PPM)]]&gt;0.5, "Very high", IF(AllData[[#This Row],[Phosphate (PPM)]]&gt;0.1, "High", IF(AllData[[#This Row],[Phosphate (PPM)]]&gt;0.05, "Some evidence", IF(AllData[[#This Row],[Phosphate (PPM)]]&lt;=0.05, "No Evidence", ""))))</f>
        <v>High</v>
      </c>
      <c r="U1427">
        <v>1</v>
      </c>
    </row>
    <row r="1428" spans="1:22" x14ac:dyDescent="0.35">
      <c r="A1428" t="s">
        <v>1405</v>
      </c>
      <c r="B1428" s="143">
        <v>45449</v>
      </c>
      <c r="C1428" s="2" t="str" cm="1">
        <f t="array" ref="C14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8">
        <f>YEAR(AllData[[#This Row],[Date]])</f>
        <v>2024</v>
      </c>
      <c r="E1428" s="1">
        <v>0.34722222222222221</v>
      </c>
      <c r="F1428" t="str">
        <f>IF(AND(AllData[[#This Row],[Time]]&lt;0.5, AllData[[#This Row],[Time]]&gt;0.17)=TRUE, "Morning", IF(AND(AllData[[#This Row],[Time]]&lt;0.75, AllData[[#This Row],[Time]]&gt;=0.5)=TRUE, "Afternoon", IF(AND(AllData[[#This Row],[Time]]&lt;1, AllData[[#This Row],[Time]]&gt;=0.75)=TRUE, "Evening", "Night")))</f>
        <v>Morning</v>
      </c>
      <c r="G1428" t="str">
        <f>_xlfn.XLOOKUP(AllData[[#This Row],[Location Name]], Locations[Location Name],Locations[Group As])</f>
        <v>Swilgate</v>
      </c>
      <c r="H1428" t="e" vm="4">
        <f>_xlfn.XLOOKUP(AllData[[#This Row],[Site Name]],LocationsKey[Site Name],LocationsKey[District])</f>
        <v>#VALUE!</v>
      </c>
      <c r="I1428" t="e" vm="4">
        <f>_xlfn.XLOOKUP(AllData[[#This Row],[Site Name]],LocationsKey[Site Name],LocationsKey[Town])</f>
        <v>#VALUE!</v>
      </c>
      <c r="J1428" t="str">
        <f>_xlfn.XLOOKUP(AllData[[#This Row],[Site Name]],LocationsKey[Site Name], LocationsKey[Waterway])</f>
        <v>Swilgate</v>
      </c>
      <c r="K1428" t="s">
        <v>85</v>
      </c>
      <c r="N1428" t="s">
        <v>25</v>
      </c>
      <c r="O1428">
        <v>918</v>
      </c>
      <c r="P1428">
        <v>14</v>
      </c>
      <c r="Q1428">
        <v>4</v>
      </c>
      <c r="R1428" s="107" t="str">
        <f>IF(AllData[[#This Row],[Nitrate (PPM)]]&gt;2, "Very high", IF(AllData[[#This Row],[Nitrate (PPM)]]&gt;1, "High", IF(AllData[[#This Row],[Nitrate (PPM)]]&gt;0.5, "Some evidence", IF(AllData[[#This Row],[Nitrate (PPM)]]&gt;=0, "No evidence"))))</f>
        <v>Very high</v>
      </c>
      <c r="S1428" s="4">
        <v>0.68</v>
      </c>
      <c r="T1428" s="7" t="str">
        <f>IF(AllData[[#This Row],[Phosphate (PPM)]]&gt;0.5, "Very high", IF(AllData[[#This Row],[Phosphate (PPM)]]&gt;0.1, "High", IF(AllData[[#This Row],[Phosphate (PPM)]]&gt;0.05, "Some evidence", IF(AllData[[#This Row],[Phosphate (PPM)]]&lt;=0.05, "No Evidence", ""))))</f>
        <v>Very high</v>
      </c>
      <c r="U1428">
        <v>0</v>
      </c>
    </row>
    <row r="1429" spans="1:22" x14ac:dyDescent="0.35">
      <c r="A1429" t="s">
        <v>1399</v>
      </c>
      <c r="B1429" s="143">
        <v>45448</v>
      </c>
      <c r="C1429" s="2" t="str" cm="1">
        <f t="array" ref="C14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29">
        <f>YEAR(AllData[[#This Row],[Date]])</f>
        <v>2024</v>
      </c>
      <c r="E1429" s="1">
        <v>0.50277777777777777</v>
      </c>
      <c r="F1429" t="str">
        <f>IF(AND(AllData[[#This Row],[Time]]&lt;0.5, AllData[[#This Row],[Time]]&gt;0.17)=TRUE, "Morning", IF(AND(AllData[[#This Row],[Time]]&lt;0.75, AllData[[#This Row],[Time]]&gt;=0.5)=TRUE, "Afternoon", IF(AND(AllData[[#This Row],[Time]]&lt;1, AllData[[#This Row],[Time]]&gt;=0.75)=TRUE, "Evening", "Night")))</f>
        <v>Afternoon</v>
      </c>
      <c r="G1429" t="str">
        <f>_xlfn.XLOOKUP(AllData[[#This Row],[Location Name]], Locations[Location Name],Locations[Group As])</f>
        <v>Twyning Fleet</v>
      </c>
      <c r="H1429" t="e" vm="4">
        <f>_xlfn.XLOOKUP(AllData[[#This Row],[Site Name]],LocationsKey[Site Name],LocationsKey[District])</f>
        <v>#VALUE!</v>
      </c>
      <c r="I1429" t="str">
        <f>_xlfn.XLOOKUP(AllData[[#This Row],[Site Name]],LocationsKey[Site Name],LocationsKey[Town])</f>
        <v>Twyning Green</v>
      </c>
      <c r="J1429" t="str">
        <f>_xlfn.XLOOKUP(AllData[[#This Row],[Site Name]],LocationsKey[Site Name], LocationsKey[Waterway])</f>
        <v>Avon</v>
      </c>
      <c r="K1429" t="s">
        <v>56</v>
      </c>
      <c r="L1429">
        <v>52.02731</v>
      </c>
      <c r="M1429">
        <v>-2.1406019999999999</v>
      </c>
      <c r="N1429" t="s">
        <v>31</v>
      </c>
      <c r="O1429">
        <v>9120</v>
      </c>
      <c r="P1429">
        <v>17.8</v>
      </c>
      <c r="Q1429">
        <v>7</v>
      </c>
      <c r="R1429" s="107" t="str">
        <f>IF(AllData[[#This Row],[Nitrate (PPM)]]&gt;2, "Very high", IF(AllData[[#This Row],[Nitrate (PPM)]]&gt;1, "High", IF(AllData[[#This Row],[Nitrate (PPM)]]&gt;0.5, "Some evidence", IF(AllData[[#This Row],[Nitrate (PPM)]]&gt;=0, "No evidence"))))</f>
        <v>Very high</v>
      </c>
      <c r="S1429" s="4">
        <v>0.67</v>
      </c>
      <c r="T1429" s="7" t="str">
        <f>IF(AllData[[#This Row],[Phosphate (PPM)]]&gt;0.5, "Very high", IF(AllData[[#This Row],[Phosphate (PPM)]]&gt;0.1, "High", IF(AllData[[#This Row],[Phosphate (PPM)]]&gt;0.05, "Some evidence", IF(AllData[[#This Row],[Phosphate (PPM)]]&lt;=0.05, "No Evidence", ""))))</f>
        <v>Very high</v>
      </c>
      <c r="U1429">
        <v>0</v>
      </c>
    </row>
    <row r="1430" spans="1:22" x14ac:dyDescent="0.35">
      <c r="A1430" t="s">
        <v>1402</v>
      </c>
      <c r="B1430" s="143">
        <v>45448</v>
      </c>
      <c r="C1430" s="2" t="str" cm="1">
        <f t="array" ref="C14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0">
        <f>YEAR(AllData[[#This Row],[Date]])</f>
        <v>2024</v>
      </c>
      <c r="E1430" s="1">
        <v>0.60138888888888886</v>
      </c>
      <c r="F1430" t="str">
        <f>IF(AND(AllData[[#This Row],[Time]]&lt;0.5, AllData[[#This Row],[Time]]&gt;0.17)=TRUE, "Morning", IF(AND(AllData[[#This Row],[Time]]&lt;0.75, AllData[[#This Row],[Time]]&gt;=0.5)=TRUE, "Afternoon", IF(AND(AllData[[#This Row],[Time]]&lt;1, AllData[[#This Row],[Time]]&gt;=0.75)=TRUE, "Evening", "Night")))</f>
        <v>Afternoon</v>
      </c>
      <c r="G1430" t="str">
        <f>_xlfn.XLOOKUP(AllData[[#This Row],[Location Name]], Locations[Location Name],Locations[Group As])</f>
        <v>Swiffen Bank</v>
      </c>
      <c r="H1430" t="e" vm="1">
        <f>_xlfn.XLOOKUP(AllData[[#This Row],[Site Name]],LocationsKey[Site Name],LocationsKey[District])</f>
        <v>#VALUE!</v>
      </c>
      <c r="I1430" t="e" vm="2">
        <f>_xlfn.XLOOKUP(AllData[[#This Row],[Site Name]],LocationsKey[Site Name],LocationsKey[Town])</f>
        <v>#VALUE!</v>
      </c>
      <c r="J1430" t="str">
        <f>_xlfn.XLOOKUP(AllData[[#This Row],[Site Name]],LocationsKey[Site Name], LocationsKey[Waterway])</f>
        <v>Avon</v>
      </c>
      <c r="K1430" t="s">
        <v>286</v>
      </c>
      <c r="L1430">
        <v>52.206384</v>
      </c>
      <c r="M1430">
        <v>-1.6540809999999999</v>
      </c>
      <c r="N1430" t="s">
        <v>31</v>
      </c>
      <c r="O1430">
        <v>826</v>
      </c>
      <c r="P1430">
        <v>16.3</v>
      </c>
      <c r="Q1430">
        <v>5</v>
      </c>
      <c r="R1430" s="107" t="str">
        <f>IF(AllData[[#This Row],[Nitrate (PPM)]]&gt;2, "Very high", IF(AllData[[#This Row],[Nitrate (PPM)]]&gt;1, "High", IF(AllData[[#This Row],[Nitrate (PPM)]]&gt;0.5, "Some evidence", IF(AllData[[#This Row],[Nitrate (PPM)]]&gt;=0, "No evidence"))))</f>
        <v>Very high</v>
      </c>
      <c r="S1430" s="4">
        <v>0.8</v>
      </c>
      <c r="T1430" s="7" t="str">
        <f>IF(AllData[[#This Row],[Phosphate (PPM)]]&gt;0.5, "Very high", IF(AllData[[#This Row],[Phosphate (PPM)]]&gt;0.1, "High", IF(AllData[[#This Row],[Phosphate (PPM)]]&gt;0.05, "Some evidence", IF(AllData[[#This Row],[Phosphate (PPM)]]&lt;=0.05, "No Evidence", ""))))</f>
        <v>Very high</v>
      </c>
      <c r="U1430">
        <v>0</v>
      </c>
    </row>
    <row r="1431" spans="1:22" x14ac:dyDescent="0.35">
      <c r="A1431" t="s">
        <v>1403</v>
      </c>
      <c r="B1431" s="143">
        <v>45448</v>
      </c>
      <c r="C1431" s="2" t="str" cm="1">
        <f t="array" ref="C14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1">
        <f>YEAR(AllData[[#This Row],[Date]])</f>
        <v>2024</v>
      </c>
      <c r="E1431" s="1">
        <v>0.72916666666666663</v>
      </c>
      <c r="F1431" t="str">
        <f>IF(AND(AllData[[#This Row],[Time]]&lt;0.5, AllData[[#This Row],[Time]]&gt;0.17)=TRUE, "Morning", IF(AND(AllData[[#This Row],[Time]]&lt;0.75, AllData[[#This Row],[Time]]&gt;=0.5)=TRUE, "Afternoon", IF(AND(AllData[[#This Row],[Time]]&lt;1, AllData[[#This Row],[Time]]&gt;=0.75)=TRUE, "Evening", "Night")))</f>
        <v>Afternoon</v>
      </c>
      <c r="G1431" t="str">
        <f>_xlfn.XLOOKUP(AllData[[#This Row],[Location Name]], Locations[Location Name],Locations[Group As])</f>
        <v>Stour Newbold Mill</v>
      </c>
      <c r="H1431" t="e" vm="1">
        <f>_xlfn.XLOOKUP(AllData[[#This Row],[Site Name]],LocationsKey[Site Name],LocationsKey[District])</f>
        <v>#VALUE!</v>
      </c>
      <c r="I1431" t="e" vm="27">
        <f>_xlfn.XLOOKUP(AllData[[#This Row],[Site Name]],LocationsKey[Site Name],LocationsKey[Town])</f>
        <v>#VALUE!</v>
      </c>
      <c r="J1431" t="str">
        <f>_xlfn.XLOOKUP(AllData[[#This Row],[Site Name]],LocationsKey[Site Name], LocationsKey[Waterway])</f>
        <v>Stour</v>
      </c>
      <c r="K1431" t="s">
        <v>141</v>
      </c>
      <c r="N1431" t="s">
        <v>31</v>
      </c>
      <c r="O1431">
        <v>645</v>
      </c>
      <c r="P1431">
        <v>17.8</v>
      </c>
      <c r="Q1431">
        <v>2</v>
      </c>
      <c r="R1431" s="107" t="str">
        <f>IF(AllData[[#This Row],[Nitrate (PPM)]]&gt;2, "Very high", IF(AllData[[#This Row],[Nitrate (PPM)]]&gt;1, "High", IF(AllData[[#This Row],[Nitrate (PPM)]]&gt;0.5, "Some evidence", IF(AllData[[#This Row],[Nitrate (PPM)]]&gt;=0, "No evidence"))))</f>
        <v>High</v>
      </c>
      <c r="S1431" s="4">
        <v>0.45</v>
      </c>
      <c r="T1431" s="7" t="str">
        <f>IF(AllData[[#This Row],[Phosphate (PPM)]]&gt;0.5, "Very high", IF(AllData[[#This Row],[Phosphate (PPM)]]&gt;0.1, "High", IF(AllData[[#This Row],[Phosphate (PPM)]]&gt;0.05, "Some evidence", IF(AllData[[#This Row],[Phosphate (PPM)]]&lt;=0.05, "No Evidence", ""))))</f>
        <v>High</v>
      </c>
      <c r="U1431">
        <v>2.5</v>
      </c>
      <c r="V1431" t="s">
        <v>1404</v>
      </c>
    </row>
    <row r="1432" spans="1:22" x14ac:dyDescent="0.35">
      <c r="A1432" t="s">
        <v>1400</v>
      </c>
      <c r="B1432" s="143">
        <v>45448</v>
      </c>
      <c r="C1432" s="2" t="str" cm="1">
        <f t="array" ref="C14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2">
        <f>YEAR(AllData[[#This Row],[Date]])</f>
        <v>2024</v>
      </c>
      <c r="E1432" s="1">
        <v>0.59375</v>
      </c>
      <c r="F1432" t="str">
        <f>IF(AND(AllData[[#This Row],[Time]]&lt;0.5, AllData[[#This Row],[Time]]&gt;0.17)=TRUE, "Morning", IF(AND(AllData[[#This Row],[Time]]&lt;0.75, AllData[[#This Row],[Time]]&gt;=0.5)=TRUE, "Afternoon", IF(AND(AllData[[#This Row],[Time]]&lt;1, AllData[[#This Row],[Time]]&gt;=0.75)=TRUE, "Evening", "Night")))</f>
        <v>Afternoon</v>
      </c>
      <c r="G1432" t="str">
        <f>_xlfn.XLOOKUP(AllData[[#This Row],[Location Name]], Locations[Location Name],Locations[Group As])</f>
        <v>Alveston Weir</v>
      </c>
      <c r="H1432" t="e" vm="1">
        <f>_xlfn.XLOOKUP(AllData[[#This Row],[Site Name]],LocationsKey[Site Name],LocationsKey[District])</f>
        <v>#VALUE!</v>
      </c>
      <c r="I1432" t="e" vm="2">
        <f>_xlfn.XLOOKUP(AllData[[#This Row],[Site Name]],LocationsKey[Site Name],LocationsKey[Town])</f>
        <v>#VALUE!</v>
      </c>
      <c r="J1432" t="str">
        <f>_xlfn.XLOOKUP(AllData[[#This Row],[Site Name]],LocationsKey[Site Name], LocationsKey[Waterway])</f>
        <v>Avon</v>
      </c>
      <c r="K1432" t="s">
        <v>288</v>
      </c>
      <c r="L1432">
        <v>52.212299999999999</v>
      </c>
      <c r="M1432">
        <v>-1.660452</v>
      </c>
      <c r="N1432" t="s">
        <v>31</v>
      </c>
      <c r="O1432">
        <v>826</v>
      </c>
      <c r="P1432">
        <v>16.3</v>
      </c>
      <c r="Q1432">
        <v>0</v>
      </c>
      <c r="R1432" s="107" t="str">
        <f>IF(AllData[[#This Row],[Nitrate (PPM)]]&gt;2, "Very high", IF(AllData[[#This Row],[Nitrate (PPM)]]&gt;1, "High", IF(AllData[[#This Row],[Nitrate (PPM)]]&gt;0.5, "Some evidence", IF(AllData[[#This Row],[Nitrate (PPM)]]&gt;=0, "No evidence"))))</f>
        <v>No evidence</v>
      </c>
      <c r="S1432" s="4">
        <v>0.8</v>
      </c>
      <c r="T1432" s="7" t="str">
        <f>IF(AllData[[#This Row],[Phosphate (PPM)]]&gt;0.5, "Very high", IF(AllData[[#This Row],[Phosphate (PPM)]]&gt;0.1, "High", IF(AllData[[#This Row],[Phosphate (PPM)]]&gt;0.05, "Some evidence", IF(AllData[[#This Row],[Phosphate (PPM)]]&lt;=0.05, "No Evidence", ""))))</f>
        <v>Very high</v>
      </c>
      <c r="U1432">
        <v>0</v>
      </c>
      <c r="V1432" t="s">
        <v>1401</v>
      </c>
    </row>
    <row r="1433" spans="1:22" x14ac:dyDescent="0.35">
      <c r="A1433" t="s">
        <v>1395</v>
      </c>
      <c r="B1433" s="143">
        <v>45447</v>
      </c>
      <c r="C1433" s="2" t="str" cm="1">
        <f t="array" ref="C14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3">
        <f>YEAR(AllData[[#This Row],[Date]])</f>
        <v>2024</v>
      </c>
      <c r="E1433" s="1">
        <v>0.46041666666666664</v>
      </c>
      <c r="F1433" t="str">
        <f>IF(AND(AllData[[#This Row],[Time]]&lt;0.5, AllData[[#This Row],[Time]]&gt;0.17)=TRUE, "Morning", IF(AND(AllData[[#This Row],[Time]]&lt;0.75, AllData[[#This Row],[Time]]&gt;=0.5)=TRUE, "Afternoon", IF(AND(AllData[[#This Row],[Time]]&lt;1, AllData[[#This Row],[Time]]&gt;=0.75)=TRUE, "Evening", "Night")))</f>
        <v>Morning</v>
      </c>
      <c r="G1433" t="str">
        <f>_xlfn.XLOOKUP(AllData[[#This Row],[Location Name]], Locations[Location Name],Locations[Group As])</f>
        <v>Carrant M5 Bridge</v>
      </c>
      <c r="H1433" t="e" vm="4">
        <f>_xlfn.XLOOKUP(AllData[[#This Row],[Site Name]],LocationsKey[Site Name],LocationsKey[District])</f>
        <v>#VALUE!</v>
      </c>
      <c r="I1433" t="e" vm="4">
        <f>_xlfn.XLOOKUP(AllData[[#This Row],[Site Name]],LocationsKey[Site Name],LocationsKey[Town])</f>
        <v>#VALUE!</v>
      </c>
      <c r="J1433" t="str">
        <f>_xlfn.XLOOKUP(AllData[[#This Row],[Site Name]],LocationsKey[Site Name], LocationsKey[Waterway])</f>
        <v>Carrant</v>
      </c>
      <c r="K1433" t="s">
        <v>1066</v>
      </c>
      <c r="L1433">
        <v>52.011848000000001</v>
      </c>
      <c r="M1433">
        <v>-2.1200540000000001</v>
      </c>
      <c r="N1433" t="s">
        <v>25</v>
      </c>
      <c r="O1433">
        <v>774</v>
      </c>
      <c r="P1433">
        <v>16</v>
      </c>
      <c r="Q1433">
        <v>7</v>
      </c>
      <c r="R1433" s="107" t="str">
        <f>IF(AllData[[#This Row],[Nitrate (PPM)]]&gt;2, "Very high", IF(AllData[[#This Row],[Nitrate (PPM)]]&gt;1, "High", IF(AllData[[#This Row],[Nitrate (PPM)]]&gt;0.5, "Some evidence", IF(AllData[[#This Row],[Nitrate (PPM)]]&gt;=0, "No evidence"))))</f>
        <v>Very high</v>
      </c>
      <c r="S1433" s="4">
        <v>0.19</v>
      </c>
      <c r="T1433" s="7" t="str">
        <f>IF(AllData[[#This Row],[Phosphate (PPM)]]&gt;0.5, "Very high", IF(AllData[[#This Row],[Phosphate (PPM)]]&gt;0.1, "High", IF(AllData[[#This Row],[Phosphate (PPM)]]&gt;0.05, "Some evidence", IF(AllData[[#This Row],[Phosphate (PPM)]]&lt;=0.05, "No Evidence", ""))))</f>
        <v>High</v>
      </c>
      <c r="U1433">
        <v>0</v>
      </c>
    </row>
    <row r="1434" spans="1:22" x14ac:dyDescent="0.35">
      <c r="A1434" t="s">
        <v>1393</v>
      </c>
      <c r="B1434" s="143">
        <v>45447</v>
      </c>
      <c r="C1434" s="2" t="str" cm="1">
        <f t="array" ref="C14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4">
        <f>YEAR(AllData[[#This Row],[Date]])</f>
        <v>2024</v>
      </c>
      <c r="E1434" s="1">
        <v>0.44861111111111113</v>
      </c>
      <c r="F1434" t="str">
        <f>IF(AND(AllData[[#This Row],[Time]]&lt;0.5, AllData[[#This Row],[Time]]&gt;0.17)=TRUE, "Morning", IF(AND(AllData[[#This Row],[Time]]&lt;0.75, AllData[[#This Row],[Time]]&gt;=0.5)=TRUE, "Afternoon", IF(AND(AllData[[#This Row],[Time]]&lt;1, AllData[[#This Row],[Time]]&gt;=0.75)=TRUE, "Evening", "Night")))</f>
        <v>Morning</v>
      </c>
      <c r="G1434" t="str">
        <f>_xlfn.XLOOKUP(AllData[[#This Row],[Location Name]], Locations[Location Name],Locations[Group As])</f>
        <v>Carrant Mitton Bridge</v>
      </c>
      <c r="H1434" t="e" vm="4">
        <f>_xlfn.XLOOKUP(AllData[[#This Row],[Site Name]],LocationsKey[Site Name],LocationsKey[District])</f>
        <v>#VALUE!</v>
      </c>
      <c r="I1434" t="e" vm="4">
        <f>_xlfn.XLOOKUP(AllData[[#This Row],[Site Name]],LocationsKey[Site Name],LocationsKey[Town])</f>
        <v>#VALUE!</v>
      </c>
      <c r="J1434" t="str">
        <f>_xlfn.XLOOKUP(AllData[[#This Row],[Site Name]],LocationsKey[Site Name], LocationsKey[Waterway])</f>
        <v>Carrant</v>
      </c>
      <c r="K1434" t="s">
        <v>1394</v>
      </c>
      <c r="L1434">
        <v>51.999839000000001</v>
      </c>
      <c r="M1434">
        <v>-2.1408800000000001</v>
      </c>
      <c r="N1434" t="s">
        <v>25</v>
      </c>
      <c r="O1434">
        <v>721</v>
      </c>
      <c r="P1434">
        <v>16.399999999999999</v>
      </c>
      <c r="Q1434">
        <v>7</v>
      </c>
      <c r="R1434" s="107" t="str">
        <f>IF(AllData[[#This Row],[Nitrate (PPM)]]&gt;2, "Very high", IF(AllData[[#This Row],[Nitrate (PPM)]]&gt;1, "High", IF(AllData[[#This Row],[Nitrate (PPM)]]&gt;0.5, "Some evidence", IF(AllData[[#This Row],[Nitrate (PPM)]]&gt;=0, "No evidence"))))</f>
        <v>Very high</v>
      </c>
      <c r="S1434" s="4">
        <v>0.45</v>
      </c>
      <c r="T1434" s="7" t="str">
        <f>IF(AllData[[#This Row],[Phosphate (PPM)]]&gt;0.5, "Very high", IF(AllData[[#This Row],[Phosphate (PPM)]]&gt;0.1, "High", IF(AllData[[#This Row],[Phosphate (PPM)]]&gt;0.05, "Some evidence", IF(AllData[[#This Row],[Phosphate (PPM)]]&lt;=0.05, "No Evidence", ""))))</f>
        <v>High</v>
      </c>
      <c r="U1434">
        <v>0</v>
      </c>
    </row>
    <row r="1435" spans="1:22" x14ac:dyDescent="0.35">
      <c r="A1435" t="s">
        <v>1396</v>
      </c>
      <c r="B1435" s="143">
        <v>45447</v>
      </c>
      <c r="C1435" s="2" t="str" cm="1">
        <f t="array" ref="C14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5">
        <f>YEAR(AllData[[#This Row],[Date]])</f>
        <v>2024</v>
      </c>
      <c r="E1435" s="1">
        <v>0.62291666666666667</v>
      </c>
      <c r="F1435" t="str">
        <f>IF(AND(AllData[[#This Row],[Time]]&lt;0.5, AllData[[#This Row],[Time]]&gt;0.17)=TRUE, "Morning", IF(AND(AllData[[#This Row],[Time]]&lt;0.75, AllData[[#This Row],[Time]]&gt;=0.5)=TRUE, "Afternoon", IF(AND(AllData[[#This Row],[Time]]&lt;1, AllData[[#This Row],[Time]]&gt;=0.75)=TRUE, "Evening", "Night")))</f>
        <v>Afternoon</v>
      </c>
      <c r="G1435" t="str">
        <f>_xlfn.XLOOKUP(AllData[[#This Row],[Location Name]], Locations[Location Name],Locations[Group As])</f>
        <v>Abbey Mill</v>
      </c>
      <c r="H1435" t="e" vm="4">
        <f>_xlfn.XLOOKUP(AllData[[#This Row],[Site Name]],LocationsKey[Site Name],LocationsKey[District])</f>
        <v>#VALUE!</v>
      </c>
      <c r="I1435" t="e" vm="4">
        <f>_xlfn.XLOOKUP(AllData[[#This Row],[Site Name]],LocationsKey[Site Name],LocationsKey[Town])</f>
        <v>#VALUE!</v>
      </c>
      <c r="J1435" t="str">
        <f>_xlfn.XLOOKUP(AllData[[#This Row],[Site Name]],LocationsKey[Site Name], LocationsKey[Waterway])</f>
        <v>Avon</v>
      </c>
      <c r="K1435" t="s">
        <v>27</v>
      </c>
      <c r="L1435">
        <v>51.991385000000001</v>
      </c>
      <c r="M1435">
        <v>-2.1628050000000001</v>
      </c>
      <c r="N1435" t="s">
        <v>25</v>
      </c>
      <c r="O1435">
        <v>871</v>
      </c>
      <c r="P1435">
        <v>17.600000000000001</v>
      </c>
      <c r="Q1435">
        <v>6</v>
      </c>
      <c r="R1435" s="107" t="str">
        <f>IF(AllData[[#This Row],[Nitrate (PPM)]]&gt;2, "Very high", IF(AllData[[#This Row],[Nitrate (PPM)]]&gt;1, "High", IF(AllData[[#This Row],[Nitrate (PPM)]]&gt;0.5, "Some evidence", IF(AllData[[#This Row],[Nitrate (PPM)]]&gt;=0, "No evidence"))))</f>
        <v>Very high</v>
      </c>
      <c r="S1435" s="4">
        <v>0.71</v>
      </c>
      <c r="T1435" s="7" t="str">
        <f>IF(AllData[[#This Row],[Phosphate (PPM)]]&gt;0.5, "Very high", IF(AllData[[#This Row],[Phosphate (PPM)]]&gt;0.1, "High", IF(AllData[[#This Row],[Phosphate (PPM)]]&gt;0.05, "Some evidence", IF(AllData[[#This Row],[Phosphate (PPM)]]&lt;=0.05, "No Evidence", ""))))</f>
        <v>Very high</v>
      </c>
      <c r="U1435">
        <v>0.6</v>
      </c>
      <c r="V1435" t="s">
        <v>1397</v>
      </c>
    </row>
    <row r="1436" spans="1:22" x14ac:dyDescent="0.35">
      <c r="A1436" t="s">
        <v>1398</v>
      </c>
      <c r="B1436" s="143">
        <v>45447</v>
      </c>
      <c r="C1436" s="2" t="str" cm="1">
        <f t="array" ref="C14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6">
        <f>YEAR(AllData[[#This Row],[Date]])</f>
        <v>2024</v>
      </c>
      <c r="E1436" s="1">
        <v>0.75</v>
      </c>
      <c r="F1436" t="str">
        <f>IF(AND(AllData[[#This Row],[Time]]&lt;0.5, AllData[[#This Row],[Time]]&gt;0.17)=TRUE, "Morning", IF(AND(AllData[[#This Row],[Time]]&lt;0.75, AllData[[#This Row],[Time]]&gt;=0.5)=TRUE, "Afternoon", IF(AND(AllData[[#This Row],[Time]]&lt;1, AllData[[#This Row],[Time]]&gt;=0.75)=TRUE, "Evening", "Night")))</f>
        <v>Evening</v>
      </c>
      <c r="G1436" t="str">
        <f>_xlfn.XLOOKUP(AllData[[#This Row],[Location Name]], Locations[Location Name],Locations[Group As])</f>
        <v>Lucy's Mill Bridge</v>
      </c>
      <c r="H1436" t="e" vm="1">
        <f>_xlfn.XLOOKUP(AllData[[#This Row],[Site Name]],LocationsKey[Site Name],LocationsKey[District])</f>
        <v>#VALUE!</v>
      </c>
      <c r="I1436" t="e" vm="12">
        <f>_xlfn.XLOOKUP(AllData[[#This Row],[Site Name]],LocationsKey[Site Name],LocationsKey[Town])</f>
        <v>#VALUE!</v>
      </c>
      <c r="J1436" t="str">
        <f>_xlfn.XLOOKUP(AllData[[#This Row],[Site Name]],LocationsKey[Site Name], LocationsKey[Waterway])</f>
        <v>Avon</v>
      </c>
      <c r="K1436" t="s">
        <v>212</v>
      </c>
      <c r="L1436">
        <v>52.183698999999997</v>
      </c>
      <c r="M1436">
        <v>-1.707816</v>
      </c>
      <c r="N1436" t="s">
        <v>31</v>
      </c>
      <c r="P1436">
        <v>17.3</v>
      </c>
      <c r="Q1436">
        <v>5</v>
      </c>
      <c r="R1436" s="107" t="str">
        <f>IF(AllData[[#This Row],[Nitrate (PPM)]]&gt;2, "Very high", IF(AllData[[#This Row],[Nitrate (PPM)]]&gt;1, "High", IF(AllData[[#This Row],[Nitrate (PPM)]]&gt;0.5, "Some evidence", IF(AllData[[#This Row],[Nitrate (PPM)]]&gt;=0, "No evidence"))))</f>
        <v>Very high</v>
      </c>
      <c r="S1436" s="4">
        <v>0.51</v>
      </c>
      <c r="T1436" s="7" t="str">
        <f>IF(AllData[[#This Row],[Phosphate (PPM)]]&gt;0.5, "Very high", IF(AllData[[#This Row],[Phosphate (PPM)]]&gt;0.1, "High", IF(AllData[[#This Row],[Phosphate (PPM)]]&gt;0.05, "Some evidence", IF(AllData[[#This Row],[Phosphate (PPM)]]&lt;=0.05, "No Evidence", ""))))</f>
        <v>Very high</v>
      </c>
      <c r="U1436">
        <v>0.7</v>
      </c>
    </row>
    <row r="1437" spans="1:22" x14ac:dyDescent="0.35">
      <c r="A1437" t="s">
        <v>1392</v>
      </c>
      <c r="B1437" s="143">
        <v>45446</v>
      </c>
      <c r="C1437" s="2" t="str" cm="1">
        <f t="array" ref="C14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7">
        <f>YEAR(AllData[[#This Row],[Date]])</f>
        <v>2024</v>
      </c>
      <c r="E1437" s="1">
        <v>0.5</v>
      </c>
      <c r="F1437" t="str">
        <f>IF(AND(AllData[[#This Row],[Time]]&lt;0.5, AllData[[#This Row],[Time]]&gt;0.17)=TRUE, "Morning", IF(AND(AllData[[#This Row],[Time]]&lt;0.75, AllData[[#This Row],[Time]]&gt;=0.5)=TRUE, "Afternoon", IF(AND(AllData[[#This Row],[Time]]&lt;1, AllData[[#This Row],[Time]]&gt;=0.75)=TRUE, "Evening", "Night")))</f>
        <v>Afternoon</v>
      </c>
      <c r="G1437" t="str">
        <f>_xlfn.XLOOKUP(AllData[[#This Row],[Location Name]], Locations[Location Name],Locations[Group As])</f>
        <v>Carrant Bredon Rd</v>
      </c>
      <c r="H1437" t="e" vm="4">
        <f>_xlfn.XLOOKUP(AllData[[#This Row],[Site Name]],LocationsKey[Site Name],LocationsKey[District])</f>
        <v>#VALUE!</v>
      </c>
      <c r="I1437" t="e" vm="4">
        <f>_xlfn.XLOOKUP(AllData[[#This Row],[Site Name]],LocationsKey[Site Name],LocationsKey[Town])</f>
        <v>#VALUE!</v>
      </c>
      <c r="J1437" t="str">
        <f>_xlfn.XLOOKUP(AllData[[#This Row],[Site Name]],LocationsKey[Site Name], LocationsKey[Waterway])</f>
        <v>Carrant</v>
      </c>
      <c r="K1437" t="s">
        <v>603</v>
      </c>
      <c r="L1437">
        <v>51.996234000000001</v>
      </c>
      <c r="M1437">
        <v>-2.1561750000000002</v>
      </c>
      <c r="N1437" t="s">
        <v>25</v>
      </c>
      <c r="O1437">
        <v>747</v>
      </c>
      <c r="P1437">
        <v>17</v>
      </c>
      <c r="Q1437">
        <v>7</v>
      </c>
      <c r="R1437" s="107" t="str">
        <f>IF(AllData[[#This Row],[Nitrate (PPM)]]&gt;2, "Very high", IF(AllData[[#This Row],[Nitrate (PPM)]]&gt;1, "High", IF(AllData[[#This Row],[Nitrate (PPM)]]&gt;0.5, "Some evidence", IF(AllData[[#This Row],[Nitrate (PPM)]]&gt;=0, "No evidence"))))</f>
        <v>Very high</v>
      </c>
      <c r="S1437" s="4">
        <v>0.31</v>
      </c>
      <c r="T1437" s="7" t="str">
        <f>IF(AllData[[#This Row],[Phosphate (PPM)]]&gt;0.5, "Very high", IF(AllData[[#This Row],[Phosphate (PPM)]]&gt;0.1, "High", IF(AllData[[#This Row],[Phosphate (PPM)]]&gt;0.05, "Some evidence", IF(AllData[[#This Row],[Phosphate (PPM)]]&lt;=0.05, "No Evidence", ""))))</f>
        <v>High</v>
      </c>
      <c r="U1437">
        <v>0.1</v>
      </c>
    </row>
    <row r="1438" spans="1:22" x14ac:dyDescent="0.35">
      <c r="A1438" t="s">
        <v>1390</v>
      </c>
      <c r="B1438" s="143">
        <v>45446</v>
      </c>
      <c r="C1438" s="2" t="str" cm="1">
        <f t="array" ref="C14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8">
        <f>YEAR(AllData[[#This Row],[Date]])</f>
        <v>2024</v>
      </c>
      <c r="E1438" s="1">
        <v>0.40416666666666667</v>
      </c>
      <c r="F1438" t="str">
        <f>IF(AND(AllData[[#This Row],[Time]]&lt;0.5, AllData[[#This Row],[Time]]&gt;0.17)=TRUE, "Morning", IF(AND(AllData[[#This Row],[Time]]&lt;0.75, AllData[[#This Row],[Time]]&gt;=0.5)=TRUE, "Afternoon", IF(AND(AllData[[#This Row],[Time]]&lt;1, AllData[[#This Row],[Time]]&gt;=0.75)=TRUE, "Evening", "Night")))</f>
        <v>Morning</v>
      </c>
      <c r="G1438" t="str">
        <f>_xlfn.XLOOKUP(AllData[[#This Row],[Location Name]], Locations[Location Name],Locations[Group As])</f>
        <v>Stour Stretton-on-Fosse Sewage Works</v>
      </c>
      <c r="H1438" t="e" vm="1">
        <f>_xlfn.XLOOKUP(AllData[[#This Row],[Site Name]],LocationsKey[Site Name],LocationsKey[District])</f>
        <v>#VALUE!</v>
      </c>
      <c r="I1438" t="e" vm="30">
        <f>_xlfn.XLOOKUP(AllData[[#This Row],[Site Name]],LocationsKey[Site Name],LocationsKey[Town])</f>
        <v>#VALUE!</v>
      </c>
      <c r="J1438" t="str">
        <f>_xlfn.XLOOKUP(AllData[[#This Row],[Site Name]],LocationsKey[Site Name], LocationsKey[Waterway])</f>
        <v>Stour</v>
      </c>
      <c r="K1438" t="s">
        <v>337</v>
      </c>
      <c r="L1438">
        <v>52.045608000000001</v>
      </c>
      <c r="M1438">
        <v>-1.6719790000000001</v>
      </c>
      <c r="N1438" t="s">
        <v>31</v>
      </c>
      <c r="O1438">
        <v>806</v>
      </c>
      <c r="P1438">
        <v>14.9</v>
      </c>
      <c r="Q1438">
        <v>2</v>
      </c>
      <c r="R1438" s="107" t="str">
        <f>IF(AllData[[#This Row],[Nitrate (PPM)]]&gt;2, "Very high", IF(AllData[[#This Row],[Nitrate (PPM)]]&gt;1, "High", IF(AllData[[#This Row],[Nitrate (PPM)]]&gt;0.5, "Some evidence", IF(AllData[[#This Row],[Nitrate (PPM)]]&gt;=0, "No evidence"))))</f>
        <v>High</v>
      </c>
      <c r="S1438" s="4">
        <v>2.5</v>
      </c>
      <c r="T1438" s="7" t="str">
        <f>IF(AllData[[#This Row],[Phosphate (PPM)]]&gt;0.5, "Very high", IF(AllData[[#This Row],[Phosphate (PPM)]]&gt;0.1, "High", IF(AllData[[#This Row],[Phosphate (PPM)]]&gt;0.05, "Some evidence", IF(AllData[[#This Row],[Phosphate (PPM)]]&lt;=0.05, "No Evidence", ""))))</f>
        <v>Very high</v>
      </c>
      <c r="U1438">
        <v>0.25</v>
      </c>
      <c r="V1438" t="s">
        <v>1391</v>
      </c>
    </row>
    <row r="1439" spans="1:22" x14ac:dyDescent="0.35">
      <c r="A1439" t="s">
        <v>1388</v>
      </c>
      <c r="B1439" s="143">
        <v>45446</v>
      </c>
      <c r="C1439" s="2" t="str" cm="1">
        <f t="array" ref="C14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39">
        <f>YEAR(AllData[[#This Row],[Date]])</f>
        <v>2024</v>
      </c>
      <c r="E1439" s="1">
        <v>0.3923611111111111</v>
      </c>
      <c r="F1439" t="str">
        <f>IF(AND(AllData[[#This Row],[Time]]&lt;0.5, AllData[[#This Row],[Time]]&gt;0.17)=TRUE, "Morning", IF(AND(AllData[[#This Row],[Time]]&lt;0.75, AllData[[#This Row],[Time]]&gt;=0.5)=TRUE, "Afternoon", IF(AND(AllData[[#This Row],[Time]]&lt;1, AllData[[#This Row],[Time]]&gt;=0.75)=TRUE, "Evening", "Night")))</f>
        <v>Morning</v>
      </c>
      <c r="G1439" t="str">
        <f>_xlfn.XLOOKUP(AllData[[#This Row],[Location Name]], Locations[Location Name],Locations[Group As])</f>
        <v>Stour Stretton-on-Fosse Village</v>
      </c>
      <c r="H1439" t="e" vm="1">
        <f>_xlfn.XLOOKUP(AllData[[#This Row],[Site Name]],LocationsKey[Site Name],LocationsKey[District])</f>
        <v>#VALUE!</v>
      </c>
      <c r="I1439" t="e" vm="30">
        <f>_xlfn.XLOOKUP(AllData[[#This Row],[Site Name]],LocationsKey[Site Name],LocationsKey[Town])</f>
        <v>#VALUE!</v>
      </c>
      <c r="J1439" t="str">
        <f>_xlfn.XLOOKUP(AllData[[#This Row],[Site Name]],LocationsKey[Site Name], LocationsKey[Waterway])</f>
        <v>Stour</v>
      </c>
      <c r="K1439" t="s">
        <v>548</v>
      </c>
      <c r="L1439">
        <v>52.046489999999999</v>
      </c>
      <c r="M1439">
        <v>-1.673397</v>
      </c>
      <c r="N1439" t="s">
        <v>68</v>
      </c>
      <c r="O1439">
        <v>702</v>
      </c>
      <c r="P1439">
        <v>14.2</v>
      </c>
      <c r="Q1439">
        <v>0.5</v>
      </c>
      <c r="R1439" s="107" t="str">
        <f>IF(AllData[[#This Row],[Nitrate (PPM)]]&gt;2, "Very high", IF(AllData[[#This Row],[Nitrate (PPM)]]&gt;1, "High", IF(AllData[[#This Row],[Nitrate (PPM)]]&gt;0.5, "Some evidence", IF(AllData[[#This Row],[Nitrate (PPM)]]&gt;=0, "No evidence"))))</f>
        <v>No evidence</v>
      </c>
      <c r="S1439" s="4">
        <v>2.5</v>
      </c>
      <c r="T1439" s="7" t="str">
        <f>IF(AllData[[#This Row],[Phosphate (PPM)]]&gt;0.5, "Very high", IF(AllData[[#This Row],[Phosphate (PPM)]]&gt;0.1, "High", IF(AllData[[#This Row],[Phosphate (PPM)]]&gt;0.05, "Some evidence", IF(AllData[[#This Row],[Phosphate (PPM)]]&lt;=0.05, "No Evidence", ""))))</f>
        <v>Very high</v>
      </c>
      <c r="U1439">
        <v>0.15</v>
      </c>
      <c r="V1439" t="s">
        <v>1389</v>
      </c>
    </row>
    <row r="1440" spans="1:22" x14ac:dyDescent="0.35">
      <c r="A1440" t="s">
        <v>1384</v>
      </c>
      <c r="B1440" s="143">
        <v>45445</v>
      </c>
      <c r="C1440" s="2" t="str" cm="1">
        <f t="array" ref="C14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0">
        <f>YEAR(AllData[[#This Row],[Date]])</f>
        <v>2024</v>
      </c>
      <c r="E1440" s="1">
        <v>0.39583333333333331</v>
      </c>
      <c r="F1440" t="str">
        <f>IF(AND(AllData[[#This Row],[Time]]&lt;0.5, AllData[[#This Row],[Time]]&gt;0.17)=TRUE, "Morning", IF(AND(AllData[[#This Row],[Time]]&lt;0.75, AllData[[#This Row],[Time]]&gt;=0.5)=TRUE, "Afternoon", IF(AND(AllData[[#This Row],[Time]]&lt;1, AllData[[#This Row],[Time]]&gt;=0.75)=TRUE, "Evening", "Night")))</f>
        <v>Morning</v>
      </c>
      <c r="G1440" t="str">
        <f>_xlfn.XLOOKUP(AllData[[#This Row],[Location Name]], Locations[Location Name],Locations[Group As])</f>
        <v>Sherbourne Brook 1</v>
      </c>
      <c r="H1440" t="e" vm="1">
        <f>_xlfn.XLOOKUP(AllData[[#This Row],[Site Name]],LocationsKey[Site Name],LocationsKey[District])</f>
        <v>#VALUE!</v>
      </c>
      <c r="I1440" t="e" vm="23">
        <f>_xlfn.XLOOKUP(AllData[[#This Row],[Site Name]],LocationsKey[Site Name],LocationsKey[Town])</f>
        <v>#VALUE!</v>
      </c>
      <c r="J1440" t="str">
        <f>_xlfn.XLOOKUP(AllData[[#This Row],[Site Name]],LocationsKey[Site Name], LocationsKey[Waterway])</f>
        <v>Sherbourne Brook</v>
      </c>
      <c r="K1440" t="s">
        <v>541</v>
      </c>
      <c r="L1440">
        <v>52.252499999999998</v>
      </c>
      <c r="M1440">
        <v>-1.6685000000000001</v>
      </c>
      <c r="N1440" t="s">
        <v>25</v>
      </c>
      <c r="O1440">
        <v>1090</v>
      </c>
      <c r="P1440">
        <v>13.6</v>
      </c>
      <c r="Q1440">
        <v>10</v>
      </c>
      <c r="R1440" s="107" t="str">
        <f>IF(AllData[[#This Row],[Nitrate (PPM)]]&gt;2, "Very high", IF(AllData[[#This Row],[Nitrate (PPM)]]&gt;1, "High", IF(AllData[[#This Row],[Nitrate (PPM)]]&gt;0.5, "Some evidence", IF(AllData[[#This Row],[Nitrate (PPM)]]&gt;=0, "No evidence"))))</f>
        <v>Very high</v>
      </c>
      <c r="S1440" s="4">
        <v>0.28999999999999998</v>
      </c>
      <c r="T1440" s="7" t="str">
        <f>IF(AllData[[#This Row],[Phosphate (PPM)]]&gt;0.5, "Very high", IF(AllData[[#This Row],[Phosphate (PPM)]]&gt;0.1, "High", IF(AllData[[#This Row],[Phosphate (PPM)]]&gt;0.05, "Some evidence", IF(AllData[[#This Row],[Phosphate (PPM)]]&lt;=0.05, "No Evidence", ""))))</f>
        <v>High</v>
      </c>
      <c r="U1440">
        <v>0.2</v>
      </c>
    </row>
    <row r="1441" spans="1:22" x14ac:dyDescent="0.35">
      <c r="A1441" t="s">
        <v>1387</v>
      </c>
      <c r="B1441" s="143">
        <v>45445</v>
      </c>
      <c r="C1441" s="2" t="str" cm="1">
        <f t="array" ref="C14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1">
        <f>YEAR(AllData[[#This Row],[Date]])</f>
        <v>2024</v>
      </c>
      <c r="E1441" s="1">
        <v>0.82638888888888884</v>
      </c>
      <c r="F1441" t="str">
        <f>IF(AND(AllData[[#This Row],[Time]]&lt;0.5, AllData[[#This Row],[Time]]&gt;0.17)=TRUE, "Morning", IF(AND(AllData[[#This Row],[Time]]&lt;0.75, AllData[[#This Row],[Time]]&gt;=0.5)=TRUE, "Afternoon", IF(AND(AllData[[#This Row],[Time]]&lt;1, AllData[[#This Row],[Time]]&gt;=0.75)=TRUE, "Evening", "Night")))</f>
        <v>Evening</v>
      </c>
      <c r="G1441" t="str">
        <f>_xlfn.XLOOKUP(AllData[[#This Row],[Location Name]], Locations[Location Name],Locations[Group As])</f>
        <v>Black Bear</v>
      </c>
      <c r="H1441" t="e" vm="4">
        <f>_xlfn.XLOOKUP(AllData[[#This Row],[Site Name]],LocationsKey[Site Name],LocationsKey[District])</f>
        <v>#VALUE!</v>
      </c>
      <c r="I1441" t="e" vm="4">
        <f>_xlfn.XLOOKUP(AllData[[#This Row],[Site Name]],LocationsKey[Site Name],LocationsKey[Town])</f>
        <v>#VALUE!</v>
      </c>
      <c r="J1441" t="str">
        <f>_xlfn.XLOOKUP(AllData[[#This Row],[Site Name]],LocationsKey[Site Name], LocationsKey[Waterway])</f>
        <v>Avon</v>
      </c>
      <c r="K1441" t="s">
        <v>1175</v>
      </c>
      <c r="L1441">
        <v>51.997427000000002</v>
      </c>
      <c r="M1441">
        <v>-2.1562510000000001</v>
      </c>
      <c r="N1441" t="s">
        <v>25</v>
      </c>
      <c r="O1441">
        <v>904</v>
      </c>
      <c r="P1441">
        <v>18</v>
      </c>
      <c r="Q1441">
        <v>10</v>
      </c>
      <c r="R1441" s="107" t="str">
        <f>IF(AllData[[#This Row],[Nitrate (PPM)]]&gt;2, "Very high", IF(AllData[[#This Row],[Nitrate (PPM)]]&gt;1, "High", IF(AllData[[#This Row],[Nitrate (PPM)]]&gt;0.5, "Some evidence", IF(AllData[[#This Row],[Nitrate (PPM)]]&gt;=0, "No evidence"))))</f>
        <v>Very high</v>
      </c>
      <c r="S1441" s="4">
        <v>2.4900000000000002</v>
      </c>
      <c r="T1441" s="7" t="str">
        <f>IF(AllData[[#This Row],[Phosphate (PPM)]]&gt;0.5, "Very high", IF(AllData[[#This Row],[Phosphate (PPM)]]&gt;0.1, "High", IF(AllData[[#This Row],[Phosphate (PPM)]]&gt;0.05, "Some evidence", IF(AllData[[#This Row],[Phosphate (PPM)]]&lt;=0.05, "No Evidence", ""))))</f>
        <v>Very high</v>
      </c>
      <c r="U1441">
        <v>0</v>
      </c>
    </row>
    <row r="1442" spans="1:22" x14ac:dyDescent="0.35">
      <c r="A1442" t="s">
        <v>1386</v>
      </c>
      <c r="B1442" s="143">
        <v>45445</v>
      </c>
      <c r="C1442" s="2" t="str" cm="1">
        <f t="array" ref="C14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2">
        <f>YEAR(AllData[[#This Row],[Date]])</f>
        <v>2024</v>
      </c>
      <c r="E1442" s="1">
        <v>0.47916666666666669</v>
      </c>
      <c r="F1442" t="str">
        <f>IF(AND(AllData[[#This Row],[Time]]&lt;0.5, AllData[[#This Row],[Time]]&gt;0.17)=TRUE, "Morning", IF(AND(AllData[[#This Row],[Time]]&lt;0.75, AllData[[#This Row],[Time]]&gt;=0.5)=TRUE, "Afternoon", IF(AND(AllData[[#This Row],[Time]]&lt;1, AllData[[#This Row],[Time]]&gt;=0.75)=TRUE, "Evening", "Night")))</f>
        <v>Morning</v>
      </c>
      <c r="G1442" t="str">
        <f>_xlfn.XLOOKUP(AllData[[#This Row],[Location Name]], Locations[Location Name],Locations[Group As])</f>
        <v>Fell Mill Footbridge</v>
      </c>
      <c r="H1442" t="e" vm="1">
        <f>_xlfn.XLOOKUP(AllData[[#This Row],[Site Name]],LocationsKey[Site Name],LocationsKey[District])</f>
        <v>#VALUE!</v>
      </c>
      <c r="I1442" t="e" vm="15">
        <f>_xlfn.XLOOKUP(AllData[[#This Row],[Site Name]],LocationsKey[Site Name],LocationsKey[Town])</f>
        <v>#VALUE!</v>
      </c>
      <c r="J1442" t="str">
        <f>_xlfn.XLOOKUP(AllData[[#This Row],[Site Name]],LocationsKey[Site Name], LocationsKey[Waterway])</f>
        <v>Stour</v>
      </c>
      <c r="K1442" t="s">
        <v>875</v>
      </c>
      <c r="L1442">
        <v>52.070086000000003</v>
      </c>
      <c r="M1442">
        <v>-1.61145</v>
      </c>
      <c r="N1442" t="s">
        <v>31</v>
      </c>
      <c r="O1442">
        <v>63.5</v>
      </c>
      <c r="P1442">
        <v>13.8</v>
      </c>
      <c r="Q1442">
        <v>10</v>
      </c>
      <c r="R1442" s="107" t="str">
        <f>IF(AllData[[#This Row],[Nitrate (PPM)]]&gt;2, "Very high", IF(AllData[[#This Row],[Nitrate (PPM)]]&gt;1, "High", IF(AllData[[#This Row],[Nitrate (PPM)]]&gt;0.5, "Some evidence", IF(AllData[[#This Row],[Nitrate (PPM)]]&gt;=0, "No evidence"))))</f>
        <v>Very high</v>
      </c>
      <c r="S1442" s="4">
        <v>0.37</v>
      </c>
      <c r="T1442" s="7" t="str">
        <f>IF(AllData[[#This Row],[Phosphate (PPM)]]&gt;0.5, "Very high", IF(AllData[[#This Row],[Phosphate (PPM)]]&gt;0.1, "High", IF(AllData[[#This Row],[Phosphate (PPM)]]&gt;0.05, "Some evidence", IF(AllData[[#This Row],[Phosphate (PPM)]]&lt;=0.05, "No Evidence", ""))))</f>
        <v>High</v>
      </c>
      <c r="U1442">
        <v>1.22</v>
      </c>
    </row>
    <row r="1443" spans="1:22" x14ac:dyDescent="0.35">
      <c r="A1443" t="s">
        <v>1385</v>
      </c>
      <c r="B1443" s="143">
        <v>45445</v>
      </c>
      <c r="C1443" s="2" t="str" cm="1">
        <f t="array" ref="C14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3">
        <f>YEAR(AllData[[#This Row],[Date]])</f>
        <v>2024</v>
      </c>
      <c r="E1443" s="1">
        <v>0.40625</v>
      </c>
      <c r="F1443" t="str">
        <f>IF(AND(AllData[[#This Row],[Time]]&lt;0.5, AllData[[#This Row],[Time]]&gt;0.17)=TRUE, "Morning", IF(AND(AllData[[#This Row],[Time]]&lt;0.75, AllData[[#This Row],[Time]]&gt;=0.5)=TRUE, "Afternoon", IF(AND(AllData[[#This Row],[Time]]&lt;1, AllData[[#This Row],[Time]]&gt;=0.75)=TRUE, "Evening", "Night")))</f>
        <v>Morning</v>
      </c>
      <c r="G1443" t="str">
        <f>_xlfn.XLOOKUP(AllData[[#This Row],[Location Name]], Locations[Location Name],Locations[Group As])</f>
        <v>Bell Brook 1</v>
      </c>
      <c r="H1443" t="e" vm="1">
        <f>_xlfn.XLOOKUP(AllData[[#This Row],[Site Name]],LocationsKey[Site Name],LocationsKey[District])</f>
        <v>#VALUE!</v>
      </c>
      <c r="I1443" t="e" vm="19">
        <f>_xlfn.XLOOKUP(AllData[[#This Row],[Site Name]],LocationsKey[Site Name],LocationsKey[Town])</f>
        <v>#VALUE!</v>
      </c>
      <c r="J1443" t="str">
        <f>_xlfn.XLOOKUP(AllData[[#This Row],[Site Name]],LocationsKey[Site Name], LocationsKey[Waterway])</f>
        <v>Bell Brook</v>
      </c>
      <c r="K1443" t="s">
        <v>538</v>
      </c>
      <c r="L1443">
        <v>52.244900000000001</v>
      </c>
      <c r="M1443">
        <v>-1.6617</v>
      </c>
      <c r="N1443" t="s">
        <v>25</v>
      </c>
      <c r="O1443">
        <v>762</v>
      </c>
      <c r="P1443">
        <v>15.4</v>
      </c>
      <c r="Q1443">
        <v>4</v>
      </c>
      <c r="R1443" s="107" t="str">
        <f>IF(AllData[[#This Row],[Nitrate (PPM)]]&gt;2, "Very high", IF(AllData[[#This Row],[Nitrate (PPM)]]&gt;1, "High", IF(AllData[[#This Row],[Nitrate (PPM)]]&gt;0.5, "Some evidence", IF(AllData[[#This Row],[Nitrate (PPM)]]&gt;=0, "No evidence"))))</f>
        <v>Very high</v>
      </c>
      <c r="S1443" s="4">
        <v>0.48</v>
      </c>
      <c r="T1443" s="7" t="str">
        <f>IF(AllData[[#This Row],[Phosphate (PPM)]]&gt;0.5, "Very high", IF(AllData[[#This Row],[Phosphate (PPM)]]&gt;0.1, "High", IF(AllData[[#This Row],[Phosphate (PPM)]]&gt;0.05, "Some evidence", IF(AllData[[#This Row],[Phosphate (PPM)]]&lt;=0.05, "No Evidence", ""))))</f>
        <v>High</v>
      </c>
      <c r="U1443">
        <v>0.2</v>
      </c>
    </row>
    <row r="1444" spans="1:22" x14ac:dyDescent="0.35">
      <c r="A1444" t="s">
        <v>1381</v>
      </c>
      <c r="B1444" s="143">
        <v>45444</v>
      </c>
      <c r="C1444" s="2" t="str" cm="1">
        <f t="array" ref="C14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4">
        <f>YEAR(AllData[[#This Row],[Date]])</f>
        <v>2024</v>
      </c>
      <c r="E1444" s="1"/>
      <c r="F1444" t="str">
        <f>IF(AND(AllData[[#This Row],[Time]]&lt;0.5, AllData[[#This Row],[Time]]&gt;0.17)=TRUE, "Morning", IF(AND(AllData[[#This Row],[Time]]&lt;0.75, AllData[[#This Row],[Time]]&gt;=0.5)=TRUE, "Afternoon", IF(AND(AllData[[#This Row],[Time]]&lt;1, AllData[[#This Row],[Time]]&gt;=0.75)=TRUE, "Evening", "Night")))</f>
        <v>Night</v>
      </c>
      <c r="G1444" t="str">
        <f>_xlfn.XLOOKUP(AllData[[#This Row],[Location Name]], Locations[Location Name],Locations[Group As])</f>
        <v>Site 3  :  Severn Trent Water processing plant outflow</v>
      </c>
      <c r="H1444" t="e" vm="1">
        <f>_xlfn.XLOOKUP(AllData[[#This Row],[Site Name]],LocationsKey[Site Name],LocationsKey[District])</f>
        <v>#VALUE!</v>
      </c>
      <c r="I1444" t="e" vm="14">
        <f>_xlfn.XLOOKUP(AllData[[#This Row],[Site Name]],LocationsKey[Site Name],LocationsKey[Town])</f>
        <v>#VALUE!</v>
      </c>
      <c r="J1444" t="str">
        <f>_xlfn.XLOOKUP(AllData[[#This Row],[Site Name]],LocationsKey[Site Name], LocationsKey[Waterway])</f>
        <v>Fosseway Brook</v>
      </c>
      <c r="K1444" t="s">
        <v>676</v>
      </c>
      <c r="N1444" t="s">
        <v>31</v>
      </c>
      <c r="O1444">
        <v>839</v>
      </c>
      <c r="P1444">
        <v>15</v>
      </c>
      <c r="Q1444">
        <v>8</v>
      </c>
      <c r="R1444" s="107" t="str">
        <f>IF(AllData[[#This Row],[Nitrate (PPM)]]&gt;2, "Very high", IF(AllData[[#This Row],[Nitrate (PPM)]]&gt;1, "High", IF(AllData[[#This Row],[Nitrate (PPM)]]&gt;0.5, "Some evidence", IF(AllData[[#This Row],[Nitrate (PPM)]]&gt;=0, "No evidence"))))</f>
        <v>Very high</v>
      </c>
      <c r="S1444" s="4">
        <v>2.5</v>
      </c>
      <c r="T1444" s="7" t="str">
        <f>IF(AllData[[#This Row],[Phosphate (PPM)]]&gt;0.5, "Very high", IF(AllData[[#This Row],[Phosphate (PPM)]]&gt;0.1, "High", IF(AllData[[#This Row],[Phosphate (PPM)]]&gt;0.05, "Some evidence", IF(AllData[[#This Row],[Phosphate (PPM)]]&lt;=0.05, "No Evidence", ""))))</f>
        <v>Very high</v>
      </c>
    </row>
    <row r="1445" spans="1:22" x14ac:dyDescent="0.35">
      <c r="A1445" t="s">
        <v>1379</v>
      </c>
      <c r="B1445" s="143">
        <v>45444</v>
      </c>
      <c r="C1445" s="2" t="str" cm="1">
        <f t="array" ref="C14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5">
        <f>YEAR(AllData[[#This Row],[Date]])</f>
        <v>2024</v>
      </c>
      <c r="F1445" t="str">
        <f>IF(AND(AllData[[#This Row],[Time]]&lt;0.5, AllData[[#This Row],[Time]]&gt;0.17)=TRUE, "Morning", IF(AND(AllData[[#This Row],[Time]]&lt;0.75, AllData[[#This Row],[Time]]&gt;=0.5)=TRUE, "Afternoon", IF(AND(AllData[[#This Row],[Time]]&lt;1, AllData[[#This Row],[Time]]&gt;=0.75)=TRUE, "Evening", "Night")))</f>
        <v>Night</v>
      </c>
      <c r="G1445" t="str">
        <f>_xlfn.XLOOKUP(AllData[[#This Row],[Location Name]], Locations[Location Name],Locations[Group As])</f>
        <v>Site 3  :  Severn Trent Water processing plant outflow</v>
      </c>
      <c r="H1445" t="e" vm="1">
        <f>_xlfn.XLOOKUP(AllData[[#This Row],[Site Name]],LocationsKey[Site Name],LocationsKey[District])</f>
        <v>#VALUE!</v>
      </c>
      <c r="I1445" t="e" vm="14">
        <f>_xlfn.XLOOKUP(AllData[[#This Row],[Site Name]],LocationsKey[Site Name],LocationsKey[Town])</f>
        <v>#VALUE!</v>
      </c>
      <c r="J1445" t="str">
        <f>_xlfn.XLOOKUP(AllData[[#This Row],[Site Name]],LocationsKey[Site Name], LocationsKey[Waterway])</f>
        <v>Fosseway Brook</v>
      </c>
      <c r="K1445" t="s">
        <v>673</v>
      </c>
      <c r="N1445" t="s">
        <v>31</v>
      </c>
      <c r="O1445">
        <v>839</v>
      </c>
      <c r="P1445">
        <v>15</v>
      </c>
      <c r="Q1445">
        <v>8</v>
      </c>
      <c r="R1445" s="107" t="str">
        <f>IF(AllData[[#This Row],[Nitrate (PPM)]]&gt;2, "Very high", IF(AllData[[#This Row],[Nitrate (PPM)]]&gt;1, "High", IF(AllData[[#This Row],[Nitrate (PPM)]]&gt;0.5, "Some evidence", IF(AllData[[#This Row],[Nitrate (PPM)]]&gt;=0, "No evidence"))))</f>
        <v>Very high</v>
      </c>
      <c r="S1445" s="4">
        <v>2.5</v>
      </c>
      <c r="T1445" s="7" t="str">
        <f>IF(AllData[[#This Row],[Phosphate (PPM)]]&gt;0.5, "Very high", IF(AllData[[#This Row],[Phosphate (PPM)]]&gt;0.1, "High", IF(AllData[[#This Row],[Phosphate (PPM)]]&gt;0.05, "Some evidence", IF(AllData[[#This Row],[Phosphate (PPM)]]&lt;=0.05, "No Evidence", ""))))</f>
        <v>Very high</v>
      </c>
      <c r="U1445">
        <v>0</v>
      </c>
      <c r="V1445" t="s">
        <v>1380</v>
      </c>
    </row>
    <row r="1446" spans="1:22" x14ac:dyDescent="0.35">
      <c r="A1446" t="s">
        <v>1370</v>
      </c>
      <c r="B1446" s="143">
        <v>45444</v>
      </c>
      <c r="C1446" s="2" t="str" cm="1">
        <f t="array" ref="C14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6">
        <f>YEAR(AllData[[#This Row],[Date]])</f>
        <v>2024</v>
      </c>
      <c r="E1446" s="1">
        <v>0.45833333333333331</v>
      </c>
      <c r="F1446" t="str">
        <f>IF(AND(AllData[[#This Row],[Time]]&lt;0.5, AllData[[#This Row],[Time]]&gt;0.17)=TRUE, "Morning", IF(AND(AllData[[#This Row],[Time]]&lt;0.75, AllData[[#This Row],[Time]]&gt;=0.5)=TRUE, "Afternoon", IF(AND(AllData[[#This Row],[Time]]&lt;1, AllData[[#This Row],[Time]]&gt;=0.75)=TRUE, "Evening", "Night")))</f>
        <v>Morning</v>
      </c>
      <c r="G1446" t="str">
        <f>_xlfn.XLOOKUP(AllData[[#This Row],[Location Name]], Locations[Location Name],Locations[Group As])</f>
        <v>Piddle Brook Wyre Piddle Bridge</v>
      </c>
      <c r="H1446" t="e" vm="6">
        <f>_xlfn.XLOOKUP(AllData[[#This Row],[Site Name]],LocationsKey[Site Name],LocationsKey[District])</f>
        <v>#VALUE!</v>
      </c>
      <c r="I1446" t="e" vm="13">
        <f>_xlfn.XLOOKUP(AllData[[#This Row],[Site Name]],LocationsKey[Site Name],LocationsKey[Town])</f>
        <v>#VALUE!</v>
      </c>
      <c r="J1446" t="str">
        <f>_xlfn.XLOOKUP(AllData[[#This Row],[Site Name]],LocationsKey[Site Name], LocationsKey[Waterway])</f>
        <v>Piddle Brook</v>
      </c>
      <c r="K1446" t="s">
        <v>787</v>
      </c>
      <c r="L1446">
        <v>52.126404000000001</v>
      </c>
      <c r="M1446">
        <v>-2.0565410000000002</v>
      </c>
      <c r="N1446" t="s">
        <v>25</v>
      </c>
      <c r="O1446">
        <v>1310</v>
      </c>
      <c r="P1446">
        <v>13.8</v>
      </c>
      <c r="Q1446">
        <v>5</v>
      </c>
      <c r="R1446" s="107" t="str">
        <f>IF(AllData[[#This Row],[Nitrate (PPM)]]&gt;2, "Very high", IF(AllData[[#This Row],[Nitrate (PPM)]]&gt;1, "High", IF(AllData[[#This Row],[Nitrate (PPM)]]&gt;0.5, "Some evidence", IF(AllData[[#This Row],[Nitrate (PPM)]]&gt;=0, "No evidence"))))</f>
        <v>Very high</v>
      </c>
      <c r="S1446" s="4">
        <v>0.78</v>
      </c>
      <c r="T1446" s="7" t="str">
        <f>IF(AllData[[#This Row],[Phosphate (PPM)]]&gt;0.5, "Very high", IF(AllData[[#This Row],[Phosphate (PPM)]]&gt;0.1, "High", IF(AllData[[#This Row],[Phosphate (PPM)]]&gt;0.05, "Some evidence", IF(AllData[[#This Row],[Phosphate (PPM)]]&lt;=0.05, "No Evidence", ""))))</f>
        <v>Very high</v>
      </c>
      <c r="U1446">
        <v>0.21</v>
      </c>
      <c r="V1446" t="s">
        <v>1371</v>
      </c>
    </row>
    <row r="1447" spans="1:22" x14ac:dyDescent="0.35">
      <c r="A1447" t="s">
        <v>1368</v>
      </c>
      <c r="B1447" s="143">
        <v>45444</v>
      </c>
      <c r="C1447" s="2" t="str" cm="1">
        <f t="array" ref="C14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7">
        <f>YEAR(AllData[[#This Row],[Date]])</f>
        <v>2024</v>
      </c>
      <c r="E1447" s="1">
        <v>0.43055555555555558</v>
      </c>
      <c r="F1447" t="str">
        <f>IF(AND(AllData[[#This Row],[Time]]&lt;0.5, AllData[[#This Row],[Time]]&gt;0.17)=TRUE, "Morning", IF(AND(AllData[[#This Row],[Time]]&lt;0.75, AllData[[#This Row],[Time]]&gt;=0.5)=TRUE, "Afternoon", IF(AND(AllData[[#This Row],[Time]]&lt;1, AllData[[#This Row],[Time]]&gt;=0.75)=TRUE, "Evening", "Night")))</f>
        <v>Morning</v>
      </c>
      <c r="G1447" t="str">
        <f>_xlfn.XLOOKUP(AllData[[#This Row],[Location Name]], Locations[Location Name],Locations[Group As])</f>
        <v>Avon Smiths Meadow Wyre Piddle</v>
      </c>
      <c r="H1447" t="e" vm="6">
        <f>_xlfn.XLOOKUP(AllData[[#This Row],[Site Name]],LocationsKey[Site Name],LocationsKey[District])</f>
        <v>#VALUE!</v>
      </c>
      <c r="I1447" t="e" vm="13">
        <f>_xlfn.XLOOKUP(AllData[[#This Row],[Site Name]],LocationsKey[Site Name],LocationsKey[Town])</f>
        <v>#VALUE!</v>
      </c>
      <c r="J1447" t="str">
        <f>_xlfn.XLOOKUP(AllData[[#This Row],[Site Name]],LocationsKey[Site Name], LocationsKey[Waterway])</f>
        <v>Avon</v>
      </c>
      <c r="K1447" t="s">
        <v>784</v>
      </c>
      <c r="L1447">
        <v>52.122858999999998</v>
      </c>
      <c r="M1447">
        <v>-2.0575389999999998</v>
      </c>
      <c r="N1447" t="s">
        <v>25</v>
      </c>
      <c r="O1447">
        <v>835</v>
      </c>
      <c r="P1447">
        <v>15.6</v>
      </c>
      <c r="Q1447">
        <v>5</v>
      </c>
      <c r="R1447" s="107" t="str">
        <f>IF(AllData[[#This Row],[Nitrate (PPM)]]&gt;2, "Very high", IF(AllData[[#This Row],[Nitrate (PPM)]]&gt;1, "High", IF(AllData[[#This Row],[Nitrate (PPM)]]&gt;0.5, "Some evidence", IF(AllData[[#This Row],[Nitrate (PPM)]]&gt;=0, "No evidence"))))</f>
        <v>Very high</v>
      </c>
      <c r="S1447" s="4">
        <v>0.61</v>
      </c>
      <c r="T1447" s="7" t="str">
        <f>IF(AllData[[#This Row],[Phosphate (PPM)]]&gt;0.5, "Very high", IF(AllData[[#This Row],[Phosphate (PPM)]]&gt;0.1, "High", IF(AllData[[#This Row],[Phosphate (PPM)]]&gt;0.05, "Some evidence", IF(AllData[[#This Row],[Phosphate (PPM)]]&lt;=0.05, "No Evidence", ""))))</f>
        <v>Very high</v>
      </c>
      <c r="U1447">
        <v>0.65</v>
      </c>
      <c r="V1447" t="s">
        <v>1369</v>
      </c>
    </row>
    <row r="1448" spans="1:22" x14ac:dyDescent="0.35">
      <c r="A1448" t="s">
        <v>1378</v>
      </c>
      <c r="B1448" s="143">
        <v>45444</v>
      </c>
      <c r="C1448" s="2" t="str" cm="1">
        <f t="array" ref="C14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8">
        <f>YEAR(AllData[[#This Row],[Date]])</f>
        <v>2024</v>
      </c>
      <c r="E1448" s="1"/>
      <c r="F1448" t="str">
        <f>IF(AND(AllData[[#This Row],[Time]]&lt;0.5, AllData[[#This Row],[Time]]&gt;0.17)=TRUE, "Morning", IF(AND(AllData[[#This Row],[Time]]&lt;0.75, AllData[[#This Row],[Time]]&gt;=0.5)=TRUE, "Afternoon", IF(AND(AllData[[#This Row],[Time]]&lt;1, AllData[[#This Row],[Time]]&gt;=0.75)=TRUE, "Evening", "Night")))</f>
        <v>Night</v>
      </c>
      <c r="G1448" t="str">
        <f>_xlfn.XLOOKUP(AllData[[#This Row],[Location Name]], Locations[Location Name],Locations[Group As])</f>
        <v>Site 2  :  Cross Leys culvert</v>
      </c>
      <c r="H1448" t="e" vm="1">
        <f>_xlfn.XLOOKUP(AllData[[#This Row],[Site Name]],LocationsKey[Site Name],LocationsKey[District])</f>
        <v>#VALUE!</v>
      </c>
      <c r="I1448" t="e" vm="14">
        <f>_xlfn.XLOOKUP(AllData[[#This Row],[Site Name]],LocationsKey[Site Name],LocationsKey[Town])</f>
        <v>#VALUE!</v>
      </c>
      <c r="J1448" t="str">
        <f>_xlfn.XLOOKUP(AllData[[#This Row],[Site Name]],LocationsKey[Site Name], LocationsKey[Waterway])</f>
        <v>Fosseway Brook</v>
      </c>
      <c r="K1448" t="s">
        <v>626</v>
      </c>
      <c r="N1448" t="s">
        <v>68</v>
      </c>
      <c r="O1448">
        <v>627</v>
      </c>
      <c r="P1448">
        <v>14.6</v>
      </c>
      <c r="Q1448">
        <v>2</v>
      </c>
      <c r="R1448" s="107" t="str">
        <f>IF(AllData[[#This Row],[Nitrate (PPM)]]&gt;2, "Very high", IF(AllData[[#This Row],[Nitrate (PPM)]]&gt;1, "High", IF(AllData[[#This Row],[Nitrate (PPM)]]&gt;0.5, "Some evidence", IF(AllData[[#This Row],[Nitrate (PPM)]]&gt;=0, "No evidence"))))</f>
        <v>High</v>
      </c>
      <c r="S1448" s="4">
        <v>0.38</v>
      </c>
      <c r="T1448" s="7" t="str">
        <f>IF(AllData[[#This Row],[Phosphate (PPM)]]&gt;0.5, "Very high", IF(AllData[[#This Row],[Phosphate (PPM)]]&gt;0.1, "High", IF(AllData[[#This Row],[Phosphate (PPM)]]&gt;0.05, "Some evidence", IF(AllData[[#This Row],[Phosphate (PPM)]]&lt;=0.05, "No Evidence", ""))))</f>
        <v>High</v>
      </c>
    </row>
    <row r="1449" spans="1:22" x14ac:dyDescent="0.35">
      <c r="A1449" t="s">
        <v>1376</v>
      </c>
      <c r="B1449" s="143">
        <v>45444</v>
      </c>
      <c r="C1449" s="2" t="str" cm="1">
        <f t="array" ref="C14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49">
        <f>YEAR(AllData[[#This Row],[Date]])</f>
        <v>2024</v>
      </c>
      <c r="F1449" t="str">
        <f>IF(AND(AllData[[#This Row],[Time]]&lt;0.5, AllData[[#This Row],[Time]]&gt;0.17)=TRUE, "Morning", IF(AND(AllData[[#This Row],[Time]]&lt;0.75, AllData[[#This Row],[Time]]&gt;=0.5)=TRUE, "Afternoon", IF(AND(AllData[[#This Row],[Time]]&lt;1, AllData[[#This Row],[Time]]&gt;=0.75)=TRUE, "Evening", "Night")))</f>
        <v>Night</v>
      </c>
      <c r="G1449" t="str">
        <f>_xlfn.XLOOKUP(AllData[[#This Row],[Location Name]], Locations[Location Name],Locations[Group As])</f>
        <v>Site 2  :  Cross Leys culvert</v>
      </c>
      <c r="H1449" t="e" vm="1">
        <f>_xlfn.XLOOKUP(AllData[[#This Row],[Site Name]],LocationsKey[Site Name],LocationsKey[District])</f>
        <v>#VALUE!</v>
      </c>
      <c r="I1449" t="e" vm="14">
        <f>_xlfn.XLOOKUP(AllData[[#This Row],[Site Name]],LocationsKey[Site Name],LocationsKey[Town])</f>
        <v>#VALUE!</v>
      </c>
      <c r="J1449" t="str">
        <f>_xlfn.XLOOKUP(AllData[[#This Row],[Site Name]],LocationsKey[Site Name], LocationsKey[Waterway])</f>
        <v>Fosseway Brook</v>
      </c>
      <c r="K1449" t="s">
        <v>623</v>
      </c>
      <c r="N1449" t="s">
        <v>68</v>
      </c>
      <c r="O1449">
        <v>627</v>
      </c>
      <c r="P1449">
        <v>14.6</v>
      </c>
      <c r="Q1449">
        <v>2</v>
      </c>
      <c r="R1449" s="107" t="str">
        <f>IF(AllData[[#This Row],[Nitrate (PPM)]]&gt;2, "Very high", IF(AllData[[#This Row],[Nitrate (PPM)]]&gt;1, "High", IF(AllData[[#This Row],[Nitrate (PPM)]]&gt;0.5, "Some evidence", IF(AllData[[#This Row],[Nitrate (PPM)]]&gt;=0, "No evidence"))))</f>
        <v>High</v>
      </c>
      <c r="S1449" s="4">
        <v>0.38</v>
      </c>
      <c r="T1449" s="7" t="str">
        <f>IF(AllData[[#This Row],[Phosphate (PPM)]]&gt;0.5, "Very high", IF(AllData[[#This Row],[Phosphate (PPM)]]&gt;0.1, "High", IF(AllData[[#This Row],[Phosphate (PPM)]]&gt;0.05, "Some evidence", IF(AllData[[#This Row],[Phosphate (PPM)]]&lt;=0.05, "No Evidence", ""))))</f>
        <v>High</v>
      </c>
      <c r="U1449">
        <v>0</v>
      </c>
      <c r="V1449" t="s">
        <v>1377</v>
      </c>
    </row>
    <row r="1450" spans="1:22" x14ac:dyDescent="0.35">
      <c r="A1450" t="s">
        <v>1374</v>
      </c>
      <c r="B1450" s="143">
        <v>45444</v>
      </c>
      <c r="C1450" s="2" t="str" cm="1">
        <f t="array" ref="C14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50">
        <f>YEAR(AllData[[#This Row],[Date]])</f>
        <v>2024</v>
      </c>
      <c r="E1450" s="1"/>
      <c r="F1450" t="str">
        <f>IF(AND(AllData[[#This Row],[Time]]&lt;0.5, AllData[[#This Row],[Time]]&gt;0.17)=TRUE, "Morning", IF(AND(AllData[[#This Row],[Time]]&lt;0.75, AllData[[#This Row],[Time]]&gt;=0.5)=TRUE, "Afternoon", IF(AND(AllData[[#This Row],[Time]]&lt;1, AllData[[#This Row],[Time]]&gt;=0.75)=TRUE, "Evening", "Night")))</f>
        <v>Night</v>
      </c>
      <c r="G1450" t="str">
        <f>_xlfn.XLOOKUP(AllData[[#This Row],[Location Name]], Locations[Location Name],Locations[Group As])</f>
        <v>Site 1  :  Middle Street</v>
      </c>
      <c r="H1450" t="e" vm="1">
        <f>_xlfn.XLOOKUP(AllData[[#This Row],[Site Name]],LocationsKey[Site Name],LocationsKey[District])</f>
        <v>#VALUE!</v>
      </c>
      <c r="I1450" t="e" vm="14">
        <f>_xlfn.XLOOKUP(AllData[[#This Row],[Site Name]],LocationsKey[Site Name],LocationsKey[Town])</f>
        <v>#VALUE!</v>
      </c>
      <c r="J1450" t="str">
        <f>_xlfn.XLOOKUP(AllData[[#This Row],[Site Name]],LocationsKey[Site Name], LocationsKey[Waterway])</f>
        <v>Fosseway Brook</v>
      </c>
      <c r="K1450" t="s">
        <v>670</v>
      </c>
      <c r="N1450" t="s">
        <v>68</v>
      </c>
      <c r="O1450">
        <v>585</v>
      </c>
      <c r="P1450">
        <v>15.4</v>
      </c>
      <c r="Q1450">
        <v>2</v>
      </c>
      <c r="R1450" s="107" t="str">
        <f>IF(AllData[[#This Row],[Nitrate (PPM)]]&gt;2, "Very high", IF(AllData[[#This Row],[Nitrate (PPM)]]&gt;1, "High", IF(AllData[[#This Row],[Nitrate (PPM)]]&gt;0.5, "Some evidence", IF(AllData[[#This Row],[Nitrate (PPM)]]&gt;=0, "No evidence"))))</f>
        <v>High</v>
      </c>
      <c r="S1450" s="4">
        <v>0.41</v>
      </c>
      <c r="T1450" s="7" t="str">
        <f>IF(AllData[[#This Row],[Phosphate (PPM)]]&gt;0.5, "Very high", IF(AllData[[#This Row],[Phosphate (PPM)]]&gt;0.1, "High", IF(AllData[[#This Row],[Phosphate (PPM)]]&gt;0.05, "Some evidence", IF(AllData[[#This Row],[Phosphate (PPM)]]&lt;=0.05, "No Evidence", ""))))</f>
        <v>High</v>
      </c>
      <c r="V1450" t="s">
        <v>1375</v>
      </c>
    </row>
    <row r="1451" spans="1:22" x14ac:dyDescent="0.35">
      <c r="A1451" t="s">
        <v>1372</v>
      </c>
      <c r="B1451" s="143">
        <v>45444</v>
      </c>
      <c r="C1451" s="2" t="str" cm="1">
        <f t="array" ref="C14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51">
        <f>YEAR(AllData[[#This Row],[Date]])</f>
        <v>2024</v>
      </c>
      <c r="F1451" t="str">
        <f>IF(AND(AllData[[#This Row],[Time]]&lt;0.5, AllData[[#This Row],[Time]]&gt;0.17)=TRUE, "Morning", IF(AND(AllData[[#This Row],[Time]]&lt;0.75, AllData[[#This Row],[Time]]&gt;=0.5)=TRUE, "Afternoon", IF(AND(AllData[[#This Row],[Time]]&lt;1, AllData[[#This Row],[Time]]&gt;=0.75)=TRUE, "Evening", "Night")))</f>
        <v>Night</v>
      </c>
      <c r="G1451" t="str">
        <f>_xlfn.XLOOKUP(AllData[[#This Row],[Location Name]], Locations[Location Name],Locations[Group As])</f>
        <v>Site 1  :  Middle Street</v>
      </c>
      <c r="H1451" t="e" vm="1">
        <f>_xlfn.XLOOKUP(AllData[[#This Row],[Site Name]],LocationsKey[Site Name],LocationsKey[District])</f>
        <v>#VALUE!</v>
      </c>
      <c r="I1451" t="e" vm="14">
        <f>_xlfn.XLOOKUP(AllData[[#This Row],[Site Name]],LocationsKey[Site Name],LocationsKey[Town])</f>
        <v>#VALUE!</v>
      </c>
      <c r="J1451" t="str">
        <f>_xlfn.XLOOKUP(AllData[[#This Row],[Site Name]],LocationsKey[Site Name], LocationsKey[Waterway])</f>
        <v>Fosseway Brook</v>
      </c>
      <c r="K1451" t="s">
        <v>667</v>
      </c>
      <c r="N1451" t="s">
        <v>68</v>
      </c>
      <c r="O1451">
        <v>585</v>
      </c>
      <c r="P1451">
        <v>15.4</v>
      </c>
      <c r="Q1451">
        <v>2</v>
      </c>
      <c r="R1451" s="107" t="str">
        <f>IF(AllData[[#This Row],[Nitrate (PPM)]]&gt;2, "Very high", IF(AllData[[#This Row],[Nitrate (PPM)]]&gt;1, "High", IF(AllData[[#This Row],[Nitrate (PPM)]]&gt;0.5, "Some evidence", IF(AllData[[#This Row],[Nitrate (PPM)]]&gt;=0, "No evidence"))))</f>
        <v>High</v>
      </c>
      <c r="S1451" s="4">
        <v>0.41</v>
      </c>
      <c r="T1451" s="7" t="str">
        <f>IF(AllData[[#This Row],[Phosphate (PPM)]]&gt;0.5, "Very high", IF(AllData[[#This Row],[Phosphate (PPM)]]&gt;0.1, "High", IF(AllData[[#This Row],[Phosphate (PPM)]]&gt;0.05, "Some evidence", IF(AllData[[#This Row],[Phosphate (PPM)]]&lt;=0.05, "No Evidence", ""))))</f>
        <v>High</v>
      </c>
      <c r="U1451">
        <v>0</v>
      </c>
      <c r="V1451" t="s">
        <v>1373</v>
      </c>
    </row>
    <row r="1452" spans="1:22" x14ac:dyDescent="0.35">
      <c r="A1452" t="s">
        <v>1383</v>
      </c>
      <c r="B1452" s="143">
        <v>45444</v>
      </c>
      <c r="C1452" s="2" t="str" cm="1">
        <f t="array" ref="C14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52">
        <f>YEAR(AllData[[#This Row],[Date]])</f>
        <v>2024</v>
      </c>
      <c r="E1452" s="1">
        <v>0.43472222222222223</v>
      </c>
      <c r="F1452" t="str">
        <f>IF(AND(AllData[[#This Row],[Time]]&lt;0.5, AllData[[#This Row],[Time]]&gt;0.17)=TRUE, "Morning", IF(AND(AllData[[#This Row],[Time]]&lt;0.75, AllData[[#This Row],[Time]]&gt;=0.5)=TRUE, "Afternoon", IF(AND(AllData[[#This Row],[Time]]&lt;1, AllData[[#This Row],[Time]]&gt;=0.75)=TRUE, "Evening", "Night")))</f>
        <v>Morning</v>
      </c>
      <c r="G1452" t="str">
        <f>_xlfn.XLOOKUP(AllData[[#This Row],[Location Name]], Locations[Location Name],Locations[Group As])</f>
        <v>Site 1  :  Middle Street</v>
      </c>
      <c r="H1452" t="e" vm="1">
        <f>_xlfn.XLOOKUP(AllData[[#This Row],[Site Name]],LocationsKey[Site Name],LocationsKey[District])</f>
        <v>#VALUE!</v>
      </c>
      <c r="I1452" t="e" vm="14">
        <f>_xlfn.XLOOKUP(AllData[[#This Row],[Site Name]],LocationsKey[Site Name],LocationsKey[Town])</f>
        <v>#VALUE!</v>
      </c>
      <c r="J1452" t="str">
        <f>_xlfn.XLOOKUP(AllData[[#This Row],[Site Name]],LocationsKey[Site Name], LocationsKey[Waterway])</f>
        <v>Fosseway Brook</v>
      </c>
      <c r="K1452" t="s">
        <v>678</v>
      </c>
      <c r="L1452">
        <v>52.090085000000002</v>
      </c>
      <c r="M1452">
        <v>-1.692593</v>
      </c>
      <c r="N1452" t="s">
        <v>68</v>
      </c>
      <c r="O1452">
        <v>585</v>
      </c>
      <c r="P1452">
        <v>15.4</v>
      </c>
      <c r="Q1452">
        <v>2</v>
      </c>
      <c r="R1452" s="107" t="str">
        <f>IF(AllData[[#This Row],[Nitrate (PPM)]]&gt;2, "Very high", IF(AllData[[#This Row],[Nitrate (PPM)]]&gt;1, "High", IF(AllData[[#This Row],[Nitrate (PPM)]]&gt;0.5, "Some evidence", IF(AllData[[#This Row],[Nitrate (PPM)]]&gt;=0, "No evidence"))))</f>
        <v>High</v>
      </c>
      <c r="S1452">
        <v>0.41</v>
      </c>
      <c r="T1452" s="7" t="str">
        <f>IF(AllData[[#This Row],[Phosphate (PPM)]]&gt;0.5, "Very high", IF(AllData[[#This Row],[Phosphate (PPM)]]&gt;0.1, "High", IF(AllData[[#This Row],[Phosphate (PPM)]]&gt;0.05, "Some evidence", IF(AllData[[#This Row],[Phosphate (PPM)]]&lt;=0.05, "No Evidence", ""))))</f>
        <v>High</v>
      </c>
      <c r="U1452">
        <v>0.05</v>
      </c>
    </row>
    <row r="1453" spans="1:22" x14ac:dyDescent="0.35">
      <c r="A1453" t="s">
        <v>1382</v>
      </c>
      <c r="B1453" s="143">
        <v>45444</v>
      </c>
      <c r="C1453" s="2" t="str" cm="1">
        <f t="array" ref="C14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1453">
        <f>YEAR(AllData[[#This Row],[Date]])</f>
        <v>2024</v>
      </c>
      <c r="E1453" s="1">
        <v>0.36805555555555558</v>
      </c>
      <c r="F1453" t="str">
        <f>IF(AND(AllData[[#This Row],[Time]]&lt;0.5, AllData[[#This Row],[Time]]&gt;0.17)=TRUE, "Morning", IF(AND(AllData[[#This Row],[Time]]&lt;0.75, AllData[[#This Row],[Time]]&gt;=0.5)=TRUE, "Afternoon", IF(AND(AllData[[#This Row],[Time]]&lt;1, AllData[[#This Row],[Time]]&gt;=0.75)=TRUE, "Evening", "Night")))</f>
        <v>Morning</v>
      </c>
      <c r="G1453" t="str">
        <f>_xlfn.XLOOKUP(AllData[[#This Row],[Location Name]], Locations[Location Name],Locations[Group As])</f>
        <v>Stour Ascott Village</v>
      </c>
      <c r="H1453" t="e" vm="1">
        <f>_xlfn.XLOOKUP(AllData[[#This Row],[Site Name]],LocationsKey[Site Name],LocationsKey[District])</f>
        <v>#VALUE!</v>
      </c>
      <c r="I1453" t="e" vm="25">
        <f>_xlfn.XLOOKUP(AllData[[#This Row],[Site Name]],LocationsKey[Site Name],LocationsKey[Town])</f>
        <v>#VALUE!</v>
      </c>
      <c r="J1453" t="str">
        <f>_xlfn.XLOOKUP(AllData[[#This Row],[Site Name]],LocationsKey[Site Name], LocationsKey[Waterway])</f>
        <v>Stour</v>
      </c>
      <c r="K1453" t="s">
        <v>927</v>
      </c>
      <c r="N1453" t="s">
        <v>68</v>
      </c>
      <c r="O1453">
        <v>195</v>
      </c>
      <c r="P1453">
        <v>12.6</v>
      </c>
      <c r="Q1453">
        <v>1</v>
      </c>
      <c r="R1453" s="107" t="str">
        <f>IF(AllData[[#This Row],[Nitrate (PPM)]]&gt;2, "Very high", IF(AllData[[#This Row],[Nitrate (PPM)]]&gt;1, "High", IF(AllData[[#This Row],[Nitrate (PPM)]]&gt;0.5, "Some evidence", IF(AllData[[#This Row],[Nitrate (PPM)]]&gt;=0, "No evidence"))))</f>
        <v>Some evidence</v>
      </c>
      <c r="S1453">
        <v>0.16</v>
      </c>
      <c r="T1453" s="7" t="str">
        <f>IF(AllData[[#This Row],[Phosphate (PPM)]]&gt;0.5, "Very high", IF(AllData[[#This Row],[Phosphate (PPM)]]&gt;0.1, "High", IF(AllData[[#This Row],[Phosphate (PPM)]]&gt;0.05, "Some evidence", IF(AllData[[#This Row],[Phosphate (PPM)]]&lt;=0.05, "No Evidence", ""))))</f>
        <v>High</v>
      </c>
      <c r="U1453">
        <v>9</v>
      </c>
    </row>
    <row r="1454" spans="1:22" x14ac:dyDescent="0.35">
      <c r="A1454" t="s">
        <v>1364</v>
      </c>
      <c r="B1454" s="143">
        <v>45443</v>
      </c>
      <c r="C1454" s="2" t="str" cm="1">
        <f t="array" ref="C14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4">
        <f>YEAR(AllData[[#This Row],[Date]])</f>
        <v>2024</v>
      </c>
      <c r="E1454" s="1">
        <v>0.31944444444444442</v>
      </c>
      <c r="F1454" t="str">
        <f>IF(AND(AllData[[#This Row],[Time]]&lt;0.5, AllData[[#This Row],[Time]]&gt;0.17)=TRUE, "Morning", IF(AND(AllData[[#This Row],[Time]]&lt;0.75, AllData[[#This Row],[Time]]&gt;=0.5)=TRUE, "Afternoon", IF(AND(AllData[[#This Row],[Time]]&lt;1, AllData[[#This Row],[Time]]&gt;=0.75)=TRUE, "Evening", "Night")))</f>
        <v>Morning</v>
      </c>
      <c r="G1454" t="str">
        <f>_xlfn.XLOOKUP(AllData[[#This Row],[Location Name]], Locations[Location Name],Locations[Group As])</f>
        <v>Lower Lode</v>
      </c>
      <c r="H1454" t="e" vm="4">
        <f>_xlfn.XLOOKUP(AllData[[#This Row],[Site Name]],LocationsKey[Site Name],LocationsKey[District])</f>
        <v>#VALUE!</v>
      </c>
      <c r="I1454" t="e" vm="4">
        <f>_xlfn.XLOOKUP(AllData[[#This Row],[Site Name]],LocationsKey[Site Name],LocationsKey[Town])</f>
        <v>#VALUE!</v>
      </c>
      <c r="J1454" t="str">
        <f>_xlfn.XLOOKUP(AllData[[#This Row],[Site Name]],LocationsKey[Site Name], LocationsKey[Waterway])</f>
        <v>Avon</v>
      </c>
      <c r="K1454" t="s">
        <v>595</v>
      </c>
      <c r="L1454">
        <v>51.985031999999997</v>
      </c>
      <c r="M1454">
        <v>-2.1743459999999999</v>
      </c>
      <c r="N1454" t="s">
        <v>31</v>
      </c>
      <c r="O1454">
        <v>1020</v>
      </c>
      <c r="P1454">
        <v>16.8</v>
      </c>
      <c r="Q1454">
        <v>10</v>
      </c>
      <c r="R1454" s="107" t="str">
        <f>IF(AllData[[#This Row],[Nitrate (PPM)]]&gt;2, "Very high", IF(AllData[[#This Row],[Nitrate (PPM)]]&gt;1, "High", IF(AllData[[#This Row],[Nitrate (PPM)]]&gt;0.5, "Some evidence", IF(AllData[[#This Row],[Nitrate (PPM)]]&gt;=0, "No evidence"))))</f>
        <v>Very high</v>
      </c>
      <c r="S1454" s="112">
        <v>0.5</v>
      </c>
      <c r="T1454" s="7" t="str">
        <f>IF(AllData[[#This Row],[Phosphate (PPM)]]&gt;0.5, "Very high", IF(AllData[[#This Row],[Phosphate (PPM)]]&gt;0.1, "High", IF(AllData[[#This Row],[Phosphate (PPM)]]&gt;0.05, "Some evidence", IF(AllData[[#This Row],[Phosphate (PPM)]]&lt;=0.05, "No Evidence", ""))))</f>
        <v>High</v>
      </c>
      <c r="U1454">
        <v>1</v>
      </c>
    </row>
    <row r="1455" spans="1:22" x14ac:dyDescent="0.35">
      <c r="A1455" t="s">
        <v>1367</v>
      </c>
      <c r="B1455" s="143">
        <v>45443</v>
      </c>
      <c r="C1455" s="2" t="str" cm="1">
        <f t="array" ref="C14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5">
        <f>YEAR(AllData[[#This Row],[Date]])</f>
        <v>2024</v>
      </c>
      <c r="E1455" s="1">
        <v>0.625</v>
      </c>
      <c r="F1455" t="str">
        <f>IF(AND(AllData[[#This Row],[Time]]&lt;0.5, AllData[[#This Row],[Time]]&gt;0.17)=TRUE, "Morning", IF(AND(AllData[[#This Row],[Time]]&lt;0.75, AllData[[#This Row],[Time]]&gt;=0.5)=TRUE, "Afternoon", IF(AND(AllData[[#This Row],[Time]]&lt;1, AllData[[#This Row],[Time]]&gt;=0.75)=TRUE, "Evening", "Night")))</f>
        <v>Afternoon</v>
      </c>
      <c r="G1455" t="str">
        <f>_xlfn.XLOOKUP(AllData[[#This Row],[Location Name]], Locations[Location Name],Locations[Group As])</f>
        <v>Mill Bridge Peopleton</v>
      </c>
      <c r="H1455" t="e" vm="6">
        <f>_xlfn.XLOOKUP(AllData[[#This Row],[Site Name]],LocationsKey[Site Name],LocationsKey[District])</f>
        <v>#VALUE!</v>
      </c>
      <c r="I1455" t="str">
        <f>_xlfn.XLOOKUP(AllData[[#This Row],[Site Name]],LocationsKey[Site Name],LocationsKey[Town])</f>
        <v>Peopleton</v>
      </c>
      <c r="J1455" t="str">
        <f>_xlfn.XLOOKUP(AllData[[#This Row],[Site Name]],LocationsKey[Site Name], LocationsKey[Waterway])</f>
        <v>Bow Brook</v>
      </c>
      <c r="K1455" t="s">
        <v>915</v>
      </c>
      <c r="L1455">
        <v>52.151626</v>
      </c>
      <c r="M1455">
        <v>-2.096444</v>
      </c>
      <c r="N1455" t="s">
        <v>31</v>
      </c>
      <c r="O1455">
        <v>989</v>
      </c>
      <c r="P1455">
        <v>16</v>
      </c>
      <c r="Q1455">
        <v>5</v>
      </c>
      <c r="R1455" s="107" t="str">
        <f>IF(AllData[[#This Row],[Nitrate (PPM)]]&gt;2, "Very high", IF(AllData[[#This Row],[Nitrate (PPM)]]&gt;1, "High", IF(AllData[[#This Row],[Nitrate (PPM)]]&gt;0.5, "Some evidence", IF(AllData[[#This Row],[Nitrate (PPM)]]&gt;=0, "No evidence"))))</f>
        <v>Very high</v>
      </c>
      <c r="S1455" s="112">
        <v>1.93</v>
      </c>
      <c r="T1455" s="7" t="str">
        <f>IF(AllData[[#This Row],[Phosphate (PPM)]]&gt;0.5, "Very high", IF(AllData[[#This Row],[Phosphate (PPM)]]&gt;0.1, "High", IF(AllData[[#This Row],[Phosphate (PPM)]]&gt;0.05, "Some evidence", IF(AllData[[#This Row],[Phosphate (PPM)]]&lt;=0.05, "No Evidence", ""))))</f>
        <v>Very high</v>
      </c>
      <c r="U1455">
        <v>0.6</v>
      </c>
    </row>
    <row r="1456" spans="1:22" x14ac:dyDescent="0.35">
      <c r="A1456" t="s">
        <v>1366</v>
      </c>
      <c r="B1456" s="143">
        <v>45443</v>
      </c>
      <c r="C1456" s="2" t="str" cm="1">
        <f t="array" ref="C14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6">
        <f>YEAR(AllData[[#This Row],[Date]])</f>
        <v>2024</v>
      </c>
      <c r="E1456" s="1">
        <v>0.43958333333333333</v>
      </c>
      <c r="F1456" t="str">
        <f>IF(AND(AllData[[#This Row],[Time]]&lt;0.5, AllData[[#This Row],[Time]]&gt;0.17)=TRUE, "Morning", IF(AND(AllData[[#This Row],[Time]]&lt;0.75, AllData[[#This Row],[Time]]&gt;=0.5)=TRUE, "Afternoon", IF(AND(AllData[[#This Row],[Time]]&lt;1, AllData[[#This Row],[Time]]&gt;=0.75)=TRUE, "Evening", "Night")))</f>
        <v>Morning</v>
      </c>
      <c r="G1456" t="str">
        <f>_xlfn.XLOOKUP(AllData[[#This Row],[Location Name]], Locations[Location Name],Locations[Group As])</f>
        <v>Carrant M5 Bridge</v>
      </c>
      <c r="H1456" t="e" vm="4">
        <f>_xlfn.XLOOKUP(AllData[[#This Row],[Site Name]],LocationsKey[Site Name],LocationsKey[District])</f>
        <v>#VALUE!</v>
      </c>
      <c r="I1456" t="e" vm="4">
        <f>_xlfn.XLOOKUP(AllData[[#This Row],[Site Name]],LocationsKey[Site Name],LocationsKey[Town])</f>
        <v>#VALUE!</v>
      </c>
      <c r="J1456" t="str">
        <f>_xlfn.XLOOKUP(AllData[[#This Row],[Site Name]],LocationsKey[Site Name], LocationsKey[Waterway])</f>
        <v>Carrant</v>
      </c>
      <c r="K1456" t="s">
        <v>1066</v>
      </c>
      <c r="L1456">
        <v>52.015557999999999</v>
      </c>
      <c r="M1456">
        <v>-2.1281810000000001</v>
      </c>
      <c r="N1456" t="s">
        <v>25</v>
      </c>
      <c r="O1456">
        <v>783</v>
      </c>
      <c r="P1456">
        <v>14.8</v>
      </c>
      <c r="Q1456">
        <v>5</v>
      </c>
      <c r="R1456" s="107" t="str">
        <f>IF(AllData[[#This Row],[Nitrate (PPM)]]&gt;2, "Very high", IF(AllData[[#This Row],[Nitrate (PPM)]]&gt;1, "High", IF(AllData[[#This Row],[Nitrate (PPM)]]&gt;0.5, "Some evidence", IF(AllData[[#This Row],[Nitrate (PPM)]]&gt;=0, "No evidence"))))</f>
        <v>Very high</v>
      </c>
      <c r="S1456" s="112">
        <v>0.5</v>
      </c>
      <c r="T1456" s="7" t="str">
        <f>IF(AllData[[#This Row],[Phosphate (PPM)]]&gt;0.5, "Very high", IF(AllData[[#This Row],[Phosphate (PPM)]]&gt;0.1, "High", IF(AllData[[#This Row],[Phosphate (PPM)]]&gt;0.05, "Some evidence", IF(AllData[[#This Row],[Phosphate (PPM)]]&lt;=0.05, "No Evidence", ""))))</f>
        <v>High</v>
      </c>
      <c r="U1456">
        <v>0</v>
      </c>
    </row>
    <row r="1457" spans="1:22" x14ac:dyDescent="0.35">
      <c r="A1457" t="s">
        <v>1365</v>
      </c>
      <c r="B1457" s="143">
        <v>45443</v>
      </c>
      <c r="C1457" s="2" t="str" cm="1">
        <f t="array" ref="C14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7">
        <f>YEAR(AllData[[#This Row],[Date]])</f>
        <v>2024</v>
      </c>
      <c r="E1457" s="1">
        <v>0.42638888888888887</v>
      </c>
      <c r="F1457" t="str">
        <f>IF(AND(AllData[[#This Row],[Time]]&lt;0.5, AllData[[#This Row],[Time]]&gt;0.17)=TRUE, "Morning", IF(AND(AllData[[#This Row],[Time]]&lt;0.75, AllData[[#This Row],[Time]]&gt;=0.5)=TRUE, "Afternoon", IF(AND(AllData[[#This Row],[Time]]&lt;1, AllData[[#This Row],[Time]]&gt;=0.75)=TRUE, "Evening", "Night")))</f>
        <v>Morning</v>
      </c>
      <c r="G1457" t="str">
        <f>_xlfn.XLOOKUP(AllData[[#This Row],[Location Name]], Locations[Location Name],Locations[Group As])</f>
        <v>Carrant Mitton Path</v>
      </c>
      <c r="H1457" t="e" vm="4">
        <f>_xlfn.XLOOKUP(AllData[[#This Row],[Site Name]],LocationsKey[Site Name],LocationsKey[District])</f>
        <v>#VALUE!</v>
      </c>
      <c r="I1457" t="e" vm="4">
        <f>_xlfn.XLOOKUP(AllData[[#This Row],[Site Name]],LocationsKey[Site Name],LocationsKey[Town])</f>
        <v>#VALUE!</v>
      </c>
      <c r="J1457" t="str">
        <f>_xlfn.XLOOKUP(AllData[[#This Row],[Site Name]],LocationsKey[Site Name], LocationsKey[Waterway])</f>
        <v>Carrant</v>
      </c>
      <c r="K1457" t="s">
        <v>1064</v>
      </c>
      <c r="L1457">
        <v>52.000126999999999</v>
      </c>
      <c r="M1457">
        <v>-2.1419570000000001</v>
      </c>
      <c r="N1457" t="s">
        <v>25</v>
      </c>
      <c r="O1457">
        <v>728</v>
      </c>
      <c r="P1457">
        <v>14.6</v>
      </c>
      <c r="Q1457">
        <v>5</v>
      </c>
      <c r="R1457" s="107" t="str">
        <f>IF(AllData[[#This Row],[Nitrate (PPM)]]&gt;2, "Very high", IF(AllData[[#This Row],[Nitrate (PPM)]]&gt;1, "High", IF(AllData[[#This Row],[Nitrate (PPM)]]&gt;0.5, "Some evidence", IF(AllData[[#This Row],[Nitrate (PPM)]]&gt;=0, "No evidence"))))</f>
        <v>Very high</v>
      </c>
      <c r="S1457" s="112">
        <v>1.27</v>
      </c>
      <c r="T1457" s="7" t="str">
        <f>IF(AllData[[#This Row],[Phosphate (PPM)]]&gt;0.5, "Very high", IF(AllData[[#This Row],[Phosphate (PPM)]]&gt;0.1, "High", IF(AllData[[#This Row],[Phosphate (PPM)]]&gt;0.05, "Some evidence", IF(AllData[[#This Row],[Phosphate (PPM)]]&lt;=0.05, "No Evidence", ""))))</f>
        <v>Very high</v>
      </c>
      <c r="U1457">
        <v>0</v>
      </c>
    </row>
    <row r="1458" spans="1:22" x14ac:dyDescent="0.35">
      <c r="A1458" t="s">
        <v>1363</v>
      </c>
      <c r="B1458" s="143">
        <v>45442</v>
      </c>
      <c r="C1458" s="2" t="str" cm="1">
        <f t="array" ref="C14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8">
        <f>YEAR(AllData[[#This Row],[Date]])</f>
        <v>2024</v>
      </c>
      <c r="E1458" s="1">
        <v>0.78333333333333333</v>
      </c>
      <c r="F1458" t="str">
        <f>IF(AND(AllData[[#This Row],[Time]]&lt;0.5, AllData[[#This Row],[Time]]&gt;0.17)=TRUE, "Morning", IF(AND(AllData[[#This Row],[Time]]&lt;0.75, AllData[[#This Row],[Time]]&gt;=0.5)=TRUE, "Afternoon", IF(AND(AllData[[#This Row],[Time]]&lt;1, AllData[[#This Row],[Time]]&gt;=0.75)=TRUE, "Evening", "Night")))</f>
        <v>Evening</v>
      </c>
      <c r="G1458" t="str">
        <f>_xlfn.XLOOKUP(AllData[[#This Row],[Location Name]], Locations[Location Name],Locations[Group As])</f>
        <v>Preston-on-Stour River Bridge</v>
      </c>
      <c r="H1458" t="e" vm="1">
        <f>_xlfn.XLOOKUP(AllData[[#This Row],[Site Name]],LocationsKey[Site Name],LocationsKey[District])</f>
        <v>#VALUE!</v>
      </c>
      <c r="I1458" t="e" vm="20">
        <f>_xlfn.XLOOKUP(AllData[[#This Row],[Site Name]],LocationsKey[Site Name],LocationsKey[Town])</f>
        <v>#VALUE!</v>
      </c>
      <c r="J1458" t="str">
        <f>_xlfn.XLOOKUP(AllData[[#This Row],[Site Name]],LocationsKey[Site Name], LocationsKey[Waterway])</f>
        <v>Stour</v>
      </c>
      <c r="K1458" t="s">
        <v>164</v>
      </c>
      <c r="L1458">
        <v>52.146549999999998</v>
      </c>
      <c r="M1458">
        <v>-1.6999359999999999</v>
      </c>
      <c r="N1458" t="s">
        <v>31</v>
      </c>
      <c r="O1458">
        <v>677</v>
      </c>
      <c r="P1458">
        <v>15.1</v>
      </c>
      <c r="Q1458">
        <v>7</v>
      </c>
      <c r="R1458" s="107" t="str">
        <f>IF(AllData[[#This Row],[Nitrate (PPM)]]&gt;2, "Very high", IF(AllData[[#This Row],[Nitrate (PPM)]]&gt;1, "High", IF(AllData[[#This Row],[Nitrate (PPM)]]&gt;0.5, "Some evidence", IF(AllData[[#This Row],[Nitrate (PPM)]]&gt;=0, "No evidence"))))</f>
        <v>Very high</v>
      </c>
      <c r="S1458" s="4">
        <v>0.22</v>
      </c>
      <c r="T1458" s="7" t="str">
        <f>IF(AllData[[#This Row],[Phosphate (PPM)]]&gt;0.5, "Very high", IF(AllData[[#This Row],[Phosphate (PPM)]]&gt;0.1, "High", IF(AllData[[#This Row],[Phosphate (PPM)]]&gt;0.05, "Some evidence", IF(AllData[[#This Row],[Phosphate (PPM)]]&lt;=0.05, "No Evidence", ""))))</f>
        <v>High</v>
      </c>
      <c r="U1458">
        <v>1</v>
      </c>
    </row>
    <row r="1459" spans="1:22" x14ac:dyDescent="0.35">
      <c r="A1459" t="s">
        <v>1362</v>
      </c>
      <c r="B1459" s="143">
        <v>45442</v>
      </c>
      <c r="C1459" s="2" t="str" cm="1">
        <f t="array" ref="C14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59">
        <f>YEAR(AllData[[#This Row],[Date]])</f>
        <v>2024</v>
      </c>
      <c r="E1459" s="1">
        <v>0.52083333333333337</v>
      </c>
      <c r="F1459" t="str">
        <f>IF(AND(AllData[[#This Row],[Time]]&lt;0.5, AllData[[#This Row],[Time]]&gt;0.17)=TRUE, "Morning", IF(AND(AllData[[#This Row],[Time]]&lt;0.75, AllData[[#This Row],[Time]]&gt;=0.5)=TRUE, "Afternoon", IF(AND(AllData[[#This Row],[Time]]&lt;1, AllData[[#This Row],[Time]]&gt;=0.75)=TRUE, "Evening", "Night")))</f>
        <v>Afternoon</v>
      </c>
      <c r="G1459" t="str">
        <f>_xlfn.XLOOKUP(AllData[[#This Row],[Location Name]], Locations[Location Name],Locations[Group As])</f>
        <v>Stour Willington</v>
      </c>
      <c r="H1459" t="e" vm="1">
        <f>_xlfn.XLOOKUP(AllData[[#This Row],[Site Name]],LocationsKey[Site Name],LocationsKey[District])</f>
        <v>#VALUE!</v>
      </c>
      <c r="I1459" t="str">
        <f>_xlfn.XLOOKUP(AllData[[#This Row],[Site Name]],LocationsKey[Site Name],LocationsKey[Town])</f>
        <v>Willington</v>
      </c>
      <c r="J1459" t="str">
        <f>_xlfn.XLOOKUP(AllData[[#This Row],[Site Name]],LocationsKey[Site Name], LocationsKey[Waterway])</f>
        <v>Stour</v>
      </c>
      <c r="K1459" t="s">
        <v>521</v>
      </c>
      <c r="L1459">
        <v>52.053553000000001</v>
      </c>
      <c r="M1459">
        <v>-1.6201449999999999</v>
      </c>
      <c r="N1459" t="s">
        <v>25</v>
      </c>
      <c r="O1459">
        <v>624</v>
      </c>
      <c r="P1459">
        <v>14.9</v>
      </c>
      <c r="Q1459">
        <v>5</v>
      </c>
      <c r="R1459" s="107" t="str">
        <f>IF(AllData[[#This Row],[Nitrate (PPM)]]&gt;2, "Very high", IF(AllData[[#This Row],[Nitrate (PPM)]]&gt;1, "High", IF(AllData[[#This Row],[Nitrate (PPM)]]&gt;0.5, "Some evidence", IF(AllData[[#This Row],[Nitrate (PPM)]]&gt;=0, "No evidence"))))</f>
        <v>Very high</v>
      </c>
      <c r="S1459" s="4">
        <v>0.17</v>
      </c>
      <c r="T1459" s="7" t="str">
        <f>IF(AllData[[#This Row],[Phosphate (PPM)]]&gt;0.5, "Very high", IF(AllData[[#This Row],[Phosphate (PPM)]]&gt;0.1, "High", IF(AllData[[#This Row],[Phosphate (PPM)]]&gt;0.05, "Some evidence", IF(AllData[[#This Row],[Phosphate (PPM)]]&lt;=0.05, "No Evidence", ""))))</f>
        <v>High</v>
      </c>
      <c r="U1459">
        <v>0.5</v>
      </c>
    </row>
    <row r="1460" spans="1:22" x14ac:dyDescent="0.35">
      <c r="A1460" t="s">
        <v>1361</v>
      </c>
      <c r="B1460" s="143">
        <v>45442</v>
      </c>
      <c r="C1460" s="2" t="str" cm="1">
        <f t="array" ref="C14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0">
        <f>YEAR(AllData[[#This Row],[Date]])</f>
        <v>2024</v>
      </c>
      <c r="E1460" s="1">
        <v>0.37847222222222221</v>
      </c>
      <c r="F1460" t="str">
        <f>IF(AND(AllData[[#This Row],[Time]]&lt;0.5, AllData[[#This Row],[Time]]&gt;0.17)=TRUE, "Morning", IF(AND(AllData[[#This Row],[Time]]&lt;0.75, AllData[[#This Row],[Time]]&gt;=0.5)=TRUE, "Afternoon", IF(AND(AllData[[#This Row],[Time]]&lt;1, AllData[[#This Row],[Time]]&gt;=0.75)=TRUE, "Evening", "Night")))</f>
        <v>Morning</v>
      </c>
      <c r="G1460" t="str">
        <f>_xlfn.XLOOKUP(AllData[[#This Row],[Location Name]], Locations[Location Name],Locations[Group As])</f>
        <v>Swilgate</v>
      </c>
      <c r="H1460" t="e" vm="4">
        <f>_xlfn.XLOOKUP(AllData[[#This Row],[Site Name]],LocationsKey[Site Name],LocationsKey[District])</f>
        <v>#VALUE!</v>
      </c>
      <c r="I1460" t="e" vm="4">
        <f>_xlfn.XLOOKUP(AllData[[#This Row],[Site Name]],LocationsKey[Site Name],LocationsKey[Town])</f>
        <v>#VALUE!</v>
      </c>
      <c r="J1460" t="str">
        <f>_xlfn.XLOOKUP(AllData[[#This Row],[Site Name]],LocationsKey[Site Name], LocationsKey[Waterway])</f>
        <v>Swilgate</v>
      </c>
      <c r="K1460" t="s">
        <v>85</v>
      </c>
      <c r="N1460" t="s">
        <v>25</v>
      </c>
      <c r="O1460">
        <v>934</v>
      </c>
      <c r="P1460">
        <v>15</v>
      </c>
      <c r="Q1460">
        <v>4</v>
      </c>
      <c r="R1460" s="107" t="str">
        <f>IF(AllData[[#This Row],[Nitrate (PPM)]]&gt;2, "Very high", IF(AllData[[#This Row],[Nitrate (PPM)]]&gt;1, "High", IF(AllData[[#This Row],[Nitrate (PPM)]]&gt;0.5, "Some evidence", IF(AllData[[#This Row],[Nitrate (PPM)]]&gt;=0, "No evidence"))))</f>
        <v>Very high</v>
      </c>
      <c r="S1460" s="112">
        <v>0.48</v>
      </c>
      <c r="T1460" s="7" t="str">
        <f>IF(AllData[[#This Row],[Phosphate (PPM)]]&gt;0.5, "Very high", IF(AllData[[#This Row],[Phosphate (PPM)]]&gt;0.1, "High", IF(AllData[[#This Row],[Phosphate (PPM)]]&gt;0.05, "Some evidence", IF(AllData[[#This Row],[Phosphate (PPM)]]&lt;=0.05, "No Evidence", ""))))</f>
        <v>High</v>
      </c>
      <c r="U1460">
        <v>0</v>
      </c>
    </row>
    <row r="1461" spans="1:22" x14ac:dyDescent="0.35">
      <c r="A1461" t="s">
        <v>1360</v>
      </c>
      <c r="B1461" s="143">
        <v>45441</v>
      </c>
      <c r="C1461" s="2" t="str" cm="1">
        <f t="array" ref="C14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1">
        <f>YEAR(AllData[[#This Row],[Date]])</f>
        <v>2024</v>
      </c>
      <c r="E1461" s="1">
        <v>0.60277777777777775</v>
      </c>
      <c r="F1461" t="str">
        <f>IF(AND(AllData[[#This Row],[Time]]&lt;0.5, AllData[[#This Row],[Time]]&gt;0.17)=TRUE, "Morning", IF(AND(AllData[[#This Row],[Time]]&lt;0.75, AllData[[#This Row],[Time]]&gt;=0.5)=TRUE, "Afternoon", IF(AND(AllData[[#This Row],[Time]]&lt;1, AllData[[#This Row],[Time]]&gt;=0.75)=TRUE, "Evening", "Night")))</f>
        <v>Afternoon</v>
      </c>
      <c r="G1461" t="str">
        <f>_xlfn.XLOOKUP(AllData[[#This Row],[Location Name]], Locations[Location Name],Locations[Group As])</f>
        <v>Swiffen Bank</v>
      </c>
      <c r="H1461" t="e" vm="1">
        <f>_xlfn.XLOOKUP(AllData[[#This Row],[Site Name]],LocationsKey[Site Name],LocationsKey[District])</f>
        <v>#VALUE!</v>
      </c>
      <c r="I1461" t="e" vm="2">
        <f>_xlfn.XLOOKUP(AllData[[#This Row],[Site Name]],LocationsKey[Site Name],LocationsKey[Town])</f>
        <v>#VALUE!</v>
      </c>
      <c r="J1461" t="str">
        <f>_xlfn.XLOOKUP(AllData[[#This Row],[Site Name]],LocationsKey[Site Name], LocationsKey[Waterway])</f>
        <v>Avon</v>
      </c>
      <c r="K1461" t="s">
        <v>286</v>
      </c>
      <c r="L1461">
        <v>52.206477999999997</v>
      </c>
      <c r="M1461">
        <v>-1.653894</v>
      </c>
      <c r="N1461" t="s">
        <v>31</v>
      </c>
      <c r="O1461">
        <v>631</v>
      </c>
      <c r="P1461">
        <v>17.2</v>
      </c>
      <c r="Q1461">
        <v>5</v>
      </c>
      <c r="R1461" s="107" t="str">
        <f>IF(AllData[[#This Row],[Nitrate (PPM)]]&gt;2, "Very high", IF(AllData[[#This Row],[Nitrate (PPM)]]&gt;1, "High", IF(AllData[[#This Row],[Nitrate (PPM)]]&gt;0.5, "Some evidence", IF(AllData[[#This Row],[Nitrate (PPM)]]&gt;=0, "No evidence"))))</f>
        <v>Very high</v>
      </c>
      <c r="S1461" s="112">
        <v>0.48</v>
      </c>
      <c r="T1461" s="7" t="str">
        <f>IF(AllData[[#This Row],[Phosphate (PPM)]]&gt;0.5, "Very high", IF(AllData[[#This Row],[Phosphate (PPM)]]&gt;0.1, "High", IF(AllData[[#This Row],[Phosphate (PPM)]]&gt;0.05, "Some evidence", IF(AllData[[#This Row],[Phosphate (PPM)]]&lt;=0.05, "No Evidence", ""))))</f>
        <v>High</v>
      </c>
      <c r="U1461">
        <v>0.25</v>
      </c>
    </row>
    <row r="1462" spans="1:22" x14ac:dyDescent="0.35">
      <c r="A1462" t="s">
        <v>1358</v>
      </c>
      <c r="B1462" s="143">
        <v>45441</v>
      </c>
      <c r="C1462" s="2" t="str" cm="1">
        <f t="array" ref="C14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2">
        <f>YEAR(AllData[[#This Row],[Date]])</f>
        <v>2024</v>
      </c>
      <c r="E1462" s="1">
        <v>0.59791666666666665</v>
      </c>
      <c r="F1462" t="str">
        <f>IF(AND(AllData[[#This Row],[Time]]&lt;0.5, AllData[[#This Row],[Time]]&gt;0.17)=TRUE, "Morning", IF(AND(AllData[[#This Row],[Time]]&lt;0.75, AllData[[#This Row],[Time]]&gt;=0.5)=TRUE, "Afternoon", IF(AND(AllData[[#This Row],[Time]]&lt;1, AllData[[#This Row],[Time]]&gt;=0.75)=TRUE, "Evening", "Night")))</f>
        <v>Afternoon</v>
      </c>
      <c r="G1462" t="str">
        <f>_xlfn.XLOOKUP(AllData[[#This Row],[Location Name]], Locations[Location Name],Locations[Group As])</f>
        <v>Alveston Weir</v>
      </c>
      <c r="H1462" t="e" vm="1">
        <f>_xlfn.XLOOKUP(AllData[[#This Row],[Site Name]],LocationsKey[Site Name],LocationsKey[District])</f>
        <v>#VALUE!</v>
      </c>
      <c r="I1462" t="e" vm="2">
        <f>_xlfn.XLOOKUP(AllData[[#This Row],[Site Name]],LocationsKey[Site Name],LocationsKey[Town])</f>
        <v>#VALUE!</v>
      </c>
      <c r="J1462" t="str">
        <f>_xlfn.XLOOKUP(AllData[[#This Row],[Site Name]],LocationsKey[Site Name], LocationsKey[Waterway])</f>
        <v>Avon</v>
      </c>
      <c r="K1462" t="s">
        <v>288</v>
      </c>
      <c r="L1462">
        <v>52.212288999999998</v>
      </c>
      <c r="M1462">
        <v>-1.660452</v>
      </c>
      <c r="N1462" t="s">
        <v>31</v>
      </c>
      <c r="O1462">
        <v>611</v>
      </c>
      <c r="P1462">
        <v>17.100000000000001</v>
      </c>
      <c r="Q1462">
        <v>5</v>
      </c>
      <c r="R1462" s="107" t="str">
        <f>IF(AllData[[#This Row],[Nitrate (PPM)]]&gt;2, "Very high", IF(AllData[[#This Row],[Nitrate (PPM)]]&gt;1, "High", IF(AllData[[#This Row],[Nitrate (PPM)]]&gt;0.5, "Some evidence", IF(AllData[[#This Row],[Nitrate (PPM)]]&gt;=0, "No evidence"))))</f>
        <v>Very high</v>
      </c>
      <c r="S1462" s="112">
        <v>0.48</v>
      </c>
      <c r="T1462" s="7" t="str">
        <f>IF(AllData[[#This Row],[Phosphate (PPM)]]&gt;0.5, "Very high", IF(AllData[[#This Row],[Phosphate (PPM)]]&gt;0.1, "High", IF(AllData[[#This Row],[Phosphate (PPM)]]&gt;0.05, "Some evidence", IF(AllData[[#This Row],[Phosphate (PPM)]]&lt;=0.05, "No Evidence", ""))))</f>
        <v>High</v>
      </c>
      <c r="U1462">
        <v>0.25</v>
      </c>
      <c r="V1462" t="s">
        <v>1359</v>
      </c>
    </row>
    <row r="1463" spans="1:22" x14ac:dyDescent="0.35">
      <c r="A1463" t="s">
        <v>1357</v>
      </c>
      <c r="B1463" s="143">
        <v>45440</v>
      </c>
      <c r="C1463" s="2" t="str" cm="1">
        <f t="array" ref="C14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3">
        <f>YEAR(AllData[[#This Row],[Date]])</f>
        <v>2024</v>
      </c>
      <c r="E1463" s="1">
        <v>0.41666666666666669</v>
      </c>
      <c r="F1463" t="str">
        <f>IF(AND(AllData[[#This Row],[Time]]&lt;0.5, AllData[[#This Row],[Time]]&gt;0.17)=TRUE, "Morning", IF(AND(AllData[[#This Row],[Time]]&lt;0.75, AllData[[#This Row],[Time]]&gt;=0.5)=TRUE, "Afternoon", IF(AND(AllData[[#This Row],[Time]]&lt;1, AllData[[#This Row],[Time]]&gt;=0.75)=TRUE, "Evening", "Night")))</f>
        <v>Morning</v>
      </c>
      <c r="G1463" t="str">
        <f>_xlfn.XLOOKUP(AllData[[#This Row],[Location Name]], Locations[Location Name],Locations[Group As])</f>
        <v>The Ford, Langley</v>
      </c>
      <c r="H1463" t="e" vm="1">
        <f>_xlfn.XLOOKUP(AllData[[#This Row],[Site Name]],LocationsKey[Site Name],LocationsKey[District])</f>
        <v>#VALUE!</v>
      </c>
      <c r="I1463" t="str">
        <f>_xlfn.XLOOKUP(AllData[[#This Row],[Site Name]],LocationsKey[Site Name],LocationsKey[Town])</f>
        <v>Langley</v>
      </c>
      <c r="J1463" t="str">
        <f>_xlfn.XLOOKUP(AllData[[#This Row],[Site Name]],LocationsKey[Site Name], LocationsKey[Waterway])</f>
        <v>Langley Ford</v>
      </c>
      <c r="K1463" t="s">
        <v>530</v>
      </c>
      <c r="L1463">
        <v>52.269092000000001</v>
      </c>
      <c r="M1463">
        <v>-1.7232670000000001</v>
      </c>
      <c r="N1463" t="s">
        <v>31</v>
      </c>
      <c r="O1463">
        <v>899</v>
      </c>
      <c r="P1463">
        <v>16</v>
      </c>
      <c r="Q1463">
        <v>5</v>
      </c>
      <c r="R1463" s="107" t="str">
        <f>IF(AllData[[#This Row],[Nitrate (PPM)]]&gt;2, "Very high", IF(AllData[[#This Row],[Nitrate (PPM)]]&gt;1, "High", IF(AllData[[#This Row],[Nitrate (PPM)]]&gt;0.5, "Some evidence", IF(AllData[[#This Row],[Nitrate (PPM)]]&gt;=0, "No evidence"))))</f>
        <v>Very high</v>
      </c>
      <c r="S1463" s="4">
        <v>0.44</v>
      </c>
      <c r="T1463" s="7" t="str">
        <f>IF(AllData[[#This Row],[Phosphate (PPM)]]&gt;0.5, "Very high", IF(AllData[[#This Row],[Phosphate (PPM)]]&gt;0.1, "High", IF(AllData[[#This Row],[Phosphate (PPM)]]&gt;0.05, "Some evidence", IF(AllData[[#This Row],[Phosphate (PPM)]]&lt;=0.05, "No Evidence", ""))))</f>
        <v>High</v>
      </c>
      <c r="U1463">
        <v>0.25</v>
      </c>
    </row>
    <row r="1464" spans="1:22" x14ac:dyDescent="0.35">
      <c r="A1464" t="s">
        <v>1349</v>
      </c>
      <c r="B1464" s="143">
        <v>45439</v>
      </c>
      <c r="C1464" s="2" t="str" cm="1">
        <f t="array" ref="C14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4">
        <f>YEAR(AllData[[#This Row],[Date]])</f>
        <v>2024</v>
      </c>
      <c r="E1464" s="1">
        <v>0.41666666666666669</v>
      </c>
      <c r="F1464" t="str">
        <f>IF(AND(AllData[[#This Row],[Time]]&lt;0.5, AllData[[#This Row],[Time]]&gt;0.17)=TRUE, "Morning", IF(AND(AllData[[#This Row],[Time]]&lt;0.75, AllData[[#This Row],[Time]]&gt;=0.5)=TRUE, "Afternoon", IF(AND(AllData[[#This Row],[Time]]&lt;1, AllData[[#This Row],[Time]]&gt;=0.75)=TRUE, "Evening", "Night")))</f>
        <v>Morning</v>
      </c>
      <c r="G1464" t="str">
        <f>_xlfn.XLOOKUP(AllData[[#This Row],[Location Name]], Locations[Location Name],Locations[Group As])</f>
        <v>Sherbourne Brook 1</v>
      </c>
      <c r="H1464" t="e" vm="1">
        <f>_xlfn.XLOOKUP(AllData[[#This Row],[Site Name]],LocationsKey[Site Name],LocationsKey[District])</f>
        <v>#VALUE!</v>
      </c>
      <c r="I1464" t="e" vm="23">
        <f>_xlfn.XLOOKUP(AllData[[#This Row],[Site Name]],LocationsKey[Site Name],LocationsKey[Town])</f>
        <v>#VALUE!</v>
      </c>
      <c r="J1464" t="str">
        <f>_xlfn.XLOOKUP(AllData[[#This Row],[Site Name]],LocationsKey[Site Name], LocationsKey[Waterway])</f>
        <v>Sherbourne Brook</v>
      </c>
      <c r="K1464" t="s">
        <v>541</v>
      </c>
      <c r="L1464">
        <v>52.252499999999998</v>
      </c>
      <c r="M1464">
        <v>-1.6685000000000001</v>
      </c>
      <c r="N1464" t="s">
        <v>25</v>
      </c>
      <c r="O1464">
        <v>1050</v>
      </c>
      <c r="P1464">
        <v>13.7</v>
      </c>
      <c r="Q1464">
        <v>10</v>
      </c>
      <c r="R1464" s="107" t="str">
        <f>IF(AllData[[#This Row],[Nitrate (PPM)]]&gt;2, "Very high", IF(AllData[[#This Row],[Nitrate (PPM)]]&gt;1, "High", IF(AllData[[#This Row],[Nitrate (PPM)]]&gt;0.5, "Some evidence", IF(AllData[[#This Row],[Nitrate (PPM)]]&gt;=0, "No evidence"))))</f>
        <v>Very high</v>
      </c>
      <c r="S1464" s="4">
        <v>0.22</v>
      </c>
      <c r="T1464" s="7" t="str">
        <f>IF(AllData[[#This Row],[Phosphate (PPM)]]&gt;0.5, "Very high", IF(AllData[[#This Row],[Phosphate (PPM)]]&gt;0.1, "High", IF(AllData[[#This Row],[Phosphate (PPM)]]&gt;0.05, "Some evidence", IF(AllData[[#This Row],[Phosphate (PPM)]]&lt;=0.05, "No Evidence", ""))))</f>
        <v>High</v>
      </c>
      <c r="U1464">
        <v>0.2</v>
      </c>
    </row>
    <row r="1465" spans="1:22" x14ac:dyDescent="0.35">
      <c r="A1465" t="s">
        <v>1353</v>
      </c>
      <c r="B1465" s="143">
        <v>45439</v>
      </c>
      <c r="C1465" s="2" t="str" cm="1">
        <f t="array" ref="C14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5">
        <f>YEAR(AllData[[#This Row],[Date]])</f>
        <v>2024</v>
      </c>
      <c r="E1465" s="1">
        <v>0.44166666666666665</v>
      </c>
      <c r="F1465" t="str">
        <f>IF(AND(AllData[[#This Row],[Time]]&lt;0.5, AllData[[#This Row],[Time]]&gt;0.17)=TRUE, "Morning", IF(AND(AllData[[#This Row],[Time]]&lt;0.75, AllData[[#This Row],[Time]]&gt;=0.5)=TRUE, "Afternoon", IF(AND(AllData[[#This Row],[Time]]&lt;1, AllData[[#This Row],[Time]]&gt;=0.75)=TRUE, "Evening", "Night")))</f>
        <v>Morning</v>
      </c>
      <c r="G1465" t="str">
        <f>_xlfn.XLOOKUP(AllData[[#This Row],[Location Name]], Locations[Location Name],Locations[Group As])</f>
        <v>Black Bear</v>
      </c>
      <c r="H1465" t="e" vm="4">
        <f>_xlfn.XLOOKUP(AllData[[#This Row],[Site Name]],LocationsKey[Site Name],LocationsKey[District])</f>
        <v>#VALUE!</v>
      </c>
      <c r="I1465" t="e" vm="4">
        <f>_xlfn.XLOOKUP(AllData[[#This Row],[Site Name]],LocationsKey[Site Name],LocationsKey[Town])</f>
        <v>#VALUE!</v>
      </c>
      <c r="J1465" t="str">
        <f>_xlfn.XLOOKUP(AllData[[#This Row],[Site Name]],LocationsKey[Site Name], LocationsKey[Waterway])</f>
        <v>Avon</v>
      </c>
      <c r="K1465" t="s">
        <v>1175</v>
      </c>
      <c r="L1465">
        <v>51.997521999999996</v>
      </c>
      <c r="M1465">
        <v>-2.1561469999999998</v>
      </c>
      <c r="N1465" t="s">
        <v>25</v>
      </c>
      <c r="O1465">
        <v>694</v>
      </c>
      <c r="P1465">
        <v>15.8</v>
      </c>
      <c r="Q1465">
        <v>10</v>
      </c>
      <c r="R1465" s="107" t="str">
        <f>IF(AllData[[#This Row],[Nitrate (PPM)]]&gt;2, "Very high", IF(AllData[[#This Row],[Nitrate (PPM)]]&gt;1, "High", IF(AllData[[#This Row],[Nitrate (PPM)]]&gt;0.5, "Some evidence", IF(AllData[[#This Row],[Nitrate (PPM)]]&gt;=0, "No evidence"))))</f>
        <v>Very high</v>
      </c>
      <c r="S1465" s="112">
        <v>0.75</v>
      </c>
      <c r="T1465" s="7" t="str">
        <f>IF(AllData[[#This Row],[Phosphate (PPM)]]&gt;0.5, "Very high", IF(AllData[[#This Row],[Phosphate (PPM)]]&gt;0.1, "High", IF(AllData[[#This Row],[Phosphate (PPM)]]&gt;0.05, "Some evidence", IF(AllData[[#This Row],[Phosphate (PPM)]]&lt;=0.05, "No Evidence", ""))))</f>
        <v>Very high</v>
      </c>
      <c r="U1465">
        <v>0</v>
      </c>
    </row>
    <row r="1466" spans="1:22" x14ac:dyDescent="0.35">
      <c r="A1466" t="s">
        <v>1348</v>
      </c>
      <c r="B1466" s="143">
        <v>45439</v>
      </c>
      <c r="C1466" s="2" t="str" cm="1">
        <f t="array" ref="C14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6">
        <f>YEAR(AllData[[#This Row],[Date]])</f>
        <v>2024</v>
      </c>
      <c r="E1466" s="1">
        <v>0.41666666666666669</v>
      </c>
      <c r="F1466" t="str">
        <f>IF(AND(AllData[[#This Row],[Time]]&lt;0.5, AllData[[#This Row],[Time]]&gt;0.17)=TRUE, "Morning", IF(AND(AllData[[#This Row],[Time]]&lt;0.75, AllData[[#This Row],[Time]]&gt;=0.5)=TRUE, "Afternoon", IF(AND(AllData[[#This Row],[Time]]&lt;1, AllData[[#This Row],[Time]]&gt;=0.75)=TRUE, "Evening", "Night")))</f>
        <v>Morning</v>
      </c>
      <c r="G1466" t="str">
        <f>_xlfn.XLOOKUP(AllData[[#This Row],[Location Name]], Locations[Location Name],Locations[Group As])</f>
        <v>Fell Mill Footbridge</v>
      </c>
      <c r="H1466" t="e" vm="1">
        <f>_xlfn.XLOOKUP(AllData[[#This Row],[Site Name]],LocationsKey[Site Name],LocationsKey[District])</f>
        <v>#VALUE!</v>
      </c>
      <c r="I1466" t="e" vm="15">
        <f>_xlfn.XLOOKUP(AllData[[#This Row],[Site Name]],LocationsKey[Site Name],LocationsKey[Town])</f>
        <v>#VALUE!</v>
      </c>
      <c r="J1466" t="str">
        <f>_xlfn.XLOOKUP(AllData[[#This Row],[Site Name]],LocationsKey[Site Name], LocationsKey[Waterway])</f>
        <v>Stour</v>
      </c>
      <c r="K1466" t="s">
        <v>875</v>
      </c>
      <c r="L1466">
        <v>52.070086000000003</v>
      </c>
      <c r="M1466">
        <v>-1.61145</v>
      </c>
      <c r="N1466" t="s">
        <v>31</v>
      </c>
      <c r="O1466">
        <v>617</v>
      </c>
      <c r="P1466">
        <v>14.3</v>
      </c>
      <c r="Q1466">
        <v>10</v>
      </c>
      <c r="R1466" s="107" t="str">
        <f>IF(AllData[[#This Row],[Nitrate (PPM)]]&gt;2, "Very high", IF(AllData[[#This Row],[Nitrate (PPM)]]&gt;1, "High", IF(AllData[[#This Row],[Nitrate (PPM)]]&gt;0.5, "Some evidence", IF(AllData[[#This Row],[Nitrate (PPM)]]&gt;=0, "No evidence"))))</f>
        <v>Very high</v>
      </c>
      <c r="S1466" s="112">
        <v>0.56999999999999995</v>
      </c>
      <c r="T1466" s="7" t="str">
        <f>IF(AllData[[#This Row],[Phosphate (PPM)]]&gt;0.5, "Very high", IF(AllData[[#This Row],[Phosphate (PPM)]]&gt;0.1, "High", IF(AllData[[#This Row],[Phosphate (PPM)]]&gt;0.05, "Some evidence", IF(AllData[[#This Row],[Phosphate (PPM)]]&lt;=0.05, "No Evidence", ""))))</f>
        <v>Very high</v>
      </c>
      <c r="U1466">
        <v>1.4</v>
      </c>
    </row>
    <row r="1467" spans="1:22" x14ac:dyDescent="0.35">
      <c r="A1467" t="s">
        <v>1347</v>
      </c>
      <c r="B1467" s="143">
        <v>45439</v>
      </c>
      <c r="C1467" s="2" t="str" cm="1">
        <f t="array" ref="C14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7">
        <f>YEAR(AllData[[#This Row],[Date]])</f>
        <v>2024</v>
      </c>
      <c r="E1467" s="1">
        <v>0.40486111111111112</v>
      </c>
      <c r="F1467" t="str">
        <f>IF(AND(AllData[[#This Row],[Time]]&lt;0.5, AllData[[#This Row],[Time]]&gt;0.17)=TRUE, "Morning", IF(AND(AllData[[#This Row],[Time]]&lt;0.75, AllData[[#This Row],[Time]]&gt;=0.5)=TRUE, "Afternoon", IF(AND(AllData[[#This Row],[Time]]&lt;1, AllData[[#This Row],[Time]]&gt;=0.75)=TRUE, "Evening", "Night")))</f>
        <v>Morning</v>
      </c>
      <c r="G1467" t="str">
        <f>_xlfn.XLOOKUP(AllData[[#This Row],[Location Name]], Locations[Location Name],Locations[Group As])</f>
        <v>Carrant Mitton Path</v>
      </c>
      <c r="H1467" t="e" vm="4">
        <f>_xlfn.XLOOKUP(AllData[[#This Row],[Site Name]],LocationsKey[Site Name],LocationsKey[District])</f>
        <v>#VALUE!</v>
      </c>
      <c r="I1467" t="e" vm="4">
        <f>_xlfn.XLOOKUP(AllData[[#This Row],[Site Name]],LocationsKey[Site Name],LocationsKey[Town])</f>
        <v>#VALUE!</v>
      </c>
      <c r="J1467" t="str">
        <f>_xlfn.XLOOKUP(AllData[[#This Row],[Site Name]],LocationsKey[Site Name], LocationsKey[Waterway])</f>
        <v>Carrant</v>
      </c>
      <c r="K1467" t="s">
        <v>1064</v>
      </c>
      <c r="L1467">
        <v>52.000115999999998</v>
      </c>
      <c r="M1467">
        <v>-2.1419220000000001</v>
      </c>
      <c r="N1467" t="s">
        <v>25</v>
      </c>
      <c r="O1467">
        <v>698</v>
      </c>
      <c r="P1467">
        <v>15.3</v>
      </c>
      <c r="Q1467">
        <v>9</v>
      </c>
      <c r="R1467" s="107" t="str">
        <f>IF(AllData[[#This Row],[Nitrate (PPM)]]&gt;2, "Very high", IF(AllData[[#This Row],[Nitrate (PPM)]]&gt;1, "High", IF(AllData[[#This Row],[Nitrate (PPM)]]&gt;0.5, "Some evidence", IF(AllData[[#This Row],[Nitrate (PPM)]]&gt;=0, "No evidence"))))</f>
        <v>Very high</v>
      </c>
      <c r="S1467" s="112">
        <v>0.22</v>
      </c>
      <c r="T1467" s="7" t="str">
        <f>IF(AllData[[#This Row],[Phosphate (PPM)]]&gt;0.5, "Very high", IF(AllData[[#This Row],[Phosphate (PPM)]]&gt;0.1, "High", IF(AllData[[#This Row],[Phosphate (PPM)]]&gt;0.05, "Some evidence", IF(AllData[[#This Row],[Phosphate (PPM)]]&lt;=0.05, "No Evidence", ""))))</f>
        <v>High</v>
      </c>
      <c r="U1467">
        <v>0</v>
      </c>
    </row>
    <row r="1468" spans="1:22" x14ac:dyDescent="0.35">
      <c r="A1468" t="s">
        <v>1350</v>
      </c>
      <c r="B1468" s="143">
        <v>45439</v>
      </c>
      <c r="C1468" s="2" t="str" cm="1">
        <f t="array" ref="C14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8">
        <f>YEAR(AllData[[#This Row],[Date]])</f>
        <v>2024</v>
      </c>
      <c r="E1468" s="1">
        <v>0.41805555555555557</v>
      </c>
      <c r="F1468" t="str">
        <f>IF(AND(AllData[[#This Row],[Time]]&lt;0.5, AllData[[#This Row],[Time]]&gt;0.17)=TRUE, "Morning", IF(AND(AllData[[#This Row],[Time]]&lt;0.75, AllData[[#This Row],[Time]]&gt;=0.5)=TRUE, "Afternoon", IF(AND(AllData[[#This Row],[Time]]&lt;1, AllData[[#This Row],[Time]]&gt;=0.75)=TRUE, "Evening", "Night")))</f>
        <v>Morning</v>
      </c>
      <c r="G1468" t="str">
        <f>_xlfn.XLOOKUP(AllData[[#This Row],[Location Name]], Locations[Location Name],Locations[Group As])</f>
        <v>Carrant M5 Bridge</v>
      </c>
      <c r="H1468" t="e" vm="4">
        <f>_xlfn.XLOOKUP(AllData[[#This Row],[Site Name]],LocationsKey[Site Name],LocationsKey[District])</f>
        <v>#VALUE!</v>
      </c>
      <c r="I1468" t="e" vm="4">
        <f>_xlfn.XLOOKUP(AllData[[#This Row],[Site Name]],LocationsKey[Site Name],LocationsKey[Town])</f>
        <v>#VALUE!</v>
      </c>
      <c r="J1468" t="str">
        <f>_xlfn.XLOOKUP(AllData[[#This Row],[Site Name]],LocationsKey[Site Name], LocationsKey[Waterway])</f>
        <v>Carrant</v>
      </c>
      <c r="K1468" t="s">
        <v>1144</v>
      </c>
      <c r="L1468">
        <v>52.011811999999999</v>
      </c>
      <c r="M1468">
        <v>-2.1203129999999999</v>
      </c>
      <c r="N1468" t="s">
        <v>25</v>
      </c>
      <c r="O1468">
        <v>732</v>
      </c>
      <c r="P1468">
        <v>15.2</v>
      </c>
      <c r="Q1468">
        <v>7</v>
      </c>
      <c r="R1468" s="107" t="str">
        <f>IF(AllData[[#This Row],[Nitrate (PPM)]]&gt;2, "Very high", IF(AllData[[#This Row],[Nitrate (PPM)]]&gt;1, "High", IF(AllData[[#This Row],[Nitrate (PPM)]]&gt;0.5, "Some evidence", IF(AllData[[#This Row],[Nitrate (PPM)]]&gt;=0, "No evidence"))))</f>
        <v>Very high</v>
      </c>
      <c r="S1468" s="112">
        <v>0.45</v>
      </c>
      <c r="T1468" s="7" t="str">
        <f>IF(AllData[[#This Row],[Phosphate (PPM)]]&gt;0.5, "Very high", IF(AllData[[#This Row],[Phosphate (PPM)]]&gt;0.1, "High", IF(AllData[[#This Row],[Phosphate (PPM)]]&gt;0.05, "Some evidence", IF(AllData[[#This Row],[Phosphate (PPM)]]&lt;=0.05, "No Evidence", ""))))</f>
        <v>High</v>
      </c>
      <c r="U1468">
        <v>0</v>
      </c>
    </row>
    <row r="1469" spans="1:22" x14ac:dyDescent="0.35">
      <c r="A1469" t="s">
        <v>1352</v>
      </c>
      <c r="B1469" s="143">
        <v>45439</v>
      </c>
      <c r="C1469" s="2" t="str" cm="1">
        <f t="array" ref="C14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69">
        <f>YEAR(AllData[[#This Row],[Date]])</f>
        <v>2024</v>
      </c>
      <c r="E1469" s="1">
        <v>0.4375</v>
      </c>
      <c r="F1469" t="str">
        <f>IF(AND(AllData[[#This Row],[Time]]&lt;0.5, AllData[[#This Row],[Time]]&gt;0.17)=TRUE, "Morning", IF(AND(AllData[[#This Row],[Time]]&lt;0.75, AllData[[#This Row],[Time]]&gt;=0.5)=TRUE, "Afternoon", IF(AND(AllData[[#This Row],[Time]]&lt;1, AllData[[#This Row],[Time]]&gt;=0.75)=TRUE, "Evening", "Night")))</f>
        <v>Morning</v>
      </c>
      <c r="G1469" t="str">
        <f>_xlfn.XLOOKUP(AllData[[#This Row],[Location Name]], Locations[Location Name],Locations[Group As])</f>
        <v>Abbey Mill</v>
      </c>
      <c r="H1469" t="e" vm="4">
        <f>_xlfn.XLOOKUP(AllData[[#This Row],[Site Name]],LocationsKey[Site Name],LocationsKey[District])</f>
        <v>#VALUE!</v>
      </c>
      <c r="I1469" t="e" vm="4">
        <f>_xlfn.XLOOKUP(AllData[[#This Row],[Site Name]],LocationsKey[Site Name],LocationsKey[Town])</f>
        <v>#VALUE!</v>
      </c>
      <c r="J1469" t="str">
        <f>_xlfn.XLOOKUP(AllData[[#This Row],[Site Name]],LocationsKey[Site Name], LocationsKey[Waterway])</f>
        <v>Avon</v>
      </c>
      <c r="K1469" t="s">
        <v>27</v>
      </c>
      <c r="N1469" t="s">
        <v>25</v>
      </c>
      <c r="O1469">
        <v>733</v>
      </c>
      <c r="P1469">
        <v>16</v>
      </c>
      <c r="Q1469">
        <v>5</v>
      </c>
      <c r="R1469" s="107" t="str">
        <f>IF(AllData[[#This Row],[Nitrate (PPM)]]&gt;2, "Very high", IF(AllData[[#This Row],[Nitrate (PPM)]]&gt;1, "High", IF(AllData[[#This Row],[Nitrate (PPM)]]&gt;0.5, "Some evidence", IF(AllData[[#This Row],[Nitrate (PPM)]]&gt;=0, "No evidence"))))</f>
        <v>Very high</v>
      </c>
      <c r="S1469" s="112">
        <v>0.64</v>
      </c>
      <c r="T1469" s="7" t="str">
        <f>IF(AllData[[#This Row],[Phosphate (PPM)]]&gt;0.5, "Very high", IF(AllData[[#This Row],[Phosphate (PPM)]]&gt;0.1, "High", IF(AllData[[#This Row],[Phosphate (PPM)]]&gt;0.05, "Some evidence", IF(AllData[[#This Row],[Phosphate (PPM)]]&lt;=0.05, "No Evidence", ""))))</f>
        <v>Very high</v>
      </c>
      <c r="U1469">
        <v>0</v>
      </c>
    </row>
    <row r="1470" spans="1:22" x14ac:dyDescent="0.35">
      <c r="A1470" t="s">
        <v>1351</v>
      </c>
      <c r="B1470" s="143">
        <v>45439</v>
      </c>
      <c r="C1470" s="2" t="str" cm="1">
        <f t="array" ref="C14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0">
        <f>YEAR(AllData[[#This Row],[Date]])</f>
        <v>2024</v>
      </c>
      <c r="E1470" s="1">
        <v>0.42708333333333331</v>
      </c>
      <c r="F1470" t="str">
        <f>IF(AND(AllData[[#This Row],[Time]]&lt;0.5, AllData[[#This Row],[Time]]&gt;0.17)=TRUE, "Morning", IF(AND(AllData[[#This Row],[Time]]&lt;0.75, AllData[[#This Row],[Time]]&gt;=0.5)=TRUE, "Afternoon", IF(AND(AllData[[#This Row],[Time]]&lt;1, AllData[[#This Row],[Time]]&gt;=0.75)=TRUE, "Evening", "Night")))</f>
        <v>Morning</v>
      </c>
      <c r="G1470" t="str">
        <f>_xlfn.XLOOKUP(AllData[[#This Row],[Location Name]], Locations[Location Name],Locations[Group As])</f>
        <v>Bell Brook 1</v>
      </c>
      <c r="H1470" t="e" vm="1">
        <f>_xlfn.XLOOKUP(AllData[[#This Row],[Site Name]],LocationsKey[Site Name],LocationsKey[District])</f>
        <v>#VALUE!</v>
      </c>
      <c r="I1470" t="e" vm="19">
        <f>_xlfn.XLOOKUP(AllData[[#This Row],[Site Name]],LocationsKey[Site Name],LocationsKey[Town])</f>
        <v>#VALUE!</v>
      </c>
      <c r="J1470" t="str">
        <f>_xlfn.XLOOKUP(AllData[[#This Row],[Site Name]],LocationsKey[Site Name], LocationsKey[Waterway])</f>
        <v>Bell Brook</v>
      </c>
      <c r="K1470" t="s">
        <v>538</v>
      </c>
      <c r="L1470">
        <v>52.244900000000001</v>
      </c>
      <c r="M1470">
        <v>-1.6617</v>
      </c>
      <c r="N1470" t="s">
        <v>25</v>
      </c>
      <c r="O1470">
        <v>686</v>
      </c>
      <c r="P1470">
        <v>14.5</v>
      </c>
      <c r="Q1470">
        <v>5</v>
      </c>
      <c r="R1470" s="107" t="str">
        <f>IF(AllData[[#This Row],[Nitrate (PPM)]]&gt;2, "Very high", IF(AllData[[#This Row],[Nitrate (PPM)]]&gt;1, "High", IF(AllData[[#This Row],[Nitrate (PPM)]]&gt;0.5, "Some evidence", IF(AllData[[#This Row],[Nitrate (PPM)]]&gt;=0, "No evidence"))))</f>
        <v>Very high</v>
      </c>
      <c r="S1470" s="4">
        <v>0.46</v>
      </c>
      <c r="T1470" s="7" t="str">
        <f>IF(AllData[[#This Row],[Phosphate (PPM)]]&gt;0.5, "Very high", IF(AllData[[#This Row],[Phosphate (PPM)]]&gt;0.1, "High", IF(AllData[[#This Row],[Phosphate (PPM)]]&gt;0.05, "Some evidence", IF(AllData[[#This Row],[Phosphate (PPM)]]&lt;=0.05, "No Evidence", ""))))</f>
        <v>High</v>
      </c>
      <c r="U1470">
        <v>0.2</v>
      </c>
    </row>
    <row r="1471" spans="1:22" x14ac:dyDescent="0.35">
      <c r="A1471" t="s">
        <v>1355</v>
      </c>
      <c r="B1471" s="143">
        <v>45439</v>
      </c>
      <c r="C1471" s="2" t="str" cm="1">
        <f t="array" ref="C14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1">
        <f>YEAR(AllData[[#This Row],[Date]])</f>
        <v>2024</v>
      </c>
      <c r="E1471" s="1">
        <v>0.45347222222222222</v>
      </c>
      <c r="F1471" t="str">
        <f>IF(AND(AllData[[#This Row],[Time]]&lt;0.5, AllData[[#This Row],[Time]]&gt;0.17)=TRUE, "Morning", IF(AND(AllData[[#This Row],[Time]]&lt;0.75, AllData[[#This Row],[Time]]&gt;=0.5)=TRUE, "Afternoon", IF(AND(AllData[[#This Row],[Time]]&lt;1, AllData[[#This Row],[Time]]&gt;=0.75)=TRUE, "Evening", "Night")))</f>
        <v>Morning</v>
      </c>
      <c r="G1471" t="str">
        <f>_xlfn.XLOOKUP(AllData[[#This Row],[Location Name]], Locations[Location Name],Locations[Group As])</f>
        <v>Stour Stretton-on-Fosse Sewage Works</v>
      </c>
      <c r="H1471" t="e" vm="1">
        <f>_xlfn.XLOOKUP(AllData[[#This Row],[Site Name]],LocationsKey[Site Name],LocationsKey[District])</f>
        <v>#VALUE!</v>
      </c>
      <c r="I1471" t="e" vm="30">
        <f>_xlfn.XLOOKUP(AllData[[#This Row],[Site Name]],LocationsKey[Site Name],LocationsKey[Town])</f>
        <v>#VALUE!</v>
      </c>
      <c r="J1471" t="str">
        <f>_xlfn.XLOOKUP(AllData[[#This Row],[Site Name]],LocationsKey[Site Name], LocationsKey[Waterway])</f>
        <v>Stour</v>
      </c>
      <c r="K1471" t="s">
        <v>337</v>
      </c>
      <c r="L1471">
        <v>52.045654999999996</v>
      </c>
      <c r="M1471">
        <v>-1.6719310000000001</v>
      </c>
      <c r="N1471" t="s">
        <v>31</v>
      </c>
      <c r="O1471">
        <v>789</v>
      </c>
      <c r="P1471">
        <v>13.8</v>
      </c>
      <c r="Q1471">
        <v>1</v>
      </c>
      <c r="R1471" s="107" t="str">
        <f>IF(AllData[[#This Row],[Nitrate (PPM)]]&gt;2, "Very high", IF(AllData[[#This Row],[Nitrate (PPM)]]&gt;1, "High", IF(AllData[[#This Row],[Nitrate (PPM)]]&gt;0.5, "Some evidence", IF(AllData[[#This Row],[Nitrate (PPM)]]&gt;=0, "No evidence"))))</f>
        <v>Some evidence</v>
      </c>
      <c r="S1471" s="112">
        <v>2.5</v>
      </c>
      <c r="T1471" s="7" t="str">
        <f>IF(AllData[[#This Row],[Phosphate (PPM)]]&gt;0.5, "Very high", IF(AllData[[#This Row],[Phosphate (PPM)]]&gt;0.1, "High", IF(AllData[[#This Row],[Phosphate (PPM)]]&gt;0.05, "Some evidence", IF(AllData[[#This Row],[Phosphate (PPM)]]&lt;=0.05, "No Evidence", ""))))</f>
        <v>Very high</v>
      </c>
      <c r="U1471">
        <v>0.25</v>
      </c>
      <c r="V1471" t="s">
        <v>1356</v>
      </c>
    </row>
    <row r="1472" spans="1:22" x14ac:dyDescent="0.35">
      <c r="A1472" t="s">
        <v>1354</v>
      </c>
      <c r="B1472" s="143">
        <v>45439</v>
      </c>
      <c r="C1472" s="2" t="str" cm="1">
        <f t="array" ref="C14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2">
        <f>YEAR(AllData[[#This Row],[Date]])</f>
        <v>2024</v>
      </c>
      <c r="E1472" s="1">
        <v>0.44583333333333336</v>
      </c>
      <c r="F1472" t="str">
        <f>IF(AND(AllData[[#This Row],[Time]]&lt;0.5, AllData[[#This Row],[Time]]&gt;0.17)=TRUE, "Morning", IF(AND(AllData[[#This Row],[Time]]&lt;0.75, AllData[[#This Row],[Time]]&gt;=0.5)=TRUE, "Afternoon", IF(AND(AllData[[#This Row],[Time]]&lt;1, AllData[[#This Row],[Time]]&gt;=0.75)=TRUE, "Evening", "Night")))</f>
        <v>Morning</v>
      </c>
      <c r="G1472" t="str">
        <f>_xlfn.XLOOKUP(AllData[[#This Row],[Location Name]], Locations[Location Name],Locations[Group As])</f>
        <v>Stour Stretton-on-Fosse Village</v>
      </c>
      <c r="H1472" t="e" vm="1">
        <f>_xlfn.XLOOKUP(AllData[[#This Row],[Site Name]],LocationsKey[Site Name],LocationsKey[District])</f>
        <v>#VALUE!</v>
      </c>
      <c r="I1472" t="e" vm="30">
        <f>_xlfn.XLOOKUP(AllData[[#This Row],[Site Name]],LocationsKey[Site Name],LocationsKey[Town])</f>
        <v>#VALUE!</v>
      </c>
      <c r="J1472" t="str">
        <f>_xlfn.XLOOKUP(AllData[[#This Row],[Site Name]],LocationsKey[Site Name], LocationsKey[Waterway])</f>
        <v>Stour</v>
      </c>
      <c r="K1472" t="s">
        <v>548</v>
      </c>
      <c r="L1472">
        <v>52.046515999999997</v>
      </c>
      <c r="M1472">
        <v>-1.6733880000000001</v>
      </c>
      <c r="N1472" t="s">
        <v>68</v>
      </c>
      <c r="O1472">
        <v>758</v>
      </c>
      <c r="P1472">
        <v>13.2</v>
      </c>
      <c r="Q1472">
        <v>1</v>
      </c>
      <c r="R1472" s="107" t="str">
        <f>IF(AllData[[#This Row],[Nitrate (PPM)]]&gt;2, "Very high", IF(AllData[[#This Row],[Nitrate (PPM)]]&gt;1, "High", IF(AllData[[#This Row],[Nitrate (PPM)]]&gt;0.5, "Some evidence", IF(AllData[[#This Row],[Nitrate (PPM)]]&gt;=0, "No evidence"))))</f>
        <v>Some evidence</v>
      </c>
      <c r="S1472" s="112">
        <v>2.46</v>
      </c>
      <c r="T1472" s="7" t="str">
        <f>IF(AllData[[#This Row],[Phosphate (PPM)]]&gt;0.5, "Very high", IF(AllData[[#This Row],[Phosphate (PPM)]]&gt;0.1, "High", IF(AllData[[#This Row],[Phosphate (PPM)]]&gt;0.05, "Some evidence", IF(AllData[[#This Row],[Phosphate (PPM)]]&lt;=0.05, "No Evidence", ""))))</f>
        <v>Very high</v>
      </c>
      <c r="U1472">
        <v>0.15</v>
      </c>
    </row>
    <row r="1473" spans="1:22" x14ac:dyDescent="0.35">
      <c r="A1473" t="s">
        <v>1345</v>
      </c>
      <c r="B1473" s="143">
        <v>45438</v>
      </c>
      <c r="C1473" s="2" t="str" cm="1">
        <f t="array" ref="C14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3">
        <f>YEAR(AllData[[#This Row],[Date]])</f>
        <v>2024</v>
      </c>
      <c r="E1473" s="1"/>
      <c r="F1473" t="str">
        <f>IF(AND(AllData[[#This Row],[Time]]&lt;0.5, AllData[[#This Row],[Time]]&gt;0.17)=TRUE, "Morning", IF(AND(AllData[[#This Row],[Time]]&lt;0.75, AllData[[#This Row],[Time]]&gt;=0.5)=TRUE, "Afternoon", IF(AND(AllData[[#This Row],[Time]]&lt;1, AllData[[#This Row],[Time]]&gt;=0.75)=TRUE, "Evening", "Night")))</f>
        <v>Night</v>
      </c>
      <c r="G1473" t="str">
        <f>_xlfn.XLOOKUP(AllData[[#This Row],[Location Name]], Locations[Location Name],Locations[Group As])</f>
        <v>Site 3  :  Severn Trent Water processing plant outflow</v>
      </c>
      <c r="H1473" t="e" vm="1">
        <f>_xlfn.XLOOKUP(AllData[[#This Row],[Site Name]],LocationsKey[Site Name],LocationsKey[District])</f>
        <v>#VALUE!</v>
      </c>
      <c r="I1473" t="e" vm="14">
        <f>_xlfn.XLOOKUP(AllData[[#This Row],[Site Name]],LocationsKey[Site Name],LocationsKey[Town])</f>
        <v>#VALUE!</v>
      </c>
      <c r="J1473" t="str">
        <f>_xlfn.XLOOKUP(AllData[[#This Row],[Site Name]],LocationsKey[Site Name], LocationsKey[Waterway])</f>
        <v>Fosseway Brook</v>
      </c>
      <c r="K1473" t="s">
        <v>676</v>
      </c>
      <c r="L1473">
        <v>52.094423999999997</v>
      </c>
      <c r="M1473">
        <v>-1.6759090000000001</v>
      </c>
      <c r="N1473" t="s">
        <v>31</v>
      </c>
      <c r="O1473">
        <v>830</v>
      </c>
      <c r="P1473">
        <v>18.3</v>
      </c>
      <c r="Q1473">
        <v>10</v>
      </c>
      <c r="R1473" s="107" t="str">
        <f>IF(AllData[[#This Row],[Nitrate (PPM)]]&gt;2, "Very high", IF(AllData[[#This Row],[Nitrate (PPM)]]&gt;1, "High", IF(AllData[[#This Row],[Nitrate (PPM)]]&gt;0.5, "Some evidence", IF(AllData[[#This Row],[Nitrate (PPM)]]&gt;=0, "No evidence"))))</f>
        <v>Very high</v>
      </c>
      <c r="S1473" s="4">
        <v>2.09</v>
      </c>
      <c r="T1473" s="7" t="str">
        <f>IF(AllData[[#This Row],[Phosphate (PPM)]]&gt;0.5, "Very high", IF(AllData[[#This Row],[Phosphate (PPM)]]&gt;0.1, "High", IF(AllData[[#This Row],[Phosphate (PPM)]]&gt;0.05, "Some evidence", IF(AllData[[#This Row],[Phosphate (PPM)]]&lt;=0.05, "No Evidence", ""))))</f>
        <v>Very high</v>
      </c>
    </row>
    <row r="1474" spans="1:22" x14ac:dyDescent="0.35">
      <c r="A1474" t="s">
        <v>1344</v>
      </c>
      <c r="B1474" s="143">
        <v>45438</v>
      </c>
      <c r="C1474" s="2" t="str" cm="1">
        <f t="array" ref="C14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4">
        <f>YEAR(AllData[[#This Row],[Date]])</f>
        <v>2024</v>
      </c>
      <c r="F1474" t="str">
        <f>IF(AND(AllData[[#This Row],[Time]]&lt;0.5, AllData[[#This Row],[Time]]&gt;0.17)=TRUE, "Morning", IF(AND(AllData[[#This Row],[Time]]&lt;0.75, AllData[[#This Row],[Time]]&gt;=0.5)=TRUE, "Afternoon", IF(AND(AllData[[#This Row],[Time]]&lt;1, AllData[[#This Row],[Time]]&gt;=0.75)=TRUE, "Evening", "Night")))</f>
        <v>Night</v>
      </c>
      <c r="G1474" t="str">
        <f>_xlfn.XLOOKUP(AllData[[#This Row],[Location Name]], Locations[Location Name],Locations[Group As])</f>
        <v>Site 3  :  Severn Trent Water processing plant outflow</v>
      </c>
      <c r="H1474" t="e" vm="1">
        <f>_xlfn.XLOOKUP(AllData[[#This Row],[Site Name]],LocationsKey[Site Name],LocationsKey[District])</f>
        <v>#VALUE!</v>
      </c>
      <c r="I1474" t="e" vm="14">
        <f>_xlfn.XLOOKUP(AllData[[#This Row],[Site Name]],LocationsKey[Site Name],LocationsKey[Town])</f>
        <v>#VALUE!</v>
      </c>
      <c r="J1474" t="str">
        <f>_xlfn.XLOOKUP(AllData[[#This Row],[Site Name]],LocationsKey[Site Name], LocationsKey[Waterway])</f>
        <v>Fosseway Brook</v>
      </c>
      <c r="K1474" t="s">
        <v>673</v>
      </c>
      <c r="L1474">
        <v>52.094423999999997</v>
      </c>
      <c r="M1474">
        <v>-1.6759090000000001</v>
      </c>
      <c r="N1474" t="s">
        <v>31</v>
      </c>
      <c r="O1474">
        <v>830</v>
      </c>
      <c r="P1474">
        <v>18.3</v>
      </c>
      <c r="Q1474">
        <v>10</v>
      </c>
      <c r="R1474" s="107" t="str">
        <f>IF(AllData[[#This Row],[Nitrate (PPM)]]&gt;2, "Very high", IF(AllData[[#This Row],[Nitrate (PPM)]]&gt;1, "High", IF(AllData[[#This Row],[Nitrate (PPM)]]&gt;0.5, "Some evidence", IF(AllData[[#This Row],[Nitrate (PPM)]]&gt;=0, "No evidence"))))</f>
        <v>Very high</v>
      </c>
      <c r="S1474" s="4">
        <v>2.09</v>
      </c>
      <c r="T1474" s="7" t="str">
        <f>IF(AllData[[#This Row],[Phosphate (PPM)]]&gt;0.5, "Very high", IF(AllData[[#This Row],[Phosphate (PPM)]]&gt;0.1, "High", IF(AllData[[#This Row],[Phosphate (PPM)]]&gt;0.05, "Some evidence", IF(AllData[[#This Row],[Phosphate (PPM)]]&lt;=0.05, "No Evidence", ""))))</f>
        <v>Very high</v>
      </c>
      <c r="U1474">
        <v>0</v>
      </c>
      <c r="V1474" t="s">
        <v>840</v>
      </c>
    </row>
    <row r="1475" spans="1:22" x14ac:dyDescent="0.35">
      <c r="A1475" t="s">
        <v>1337</v>
      </c>
      <c r="B1475" s="143">
        <v>45438</v>
      </c>
      <c r="C1475" s="2" t="str" cm="1">
        <f t="array" ref="C14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5">
        <f>YEAR(AllData[[#This Row],[Date]])</f>
        <v>2024</v>
      </c>
      <c r="E1475" s="1">
        <v>0.45833333333333331</v>
      </c>
      <c r="F1475" t="str">
        <f>IF(AND(AllData[[#This Row],[Time]]&lt;0.5, AllData[[#This Row],[Time]]&gt;0.17)=TRUE, "Morning", IF(AND(AllData[[#This Row],[Time]]&lt;0.75, AllData[[#This Row],[Time]]&gt;=0.5)=TRUE, "Afternoon", IF(AND(AllData[[#This Row],[Time]]&lt;1, AllData[[#This Row],[Time]]&gt;=0.75)=TRUE, "Evening", "Night")))</f>
        <v>Morning</v>
      </c>
      <c r="G1475" t="str">
        <f>_xlfn.XLOOKUP(AllData[[#This Row],[Location Name]], Locations[Location Name],Locations[Group As])</f>
        <v>Avonbank Drive</v>
      </c>
      <c r="H1475" t="e" vm="1">
        <f>_xlfn.XLOOKUP(AllData[[#This Row],[Site Name]],LocationsKey[Site Name],LocationsKey[District])</f>
        <v>#VALUE!</v>
      </c>
      <c r="I1475" t="e" vm="12">
        <f>_xlfn.XLOOKUP(AllData[[#This Row],[Site Name]],LocationsKey[Site Name],LocationsKey[Town])</f>
        <v>#VALUE!</v>
      </c>
      <c r="J1475" t="str">
        <f>_xlfn.XLOOKUP(AllData[[#This Row],[Site Name]],LocationsKey[Site Name], LocationsKey[Waterway])</f>
        <v>Avon</v>
      </c>
      <c r="K1475" t="s">
        <v>104</v>
      </c>
      <c r="L1475">
        <v>52.177</v>
      </c>
      <c r="M1475">
        <v>-1.736</v>
      </c>
      <c r="N1475" t="s">
        <v>68</v>
      </c>
      <c r="O1475">
        <v>802</v>
      </c>
      <c r="P1475">
        <v>21.3</v>
      </c>
      <c r="Q1475">
        <v>5</v>
      </c>
      <c r="R1475" s="107" t="str">
        <f>IF(AllData[[#This Row],[Nitrate (PPM)]]&gt;2, "Very high", IF(AllData[[#This Row],[Nitrate (PPM)]]&gt;1, "High", IF(AllData[[#This Row],[Nitrate (PPM)]]&gt;0.5, "Some evidence", IF(AllData[[#This Row],[Nitrate (PPM)]]&gt;=0, "No evidence"))))</f>
        <v>Very high</v>
      </c>
      <c r="S1475" s="112">
        <v>0.95</v>
      </c>
      <c r="T1475" s="7" t="str">
        <f>IF(AllData[[#This Row],[Phosphate (PPM)]]&gt;0.5, "Very high", IF(AllData[[#This Row],[Phosphate (PPM)]]&gt;0.1, "High", IF(AllData[[#This Row],[Phosphate (PPM)]]&gt;0.05, "Some evidence", IF(AllData[[#This Row],[Phosphate (PPM)]]&lt;=0.05, "No Evidence", ""))))</f>
        <v>Very high</v>
      </c>
      <c r="U1475">
        <v>0.8</v>
      </c>
      <c r="V1475" t="s">
        <v>1338</v>
      </c>
    </row>
    <row r="1476" spans="1:22" x14ac:dyDescent="0.35">
      <c r="A1476" t="s">
        <v>1339</v>
      </c>
      <c r="B1476" s="143">
        <v>45438</v>
      </c>
      <c r="C1476" s="2" t="str" cm="1">
        <f t="array" ref="C14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6">
        <f>YEAR(AllData[[#This Row],[Date]])</f>
        <v>2024</v>
      </c>
      <c r="E1476" s="1">
        <v>0.45833333333333331</v>
      </c>
      <c r="F1476" t="str">
        <f>IF(AND(AllData[[#This Row],[Time]]&lt;0.5, AllData[[#This Row],[Time]]&gt;0.17)=TRUE, "Morning", IF(AND(AllData[[#This Row],[Time]]&lt;0.75, AllData[[#This Row],[Time]]&gt;=0.5)=TRUE, "Afternoon", IF(AND(AllData[[#This Row],[Time]]&lt;1, AllData[[#This Row],[Time]]&gt;=0.75)=TRUE, "Evening", "Night")))</f>
        <v>Morning</v>
      </c>
      <c r="G1476" t="str">
        <f>_xlfn.XLOOKUP(AllData[[#This Row],[Location Name]], Locations[Location Name],Locations[Group As])</f>
        <v>Pitch 16</v>
      </c>
      <c r="H1476" t="e" vm="1">
        <f>_xlfn.XLOOKUP(AllData[[#This Row],[Site Name]],LocationsKey[Site Name],LocationsKey[District])</f>
        <v>#VALUE!</v>
      </c>
      <c r="I1476" t="e" vm="12">
        <f>_xlfn.XLOOKUP(AllData[[#This Row],[Site Name]],LocationsKey[Site Name],LocationsKey[Town])</f>
        <v>#VALUE!</v>
      </c>
      <c r="J1476" t="str">
        <f>_xlfn.XLOOKUP(AllData[[#This Row],[Site Name]],LocationsKey[Site Name], LocationsKey[Waterway])</f>
        <v>Avon</v>
      </c>
      <c r="K1476" t="s">
        <v>71</v>
      </c>
      <c r="N1476" t="s">
        <v>31</v>
      </c>
      <c r="O1476">
        <v>785</v>
      </c>
      <c r="P1476">
        <v>22</v>
      </c>
      <c r="Q1476">
        <v>5</v>
      </c>
      <c r="R1476" s="107" t="str">
        <f>IF(AllData[[#This Row],[Nitrate (PPM)]]&gt;2, "Very high", IF(AllData[[#This Row],[Nitrate (PPM)]]&gt;1, "High", IF(AllData[[#This Row],[Nitrate (PPM)]]&gt;0.5, "Some evidence", IF(AllData[[#This Row],[Nitrate (PPM)]]&gt;=0, "No evidence"))))</f>
        <v>Very high</v>
      </c>
      <c r="S1476" s="112">
        <v>0.53</v>
      </c>
      <c r="T1476" s="7" t="str">
        <f>IF(AllData[[#This Row],[Phosphate (PPM)]]&gt;0.5, "Very high", IF(AllData[[#This Row],[Phosphate (PPM)]]&gt;0.1, "High", IF(AllData[[#This Row],[Phosphate (PPM)]]&gt;0.05, "Some evidence", IF(AllData[[#This Row],[Phosphate (PPM)]]&lt;=0.05, "No Evidence", ""))))</f>
        <v>Very high</v>
      </c>
      <c r="U1476">
        <v>0.8</v>
      </c>
      <c r="V1476" t="s">
        <v>1338</v>
      </c>
    </row>
    <row r="1477" spans="1:22" x14ac:dyDescent="0.35">
      <c r="A1477" t="s">
        <v>1343</v>
      </c>
      <c r="B1477" s="143">
        <v>45438</v>
      </c>
      <c r="C1477" s="2" t="str" cm="1">
        <f t="array" ref="C14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7">
        <f>YEAR(AllData[[#This Row],[Date]])</f>
        <v>2024</v>
      </c>
      <c r="E1477" s="1"/>
      <c r="F1477" t="str">
        <f>IF(AND(AllData[[#This Row],[Time]]&lt;0.5, AllData[[#This Row],[Time]]&gt;0.17)=TRUE, "Morning", IF(AND(AllData[[#This Row],[Time]]&lt;0.75, AllData[[#This Row],[Time]]&gt;=0.5)=TRUE, "Afternoon", IF(AND(AllData[[#This Row],[Time]]&lt;1, AllData[[#This Row],[Time]]&gt;=0.75)=TRUE, "Evening", "Night")))</f>
        <v>Night</v>
      </c>
      <c r="G1477" t="str">
        <f>_xlfn.XLOOKUP(AllData[[#This Row],[Location Name]], Locations[Location Name],Locations[Group As])</f>
        <v>Site 2  :  Cross Leys culvert</v>
      </c>
      <c r="H1477" t="e" vm="1">
        <f>_xlfn.XLOOKUP(AllData[[#This Row],[Site Name]],LocationsKey[Site Name],LocationsKey[District])</f>
        <v>#VALUE!</v>
      </c>
      <c r="I1477" t="e" vm="14">
        <f>_xlfn.XLOOKUP(AllData[[#This Row],[Site Name]],LocationsKey[Site Name],LocationsKey[Town])</f>
        <v>#VALUE!</v>
      </c>
      <c r="J1477" t="str">
        <f>_xlfn.XLOOKUP(AllData[[#This Row],[Site Name]],LocationsKey[Site Name], LocationsKey[Waterway])</f>
        <v>Fosseway Brook</v>
      </c>
      <c r="K1477" t="s">
        <v>626</v>
      </c>
      <c r="L1477">
        <v>52.092967999999999</v>
      </c>
      <c r="M1477">
        <v>-1.6862710000000001</v>
      </c>
      <c r="N1477" t="s">
        <v>68</v>
      </c>
      <c r="O1477">
        <v>646</v>
      </c>
      <c r="P1477">
        <v>18</v>
      </c>
      <c r="Q1477">
        <v>2</v>
      </c>
      <c r="R1477" s="107" t="str">
        <f>IF(AllData[[#This Row],[Nitrate (PPM)]]&gt;2, "Very high", IF(AllData[[#This Row],[Nitrate (PPM)]]&gt;1, "High", IF(AllData[[#This Row],[Nitrate (PPM)]]&gt;0.5, "Some evidence", IF(AllData[[#This Row],[Nitrate (PPM)]]&gt;=0, "No evidence"))))</f>
        <v>High</v>
      </c>
      <c r="S1477" s="4">
        <v>0.3</v>
      </c>
      <c r="T1477" s="7" t="str">
        <f>IF(AllData[[#This Row],[Phosphate (PPM)]]&gt;0.5, "Very high", IF(AllData[[#This Row],[Phosphate (PPM)]]&gt;0.1, "High", IF(AllData[[#This Row],[Phosphate (PPM)]]&gt;0.05, "Some evidence", IF(AllData[[#This Row],[Phosphate (PPM)]]&lt;=0.05, "No Evidence", ""))))</f>
        <v>High</v>
      </c>
    </row>
    <row r="1478" spans="1:22" x14ac:dyDescent="0.35">
      <c r="A1478" t="s">
        <v>1342</v>
      </c>
      <c r="B1478" s="143">
        <v>45438</v>
      </c>
      <c r="C1478" s="2" t="str" cm="1">
        <f t="array" ref="C14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8">
        <f>YEAR(AllData[[#This Row],[Date]])</f>
        <v>2024</v>
      </c>
      <c r="F1478" t="str">
        <f>IF(AND(AllData[[#This Row],[Time]]&lt;0.5, AllData[[#This Row],[Time]]&gt;0.17)=TRUE, "Morning", IF(AND(AllData[[#This Row],[Time]]&lt;0.75, AllData[[#This Row],[Time]]&gt;=0.5)=TRUE, "Afternoon", IF(AND(AllData[[#This Row],[Time]]&lt;1, AllData[[#This Row],[Time]]&gt;=0.75)=TRUE, "Evening", "Night")))</f>
        <v>Night</v>
      </c>
      <c r="G1478" t="str">
        <f>_xlfn.XLOOKUP(AllData[[#This Row],[Location Name]], Locations[Location Name],Locations[Group As])</f>
        <v>Site 2  :  Cross Leys culvert</v>
      </c>
      <c r="H1478" t="e" vm="1">
        <f>_xlfn.XLOOKUP(AllData[[#This Row],[Site Name]],LocationsKey[Site Name],LocationsKey[District])</f>
        <v>#VALUE!</v>
      </c>
      <c r="I1478" t="e" vm="14">
        <f>_xlfn.XLOOKUP(AllData[[#This Row],[Site Name]],LocationsKey[Site Name],LocationsKey[Town])</f>
        <v>#VALUE!</v>
      </c>
      <c r="J1478" t="str">
        <f>_xlfn.XLOOKUP(AllData[[#This Row],[Site Name]],LocationsKey[Site Name], LocationsKey[Waterway])</f>
        <v>Fosseway Brook</v>
      </c>
      <c r="K1478" t="s">
        <v>623</v>
      </c>
      <c r="L1478">
        <v>52.092967999999999</v>
      </c>
      <c r="M1478">
        <v>-1.6862710000000001</v>
      </c>
      <c r="N1478" t="s">
        <v>68</v>
      </c>
      <c r="O1478">
        <v>646</v>
      </c>
      <c r="P1478">
        <v>18</v>
      </c>
      <c r="Q1478">
        <v>2</v>
      </c>
      <c r="R1478" s="107" t="str">
        <f>IF(AllData[[#This Row],[Nitrate (PPM)]]&gt;2, "Very high", IF(AllData[[#This Row],[Nitrate (PPM)]]&gt;1, "High", IF(AllData[[#This Row],[Nitrate (PPM)]]&gt;0.5, "Some evidence", IF(AllData[[#This Row],[Nitrate (PPM)]]&gt;=0, "No evidence"))))</f>
        <v>High</v>
      </c>
      <c r="S1478" s="4">
        <v>0.3</v>
      </c>
      <c r="T1478" s="7" t="str">
        <f>IF(AllData[[#This Row],[Phosphate (PPM)]]&gt;0.5, "Very high", IF(AllData[[#This Row],[Phosphate (PPM)]]&gt;0.1, "High", IF(AllData[[#This Row],[Phosphate (PPM)]]&gt;0.05, "Some evidence", IF(AllData[[#This Row],[Phosphate (PPM)]]&lt;=0.05, "No Evidence", ""))))</f>
        <v>High</v>
      </c>
      <c r="U1478">
        <v>0</v>
      </c>
      <c r="V1478" t="s">
        <v>835</v>
      </c>
    </row>
    <row r="1479" spans="1:22" x14ac:dyDescent="0.35">
      <c r="A1479" t="s">
        <v>1341</v>
      </c>
      <c r="B1479" s="143">
        <v>45438</v>
      </c>
      <c r="C1479" s="2" t="str" cm="1">
        <f t="array" ref="C14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79">
        <f>YEAR(AllData[[#This Row],[Date]])</f>
        <v>2024</v>
      </c>
      <c r="E1479" s="1"/>
      <c r="F1479" t="str">
        <f>IF(AND(AllData[[#This Row],[Time]]&lt;0.5, AllData[[#This Row],[Time]]&gt;0.17)=TRUE, "Morning", IF(AND(AllData[[#This Row],[Time]]&lt;0.75, AllData[[#This Row],[Time]]&gt;=0.5)=TRUE, "Afternoon", IF(AND(AllData[[#This Row],[Time]]&lt;1, AllData[[#This Row],[Time]]&gt;=0.75)=TRUE, "Evening", "Night")))</f>
        <v>Night</v>
      </c>
      <c r="G1479" t="str">
        <f>_xlfn.XLOOKUP(AllData[[#This Row],[Location Name]], Locations[Location Name],Locations[Group As])</f>
        <v>Site 1  :  Middle Street</v>
      </c>
      <c r="H1479" t="e" vm="1">
        <f>_xlfn.XLOOKUP(AllData[[#This Row],[Site Name]],LocationsKey[Site Name],LocationsKey[District])</f>
        <v>#VALUE!</v>
      </c>
      <c r="I1479" t="e" vm="14">
        <f>_xlfn.XLOOKUP(AllData[[#This Row],[Site Name]],LocationsKey[Site Name],LocationsKey[Town])</f>
        <v>#VALUE!</v>
      </c>
      <c r="J1479" t="str">
        <f>_xlfn.XLOOKUP(AllData[[#This Row],[Site Name]],LocationsKey[Site Name], LocationsKey[Waterway])</f>
        <v>Fosseway Brook</v>
      </c>
      <c r="K1479" t="s">
        <v>670</v>
      </c>
      <c r="L1479">
        <v>52.090085000000002</v>
      </c>
      <c r="M1479">
        <v>-1.692593</v>
      </c>
      <c r="N1479" t="s">
        <v>68</v>
      </c>
      <c r="O1479">
        <v>585</v>
      </c>
      <c r="P1479">
        <v>19.100000000000001</v>
      </c>
      <c r="Q1479">
        <v>2</v>
      </c>
      <c r="R1479" s="107" t="str">
        <f>IF(AllData[[#This Row],[Nitrate (PPM)]]&gt;2, "Very high", IF(AllData[[#This Row],[Nitrate (PPM)]]&gt;1, "High", IF(AllData[[#This Row],[Nitrate (PPM)]]&gt;0.5, "Some evidence", IF(AllData[[#This Row],[Nitrate (PPM)]]&gt;=0, "No evidence"))))</f>
        <v>High</v>
      </c>
      <c r="S1479" s="4">
        <v>0.1</v>
      </c>
      <c r="T1479" s="7" t="str">
        <f>IF(AllData[[#This Row],[Phosphate (PPM)]]&gt;0.5, "Very high", IF(AllData[[#This Row],[Phosphate (PPM)]]&gt;0.1, "High", IF(AllData[[#This Row],[Phosphate (PPM)]]&gt;0.05, "Some evidence", IF(AllData[[#This Row],[Phosphate (PPM)]]&lt;=0.05, "No Evidence", ""))))</f>
        <v>Some evidence</v>
      </c>
    </row>
    <row r="1480" spans="1:22" x14ac:dyDescent="0.35">
      <c r="A1480" t="s">
        <v>1340</v>
      </c>
      <c r="B1480" s="143">
        <v>45438</v>
      </c>
      <c r="C1480" s="2" t="str" cm="1">
        <f t="array" ref="C14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0">
        <f>YEAR(AllData[[#This Row],[Date]])</f>
        <v>2024</v>
      </c>
      <c r="F1480" t="str">
        <f>IF(AND(AllData[[#This Row],[Time]]&lt;0.5, AllData[[#This Row],[Time]]&gt;0.17)=TRUE, "Morning", IF(AND(AllData[[#This Row],[Time]]&lt;0.75, AllData[[#This Row],[Time]]&gt;=0.5)=TRUE, "Afternoon", IF(AND(AllData[[#This Row],[Time]]&lt;1, AllData[[#This Row],[Time]]&gt;=0.75)=TRUE, "Evening", "Night")))</f>
        <v>Night</v>
      </c>
      <c r="G1480" t="str">
        <f>_xlfn.XLOOKUP(AllData[[#This Row],[Location Name]], Locations[Location Name],Locations[Group As])</f>
        <v>Site 1  :  Middle Street</v>
      </c>
      <c r="H1480" t="e" vm="1">
        <f>_xlfn.XLOOKUP(AllData[[#This Row],[Site Name]],LocationsKey[Site Name],LocationsKey[District])</f>
        <v>#VALUE!</v>
      </c>
      <c r="I1480" t="e" vm="14">
        <f>_xlfn.XLOOKUP(AllData[[#This Row],[Site Name]],LocationsKey[Site Name],LocationsKey[Town])</f>
        <v>#VALUE!</v>
      </c>
      <c r="J1480" t="str">
        <f>_xlfn.XLOOKUP(AllData[[#This Row],[Site Name]],LocationsKey[Site Name], LocationsKey[Waterway])</f>
        <v>Fosseway Brook</v>
      </c>
      <c r="K1480" t="s">
        <v>667</v>
      </c>
      <c r="L1480">
        <v>52.090085000000002</v>
      </c>
      <c r="M1480">
        <v>-1.692593</v>
      </c>
      <c r="N1480" t="s">
        <v>68</v>
      </c>
      <c r="O1480">
        <v>585</v>
      </c>
      <c r="P1480">
        <v>19.100000000000001</v>
      </c>
      <c r="Q1480">
        <v>2</v>
      </c>
      <c r="R1480" s="107" t="str">
        <f>IF(AllData[[#This Row],[Nitrate (PPM)]]&gt;2, "Very high", IF(AllData[[#This Row],[Nitrate (PPM)]]&gt;1, "High", IF(AllData[[#This Row],[Nitrate (PPM)]]&gt;0.5, "Some evidence", IF(AllData[[#This Row],[Nitrate (PPM)]]&gt;=0, "No evidence"))))</f>
        <v>High</v>
      </c>
      <c r="S1480" s="4">
        <v>0.1</v>
      </c>
      <c r="T1480" s="7" t="str">
        <f>IF(AllData[[#This Row],[Phosphate (PPM)]]&gt;0.5, "Very high", IF(AllData[[#This Row],[Phosphate (PPM)]]&gt;0.1, "High", IF(AllData[[#This Row],[Phosphate (PPM)]]&gt;0.05, "Some evidence", IF(AllData[[#This Row],[Phosphate (PPM)]]&lt;=0.05, "No Evidence", ""))))</f>
        <v>Some evidence</v>
      </c>
      <c r="U1480">
        <v>0</v>
      </c>
      <c r="V1480" t="s">
        <v>835</v>
      </c>
    </row>
    <row r="1481" spans="1:22" x14ac:dyDescent="0.35">
      <c r="A1481" t="s">
        <v>1346</v>
      </c>
      <c r="B1481" s="143">
        <v>45438</v>
      </c>
      <c r="C1481" s="2" t="str" cm="1">
        <f t="array" ref="C14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1">
        <f>YEAR(AllData[[#This Row],[Date]])</f>
        <v>2024</v>
      </c>
      <c r="E1481" s="1">
        <v>0.43402777777777779</v>
      </c>
      <c r="F1481" t="str">
        <f>IF(AND(AllData[[#This Row],[Time]]&lt;0.5, AllData[[#This Row],[Time]]&gt;0.17)=TRUE, "Morning", IF(AND(AllData[[#This Row],[Time]]&lt;0.75, AllData[[#This Row],[Time]]&gt;=0.5)=TRUE, "Afternoon", IF(AND(AllData[[#This Row],[Time]]&lt;1, AllData[[#This Row],[Time]]&gt;=0.75)=TRUE, "Evening", "Night")))</f>
        <v>Morning</v>
      </c>
      <c r="G1481" t="str">
        <f>_xlfn.XLOOKUP(AllData[[#This Row],[Location Name]], Locations[Location Name],Locations[Group As])</f>
        <v>Site 1  :  Middle Street</v>
      </c>
      <c r="H1481" t="e" vm="1">
        <f>_xlfn.XLOOKUP(AllData[[#This Row],[Site Name]],LocationsKey[Site Name],LocationsKey[District])</f>
        <v>#VALUE!</v>
      </c>
      <c r="I1481" t="e" vm="14">
        <f>_xlfn.XLOOKUP(AllData[[#This Row],[Site Name]],LocationsKey[Site Name],LocationsKey[Town])</f>
        <v>#VALUE!</v>
      </c>
      <c r="J1481" t="str">
        <f>_xlfn.XLOOKUP(AllData[[#This Row],[Site Name]],LocationsKey[Site Name], LocationsKey[Waterway])</f>
        <v>Fosseway Brook</v>
      </c>
      <c r="K1481" t="s">
        <v>678</v>
      </c>
      <c r="L1481">
        <v>52.090085000000002</v>
      </c>
      <c r="M1481">
        <v>-1.692593</v>
      </c>
      <c r="N1481" t="s">
        <v>68</v>
      </c>
      <c r="O1481">
        <v>585</v>
      </c>
      <c r="P1481">
        <v>19.100000000000001</v>
      </c>
      <c r="Q1481">
        <v>2</v>
      </c>
      <c r="R1481" s="107" t="str">
        <f>IF(AllData[[#This Row],[Nitrate (PPM)]]&gt;2, "Very high", IF(AllData[[#This Row],[Nitrate (PPM)]]&gt;1, "High", IF(AllData[[#This Row],[Nitrate (PPM)]]&gt;0.5, "Some evidence", IF(AllData[[#This Row],[Nitrate (PPM)]]&gt;=0, "No evidence"))))</f>
        <v>High</v>
      </c>
      <c r="S1481">
        <v>0.1</v>
      </c>
      <c r="T1481" s="7" t="str">
        <f>IF(AllData[[#This Row],[Phosphate (PPM)]]&gt;0.5, "Very high", IF(AllData[[#This Row],[Phosphate (PPM)]]&gt;0.1, "High", IF(AllData[[#This Row],[Phosphate (PPM)]]&gt;0.05, "Some evidence", IF(AllData[[#This Row],[Phosphate (PPM)]]&lt;=0.05, "No Evidence", ""))))</f>
        <v>Some evidence</v>
      </c>
      <c r="U1481">
        <v>0.05</v>
      </c>
    </row>
    <row r="1482" spans="1:22" x14ac:dyDescent="0.35">
      <c r="A1482" t="s">
        <v>1329</v>
      </c>
      <c r="B1482" s="143">
        <v>45437</v>
      </c>
      <c r="C1482" s="2" t="str" cm="1">
        <f t="array" ref="C14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2">
        <f>YEAR(AllData[[#This Row],[Date]])</f>
        <v>2024</v>
      </c>
      <c r="E1482" s="1">
        <v>0.39652777777777776</v>
      </c>
      <c r="F1482" t="str">
        <f>IF(AND(AllData[[#This Row],[Time]]&lt;0.5, AllData[[#This Row],[Time]]&gt;0.17)=TRUE, "Morning", IF(AND(AllData[[#This Row],[Time]]&lt;0.75, AllData[[#This Row],[Time]]&gt;=0.5)=TRUE, "Afternoon", IF(AND(AllData[[#This Row],[Time]]&lt;1, AllData[[#This Row],[Time]]&gt;=0.75)=TRUE, "Evening", "Night")))</f>
        <v>Morning</v>
      </c>
      <c r="G1482" t="str">
        <f>_xlfn.XLOOKUP(AllData[[#This Row],[Location Name]], Locations[Location Name],Locations[Group As])</f>
        <v>Lower Lode</v>
      </c>
      <c r="H1482" t="e" vm="4">
        <f>_xlfn.XLOOKUP(AllData[[#This Row],[Site Name]],LocationsKey[Site Name],LocationsKey[District])</f>
        <v>#VALUE!</v>
      </c>
      <c r="I1482" t="e" vm="4">
        <f>_xlfn.XLOOKUP(AllData[[#This Row],[Site Name]],LocationsKey[Site Name],LocationsKey[Town])</f>
        <v>#VALUE!</v>
      </c>
      <c r="J1482" t="str">
        <f>_xlfn.XLOOKUP(AllData[[#This Row],[Site Name]],LocationsKey[Site Name], LocationsKey[Waterway])</f>
        <v>Avon</v>
      </c>
      <c r="K1482" t="s">
        <v>595</v>
      </c>
      <c r="L1482">
        <v>51.985076999999997</v>
      </c>
      <c r="M1482">
        <v>-2.174258</v>
      </c>
      <c r="N1482" t="s">
        <v>31</v>
      </c>
      <c r="O1482">
        <v>6800</v>
      </c>
      <c r="P1482">
        <v>16.100000000000001</v>
      </c>
      <c r="Q1482">
        <v>10</v>
      </c>
      <c r="R1482" s="107" t="str">
        <f>IF(AllData[[#This Row],[Nitrate (PPM)]]&gt;2, "Very high", IF(AllData[[#This Row],[Nitrate (PPM)]]&gt;1, "High", IF(AllData[[#This Row],[Nitrate (PPM)]]&gt;0.5, "Some evidence", IF(AllData[[#This Row],[Nitrate (PPM)]]&gt;=0, "No evidence"))))</f>
        <v>Very high</v>
      </c>
      <c r="S1482" s="112">
        <v>0.48</v>
      </c>
      <c r="T1482" s="7" t="str">
        <f>IF(AllData[[#This Row],[Phosphate (PPM)]]&gt;0.5, "Very high", IF(AllData[[#This Row],[Phosphate (PPM)]]&gt;0.1, "High", IF(AllData[[#This Row],[Phosphate (PPM)]]&gt;0.05, "Some evidence", IF(AllData[[#This Row],[Phosphate (PPM)]]&lt;=0.05, "No Evidence", ""))))</f>
        <v>High</v>
      </c>
      <c r="U1482">
        <v>2</v>
      </c>
    </row>
    <row r="1483" spans="1:22" x14ac:dyDescent="0.35">
      <c r="A1483" t="s">
        <v>1332</v>
      </c>
      <c r="B1483" s="143">
        <v>45437</v>
      </c>
      <c r="C1483" s="2" t="str" cm="1">
        <f t="array" ref="C14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3">
        <f>YEAR(AllData[[#This Row],[Date]])</f>
        <v>2024</v>
      </c>
      <c r="E1483" s="1">
        <v>0.46388888888888891</v>
      </c>
      <c r="F1483" t="str">
        <f>IF(AND(AllData[[#This Row],[Time]]&lt;0.5, AllData[[#This Row],[Time]]&gt;0.17)=TRUE, "Morning", IF(AND(AllData[[#This Row],[Time]]&lt;0.75, AllData[[#This Row],[Time]]&gt;=0.5)=TRUE, "Afternoon", IF(AND(AllData[[#This Row],[Time]]&lt;1, AllData[[#This Row],[Time]]&gt;=0.75)=TRUE, "Evening", "Night")))</f>
        <v>Morning</v>
      </c>
      <c r="G1483" t="str">
        <f>_xlfn.XLOOKUP(AllData[[#This Row],[Location Name]], Locations[Location Name],Locations[Group As])</f>
        <v>Piddle Brook Wyre Piddle Bridge</v>
      </c>
      <c r="H1483" t="e" vm="6">
        <f>_xlfn.XLOOKUP(AllData[[#This Row],[Site Name]],LocationsKey[Site Name],LocationsKey[District])</f>
        <v>#VALUE!</v>
      </c>
      <c r="I1483" t="e" vm="13">
        <f>_xlfn.XLOOKUP(AllData[[#This Row],[Site Name]],LocationsKey[Site Name],LocationsKey[Town])</f>
        <v>#VALUE!</v>
      </c>
      <c r="J1483" t="str">
        <f>_xlfn.XLOOKUP(AllData[[#This Row],[Site Name]],LocationsKey[Site Name], LocationsKey[Waterway])</f>
        <v>Piddle Brook</v>
      </c>
      <c r="K1483" t="s">
        <v>787</v>
      </c>
      <c r="L1483">
        <v>52.126448000000003</v>
      </c>
      <c r="M1483">
        <v>-2.056457</v>
      </c>
      <c r="N1483" t="s">
        <v>25</v>
      </c>
      <c r="O1483">
        <v>1120</v>
      </c>
      <c r="P1483">
        <v>14.2</v>
      </c>
      <c r="Q1483">
        <v>10</v>
      </c>
      <c r="R1483" s="107" t="str">
        <f>IF(AllData[[#This Row],[Nitrate (PPM)]]&gt;2, "Very high", IF(AllData[[#This Row],[Nitrate (PPM)]]&gt;1, "High", IF(AllData[[#This Row],[Nitrate (PPM)]]&gt;0.5, "Some evidence", IF(AllData[[#This Row],[Nitrate (PPM)]]&gt;=0, "No evidence"))))</f>
        <v>Very high</v>
      </c>
      <c r="S1483" s="112">
        <v>0.64</v>
      </c>
      <c r="T1483" s="7" t="str">
        <f>IF(AllData[[#This Row],[Phosphate (PPM)]]&gt;0.5, "Very high", IF(AllData[[#This Row],[Phosphate (PPM)]]&gt;0.1, "High", IF(AllData[[#This Row],[Phosphate (PPM)]]&gt;0.05, "Some evidence", IF(AllData[[#This Row],[Phosphate (PPM)]]&lt;=0.05, "No Evidence", ""))))</f>
        <v>Very high</v>
      </c>
      <c r="U1483">
        <v>0.34</v>
      </c>
      <c r="V1483" t="s">
        <v>1333</v>
      </c>
    </row>
    <row r="1484" spans="1:22" x14ac:dyDescent="0.35">
      <c r="A1484" t="s">
        <v>1330</v>
      </c>
      <c r="B1484" s="143">
        <v>45437</v>
      </c>
      <c r="C1484" s="2" t="str" cm="1">
        <f t="array" ref="C14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4">
        <f>YEAR(AllData[[#This Row],[Date]])</f>
        <v>2024</v>
      </c>
      <c r="E1484" s="1">
        <v>0.43541666666666667</v>
      </c>
      <c r="F1484" t="str">
        <f>IF(AND(AllData[[#This Row],[Time]]&lt;0.5, AllData[[#This Row],[Time]]&gt;0.17)=TRUE, "Morning", IF(AND(AllData[[#This Row],[Time]]&lt;0.75, AllData[[#This Row],[Time]]&gt;=0.5)=TRUE, "Afternoon", IF(AND(AllData[[#This Row],[Time]]&lt;1, AllData[[#This Row],[Time]]&gt;=0.75)=TRUE, "Evening", "Night")))</f>
        <v>Morning</v>
      </c>
      <c r="G1484" t="str">
        <f>_xlfn.XLOOKUP(AllData[[#This Row],[Location Name]], Locations[Location Name],Locations[Group As])</f>
        <v>Avon Smiths Meadow Wyre Piddle</v>
      </c>
      <c r="H1484" t="e" vm="6">
        <f>_xlfn.XLOOKUP(AllData[[#This Row],[Site Name]],LocationsKey[Site Name],LocationsKey[District])</f>
        <v>#VALUE!</v>
      </c>
      <c r="I1484" t="e" vm="13">
        <f>_xlfn.XLOOKUP(AllData[[#This Row],[Site Name]],LocationsKey[Site Name],LocationsKey[Town])</f>
        <v>#VALUE!</v>
      </c>
      <c r="J1484" t="str">
        <f>_xlfn.XLOOKUP(AllData[[#This Row],[Site Name]],LocationsKey[Site Name], LocationsKey[Waterway])</f>
        <v>Avon</v>
      </c>
      <c r="K1484" t="s">
        <v>784</v>
      </c>
      <c r="L1484">
        <v>52.122926999999997</v>
      </c>
      <c r="M1484">
        <v>-2.057528</v>
      </c>
      <c r="N1484" t="s">
        <v>25</v>
      </c>
      <c r="O1484">
        <v>633</v>
      </c>
      <c r="P1484">
        <v>16.2</v>
      </c>
      <c r="Q1484">
        <v>6</v>
      </c>
      <c r="R1484" s="107" t="str">
        <f>IF(AllData[[#This Row],[Nitrate (PPM)]]&gt;2, "Very high", IF(AllData[[#This Row],[Nitrate (PPM)]]&gt;1, "High", IF(AllData[[#This Row],[Nitrate (PPM)]]&gt;0.5, "Some evidence", IF(AllData[[#This Row],[Nitrate (PPM)]]&gt;=0, "No evidence"))))</f>
        <v>Very high</v>
      </c>
      <c r="S1484" s="112">
        <v>0.56999999999999995</v>
      </c>
      <c r="T1484" s="7" t="str">
        <f>IF(AllData[[#This Row],[Phosphate (PPM)]]&gt;0.5, "Very high", IF(AllData[[#This Row],[Phosphate (PPM)]]&gt;0.1, "High", IF(AllData[[#This Row],[Phosphate (PPM)]]&gt;0.05, "Some evidence", IF(AllData[[#This Row],[Phosphate (PPM)]]&lt;=0.05, "No Evidence", ""))))</f>
        <v>Very high</v>
      </c>
      <c r="U1484">
        <v>0.9</v>
      </c>
      <c r="V1484" t="s">
        <v>1331</v>
      </c>
    </row>
    <row r="1485" spans="1:22" x14ac:dyDescent="0.35">
      <c r="A1485" t="s">
        <v>1334</v>
      </c>
      <c r="B1485" s="143">
        <v>45437</v>
      </c>
      <c r="C1485" s="2" t="str" cm="1">
        <f t="array" ref="C14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5">
        <f>YEAR(AllData[[#This Row],[Date]])</f>
        <v>2024</v>
      </c>
      <c r="E1485" s="1">
        <v>0.5</v>
      </c>
      <c r="F1485" t="str">
        <f>IF(AND(AllData[[#This Row],[Time]]&lt;0.5, AllData[[#This Row],[Time]]&gt;0.17)=TRUE, "Morning", IF(AND(AllData[[#This Row],[Time]]&lt;0.75, AllData[[#This Row],[Time]]&gt;=0.5)=TRUE, "Afternoon", IF(AND(AllData[[#This Row],[Time]]&lt;1, AllData[[#This Row],[Time]]&gt;=0.75)=TRUE, "Evening", "Night")))</f>
        <v>Afternoon</v>
      </c>
      <c r="G1485" t="str">
        <f>_xlfn.XLOOKUP(AllData[[#This Row],[Location Name]], Locations[Location Name],Locations[Group As])</f>
        <v>Carrant Bredon Rd</v>
      </c>
      <c r="H1485" t="e" vm="4">
        <f>_xlfn.XLOOKUP(AllData[[#This Row],[Site Name]],LocationsKey[Site Name],LocationsKey[District])</f>
        <v>#VALUE!</v>
      </c>
      <c r="I1485" t="e" vm="4">
        <f>_xlfn.XLOOKUP(AllData[[#This Row],[Site Name]],LocationsKey[Site Name],LocationsKey[Town])</f>
        <v>#VALUE!</v>
      </c>
      <c r="J1485" t="str">
        <f>_xlfn.XLOOKUP(AllData[[#This Row],[Site Name]],LocationsKey[Site Name], LocationsKey[Waterway])</f>
        <v>Carrant</v>
      </c>
      <c r="K1485" t="s">
        <v>603</v>
      </c>
      <c r="L1485">
        <v>51.996152000000002</v>
      </c>
      <c r="M1485">
        <v>-2.1559210000000002</v>
      </c>
      <c r="N1485" t="s">
        <v>25</v>
      </c>
      <c r="O1485">
        <v>651</v>
      </c>
      <c r="P1485">
        <v>14</v>
      </c>
      <c r="Q1485">
        <v>5</v>
      </c>
      <c r="R1485" s="107" t="str">
        <f>IF(AllData[[#This Row],[Nitrate (PPM)]]&gt;2, "Very high", IF(AllData[[#This Row],[Nitrate (PPM)]]&gt;1, "High", IF(AllData[[#This Row],[Nitrate (PPM)]]&gt;0.5, "Some evidence", IF(AllData[[#This Row],[Nitrate (PPM)]]&gt;=0, "No evidence"))))</f>
        <v>Very high</v>
      </c>
      <c r="S1485" s="112">
        <v>0.33</v>
      </c>
      <c r="T1485" s="7" t="str">
        <f>IF(AllData[[#This Row],[Phosphate (PPM)]]&gt;0.5, "Very high", IF(AllData[[#This Row],[Phosphate (PPM)]]&gt;0.1, "High", IF(AllData[[#This Row],[Phosphate (PPM)]]&gt;0.05, "Some evidence", IF(AllData[[#This Row],[Phosphate (PPM)]]&lt;=0.05, "No Evidence", ""))))</f>
        <v>High</v>
      </c>
      <c r="U1485">
        <v>0</v>
      </c>
    </row>
    <row r="1486" spans="1:22" x14ac:dyDescent="0.35">
      <c r="A1486" t="s">
        <v>1336</v>
      </c>
      <c r="B1486" s="143">
        <v>45437</v>
      </c>
      <c r="C1486" s="2" t="str" cm="1">
        <f t="array" ref="C14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6">
        <f>YEAR(AllData[[#This Row],[Date]])</f>
        <v>2024</v>
      </c>
      <c r="E1486" s="1">
        <v>0.44791666666666669</v>
      </c>
      <c r="F1486" t="str">
        <f>IF(AND(AllData[[#This Row],[Time]]&lt;0.5, AllData[[#This Row],[Time]]&gt;0.17)=TRUE, "Morning", IF(AND(AllData[[#This Row],[Time]]&lt;0.75, AllData[[#This Row],[Time]]&gt;=0.5)=TRUE, "Afternoon", IF(AND(AllData[[#This Row],[Time]]&lt;1, AllData[[#This Row],[Time]]&gt;=0.75)=TRUE, "Evening", "Night")))</f>
        <v>Morning</v>
      </c>
      <c r="G1486" t="str">
        <f>_xlfn.XLOOKUP(AllData[[#This Row],[Location Name]], Locations[Location Name],Locations[Group As])</f>
        <v>Stour Whichford</v>
      </c>
      <c r="H1486" t="e" vm="1">
        <f>_xlfn.XLOOKUP(AllData[[#This Row],[Site Name]],LocationsKey[Site Name],LocationsKey[District])</f>
        <v>#VALUE!</v>
      </c>
      <c r="I1486" t="e" vm="24">
        <f>_xlfn.XLOOKUP(AllData[[#This Row],[Site Name]],LocationsKey[Site Name],LocationsKey[Town])</f>
        <v>#VALUE!</v>
      </c>
      <c r="J1486" t="str">
        <f>_xlfn.XLOOKUP(AllData[[#This Row],[Site Name]],LocationsKey[Site Name], LocationsKey[Waterway])</f>
        <v>Stour</v>
      </c>
      <c r="K1486" t="s">
        <v>980</v>
      </c>
      <c r="N1486" t="s">
        <v>31</v>
      </c>
      <c r="O1486">
        <v>534</v>
      </c>
      <c r="P1486">
        <v>15.6</v>
      </c>
      <c r="Q1486">
        <v>2</v>
      </c>
      <c r="R1486" s="107" t="str">
        <f>IF(AllData[[#This Row],[Nitrate (PPM)]]&gt;2, "Very high", IF(AllData[[#This Row],[Nitrate (PPM)]]&gt;1, "High", IF(AllData[[#This Row],[Nitrate (PPM)]]&gt;0.5, "Some evidence", IF(AllData[[#This Row],[Nitrate (PPM)]]&gt;=0, "No evidence"))))</f>
        <v>High</v>
      </c>
      <c r="S1486">
        <v>0.69</v>
      </c>
      <c r="T1486" s="7" t="str">
        <f>IF(AllData[[#This Row],[Phosphate (PPM)]]&gt;0.5, "Very high", IF(AllData[[#This Row],[Phosphate (PPM)]]&gt;0.1, "High", IF(AllData[[#This Row],[Phosphate (PPM)]]&gt;0.05, "Some evidence", IF(AllData[[#This Row],[Phosphate (PPM)]]&lt;=0.05, "No Evidence", ""))))</f>
        <v>Very high</v>
      </c>
      <c r="U1486">
        <v>12.5</v>
      </c>
    </row>
    <row r="1487" spans="1:22" x14ac:dyDescent="0.35">
      <c r="A1487" t="s">
        <v>1335</v>
      </c>
      <c r="B1487" s="143">
        <v>45437</v>
      </c>
      <c r="C1487" s="2" t="str" cm="1">
        <f t="array" ref="C14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7">
        <f>YEAR(AllData[[#This Row],[Date]])</f>
        <v>2024</v>
      </c>
      <c r="E1487" s="1">
        <v>0.47222222222222221</v>
      </c>
      <c r="F1487" t="str">
        <f>IF(AND(AllData[[#This Row],[Time]]&lt;0.5, AllData[[#This Row],[Time]]&gt;0.17)=TRUE, "Morning", IF(AND(AllData[[#This Row],[Time]]&lt;0.75, AllData[[#This Row],[Time]]&gt;=0.5)=TRUE, "Afternoon", IF(AND(AllData[[#This Row],[Time]]&lt;1, AllData[[#This Row],[Time]]&gt;=0.75)=TRUE, "Evening", "Night")))</f>
        <v>Morning</v>
      </c>
      <c r="G1487" t="str">
        <f>_xlfn.XLOOKUP(AllData[[#This Row],[Location Name]], Locations[Location Name],Locations[Group As])</f>
        <v>Stour Ascott Village</v>
      </c>
      <c r="H1487" t="e" vm="1">
        <f>_xlfn.XLOOKUP(AllData[[#This Row],[Site Name]],LocationsKey[Site Name],LocationsKey[District])</f>
        <v>#VALUE!</v>
      </c>
      <c r="I1487" t="e" vm="25">
        <f>_xlfn.XLOOKUP(AllData[[#This Row],[Site Name]],LocationsKey[Site Name],LocationsKey[Town])</f>
        <v>#VALUE!</v>
      </c>
      <c r="J1487" t="str">
        <f>_xlfn.XLOOKUP(AllData[[#This Row],[Site Name]],LocationsKey[Site Name], LocationsKey[Waterway])</f>
        <v>Stour</v>
      </c>
      <c r="K1487" t="s">
        <v>927</v>
      </c>
      <c r="N1487" t="s">
        <v>68</v>
      </c>
      <c r="O1487">
        <v>562</v>
      </c>
      <c r="P1487">
        <v>15.5</v>
      </c>
      <c r="Q1487">
        <v>0.7</v>
      </c>
      <c r="R1487" s="107" t="str">
        <f>IF(AllData[[#This Row],[Nitrate (PPM)]]&gt;2, "Very high", IF(AllData[[#This Row],[Nitrate (PPM)]]&gt;1, "High", IF(AllData[[#This Row],[Nitrate (PPM)]]&gt;0.5, "Some evidence", IF(AllData[[#This Row],[Nitrate (PPM)]]&gt;=0, "No evidence"))))</f>
        <v>Some evidence</v>
      </c>
      <c r="S1487">
        <v>0.14000000000000001</v>
      </c>
      <c r="T1487" s="7" t="str">
        <f>IF(AllData[[#This Row],[Phosphate (PPM)]]&gt;0.5, "Very high", IF(AllData[[#This Row],[Phosphate (PPM)]]&gt;0.1, "High", IF(AllData[[#This Row],[Phosphate (PPM)]]&gt;0.05, "Some evidence", IF(AllData[[#This Row],[Phosphate (PPM)]]&lt;=0.05, "No Evidence", ""))))</f>
        <v>High</v>
      </c>
      <c r="U1487">
        <v>7</v>
      </c>
    </row>
    <row r="1488" spans="1:22" x14ac:dyDescent="0.35">
      <c r="A1488" t="s">
        <v>1327</v>
      </c>
      <c r="B1488" s="143">
        <v>45436</v>
      </c>
      <c r="C1488" s="2" t="str" cm="1">
        <f t="array" ref="C14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8">
        <f>YEAR(AllData[[#This Row],[Date]])</f>
        <v>2024</v>
      </c>
      <c r="E1488" s="1">
        <v>0.59027777777777779</v>
      </c>
      <c r="F1488" t="str">
        <f>IF(AND(AllData[[#This Row],[Time]]&lt;0.5, AllData[[#This Row],[Time]]&gt;0.17)=TRUE, "Morning", IF(AND(AllData[[#This Row],[Time]]&lt;0.75, AllData[[#This Row],[Time]]&gt;=0.5)=TRUE, "Afternoon", IF(AND(AllData[[#This Row],[Time]]&lt;1, AllData[[#This Row],[Time]]&gt;=0.75)=TRUE, "Evening", "Night")))</f>
        <v>Afternoon</v>
      </c>
      <c r="G1488" t="str">
        <f>_xlfn.XLOOKUP(AllData[[#This Row],[Location Name]], Locations[Location Name],Locations[Group As])</f>
        <v>Swiffen Bank</v>
      </c>
      <c r="H1488" t="e" vm="1">
        <f>_xlfn.XLOOKUP(AllData[[#This Row],[Site Name]],LocationsKey[Site Name],LocationsKey[District])</f>
        <v>#VALUE!</v>
      </c>
      <c r="I1488" t="e" vm="2">
        <f>_xlfn.XLOOKUP(AllData[[#This Row],[Site Name]],LocationsKey[Site Name],LocationsKey[Town])</f>
        <v>#VALUE!</v>
      </c>
      <c r="J1488" t="str">
        <f>_xlfn.XLOOKUP(AllData[[#This Row],[Site Name]],LocationsKey[Site Name], LocationsKey[Waterway])</f>
        <v>Avon</v>
      </c>
      <c r="K1488" t="s">
        <v>286</v>
      </c>
      <c r="L1488">
        <v>52.206477999999997</v>
      </c>
      <c r="M1488">
        <v>-1.653894</v>
      </c>
      <c r="N1488" t="s">
        <v>31</v>
      </c>
      <c r="O1488">
        <v>540</v>
      </c>
      <c r="P1488">
        <v>17</v>
      </c>
      <c r="Q1488">
        <v>10</v>
      </c>
      <c r="R1488" s="107" t="str">
        <f>IF(AllData[[#This Row],[Nitrate (PPM)]]&gt;2, "Very high", IF(AllData[[#This Row],[Nitrate (PPM)]]&gt;1, "High", IF(AllData[[#This Row],[Nitrate (PPM)]]&gt;0.5, "Some evidence", IF(AllData[[#This Row],[Nitrate (PPM)]]&gt;=0, "No evidence"))))</f>
        <v>Very high</v>
      </c>
      <c r="S1488" s="112">
        <v>0.64</v>
      </c>
      <c r="T1488" s="7" t="str">
        <f>IF(AllData[[#This Row],[Phosphate (PPM)]]&gt;0.5, "Very high", IF(AllData[[#This Row],[Phosphate (PPM)]]&gt;0.1, "High", IF(AllData[[#This Row],[Phosphate (PPM)]]&gt;0.05, "Some evidence", IF(AllData[[#This Row],[Phosphate (PPM)]]&lt;=0.05, "No Evidence", ""))))</f>
        <v>Very high</v>
      </c>
      <c r="U1488">
        <v>1</v>
      </c>
      <c r="V1488" t="s">
        <v>1328</v>
      </c>
    </row>
    <row r="1489" spans="1:22" x14ac:dyDescent="0.35">
      <c r="A1489" t="s">
        <v>1324</v>
      </c>
      <c r="B1489" s="143">
        <v>45435</v>
      </c>
      <c r="C1489" s="2" t="str" cm="1">
        <f t="array" ref="C14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89">
        <f>YEAR(AllData[[#This Row],[Date]])</f>
        <v>2024</v>
      </c>
      <c r="E1489" s="1">
        <v>0.45694444444444443</v>
      </c>
      <c r="F1489" t="str">
        <f>IF(AND(AllData[[#This Row],[Time]]&lt;0.5, AllData[[#This Row],[Time]]&gt;0.17)=TRUE, "Morning", IF(AND(AllData[[#This Row],[Time]]&lt;0.75, AllData[[#This Row],[Time]]&gt;=0.5)=TRUE, "Afternoon", IF(AND(AllData[[#This Row],[Time]]&lt;1, AllData[[#This Row],[Time]]&gt;=0.75)=TRUE, "Evening", "Night")))</f>
        <v>Morning</v>
      </c>
      <c r="G1489" t="str">
        <f>_xlfn.XLOOKUP(AllData[[#This Row],[Location Name]], Locations[Location Name],Locations[Group As])</f>
        <v>Preston-on-Stour River Bridge</v>
      </c>
      <c r="H1489" t="e" vm="1">
        <f>_xlfn.XLOOKUP(AllData[[#This Row],[Site Name]],LocationsKey[Site Name],LocationsKey[District])</f>
        <v>#VALUE!</v>
      </c>
      <c r="I1489" t="e" vm="20">
        <f>_xlfn.XLOOKUP(AllData[[#This Row],[Site Name]],LocationsKey[Site Name],LocationsKey[Town])</f>
        <v>#VALUE!</v>
      </c>
      <c r="J1489" t="str">
        <f>_xlfn.XLOOKUP(AllData[[#This Row],[Site Name]],LocationsKey[Site Name], LocationsKey[Waterway])</f>
        <v>Stour</v>
      </c>
      <c r="K1489" t="s">
        <v>164</v>
      </c>
      <c r="L1489">
        <v>52.146552</v>
      </c>
      <c r="M1489">
        <v>-1.6998120000000001</v>
      </c>
      <c r="N1489" t="s">
        <v>31</v>
      </c>
      <c r="O1489">
        <v>687</v>
      </c>
      <c r="P1489">
        <v>15.9</v>
      </c>
      <c r="Q1489">
        <v>6</v>
      </c>
      <c r="R1489" s="107" t="str">
        <f>IF(AllData[[#This Row],[Nitrate (PPM)]]&gt;2, "Very high", IF(AllData[[#This Row],[Nitrate (PPM)]]&gt;1, "High", IF(AllData[[#This Row],[Nitrate (PPM)]]&gt;0.5, "Some evidence", IF(AllData[[#This Row],[Nitrate (PPM)]]&gt;=0, "No evidence"))))</f>
        <v>Very high</v>
      </c>
      <c r="S1489" s="112">
        <v>0.35</v>
      </c>
      <c r="T1489" s="7" t="str">
        <f>IF(AllData[[#This Row],[Phosphate (PPM)]]&gt;0.5, "Very high", IF(AllData[[#This Row],[Phosphate (PPM)]]&gt;0.1, "High", IF(AllData[[#This Row],[Phosphate (PPM)]]&gt;0.05, "Some evidence", IF(AllData[[#This Row],[Phosphate (PPM)]]&lt;=0.05, "No Evidence", ""))))</f>
        <v>High</v>
      </c>
      <c r="U1489">
        <v>1.5</v>
      </c>
    </row>
    <row r="1490" spans="1:22" x14ac:dyDescent="0.35">
      <c r="A1490" t="s">
        <v>1323</v>
      </c>
      <c r="B1490" s="143">
        <v>45435</v>
      </c>
      <c r="C1490" s="2" t="str" cm="1">
        <f t="array" ref="C14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0">
        <f>YEAR(AllData[[#This Row],[Date]])</f>
        <v>2024</v>
      </c>
      <c r="E1490" s="1">
        <v>0.4375</v>
      </c>
      <c r="F1490" t="str">
        <f>IF(AND(AllData[[#This Row],[Time]]&lt;0.5, AllData[[#This Row],[Time]]&gt;0.17)=TRUE, "Morning", IF(AND(AllData[[#This Row],[Time]]&lt;0.75, AllData[[#This Row],[Time]]&gt;=0.5)=TRUE, "Afternoon", IF(AND(AllData[[#This Row],[Time]]&lt;1, AllData[[#This Row],[Time]]&gt;=0.75)=TRUE, "Evening", "Night")))</f>
        <v>Morning</v>
      </c>
      <c r="G1490" t="str">
        <f>_xlfn.XLOOKUP(AllData[[#This Row],[Location Name]], Locations[Location Name],Locations[Group As])</f>
        <v>Swilgate</v>
      </c>
      <c r="H1490" t="e" vm="4">
        <f>_xlfn.XLOOKUP(AllData[[#This Row],[Site Name]],LocationsKey[Site Name],LocationsKey[District])</f>
        <v>#VALUE!</v>
      </c>
      <c r="I1490" t="e" vm="4">
        <f>_xlfn.XLOOKUP(AllData[[#This Row],[Site Name]],LocationsKey[Site Name],LocationsKey[Town])</f>
        <v>#VALUE!</v>
      </c>
      <c r="J1490" t="str">
        <f>_xlfn.XLOOKUP(AllData[[#This Row],[Site Name]],LocationsKey[Site Name], LocationsKey[Waterway])</f>
        <v>Swilgate</v>
      </c>
      <c r="K1490" t="s">
        <v>85</v>
      </c>
      <c r="N1490" t="s">
        <v>25</v>
      </c>
      <c r="O1490">
        <v>607</v>
      </c>
      <c r="P1490">
        <v>14.6</v>
      </c>
      <c r="Q1490">
        <v>5</v>
      </c>
      <c r="R1490" s="107" t="str">
        <f>IF(AllData[[#This Row],[Nitrate (PPM)]]&gt;2, "Very high", IF(AllData[[#This Row],[Nitrate (PPM)]]&gt;1, "High", IF(AllData[[#This Row],[Nitrate (PPM)]]&gt;0.5, "Some evidence", IF(AllData[[#This Row],[Nitrate (PPM)]]&gt;=0, "No evidence"))))</f>
        <v>Very high</v>
      </c>
      <c r="S1490" s="112">
        <v>0.47</v>
      </c>
      <c r="T1490" s="7" t="str">
        <f>IF(AllData[[#This Row],[Phosphate (PPM)]]&gt;0.5, "Very high", IF(AllData[[#This Row],[Phosphate (PPM)]]&gt;0.1, "High", IF(AllData[[#This Row],[Phosphate (PPM)]]&gt;0.05, "Some evidence", IF(AllData[[#This Row],[Phosphate (PPM)]]&lt;=0.05, "No Evidence", ""))))</f>
        <v>High</v>
      </c>
      <c r="U1490">
        <v>0</v>
      </c>
    </row>
    <row r="1491" spans="1:22" x14ac:dyDescent="0.35">
      <c r="A1491" t="s">
        <v>1325</v>
      </c>
      <c r="B1491" s="143">
        <v>45435</v>
      </c>
      <c r="C1491" s="2" t="str" cm="1">
        <f t="array" ref="C14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1">
        <f>YEAR(AllData[[#This Row],[Date]])</f>
        <v>2024</v>
      </c>
      <c r="E1491" s="1">
        <v>0.54166666666666663</v>
      </c>
      <c r="F1491" t="str">
        <f>IF(AND(AllData[[#This Row],[Time]]&lt;0.5, AllData[[#This Row],[Time]]&gt;0.17)=TRUE, "Morning", IF(AND(AllData[[#This Row],[Time]]&lt;0.75, AllData[[#This Row],[Time]]&gt;=0.5)=TRUE, "Afternoon", IF(AND(AllData[[#This Row],[Time]]&lt;1, AllData[[#This Row],[Time]]&gt;=0.75)=TRUE, "Evening", "Night")))</f>
        <v>Afternoon</v>
      </c>
      <c r="G1491" t="str">
        <f>_xlfn.XLOOKUP(AllData[[#This Row],[Location Name]], Locations[Location Name],Locations[Group As])</f>
        <v>Stour Willington</v>
      </c>
      <c r="H1491" t="e" vm="1">
        <f>_xlfn.XLOOKUP(AllData[[#This Row],[Site Name]],LocationsKey[Site Name],LocationsKey[District])</f>
        <v>#VALUE!</v>
      </c>
      <c r="I1491" t="str">
        <f>_xlfn.XLOOKUP(AllData[[#This Row],[Site Name]],LocationsKey[Site Name],LocationsKey[Town])</f>
        <v>Willington</v>
      </c>
      <c r="J1491" t="str">
        <f>_xlfn.XLOOKUP(AllData[[#This Row],[Site Name]],LocationsKey[Site Name], LocationsKey[Waterway])</f>
        <v>Stour</v>
      </c>
      <c r="K1491" t="s">
        <v>521</v>
      </c>
      <c r="L1491">
        <v>52.053552000000003</v>
      </c>
      <c r="M1491">
        <v>-1.6201319999999999</v>
      </c>
      <c r="N1491" t="s">
        <v>25</v>
      </c>
      <c r="O1491">
        <v>534</v>
      </c>
      <c r="P1491">
        <v>14.1</v>
      </c>
      <c r="Q1491">
        <v>5</v>
      </c>
      <c r="R1491" s="107" t="str">
        <f>IF(AllData[[#This Row],[Nitrate (PPM)]]&gt;2, "Very high", IF(AllData[[#This Row],[Nitrate (PPM)]]&gt;1, "High", IF(AllData[[#This Row],[Nitrate (PPM)]]&gt;0.5, "Some evidence", IF(AllData[[#This Row],[Nitrate (PPM)]]&gt;=0, "No evidence"))))</f>
        <v>Very high</v>
      </c>
      <c r="S1491" s="112">
        <v>0.32</v>
      </c>
      <c r="T1491" s="7" t="str">
        <f>IF(AllData[[#This Row],[Phosphate (PPM)]]&gt;0.5, "Very high", IF(AllData[[#This Row],[Phosphate (PPM)]]&gt;0.1, "High", IF(AllData[[#This Row],[Phosphate (PPM)]]&gt;0.05, "Some evidence", IF(AllData[[#This Row],[Phosphate (PPM)]]&lt;=0.05, "No Evidence", ""))))</f>
        <v>High</v>
      </c>
      <c r="U1491">
        <v>0.5</v>
      </c>
      <c r="V1491" t="s">
        <v>1326</v>
      </c>
    </row>
    <row r="1492" spans="1:22" x14ac:dyDescent="0.35">
      <c r="A1492" t="s">
        <v>1319</v>
      </c>
      <c r="B1492" s="143">
        <v>45434</v>
      </c>
      <c r="C1492" s="2" t="str" cm="1">
        <f t="array" ref="C14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2">
        <f>YEAR(AllData[[#This Row],[Date]])</f>
        <v>2024</v>
      </c>
      <c r="E1492" s="1">
        <v>0.68125000000000002</v>
      </c>
      <c r="F1492" t="str">
        <f>IF(AND(AllData[[#This Row],[Time]]&lt;0.5, AllData[[#This Row],[Time]]&gt;0.17)=TRUE, "Morning", IF(AND(AllData[[#This Row],[Time]]&lt;0.75, AllData[[#This Row],[Time]]&gt;=0.5)=TRUE, "Afternoon", IF(AND(AllData[[#This Row],[Time]]&lt;1, AllData[[#This Row],[Time]]&gt;=0.75)=TRUE, "Evening", "Night")))</f>
        <v>Afternoon</v>
      </c>
      <c r="G1492" t="str">
        <f>_xlfn.XLOOKUP(AllData[[#This Row],[Location Name]], Locations[Location Name],Locations[Group As])</f>
        <v>Alveston Weir</v>
      </c>
      <c r="H1492" t="e" vm="1">
        <f>_xlfn.XLOOKUP(AllData[[#This Row],[Site Name]],LocationsKey[Site Name],LocationsKey[District])</f>
        <v>#VALUE!</v>
      </c>
      <c r="I1492" t="e" vm="2">
        <f>_xlfn.XLOOKUP(AllData[[#This Row],[Site Name]],LocationsKey[Site Name],LocationsKey[Town])</f>
        <v>#VALUE!</v>
      </c>
      <c r="J1492" t="str">
        <f>_xlfn.XLOOKUP(AllData[[#This Row],[Site Name]],LocationsKey[Site Name], LocationsKey[Waterway])</f>
        <v>Avon</v>
      </c>
      <c r="K1492" t="s">
        <v>288</v>
      </c>
      <c r="L1492">
        <v>52.212288999999998</v>
      </c>
      <c r="M1492">
        <v>-1.660452</v>
      </c>
      <c r="N1492" t="s">
        <v>31</v>
      </c>
      <c r="O1492">
        <v>571</v>
      </c>
      <c r="P1492">
        <v>16</v>
      </c>
      <c r="Q1492">
        <v>5</v>
      </c>
      <c r="R1492" s="107" t="str">
        <f>IF(AllData[[#This Row],[Nitrate (PPM)]]&gt;2, "Very high", IF(AllData[[#This Row],[Nitrate (PPM)]]&gt;1, "High", IF(AllData[[#This Row],[Nitrate (PPM)]]&gt;0.5, "Some evidence", IF(AllData[[#This Row],[Nitrate (PPM)]]&gt;=0, "No evidence"))))</f>
        <v>Very high</v>
      </c>
      <c r="S1492" s="112">
        <v>0.65</v>
      </c>
      <c r="T1492" s="7" t="str">
        <f>IF(AllData[[#This Row],[Phosphate (PPM)]]&gt;0.5, "Very high", IF(AllData[[#This Row],[Phosphate (PPM)]]&gt;0.1, "High", IF(AllData[[#This Row],[Phosphate (PPM)]]&gt;0.05, "Some evidence", IF(AllData[[#This Row],[Phosphate (PPM)]]&lt;=0.05, "No Evidence", ""))))</f>
        <v>Very high</v>
      </c>
      <c r="U1492">
        <v>1.75</v>
      </c>
      <c r="V1492" t="s">
        <v>1320</v>
      </c>
    </row>
    <row r="1493" spans="1:22" x14ac:dyDescent="0.35">
      <c r="A1493" t="s">
        <v>1321</v>
      </c>
      <c r="B1493" s="143">
        <v>45434</v>
      </c>
      <c r="C1493" s="2" t="str" cm="1">
        <f t="array" ref="C14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3">
        <f>YEAR(AllData[[#This Row],[Date]])</f>
        <v>2024</v>
      </c>
      <c r="E1493" s="1">
        <v>0.6875</v>
      </c>
      <c r="F1493" t="str">
        <f>IF(AND(AllData[[#This Row],[Time]]&lt;0.5, AllData[[#This Row],[Time]]&gt;0.17)=TRUE, "Morning", IF(AND(AllData[[#This Row],[Time]]&lt;0.75, AllData[[#This Row],[Time]]&gt;=0.5)=TRUE, "Afternoon", IF(AND(AllData[[#This Row],[Time]]&lt;1, AllData[[#This Row],[Time]]&gt;=0.75)=TRUE, "Evening", "Night")))</f>
        <v>Afternoon</v>
      </c>
      <c r="G1493" t="str">
        <f>_xlfn.XLOOKUP(AllData[[#This Row],[Location Name]], Locations[Location Name],Locations[Group As])</f>
        <v>Stour Newbold Mill</v>
      </c>
      <c r="H1493" t="e" vm="1">
        <f>_xlfn.XLOOKUP(AllData[[#This Row],[Site Name]],LocationsKey[Site Name],LocationsKey[District])</f>
        <v>#VALUE!</v>
      </c>
      <c r="I1493" t="e" vm="27">
        <f>_xlfn.XLOOKUP(AllData[[#This Row],[Site Name]],LocationsKey[Site Name],LocationsKey[Town])</f>
        <v>#VALUE!</v>
      </c>
      <c r="J1493" t="str">
        <f>_xlfn.XLOOKUP(AllData[[#This Row],[Site Name]],LocationsKey[Site Name], LocationsKey[Waterway])</f>
        <v>Stour</v>
      </c>
      <c r="K1493" t="s">
        <v>141</v>
      </c>
      <c r="N1493" t="s">
        <v>68</v>
      </c>
      <c r="O1493">
        <v>397</v>
      </c>
      <c r="P1493">
        <v>20</v>
      </c>
      <c r="Q1493">
        <v>2</v>
      </c>
      <c r="R1493" s="107" t="str">
        <f>IF(AllData[[#This Row],[Nitrate (PPM)]]&gt;2, "Very high", IF(AllData[[#This Row],[Nitrate (PPM)]]&gt;1, "High", IF(AllData[[#This Row],[Nitrate (PPM)]]&gt;0.5, "Some evidence", IF(AllData[[#This Row],[Nitrate (PPM)]]&gt;=0, "No evidence"))))</f>
        <v>High</v>
      </c>
      <c r="S1493" s="4">
        <v>0.64</v>
      </c>
      <c r="T1493" s="7" t="str">
        <f>IF(AllData[[#This Row],[Phosphate (PPM)]]&gt;0.5, "Very high", IF(AllData[[#This Row],[Phosphate (PPM)]]&gt;0.1, "High", IF(AllData[[#This Row],[Phosphate (PPM)]]&gt;0.05, "Some evidence", IF(AllData[[#This Row],[Phosphate (PPM)]]&lt;=0.05, "No Evidence", ""))))</f>
        <v>Very high</v>
      </c>
      <c r="U1493">
        <v>4</v>
      </c>
      <c r="V1493" t="s">
        <v>1322</v>
      </c>
    </row>
    <row r="1494" spans="1:22" x14ac:dyDescent="0.35">
      <c r="A1494" t="s">
        <v>1318</v>
      </c>
      <c r="B1494" s="143">
        <v>45433</v>
      </c>
      <c r="C1494" s="2" t="str" cm="1">
        <f t="array" ref="C14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4">
        <f>YEAR(AllData[[#This Row],[Date]])</f>
        <v>2024</v>
      </c>
      <c r="E1494" s="1">
        <v>0.60833333333333328</v>
      </c>
      <c r="F1494" t="str">
        <f>IF(AND(AllData[[#This Row],[Time]]&lt;0.5, AllData[[#This Row],[Time]]&gt;0.17)=TRUE, "Morning", IF(AND(AllData[[#This Row],[Time]]&lt;0.75, AllData[[#This Row],[Time]]&gt;=0.5)=TRUE, "Afternoon", IF(AND(AllData[[#This Row],[Time]]&lt;1, AllData[[#This Row],[Time]]&gt;=0.75)=TRUE, "Evening", "Night")))</f>
        <v>Afternoon</v>
      </c>
      <c r="G1494" t="str">
        <f>_xlfn.XLOOKUP(AllData[[#This Row],[Location Name]], Locations[Location Name],Locations[Group As])</f>
        <v>Abbey Mill</v>
      </c>
      <c r="H1494" t="e" vm="4">
        <f>_xlfn.XLOOKUP(AllData[[#This Row],[Site Name]],LocationsKey[Site Name],LocationsKey[District])</f>
        <v>#VALUE!</v>
      </c>
      <c r="I1494" t="e" vm="4">
        <f>_xlfn.XLOOKUP(AllData[[#This Row],[Site Name]],LocationsKey[Site Name],LocationsKey[Town])</f>
        <v>#VALUE!</v>
      </c>
      <c r="J1494" t="str">
        <f>_xlfn.XLOOKUP(AllData[[#This Row],[Site Name]],LocationsKey[Site Name], LocationsKey[Waterway])</f>
        <v>Avon</v>
      </c>
      <c r="K1494" t="s">
        <v>27</v>
      </c>
      <c r="L1494">
        <v>51.991301</v>
      </c>
      <c r="M1494">
        <v>-2.1627369999999999</v>
      </c>
      <c r="N1494" t="s">
        <v>25</v>
      </c>
      <c r="O1494">
        <v>977</v>
      </c>
      <c r="P1494">
        <v>18.5</v>
      </c>
      <c r="Q1494">
        <v>7</v>
      </c>
      <c r="R1494" s="107" t="str">
        <f>IF(AllData[[#This Row],[Nitrate (PPM)]]&gt;2, "Very high", IF(AllData[[#This Row],[Nitrate (PPM)]]&gt;1, "High", IF(AllData[[#This Row],[Nitrate (PPM)]]&gt;0.5, "Some evidence", IF(AllData[[#This Row],[Nitrate (PPM)]]&gt;=0, "No evidence"))))</f>
        <v>Very high</v>
      </c>
      <c r="S1494" s="112">
        <v>0.67</v>
      </c>
      <c r="T1494" s="7" t="str">
        <f>IF(AllData[[#This Row],[Phosphate (PPM)]]&gt;0.5, "Very high", IF(AllData[[#This Row],[Phosphate (PPM)]]&gt;0.1, "High", IF(AllData[[#This Row],[Phosphate (PPM)]]&gt;0.05, "Some evidence", IF(AllData[[#This Row],[Phosphate (PPM)]]&lt;=0.05, "No Evidence", ""))))</f>
        <v>Very high</v>
      </c>
      <c r="U1494">
        <v>0.6</v>
      </c>
    </row>
    <row r="1495" spans="1:22" x14ac:dyDescent="0.35">
      <c r="A1495" t="s">
        <v>1304</v>
      </c>
      <c r="B1495" s="143">
        <v>45432</v>
      </c>
      <c r="C1495" s="2" t="str" cm="1">
        <f t="array" ref="C14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5">
        <f>YEAR(AllData[[#This Row],[Date]])</f>
        <v>2024</v>
      </c>
      <c r="E1495" s="1">
        <v>0.38541666666666669</v>
      </c>
      <c r="F1495" t="str">
        <f>IF(AND(AllData[[#This Row],[Time]]&lt;0.5, AllData[[#This Row],[Time]]&gt;0.17)=TRUE, "Morning", IF(AND(AllData[[#This Row],[Time]]&lt;0.75, AllData[[#This Row],[Time]]&gt;=0.5)=TRUE, "Afternoon", IF(AND(AllData[[#This Row],[Time]]&lt;1, AllData[[#This Row],[Time]]&gt;=0.75)=TRUE, "Evening", "Night")))</f>
        <v>Morning</v>
      </c>
      <c r="G1495" t="str">
        <f>_xlfn.XLOOKUP(AllData[[#This Row],[Location Name]], Locations[Location Name],Locations[Group As])</f>
        <v>Sherbourne Brook 1</v>
      </c>
      <c r="H1495" t="e" vm="1">
        <f>_xlfn.XLOOKUP(AllData[[#This Row],[Site Name]],LocationsKey[Site Name],LocationsKey[District])</f>
        <v>#VALUE!</v>
      </c>
      <c r="I1495" t="e" vm="23">
        <f>_xlfn.XLOOKUP(AllData[[#This Row],[Site Name]],LocationsKey[Site Name],LocationsKey[Town])</f>
        <v>#VALUE!</v>
      </c>
      <c r="J1495" t="str">
        <f>_xlfn.XLOOKUP(AllData[[#This Row],[Site Name]],LocationsKey[Site Name], LocationsKey[Waterway])</f>
        <v>Sherbourne Brook</v>
      </c>
      <c r="K1495" t="s">
        <v>541</v>
      </c>
      <c r="L1495">
        <v>52.252499999999998</v>
      </c>
      <c r="M1495">
        <v>-1.6685000000000001</v>
      </c>
      <c r="N1495" t="s">
        <v>25</v>
      </c>
      <c r="O1495">
        <v>1100</v>
      </c>
      <c r="P1495">
        <v>13.2</v>
      </c>
      <c r="Q1495">
        <v>10</v>
      </c>
      <c r="R1495" s="107" t="str">
        <f>IF(AllData[[#This Row],[Nitrate (PPM)]]&gt;2, "Very high", IF(AllData[[#This Row],[Nitrate (PPM)]]&gt;1, "High", IF(AllData[[#This Row],[Nitrate (PPM)]]&gt;0.5, "Some evidence", IF(AllData[[#This Row],[Nitrate (PPM)]]&gt;=0, "No evidence"))))</f>
        <v>Very high</v>
      </c>
      <c r="S1495" s="4">
        <v>0.52</v>
      </c>
      <c r="T1495" s="7" t="str">
        <f>IF(AllData[[#This Row],[Phosphate (PPM)]]&gt;0.5, "Very high", IF(AllData[[#This Row],[Phosphate (PPM)]]&gt;0.1, "High", IF(AllData[[#This Row],[Phosphate (PPM)]]&gt;0.05, "Some evidence", IF(AllData[[#This Row],[Phosphate (PPM)]]&lt;=0.05, "No Evidence", ""))))</f>
        <v>Very high</v>
      </c>
      <c r="U1495">
        <v>0.2</v>
      </c>
    </row>
    <row r="1496" spans="1:22" x14ac:dyDescent="0.35">
      <c r="A1496" t="s">
        <v>1305</v>
      </c>
      <c r="B1496" s="143">
        <v>45432</v>
      </c>
      <c r="C1496" s="2" t="str" cm="1">
        <f t="array" ref="C14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6">
        <f>YEAR(AllData[[#This Row],[Date]])</f>
        <v>2024</v>
      </c>
      <c r="E1496" s="1">
        <v>0.39583333333333331</v>
      </c>
      <c r="F1496" t="str">
        <f>IF(AND(AllData[[#This Row],[Time]]&lt;0.5, AllData[[#This Row],[Time]]&gt;0.17)=TRUE, "Morning", IF(AND(AllData[[#This Row],[Time]]&lt;0.75, AllData[[#This Row],[Time]]&gt;=0.5)=TRUE, "Afternoon", IF(AND(AllData[[#This Row],[Time]]&lt;1, AllData[[#This Row],[Time]]&gt;=0.75)=TRUE, "Evening", "Night")))</f>
        <v>Morning</v>
      </c>
      <c r="G1496" t="str">
        <f>_xlfn.XLOOKUP(AllData[[#This Row],[Location Name]], Locations[Location Name],Locations[Group As])</f>
        <v>Bell Brook 1</v>
      </c>
      <c r="H1496" t="e" vm="1">
        <f>_xlfn.XLOOKUP(AllData[[#This Row],[Site Name]],LocationsKey[Site Name],LocationsKey[District])</f>
        <v>#VALUE!</v>
      </c>
      <c r="I1496" t="e" vm="19">
        <f>_xlfn.XLOOKUP(AllData[[#This Row],[Site Name]],LocationsKey[Site Name],LocationsKey[Town])</f>
        <v>#VALUE!</v>
      </c>
      <c r="J1496" t="str">
        <f>_xlfn.XLOOKUP(AllData[[#This Row],[Site Name]],LocationsKey[Site Name], LocationsKey[Waterway])</f>
        <v>Bell Brook</v>
      </c>
      <c r="K1496" t="s">
        <v>538</v>
      </c>
      <c r="L1496">
        <v>52.244900000000001</v>
      </c>
      <c r="M1496">
        <v>-1.6617</v>
      </c>
      <c r="N1496" t="s">
        <v>25</v>
      </c>
      <c r="O1496">
        <v>823</v>
      </c>
      <c r="P1496">
        <v>14.4</v>
      </c>
      <c r="Q1496">
        <v>6</v>
      </c>
      <c r="R1496" s="107" t="str">
        <f>IF(AllData[[#This Row],[Nitrate (PPM)]]&gt;2, "Very high", IF(AllData[[#This Row],[Nitrate (PPM)]]&gt;1, "High", IF(AllData[[#This Row],[Nitrate (PPM)]]&gt;0.5, "Some evidence", IF(AllData[[#This Row],[Nitrate (PPM)]]&gt;=0, "No evidence"))))</f>
        <v>Very high</v>
      </c>
      <c r="S1496" s="4">
        <v>0.41</v>
      </c>
      <c r="T1496" s="7" t="str">
        <f>IF(AllData[[#This Row],[Phosphate (PPM)]]&gt;0.5, "Very high", IF(AllData[[#This Row],[Phosphate (PPM)]]&gt;0.1, "High", IF(AllData[[#This Row],[Phosphate (PPM)]]&gt;0.05, "Some evidence", IF(AllData[[#This Row],[Phosphate (PPM)]]&lt;=0.05, "No Evidence", ""))))</f>
        <v>High</v>
      </c>
      <c r="U1496">
        <v>0.2</v>
      </c>
      <c r="V1496" t="s">
        <v>1306</v>
      </c>
    </row>
    <row r="1497" spans="1:22" x14ac:dyDescent="0.35">
      <c r="A1497" t="s">
        <v>1316</v>
      </c>
      <c r="B1497" s="143">
        <v>45432</v>
      </c>
      <c r="C1497" s="2" t="str" cm="1">
        <f t="array" ref="C14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7">
        <f>YEAR(AllData[[#This Row],[Date]])</f>
        <v>2024</v>
      </c>
      <c r="E1497" s="1"/>
      <c r="F1497" t="str">
        <f>IF(AND(AllData[[#This Row],[Time]]&lt;0.5, AllData[[#This Row],[Time]]&gt;0.17)=TRUE, "Morning", IF(AND(AllData[[#This Row],[Time]]&lt;0.75, AllData[[#This Row],[Time]]&gt;=0.5)=TRUE, "Afternoon", IF(AND(AllData[[#This Row],[Time]]&lt;1, AllData[[#This Row],[Time]]&gt;=0.75)=TRUE, "Evening", "Night")))</f>
        <v>Night</v>
      </c>
      <c r="G1497" t="str">
        <f>_xlfn.XLOOKUP(AllData[[#This Row],[Location Name]], Locations[Location Name],Locations[Group As])</f>
        <v>Site 3  :  Severn Trent Water processing plant outflow</v>
      </c>
      <c r="H1497" t="e" vm="1">
        <f>_xlfn.XLOOKUP(AllData[[#This Row],[Site Name]],LocationsKey[Site Name],LocationsKey[District])</f>
        <v>#VALUE!</v>
      </c>
      <c r="I1497" t="e" vm="14">
        <f>_xlfn.XLOOKUP(AllData[[#This Row],[Site Name]],LocationsKey[Site Name],LocationsKey[Town])</f>
        <v>#VALUE!</v>
      </c>
      <c r="J1497" t="str">
        <f>_xlfn.XLOOKUP(AllData[[#This Row],[Site Name]],LocationsKey[Site Name], LocationsKey[Waterway])</f>
        <v>Fosseway Brook</v>
      </c>
      <c r="K1497" t="s">
        <v>676</v>
      </c>
      <c r="L1497">
        <v>52.094475000000003</v>
      </c>
      <c r="M1497">
        <v>-1.6758839999999999</v>
      </c>
      <c r="N1497" t="s">
        <v>31</v>
      </c>
      <c r="O1497">
        <v>903</v>
      </c>
      <c r="P1497">
        <v>16.5</v>
      </c>
      <c r="Q1497">
        <v>5</v>
      </c>
      <c r="R1497" s="107" t="str">
        <f>IF(AllData[[#This Row],[Nitrate (PPM)]]&gt;2, "Very high", IF(AllData[[#This Row],[Nitrate (PPM)]]&gt;1, "High", IF(AllData[[#This Row],[Nitrate (PPM)]]&gt;0.5, "Some evidence", IF(AllData[[#This Row],[Nitrate (PPM)]]&gt;=0, "No evidence"))))</f>
        <v>Very high</v>
      </c>
      <c r="S1497" s="4">
        <v>2.5</v>
      </c>
      <c r="T1497" s="7" t="str">
        <f>IF(AllData[[#This Row],[Phosphate (PPM)]]&gt;0.5, "Very high", IF(AllData[[#This Row],[Phosphate (PPM)]]&gt;0.1, "High", IF(AllData[[#This Row],[Phosphate (PPM)]]&gt;0.05, "Some evidence", IF(AllData[[#This Row],[Phosphate (PPM)]]&lt;=0.05, "No Evidence", ""))))</f>
        <v>Very high</v>
      </c>
    </row>
    <row r="1498" spans="1:22" x14ac:dyDescent="0.35">
      <c r="A1498" t="s">
        <v>1315</v>
      </c>
      <c r="B1498" s="143">
        <v>45432</v>
      </c>
      <c r="C1498" s="2" t="str" cm="1">
        <f t="array" ref="C14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8">
        <f>YEAR(AllData[[#This Row],[Date]])</f>
        <v>2024</v>
      </c>
      <c r="F1498" t="str">
        <f>IF(AND(AllData[[#This Row],[Time]]&lt;0.5, AllData[[#This Row],[Time]]&gt;0.17)=TRUE, "Morning", IF(AND(AllData[[#This Row],[Time]]&lt;0.75, AllData[[#This Row],[Time]]&gt;=0.5)=TRUE, "Afternoon", IF(AND(AllData[[#This Row],[Time]]&lt;1, AllData[[#This Row],[Time]]&gt;=0.75)=TRUE, "Evening", "Night")))</f>
        <v>Night</v>
      </c>
      <c r="G1498" t="str">
        <f>_xlfn.XLOOKUP(AllData[[#This Row],[Location Name]], Locations[Location Name],Locations[Group As])</f>
        <v>Site 3  :  Severn Trent Water processing plant outflow</v>
      </c>
      <c r="H1498" t="e" vm="1">
        <f>_xlfn.XLOOKUP(AllData[[#This Row],[Site Name]],LocationsKey[Site Name],LocationsKey[District])</f>
        <v>#VALUE!</v>
      </c>
      <c r="I1498" t="e" vm="14">
        <f>_xlfn.XLOOKUP(AllData[[#This Row],[Site Name]],LocationsKey[Site Name],LocationsKey[Town])</f>
        <v>#VALUE!</v>
      </c>
      <c r="J1498" t="str">
        <f>_xlfn.XLOOKUP(AllData[[#This Row],[Site Name]],LocationsKey[Site Name], LocationsKey[Waterway])</f>
        <v>Fosseway Brook</v>
      </c>
      <c r="K1498" t="s">
        <v>673</v>
      </c>
      <c r="L1498">
        <v>52.094475000000003</v>
      </c>
      <c r="M1498">
        <v>-1.6758839999999999</v>
      </c>
      <c r="N1498" t="s">
        <v>31</v>
      </c>
      <c r="O1498">
        <v>903</v>
      </c>
      <c r="P1498">
        <v>16.5</v>
      </c>
      <c r="Q1498">
        <v>5</v>
      </c>
      <c r="R1498" s="107" t="str">
        <f>IF(AllData[[#This Row],[Nitrate (PPM)]]&gt;2, "Very high", IF(AllData[[#This Row],[Nitrate (PPM)]]&gt;1, "High", IF(AllData[[#This Row],[Nitrate (PPM)]]&gt;0.5, "Some evidence", IF(AllData[[#This Row],[Nitrate (PPM)]]&gt;=0, "No evidence"))))</f>
        <v>Very high</v>
      </c>
      <c r="S1498" s="4">
        <v>2.5</v>
      </c>
      <c r="T1498" s="7" t="str">
        <f>IF(AllData[[#This Row],[Phosphate (PPM)]]&gt;0.5, "Very high", IF(AllData[[#This Row],[Phosphate (PPM)]]&gt;0.1, "High", IF(AllData[[#This Row],[Phosphate (PPM)]]&gt;0.05, "Some evidence", IF(AllData[[#This Row],[Phosphate (PPM)]]&lt;=0.05, "No Evidence", ""))))</f>
        <v>Very high</v>
      </c>
      <c r="U1498">
        <v>0</v>
      </c>
      <c r="V1498" t="s">
        <v>1259</v>
      </c>
    </row>
    <row r="1499" spans="1:22" x14ac:dyDescent="0.35">
      <c r="A1499" t="s">
        <v>1313</v>
      </c>
      <c r="B1499" s="143">
        <v>45432</v>
      </c>
      <c r="C1499" s="2" t="str" cm="1">
        <f t="array" ref="C14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499">
        <f>YEAR(AllData[[#This Row],[Date]])</f>
        <v>2024</v>
      </c>
      <c r="E1499" s="1"/>
      <c r="F1499" t="str">
        <f>IF(AND(AllData[[#This Row],[Time]]&lt;0.5, AllData[[#This Row],[Time]]&gt;0.17)=TRUE, "Morning", IF(AND(AllData[[#This Row],[Time]]&lt;0.75, AllData[[#This Row],[Time]]&gt;=0.5)=TRUE, "Afternoon", IF(AND(AllData[[#This Row],[Time]]&lt;1, AllData[[#This Row],[Time]]&gt;=0.75)=TRUE, "Evening", "Night")))</f>
        <v>Night</v>
      </c>
      <c r="G1499" t="str">
        <f>_xlfn.XLOOKUP(AllData[[#This Row],[Location Name]], Locations[Location Name],Locations[Group As])</f>
        <v>Site 2  :  Cross Leys culvert</v>
      </c>
      <c r="H1499" t="e" vm="1">
        <f>_xlfn.XLOOKUP(AllData[[#This Row],[Site Name]],LocationsKey[Site Name],LocationsKey[District])</f>
        <v>#VALUE!</v>
      </c>
      <c r="I1499" t="e" vm="14">
        <f>_xlfn.XLOOKUP(AllData[[#This Row],[Site Name]],LocationsKey[Site Name],LocationsKey[Town])</f>
        <v>#VALUE!</v>
      </c>
      <c r="J1499" t="str">
        <f>_xlfn.XLOOKUP(AllData[[#This Row],[Site Name]],LocationsKey[Site Name], LocationsKey[Waterway])</f>
        <v>Fosseway Brook</v>
      </c>
      <c r="K1499" t="s">
        <v>626</v>
      </c>
      <c r="L1499">
        <v>52.093009000000002</v>
      </c>
      <c r="M1499">
        <v>-1.68628</v>
      </c>
      <c r="N1499" t="s">
        <v>68</v>
      </c>
      <c r="O1499">
        <v>698</v>
      </c>
      <c r="P1499">
        <v>17.5</v>
      </c>
      <c r="Q1499">
        <v>2</v>
      </c>
      <c r="R1499" s="107" t="str">
        <f>IF(AllData[[#This Row],[Nitrate (PPM)]]&gt;2, "Very high", IF(AllData[[#This Row],[Nitrate (PPM)]]&gt;1, "High", IF(AllData[[#This Row],[Nitrate (PPM)]]&gt;0.5, "Some evidence", IF(AllData[[#This Row],[Nitrate (PPM)]]&gt;=0, "No evidence"))))</f>
        <v>High</v>
      </c>
      <c r="S1499" s="4">
        <v>0.96</v>
      </c>
      <c r="T1499" s="7" t="str">
        <f>IF(AllData[[#This Row],[Phosphate (PPM)]]&gt;0.5, "Very high", IF(AllData[[#This Row],[Phosphate (PPM)]]&gt;0.1, "High", IF(AllData[[#This Row],[Phosphate (PPM)]]&gt;0.05, "Some evidence", IF(AllData[[#This Row],[Phosphate (PPM)]]&lt;=0.05, "No Evidence", ""))))</f>
        <v>Very high</v>
      </c>
      <c r="V1499" t="s">
        <v>1314</v>
      </c>
    </row>
    <row r="1500" spans="1:22" x14ac:dyDescent="0.35">
      <c r="A1500" t="s">
        <v>1311</v>
      </c>
      <c r="B1500" s="143">
        <v>45432</v>
      </c>
      <c r="C1500" s="2" t="str" cm="1">
        <f t="array" ref="C15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0">
        <f>YEAR(AllData[[#This Row],[Date]])</f>
        <v>2024</v>
      </c>
      <c r="F1500" t="str">
        <f>IF(AND(AllData[[#This Row],[Time]]&lt;0.5, AllData[[#This Row],[Time]]&gt;0.17)=TRUE, "Morning", IF(AND(AllData[[#This Row],[Time]]&lt;0.75, AllData[[#This Row],[Time]]&gt;=0.5)=TRUE, "Afternoon", IF(AND(AllData[[#This Row],[Time]]&lt;1, AllData[[#This Row],[Time]]&gt;=0.75)=TRUE, "Evening", "Night")))</f>
        <v>Night</v>
      </c>
      <c r="G1500" t="str">
        <f>_xlfn.XLOOKUP(AllData[[#This Row],[Location Name]], Locations[Location Name],Locations[Group As])</f>
        <v>Site 2  :  Cross Leys culvert</v>
      </c>
      <c r="H1500" t="e" vm="1">
        <f>_xlfn.XLOOKUP(AllData[[#This Row],[Site Name]],LocationsKey[Site Name],LocationsKey[District])</f>
        <v>#VALUE!</v>
      </c>
      <c r="I1500" t="e" vm="14">
        <f>_xlfn.XLOOKUP(AllData[[#This Row],[Site Name]],LocationsKey[Site Name],LocationsKey[Town])</f>
        <v>#VALUE!</v>
      </c>
      <c r="J1500" t="str">
        <f>_xlfn.XLOOKUP(AllData[[#This Row],[Site Name]],LocationsKey[Site Name], LocationsKey[Waterway])</f>
        <v>Fosseway Brook</v>
      </c>
      <c r="K1500" t="s">
        <v>623</v>
      </c>
      <c r="L1500">
        <v>52.093009000000002</v>
      </c>
      <c r="M1500">
        <v>-1.68628</v>
      </c>
      <c r="N1500" t="s">
        <v>68</v>
      </c>
      <c r="O1500">
        <v>698</v>
      </c>
      <c r="P1500">
        <v>17.5</v>
      </c>
      <c r="Q1500">
        <v>2</v>
      </c>
      <c r="R1500" s="107" t="str">
        <f>IF(AllData[[#This Row],[Nitrate (PPM)]]&gt;2, "Very high", IF(AllData[[#This Row],[Nitrate (PPM)]]&gt;1, "High", IF(AllData[[#This Row],[Nitrate (PPM)]]&gt;0.5, "Some evidence", IF(AllData[[#This Row],[Nitrate (PPM)]]&gt;=0, "No evidence"))))</f>
        <v>High</v>
      </c>
      <c r="S1500" s="4">
        <v>0.96</v>
      </c>
      <c r="T1500" s="7" t="str">
        <f>IF(AllData[[#This Row],[Phosphate (PPM)]]&gt;0.5, "Very high", IF(AllData[[#This Row],[Phosphate (PPM)]]&gt;0.1, "High", IF(AllData[[#This Row],[Phosphate (PPM)]]&gt;0.05, "Some evidence", IF(AllData[[#This Row],[Phosphate (PPM)]]&lt;=0.05, "No Evidence", ""))))</f>
        <v>Very high</v>
      </c>
      <c r="U1500">
        <v>0</v>
      </c>
      <c r="V1500" t="s">
        <v>1312</v>
      </c>
    </row>
    <row r="1501" spans="1:22" x14ac:dyDescent="0.35">
      <c r="A1501" t="s">
        <v>1309</v>
      </c>
      <c r="B1501" s="143">
        <v>45432</v>
      </c>
      <c r="C1501" s="2" t="str" cm="1">
        <f t="array" ref="C15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1">
        <f>YEAR(AllData[[#This Row],[Date]])</f>
        <v>2024</v>
      </c>
      <c r="E1501" s="1"/>
      <c r="F1501" t="str">
        <f>IF(AND(AllData[[#This Row],[Time]]&lt;0.5, AllData[[#This Row],[Time]]&gt;0.17)=TRUE, "Morning", IF(AND(AllData[[#This Row],[Time]]&lt;0.75, AllData[[#This Row],[Time]]&gt;=0.5)=TRUE, "Afternoon", IF(AND(AllData[[#This Row],[Time]]&lt;1, AllData[[#This Row],[Time]]&gt;=0.75)=TRUE, "Evening", "Night")))</f>
        <v>Night</v>
      </c>
      <c r="G1501" t="str">
        <f>_xlfn.XLOOKUP(AllData[[#This Row],[Location Name]], Locations[Location Name],Locations[Group As])</f>
        <v>Site 1  :  Middle Street</v>
      </c>
      <c r="H1501" t="e" vm="1">
        <f>_xlfn.XLOOKUP(AllData[[#This Row],[Site Name]],LocationsKey[Site Name],LocationsKey[District])</f>
        <v>#VALUE!</v>
      </c>
      <c r="I1501" t="e" vm="14">
        <f>_xlfn.XLOOKUP(AllData[[#This Row],[Site Name]],LocationsKey[Site Name],LocationsKey[Town])</f>
        <v>#VALUE!</v>
      </c>
      <c r="J1501" t="str">
        <f>_xlfn.XLOOKUP(AllData[[#This Row],[Site Name]],LocationsKey[Site Name], LocationsKey[Waterway])</f>
        <v>Fosseway Brook</v>
      </c>
      <c r="K1501" t="s">
        <v>670</v>
      </c>
      <c r="L1501">
        <v>52.090052999999997</v>
      </c>
      <c r="M1501">
        <v>-1.692628</v>
      </c>
      <c r="N1501" t="s">
        <v>68</v>
      </c>
      <c r="O1501">
        <v>612</v>
      </c>
      <c r="P1501">
        <v>20.3</v>
      </c>
      <c r="Q1501">
        <v>2</v>
      </c>
      <c r="R1501" s="107" t="str">
        <f>IF(AllData[[#This Row],[Nitrate (PPM)]]&gt;2, "Very high", IF(AllData[[#This Row],[Nitrate (PPM)]]&gt;1, "High", IF(AllData[[#This Row],[Nitrate (PPM)]]&gt;0.5, "Some evidence", IF(AllData[[#This Row],[Nitrate (PPM)]]&gt;=0, "No evidence"))))</f>
        <v>High</v>
      </c>
      <c r="S1501" s="4">
        <v>0.35</v>
      </c>
      <c r="T1501" s="7" t="str">
        <f>IF(AllData[[#This Row],[Phosphate (PPM)]]&gt;0.5, "Very high", IF(AllData[[#This Row],[Phosphate (PPM)]]&gt;0.1, "High", IF(AllData[[#This Row],[Phosphate (PPM)]]&gt;0.05, "Some evidence", IF(AllData[[#This Row],[Phosphate (PPM)]]&lt;=0.05, "No Evidence", ""))))</f>
        <v>High</v>
      </c>
      <c r="V1501" t="s">
        <v>1310</v>
      </c>
    </row>
    <row r="1502" spans="1:22" x14ac:dyDescent="0.35">
      <c r="A1502" t="s">
        <v>1307</v>
      </c>
      <c r="B1502" s="143">
        <v>45432</v>
      </c>
      <c r="C1502" s="2" t="str" cm="1">
        <f t="array" ref="C15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2">
        <f>YEAR(AllData[[#This Row],[Date]])</f>
        <v>2024</v>
      </c>
      <c r="F1502" t="str">
        <f>IF(AND(AllData[[#This Row],[Time]]&lt;0.5, AllData[[#This Row],[Time]]&gt;0.17)=TRUE, "Morning", IF(AND(AllData[[#This Row],[Time]]&lt;0.75, AllData[[#This Row],[Time]]&gt;=0.5)=TRUE, "Afternoon", IF(AND(AllData[[#This Row],[Time]]&lt;1, AllData[[#This Row],[Time]]&gt;=0.75)=TRUE, "Evening", "Night")))</f>
        <v>Night</v>
      </c>
      <c r="G1502" t="str">
        <f>_xlfn.XLOOKUP(AllData[[#This Row],[Location Name]], Locations[Location Name],Locations[Group As])</f>
        <v>Site 1  :  Middle Street</v>
      </c>
      <c r="H1502" t="e" vm="1">
        <f>_xlfn.XLOOKUP(AllData[[#This Row],[Site Name]],LocationsKey[Site Name],LocationsKey[District])</f>
        <v>#VALUE!</v>
      </c>
      <c r="I1502" t="e" vm="14">
        <f>_xlfn.XLOOKUP(AllData[[#This Row],[Site Name]],LocationsKey[Site Name],LocationsKey[Town])</f>
        <v>#VALUE!</v>
      </c>
      <c r="J1502" t="str">
        <f>_xlfn.XLOOKUP(AllData[[#This Row],[Site Name]],LocationsKey[Site Name], LocationsKey[Waterway])</f>
        <v>Fosseway Brook</v>
      </c>
      <c r="K1502" t="s">
        <v>667</v>
      </c>
      <c r="L1502">
        <v>52.090052999999997</v>
      </c>
      <c r="M1502">
        <v>-1.692628</v>
      </c>
      <c r="N1502" t="s">
        <v>68</v>
      </c>
      <c r="O1502">
        <v>612</v>
      </c>
      <c r="P1502">
        <v>20.3</v>
      </c>
      <c r="Q1502">
        <v>2</v>
      </c>
      <c r="R1502" s="107" t="str">
        <f>IF(AllData[[#This Row],[Nitrate (PPM)]]&gt;2, "Very high", IF(AllData[[#This Row],[Nitrate (PPM)]]&gt;1, "High", IF(AllData[[#This Row],[Nitrate (PPM)]]&gt;0.5, "Some evidence", IF(AllData[[#This Row],[Nitrate (PPM)]]&gt;=0, "No evidence"))))</f>
        <v>High</v>
      </c>
      <c r="S1502" s="4">
        <v>0.35</v>
      </c>
      <c r="T1502" s="7" t="str">
        <f>IF(AllData[[#This Row],[Phosphate (PPM)]]&gt;0.5, "Very high", IF(AllData[[#This Row],[Phosphate (PPM)]]&gt;0.1, "High", IF(AllData[[#This Row],[Phosphate (PPM)]]&gt;0.05, "Some evidence", IF(AllData[[#This Row],[Phosphate (PPM)]]&lt;=0.05, "No Evidence", ""))))</f>
        <v>High</v>
      </c>
      <c r="U1502">
        <v>0</v>
      </c>
      <c r="V1502" t="s">
        <v>1308</v>
      </c>
    </row>
    <row r="1503" spans="1:22" x14ac:dyDescent="0.35">
      <c r="A1503" t="s">
        <v>1317</v>
      </c>
      <c r="B1503" s="143">
        <v>45432</v>
      </c>
      <c r="C1503" s="2" t="str" cm="1">
        <f t="array" ref="C15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3">
        <f>YEAR(AllData[[#This Row],[Date]])</f>
        <v>2024</v>
      </c>
      <c r="E1503" s="1">
        <v>0.41805555555555557</v>
      </c>
      <c r="F1503" t="str">
        <f>IF(AND(AllData[[#This Row],[Time]]&lt;0.5, AllData[[#This Row],[Time]]&gt;0.17)=TRUE, "Morning", IF(AND(AllData[[#This Row],[Time]]&lt;0.75, AllData[[#This Row],[Time]]&gt;=0.5)=TRUE, "Afternoon", IF(AND(AllData[[#This Row],[Time]]&lt;1, AllData[[#This Row],[Time]]&gt;=0.75)=TRUE, "Evening", "Night")))</f>
        <v>Morning</v>
      </c>
      <c r="G1503" t="str">
        <f>_xlfn.XLOOKUP(AllData[[#This Row],[Location Name]], Locations[Location Name],Locations[Group As])</f>
        <v>Site 1  :  Middle Street</v>
      </c>
      <c r="H1503" t="e" vm="1">
        <f>_xlfn.XLOOKUP(AllData[[#This Row],[Site Name]],LocationsKey[Site Name],LocationsKey[District])</f>
        <v>#VALUE!</v>
      </c>
      <c r="I1503" t="e" vm="14">
        <f>_xlfn.XLOOKUP(AllData[[#This Row],[Site Name]],LocationsKey[Site Name],LocationsKey[Town])</f>
        <v>#VALUE!</v>
      </c>
      <c r="J1503" t="str">
        <f>_xlfn.XLOOKUP(AllData[[#This Row],[Site Name]],LocationsKey[Site Name], LocationsKey[Waterway])</f>
        <v>Fosseway Brook</v>
      </c>
      <c r="K1503" t="s">
        <v>678</v>
      </c>
      <c r="L1503">
        <v>52.090085000000002</v>
      </c>
      <c r="M1503">
        <v>-1.692593</v>
      </c>
      <c r="N1503" t="s">
        <v>68</v>
      </c>
      <c r="O1503">
        <v>612</v>
      </c>
      <c r="P1503">
        <v>20.3</v>
      </c>
      <c r="Q1503">
        <v>2</v>
      </c>
      <c r="R1503" s="107" t="str">
        <f>IF(AllData[[#This Row],[Nitrate (PPM)]]&gt;2, "Very high", IF(AllData[[#This Row],[Nitrate (PPM)]]&gt;1, "High", IF(AllData[[#This Row],[Nitrate (PPM)]]&gt;0.5, "Some evidence", IF(AllData[[#This Row],[Nitrate (PPM)]]&gt;=0, "No evidence"))))</f>
        <v>High</v>
      </c>
      <c r="S1503">
        <v>0.35</v>
      </c>
      <c r="T1503" s="7" t="str">
        <f>IF(AllData[[#This Row],[Phosphate (PPM)]]&gt;0.5, "Very high", IF(AllData[[#This Row],[Phosphate (PPM)]]&gt;0.1, "High", IF(AllData[[#This Row],[Phosphate (PPM)]]&gt;0.05, "Some evidence", IF(AllData[[#This Row],[Phosphate (PPM)]]&lt;=0.05, "No Evidence", ""))))</f>
        <v>High</v>
      </c>
      <c r="U1503">
        <v>0.05</v>
      </c>
    </row>
    <row r="1504" spans="1:22" x14ac:dyDescent="0.35">
      <c r="A1504" t="s">
        <v>1303</v>
      </c>
      <c r="B1504" s="143">
        <v>45431</v>
      </c>
      <c r="C1504" s="2" t="str" cm="1">
        <f t="array" ref="C15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4">
        <f>YEAR(AllData[[#This Row],[Date]])</f>
        <v>2024</v>
      </c>
      <c r="E1504" s="1">
        <v>0.58333333333333337</v>
      </c>
      <c r="F1504" t="str">
        <f>IF(AND(AllData[[#This Row],[Time]]&lt;0.5, AllData[[#This Row],[Time]]&gt;0.17)=TRUE, "Morning", IF(AND(AllData[[#This Row],[Time]]&lt;0.75, AllData[[#This Row],[Time]]&gt;=0.5)=TRUE, "Afternoon", IF(AND(AllData[[#This Row],[Time]]&lt;1, AllData[[#This Row],[Time]]&gt;=0.75)=TRUE, "Evening", "Night")))</f>
        <v>Afternoon</v>
      </c>
      <c r="G1504" t="str">
        <f>_xlfn.XLOOKUP(AllData[[#This Row],[Location Name]], Locations[Location Name],Locations[Group As])</f>
        <v>Clifford Chambers Mill Bridge</v>
      </c>
      <c r="H1504" t="e" vm="1">
        <f>_xlfn.XLOOKUP(AllData[[#This Row],[Site Name]],LocationsKey[Site Name],LocationsKey[District])</f>
        <v>#VALUE!</v>
      </c>
      <c r="I1504" t="e" vm="22">
        <f>_xlfn.XLOOKUP(AllData[[#This Row],[Site Name]],LocationsKey[Site Name],LocationsKey[Town])</f>
        <v>#VALUE!</v>
      </c>
      <c r="J1504" t="str">
        <f>_xlfn.XLOOKUP(AllData[[#This Row],[Site Name]],LocationsKey[Site Name], LocationsKey[Waterway])</f>
        <v>Stour</v>
      </c>
      <c r="K1504" t="s">
        <v>266</v>
      </c>
      <c r="N1504" t="s">
        <v>68</v>
      </c>
      <c r="O1504">
        <v>693</v>
      </c>
      <c r="P1504">
        <v>19.2</v>
      </c>
      <c r="Q1504">
        <v>8</v>
      </c>
      <c r="R1504" s="107" t="str">
        <f>IF(AllData[[#This Row],[Nitrate (PPM)]]&gt;2, "Very high", IF(AllData[[#This Row],[Nitrate (PPM)]]&gt;1, "High", IF(AllData[[#This Row],[Nitrate (PPM)]]&gt;0.5, "Some evidence", IF(AllData[[#This Row],[Nitrate (PPM)]]&gt;=0, "No evidence"))))</f>
        <v>Very high</v>
      </c>
      <c r="S1504" s="112">
        <v>0.19</v>
      </c>
      <c r="T1504" s="7" t="str">
        <f>IF(AllData[[#This Row],[Phosphate (PPM)]]&gt;0.5, "Very high", IF(AllData[[#This Row],[Phosphate (PPM)]]&gt;0.1, "High", IF(AllData[[#This Row],[Phosphate (PPM)]]&gt;0.05, "Some evidence", IF(AllData[[#This Row],[Phosphate (PPM)]]&lt;=0.05, "No Evidence", ""))))</f>
        <v>High</v>
      </c>
      <c r="U1504">
        <v>0.6</v>
      </c>
    </row>
    <row r="1505" spans="1:22" x14ac:dyDescent="0.35">
      <c r="A1505" t="s">
        <v>1302</v>
      </c>
      <c r="B1505" s="143">
        <v>45431</v>
      </c>
      <c r="C1505" s="2" t="str" cm="1">
        <f t="array" ref="C15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5">
        <f>YEAR(AllData[[#This Row],[Date]])</f>
        <v>2024</v>
      </c>
      <c r="E1505" s="1">
        <v>0.5</v>
      </c>
      <c r="F1505" t="str">
        <f>IF(AND(AllData[[#This Row],[Time]]&lt;0.5, AllData[[#This Row],[Time]]&gt;0.17)=TRUE, "Morning", IF(AND(AllData[[#This Row],[Time]]&lt;0.75, AllData[[#This Row],[Time]]&gt;=0.5)=TRUE, "Afternoon", IF(AND(AllData[[#This Row],[Time]]&lt;1, AllData[[#This Row],[Time]]&gt;=0.75)=TRUE, "Evening", "Night")))</f>
        <v>Afternoon</v>
      </c>
      <c r="G1505" t="str">
        <f>_xlfn.XLOOKUP(AllData[[#This Row],[Location Name]], Locations[Location Name],Locations[Group As])</f>
        <v>Carrant Bredon Rd</v>
      </c>
      <c r="H1505" t="e" vm="4">
        <f>_xlfn.XLOOKUP(AllData[[#This Row],[Site Name]],LocationsKey[Site Name],LocationsKey[District])</f>
        <v>#VALUE!</v>
      </c>
      <c r="I1505" t="e" vm="4">
        <f>_xlfn.XLOOKUP(AllData[[#This Row],[Site Name]],LocationsKey[Site Name],LocationsKey[Town])</f>
        <v>#VALUE!</v>
      </c>
      <c r="J1505" t="str">
        <f>_xlfn.XLOOKUP(AllData[[#This Row],[Site Name]],LocationsKey[Site Name], LocationsKey[Waterway])</f>
        <v>Carrant</v>
      </c>
      <c r="K1505" t="s">
        <v>603</v>
      </c>
      <c r="L1505">
        <v>51.996167</v>
      </c>
      <c r="M1505">
        <v>-2.156129</v>
      </c>
      <c r="N1505" t="s">
        <v>25</v>
      </c>
      <c r="O1505">
        <v>741</v>
      </c>
      <c r="P1505">
        <v>16.399999999999999</v>
      </c>
      <c r="Q1505">
        <v>6</v>
      </c>
      <c r="R1505" s="107" t="str">
        <f>IF(AllData[[#This Row],[Nitrate (PPM)]]&gt;2, "Very high", IF(AllData[[#This Row],[Nitrate (PPM)]]&gt;1, "High", IF(AllData[[#This Row],[Nitrate (PPM)]]&gt;0.5, "Some evidence", IF(AllData[[#This Row],[Nitrate (PPM)]]&gt;=0, "No evidence"))))</f>
        <v>Very high</v>
      </c>
      <c r="S1505" s="112">
        <v>0.31</v>
      </c>
      <c r="T1505" s="7" t="str">
        <f>IF(AllData[[#This Row],[Phosphate (PPM)]]&gt;0.5, "Very high", IF(AllData[[#This Row],[Phosphate (PPM)]]&gt;0.1, "High", IF(AllData[[#This Row],[Phosphate (PPM)]]&gt;0.05, "Some evidence", IF(AllData[[#This Row],[Phosphate (PPM)]]&lt;=0.05, "No Evidence", ""))))</f>
        <v>High</v>
      </c>
      <c r="U1505">
        <v>0.05</v>
      </c>
    </row>
    <row r="1506" spans="1:22" x14ac:dyDescent="0.35">
      <c r="A1506" t="s">
        <v>1292</v>
      </c>
      <c r="B1506" s="143">
        <v>45430</v>
      </c>
      <c r="C1506" s="2" t="str" cm="1">
        <f t="array" ref="C15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6">
        <f>YEAR(AllData[[#This Row],[Date]])</f>
        <v>2024</v>
      </c>
      <c r="E1506" s="1">
        <v>0.46388888888888891</v>
      </c>
      <c r="F1506" t="str">
        <f>IF(AND(AllData[[#This Row],[Time]]&lt;0.5, AllData[[#This Row],[Time]]&gt;0.17)=TRUE, "Morning", IF(AND(AllData[[#This Row],[Time]]&lt;0.75, AllData[[#This Row],[Time]]&gt;=0.5)=TRUE, "Afternoon", IF(AND(AllData[[#This Row],[Time]]&lt;1, AllData[[#This Row],[Time]]&gt;=0.75)=TRUE, "Evening", "Night")))</f>
        <v>Morning</v>
      </c>
      <c r="G1506" t="str">
        <f>_xlfn.XLOOKUP(AllData[[#This Row],[Location Name]], Locations[Location Name],Locations[Group As])</f>
        <v>Avonbank Drive</v>
      </c>
      <c r="H1506" t="e" vm="1">
        <f>_xlfn.XLOOKUP(AllData[[#This Row],[Site Name]],LocationsKey[Site Name],LocationsKey[District])</f>
        <v>#VALUE!</v>
      </c>
      <c r="I1506" t="e" vm="12">
        <f>_xlfn.XLOOKUP(AllData[[#This Row],[Site Name]],LocationsKey[Site Name],LocationsKey[Town])</f>
        <v>#VALUE!</v>
      </c>
      <c r="J1506" t="str">
        <f>_xlfn.XLOOKUP(AllData[[#This Row],[Site Name]],LocationsKey[Site Name], LocationsKey[Waterway])</f>
        <v>Avon</v>
      </c>
      <c r="K1506" t="s">
        <v>328</v>
      </c>
      <c r="L1506">
        <v>52.177067999999998</v>
      </c>
      <c r="M1506">
        <v>-1.7359260000000001</v>
      </c>
      <c r="N1506" t="s">
        <v>68</v>
      </c>
      <c r="O1506">
        <v>908</v>
      </c>
      <c r="P1506">
        <v>20.100000000000001</v>
      </c>
      <c r="Q1506">
        <v>10</v>
      </c>
      <c r="R1506" s="107" t="str">
        <f>IF(AllData[[#This Row],[Nitrate (PPM)]]&gt;2, "Very high", IF(AllData[[#This Row],[Nitrate (PPM)]]&gt;1, "High", IF(AllData[[#This Row],[Nitrate (PPM)]]&gt;0.5, "Some evidence", IF(AllData[[#This Row],[Nitrate (PPM)]]&gt;=0, "No evidence"))))</f>
        <v>Very high</v>
      </c>
      <c r="S1506" s="112">
        <v>0.28999999999999998</v>
      </c>
      <c r="T1506" s="7" t="str">
        <f>IF(AllData[[#This Row],[Phosphate (PPM)]]&gt;0.5, "Very high", IF(AllData[[#This Row],[Phosphate (PPM)]]&gt;0.1, "High", IF(AllData[[#This Row],[Phosphate (PPM)]]&gt;0.05, "Some evidence", IF(AllData[[#This Row],[Phosphate (PPM)]]&lt;=0.05, "No Evidence", ""))))</f>
        <v>High</v>
      </c>
      <c r="U1506">
        <v>0.5</v>
      </c>
    </row>
    <row r="1507" spans="1:22" x14ac:dyDescent="0.35">
      <c r="A1507" t="s">
        <v>1299</v>
      </c>
      <c r="B1507" s="143">
        <v>45430</v>
      </c>
      <c r="C1507" s="2" t="str" cm="1">
        <f t="array" ref="C15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7">
        <f>YEAR(AllData[[#This Row],[Date]])</f>
        <v>2024</v>
      </c>
      <c r="E1507" s="1">
        <v>0.73541666666666672</v>
      </c>
      <c r="F1507" t="str">
        <f>IF(AND(AllData[[#This Row],[Time]]&lt;0.5, AllData[[#This Row],[Time]]&gt;0.17)=TRUE, "Morning", IF(AND(AllData[[#This Row],[Time]]&lt;0.75, AllData[[#This Row],[Time]]&gt;=0.5)=TRUE, "Afternoon", IF(AND(AllData[[#This Row],[Time]]&lt;1, AllData[[#This Row],[Time]]&gt;=0.75)=TRUE, "Evening", "Night")))</f>
        <v>Afternoon</v>
      </c>
      <c r="G1507" t="str">
        <f>_xlfn.XLOOKUP(AllData[[#This Row],[Location Name]], Locations[Location Name],Locations[Group As])</f>
        <v>Black Bear</v>
      </c>
      <c r="H1507" t="e" vm="4">
        <f>_xlfn.XLOOKUP(AllData[[#This Row],[Site Name]],LocationsKey[Site Name],LocationsKey[District])</f>
        <v>#VALUE!</v>
      </c>
      <c r="I1507" t="e" vm="4">
        <f>_xlfn.XLOOKUP(AllData[[#This Row],[Site Name]],LocationsKey[Site Name],LocationsKey[Town])</f>
        <v>#VALUE!</v>
      </c>
      <c r="J1507" t="str">
        <f>_xlfn.XLOOKUP(AllData[[#This Row],[Site Name]],LocationsKey[Site Name], LocationsKey[Waterway])</f>
        <v>Avon</v>
      </c>
      <c r="K1507" t="s">
        <v>572</v>
      </c>
      <c r="L1507">
        <v>51.997385999999999</v>
      </c>
      <c r="M1507">
        <v>-2.1561940000000002</v>
      </c>
      <c r="N1507" t="s">
        <v>25</v>
      </c>
      <c r="O1507">
        <v>917</v>
      </c>
      <c r="P1507">
        <v>19.5</v>
      </c>
      <c r="Q1507">
        <v>8</v>
      </c>
      <c r="R1507" s="107" t="str">
        <f>IF(AllData[[#This Row],[Nitrate (PPM)]]&gt;2, "Very high", IF(AllData[[#This Row],[Nitrate (PPM)]]&gt;1, "High", IF(AllData[[#This Row],[Nitrate (PPM)]]&gt;0.5, "Some evidence", IF(AllData[[#This Row],[Nitrate (PPM)]]&gt;=0, "No evidence"))))</f>
        <v>Very high</v>
      </c>
      <c r="S1507" s="112">
        <v>0.54</v>
      </c>
      <c r="T1507" s="7" t="str">
        <f>IF(AllData[[#This Row],[Phosphate (PPM)]]&gt;0.5, "Very high", IF(AllData[[#This Row],[Phosphate (PPM)]]&gt;0.1, "High", IF(AllData[[#This Row],[Phosphate (PPM)]]&gt;0.05, "Some evidence", IF(AllData[[#This Row],[Phosphate (PPM)]]&lt;=0.05, "No Evidence", ""))))</f>
        <v>Very high</v>
      </c>
      <c r="U1507">
        <v>0</v>
      </c>
    </row>
    <row r="1508" spans="1:22" x14ac:dyDescent="0.35">
      <c r="A1508" t="s">
        <v>1290</v>
      </c>
      <c r="B1508" s="143">
        <v>45430</v>
      </c>
      <c r="C1508" s="2" t="str" cm="1">
        <f t="array" ref="C15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8">
        <f>YEAR(AllData[[#This Row],[Date]])</f>
        <v>2024</v>
      </c>
      <c r="E1508" s="1">
        <v>0.44861111111111113</v>
      </c>
      <c r="F1508" t="str">
        <f>IF(AND(AllData[[#This Row],[Time]]&lt;0.5, AllData[[#This Row],[Time]]&gt;0.17)=TRUE, "Morning", IF(AND(AllData[[#This Row],[Time]]&lt;0.75, AllData[[#This Row],[Time]]&gt;=0.5)=TRUE, "Afternoon", IF(AND(AllData[[#This Row],[Time]]&lt;1, AllData[[#This Row],[Time]]&gt;=0.75)=TRUE, "Evening", "Night")))</f>
        <v>Morning</v>
      </c>
      <c r="G1508" t="str">
        <f>_xlfn.XLOOKUP(AllData[[#This Row],[Location Name]], Locations[Location Name],Locations[Group As])</f>
        <v>Avon Smiths Meadow Wyre Piddle</v>
      </c>
      <c r="H1508" t="e" vm="6">
        <f>_xlfn.XLOOKUP(AllData[[#This Row],[Site Name]],LocationsKey[Site Name],LocationsKey[District])</f>
        <v>#VALUE!</v>
      </c>
      <c r="I1508" t="e" vm="13">
        <f>_xlfn.XLOOKUP(AllData[[#This Row],[Site Name]],LocationsKey[Site Name],LocationsKey[Town])</f>
        <v>#VALUE!</v>
      </c>
      <c r="J1508" t="str">
        <f>_xlfn.XLOOKUP(AllData[[#This Row],[Site Name]],LocationsKey[Site Name], LocationsKey[Waterway])</f>
        <v>Avon</v>
      </c>
      <c r="K1508" t="s">
        <v>784</v>
      </c>
      <c r="L1508">
        <v>52.122874000000003</v>
      </c>
      <c r="M1508">
        <v>-2.057477</v>
      </c>
      <c r="N1508" t="s">
        <v>25</v>
      </c>
      <c r="O1508">
        <v>929</v>
      </c>
      <c r="P1508">
        <v>18</v>
      </c>
      <c r="Q1508">
        <v>7</v>
      </c>
      <c r="R1508" s="107" t="str">
        <f>IF(AllData[[#This Row],[Nitrate (PPM)]]&gt;2, "Very high", IF(AllData[[#This Row],[Nitrate (PPM)]]&gt;1, "High", IF(AllData[[#This Row],[Nitrate (PPM)]]&gt;0.5, "Some evidence", IF(AllData[[#This Row],[Nitrate (PPM)]]&gt;=0, "No evidence"))))</f>
        <v>Very high</v>
      </c>
      <c r="S1508" s="112">
        <v>0.57999999999999996</v>
      </c>
      <c r="T1508" s="7" t="str">
        <f>IF(AllData[[#This Row],[Phosphate (PPM)]]&gt;0.5, "Very high", IF(AllData[[#This Row],[Phosphate (PPM)]]&gt;0.1, "High", IF(AllData[[#This Row],[Phosphate (PPM)]]&gt;0.05, "Some evidence", IF(AllData[[#This Row],[Phosphate (PPM)]]&lt;=0.05, "No Evidence", ""))))</f>
        <v>Very high</v>
      </c>
      <c r="U1508">
        <v>0.64</v>
      </c>
      <c r="V1508" t="s">
        <v>1291</v>
      </c>
    </row>
    <row r="1509" spans="1:22" x14ac:dyDescent="0.35">
      <c r="A1509" t="s">
        <v>1289</v>
      </c>
      <c r="B1509" s="143">
        <v>45430</v>
      </c>
      <c r="C1509" s="2" t="str" cm="1">
        <f t="array" ref="C15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09">
        <f>YEAR(AllData[[#This Row],[Date]])</f>
        <v>2024</v>
      </c>
      <c r="E1509" s="1">
        <v>0.44791666666666669</v>
      </c>
      <c r="F1509" t="str">
        <f>IF(AND(AllData[[#This Row],[Time]]&lt;0.5, AllData[[#This Row],[Time]]&gt;0.17)=TRUE, "Morning", IF(AND(AllData[[#This Row],[Time]]&lt;0.75, AllData[[#This Row],[Time]]&gt;=0.5)=TRUE, "Afternoon", IF(AND(AllData[[#This Row],[Time]]&lt;1, AllData[[#This Row],[Time]]&gt;=0.75)=TRUE, "Evening", "Night")))</f>
        <v>Morning</v>
      </c>
      <c r="G1509" t="str">
        <f>_xlfn.XLOOKUP(AllData[[#This Row],[Location Name]], Locations[Location Name],Locations[Group As])</f>
        <v>Pitch 16</v>
      </c>
      <c r="H1509" t="e" vm="1">
        <f>_xlfn.XLOOKUP(AllData[[#This Row],[Site Name]],LocationsKey[Site Name],LocationsKey[District])</f>
        <v>#VALUE!</v>
      </c>
      <c r="I1509" t="e" vm="12">
        <f>_xlfn.XLOOKUP(AllData[[#This Row],[Site Name]],LocationsKey[Site Name],LocationsKey[Town])</f>
        <v>#VALUE!</v>
      </c>
      <c r="J1509" t="str">
        <f>_xlfn.XLOOKUP(AllData[[#This Row],[Site Name]],LocationsKey[Site Name], LocationsKey[Waterway])</f>
        <v>Avon</v>
      </c>
      <c r="K1509" t="s">
        <v>71</v>
      </c>
      <c r="L1509">
        <v>52.173501999999999</v>
      </c>
      <c r="M1509">
        <v>-1.743617</v>
      </c>
      <c r="N1509" t="s">
        <v>31</v>
      </c>
      <c r="O1509">
        <v>904</v>
      </c>
      <c r="P1509">
        <v>20.2</v>
      </c>
      <c r="Q1509">
        <v>6</v>
      </c>
      <c r="R1509" s="107" t="str">
        <f>IF(AllData[[#This Row],[Nitrate (PPM)]]&gt;2, "Very high", IF(AllData[[#This Row],[Nitrate (PPM)]]&gt;1, "High", IF(AllData[[#This Row],[Nitrate (PPM)]]&gt;0.5, "Some evidence", IF(AllData[[#This Row],[Nitrate (PPM)]]&gt;=0, "No evidence"))))</f>
        <v>Very high</v>
      </c>
      <c r="S1509" s="112">
        <v>0.38</v>
      </c>
      <c r="T1509" s="7" t="str">
        <f>IF(AllData[[#This Row],[Phosphate (PPM)]]&gt;0.5, "Very high", IF(AllData[[#This Row],[Phosphate (PPM)]]&gt;0.1, "High", IF(AllData[[#This Row],[Phosphate (PPM)]]&gt;0.05, "Some evidence", IF(AllData[[#This Row],[Phosphate (PPM)]]&lt;=0.05, "No Evidence", ""))))</f>
        <v>High</v>
      </c>
      <c r="U1509">
        <v>0.5</v>
      </c>
    </row>
    <row r="1510" spans="1:22" x14ac:dyDescent="0.35">
      <c r="A1510" t="s">
        <v>1293</v>
      </c>
      <c r="B1510" s="143">
        <v>45430</v>
      </c>
      <c r="C1510" s="2" t="str" cm="1">
        <f t="array" ref="C15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0">
        <f>YEAR(AllData[[#This Row],[Date]])</f>
        <v>2024</v>
      </c>
      <c r="E1510" s="1">
        <v>0.48125000000000001</v>
      </c>
      <c r="F1510" t="str">
        <f>IF(AND(AllData[[#This Row],[Time]]&lt;0.5, AllData[[#This Row],[Time]]&gt;0.17)=TRUE, "Morning", IF(AND(AllData[[#This Row],[Time]]&lt;0.75, AllData[[#This Row],[Time]]&gt;=0.5)=TRUE, "Afternoon", IF(AND(AllData[[#This Row],[Time]]&lt;1, AllData[[#This Row],[Time]]&gt;=0.75)=TRUE, "Evening", "Night")))</f>
        <v>Morning</v>
      </c>
      <c r="G1510" t="str">
        <f>_xlfn.XLOOKUP(AllData[[#This Row],[Location Name]], Locations[Location Name],Locations[Group As])</f>
        <v>Piddle Brook Wyre Piddle Bridge</v>
      </c>
      <c r="H1510" t="e" vm="6">
        <f>_xlfn.XLOOKUP(AllData[[#This Row],[Site Name]],LocationsKey[Site Name],LocationsKey[District])</f>
        <v>#VALUE!</v>
      </c>
      <c r="I1510" t="e" vm="13">
        <f>_xlfn.XLOOKUP(AllData[[#This Row],[Site Name]],LocationsKey[Site Name],LocationsKey[Town])</f>
        <v>#VALUE!</v>
      </c>
      <c r="J1510" t="str">
        <f>_xlfn.XLOOKUP(AllData[[#This Row],[Site Name]],LocationsKey[Site Name], LocationsKey[Waterway])</f>
        <v>Piddle Brook</v>
      </c>
      <c r="K1510" t="s">
        <v>787</v>
      </c>
      <c r="L1510">
        <v>52.126404999999998</v>
      </c>
      <c r="M1510">
        <v>-2.056543</v>
      </c>
      <c r="N1510" t="s">
        <v>25</v>
      </c>
      <c r="O1510">
        <v>1310</v>
      </c>
      <c r="P1510">
        <v>16.2</v>
      </c>
      <c r="Q1510">
        <v>5</v>
      </c>
      <c r="R1510" s="107" t="str">
        <f>IF(AllData[[#This Row],[Nitrate (PPM)]]&gt;2, "Very high", IF(AllData[[#This Row],[Nitrate (PPM)]]&gt;1, "High", IF(AllData[[#This Row],[Nitrate (PPM)]]&gt;0.5, "Some evidence", IF(AllData[[#This Row],[Nitrate (PPM)]]&gt;=0, "No evidence"))))</f>
        <v>Very high</v>
      </c>
      <c r="S1510" s="112">
        <v>0.89</v>
      </c>
      <c r="T1510" s="7" t="str">
        <f>IF(AllData[[#This Row],[Phosphate (PPM)]]&gt;0.5, "Very high", IF(AllData[[#This Row],[Phosphate (PPM)]]&gt;0.1, "High", IF(AllData[[#This Row],[Phosphate (PPM)]]&gt;0.05, "Some evidence", IF(AllData[[#This Row],[Phosphate (PPM)]]&lt;=0.05, "No Evidence", ""))))</f>
        <v>Very high</v>
      </c>
      <c r="U1510">
        <v>0.22</v>
      </c>
      <c r="V1510" t="s">
        <v>1294</v>
      </c>
    </row>
    <row r="1511" spans="1:22" x14ac:dyDescent="0.35">
      <c r="A1511" t="s">
        <v>1298</v>
      </c>
      <c r="B1511" s="143">
        <v>45430</v>
      </c>
      <c r="C1511" s="2" t="str" cm="1">
        <f t="array" ref="C15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1">
        <f>YEAR(AllData[[#This Row],[Date]])</f>
        <v>2024</v>
      </c>
      <c r="E1511" s="1">
        <v>0.63263888888888886</v>
      </c>
      <c r="F1511" t="str">
        <f>IF(AND(AllData[[#This Row],[Time]]&lt;0.5, AllData[[#This Row],[Time]]&gt;0.17)=TRUE, "Morning", IF(AND(AllData[[#This Row],[Time]]&lt;0.75, AllData[[#This Row],[Time]]&gt;=0.5)=TRUE, "Afternoon", IF(AND(AllData[[#This Row],[Time]]&lt;1, AllData[[#This Row],[Time]]&gt;=0.75)=TRUE, "Evening", "Night")))</f>
        <v>Afternoon</v>
      </c>
      <c r="G1511" t="str">
        <f>_xlfn.XLOOKUP(AllData[[#This Row],[Location Name]], Locations[Location Name],Locations[Group As])</f>
        <v>Preston-on-Stour River Bridge</v>
      </c>
      <c r="H1511" t="e" vm="1">
        <f>_xlfn.XLOOKUP(AllData[[#This Row],[Site Name]],LocationsKey[Site Name],LocationsKey[District])</f>
        <v>#VALUE!</v>
      </c>
      <c r="I1511" t="e" vm="20">
        <f>_xlfn.XLOOKUP(AllData[[#This Row],[Site Name]],LocationsKey[Site Name],LocationsKey[Town])</f>
        <v>#VALUE!</v>
      </c>
      <c r="J1511" t="str">
        <f>_xlfn.XLOOKUP(AllData[[#This Row],[Site Name]],LocationsKey[Site Name], LocationsKey[Waterway])</f>
        <v>Stour</v>
      </c>
      <c r="K1511" t="s">
        <v>164</v>
      </c>
      <c r="L1511">
        <v>52.146642</v>
      </c>
      <c r="M1511">
        <v>-1.700315</v>
      </c>
      <c r="N1511" t="s">
        <v>31</v>
      </c>
      <c r="O1511">
        <v>699</v>
      </c>
      <c r="P1511">
        <v>17.100000000000001</v>
      </c>
      <c r="Q1511">
        <v>5</v>
      </c>
      <c r="R1511" s="107" t="str">
        <f>IF(AllData[[#This Row],[Nitrate (PPM)]]&gt;2, "Very high", IF(AllData[[#This Row],[Nitrate (PPM)]]&gt;1, "High", IF(AllData[[#This Row],[Nitrate (PPM)]]&gt;0.5, "Some evidence", IF(AllData[[#This Row],[Nitrate (PPM)]]&gt;=0, "No evidence"))))</f>
        <v>Very high</v>
      </c>
      <c r="S1511" s="112">
        <v>0.28999999999999998</v>
      </c>
      <c r="T1511" s="7" t="str">
        <f>IF(AllData[[#This Row],[Phosphate (PPM)]]&gt;0.5, "Very high", IF(AllData[[#This Row],[Phosphate (PPM)]]&gt;0.1, "High", IF(AllData[[#This Row],[Phosphate (PPM)]]&gt;0.05, "Some evidence", IF(AllData[[#This Row],[Phosphate (PPM)]]&lt;=0.05, "No Evidence", ""))))</f>
        <v>High</v>
      </c>
      <c r="U1511">
        <v>1.25</v>
      </c>
    </row>
    <row r="1512" spans="1:22" x14ac:dyDescent="0.35">
      <c r="A1512" t="s">
        <v>1296</v>
      </c>
      <c r="B1512" s="143">
        <v>45430</v>
      </c>
      <c r="C1512" s="2" t="str" cm="1">
        <f t="array" ref="C15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2">
        <f>YEAR(AllData[[#This Row],[Date]])</f>
        <v>2024</v>
      </c>
      <c r="E1512" s="1">
        <v>0.52083333333333337</v>
      </c>
      <c r="F1512" t="str">
        <f>IF(AND(AllData[[#This Row],[Time]]&lt;0.5, AllData[[#This Row],[Time]]&gt;0.17)=TRUE, "Morning", IF(AND(AllData[[#This Row],[Time]]&lt;0.75, AllData[[#This Row],[Time]]&gt;=0.5)=TRUE, "Afternoon", IF(AND(AllData[[#This Row],[Time]]&lt;1, AllData[[#This Row],[Time]]&gt;=0.75)=TRUE, "Evening", "Night")))</f>
        <v>Afternoon</v>
      </c>
      <c r="G1512" t="str">
        <f>_xlfn.XLOOKUP(AllData[[#This Row],[Location Name]], Locations[Location Name],Locations[Group As])</f>
        <v>Fell Mill Footbridge</v>
      </c>
      <c r="H1512" t="e" vm="1">
        <f>_xlfn.XLOOKUP(AllData[[#This Row],[Site Name]],LocationsKey[Site Name],LocationsKey[District])</f>
        <v>#VALUE!</v>
      </c>
      <c r="I1512" t="e" vm="15">
        <f>_xlfn.XLOOKUP(AllData[[#This Row],[Site Name]],LocationsKey[Site Name],LocationsKey[Town])</f>
        <v>#VALUE!</v>
      </c>
      <c r="J1512" t="str">
        <f>_xlfn.XLOOKUP(AllData[[#This Row],[Site Name]],LocationsKey[Site Name], LocationsKey[Waterway])</f>
        <v>Stour</v>
      </c>
      <c r="K1512" t="s">
        <v>875</v>
      </c>
      <c r="L1512">
        <v>52.070086000000003</v>
      </c>
      <c r="M1512">
        <v>-1.61145</v>
      </c>
      <c r="N1512" t="s">
        <v>31</v>
      </c>
      <c r="O1512">
        <v>632</v>
      </c>
      <c r="P1512">
        <v>15.9</v>
      </c>
      <c r="Q1512">
        <v>5</v>
      </c>
      <c r="R1512" s="107" t="str">
        <f>IF(AllData[[#This Row],[Nitrate (PPM)]]&gt;2, "Very high", IF(AllData[[#This Row],[Nitrate (PPM)]]&gt;1, "High", IF(AllData[[#This Row],[Nitrate (PPM)]]&gt;0.5, "Some evidence", IF(AllData[[#This Row],[Nitrate (PPM)]]&gt;=0, "No evidence"))))</f>
        <v>Very high</v>
      </c>
      <c r="S1512" s="112">
        <v>0.12</v>
      </c>
      <c r="T1512" s="7" t="str">
        <f>IF(AllData[[#This Row],[Phosphate (PPM)]]&gt;0.5, "Very high", IF(AllData[[#This Row],[Phosphate (PPM)]]&gt;0.1, "High", IF(AllData[[#This Row],[Phosphate (PPM)]]&gt;0.05, "Some evidence", IF(AllData[[#This Row],[Phosphate (PPM)]]&lt;=0.05, "No Evidence", ""))))</f>
        <v>High</v>
      </c>
      <c r="U1512">
        <v>1.23</v>
      </c>
      <c r="V1512" t="s">
        <v>1297</v>
      </c>
    </row>
    <row r="1513" spans="1:22" x14ac:dyDescent="0.35">
      <c r="A1513" t="s">
        <v>1301</v>
      </c>
      <c r="B1513" s="143">
        <v>45430</v>
      </c>
      <c r="C1513" s="2" t="str" cm="1">
        <f t="array" ref="C15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3">
        <f>YEAR(AllData[[#This Row],[Date]])</f>
        <v>2024</v>
      </c>
      <c r="E1513" s="1">
        <v>0.6875</v>
      </c>
      <c r="F1513" t="str">
        <f>IF(AND(AllData[[#This Row],[Time]]&lt;0.5, AllData[[#This Row],[Time]]&gt;0.17)=TRUE, "Morning", IF(AND(AllData[[#This Row],[Time]]&lt;0.75, AllData[[#This Row],[Time]]&gt;=0.5)=TRUE, "Afternoon", IF(AND(AllData[[#This Row],[Time]]&lt;1, AllData[[#This Row],[Time]]&gt;=0.75)=TRUE, "Evening", "Night")))</f>
        <v>Afternoon</v>
      </c>
      <c r="G1513" t="str">
        <f>_xlfn.XLOOKUP(AllData[[#This Row],[Location Name]], Locations[Location Name],Locations[Group As])</f>
        <v>Stour Whichford</v>
      </c>
      <c r="H1513" t="e" vm="1">
        <f>_xlfn.XLOOKUP(AllData[[#This Row],[Site Name]],LocationsKey[Site Name],LocationsKey[District])</f>
        <v>#VALUE!</v>
      </c>
      <c r="I1513" t="e" vm="24">
        <f>_xlfn.XLOOKUP(AllData[[#This Row],[Site Name]],LocationsKey[Site Name],LocationsKey[Town])</f>
        <v>#VALUE!</v>
      </c>
      <c r="J1513" t="str">
        <f>_xlfn.XLOOKUP(AllData[[#This Row],[Site Name]],LocationsKey[Site Name], LocationsKey[Waterway])</f>
        <v>Stour</v>
      </c>
      <c r="K1513" t="s">
        <v>980</v>
      </c>
      <c r="N1513" t="s">
        <v>31</v>
      </c>
      <c r="O1513">
        <v>656</v>
      </c>
      <c r="P1513">
        <v>16.899999999999999</v>
      </c>
      <c r="Q1513">
        <v>2.5</v>
      </c>
      <c r="R1513" s="107" t="str">
        <f>IF(AllData[[#This Row],[Nitrate (PPM)]]&gt;2, "Very high", IF(AllData[[#This Row],[Nitrate (PPM)]]&gt;1, "High", IF(AllData[[#This Row],[Nitrate (PPM)]]&gt;0.5, "Some evidence", IF(AllData[[#This Row],[Nitrate (PPM)]]&gt;=0, "No evidence"))))</f>
        <v>Very high</v>
      </c>
      <c r="S1513">
        <v>0.78</v>
      </c>
      <c r="T1513" s="7" t="str">
        <f>IF(AllData[[#This Row],[Phosphate (PPM)]]&gt;0.5, "Very high", IF(AllData[[#This Row],[Phosphate (PPM)]]&gt;0.1, "High", IF(AllData[[#This Row],[Phosphate (PPM)]]&gt;0.05, "Some evidence", IF(AllData[[#This Row],[Phosphate (PPM)]]&lt;=0.05, "No Evidence", ""))))</f>
        <v>Very high</v>
      </c>
      <c r="U1513">
        <v>14</v>
      </c>
    </row>
    <row r="1514" spans="1:22" x14ac:dyDescent="0.35">
      <c r="A1514" t="s">
        <v>1295</v>
      </c>
      <c r="B1514" s="143">
        <v>45430</v>
      </c>
      <c r="C1514" s="2" t="str" cm="1">
        <f t="array" ref="C15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4">
        <f>YEAR(AllData[[#This Row],[Date]])</f>
        <v>2024</v>
      </c>
      <c r="E1514" s="1">
        <v>0.49652777777777779</v>
      </c>
      <c r="F1514" t="str">
        <f>IF(AND(AllData[[#This Row],[Time]]&lt;0.5, AllData[[#This Row],[Time]]&gt;0.17)=TRUE, "Morning", IF(AND(AllData[[#This Row],[Time]]&lt;0.75, AllData[[#This Row],[Time]]&gt;=0.5)=TRUE, "Afternoon", IF(AND(AllData[[#This Row],[Time]]&lt;1, AllData[[#This Row],[Time]]&gt;=0.75)=TRUE, "Evening", "Night")))</f>
        <v>Morning</v>
      </c>
      <c r="G1514" t="str">
        <f>_xlfn.XLOOKUP(AllData[[#This Row],[Location Name]], Locations[Location Name],Locations[Group As])</f>
        <v>The Ford, Langley</v>
      </c>
      <c r="H1514" t="e" vm="1">
        <f>_xlfn.XLOOKUP(AllData[[#This Row],[Site Name]],LocationsKey[Site Name],LocationsKey[District])</f>
        <v>#VALUE!</v>
      </c>
      <c r="I1514" t="str">
        <f>_xlfn.XLOOKUP(AllData[[#This Row],[Site Name]],LocationsKey[Site Name],LocationsKey[Town])</f>
        <v>Langley</v>
      </c>
      <c r="J1514" t="str">
        <f>_xlfn.XLOOKUP(AllData[[#This Row],[Site Name]],LocationsKey[Site Name], LocationsKey[Waterway])</f>
        <v>Langley Ford</v>
      </c>
      <c r="K1514" t="s">
        <v>530</v>
      </c>
      <c r="L1514">
        <v>52.269105000000003</v>
      </c>
      <c r="M1514">
        <v>-1.72329</v>
      </c>
      <c r="N1514" t="s">
        <v>31</v>
      </c>
      <c r="O1514">
        <v>810</v>
      </c>
      <c r="P1514">
        <v>13.5</v>
      </c>
      <c r="Q1514">
        <v>2</v>
      </c>
      <c r="R1514" s="107" t="str">
        <f>IF(AllData[[#This Row],[Nitrate (PPM)]]&gt;2, "Very high", IF(AllData[[#This Row],[Nitrate (PPM)]]&gt;1, "High", IF(AllData[[#This Row],[Nitrate (PPM)]]&gt;0.5, "Some evidence", IF(AllData[[#This Row],[Nitrate (PPM)]]&gt;=0, "No evidence"))))</f>
        <v>High</v>
      </c>
      <c r="S1514" s="4">
        <v>0.66</v>
      </c>
      <c r="T1514" s="7" t="str">
        <f>IF(AllData[[#This Row],[Phosphate (PPM)]]&gt;0.5, "Very high", IF(AllData[[#This Row],[Phosphate (PPM)]]&gt;0.1, "High", IF(AllData[[#This Row],[Phosphate (PPM)]]&gt;0.05, "Some evidence", IF(AllData[[#This Row],[Phosphate (PPM)]]&lt;=0.05, "No Evidence", ""))))</f>
        <v>Very high</v>
      </c>
      <c r="U1514">
        <v>25</v>
      </c>
    </row>
    <row r="1515" spans="1:22" x14ac:dyDescent="0.35">
      <c r="A1515" t="s">
        <v>1300</v>
      </c>
      <c r="B1515" s="143">
        <v>45430</v>
      </c>
      <c r="C1515" s="2" t="str" cm="1">
        <f t="array" ref="C15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5">
        <f>YEAR(AllData[[#This Row],[Date]])</f>
        <v>2024</v>
      </c>
      <c r="E1515" s="1">
        <v>0.71180555555555558</v>
      </c>
      <c r="F1515" t="str">
        <f>IF(AND(AllData[[#This Row],[Time]]&lt;0.5, AllData[[#This Row],[Time]]&gt;0.17)=TRUE, "Morning", IF(AND(AllData[[#This Row],[Time]]&lt;0.75, AllData[[#This Row],[Time]]&gt;=0.5)=TRUE, "Afternoon", IF(AND(AllData[[#This Row],[Time]]&lt;1, AllData[[#This Row],[Time]]&gt;=0.75)=TRUE, "Evening", "Night")))</f>
        <v>Afternoon</v>
      </c>
      <c r="G1515" t="str">
        <f>_xlfn.XLOOKUP(AllData[[#This Row],[Location Name]], Locations[Location Name],Locations[Group As])</f>
        <v>Stour Ascott Village</v>
      </c>
      <c r="H1515" t="e" vm="1">
        <f>_xlfn.XLOOKUP(AllData[[#This Row],[Site Name]],LocationsKey[Site Name],LocationsKey[District])</f>
        <v>#VALUE!</v>
      </c>
      <c r="I1515" t="e" vm="25">
        <f>_xlfn.XLOOKUP(AllData[[#This Row],[Site Name]],LocationsKey[Site Name],LocationsKey[Town])</f>
        <v>#VALUE!</v>
      </c>
      <c r="J1515" t="str">
        <f>_xlfn.XLOOKUP(AllData[[#This Row],[Site Name]],LocationsKey[Site Name], LocationsKey[Waterway])</f>
        <v>Stour</v>
      </c>
      <c r="K1515" t="s">
        <v>927</v>
      </c>
      <c r="N1515" t="s">
        <v>68</v>
      </c>
      <c r="O1515">
        <v>549</v>
      </c>
      <c r="P1515">
        <v>19.600000000000001</v>
      </c>
      <c r="Q1515">
        <v>2</v>
      </c>
      <c r="R1515" s="107" t="str">
        <f>IF(AllData[[#This Row],[Nitrate (PPM)]]&gt;2, "Very high", IF(AllData[[#This Row],[Nitrate (PPM)]]&gt;1, "High", IF(AllData[[#This Row],[Nitrate (PPM)]]&gt;0.5, "Some evidence", IF(AllData[[#This Row],[Nitrate (PPM)]]&gt;=0, "No evidence"))))</f>
        <v>High</v>
      </c>
      <c r="S1515">
        <v>0.05</v>
      </c>
      <c r="T1515" s="7" t="str">
        <f>IF(AllData[[#This Row],[Phosphate (PPM)]]&gt;0.5, "Very high", IF(AllData[[#This Row],[Phosphate (PPM)]]&gt;0.1, "High", IF(AllData[[#This Row],[Phosphate (PPM)]]&gt;0.05, "Some evidence", IF(AllData[[#This Row],[Phosphate (PPM)]]&lt;=0.05, "No Evidence", ""))))</f>
        <v>No Evidence</v>
      </c>
      <c r="U1515">
        <v>10</v>
      </c>
    </row>
    <row r="1516" spans="1:22" x14ac:dyDescent="0.35">
      <c r="A1516" t="s">
        <v>1286</v>
      </c>
      <c r="B1516" s="143">
        <v>45429</v>
      </c>
      <c r="C1516" s="2" t="str" cm="1">
        <f t="array" ref="C15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6">
        <f>YEAR(AllData[[#This Row],[Date]])</f>
        <v>2024</v>
      </c>
      <c r="E1516" s="1">
        <v>0.38263888888888886</v>
      </c>
      <c r="F1516" t="str">
        <f>IF(AND(AllData[[#This Row],[Time]]&lt;0.5, AllData[[#This Row],[Time]]&gt;0.17)=TRUE, "Morning", IF(AND(AllData[[#This Row],[Time]]&lt;0.75, AllData[[#This Row],[Time]]&gt;=0.5)=TRUE, "Afternoon", IF(AND(AllData[[#This Row],[Time]]&lt;1, AllData[[#This Row],[Time]]&gt;=0.75)=TRUE, "Evening", "Night")))</f>
        <v>Morning</v>
      </c>
      <c r="G1516" t="str">
        <f>_xlfn.XLOOKUP(AllData[[#This Row],[Location Name]], Locations[Location Name],Locations[Group As])</f>
        <v>Lower Lode</v>
      </c>
      <c r="H1516" t="e" vm="4">
        <f>_xlfn.XLOOKUP(AllData[[#This Row],[Site Name]],LocationsKey[Site Name],LocationsKey[District])</f>
        <v>#VALUE!</v>
      </c>
      <c r="I1516" t="e" vm="4">
        <f>_xlfn.XLOOKUP(AllData[[#This Row],[Site Name]],LocationsKey[Site Name],LocationsKey[Town])</f>
        <v>#VALUE!</v>
      </c>
      <c r="J1516" t="str">
        <f>_xlfn.XLOOKUP(AllData[[#This Row],[Site Name]],LocationsKey[Site Name], LocationsKey[Waterway])</f>
        <v>Avon</v>
      </c>
      <c r="K1516" t="s">
        <v>595</v>
      </c>
      <c r="L1516">
        <v>51.984960000000001</v>
      </c>
      <c r="M1516">
        <v>-2.1742780000000002</v>
      </c>
      <c r="N1516" t="s">
        <v>31</v>
      </c>
      <c r="O1516">
        <v>8440</v>
      </c>
      <c r="P1516">
        <v>17.399999999999999</v>
      </c>
      <c r="Q1516">
        <v>10</v>
      </c>
      <c r="R1516" s="107" t="str">
        <f>IF(AllData[[#This Row],[Nitrate (PPM)]]&gt;2, "Very high", IF(AllData[[#This Row],[Nitrate (PPM)]]&gt;1, "High", IF(AllData[[#This Row],[Nitrate (PPM)]]&gt;0.5, "Some evidence", IF(AllData[[#This Row],[Nitrate (PPM)]]&gt;=0, "No evidence"))))</f>
        <v>Very high</v>
      </c>
      <c r="S1516" s="112">
        <v>0.56000000000000005</v>
      </c>
      <c r="T1516" s="7" t="str">
        <f>IF(AllData[[#This Row],[Phosphate (PPM)]]&gt;0.5, "Very high", IF(AllData[[#This Row],[Phosphate (PPM)]]&gt;0.1, "High", IF(AllData[[#This Row],[Phosphate (PPM)]]&gt;0.05, "Some evidence", IF(AllData[[#This Row],[Phosphate (PPM)]]&lt;=0.05, "No Evidence", ""))))</f>
        <v>Very high</v>
      </c>
      <c r="U1516">
        <v>0</v>
      </c>
    </row>
    <row r="1517" spans="1:22" x14ac:dyDescent="0.35">
      <c r="A1517" t="s">
        <v>1287</v>
      </c>
      <c r="B1517" s="143">
        <v>45429</v>
      </c>
      <c r="C1517" s="2" t="str" cm="1">
        <f t="array" ref="C15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7">
        <f>YEAR(AllData[[#This Row],[Date]])</f>
        <v>2024</v>
      </c>
      <c r="E1517" s="1">
        <v>0.5</v>
      </c>
      <c r="F1517" t="str">
        <f>IF(AND(AllData[[#This Row],[Time]]&lt;0.5, AllData[[#This Row],[Time]]&gt;0.17)=TRUE, "Morning", IF(AND(AllData[[#This Row],[Time]]&lt;0.75, AllData[[#This Row],[Time]]&gt;=0.5)=TRUE, "Afternoon", IF(AND(AllData[[#This Row],[Time]]&lt;1, AllData[[#This Row],[Time]]&gt;=0.75)=TRUE, "Evening", "Night")))</f>
        <v>Afternoon</v>
      </c>
      <c r="G1517" t="str">
        <f>_xlfn.XLOOKUP(AllData[[#This Row],[Location Name]], Locations[Location Name],Locations[Group As])</f>
        <v>Mill Bridge Peopleton</v>
      </c>
      <c r="H1517" t="e" vm="6">
        <f>_xlfn.XLOOKUP(AllData[[#This Row],[Site Name]],LocationsKey[Site Name],LocationsKey[District])</f>
        <v>#VALUE!</v>
      </c>
      <c r="I1517" t="str">
        <f>_xlfn.XLOOKUP(AllData[[#This Row],[Site Name]],LocationsKey[Site Name],LocationsKey[Town])</f>
        <v>Peopleton</v>
      </c>
      <c r="J1517" t="str">
        <f>_xlfn.XLOOKUP(AllData[[#This Row],[Site Name]],LocationsKey[Site Name], LocationsKey[Waterway])</f>
        <v>Bow Brook</v>
      </c>
      <c r="K1517" t="s">
        <v>1015</v>
      </c>
      <c r="L1517">
        <v>52.151504000000003</v>
      </c>
      <c r="M1517">
        <v>-2.0960640000000001</v>
      </c>
      <c r="N1517" t="s">
        <v>31</v>
      </c>
      <c r="O1517">
        <v>1120</v>
      </c>
      <c r="P1517">
        <v>16.7</v>
      </c>
      <c r="Q1517">
        <v>5</v>
      </c>
      <c r="R1517" s="107" t="str">
        <f>IF(AllData[[#This Row],[Nitrate (PPM)]]&gt;2, "Very high", IF(AllData[[#This Row],[Nitrate (PPM)]]&gt;1, "High", IF(AllData[[#This Row],[Nitrate (PPM)]]&gt;0.5, "Some evidence", IF(AllData[[#This Row],[Nitrate (PPM)]]&gt;=0, "No evidence"))))</f>
        <v>Very high</v>
      </c>
      <c r="S1517" s="112">
        <v>1.04</v>
      </c>
      <c r="T1517" s="7" t="str">
        <f>IF(AllData[[#This Row],[Phosphate (PPM)]]&gt;0.5, "Very high", IF(AllData[[#This Row],[Phosphate (PPM)]]&gt;0.1, "High", IF(AllData[[#This Row],[Phosphate (PPM)]]&gt;0.05, "Some evidence", IF(AllData[[#This Row],[Phosphate (PPM)]]&lt;=0.05, "No Evidence", ""))))</f>
        <v>Very high</v>
      </c>
      <c r="U1517">
        <v>0.45</v>
      </c>
    </row>
    <row r="1518" spans="1:22" x14ac:dyDescent="0.35">
      <c r="A1518" t="s">
        <v>1288</v>
      </c>
      <c r="B1518" s="143">
        <v>45429</v>
      </c>
      <c r="C1518" s="2" t="str" cm="1">
        <f t="array" ref="C15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8">
        <f>YEAR(AllData[[#This Row],[Date]])</f>
        <v>2024</v>
      </c>
      <c r="E1518" s="1">
        <v>0.54513888888888884</v>
      </c>
      <c r="F1518" t="str">
        <f>IF(AND(AllData[[#This Row],[Time]]&lt;0.5, AllData[[#This Row],[Time]]&gt;0.17)=TRUE, "Morning", IF(AND(AllData[[#This Row],[Time]]&lt;0.75, AllData[[#This Row],[Time]]&gt;=0.5)=TRUE, "Afternoon", IF(AND(AllData[[#This Row],[Time]]&lt;1, AllData[[#This Row],[Time]]&gt;=0.75)=TRUE, "Evening", "Night")))</f>
        <v>Afternoon</v>
      </c>
      <c r="G1518" t="str">
        <f>_xlfn.XLOOKUP(AllData[[#This Row],[Location Name]], Locations[Location Name],Locations[Group As])</f>
        <v>Swilgate</v>
      </c>
      <c r="H1518" t="e" vm="4">
        <f>_xlfn.XLOOKUP(AllData[[#This Row],[Site Name]],LocationsKey[Site Name],LocationsKey[District])</f>
        <v>#VALUE!</v>
      </c>
      <c r="I1518" t="e" vm="4">
        <f>_xlfn.XLOOKUP(AllData[[#This Row],[Site Name]],LocationsKey[Site Name],LocationsKey[Town])</f>
        <v>#VALUE!</v>
      </c>
      <c r="J1518" t="str">
        <f>_xlfn.XLOOKUP(AllData[[#This Row],[Site Name]],LocationsKey[Site Name], LocationsKey[Waterway])</f>
        <v>Swilgate</v>
      </c>
      <c r="K1518" t="s">
        <v>486</v>
      </c>
      <c r="L1518">
        <v>51.988481</v>
      </c>
      <c r="M1518">
        <v>-2.1641349999999999</v>
      </c>
      <c r="N1518" t="s">
        <v>25</v>
      </c>
      <c r="O1518">
        <v>857</v>
      </c>
      <c r="P1518">
        <v>16.600000000000001</v>
      </c>
      <c r="Q1518">
        <v>5</v>
      </c>
      <c r="R1518" s="107" t="str">
        <f>IF(AllData[[#This Row],[Nitrate (PPM)]]&gt;2, "Very high", IF(AllData[[#This Row],[Nitrate (PPM)]]&gt;1, "High", IF(AllData[[#This Row],[Nitrate (PPM)]]&gt;0.5, "Some evidence", IF(AllData[[#This Row],[Nitrate (PPM)]]&gt;=0, "No evidence"))))</f>
        <v>Very high</v>
      </c>
      <c r="S1518" s="112">
        <v>0.13</v>
      </c>
      <c r="T1518" s="7" t="str">
        <f>IF(AllData[[#This Row],[Phosphate (PPM)]]&gt;0.5, "Very high", IF(AllData[[#This Row],[Phosphate (PPM)]]&gt;0.1, "High", IF(AllData[[#This Row],[Phosphate (PPM)]]&gt;0.05, "Some evidence", IF(AllData[[#This Row],[Phosphate (PPM)]]&lt;=0.05, "No Evidence", ""))))</f>
        <v>High</v>
      </c>
      <c r="U1518">
        <v>0</v>
      </c>
    </row>
    <row r="1519" spans="1:22" x14ac:dyDescent="0.35">
      <c r="A1519" t="s">
        <v>1285</v>
      </c>
      <c r="B1519" s="143">
        <v>45428</v>
      </c>
      <c r="C1519" s="2" t="str" cm="1">
        <f t="array" ref="C15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19">
        <f>YEAR(AllData[[#This Row],[Date]])</f>
        <v>2024</v>
      </c>
      <c r="E1519" s="1">
        <v>0.71875</v>
      </c>
      <c r="F1519" t="str">
        <f>IF(AND(AllData[[#This Row],[Time]]&lt;0.5, AllData[[#This Row],[Time]]&gt;0.17)=TRUE, "Morning", IF(AND(AllData[[#This Row],[Time]]&lt;0.75, AllData[[#This Row],[Time]]&gt;=0.5)=TRUE, "Afternoon", IF(AND(AllData[[#This Row],[Time]]&lt;1, AllData[[#This Row],[Time]]&gt;=0.75)=TRUE, "Evening", "Night")))</f>
        <v>Afternoon</v>
      </c>
      <c r="G1519" t="str">
        <f>_xlfn.XLOOKUP(AllData[[#This Row],[Location Name]], Locations[Location Name],Locations[Group As])</f>
        <v>Stour Willington</v>
      </c>
      <c r="H1519" t="e" vm="1">
        <f>_xlfn.XLOOKUP(AllData[[#This Row],[Site Name]],LocationsKey[Site Name],LocationsKey[District])</f>
        <v>#VALUE!</v>
      </c>
      <c r="I1519" t="str">
        <f>_xlfn.XLOOKUP(AllData[[#This Row],[Site Name]],LocationsKey[Site Name],LocationsKey[Town])</f>
        <v>Willington</v>
      </c>
      <c r="J1519" t="str">
        <f>_xlfn.XLOOKUP(AllData[[#This Row],[Site Name]],LocationsKey[Site Name], LocationsKey[Waterway])</f>
        <v>Stour</v>
      </c>
      <c r="K1519" t="s">
        <v>521</v>
      </c>
      <c r="N1519" t="s">
        <v>25</v>
      </c>
      <c r="O1519">
        <v>661</v>
      </c>
      <c r="P1519">
        <v>16.399999999999999</v>
      </c>
      <c r="Q1519">
        <v>2</v>
      </c>
      <c r="R1519" s="107" t="str">
        <f>IF(AllData[[#This Row],[Nitrate (PPM)]]&gt;2, "Very high", IF(AllData[[#This Row],[Nitrate (PPM)]]&gt;1, "High", IF(AllData[[#This Row],[Nitrate (PPM)]]&gt;0.5, "Some evidence", IF(AllData[[#This Row],[Nitrate (PPM)]]&gt;=0, "No evidence"))))</f>
        <v>High</v>
      </c>
      <c r="S1519" s="112">
        <v>0.27</v>
      </c>
      <c r="T1519" s="7" t="str">
        <f>IF(AllData[[#This Row],[Phosphate (PPM)]]&gt;0.5, "Very high", IF(AllData[[#This Row],[Phosphate (PPM)]]&gt;0.1, "High", IF(AllData[[#This Row],[Phosphate (PPM)]]&gt;0.05, "Some evidence", IF(AllData[[#This Row],[Phosphate (PPM)]]&lt;=0.05, "No Evidence", ""))))</f>
        <v>High</v>
      </c>
      <c r="U1519">
        <v>0.5</v>
      </c>
    </row>
    <row r="1520" spans="1:22" x14ac:dyDescent="0.35">
      <c r="A1520" t="s">
        <v>1284</v>
      </c>
      <c r="B1520" s="143">
        <v>45427</v>
      </c>
      <c r="C1520" s="2" t="str" cm="1">
        <f t="array" ref="C15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0">
        <f>YEAR(AllData[[#This Row],[Date]])</f>
        <v>2024</v>
      </c>
      <c r="E1520" s="1">
        <v>0.84583333333333333</v>
      </c>
      <c r="F1520" t="str">
        <f>IF(AND(AllData[[#This Row],[Time]]&lt;0.5, AllData[[#This Row],[Time]]&gt;0.17)=TRUE, "Morning", IF(AND(AllData[[#This Row],[Time]]&lt;0.75, AllData[[#This Row],[Time]]&gt;=0.5)=TRUE, "Afternoon", IF(AND(AllData[[#This Row],[Time]]&lt;1, AllData[[#This Row],[Time]]&gt;=0.75)=TRUE, "Evening", "Night")))</f>
        <v>Evening</v>
      </c>
      <c r="G1520" t="str">
        <f>_xlfn.XLOOKUP(AllData[[#This Row],[Location Name]], Locations[Location Name],Locations[Group As])</f>
        <v>Abbey Mill</v>
      </c>
      <c r="H1520" t="e" vm="4">
        <f>_xlfn.XLOOKUP(AllData[[#This Row],[Site Name]],LocationsKey[Site Name],LocationsKey[District])</f>
        <v>#VALUE!</v>
      </c>
      <c r="I1520" t="e" vm="4">
        <f>_xlfn.XLOOKUP(AllData[[#This Row],[Site Name]],LocationsKey[Site Name],LocationsKey[Town])</f>
        <v>#VALUE!</v>
      </c>
      <c r="J1520" t="str">
        <f>_xlfn.XLOOKUP(AllData[[#This Row],[Site Name]],LocationsKey[Site Name], LocationsKey[Waterway])</f>
        <v>Avon</v>
      </c>
      <c r="K1520" t="s">
        <v>27</v>
      </c>
      <c r="L1520">
        <v>51.991287</v>
      </c>
      <c r="M1520">
        <v>-2.1626400000000001</v>
      </c>
      <c r="N1520" t="s">
        <v>25</v>
      </c>
      <c r="O1520">
        <v>956</v>
      </c>
      <c r="P1520">
        <v>18.5</v>
      </c>
      <c r="Q1520">
        <v>10</v>
      </c>
      <c r="R1520" s="107" t="str">
        <f>IF(AllData[[#This Row],[Nitrate (PPM)]]&gt;2, "Very high", IF(AllData[[#This Row],[Nitrate (PPM)]]&gt;1, "High", IF(AllData[[#This Row],[Nitrate (PPM)]]&gt;0.5, "Some evidence", IF(AllData[[#This Row],[Nitrate (PPM)]]&gt;=0, "No evidence"))))</f>
        <v>Very high</v>
      </c>
      <c r="S1520" s="112">
        <v>0.64</v>
      </c>
      <c r="T1520" s="7" t="str">
        <f>IF(AllData[[#This Row],[Phosphate (PPM)]]&gt;0.5, "Very high", IF(AllData[[#This Row],[Phosphate (PPM)]]&gt;0.1, "High", IF(AllData[[#This Row],[Phosphate (PPM)]]&gt;0.05, "Some evidence", IF(AllData[[#This Row],[Phosphate (PPM)]]&lt;=0.05, "No Evidence", ""))))</f>
        <v>Very high</v>
      </c>
      <c r="U1520">
        <v>0.6</v>
      </c>
    </row>
    <row r="1521" spans="1:22" x14ac:dyDescent="0.35">
      <c r="A1521" t="s">
        <v>1281</v>
      </c>
      <c r="B1521" s="143">
        <v>45427</v>
      </c>
      <c r="C1521" s="2" t="str" cm="1">
        <f t="array" ref="C15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1">
        <f>YEAR(AllData[[#This Row],[Date]])</f>
        <v>2024</v>
      </c>
      <c r="E1521" s="1">
        <v>0.58333333333333337</v>
      </c>
      <c r="F1521" t="str">
        <f>IF(AND(AllData[[#This Row],[Time]]&lt;0.5, AllData[[#This Row],[Time]]&gt;0.17)=TRUE, "Morning", IF(AND(AllData[[#This Row],[Time]]&lt;0.75, AllData[[#This Row],[Time]]&gt;=0.5)=TRUE, "Afternoon", IF(AND(AllData[[#This Row],[Time]]&lt;1, AllData[[#This Row],[Time]]&gt;=0.75)=TRUE, "Evening", "Night")))</f>
        <v>Afternoon</v>
      </c>
      <c r="G1521" t="str">
        <f>_xlfn.XLOOKUP(AllData[[#This Row],[Location Name]], Locations[Location Name],Locations[Group As])</f>
        <v>Swiffen Bank</v>
      </c>
      <c r="H1521" t="e" vm="1">
        <f>_xlfn.XLOOKUP(AllData[[#This Row],[Site Name]],LocationsKey[Site Name],LocationsKey[District])</f>
        <v>#VALUE!</v>
      </c>
      <c r="I1521" t="e" vm="2">
        <f>_xlfn.XLOOKUP(AllData[[#This Row],[Site Name]],LocationsKey[Site Name],LocationsKey[Town])</f>
        <v>#VALUE!</v>
      </c>
      <c r="J1521" t="str">
        <f>_xlfn.XLOOKUP(AllData[[#This Row],[Site Name]],LocationsKey[Site Name], LocationsKey[Waterway])</f>
        <v>Avon</v>
      </c>
      <c r="K1521" t="s">
        <v>286</v>
      </c>
      <c r="L1521">
        <v>52.206477999999997</v>
      </c>
      <c r="M1521">
        <v>-1.653894</v>
      </c>
      <c r="N1521" t="s">
        <v>31</v>
      </c>
      <c r="O1521">
        <v>699</v>
      </c>
      <c r="P1521">
        <v>19.8</v>
      </c>
      <c r="Q1521">
        <v>10</v>
      </c>
      <c r="R1521" s="107" t="str">
        <f>IF(AllData[[#This Row],[Nitrate (PPM)]]&gt;2, "Very high", IF(AllData[[#This Row],[Nitrate (PPM)]]&gt;1, "High", IF(AllData[[#This Row],[Nitrate (PPM)]]&gt;0.5, "Some evidence", IF(AllData[[#This Row],[Nitrate (PPM)]]&gt;=0, "No evidence"))))</f>
        <v>Very high</v>
      </c>
      <c r="S1521" s="112">
        <v>0.44</v>
      </c>
      <c r="T1521" s="7" t="str">
        <f>IF(AllData[[#This Row],[Phosphate (PPM)]]&gt;0.5, "Very high", IF(AllData[[#This Row],[Phosphate (PPM)]]&gt;0.1, "High", IF(AllData[[#This Row],[Phosphate (PPM)]]&gt;0.05, "Some evidence", IF(AllData[[#This Row],[Phosphate (PPM)]]&lt;=0.05, "No Evidence", ""))))</f>
        <v>High</v>
      </c>
      <c r="U1521">
        <v>0</v>
      </c>
      <c r="V1521" t="s">
        <v>1282</v>
      </c>
    </row>
    <row r="1522" spans="1:22" x14ac:dyDescent="0.35">
      <c r="A1522" t="s">
        <v>1279</v>
      </c>
      <c r="B1522" s="143">
        <v>45427</v>
      </c>
      <c r="C1522" s="2" t="str" cm="1">
        <f t="array" ref="C15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2">
        <f>YEAR(AllData[[#This Row],[Date]])</f>
        <v>2024</v>
      </c>
      <c r="E1522" s="1">
        <v>0.57986111111111116</v>
      </c>
      <c r="F1522" t="str">
        <f>IF(AND(AllData[[#This Row],[Time]]&lt;0.5, AllData[[#This Row],[Time]]&gt;0.17)=TRUE, "Morning", IF(AND(AllData[[#This Row],[Time]]&lt;0.75, AllData[[#This Row],[Time]]&gt;=0.5)=TRUE, "Afternoon", IF(AND(AllData[[#This Row],[Time]]&lt;1, AllData[[#This Row],[Time]]&gt;=0.75)=TRUE, "Evening", "Night")))</f>
        <v>Afternoon</v>
      </c>
      <c r="G1522" t="str">
        <f>_xlfn.XLOOKUP(AllData[[#This Row],[Location Name]], Locations[Location Name],Locations[Group As])</f>
        <v>Alveston Weir</v>
      </c>
      <c r="H1522" t="e" vm="1">
        <f>_xlfn.XLOOKUP(AllData[[#This Row],[Site Name]],LocationsKey[Site Name],LocationsKey[District])</f>
        <v>#VALUE!</v>
      </c>
      <c r="I1522" t="e" vm="2">
        <f>_xlfn.XLOOKUP(AllData[[#This Row],[Site Name]],LocationsKey[Site Name],LocationsKey[Town])</f>
        <v>#VALUE!</v>
      </c>
      <c r="J1522" t="str">
        <f>_xlfn.XLOOKUP(AllData[[#This Row],[Site Name]],LocationsKey[Site Name], LocationsKey[Waterway])</f>
        <v>Avon</v>
      </c>
      <c r="K1522" t="s">
        <v>288</v>
      </c>
      <c r="L1522">
        <v>52.214177999999997</v>
      </c>
      <c r="M1522">
        <v>-1.6601600000000001</v>
      </c>
      <c r="N1522" t="s">
        <v>31</v>
      </c>
      <c r="O1522">
        <v>901</v>
      </c>
      <c r="P1522">
        <v>18.8</v>
      </c>
      <c r="Q1522">
        <v>5</v>
      </c>
      <c r="R1522" s="107" t="str">
        <f>IF(AllData[[#This Row],[Nitrate (PPM)]]&gt;2, "Very high", IF(AllData[[#This Row],[Nitrate (PPM)]]&gt;1, "High", IF(AllData[[#This Row],[Nitrate (PPM)]]&gt;0.5, "Some evidence", IF(AllData[[#This Row],[Nitrate (PPM)]]&gt;=0, "No evidence"))))</f>
        <v>Very high</v>
      </c>
      <c r="S1522" s="112">
        <v>0.38</v>
      </c>
      <c r="T1522" s="7" t="str">
        <f>IF(AllData[[#This Row],[Phosphate (PPM)]]&gt;0.5, "Very high", IF(AllData[[#This Row],[Phosphate (PPM)]]&gt;0.1, "High", IF(AllData[[#This Row],[Phosphate (PPM)]]&gt;0.05, "Some evidence", IF(AllData[[#This Row],[Phosphate (PPM)]]&lt;=0.05, "No Evidence", ""))))</f>
        <v>High</v>
      </c>
      <c r="U1522">
        <v>0</v>
      </c>
      <c r="V1522" t="s">
        <v>1280</v>
      </c>
    </row>
    <row r="1523" spans="1:22" x14ac:dyDescent="0.35">
      <c r="A1523" t="s">
        <v>1283</v>
      </c>
      <c r="B1523" s="143">
        <v>45427</v>
      </c>
      <c r="C1523" s="2" t="str" cm="1">
        <f t="array" ref="C15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3">
        <f>YEAR(AllData[[#This Row],[Date]])</f>
        <v>2024</v>
      </c>
      <c r="E1523" s="1">
        <v>0.66666666666666663</v>
      </c>
      <c r="F1523" t="str">
        <f>IF(AND(AllData[[#This Row],[Time]]&lt;0.5, AllData[[#This Row],[Time]]&gt;0.17)=TRUE, "Morning", IF(AND(AllData[[#This Row],[Time]]&lt;0.75, AllData[[#This Row],[Time]]&gt;=0.5)=TRUE, "Afternoon", IF(AND(AllData[[#This Row],[Time]]&lt;1, AllData[[#This Row],[Time]]&gt;=0.75)=TRUE, "Evening", "Night")))</f>
        <v>Afternoon</v>
      </c>
      <c r="G1523" t="str">
        <f>_xlfn.XLOOKUP(AllData[[#This Row],[Location Name]], Locations[Location Name],Locations[Group As])</f>
        <v>Stour Newbold Mill</v>
      </c>
      <c r="H1523" t="e" vm="1">
        <f>_xlfn.XLOOKUP(AllData[[#This Row],[Site Name]],LocationsKey[Site Name],LocationsKey[District])</f>
        <v>#VALUE!</v>
      </c>
      <c r="I1523" t="e" vm="27">
        <f>_xlfn.XLOOKUP(AllData[[#This Row],[Site Name]],LocationsKey[Site Name],LocationsKey[Town])</f>
        <v>#VALUE!</v>
      </c>
      <c r="J1523" t="str">
        <f>_xlfn.XLOOKUP(AllData[[#This Row],[Site Name]],LocationsKey[Site Name], LocationsKey[Waterway])</f>
        <v>Stour</v>
      </c>
      <c r="K1523" t="s">
        <v>141</v>
      </c>
      <c r="N1523" t="s">
        <v>31</v>
      </c>
      <c r="O1523">
        <v>681</v>
      </c>
      <c r="P1523">
        <v>18.399999999999999</v>
      </c>
      <c r="Q1523">
        <v>2</v>
      </c>
      <c r="R1523" s="107" t="str">
        <f>IF(AllData[[#This Row],[Nitrate (PPM)]]&gt;2, "Very high", IF(AllData[[#This Row],[Nitrate (PPM)]]&gt;1, "High", IF(AllData[[#This Row],[Nitrate (PPM)]]&gt;0.5, "Some evidence", IF(AllData[[#This Row],[Nitrate (PPM)]]&gt;=0, "No evidence"))))</f>
        <v>High</v>
      </c>
      <c r="S1523" s="4">
        <v>0.3</v>
      </c>
      <c r="T1523" s="7" t="str">
        <f>IF(AllData[[#This Row],[Phosphate (PPM)]]&gt;0.5, "Very high", IF(AllData[[#This Row],[Phosphate (PPM)]]&gt;0.1, "High", IF(AllData[[#This Row],[Phosphate (PPM)]]&gt;0.05, "Some evidence", IF(AllData[[#This Row],[Phosphate (PPM)]]&lt;=0.05, "No Evidence", ""))))</f>
        <v>High</v>
      </c>
      <c r="U1523">
        <v>2</v>
      </c>
      <c r="V1523" t="s">
        <v>1248</v>
      </c>
    </row>
    <row r="1524" spans="1:22" x14ac:dyDescent="0.35">
      <c r="A1524" t="s">
        <v>1278</v>
      </c>
      <c r="B1524" s="143">
        <v>45426</v>
      </c>
      <c r="C1524" s="2" t="str" cm="1">
        <f t="array" ref="C15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4">
        <f>YEAR(AllData[[#This Row],[Date]])</f>
        <v>2024</v>
      </c>
      <c r="E1524" s="1">
        <v>0.45347222222222222</v>
      </c>
      <c r="F1524" t="str">
        <f>IF(AND(AllData[[#This Row],[Time]]&lt;0.5, AllData[[#This Row],[Time]]&gt;0.17)=TRUE, "Morning", IF(AND(AllData[[#This Row],[Time]]&lt;0.75, AllData[[#This Row],[Time]]&gt;=0.5)=TRUE, "Afternoon", IF(AND(AllData[[#This Row],[Time]]&lt;1, AllData[[#This Row],[Time]]&gt;=0.75)=TRUE, "Evening", "Night")))</f>
        <v>Morning</v>
      </c>
      <c r="G1524" t="str">
        <f>_xlfn.XLOOKUP(AllData[[#This Row],[Location Name]], Locations[Location Name],Locations[Group As])</f>
        <v>Carrant M5 Bridge</v>
      </c>
      <c r="H1524" t="e" vm="4">
        <f>_xlfn.XLOOKUP(AllData[[#This Row],[Site Name]],LocationsKey[Site Name],LocationsKey[District])</f>
        <v>#VALUE!</v>
      </c>
      <c r="I1524" t="e" vm="4">
        <f>_xlfn.XLOOKUP(AllData[[#This Row],[Site Name]],LocationsKey[Site Name],LocationsKey[Town])</f>
        <v>#VALUE!</v>
      </c>
      <c r="J1524" t="str">
        <f>_xlfn.XLOOKUP(AllData[[#This Row],[Site Name]],LocationsKey[Site Name], LocationsKey[Waterway])</f>
        <v>Carrant</v>
      </c>
      <c r="K1524" t="s">
        <v>1066</v>
      </c>
      <c r="L1524">
        <v>52.011828999999999</v>
      </c>
      <c r="M1524">
        <v>-2.1202860000000001</v>
      </c>
      <c r="N1524" t="s">
        <v>25</v>
      </c>
      <c r="O1524">
        <v>758</v>
      </c>
      <c r="P1524">
        <v>16.2</v>
      </c>
      <c r="Q1524">
        <v>7</v>
      </c>
      <c r="R1524" s="107" t="str">
        <f>IF(AllData[[#This Row],[Nitrate (PPM)]]&gt;2, "Very high", IF(AllData[[#This Row],[Nitrate (PPM)]]&gt;1, "High", IF(AllData[[#This Row],[Nitrate (PPM)]]&gt;0.5, "Some evidence", IF(AllData[[#This Row],[Nitrate (PPM)]]&gt;=0, "No evidence"))))</f>
        <v>Very high</v>
      </c>
      <c r="S1524" s="112">
        <v>0.31</v>
      </c>
      <c r="T1524" s="7" t="str">
        <f>IF(AllData[[#This Row],[Phosphate (PPM)]]&gt;0.5, "Very high", IF(AllData[[#This Row],[Phosphate (PPM)]]&gt;0.1, "High", IF(AllData[[#This Row],[Phosphate (PPM)]]&gt;0.05, "Some evidence", IF(AllData[[#This Row],[Phosphate (PPM)]]&lt;=0.05, "No Evidence", ""))))</f>
        <v>High</v>
      </c>
      <c r="U1524">
        <v>0</v>
      </c>
    </row>
    <row r="1525" spans="1:22" x14ac:dyDescent="0.35">
      <c r="A1525" t="s">
        <v>1277</v>
      </c>
      <c r="B1525" s="143">
        <v>45426</v>
      </c>
      <c r="C1525" s="2" t="str" cm="1">
        <f t="array" ref="C15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5">
        <f>YEAR(AllData[[#This Row],[Date]])</f>
        <v>2024</v>
      </c>
      <c r="E1525" s="1">
        <v>0.43958333333333333</v>
      </c>
      <c r="F1525" t="str">
        <f>IF(AND(AllData[[#This Row],[Time]]&lt;0.5, AllData[[#This Row],[Time]]&gt;0.17)=TRUE, "Morning", IF(AND(AllData[[#This Row],[Time]]&lt;0.75, AllData[[#This Row],[Time]]&gt;=0.5)=TRUE, "Afternoon", IF(AND(AllData[[#This Row],[Time]]&lt;1, AllData[[#This Row],[Time]]&gt;=0.75)=TRUE, "Evening", "Night")))</f>
        <v>Morning</v>
      </c>
      <c r="G1525" t="str">
        <f>_xlfn.XLOOKUP(AllData[[#This Row],[Location Name]], Locations[Location Name],Locations[Group As])</f>
        <v>Carrant Mitton Path</v>
      </c>
      <c r="H1525" t="e" vm="4">
        <f>_xlfn.XLOOKUP(AllData[[#This Row],[Site Name]],LocationsKey[Site Name],LocationsKey[District])</f>
        <v>#VALUE!</v>
      </c>
      <c r="I1525" t="e" vm="4">
        <f>_xlfn.XLOOKUP(AllData[[#This Row],[Site Name]],LocationsKey[Site Name],LocationsKey[Town])</f>
        <v>#VALUE!</v>
      </c>
      <c r="J1525" t="str">
        <f>_xlfn.XLOOKUP(AllData[[#This Row],[Site Name]],LocationsKey[Site Name], LocationsKey[Waterway])</f>
        <v>Carrant</v>
      </c>
      <c r="K1525" t="s">
        <v>1198</v>
      </c>
      <c r="L1525">
        <v>52.000104</v>
      </c>
      <c r="M1525">
        <v>-2.1419250000000001</v>
      </c>
      <c r="N1525" t="s">
        <v>25</v>
      </c>
      <c r="O1525">
        <v>692</v>
      </c>
      <c r="P1525">
        <v>16</v>
      </c>
      <c r="Q1525">
        <v>6</v>
      </c>
      <c r="R1525" s="107" t="str">
        <f>IF(AllData[[#This Row],[Nitrate (PPM)]]&gt;2, "Very high", IF(AllData[[#This Row],[Nitrate (PPM)]]&gt;1, "High", IF(AllData[[#This Row],[Nitrate (PPM)]]&gt;0.5, "Some evidence", IF(AllData[[#This Row],[Nitrate (PPM)]]&gt;=0, "No evidence"))))</f>
        <v>Very high</v>
      </c>
      <c r="S1525" s="112">
        <v>0.12</v>
      </c>
      <c r="T1525" s="7" t="str">
        <f>IF(AllData[[#This Row],[Phosphate (PPM)]]&gt;0.5, "Very high", IF(AllData[[#This Row],[Phosphate (PPM)]]&gt;0.1, "High", IF(AllData[[#This Row],[Phosphate (PPM)]]&gt;0.05, "Some evidence", IF(AllData[[#This Row],[Phosphate (PPM)]]&lt;=0.05, "No Evidence", ""))))</f>
        <v>High</v>
      </c>
      <c r="U1525">
        <v>0</v>
      </c>
    </row>
    <row r="1526" spans="1:22" x14ac:dyDescent="0.35">
      <c r="A1526" t="s">
        <v>1275</v>
      </c>
      <c r="B1526" s="143">
        <v>45425</v>
      </c>
      <c r="C1526" s="2" t="str" cm="1">
        <f t="array" ref="C15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6">
        <f>YEAR(AllData[[#This Row],[Date]])</f>
        <v>2024</v>
      </c>
      <c r="E1526" s="1">
        <v>0.41666666666666669</v>
      </c>
      <c r="F1526" t="str">
        <f>IF(AND(AllData[[#This Row],[Time]]&lt;0.5, AllData[[#This Row],[Time]]&gt;0.17)=TRUE, "Morning", IF(AND(AllData[[#This Row],[Time]]&lt;0.75, AllData[[#This Row],[Time]]&gt;=0.5)=TRUE, "Afternoon", IF(AND(AllData[[#This Row],[Time]]&lt;1, AllData[[#This Row],[Time]]&gt;=0.75)=TRUE, "Evening", "Night")))</f>
        <v>Morning</v>
      </c>
      <c r="G1526" t="str">
        <f>_xlfn.XLOOKUP(AllData[[#This Row],[Location Name]], Locations[Location Name],Locations[Group As])</f>
        <v>Sherbourne Brook 1</v>
      </c>
      <c r="H1526" t="e" vm="1">
        <f>_xlfn.XLOOKUP(AllData[[#This Row],[Site Name]],LocationsKey[Site Name],LocationsKey[District])</f>
        <v>#VALUE!</v>
      </c>
      <c r="I1526" t="e" vm="23">
        <f>_xlfn.XLOOKUP(AllData[[#This Row],[Site Name]],LocationsKey[Site Name],LocationsKey[Town])</f>
        <v>#VALUE!</v>
      </c>
      <c r="J1526" t="str">
        <f>_xlfn.XLOOKUP(AllData[[#This Row],[Site Name]],LocationsKey[Site Name], LocationsKey[Waterway])</f>
        <v>Sherbourne Brook</v>
      </c>
      <c r="K1526" t="s">
        <v>541</v>
      </c>
      <c r="L1526">
        <v>52.252499999999998</v>
      </c>
      <c r="M1526">
        <v>-1.6685000000000001</v>
      </c>
      <c r="N1526" t="s">
        <v>25</v>
      </c>
      <c r="O1526">
        <v>1070</v>
      </c>
      <c r="P1526">
        <v>14.5</v>
      </c>
      <c r="Q1526">
        <v>10</v>
      </c>
      <c r="R1526" s="107" t="str">
        <f>IF(AllData[[#This Row],[Nitrate (PPM)]]&gt;2, "Very high", IF(AllData[[#This Row],[Nitrate (PPM)]]&gt;1, "High", IF(AllData[[#This Row],[Nitrate (PPM)]]&gt;0.5, "Some evidence", IF(AllData[[#This Row],[Nitrate (PPM)]]&gt;=0, "No evidence"))))</f>
        <v>Very high</v>
      </c>
      <c r="S1526" s="112">
        <v>0.37</v>
      </c>
      <c r="T1526" s="7" t="str">
        <f>IF(AllData[[#This Row],[Phosphate (PPM)]]&gt;0.5, "Very high", IF(AllData[[#This Row],[Phosphate (PPM)]]&gt;0.1, "High", IF(AllData[[#This Row],[Phosphate (PPM)]]&gt;0.05, "Some evidence", IF(AllData[[#This Row],[Phosphate (PPM)]]&lt;=0.05, "No Evidence", ""))))</f>
        <v>High</v>
      </c>
      <c r="U1526">
        <v>0.15</v>
      </c>
    </row>
    <row r="1527" spans="1:22" x14ac:dyDescent="0.35">
      <c r="A1527" t="s">
        <v>1276</v>
      </c>
      <c r="B1527" s="143">
        <v>45425</v>
      </c>
      <c r="C1527" s="2" t="str" cm="1">
        <f t="array" ref="C15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7">
        <f>YEAR(AllData[[#This Row],[Date]])</f>
        <v>2024</v>
      </c>
      <c r="E1527" s="1">
        <v>0.42708333333333331</v>
      </c>
      <c r="F1527" t="str">
        <f>IF(AND(AllData[[#This Row],[Time]]&lt;0.5, AllData[[#This Row],[Time]]&gt;0.17)=TRUE, "Morning", IF(AND(AllData[[#This Row],[Time]]&lt;0.75, AllData[[#This Row],[Time]]&gt;=0.5)=TRUE, "Afternoon", IF(AND(AllData[[#This Row],[Time]]&lt;1, AllData[[#This Row],[Time]]&gt;=0.75)=TRUE, "Evening", "Night")))</f>
        <v>Morning</v>
      </c>
      <c r="G1527" t="str">
        <f>_xlfn.XLOOKUP(AllData[[#This Row],[Location Name]], Locations[Location Name],Locations[Group As])</f>
        <v>Bell Brook 1</v>
      </c>
      <c r="H1527" t="e" vm="1">
        <f>_xlfn.XLOOKUP(AllData[[#This Row],[Site Name]],LocationsKey[Site Name],LocationsKey[District])</f>
        <v>#VALUE!</v>
      </c>
      <c r="I1527" t="e" vm="19">
        <f>_xlfn.XLOOKUP(AllData[[#This Row],[Site Name]],LocationsKey[Site Name],LocationsKey[Town])</f>
        <v>#VALUE!</v>
      </c>
      <c r="J1527" t="str">
        <f>_xlfn.XLOOKUP(AllData[[#This Row],[Site Name]],LocationsKey[Site Name], LocationsKey[Waterway])</f>
        <v>Bell Brook</v>
      </c>
      <c r="K1527" t="s">
        <v>538</v>
      </c>
      <c r="L1527">
        <v>52.244900000000001</v>
      </c>
      <c r="M1527">
        <v>-1.6617</v>
      </c>
      <c r="N1527" t="s">
        <v>25</v>
      </c>
      <c r="O1527">
        <v>813</v>
      </c>
      <c r="P1527">
        <v>15.6</v>
      </c>
      <c r="Q1527">
        <v>6</v>
      </c>
      <c r="R1527" s="107" t="str">
        <f>IF(AllData[[#This Row],[Nitrate (PPM)]]&gt;2, "Very high", IF(AllData[[#This Row],[Nitrate (PPM)]]&gt;1, "High", IF(AllData[[#This Row],[Nitrate (PPM)]]&gt;0.5, "Some evidence", IF(AllData[[#This Row],[Nitrate (PPM)]]&gt;=0, "No evidence"))))</f>
        <v>Very high</v>
      </c>
      <c r="S1527" s="112">
        <v>0.36</v>
      </c>
      <c r="T1527" s="7" t="str">
        <f>IF(AllData[[#This Row],[Phosphate (PPM)]]&gt;0.5, "Very high", IF(AllData[[#This Row],[Phosphate (PPM)]]&gt;0.1, "High", IF(AllData[[#This Row],[Phosphate (PPM)]]&gt;0.05, "Some evidence", IF(AllData[[#This Row],[Phosphate (PPM)]]&lt;=0.05, "No Evidence", ""))))</f>
        <v>High</v>
      </c>
      <c r="U1527">
        <v>0.1</v>
      </c>
    </row>
    <row r="1528" spans="1:22" x14ac:dyDescent="0.35">
      <c r="A1528" t="s">
        <v>1273</v>
      </c>
      <c r="B1528" s="143">
        <v>45425</v>
      </c>
      <c r="C1528" s="2" t="str" cm="1">
        <f t="array" ref="C15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8">
        <f>YEAR(AllData[[#This Row],[Date]])</f>
        <v>2024</v>
      </c>
      <c r="E1528" s="1">
        <v>0.40416666666666667</v>
      </c>
      <c r="F1528" t="str">
        <f>IF(AND(AllData[[#This Row],[Time]]&lt;0.5, AllData[[#This Row],[Time]]&gt;0.17)=TRUE, "Morning", IF(AND(AllData[[#This Row],[Time]]&lt;0.75, AllData[[#This Row],[Time]]&gt;=0.5)=TRUE, "Afternoon", IF(AND(AllData[[#This Row],[Time]]&lt;1, AllData[[#This Row],[Time]]&gt;=0.75)=TRUE, "Evening", "Night")))</f>
        <v>Morning</v>
      </c>
      <c r="G1528" t="str">
        <f>_xlfn.XLOOKUP(AllData[[#This Row],[Location Name]], Locations[Location Name],Locations[Group As])</f>
        <v>Stour Stretton-on-Fosse Sewage Works</v>
      </c>
      <c r="H1528" t="e" vm="1">
        <f>_xlfn.XLOOKUP(AllData[[#This Row],[Site Name]],LocationsKey[Site Name],LocationsKey[District])</f>
        <v>#VALUE!</v>
      </c>
      <c r="I1528" t="e" vm="30">
        <f>_xlfn.XLOOKUP(AllData[[#This Row],[Site Name]],LocationsKey[Site Name],LocationsKey[Town])</f>
        <v>#VALUE!</v>
      </c>
      <c r="J1528" t="str">
        <f>_xlfn.XLOOKUP(AllData[[#This Row],[Site Name]],LocationsKey[Site Name], LocationsKey[Waterway])</f>
        <v>Stour</v>
      </c>
      <c r="K1528" t="s">
        <v>337</v>
      </c>
      <c r="L1528">
        <v>52.045647000000002</v>
      </c>
      <c r="M1528">
        <v>-1.6719360000000001</v>
      </c>
      <c r="N1528" t="s">
        <v>31</v>
      </c>
      <c r="O1528">
        <v>850</v>
      </c>
      <c r="P1528">
        <v>14.3</v>
      </c>
      <c r="Q1528">
        <v>3</v>
      </c>
      <c r="R1528" s="107" t="str">
        <f>IF(AllData[[#This Row],[Nitrate (PPM)]]&gt;2, "Very high", IF(AllData[[#This Row],[Nitrate (PPM)]]&gt;1, "High", IF(AllData[[#This Row],[Nitrate (PPM)]]&gt;0.5, "Some evidence", IF(AllData[[#This Row],[Nitrate (PPM)]]&gt;=0, "No evidence"))))</f>
        <v>Very high</v>
      </c>
      <c r="S1528" s="112">
        <v>2.5</v>
      </c>
      <c r="T1528" s="7" t="str">
        <f>IF(AllData[[#This Row],[Phosphate (PPM)]]&gt;0.5, "Very high", IF(AllData[[#This Row],[Phosphate (PPM)]]&gt;0.1, "High", IF(AllData[[#This Row],[Phosphate (PPM)]]&gt;0.05, "Some evidence", IF(AllData[[#This Row],[Phosphate (PPM)]]&lt;=0.05, "No Evidence", ""))))</f>
        <v>Very high</v>
      </c>
      <c r="U1528">
        <v>0.25</v>
      </c>
      <c r="V1528" t="s">
        <v>1274</v>
      </c>
    </row>
    <row r="1529" spans="1:22" x14ac:dyDescent="0.35">
      <c r="A1529" t="s">
        <v>1272</v>
      </c>
      <c r="B1529" s="143">
        <v>45425</v>
      </c>
      <c r="C1529" s="2" t="str" cm="1">
        <f t="array" ref="C15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29">
        <f>YEAR(AllData[[#This Row],[Date]])</f>
        <v>2024</v>
      </c>
      <c r="E1529" s="1">
        <v>0.39791666666666664</v>
      </c>
      <c r="F1529" t="str">
        <f>IF(AND(AllData[[#This Row],[Time]]&lt;0.5, AllData[[#This Row],[Time]]&gt;0.17)=TRUE, "Morning", IF(AND(AllData[[#This Row],[Time]]&lt;0.75, AllData[[#This Row],[Time]]&gt;=0.5)=TRUE, "Afternoon", IF(AND(AllData[[#This Row],[Time]]&lt;1, AllData[[#This Row],[Time]]&gt;=0.75)=TRUE, "Evening", "Night")))</f>
        <v>Morning</v>
      </c>
      <c r="G1529" t="str">
        <f>_xlfn.XLOOKUP(AllData[[#This Row],[Location Name]], Locations[Location Name],Locations[Group As])</f>
        <v>Stour Stretton-on-Fosse Village</v>
      </c>
      <c r="H1529" t="e" vm="1">
        <f>_xlfn.XLOOKUP(AllData[[#This Row],[Site Name]],LocationsKey[Site Name],LocationsKey[District])</f>
        <v>#VALUE!</v>
      </c>
      <c r="I1529" t="e" vm="30">
        <f>_xlfn.XLOOKUP(AllData[[#This Row],[Site Name]],LocationsKey[Site Name],LocationsKey[Town])</f>
        <v>#VALUE!</v>
      </c>
      <c r="J1529" t="str">
        <f>_xlfn.XLOOKUP(AllData[[#This Row],[Site Name]],LocationsKey[Site Name], LocationsKey[Waterway])</f>
        <v>Stour</v>
      </c>
      <c r="K1529" t="s">
        <v>548</v>
      </c>
      <c r="L1529">
        <v>52.046539000000003</v>
      </c>
      <c r="M1529">
        <v>-1.673413</v>
      </c>
      <c r="N1529" t="s">
        <v>68</v>
      </c>
      <c r="O1529">
        <v>760</v>
      </c>
      <c r="P1529">
        <v>14.5</v>
      </c>
      <c r="Q1529">
        <v>2</v>
      </c>
      <c r="R1529" s="107" t="str">
        <f>IF(AllData[[#This Row],[Nitrate (PPM)]]&gt;2, "Very high", IF(AllData[[#This Row],[Nitrate (PPM)]]&gt;1, "High", IF(AllData[[#This Row],[Nitrate (PPM)]]&gt;0.5, "Some evidence", IF(AllData[[#This Row],[Nitrate (PPM)]]&gt;=0, "No evidence"))))</f>
        <v>High</v>
      </c>
      <c r="S1529" s="112">
        <v>2.5</v>
      </c>
      <c r="T1529" s="7" t="str">
        <f>IF(AllData[[#This Row],[Phosphate (PPM)]]&gt;0.5, "Very high", IF(AllData[[#This Row],[Phosphate (PPM)]]&gt;0.1, "High", IF(AllData[[#This Row],[Phosphate (PPM)]]&gt;0.05, "Some evidence", IF(AllData[[#This Row],[Phosphate (PPM)]]&lt;=0.05, "No Evidence", ""))))</f>
        <v>Very high</v>
      </c>
      <c r="U1529">
        <v>0.2</v>
      </c>
    </row>
    <row r="1530" spans="1:22" x14ac:dyDescent="0.35">
      <c r="A1530" t="s">
        <v>1271</v>
      </c>
      <c r="B1530" s="143">
        <v>45424</v>
      </c>
      <c r="C1530" s="2" t="str" cm="1">
        <f t="array" ref="C15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0">
        <f>YEAR(AllData[[#This Row],[Date]])</f>
        <v>2024</v>
      </c>
      <c r="E1530" s="1">
        <v>0.69027777777777777</v>
      </c>
      <c r="F1530" t="str">
        <f>IF(AND(AllData[[#This Row],[Time]]&lt;0.5, AllData[[#This Row],[Time]]&gt;0.17)=TRUE, "Morning", IF(AND(AllData[[#This Row],[Time]]&lt;0.75, AllData[[#This Row],[Time]]&gt;=0.5)=TRUE, "Afternoon", IF(AND(AllData[[#This Row],[Time]]&lt;1, AllData[[#This Row],[Time]]&gt;=0.75)=TRUE, "Evening", "Night")))</f>
        <v>Afternoon</v>
      </c>
      <c r="G1530" t="str">
        <f>_xlfn.XLOOKUP(AllData[[#This Row],[Location Name]], Locations[Location Name],Locations[Group As])</f>
        <v>Black Bear</v>
      </c>
      <c r="H1530" t="e" vm="4">
        <f>_xlfn.XLOOKUP(AllData[[#This Row],[Site Name]],LocationsKey[Site Name],LocationsKey[District])</f>
        <v>#VALUE!</v>
      </c>
      <c r="I1530" t="e" vm="4">
        <f>_xlfn.XLOOKUP(AllData[[#This Row],[Site Name]],LocationsKey[Site Name],LocationsKey[Town])</f>
        <v>#VALUE!</v>
      </c>
      <c r="J1530" t="str">
        <f>_xlfn.XLOOKUP(AllData[[#This Row],[Site Name]],LocationsKey[Site Name], LocationsKey[Waterway])</f>
        <v>Avon</v>
      </c>
      <c r="K1530" t="s">
        <v>572</v>
      </c>
      <c r="L1530">
        <v>51.997379000000002</v>
      </c>
      <c r="M1530">
        <v>-2.1561949999999999</v>
      </c>
      <c r="N1530" t="s">
        <v>25</v>
      </c>
      <c r="O1530">
        <v>844</v>
      </c>
      <c r="P1530">
        <v>20.7</v>
      </c>
      <c r="Q1530">
        <v>10</v>
      </c>
      <c r="R1530" s="107" t="str">
        <f>IF(AllData[[#This Row],[Nitrate (PPM)]]&gt;2, "Very high", IF(AllData[[#This Row],[Nitrate (PPM)]]&gt;1, "High", IF(AllData[[#This Row],[Nitrate (PPM)]]&gt;0.5, "Some evidence", IF(AllData[[#This Row],[Nitrate (PPM)]]&gt;=0, "No evidence"))))</f>
        <v>Very high</v>
      </c>
      <c r="S1530" s="112">
        <v>0.32</v>
      </c>
      <c r="T1530" s="7" t="str">
        <f>IF(AllData[[#This Row],[Phosphate (PPM)]]&gt;0.5, "Very high", IF(AllData[[#This Row],[Phosphate (PPM)]]&gt;0.1, "High", IF(AllData[[#This Row],[Phosphate (PPM)]]&gt;0.05, "Some evidence", IF(AllData[[#This Row],[Phosphate (PPM)]]&lt;=0.05, "No Evidence", ""))))</f>
        <v>High</v>
      </c>
      <c r="U1530">
        <v>0</v>
      </c>
    </row>
    <row r="1531" spans="1:22" x14ac:dyDescent="0.35">
      <c r="A1531" t="s">
        <v>1268</v>
      </c>
      <c r="B1531" s="143">
        <v>45424</v>
      </c>
      <c r="C1531" s="2" t="str" cm="1">
        <f t="array" ref="C15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1">
        <f>YEAR(AllData[[#This Row],[Date]])</f>
        <v>2024</v>
      </c>
      <c r="E1531" s="1">
        <v>0.47916666666666669</v>
      </c>
      <c r="F1531" t="str">
        <f>IF(AND(AllData[[#This Row],[Time]]&lt;0.5, AllData[[#This Row],[Time]]&gt;0.17)=TRUE, "Morning", IF(AND(AllData[[#This Row],[Time]]&lt;0.75, AllData[[#This Row],[Time]]&gt;=0.5)=TRUE, "Afternoon", IF(AND(AllData[[#This Row],[Time]]&lt;1, AllData[[#This Row],[Time]]&gt;=0.75)=TRUE, "Evening", "Night")))</f>
        <v>Morning</v>
      </c>
      <c r="G1531" t="str">
        <f>_xlfn.XLOOKUP(AllData[[#This Row],[Location Name]], Locations[Location Name],Locations[Group As])</f>
        <v>Carrant Bredon Rd</v>
      </c>
      <c r="H1531" t="e" vm="4">
        <f>_xlfn.XLOOKUP(AllData[[#This Row],[Site Name]],LocationsKey[Site Name],LocationsKey[District])</f>
        <v>#VALUE!</v>
      </c>
      <c r="I1531" t="e" vm="4">
        <f>_xlfn.XLOOKUP(AllData[[#This Row],[Site Name]],LocationsKey[Site Name],LocationsKey[Town])</f>
        <v>#VALUE!</v>
      </c>
      <c r="J1531" t="str">
        <f>_xlfn.XLOOKUP(AllData[[#This Row],[Site Name]],LocationsKey[Site Name], LocationsKey[Waterway])</f>
        <v>Carrant</v>
      </c>
      <c r="K1531" t="s">
        <v>603</v>
      </c>
      <c r="L1531">
        <v>51.996214000000002</v>
      </c>
      <c r="M1531">
        <v>-2.156126</v>
      </c>
      <c r="N1531" t="s">
        <v>25</v>
      </c>
      <c r="O1531">
        <v>772</v>
      </c>
      <c r="P1531">
        <v>16.600000000000001</v>
      </c>
      <c r="Q1531">
        <v>8</v>
      </c>
      <c r="R1531" s="107" t="str">
        <f>IF(AllData[[#This Row],[Nitrate (PPM)]]&gt;2, "Very high", IF(AllData[[#This Row],[Nitrate (PPM)]]&gt;1, "High", IF(AllData[[#This Row],[Nitrate (PPM)]]&gt;0.5, "Some evidence", IF(AllData[[#This Row],[Nitrate (PPM)]]&gt;=0, "No evidence"))))</f>
        <v>Very high</v>
      </c>
      <c r="S1531" s="112">
        <v>0.32</v>
      </c>
      <c r="T1531" s="7" t="str">
        <f>IF(AllData[[#This Row],[Phosphate (PPM)]]&gt;0.5, "Very high", IF(AllData[[#This Row],[Phosphate (PPM)]]&gt;0.1, "High", IF(AllData[[#This Row],[Phosphate (PPM)]]&gt;0.05, "Some evidence", IF(AllData[[#This Row],[Phosphate (PPM)]]&lt;=0.05, "No Evidence", ""))))</f>
        <v>High</v>
      </c>
      <c r="U1531">
        <v>0.1</v>
      </c>
    </row>
    <row r="1532" spans="1:22" x14ac:dyDescent="0.35">
      <c r="A1532" t="s">
        <v>1270</v>
      </c>
      <c r="B1532" s="143">
        <v>45424</v>
      </c>
      <c r="C1532" s="2" t="str" cm="1">
        <f t="array" ref="C15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2">
        <f>YEAR(AllData[[#This Row],[Date]])</f>
        <v>2024</v>
      </c>
      <c r="E1532" s="1">
        <v>0.58333333333333337</v>
      </c>
      <c r="F1532" t="str">
        <f>IF(AND(AllData[[#This Row],[Time]]&lt;0.5, AllData[[#This Row],[Time]]&gt;0.17)=TRUE, "Morning", IF(AND(AllData[[#This Row],[Time]]&lt;0.75, AllData[[#This Row],[Time]]&gt;=0.5)=TRUE, "Afternoon", IF(AND(AllData[[#This Row],[Time]]&lt;1, AllData[[#This Row],[Time]]&gt;=0.75)=TRUE, "Evening", "Night")))</f>
        <v>Afternoon</v>
      </c>
      <c r="G1532" t="str">
        <f>_xlfn.XLOOKUP(AllData[[#This Row],[Location Name]], Locations[Location Name],Locations[Group As])</f>
        <v>Clifford Chambers Mill Bridge</v>
      </c>
      <c r="H1532" t="e" vm="1">
        <f>_xlfn.XLOOKUP(AllData[[#This Row],[Site Name]],LocationsKey[Site Name],LocationsKey[District])</f>
        <v>#VALUE!</v>
      </c>
      <c r="I1532" t="e" vm="22">
        <f>_xlfn.XLOOKUP(AllData[[#This Row],[Site Name]],LocationsKey[Site Name],LocationsKey[Town])</f>
        <v>#VALUE!</v>
      </c>
      <c r="J1532" t="str">
        <f>_xlfn.XLOOKUP(AllData[[#This Row],[Site Name]],LocationsKey[Site Name], LocationsKey[Waterway])</f>
        <v>Stour</v>
      </c>
      <c r="K1532" t="s">
        <v>266</v>
      </c>
      <c r="L1532">
        <v>52.166370000000001</v>
      </c>
      <c r="M1532">
        <v>-1.708032</v>
      </c>
      <c r="N1532" t="s">
        <v>68</v>
      </c>
      <c r="O1532">
        <v>699</v>
      </c>
      <c r="P1532">
        <v>20.3</v>
      </c>
      <c r="Q1532">
        <v>8</v>
      </c>
      <c r="R1532" s="107" t="str">
        <f>IF(AllData[[#This Row],[Nitrate (PPM)]]&gt;2, "Very high", IF(AllData[[#This Row],[Nitrate (PPM)]]&gt;1, "High", IF(AllData[[#This Row],[Nitrate (PPM)]]&gt;0.5, "Some evidence", IF(AllData[[#This Row],[Nitrate (PPM)]]&gt;=0, "No evidence"))))</f>
        <v>Very high</v>
      </c>
      <c r="S1532" s="112">
        <v>0.24</v>
      </c>
      <c r="T1532" s="7" t="str">
        <f>IF(AllData[[#This Row],[Phosphate (PPM)]]&gt;0.5, "Very high", IF(AllData[[#This Row],[Phosphate (PPM)]]&gt;0.1, "High", IF(AllData[[#This Row],[Phosphate (PPM)]]&gt;0.05, "Some evidence", IF(AllData[[#This Row],[Phosphate (PPM)]]&lt;=0.05, "No Evidence", ""))))</f>
        <v>High</v>
      </c>
      <c r="U1532">
        <v>0.6</v>
      </c>
    </row>
    <row r="1533" spans="1:22" x14ac:dyDescent="0.35">
      <c r="A1533" t="s">
        <v>1269</v>
      </c>
      <c r="B1533" s="143">
        <v>45424</v>
      </c>
      <c r="C1533" s="2" t="str" cm="1">
        <f t="array" ref="C15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3">
        <f>YEAR(AllData[[#This Row],[Date]])</f>
        <v>2024</v>
      </c>
      <c r="E1533" s="1">
        <v>0.47916666666666669</v>
      </c>
      <c r="F1533" t="str">
        <f>IF(AND(AllData[[#This Row],[Time]]&lt;0.5, AllData[[#This Row],[Time]]&gt;0.17)=TRUE, "Morning", IF(AND(AllData[[#This Row],[Time]]&lt;0.75, AllData[[#This Row],[Time]]&gt;=0.5)=TRUE, "Afternoon", IF(AND(AllData[[#This Row],[Time]]&lt;1, AllData[[#This Row],[Time]]&gt;=0.75)=TRUE, "Evening", "Night")))</f>
        <v>Morning</v>
      </c>
      <c r="G1533" t="str">
        <f>_xlfn.XLOOKUP(AllData[[#This Row],[Location Name]], Locations[Location Name],Locations[Group As])</f>
        <v>The Ford, Langley</v>
      </c>
      <c r="H1533" t="e" vm="1">
        <f>_xlfn.XLOOKUP(AllData[[#This Row],[Site Name]],LocationsKey[Site Name],LocationsKey[District])</f>
        <v>#VALUE!</v>
      </c>
      <c r="I1533" t="str">
        <f>_xlfn.XLOOKUP(AllData[[#This Row],[Site Name]],LocationsKey[Site Name],LocationsKey[Town])</f>
        <v>Langley</v>
      </c>
      <c r="J1533" t="str">
        <f>_xlfn.XLOOKUP(AllData[[#This Row],[Site Name]],LocationsKey[Site Name], LocationsKey[Waterway])</f>
        <v>Langley Ford</v>
      </c>
      <c r="K1533" t="s">
        <v>530</v>
      </c>
      <c r="L1533">
        <v>52.269122000000003</v>
      </c>
      <c r="M1533">
        <v>-1.723285</v>
      </c>
      <c r="N1533" t="s">
        <v>31</v>
      </c>
      <c r="O1533">
        <v>789</v>
      </c>
      <c r="P1533">
        <v>14.5</v>
      </c>
      <c r="Q1533">
        <v>5</v>
      </c>
      <c r="R1533" s="107" t="str">
        <f>IF(AllData[[#This Row],[Nitrate (PPM)]]&gt;2, "Very high", IF(AllData[[#This Row],[Nitrate (PPM)]]&gt;1, "High", IF(AllData[[#This Row],[Nitrate (PPM)]]&gt;0.5, "Some evidence", IF(AllData[[#This Row],[Nitrate (PPM)]]&gt;=0, "No evidence"))))</f>
        <v>Very high</v>
      </c>
      <c r="S1533" s="4">
        <v>0.83</v>
      </c>
      <c r="T1533" s="7" t="str">
        <f>IF(AllData[[#This Row],[Phosphate (PPM)]]&gt;0.5, "Very high", IF(AllData[[#This Row],[Phosphate (PPM)]]&gt;0.1, "High", IF(AllData[[#This Row],[Phosphate (PPM)]]&gt;0.05, "Some evidence", IF(AllData[[#This Row],[Phosphate (PPM)]]&lt;=0.05, "No Evidence", ""))))</f>
        <v>Very high</v>
      </c>
      <c r="U1533">
        <v>35</v>
      </c>
    </row>
    <row r="1534" spans="1:22" x14ac:dyDescent="0.35">
      <c r="A1534" t="s">
        <v>1261</v>
      </c>
      <c r="B1534" s="143">
        <v>45423</v>
      </c>
      <c r="C1534" s="2" t="str" cm="1">
        <f t="array" ref="C15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4">
        <f>YEAR(AllData[[#This Row],[Date]])</f>
        <v>2024</v>
      </c>
      <c r="E1534" s="1">
        <v>0.4513888888888889</v>
      </c>
      <c r="F1534" t="str">
        <f>IF(AND(AllData[[#This Row],[Time]]&lt;0.5, AllData[[#This Row],[Time]]&gt;0.17)=TRUE, "Morning", IF(AND(AllData[[#This Row],[Time]]&lt;0.75, AllData[[#This Row],[Time]]&gt;=0.5)=TRUE, "Afternoon", IF(AND(AllData[[#This Row],[Time]]&lt;1, AllData[[#This Row],[Time]]&gt;=0.75)=TRUE, "Evening", "Night")))</f>
        <v>Morning</v>
      </c>
      <c r="G1534" t="str">
        <f>_xlfn.XLOOKUP(AllData[[#This Row],[Location Name]], Locations[Location Name],Locations[Group As])</f>
        <v>Avon Smiths Meadow Wyre Piddle</v>
      </c>
      <c r="H1534" t="e" vm="6">
        <f>_xlfn.XLOOKUP(AllData[[#This Row],[Site Name]],LocationsKey[Site Name],LocationsKey[District])</f>
        <v>#VALUE!</v>
      </c>
      <c r="I1534" t="e" vm="13">
        <f>_xlfn.XLOOKUP(AllData[[#This Row],[Site Name]],LocationsKey[Site Name],LocationsKey[Town])</f>
        <v>#VALUE!</v>
      </c>
      <c r="J1534" t="str">
        <f>_xlfn.XLOOKUP(AllData[[#This Row],[Site Name]],LocationsKey[Site Name], LocationsKey[Waterway])</f>
        <v>Avon</v>
      </c>
      <c r="K1534" t="s">
        <v>784</v>
      </c>
      <c r="L1534">
        <v>52.122858999999998</v>
      </c>
      <c r="M1534">
        <v>-2.0575389999999998</v>
      </c>
      <c r="N1534" t="s">
        <v>25</v>
      </c>
      <c r="O1534">
        <v>886</v>
      </c>
      <c r="P1534">
        <v>17.899999999999999</v>
      </c>
      <c r="Q1534">
        <v>10</v>
      </c>
      <c r="R1534" s="107" t="str">
        <f>IF(AllData[[#This Row],[Nitrate (PPM)]]&gt;2, "Very high", IF(AllData[[#This Row],[Nitrate (PPM)]]&gt;1, "High", IF(AllData[[#This Row],[Nitrate (PPM)]]&gt;0.5, "Some evidence", IF(AllData[[#This Row],[Nitrate (PPM)]]&gt;=0, "No evidence"))))</f>
        <v>Very high</v>
      </c>
      <c r="S1534" s="112">
        <v>0.68</v>
      </c>
      <c r="T1534" s="7" t="str">
        <f>IF(AllData[[#This Row],[Phosphate (PPM)]]&gt;0.5, "Very high", IF(AllData[[#This Row],[Phosphate (PPM)]]&gt;0.1, "High", IF(AllData[[#This Row],[Phosphate (PPM)]]&gt;0.05, "Some evidence", IF(AllData[[#This Row],[Phosphate (PPM)]]&lt;=0.05, "No Evidence", ""))))</f>
        <v>Very high</v>
      </c>
      <c r="U1534">
        <v>0.63</v>
      </c>
      <c r="V1534" t="s">
        <v>1262</v>
      </c>
    </row>
    <row r="1535" spans="1:22" x14ac:dyDescent="0.35">
      <c r="A1535" t="s">
        <v>1263</v>
      </c>
      <c r="B1535" s="143">
        <v>45423</v>
      </c>
      <c r="C1535" s="2" t="str" cm="1">
        <f t="array" ref="C15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5">
        <f>YEAR(AllData[[#This Row],[Date]])</f>
        <v>2024</v>
      </c>
      <c r="E1535" s="1">
        <v>0.47916666666666669</v>
      </c>
      <c r="F1535" t="str">
        <f>IF(AND(AllData[[#This Row],[Time]]&lt;0.5, AllData[[#This Row],[Time]]&gt;0.17)=TRUE, "Morning", IF(AND(AllData[[#This Row],[Time]]&lt;0.75, AllData[[#This Row],[Time]]&gt;=0.5)=TRUE, "Afternoon", IF(AND(AllData[[#This Row],[Time]]&lt;1, AllData[[#This Row],[Time]]&gt;=0.75)=TRUE, "Evening", "Night")))</f>
        <v>Morning</v>
      </c>
      <c r="G1535" t="str">
        <f>_xlfn.XLOOKUP(AllData[[#This Row],[Location Name]], Locations[Location Name],Locations[Group As])</f>
        <v>Piddle Brook Wyre Piddle Bridge</v>
      </c>
      <c r="H1535" t="e" vm="6">
        <f>_xlfn.XLOOKUP(AllData[[#This Row],[Site Name]],LocationsKey[Site Name],LocationsKey[District])</f>
        <v>#VALUE!</v>
      </c>
      <c r="I1535" t="e" vm="13">
        <f>_xlfn.XLOOKUP(AllData[[#This Row],[Site Name]],LocationsKey[Site Name],LocationsKey[Town])</f>
        <v>#VALUE!</v>
      </c>
      <c r="J1535" t="str">
        <f>_xlfn.XLOOKUP(AllData[[#This Row],[Site Name]],LocationsKey[Site Name], LocationsKey[Waterway])</f>
        <v>Piddle Brook</v>
      </c>
      <c r="K1535" t="s">
        <v>787</v>
      </c>
      <c r="L1535">
        <v>52.126404000000001</v>
      </c>
      <c r="M1535">
        <v>-2.0565410000000002</v>
      </c>
      <c r="N1535" t="s">
        <v>25</v>
      </c>
      <c r="O1535">
        <v>1290</v>
      </c>
      <c r="P1535">
        <v>15.8</v>
      </c>
      <c r="Q1535">
        <v>7</v>
      </c>
      <c r="R1535" s="107" t="str">
        <f>IF(AllData[[#This Row],[Nitrate (PPM)]]&gt;2, "Very high", IF(AllData[[#This Row],[Nitrate (PPM)]]&gt;1, "High", IF(AllData[[#This Row],[Nitrate (PPM)]]&gt;0.5, "Some evidence", IF(AllData[[#This Row],[Nitrate (PPM)]]&gt;=0, "No evidence"))))</f>
        <v>Very high</v>
      </c>
      <c r="S1535" s="112">
        <v>0.8</v>
      </c>
      <c r="T1535" s="7" t="str">
        <f>IF(AllData[[#This Row],[Phosphate (PPM)]]&gt;0.5, "Very high", IF(AllData[[#This Row],[Phosphate (PPM)]]&gt;0.1, "High", IF(AllData[[#This Row],[Phosphate (PPM)]]&gt;0.05, "Some evidence", IF(AllData[[#This Row],[Phosphate (PPM)]]&lt;=0.05, "No Evidence", ""))))</f>
        <v>Very high</v>
      </c>
      <c r="U1535">
        <v>0.22</v>
      </c>
      <c r="V1535" t="s">
        <v>1264</v>
      </c>
    </row>
    <row r="1536" spans="1:22" x14ac:dyDescent="0.35">
      <c r="A1536" t="s">
        <v>1265</v>
      </c>
      <c r="B1536" s="143">
        <v>45423</v>
      </c>
      <c r="C1536" s="2" t="str" cm="1">
        <f t="array" ref="C15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6">
        <f>YEAR(AllData[[#This Row],[Date]])</f>
        <v>2024</v>
      </c>
      <c r="E1536" s="1">
        <v>0.86458333333333337</v>
      </c>
      <c r="F1536" t="str">
        <f>IF(AND(AllData[[#This Row],[Time]]&lt;0.5, AllData[[#This Row],[Time]]&gt;0.17)=TRUE, "Morning", IF(AND(AllData[[#This Row],[Time]]&lt;0.75, AllData[[#This Row],[Time]]&gt;=0.5)=TRUE, "Afternoon", IF(AND(AllData[[#This Row],[Time]]&lt;1, AllData[[#This Row],[Time]]&gt;=0.75)=TRUE, "Evening", "Night")))</f>
        <v>Evening</v>
      </c>
      <c r="G1536" t="str">
        <f>_xlfn.XLOOKUP(AllData[[#This Row],[Location Name]], Locations[Location Name],Locations[Group As])</f>
        <v>Fell Mill Footbridge</v>
      </c>
      <c r="H1536" t="e" vm="1">
        <f>_xlfn.XLOOKUP(AllData[[#This Row],[Site Name]],LocationsKey[Site Name],LocationsKey[District])</f>
        <v>#VALUE!</v>
      </c>
      <c r="I1536" t="e" vm="15">
        <f>_xlfn.XLOOKUP(AllData[[#This Row],[Site Name]],LocationsKey[Site Name],LocationsKey[Town])</f>
        <v>#VALUE!</v>
      </c>
      <c r="J1536" t="str">
        <f>_xlfn.XLOOKUP(AllData[[#This Row],[Site Name]],LocationsKey[Site Name], LocationsKey[Waterway])</f>
        <v>Stour</v>
      </c>
      <c r="K1536" t="s">
        <v>875</v>
      </c>
      <c r="L1536">
        <v>52.070086000000003</v>
      </c>
      <c r="M1536">
        <v>-1.61145</v>
      </c>
      <c r="N1536" t="s">
        <v>31</v>
      </c>
      <c r="O1536">
        <v>675</v>
      </c>
      <c r="P1536">
        <v>16</v>
      </c>
      <c r="Q1536">
        <v>5</v>
      </c>
      <c r="R1536" s="107" t="str">
        <f>IF(AllData[[#This Row],[Nitrate (PPM)]]&gt;2, "Very high", IF(AllData[[#This Row],[Nitrate (PPM)]]&gt;1, "High", IF(AllData[[#This Row],[Nitrate (PPM)]]&gt;0.5, "Some evidence", IF(AllData[[#This Row],[Nitrate (PPM)]]&gt;=0, "No evidence"))))</f>
        <v>Very high</v>
      </c>
      <c r="S1536" s="112">
        <v>0.24</v>
      </c>
      <c r="T1536" s="7" t="str">
        <f>IF(AllData[[#This Row],[Phosphate (PPM)]]&gt;0.5, "Very high", IF(AllData[[#This Row],[Phosphate (PPM)]]&gt;0.1, "High", IF(AllData[[#This Row],[Phosphate (PPM)]]&gt;0.05, "Some evidence", IF(AllData[[#This Row],[Phosphate (PPM)]]&lt;=0.05, "No Evidence", ""))))</f>
        <v>High</v>
      </c>
      <c r="U1536">
        <v>1.3</v>
      </c>
      <c r="V1536" t="s">
        <v>1266</v>
      </c>
    </row>
    <row r="1537" spans="1:22" x14ac:dyDescent="0.35">
      <c r="A1537" t="s">
        <v>1267</v>
      </c>
      <c r="B1537" s="143">
        <v>45423</v>
      </c>
      <c r="C1537" s="2" t="str" cm="1">
        <f t="array" ref="C15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7">
        <f>YEAR(AllData[[#This Row],[Date]])</f>
        <v>2024</v>
      </c>
      <c r="E1537" s="1">
        <v>0.67361111111111116</v>
      </c>
      <c r="F1537" t="str">
        <f>IF(AND(AllData[[#This Row],[Time]]&lt;0.5, AllData[[#This Row],[Time]]&gt;0.17)=TRUE, "Morning", IF(AND(AllData[[#This Row],[Time]]&lt;0.75, AllData[[#This Row],[Time]]&gt;=0.5)=TRUE, "Afternoon", IF(AND(AllData[[#This Row],[Time]]&lt;1, AllData[[#This Row],[Time]]&gt;=0.75)=TRUE, "Evening", "Night")))</f>
        <v>Afternoon</v>
      </c>
      <c r="G1537" t="str">
        <f>_xlfn.XLOOKUP(AllData[[#This Row],[Location Name]], Locations[Location Name],Locations[Group As])</f>
        <v>Stour Ascott Village</v>
      </c>
      <c r="H1537" t="e" vm="1">
        <f>_xlfn.XLOOKUP(AllData[[#This Row],[Site Name]],LocationsKey[Site Name],LocationsKey[District])</f>
        <v>#VALUE!</v>
      </c>
      <c r="I1537" t="e" vm="25">
        <f>_xlfn.XLOOKUP(AllData[[#This Row],[Site Name]],LocationsKey[Site Name],LocationsKey[Town])</f>
        <v>#VALUE!</v>
      </c>
      <c r="J1537" t="str">
        <f>_xlfn.XLOOKUP(AllData[[#This Row],[Site Name]],LocationsKey[Site Name], LocationsKey[Waterway])</f>
        <v>Stour</v>
      </c>
      <c r="K1537" t="s">
        <v>927</v>
      </c>
      <c r="N1537" t="s">
        <v>68</v>
      </c>
      <c r="O1537">
        <v>553</v>
      </c>
      <c r="P1537">
        <v>19</v>
      </c>
      <c r="Q1537">
        <v>5</v>
      </c>
      <c r="R1537" s="107" t="str">
        <f>IF(AllData[[#This Row],[Nitrate (PPM)]]&gt;2, "Very high", IF(AllData[[#This Row],[Nitrate (PPM)]]&gt;1, "High", IF(AllData[[#This Row],[Nitrate (PPM)]]&gt;0.5, "Some evidence", IF(AllData[[#This Row],[Nitrate (PPM)]]&gt;=0, "No evidence"))))</f>
        <v>Very high</v>
      </c>
      <c r="S1537">
        <v>0.03</v>
      </c>
      <c r="T1537" s="7" t="str">
        <f>IF(AllData[[#This Row],[Phosphate (PPM)]]&gt;0.5, "Very high", IF(AllData[[#This Row],[Phosphate (PPM)]]&gt;0.1, "High", IF(AllData[[#This Row],[Phosphate (PPM)]]&gt;0.05, "Some evidence", IF(AllData[[#This Row],[Phosphate (PPM)]]&lt;=0.05, "No Evidence", ""))))</f>
        <v>No Evidence</v>
      </c>
      <c r="U1537">
        <v>10</v>
      </c>
    </row>
    <row r="1538" spans="1:22" x14ac:dyDescent="0.35">
      <c r="A1538" t="s">
        <v>1253</v>
      </c>
      <c r="B1538" s="143">
        <v>45422</v>
      </c>
      <c r="C1538" s="2" t="str" cm="1">
        <f t="array" ref="C15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8">
        <f>YEAR(AllData[[#This Row],[Date]])</f>
        <v>2024</v>
      </c>
      <c r="E1538" s="1">
        <v>0.34930555555555554</v>
      </c>
      <c r="F1538" t="str">
        <f>IF(AND(AllData[[#This Row],[Time]]&lt;0.5, AllData[[#This Row],[Time]]&gt;0.17)=TRUE, "Morning", IF(AND(AllData[[#This Row],[Time]]&lt;0.75, AllData[[#This Row],[Time]]&gt;=0.5)=TRUE, "Afternoon", IF(AND(AllData[[#This Row],[Time]]&lt;1, AllData[[#This Row],[Time]]&gt;=0.75)=TRUE, "Evening", "Night")))</f>
        <v>Morning</v>
      </c>
      <c r="G1538" t="str">
        <f>_xlfn.XLOOKUP(AllData[[#This Row],[Location Name]], Locations[Location Name],Locations[Group As])</f>
        <v>Lower Lode</v>
      </c>
      <c r="H1538" t="e" vm="4">
        <f>_xlfn.XLOOKUP(AllData[[#This Row],[Site Name]],LocationsKey[Site Name],LocationsKey[District])</f>
        <v>#VALUE!</v>
      </c>
      <c r="I1538" t="e" vm="4">
        <f>_xlfn.XLOOKUP(AllData[[#This Row],[Site Name]],LocationsKey[Site Name],LocationsKey[Town])</f>
        <v>#VALUE!</v>
      </c>
      <c r="J1538" t="str">
        <f>_xlfn.XLOOKUP(AllData[[#This Row],[Site Name]],LocationsKey[Site Name], LocationsKey[Waterway])</f>
        <v>Avon</v>
      </c>
      <c r="K1538" t="s">
        <v>595</v>
      </c>
      <c r="L1538">
        <v>51.985084999999998</v>
      </c>
      <c r="M1538">
        <v>-2.1741959999999998</v>
      </c>
      <c r="N1538" t="s">
        <v>31</v>
      </c>
      <c r="O1538">
        <v>8750</v>
      </c>
      <c r="P1538">
        <v>17.7</v>
      </c>
      <c r="Q1538">
        <v>10</v>
      </c>
      <c r="R1538" s="107" t="str">
        <f>IF(AllData[[#This Row],[Nitrate (PPM)]]&gt;2, "Very high", IF(AllData[[#This Row],[Nitrate (PPM)]]&gt;1, "High", IF(AllData[[#This Row],[Nitrate (PPM)]]&gt;0.5, "Some evidence", IF(AllData[[#This Row],[Nitrate (PPM)]]&gt;=0, "No evidence"))))</f>
        <v>Very high</v>
      </c>
      <c r="S1538" s="112">
        <v>0.32</v>
      </c>
      <c r="T1538" s="7" t="str">
        <f>IF(AllData[[#This Row],[Phosphate (PPM)]]&gt;0.5, "Very high", IF(AllData[[#This Row],[Phosphate (PPM)]]&gt;0.1, "High", IF(AllData[[#This Row],[Phosphate (PPM)]]&gt;0.05, "Some evidence", IF(AllData[[#This Row],[Phosphate (PPM)]]&lt;=0.05, "No Evidence", ""))))</f>
        <v>High</v>
      </c>
      <c r="U1538">
        <v>1</v>
      </c>
    </row>
    <row r="1539" spans="1:22" x14ac:dyDescent="0.35">
      <c r="A1539" t="s">
        <v>1260</v>
      </c>
      <c r="B1539" s="143">
        <v>45422</v>
      </c>
      <c r="C1539" s="2" t="str" cm="1">
        <f t="array" ref="C15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39">
        <f>YEAR(AllData[[#This Row],[Date]])</f>
        <v>2024</v>
      </c>
      <c r="E1539" s="1"/>
      <c r="F1539" t="str">
        <f>IF(AND(AllData[[#This Row],[Time]]&lt;0.5, AllData[[#This Row],[Time]]&gt;0.17)=TRUE, "Morning", IF(AND(AllData[[#This Row],[Time]]&lt;0.75, AllData[[#This Row],[Time]]&gt;=0.5)=TRUE, "Afternoon", IF(AND(AllData[[#This Row],[Time]]&lt;1, AllData[[#This Row],[Time]]&gt;=0.75)=TRUE, "Evening", "Night")))</f>
        <v>Night</v>
      </c>
      <c r="G1539" t="str">
        <f>_xlfn.XLOOKUP(AllData[[#This Row],[Location Name]], Locations[Location Name],Locations[Group As])</f>
        <v>Site 3  :  Severn Trent Water processing plant outflow</v>
      </c>
      <c r="H1539" t="e" vm="1">
        <f>_xlfn.XLOOKUP(AllData[[#This Row],[Site Name]],LocationsKey[Site Name],LocationsKey[District])</f>
        <v>#VALUE!</v>
      </c>
      <c r="I1539" t="e" vm="14">
        <f>_xlfn.XLOOKUP(AllData[[#This Row],[Site Name]],LocationsKey[Site Name],LocationsKey[Town])</f>
        <v>#VALUE!</v>
      </c>
      <c r="J1539" t="str">
        <f>_xlfn.XLOOKUP(AllData[[#This Row],[Site Name]],LocationsKey[Site Name], LocationsKey[Waterway])</f>
        <v>Fosseway Brook</v>
      </c>
      <c r="K1539" t="s">
        <v>676</v>
      </c>
      <c r="N1539" t="s">
        <v>31</v>
      </c>
      <c r="O1539">
        <v>829</v>
      </c>
      <c r="P1539">
        <v>18.2</v>
      </c>
      <c r="Q1539">
        <v>10</v>
      </c>
      <c r="R1539" s="107" t="str">
        <f>IF(AllData[[#This Row],[Nitrate (PPM)]]&gt;2, "Very high", IF(AllData[[#This Row],[Nitrate (PPM)]]&gt;1, "High", IF(AllData[[#This Row],[Nitrate (PPM)]]&gt;0.5, "Some evidence", IF(AllData[[#This Row],[Nitrate (PPM)]]&gt;=0, "No evidence"))))</f>
        <v>Very high</v>
      </c>
      <c r="S1539" s="4">
        <v>2.2999999999999998</v>
      </c>
      <c r="T1539" s="7" t="str">
        <f>IF(AllData[[#This Row],[Phosphate (PPM)]]&gt;0.5, "Very high", IF(AllData[[#This Row],[Phosphate (PPM)]]&gt;0.1, "High", IF(AllData[[#This Row],[Phosphate (PPM)]]&gt;0.05, "Some evidence", IF(AllData[[#This Row],[Phosphate (PPM)]]&lt;=0.05, "No Evidence", ""))))</f>
        <v>Very high</v>
      </c>
    </row>
    <row r="1540" spans="1:22" x14ac:dyDescent="0.35">
      <c r="A1540" t="s">
        <v>1258</v>
      </c>
      <c r="B1540" s="143">
        <v>45422</v>
      </c>
      <c r="C1540" s="2" t="str" cm="1">
        <f t="array" ref="C15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0">
        <f>YEAR(AllData[[#This Row],[Date]])</f>
        <v>2024</v>
      </c>
      <c r="F1540" t="str">
        <f>IF(AND(AllData[[#This Row],[Time]]&lt;0.5, AllData[[#This Row],[Time]]&gt;0.17)=TRUE, "Morning", IF(AND(AllData[[#This Row],[Time]]&lt;0.75, AllData[[#This Row],[Time]]&gt;=0.5)=TRUE, "Afternoon", IF(AND(AllData[[#This Row],[Time]]&lt;1, AllData[[#This Row],[Time]]&gt;=0.75)=TRUE, "Evening", "Night")))</f>
        <v>Night</v>
      </c>
      <c r="G1540" t="str">
        <f>_xlfn.XLOOKUP(AllData[[#This Row],[Location Name]], Locations[Location Name],Locations[Group As])</f>
        <v>Site 3  :  Severn Trent Water processing plant outflow</v>
      </c>
      <c r="H1540" t="e" vm="1">
        <f>_xlfn.XLOOKUP(AllData[[#This Row],[Site Name]],LocationsKey[Site Name],LocationsKey[District])</f>
        <v>#VALUE!</v>
      </c>
      <c r="I1540" t="e" vm="14">
        <f>_xlfn.XLOOKUP(AllData[[#This Row],[Site Name]],LocationsKey[Site Name],LocationsKey[Town])</f>
        <v>#VALUE!</v>
      </c>
      <c r="J1540" t="str">
        <f>_xlfn.XLOOKUP(AllData[[#This Row],[Site Name]],LocationsKey[Site Name], LocationsKey[Waterway])</f>
        <v>Fosseway Brook</v>
      </c>
      <c r="K1540" t="s">
        <v>673</v>
      </c>
      <c r="N1540" t="s">
        <v>31</v>
      </c>
      <c r="O1540">
        <v>829</v>
      </c>
      <c r="P1540">
        <v>18.2</v>
      </c>
      <c r="Q1540">
        <v>10</v>
      </c>
      <c r="R1540" s="107" t="str">
        <f>IF(AllData[[#This Row],[Nitrate (PPM)]]&gt;2, "Very high", IF(AllData[[#This Row],[Nitrate (PPM)]]&gt;1, "High", IF(AllData[[#This Row],[Nitrate (PPM)]]&gt;0.5, "Some evidence", IF(AllData[[#This Row],[Nitrate (PPM)]]&gt;=0, "No evidence"))))</f>
        <v>Very high</v>
      </c>
      <c r="S1540" s="4">
        <v>2.2999999999999998</v>
      </c>
      <c r="T1540" s="7" t="str">
        <f>IF(AllData[[#This Row],[Phosphate (PPM)]]&gt;0.5, "Very high", IF(AllData[[#This Row],[Phosphate (PPM)]]&gt;0.1, "High", IF(AllData[[#This Row],[Phosphate (PPM)]]&gt;0.05, "Some evidence", IF(AllData[[#This Row],[Phosphate (PPM)]]&lt;=0.05, "No Evidence", ""))))</f>
        <v>Very high</v>
      </c>
      <c r="U1540">
        <v>0</v>
      </c>
      <c r="V1540" t="s">
        <v>1259</v>
      </c>
    </row>
    <row r="1541" spans="1:22" x14ac:dyDescent="0.35">
      <c r="A1541" t="s">
        <v>1257</v>
      </c>
      <c r="B1541" s="143">
        <v>45422</v>
      </c>
      <c r="C1541" s="2" t="str" cm="1">
        <f t="array" ref="C15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1">
        <f>YEAR(AllData[[#This Row],[Date]])</f>
        <v>2024</v>
      </c>
      <c r="E1541" s="1"/>
      <c r="F1541" t="str">
        <f>IF(AND(AllData[[#This Row],[Time]]&lt;0.5, AllData[[#This Row],[Time]]&gt;0.17)=TRUE, "Morning", IF(AND(AllData[[#This Row],[Time]]&lt;0.75, AllData[[#This Row],[Time]]&gt;=0.5)=TRUE, "Afternoon", IF(AND(AllData[[#This Row],[Time]]&lt;1, AllData[[#This Row],[Time]]&gt;=0.75)=TRUE, "Evening", "Night")))</f>
        <v>Night</v>
      </c>
      <c r="G1541" t="str">
        <f>_xlfn.XLOOKUP(AllData[[#This Row],[Location Name]], Locations[Location Name],Locations[Group As])</f>
        <v>Site 2  :  Cross Leys culvert</v>
      </c>
      <c r="H1541" t="e" vm="1">
        <f>_xlfn.XLOOKUP(AllData[[#This Row],[Site Name]],LocationsKey[Site Name],LocationsKey[District])</f>
        <v>#VALUE!</v>
      </c>
      <c r="I1541" t="e" vm="14">
        <f>_xlfn.XLOOKUP(AllData[[#This Row],[Site Name]],LocationsKey[Site Name],LocationsKey[Town])</f>
        <v>#VALUE!</v>
      </c>
      <c r="J1541" t="str">
        <f>_xlfn.XLOOKUP(AllData[[#This Row],[Site Name]],LocationsKey[Site Name], LocationsKey[Waterway])</f>
        <v>Fosseway Brook</v>
      </c>
      <c r="K1541" t="s">
        <v>626</v>
      </c>
      <c r="N1541" t="s">
        <v>68</v>
      </c>
      <c r="O1541">
        <v>616</v>
      </c>
      <c r="P1541">
        <v>19.600000000000001</v>
      </c>
      <c r="Q1541">
        <v>3.5</v>
      </c>
      <c r="R1541" s="107" t="str">
        <f>IF(AllData[[#This Row],[Nitrate (PPM)]]&gt;2, "Very high", IF(AllData[[#This Row],[Nitrate (PPM)]]&gt;1, "High", IF(AllData[[#This Row],[Nitrate (PPM)]]&gt;0.5, "Some evidence", IF(AllData[[#This Row],[Nitrate (PPM)]]&gt;=0, "No evidence"))))</f>
        <v>Very high</v>
      </c>
      <c r="S1541" s="4">
        <v>0.7</v>
      </c>
      <c r="T1541" s="7" t="str">
        <f>IF(AllData[[#This Row],[Phosphate (PPM)]]&gt;0.5, "Very high", IF(AllData[[#This Row],[Phosphate (PPM)]]&gt;0.1, "High", IF(AllData[[#This Row],[Phosphate (PPM)]]&gt;0.05, "Some evidence", IF(AllData[[#This Row],[Phosphate (PPM)]]&lt;=0.05, "No Evidence", ""))))</f>
        <v>Very high</v>
      </c>
    </row>
    <row r="1542" spans="1:22" x14ac:dyDescent="0.35">
      <c r="A1542" t="s">
        <v>1256</v>
      </c>
      <c r="B1542" s="143">
        <v>45422</v>
      </c>
      <c r="C1542" s="2" t="str" cm="1">
        <f t="array" ref="C15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2">
        <f>YEAR(AllData[[#This Row],[Date]])</f>
        <v>2024</v>
      </c>
      <c r="F1542" t="str">
        <f>IF(AND(AllData[[#This Row],[Time]]&lt;0.5, AllData[[#This Row],[Time]]&gt;0.17)=TRUE, "Morning", IF(AND(AllData[[#This Row],[Time]]&lt;0.75, AllData[[#This Row],[Time]]&gt;=0.5)=TRUE, "Afternoon", IF(AND(AllData[[#This Row],[Time]]&lt;1, AllData[[#This Row],[Time]]&gt;=0.75)=TRUE, "Evening", "Night")))</f>
        <v>Night</v>
      </c>
      <c r="G1542" t="str">
        <f>_xlfn.XLOOKUP(AllData[[#This Row],[Location Name]], Locations[Location Name],Locations[Group As])</f>
        <v>Site 2  :  Cross Leys culvert</v>
      </c>
      <c r="H1542" t="e" vm="1">
        <f>_xlfn.XLOOKUP(AllData[[#This Row],[Site Name]],LocationsKey[Site Name],LocationsKey[District])</f>
        <v>#VALUE!</v>
      </c>
      <c r="I1542" t="e" vm="14">
        <f>_xlfn.XLOOKUP(AllData[[#This Row],[Site Name]],LocationsKey[Site Name],LocationsKey[Town])</f>
        <v>#VALUE!</v>
      </c>
      <c r="J1542" t="str">
        <f>_xlfn.XLOOKUP(AllData[[#This Row],[Site Name]],LocationsKey[Site Name], LocationsKey[Waterway])</f>
        <v>Fosseway Brook</v>
      </c>
      <c r="K1542" t="s">
        <v>623</v>
      </c>
      <c r="N1542" t="s">
        <v>68</v>
      </c>
      <c r="O1542">
        <v>616</v>
      </c>
      <c r="P1542">
        <v>19.600000000000001</v>
      </c>
      <c r="Q1542">
        <v>3.5</v>
      </c>
      <c r="R1542" s="107" t="str">
        <f>IF(AllData[[#This Row],[Nitrate (PPM)]]&gt;2, "Very high", IF(AllData[[#This Row],[Nitrate (PPM)]]&gt;1, "High", IF(AllData[[#This Row],[Nitrate (PPM)]]&gt;0.5, "Some evidence", IF(AllData[[#This Row],[Nitrate (PPM)]]&gt;=0, "No evidence"))))</f>
        <v>Very high</v>
      </c>
      <c r="S1542" s="4">
        <v>0.7</v>
      </c>
      <c r="T1542" s="7" t="str">
        <f>IF(AllData[[#This Row],[Phosphate (PPM)]]&gt;0.5, "Very high", IF(AllData[[#This Row],[Phosphate (PPM)]]&gt;0.1, "High", IF(AllData[[#This Row],[Phosphate (PPM)]]&gt;0.05, "Some evidence", IF(AllData[[#This Row],[Phosphate (PPM)]]&lt;=0.05, "No Evidence", ""))))</f>
        <v>Very high</v>
      </c>
      <c r="U1542">
        <v>0</v>
      </c>
      <c r="V1542" t="s">
        <v>840</v>
      </c>
    </row>
    <row r="1543" spans="1:22" x14ac:dyDescent="0.35">
      <c r="A1543" t="s">
        <v>1255</v>
      </c>
      <c r="B1543" s="143">
        <v>45422</v>
      </c>
      <c r="C1543" s="2" t="str" cm="1">
        <f t="array" ref="C15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3">
        <f>YEAR(AllData[[#This Row],[Date]])</f>
        <v>2024</v>
      </c>
      <c r="E1543" s="1"/>
      <c r="F1543" t="str">
        <f>IF(AND(AllData[[#This Row],[Time]]&lt;0.5, AllData[[#This Row],[Time]]&gt;0.17)=TRUE, "Morning", IF(AND(AllData[[#This Row],[Time]]&lt;0.75, AllData[[#This Row],[Time]]&gt;=0.5)=TRUE, "Afternoon", IF(AND(AllData[[#This Row],[Time]]&lt;1, AllData[[#This Row],[Time]]&gt;=0.75)=TRUE, "Evening", "Night")))</f>
        <v>Night</v>
      </c>
      <c r="G1543" t="str">
        <f>_xlfn.XLOOKUP(AllData[[#This Row],[Location Name]], Locations[Location Name],Locations[Group As])</f>
        <v>Site 1  :  Middle Street</v>
      </c>
      <c r="H1543" t="e" vm="1">
        <f>_xlfn.XLOOKUP(AllData[[#This Row],[Site Name]],LocationsKey[Site Name],LocationsKey[District])</f>
        <v>#VALUE!</v>
      </c>
      <c r="I1543" t="e" vm="14">
        <f>_xlfn.XLOOKUP(AllData[[#This Row],[Site Name]],LocationsKey[Site Name],LocationsKey[Town])</f>
        <v>#VALUE!</v>
      </c>
      <c r="J1543" t="str">
        <f>_xlfn.XLOOKUP(AllData[[#This Row],[Site Name]],LocationsKey[Site Name], LocationsKey[Waterway])</f>
        <v>Fosseway Brook</v>
      </c>
      <c r="K1543" t="s">
        <v>670</v>
      </c>
      <c r="N1543" t="s">
        <v>68</v>
      </c>
      <c r="O1543">
        <v>576</v>
      </c>
      <c r="P1543">
        <v>20.399999999999999</v>
      </c>
      <c r="Q1543">
        <v>3.5</v>
      </c>
      <c r="R1543" s="107" t="str">
        <f>IF(AllData[[#This Row],[Nitrate (PPM)]]&gt;2, "Very high", IF(AllData[[#This Row],[Nitrate (PPM)]]&gt;1, "High", IF(AllData[[#This Row],[Nitrate (PPM)]]&gt;0.5, "Some evidence", IF(AllData[[#This Row],[Nitrate (PPM)]]&gt;=0, "No evidence"))))</f>
        <v>Very high</v>
      </c>
      <c r="S1543" s="4">
        <v>0.09</v>
      </c>
      <c r="T1543" s="7" t="str">
        <f>IF(AllData[[#This Row],[Phosphate (PPM)]]&gt;0.5, "Very high", IF(AllData[[#This Row],[Phosphate (PPM)]]&gt;0.1, "High", IF(AllData[[#This Row],[Phosphate (PPM)]]&gt;0.05, "Some evidence", IF(AllData[[#This Row],[Phosphate (PPM)]]&lt;=0.05, "No Evidence", ""))))</f>
        <v>Some evidence</v>
      </c>
    </row>
    <row r="1544" spans="1:22" x14ac:dyDescent="0.35">
      <c r="A1544" t="s">
        <v>1254</v>
      </c>
      <c r="B1544" s="143">
        <v>45422</v>
      </c>
      <c r="C1544" s="2" t="str" cm="1">
        <f t="array" ref="C15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4">
        <f>YEAR(AllData[[#This Row],[Date]])</f>
        <v>2024</v>
      </c>
      <c r="F1544" t="str">
        <f>IF(AND(AllData[[#This Row],[Time]]&lt;0.5, AllData[[#This Row],[Time]]&gt;0.17)=TRUE, "Morning", IF(AND(AllData[[#This Row],[Time]]&lt;0.75, AllData[[#This Row],[Time]]&gt;=0.5)=TRUE, "Afternoon", IF(AND(AllData[[#This Row],[Time]]&lt;1, AllData[[#This Row],[Time]]&gt;=0.75)=TRUE, "Evening", "Night")))</f>
        <v>Night</v>
      </c>
      <c r="G1544" t="str">
        <f>_xlfn.XLOOKUP(AllData[[#This Row],[Location Name]], Locations[Location Name],Locations[Group As])</f>
        <v>Site 1  :  Middle Street</v>
      </c>
      <c r="H1544" t="e" vm="1">
        <f>_xlfn.XLOOKUP(AllData[[#This Row],[Site Name]],LocationsKey[Site Name],LocationsKey[District])</f>
        <v>#VALUE!</v>
      </c>
      <c r="I1544" t="e" vm="14">
        <f>_xlfn.XLOOKUP(AllData[[#This Row],[Site Name]],LocationsKey[Site Name],LocationsKey[Town])</f>
        <v>#VALUE!</v>
      </c>
      <c r="J1544" t="str">
        <f>_xlfn.XLOOKUP(AllData[[#This Row],[Site Name]],LocationsKey[Site Name], LocationsKey[Waterway])</f>
        <v>Fosseway Brook</v>
      </c>
      <c r="K1544" t="s">
        <v>667</v>
      </c>
      <c r="N1544" t="s">
        <v>68</v>
      </c>
      <c r="O1544">
        <v>576</v>
      </c>
      <c r="P1544">
        <v>20.399999999999999</v>
      </c>
      <c r="Q1544">
        <v>3.5</v>
      </c>
      <c r="R1544" s="107" t="str">
        <f>IF(AllData[[#This Row],[Nitrate (PPM)]]&gt;2, "Very high", IF(AllData[[#This Row],[Nitrate (PPM)]]&gt;1, "High", IF(AllData[[#This Row],[Nitrate (PPM)]]&gt;0.5, "Some evidence", IF(AllData[[#This Row],[Nitrate (PPM)]]&gt;=0, "No evidence"))))</f>
        <v>Very high</v>
      </c>
      <c r="S1544" s="4">
        <v>0.09</v>
      </c>
      <c r="T1544" s="7" t="str">
        <f>IF(AllData[[#This Row],[Phosphate (PPM)]]&gt;0.5, "Very high", IF(AllData[[#This Row],[Phosphate (PPM)]]&gt;0.1, "High", IF(AllData[[#This Row],[Phosphate (PPM)]]&gt;0.05, "Some evidence", IF(AllData[[#This Row],[Phosphate (PPM)]]&lt;=0.05, "No Evidence", ""))))</f>
        <v>Some evidence</v>
      </c>
      <c r="U1544">
        <v>0</v>
      </c>
      <c r="V1544" t="s">
        <v>835</v>
      </c>
    </row>
    <row r="1545" spans="1:22" x14ac:dyDescent="0.35">
      <c r="A1545" t="s">
        <v>1250</v>
      </c>
      <c r="B1545" s="143">
        <v>45421</v>
      </c>
      <c r="C1545" s="2" t="str" cm="1">
        <f t="array" ref="C15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5">
        <f>YEAR(AllData[[#This Row],[Date]])</f>
        <v>2024</v>
      </c>
      <c r="E1545" s="1">
        <v>0.45833333333333331</v>
      </c>
      <c r="F1545" t="str">
        <f>IF(AND(AllData[[#This Row],[Time]]&lt;0.5, AllData[[#This Row],[Time]]&gt;0.17)=TRUE, "Morning", IF(AND(AllData[[#This Row],[Time]]&lt;0.75, AllData[[#This Row],[Time]]&gt;=0.5)=TRUE, "Afternoon", IF(AND(AllData[[#This Row],[Time]]&lt;1, AllData[[#This Row],[Time]]&gt;=0.75)=TRUE, "Evening", "Night")))</f>
        <v>Morning</v>
      </c>
      <c r="G1545" t="str">
        <f>_xlfn.XLOOKUP(AllData[[#This Row],[Location Name]], Locations[Location Name],Locations[Group As])</f>
        <v>Stour Willington</v>
      </c>
      <c r="H1545" t="e" vm="1">
        <f>_xlfn.XLOOKUP(AllData[[#This Row],[Site Name]],LocationsKey[Site Name],LocationsKey[District])</f>
        <v>#VALUE!</v>
      </c>
      <c r="I1545" t="str">
        <f>_xlfn.XLOOKUP(AllData[[#This Row],[Site Name]],LocationsKey[Site Name],LocationsKey[Town])</f>
        <v>Willington</v>
      </c>
      <c r="J1545" t="str">
        <f>_xlfn.XLOOKUP(AllData[[#This Row],[Site Name]],LocationsKey[Site Name], LocationsKey[Waterway])</f>
        <v>Stour</v>
      </c>
      <c r="K1545" t="s">
        <v>521</v>
      </c>
      <c r="L1545">
        <v>52.053550999999999</v>
      </c>
      <c r="M1545">
        <v>-1.620144</v>
      </c>
      <c r="N1545" t="s">
        <v>25</v>
      </c>
      <c r="O1545">
        <v>646</v>
      </c>
      <c r="P1545">
        <v>16.100000000000001</v>
      </c>
      <c r="Q1545">
        <v>5</v>
      </c>
      <c r="R1545" s="107" t="str">
        <f>IF(AllData[[#This Row],[Nitrate (PPM)]]&gt;2, "Very high", IF(AllData[[#This Row],[Nitrate (PPM)]]&gt;1, "High", IF(AllData[[#This Row],[Nitrate (PPM)]]&gt;0.5, "Some evidence", IF(AllData[[#This Row],[Nitrate (PPM)]]&gt;=0, "No evidence"))))</f>
        <v>Very high</v>
      </c>
      <c r="S1545" s="112">
        <v>0.22</v>
      </c>
      <c r="T1545" s="7" t="str">
        <f>IF(AllData[[#This Row],[Phosphate (PPM)]]&gt;0.5, "Very high", IF(AllData[[#This Row],[Phosphate (PPM)]]&gt;0.1, "High", IF(AllData[[#This Row],[Phosphate (PPM)]]&gt;0.05, "Some evidence", IF(AllData[[#This Row],[Phosphate (PPM)]]&lt;=0.05, "No Evidence", ""))))</f>
        <v>High</v>
      </c>
      <c r="U1545">
        <v>0.5</v>
      </c>
    </row>
    <row r="1546" spans="1:22" x14ac:dyDescent="0.35">
      <c r="A1546" t="s">
        <v>1251</v>
      </c>
      <c r="B1546" s="143">
        <v>45421</v>
      </c>
      <c r="C1546" s="2" t="str" cm="1">
        <f t="array" ref="C15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6">
        <f>YEAR(AllData[[#This Row],[Date]])</f>
        <v>2024</v>
      </c>
      <c r="E1546" s="1">
        <v>0.74652777777777779</v>
      </c>
      <c r="F1546" t="str">
        <f>IF(AND(AllData[[#This Row],[Time]]&lt;0.5, AllData[[#This Row],[Time]]&gt;0.17)=TRUE, "Morning", IF(AND(AllData[[#This Row],[Time]]&lt;0.75, AllData[[#This Row],[Time]]&gt;=0.5)=TRUE, "Afternoon", IF(AND(AllData[[#This Row],[Time]]&lt;1, AllData[[#This Row],[Time]]&gt;=0.75)=TRUE, "Evening", "Night")))</f>
        <v>Afternoon</v>
      </c>
      <c r="G1546" t="str">
        <f>_xlfn.XLOOKUP(AllData[[#This Row],[Location Name]], Locations[Location Name],Locations[Group As])</f>
        <v>Preston-on-Stour River Bridge</v>
      </c>
      <c r="H1546" t="e" vm="1">
        <f>_xlfn.XLOOKUP(AllData[[#This Row],[Site Name]],LocationsKey[Site Name],LocationsKey[District])</f>
        <v>#VALUE!</v>
      </c>
      <c r="I1546" t="e" vm="20">
        <f>_xlfn.XLOOKUP(AllData[[#This Row],[Site Name]],LocationsKey[Site Name],LocationsKey[Town])</f>
        <v>#VALUE!</v>
      </c>
      <c r="J1546" t="str">
        <f>_xlfn.XLOOKUP(AllData[[#This Row],[Site Name]],LocationsKey[Site Name], LocationsKey[Waterway])</f>
        <v>Stour</v>
      </c>
      <c r="K1546" t="s">
        <v>164</v>
      </c>
      <c r="L1546">
        <v>52.146469000000003</v>
      </c>
      <c r="M1546">
        <v>-1.699776</v>
      </c>
      <c r="N1546" t="s">
        <v>31</v>
      </c>
      <c r="O1546">
        <v>706</v>
      </c>
      <c r="P1546">
        <v>15.6</v>
      </c>
      <c r="Q1546">
        <v>4</v>
      </c>
      <c r="R1546" s="107" t="str">
        <f>IF(AllData[[#This Row],[Nitrate (PPM)]]&gt;2, "Very high", IF(AllData[[#This Row],[Nitrate (PPM)]]&gt;1, "High", IF(AllData[[#This Row],[Nitrate (PPM)]]&gt;0.5, "Some evidence", IF(AllData[[#This Row],[Nitrate (PPM)]]&gt;=0, "No evidence"))))</f>
        <v>Very high</v>
      </c>
      <c r="S1546" s="112">
        <v>0.34</v>
      </c>
      <c r="T1546" s="7" t="str">
        <f>IF(AllData[[#This Row],[Phosphate (PPM)]]&gt;0.5, "Very high", IF(AllData[[#This Row],[Phosphate (PPM)]]&gt;0.1, "High", IF(AllData[[#This Row],[Phosphate (PPM)]]&gt;0.05, "Some evidence", IF(AllData[[#This Row],[Phosphate (PPM)]]&lt;=0.05, "No Evidence", ""))))</f>
        <v>High</v>
      </c>
      <c r="U1546">
        <v>1.5</v>
      </c>
      <c r="V1546" t="s">
        <v>1252</v>
      </c>
    </row>
    <row r="1547" spans="1:22" x14ac:dyDescent="0.35">
      <c r="A1547" t="s">
        <v>1249</v>
      </c>
      <c r="B1547" s="143">
        <v>45421</v>
      </c>
      <c r="C1547" s="2" t="str" cm="1">
        <f t="array" ref="C15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7">
        <f>YEAR(AllData[[#This Row],[Date]])</f>
        <v>2024</v>
      </c>
      <c r="E1547" s="1">
        <v>0.3923611111111111</v>
      </c>
      <c r="F1547" t="str">
        <f>IF(AND(AllData[[#This Row],[Time]]&lt;0.5, AllData[[#This Row],[Time]]&gt;0.17)=TRUE, "Morning", IF(AND(AllData[[#This Row],[Time]]&lt;0.75, AllData[[#This Row],[Time]]&gt;=0.5)=TRUE, "Afternoon", IF(AND(AllData[[#This Row],[Time]]&lt;1, AllData[[#This Row],[Time]]&gt;=0.75)=TRUE, "Evening", "Night")))</f>
        <v>Morning</v>
      </c>
      <c r="G1547" t="str">
        <f>_xlfn.XLOOKUP(AllData[[#This Row],[Location Name]], Locations[Location Name],Locations[Group As])</f>
        <v>Swilgate</v>
      </c>
      <c r="H1547" t="e" vm="4">
        <f>_xlfn.XLOOKUP(AllData[[#This Row],[Site Name]],LocationsKey[Site Name],LocationsKey[District])</f>
        <v>#VALUE!</v>
      </c>
      <c r="I1547" t="e" vm="4">
        <f>_xlfn.XLOOKUP(AllData[[#This Row],[Site Name]],LocationsKey[Site Name],LocationsKey[Town])</f>
        <v>#VALUE!</v>
      </c>
      <c r="J1547" t="str">
        <f>_xlfn.XLOOKUP(AllData[[#This Row],[Site Name]],LocationsKey[Site Name], LocationsKey[Waterway])</f>
        <v>Swilgate</v>
      </c>
      <c r="K1547" t="s">
        <v>85</v>
      </c>
      <c r="N1547" t="s">
        <v>25</v>
      </c>
      <c r="O1547">
        <v>831</v>
      </c>
      <c r="P1547">
        <v>15.6</v>
      </c>
      <c r="Q1547">
        <v>3</v>
      </c>
      <c r="R1547" s="107" t="str">
        <f>IF(AllData[[#This Row],[Nitrate (PPM)]]&gt;2, "Very high", IF(AllData[[#This Row],[Nitrate (PPM)]]&gt;1, "High", IF(AllData[[#This Row],[Nitrate (PPM)]]&gt;0.5, "Some evidence", IF(AllData[[#This Row],[Nitrate (PPM)]]&gt;=0, "No evidence"))))</f>
        <v>Very high</v>
      </c>
      <c r="S1547" s="112">
        <v>0.45</v>
      </c>
      <c r="T1547" s="7" t="str">
        <f>IF(AllData[[#This Row],[Phosphate (PPM)]]&gt;0.5, "Very high", IF(AllData[[#This Row],[Phosphate (PPM)]]&gt;0.1, "High", IF(AllData[[#This Row],[Phosphate (PPM)]]&gt;0.05, "Some evidence", IF(AllData[[#This Row],[Phosphate (PPM)]]&lt;=0.05, "No Evidence", ""))))</f>
        <v>High</v>
      </c>
      <c r="U1547">
        <v>0</v>
      </c>
    </row>
    <row r="1548" spans="1:22" x14ac:dyDescent="0.35">
      <c r="A1548" t="s">
        <v>1245</v>
      </c>
      <c r="B1548" s="143">
        <v>45420</v>
      </c>
      <c r="C1548" s="2" t="str" cm="1">
        <f t="array" ref="C15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8">
        <f>YEAR(AllData[[#This Row],[Date]])</f>
        <v>2024</v>
      </c>
      <c r="E1548" s="1">
        <v>0.39166666666666666</v>
      </c>
      <c r="F1548" t="str">
        <f>IF(AND(AllData[[#This Row],[Time]]&lt;0.5, AllData[[#This Row],[Time]]&gt;0.17)=TRUE, "Morning", IF(AND(AllData[[#This Row],[Time]]&lt;0.75, AllData[[#This Row],[Time]]&gt;=0.5)=TRUE, "Afternoon", IF(AND(AllData[[#This Row],[Time]]&lt;1, AllData[[#This Row],[Time]]&gt;=0.75)=TRUE, "Evening", "Night")))</f>
        <v>Morning</v>
      </c>
      <c r="G1548" t="str">
        <f>_xlfn.XLOOKUP(AllData[[#This Row],[Location Name]], Locations[Location Name],Locations[Group As])</f>
        <v>Carrant M5 Bridge</v>
      </c>
      <c r="H1548" t="e" vm="4">
        <f>_xlfn.XLOOKUP(AllData[[#This Row],[Site Name]],LocationsKey[Site Name],LocationsKey[District])</f>
        <v>#VALUE!</v>
      </c>
      <c r="I1548" t="e" vm="4">
        <f>_xlfn.XLOOKUP(AllData[[#This Row],[Site Name]],LocationsKey[Site Name],LocationsKey[Town])</f>
        <v>#VALUE!</v>
      </c>
      <c r="J1548" t="str">
        <f>_xlfn.XLOOKUP(AllData[[#This Row],[Site Name]],LocationsKey[Site Name], LocationsKey[Waterway])</f>
        <v>Carrant</v>
      </c>
      <c r="K1548" t="s">
        <v>1066</v>
      </c>
      <c r="L1548">
        <v>52.011822000000002</v>
      </c>
      <c r="M1548">
        <v>-2.1201530000000002</v>
      </c>
      <c r="N1548" t="s">
        <v>25</v>
      </c>
      <c r="O1548">
        <v>648</v>
      </c>
      <c r="P1548">
        <v>15</v>
      </c>
      <c r="Q1548">
        <v>10</v>
      </c>
      <c r="R1548" s="107" t="str">
        <f>IF(AllData[[#This Row],[Nitrate (PPM)]]&gt;2, "Very high", IF(AllData[[#This Row],[Nitrate (PPM)]]&gt;1, "High", IF(AllData[[#This Row],[Nitrate (PPM)]]&gt;0.5, "Some evidence", IF(AllData[[#This Row],[Nitrate (PPM)]]&gt;=0, "No evidence"))))</f>
        <v>Very high</v>
      </c>
      <c r="S1548" s="112">
        <v>0.32</v>
      </c>
      <c r="T1548" s="7" t="str">
        <f>IF(AllData[[#This Row],[Phosphate (PPM)]]&gt;0.5, "Very high", IF(AllData[[#This Row],[Phosphate (PPM)]]&gt;0.1, "High", IF(AllData[[#This Row],[Phosphate (PPM)]]&gt;0.05, "Some evidence", IF(AllData[[#This Row],[Phosphate (PPM)]]&lt;=0.05, "No Evidence", ""))))</f>
        <v>High</v>
      </c>
      <c r="U1548">
        <v>1.5</v>
      </c>
    </row>
    <row r="1549" spans="1:22" x14ac:dyDescent="0.35">
      <c r="A1549" t="s">
        <v>1243</v>
      </c>
      <c r="B1549" s="143">
        <v>45420</v>
      </c>
      <c r="C1549" s="2" t="str" cm="1">
        <f t="array" ref="C15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49">
        <f>YEAR(AllData[[#This Row],[Date]])</f>
        <v>2024</v>
      </c>
      <c r="E1549" s="1">
        <v>0.37638888888888888</v>
      </c>
      <c r="F1549" t="str">
        <f>IF(AND(AllData[[#This Row],[Time]]&lt;0.5, AllData[[#This Row],[Time]]&gt;0.17)=TRUE, "Morning", IF(AND(AllData[[#This Row],[Time]]&lt;0.75, AllData[[#This Row],[Time]]&gt;=0.5)=TRUE, "Afternoon", IF(AND(AllData[[#This Row],[Time]]&lt;1, AllData[[#This Row],[Time]]&gt;=0.75)=TRUE, "Evening", "Night")))</f>
        <v>Morning</v>
      </c>
      <c r="G1549" t="str">
        <f>_xlfn.XLOOKUP(AllData[[#This Row],[Location Name]], Locations[Location Name],Locations[Group As])</f>
        <v>Carrant Mitton Path</v>
      </c>
      <c r="H1549" t="e" vm="4">
        <f>_xlfn.XLOOKUP(AllData[[#This Row],[Site Name]],LocationsKey[Site Name],LocationsKey[District])</f>
        <v>#VALUE!</v>
      </c>
      <c r="I1549" t="e" vm="4">
        <f>_xlfn.XLOOKUP(AllData[[#This Row],[Site Name]],LocationsKey[Site Name],LocationsKey[Town])</f>
        <v>#VALUE!</v>
      </c>
      <c r="J1549" t="str">
        <f>_xlfn.XLOOKUP(AllData[[#This Row],[Site Name]],LocationsKey[Site Name], LocationsKey[Waterway])</f>
        <v>Carrant</v>
      </c>
      <c r="K1549" t="s">
        <v>1244</v>
      </c>
      <c r="L1549">
        <v>52.000038000000004</v>
      </c>
      <c r="M1549">
        <v>-2.1421450000000002</v>
      </c>
      <c r="N1549" t="s">
        <v>25</v>
      </c>
      <c r="O1549">
        <v>580</v>
      </c>
      <c r="P1549">
        <v>15.8</v>
      </c>
      <c r="Q1549">
        <v>8</v>
      </c>
      <c r="R1549" s="107" t="str">
        <f>IF(AllData[[#This Row],[Nitrate (PPM)]]&gt;2, "Very high", IF(AllData[[#This Row],[Nitrate (PPM)]]&gt;1, "High", IF(AllData[[#This Row],[Nitrate (PPM)]]&gt;0.5, "Some evidence", IF(AllData[[#This Row],[Nitrate (PPM)]]&gt;=0, "No evidence"))))</f>
        <v>Very high</v>
      </c>
      <c r="S1549" s="112">
        <v>0.73</v>
      </c>
      <c r="T1549" s="7" t="str">
        <f>IF(AllData[[#This Row],[Phosphate (PPM)]]&gt;0.5, "Very high", IF(AllData[[#This Row],[Phosphate (PPM)]]&gt;0.1, "High", IF(AllData[[#This Row],[Phosphate (PPM)]]&gt;0.05, "Some evidence", IF(AllData[[#This Row],[Phosphate (PPM)]]&lt;=0.05, "No Evidence", ""))))</f>
        <v>Very high</v>
      </c>
      <c r="U1549">
        <v>1.5</v>
      </c>
    </row>
    <row r="1550" spans="1:22" x14ac:dyDescent="0.35">
      <c r="A1550" t="s">
        <v>1246</v>
      </c>
      <c r="B1550" s="143">
        <v>45420</v>
      </c>
      <c r="C1550" s="2" t="str" cm="1">
        <f t="array" ref="C15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0">
        <f>YEAR(AllData[[#This Row],[Date]])</f>
        <v>2024</v>
      </c>
      <c r="E1550" s="1">
        <v>0.51111111111111107</v>
      </c>
      <c r="F1550" t="str">
        <f>IF(AND(AllData[[#This Row],[Time]]&lt;0.5, AllData[[#This Row],[Time]]&gt;0.17)=TRUE, "Morning", IF(AND(AllData[[#This Row],[Time]]&lt;0.75, AllData[[#This Row],[Time]]&gt;=0.5)=TRUE, "Afternoon", IF(AND(AllData[[#This Row],[Time]]&lt;1, AllData[[#This Row],[Time]]&gt;=0.75)=TRUE, "Evening", "Night")))</f>
        <v>Afternoon</v>
      </c>
      <c r="G1550" t="str">
        <f>_xlfn.XLOOKUP(AllData[[#This Row],[Location Name]], Locations[Location Name],Locations[Group As])</f>
        <v>Twyning Fleet</v>
      </c>
      <c r="H1550" t="e" vm="4">
        <f>_xlfn.XLOOKUP(AllData[[#This Row],[Site Name]],LocationsKey[Site Name],LocationsKey[District])</f>
        <v>#VALUE!</v>
      </c>
      <c r="I1550" t="str">
        <f>_xlfn.XLOOKUP(AllData[[#This Row],[Site Name]],LocationsKey[Site Name],LocationsKey[Town])</f>
        <v>Twyning Green</v>
      </c>
      <c r="J1550" t="str">
        <f>_xlfn.XLOOKUP(AllData[[#This Row],[Site Name]],LocationsKey[Site Name], LocationsKey[Waterway])</f>
        <v>Avon</v>
      </c>
      <c r="K1550" t="s">
        <v>56</v>
      </c>
      <c r="L1550">
        <v>52.027543999999999</v>
      </c>
      <c r="M1550">
        <v>-2.1405639999999999</v>
      </c>
      <c r="N1550" t="s">
        <v>31</v>
      </c>
      <c r="O1550">
        <v>8270</v>
      </c>
      <c r="P1550">
        <v>18.3</v>
      </c>
      <c r="Q1550">
        <v>5</v>
      </c>
      <c r="R1550" s="107" t="str">
        <f>IF(AllData[[#This Row],[Nitrate (PPM)]]&gt;2, "Very high", IF(AllData[[#This Row],[Nitrate (PPM)]]&gt;1, "High", IF(AllData[[#This Row],[Nitrate (PPM)]]&gt;0.5, "Some evidence", IF(AllData[[#This Row],[Nitrate (PPM)]]&gt;=0, "No evidence"))))</f>
        <v>Very high</v>
      </c>
      <c r="S1550" s="112">
        <v>0.76</v>
      </c>
      <c r="T1550" s="7" t="str">
        <f>IF(AllData[[#This Row],[Phosphate (PPM)]]&gt;0.5, "Very high", IF(AllData[[#This Row],[Phosphate (PPM)]]&gt;0.1, "High", IF(AllData[[#This Row],[Phosphate (PPM)]]&gt;0.05, "Some evidence", IF(AllData[[#This Row],[Phosphate (PPM)]]&lt;=0.05, "No Evidence", ""))))</f>
        <v>Very high</v>
      </c>
      <c r="U1550">
        <v>0</v>
      </c>
    </row>
    <row r="1551" spans="1:22" x14ac:dyDescent="0.35">
      <c r="A1551" t="s">
        <v>1247</v>
      </c>
      <c r="B1551" s="143">
        <v>45420</v>
      </c>
      <c r="C1551" s="2" t="str" cm="1">
        <f t="array" ref="C15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1">
        <f>YEAR(AllData[[#This Row],[Date]])</f>
        <v>2024</v>
      </c>
      <c r="E1551" s="1">
        <v>0.66666666666666663</v>
      </c>
      <c r="F1551" t="str">
        <f>IF(AND(AllData[[#This Row],[Time]]&lt;0.5, AllData[[#This Row],[Time]]&gt;0.17)=TRUE, "Morning", IF(AND(AllData[[#This Row],[Time]]&lt;0.75, AllData[[#This Row],[Time]]&gt;=0.5)=TRUE, "Afternoon", IF(AND(AllData[[#This Row],[Time]]&lt;1, AllData[[#This Row],[Time]]&gt;=0.75)=TRUE, "Evening", "Night")))</f>
        <v>Afternoon</v>
      </c>
      <c r="G1551" t="str">
        <f>_xlfn.XLOOKUP(AllData[[#This Row],[Location Name]], Locations[Location Name],Locations[Group As])</f>
        <v>Stour Newbold Mill</v>
      </c>
      <c r="H1551" t="e" vm="1">
        <f>_xlfn.XLOOKUP(AllData[[#This Row],[Site Name]],LocationsKey[Site Name],LocationsKey[District])</f>
        <v>#VALUE!</v>
      </c>
      <c r="I1551" t="e" vm="27">
        <f>_xlfn.XLOOKUP(AllData[[#This Row],[Site Name]],LocationsKey[Site Name],LocationsKey[Town])</f>
        <v>#VALUE!</v>
      </c>
      <c r="J1551" t="str">
        <f>_xlfn.XLOOKUP(AllData[[#This Row],[Site Name]],LocationsKey[Site Name], LocationsKey[Waterway])</f>
        <v>Stour</v>
      </c>
      <c r="K1551" t="s">
        <v>141</v>
      </c>
      <c r="N1551" t="s">
        <v>31</v>
      </c>
      <c r="O1551">
        <v>672</v>
      </c>
      <c r="P1551">
        <v>16.5</v>
      </c>
      <c r="Q1551">
        <v>2</v>
      </c>
      <c r="R1551" s="107" t="str">
        <f>IF(AllData[[#This Row],[Nitrate (PPM)]]&gt;2, "Very high", IF(AllData[[#This Row],[Nitrate (PPM)]]&gt;1, "High", IF(AllData[[#This Row],[Nitrate (PPM)]]&gt;0.5, "Some evidence", IF(AllData[[#This Row],[Nitrate (PPM)]]&gt;=0, "No evidence"))))</f>
        <v>High</v>
      </c>
      <c r="S1551" s="4">
        <v>0.25</v>
      </c>
      <c r="T1551" s="7" t="str">
        <f>IF(AllData[[#This Row],[Phosphate (PPM)]]&gt;0.5, "Very high", IF(AllData[[#This Row],[Phosphate (PPM)]]&gt;0.1, "High", IF(AllData[[#This Row],[Phosphate (PPM)]]&gt;0.05, "Some evidence", IF(AllData[[#This Row],[Phosphate (PPM)]]&lt;=0.05, "No Evidence", ""))))</f>
        <v>High</v>
      </c>
      <c r="U1551">
        <v>2</v>
      </c>
      <c r="V1551" t="s">
        <v>1248</v>
      </c>
    </row>
    <row r="1552" spans="1:22" x14ac:dyDescent="0.35">
      <c r="A1552" t="s">
        <v>1239</v>
      </c>
      <c r="B1552" s="143">
        <v>45419</v>
      </c>
      <c r="C1552" s="2" t="str" cm="1">
        <f t="array" ref="C15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2">
        <f>YEAR(AllData[[#This Row],[Date]])</f>
        <v>2024</v>
      </c>
      <c r="E1552" s="1">
        <v>0.61458333333333337</v>
      </c>
      <c r="F1552" t="str">
        <f>IF(AND(AllData[[#This Row],[Time]]&lt;0.5, AllData[[#This Row],[Time]]&gt;0.17)=TRUE, "Morning", IF(AND(AllData[[#This Row],[Time]]&lt;0.75, AllData[[#This Row],[Time]]&gt;=0.5)=TRUE, "Afternoon", IF(AND(AllData[[#This Row],[Time]]&lt;1, AllData[[#This Row],[Time]]&gt;=0.75)=TRUE, "Evening", "Night")))</f>
        <v>Afternoon</v>
      </c>
      <c r="G1552" t="str">
        <f>_xlfn.XLOOKUP(AllData[[#This Row],[Location Name]], Locations[Location Name],Locations[Group As])</f>
        <v>Abbey Mill</v>
      </c>
      <c r="H1552" t="e" vm="4">
        <f>_xlfn.XLOOKUP(AllData[[#This Row],[Site Name]],LocationsKey[Site Name],LocationsKey[District])</f>
        <v>#VALUE!</v>
      </c>
      <c r="I1552" t="e" vm="4">
        <f>_xlfn.XLOOKUP(AllData[[#This Row],[Site Name]],LocationsKey[Site Name],LocationsKey[Town])</f>
        <v>#VALUE!</v>
      </c>
      <c r="J1552" t="str">
        <f>_xlfn.XLOOKUP(AllData[[#This Row],[Site Name]],LocationsKey[Site Name], LocationsKey[Waterway])</f>
        <v>Avon</v>
      </c>
      <c r="K1552" t="s">
        <v>27</v>
      </c>
      <c r="L1552">
        <v>51.991245999999997</v>
      </c>
      <c r="M1552">
        <v>-2.1626810000000001</v>
      </c>
      <c r="N1552" t="s">
        <v>25</v>
      </c>
      <c r="O1552">
        <v>742</v>
      </c>
      <c r="P1552">
        <v>15.7</v>
      </c>
      <c r="Q1552">
        <v>9</v>
      </c>
      <c r="R1552" s="107" t="str">
        <f>IF(AllData[[#This Row],[Nitrate (PPM)]]&gt;2, "Very high", IF(AllData[[#This Row],[Nitrate (PPM)]]&gt;1, "High", IF(AllData[[#This Row],[Nitrate (PPM)]]&gt;0.5, "Some evidence", IF(AllData[[#This Row],[Nitrate (PPM)]]&gt;=0, "No evidence"))))</f>
        <v>Very high</v>
      </c>
      <c r="S1552" s="112">
        <v>0.52</v>
      </c>
      <c r="T1552" s="7" t="str">
        <f>IF(AllData[[#This Row],[Phosphate (PPM)]]&gt;0.5, "Very high", IF(AllData[[#This Row],[Phosphate (PPM)]]&gt;0.1, "High", IF(AllData[[#This Row],[Phosphate (PPM)]]&gt;0.05, "Some evidence", IF(AllData[[#This Row],[Phosphate (PPM)]]&lt;=0.05, "No Evidence", ""))))</f>
        <v>Very high</v>
      </c>
      <c r="U1552">
        <v>0.8</v>
      </c>
      <c r="V1552" t="s">
        <v>1240</v>
      </c>
    </row>
    <row r="1553" spans="1:22" x14ac:dyDescent="0.35">
      <c r="A1553" t="s">
        <v>1241</v>
      </c>
      <c r="B1553" s="143">
        <v>45419</v>
      </c>
      <c r="C1553" s="2" t="str" cm="1">
        <f t="array" ref="C15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3">
        <f>YEAR(AllData[[#This Row],[Date]])</f>
        <v>2024</v>
      </c>
      <c r="E1553" s="1">
        <v>0.62152777777777779</v>
      </c>
      <c r="F1553" t="str">
        <f>IF(AND(AllData[[#This Row],[Time]]&lt;0.5, AllData[[#This Row],[Time]]&gt;0.17)=TRUE, "Morning", IF(AND(AllData[[#This Row],[Time]]&lt;0.75, AllData[[#This Row],[Time]]&gt;=0.5)=TRUE, "Afternoon", IF(AND(AllData[[#This Row],[Time]]&lt;1, AllData[[#This Row],[Time]]&gt;=0.75)=TRUE, "Evening", "Night")))</f>
        <v>Afternoon</v>
      </c>
      <c r="G1553" t="str">
        <f>_xlfn.XLOOKUP(AllData[[#This Row],[Location Name]], Locations[Location Name],Locations[Group As])</f>
        <v>Alveston Weir</v>
      </c>
      <c r="H1553" t="e" vm="1">
        <f>_xlfn.XLOOKUP(AllData[[#This Row],[Site Name]],LocationsKey[Site Name],LocationsKey[District])</f>
        <v>#VALUE!</v>
      </c>
      <c r="I1553" t="e" vm="2">
        <f>_xlfn.XLOOKUP(AllData[[#This Row],[Site Name]],LocationsKey[Site Name],LocationsKey[Town])</f>
        <v>#VALUE!</v>
      </c>
      <c r="J1553" t="str">
        <f>_xlfn.XLOOKUP(AllData[[#This Row],[Site Name]],LocationsKey[Site Name], LocationsKey[Waterway])</f>
        <v>Avon</v>
      </c>
      <c r="K1553" t="s">
        <v>288</v>
      </c>
      <c r="L1553">
        <v>52.212288999999998</v>
      </c>
      <c r="M1553">
        <v>-1.66452</v>
      </c>
      <c r="N1553" t="s">
        <v>31</v>
      </c>
      <c r="O1553">
        <v>630</v>
      </c>
      <c r="P1553">
        <v>18.399999999999999</v>
      </c>
      <c r="Q1553">
        <v>5</v>
      </c>
      <c r="R1553" s="107" t="str">
        <f>IF(AllData[[#This Row],[Nitrate (PPM)]]&gt;2, "Very high", IF(AllData[[#This Row],[Nitrate (PPM)]]&gt;1, "High", IF(AllData[[#This Row],[Nitrate (PPM)]]&gt;0.5, "Some evidence", IF(AllData[[#This Row],[Nitrate (PPM)]]&gt;=0, "No evidence"))))</f>
        <v>Very high</v>
      </c>
      <c r="S1553" s="112">
        <v>0.35</v>
      </c>
      <c r="T1553" s="7" t="str">
        <f>IF(AllData[[#This Row],[Phosphate (PPM)]]&gt;0.5, "Very high", IF(AllData[[#This Row],[Phosphate (PPM)]]&gt;0.1, "High", IF(AllData[[#This Row],[Phosphate (PPM)]]&gt;0.05, "Some evidence", IF(AllData[[#This Row],[Phosphate (PPM)]]&lt;=0.05, "No Evidence", ""))))</f>
        <v>High</v>
      </c>
      <c r="U1553">
        <v>0</v>
      </c>
      <c r="V1553" t="s">
        <v>1242</v>
      </c>
    </row>
    <row r="1554" spans="1:22" x14ac:dyDescent="0.35">
      <c r="A1554" t="s">
        <v>1237</v>
      </c>
      <c r="B1554" s="143">
        <v>45418</v>
      </c>
      <c r="C1554" s="2" t="str" cm="1">
        <f t="array" ref="C15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4">
        <f>YEAR(AllData[[#This Row],[Date]])</f>
        <v>2024</v>
      </c>
      <c r="E1554" s="1">
        <v>0.59722222222222221</v>
      </c>
      <c r="F1554" t="str">
        <f>IF(AND(AllData[[#This Row],[Time]]&lt;0.5, AllData[[#This Row],[Time]]&gt;0.17)=TRUE, "Morning", IF(AND(AllData[[#This Row],[Time]]&lt;0.75, AllData[[#This Row],[Time]]&gt;=0.5)=TRUE, "Afternoon", IF(AND(AllData[[#This Row],[Time]]&lt;1, AllData[[#This Row],[Time]]&gt;=0.75)=TRUE, "Evening", "Night")))</f>
        <v>Afternoon</v>
      </c>
      <c r="G1554" t="str">
        <f>_xlfn.XLOOKUP(AllData[[#This Row],[Location Name]], Locations[Location Name],Locations[Group As])</f>
        <v>Swiffen Bank</v>
      </c>
      <c r="H1554" t="e" vm="1">
        <f>_xlfn.XLOOKUP(AllData[[#This Row],[Site Name]],LocationsKey[Site Name],LocationsKey[District])</f>
        <v>#VALUE!</v>
      </c>
      <c r="I1554" t="e" vm="2">
        <f>_xlfn.XLOOKUP(AllData[[#This Row],[Site Name]],LocationsKey[Site Name],LocationsKey[Town])</f>
        <v>#VALUE!</v>
      </c>
      <c r="J1554" t="str">
        <f>_xlfn.XLOOKUP(AllData[[#This Row],[Site Name]],LocationsKey[Site Name], LocationsKey[Waterway])</f>
        <v>Avon</v>
      </c>
      <c r="K1554" t="s">
        <v>286</v>
      </c>
      <c r="L1554">
        <v>52.206477999999997</v>
      </c>
      <c r="M1554">
        <v>-1.653894</v>
      </c>
      <c r="N1554" t="s">
        <v>31</v>
      </c>
      <c r="O1554">
        <v>656</v>
      </c>
      <c r="P1554">
        <v>15.1</v>
      </c>
      <c r="Q1554">
        <v>10</v>
      </c>
      <c r="R1554" s="107" t="str">
        <f>IF(AllData[[#This Row],[Nitrate (PPM)]]&gt;2, "Very high", IF(AllData[[#This Row],[Nitrate (PPM)]]&gt;1, "High", IF(AllData[[#This Row],[Nitrate (PPM)]]&gt;0.5, "Some evidence", IF(AllData[[#This Row],[Nitrate (PPM)]]&gt;=0, "No evidence"))))</f>
        <v>Very high</v>
      </c>
      <c r="S1554" s="112">
        <v>0.36</v>
      </c>
      <c r="T1554" s="7" t="str">
        <f>IF(AllData[[#This Row],[Phosphate (PPM)]]&gt;0.5, "Very high", IF(AllData[[#This Row],[Phosphate (PPM)]]&gt;0.1, "High", IF(AllData[[#This Row],[Phosphate (PPM)]]&gt;0.05, "Some evidence", IF(AllData[[#This Row],[Phosphate (PPM)]]&lt;=0.05, "No Evidence", ""))))</f>
        <v>High</v>
      </c>
      <c r="U1554">
        <v>0</v>
      </c>
      <c r="V1554" t="s">
        <v>1238</v>
      </c>
    </row>
    <row r="1555" spans="1:22" x14ac:dyDescent="0.35">
      <c r="A1555" t="s">
        <v>1236</v>
      </c>
      <c r="B1555" s="143">
        <v>45418</v>
      </c>
      <c r="C1555" s="2" t="str" cm="1">
        <f t="array" ref="C15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5">
        <f>YEAR(AllData[[#This Row],[Date]])</f>
        <v>2024</v>
      </c>
      <c r="E1555" s="1">
        <v>0.53125</v>
      </c>
      <c r="F1555" t="str">
        <f>IF(AND(AllData[[#This Row],[Time]]&lt;0.5, AllData[[#This Row],[Time]]&gt;0.17)=TRUE, "Morning", IF(AND(AllData[[#This Row],[Time]]&lt;0.75, AllData[[#This Row],[Time]]&gt;=0.5)=TRUE, "Afternoon", IF(AND(AllData[[#This Row],[Time]]&lt;1, AllData[[#This Row],[Time]]&gt;=0.75)=TRUE, "Evening", "Night")))</f>
        <v>Afternoon</v>
      </c>
      <c r="G1555" t="str">
        <f>_xlfn.XLOOKUP(AllData[[#This Row],[Location Name]], Locations[Location Name],Locations[Group As])</f>
        <v>Mill Bridge Peopleton</v>
      </c>
      <c r="H1555" t="e" vm="6">
        <f>_xlfn.XLOOKUP(AllData[[#This Row],[Site Name]],LocationsKey[Site Name],LocationsKey[District])</f>
        <v>#VALUE!</v>
      </c>
      <c r="I1555" t="str">
        <f>_xlfn.XLOOKUP(AllData[[#This Row],[Site Name]],LocationsKey[Site Name],LocationsKey[Town])</f>
        <v>Peopleton</v>
      </c>
      <c r="J1555" t="str">
        <f>_xlfn.XLOOKUP(AllData[[#This Row],[Site Name]],LocationsKey[Site Name], LocationsKey[Waterway])</f>
        <v>Bow Brook</v>
      </c>
      <c r="K1555" t="s">
        <v>1015</v>
      </c>
      <c r="L1555">
        <v>52.154204</v>
      </c>
      <c r="M1555">
        <v>-2.0905659999999999</v>
      </c>
      <c r="N1555" t="s">
        <v>31</v>
      </c>
      <c r="O1555">
        <v>940</v>
      </c>
      <c r="P1555">
        <v>14.8</v>
      </c>
      <c r="Q1555">
        <v>5</v>
      </c>
      <c r="R1555" s="107" t="str">
        <f>IF(AllData[[#This Row],[Nitrate (PPM)]]&gt;2, "Very high", IF(AllData[[#This Row],[Nitrate (PPM)]]&gt;1, "High", IF(AllData[[#This Row],[Nitrate (PPM)]]&gt;0.5, "Some evidence", IF(AllData[[#This Row],[Nitrate (PPM)]]&gt;=0, "No evidence"))))</f>
        <v>Very high</v>
      </c>
      <c r="S1555" s="112">
        <v>1.0900000000000001</v>
      </c>
      <c r="T1555" s="7" t="str">
        <f>IF(AllData[[#This Row],[Phosphate (PPM)]]&gt;0.5, "Very high", IF(AllData[[#This Row],[Phosphate (PPM)]]&gt;0.1, "High", IF(AllData[[#This Row],[Phosphate (PPM)]]&gt;0.05, "Some evidence", IF(AllData[[#This Row],[Phosphate (PPM)]]&lt;=0.05, "No Evidence", ""))))</f>
        <v>Very high</v>
      </c>
      <c r="U1555">
        <v>0.45</v>
      </c>
    </row>
    <row r="1556" spans="1:22" x14ac:dyDescent="0.35">
      <c r="A1556" t="s">
        <v>1234</v>
      </c>
      <c r="B1556" s="143">
        <v>45418</v>
      </c>
      <c r="C1556" s="2" t="str" cm="1">
        <f t="array" ref="C15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6">
        <f>YEAR(AllData[[#This Row],[Date]])</f>
        <v>2024</v>
      </c>
      <c r="E1556" s="1">
        <v>0.45555555555555555</v>
      </c>
      <c r="F1556" t="str">
        <f>IF(AND(AllData[[#This Row],[Time]]&lt;0.5, AllData[[#This Row],[Time]]&gt;0.17)=TRUE, "Morning", IF(AND(AllData[[#This Row],[Time]]&lt;0.75, AllData[[#This Row],[Time]]&gt;=0.5)=TRUE, "Afternoon", IF(AND(AllData[[#This Row],[Time]]&lt;1, AllData[[#This Row],[Time]]&gt;=0.75)=TRUE, "Evening", "Night")))</f>
        <v>Morning</v>
      </c>
      <c r="G1556" t="str">
        <f>_xlfn.XLOOKUP(AllData[[#This Row],[Location Name]], Locations[Location Name],Locations[Group As])</f>
        <v>Stour Stretton-on-Fosse Sewage Works</v>
      </c>
      <c r="H1556" t="e" vm="1">
        <f>_xlfn.XLOOKUP(AllData[[#This Row],[Site Name]],LocationsKey[Site Name],LocationsKey[District])</f>
        <v>#VALUE!</v>
      </c>
      <c r="I1556" t="e" vm="30">
        <f>_xlfn.XLOOKUP(AllData[[#This Row],[Site Name]],LocationsKey[Site Name],LocationsKey[Town])</f>
        <v>#VALUE!</v>
      </c>
      <c r="J1556" t="str">
        <f>_xlfn.XLOOKUP(AllData[[#This Row],[Site Name]],LocationsKey[Site Name], LocationsKey[Waterway])</f>
        <v>Stour</v>
      </c>
      <c r="K1556" t="s">
        <v>337</v>
      </c>
      <c r="L1556">
        <v>52.045641000000003</v>
      </c>
      <c r="M1556">
        <v>-1.6719269999999999</v>
      </c>
      <c r="N1556" t="s">
        <v>31</v>
      </c>
      <c r="O1556">
        <v>778</v>
      </c>
      <c r="P1556">
        <v>12.6</v>
      </c>
      <c r="Q1556">
        <v>5</v>
      </c>
      <c r="R1556" s="107" t="str">
        <f>IF(AllData[[#This Row],[Nitrate (PPM)]]&gt;2, "Very high", IF(AllData[[#This Row],[Nitrate (PPM)]]&gt;1, "High", IF(AllData[[#This Row],[Nitrate (PPM)]]&gt;0.5, "Some evidence", IF(AllData[[#This Row],[Nitrate (PPM)]]&gt;=0, "No evidence"))))</f>
        <v>Very high</v>
      </c>
      <c r="S1556" s="112">
        <v>2.5</v>
      </c>
      <c r="T1556" s="7" t="str">
        <f>IF(AllData[[#This Row],[Phosphate (PPM)]]&gt;0.5, "Very high", IF(AllData[[#This Row],[Phosphate (PPM)]]&gt;0.1, "High", IF(AllData[[#This Row],[Phosphate (PPM)]]&gt;0.05, "Some evidence", IF(AllData[[#This Row],[Phosphate (PPM)]]&lt;=0.05, "No Evidence", ""))))</f>
        <v>Very high</v>
      </c>
      <c r="U1556">
        <v>0.25</v>
      </c>
      <c r="V1556" t="s">
        <v>1235</v>
      </c>
    </row>
    <row r="1557" spans="1:22" x14ac:dyDescent="0.35">
      <c r="A1557" t="s">
        <v>1232</v>
      </c>
      <c r="B1557" s="143">
        <v>45418</v>
      </c>
      <c r="C1557" s="2" t="str" cm="1">
        <f t="array" ref="C15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7">
        <f>YEAR(AllData[[#This Row],[Date]])</f>
        <v>2024</v>
      </c>
      <c r="E1557" s="1">
        <v>6.3194444444444442E-2</v>
      </c>
      <c r="F1557" t="str">
        <f>IF(AND(AllData[[#This Row],[Time]]&lt;0.5, AllData[[#This Row],[Time]]&gt;0.17)=TRUE, "Morning", IF(AND(AllData[[#This Row],[Time]]&lt;0.75, AllData[[#This Row],[Time]]&gt;=0.5)=TRUE, "Afternoon", IF(AND(AllData[[#This Row],[Time]]&lt;1, AllData[[#This Row],[Time]]&gt;=0.75)=TRUE, "Evening", "Night")))</f>
        <v>Night</v>
      </c>
      <c r="G1557" t="str">
        <f>_xlfn.XLOOKUP(AllData[[#This Row],[Location Name]], Locations[Location Name],Locations[Group As])</f>
        <v>The Ford, Langley</v>
      </c>
      <c r="H1557" t="e" vm="1">
        <f>_xlfn.XLOOKUP(AllData[[#This Row],[Site Name]],LocationsKey[Site Name],LocationsKey[District])</f>
        <v>#VALUE!</v>
      </c>
      <c r="I1557" t="str">
        <f>_xlfn.XLOOKUP(AllData[[#This Row],[Site Name]],LocationsKey[Site Name],LocationsKey[Town])</f>
        <v>Langley</v>
      </c>
      <c r="J1557" t="str">
        <f>_xlfn.XLOOKUP(AllData[[#This Row],[Site Name]],LocationsKey[Site Name], LocationsKey[Waterway])</f>
        <v>Langley Ford</v>
      </c>
      <c r="K1557" t="s">
        <v>530</v>
      </c>
      <c r="L1557">
        <v>52.269103000000001</v>
      </c>
      <c r="M1557">
        <v>-1.7232620000000001</v>
      </c>
      <c r="N1557" t="s">
        <v>31</v>
      </c>
      <c r="O1557">
        <v>737</v>
      </c>
      <c r="P1557">
        <v>13.3</v>
      </c>
      <c r="Q1557">
        <v>5</v>
      </c>
      <c r="R1557" s="107" t="str">
        <f>IF(AllData[[#This Row],[Nitrate (PPM)]]&gt;2, "Very high", IF(AllData[[#This Row],[Nitrate (PPM)]]&gt;1, "High", IF(AllData[[#This Row],[Nitrate (PPM)]]&gt;0.5, "Some evidence", IF(AllData[[#This Row],[Nitrate (PPM)]]&gt;=0, "No evidence"))))</f>
        <v>Very high</v>
      </c>
      <c r="S1557" s="4">
        <v>0.62</v>
      </c>
      <c r="T1557" s="7" t="str">
        <f>IF(AllData[[#This Row],[Phosphate (PPM)]]&gt;0.5, "Very high", IF(AllData[[#This Row],[Phosphate (PPM)]]&gt;0.1, "High", IF(AllData[[#This Row],[Phosphate (PPM)]]&gt;0.05, "Some evidence", IF(AllData[[#This Row],[Phosphate (PPM)]]&lt;=0.05, "No Evidence", ""))))</f>
        <v>Very high</v>
      </c>
      <c r="U1557">
        <v>0.2</v>
      </c>
    </row>
    <row r="1558" spans="1:22" x14ac:dyDescent="0.35">
      <c r="A1558" t="s">
        <v>1233</v>
      </c>
      <c r="B1558" s="143">
        <v>45418</v>
      </c>
      <c r="C1558" s="2" t="str" cm="1">
        <f t="array" ref="C15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8">
        <f>YEAR(AllData[[#This Row],[Date]])</f>
        <v>2024</v>
      </c>
      <c r="E1558" s="1">
        <v>0.44583333333333336</v>
      </c>
      <c r="F1558" t="str">
        <f>IF(AND(AllData[[#This Row],[Time]]&lt;0.5, AllData[[#This Row],[Time]]&gt;0.17)=TRUE, "Morning", IF(AND(AllData[[#This Row],[Time]]&lt;0.75, AllData[[#This Row],[Time]]&gt;=0.5)=TRUE, "Afternoon", IF(AND(AllData[[#This Row],[Time]]&lt;1, AllData[[#This Row],[Time]]&gt;=0.75)=TRUE, "Evening", "Night")))</f>
        <v>Morning</v>
      </c>
      <c r="G1558" t="str">
        <f>_xlfn.XLOOKUP(AllData[[#This Row],[Location Name]], Locations[Location Name],Locations[Group As])</f>
        <v>Stour Stretton-on-Fosse Village</v>
      </c>
      <c r="H1558" t="e" vm="1">
        <f>_xlfn.XLOOKUP(AllData[[#This Row],[Site Name]],LocationsKey[Site Name],LocationsKey[District])</f>
        <v>#VALUE!</v>
      </c>
      <c r="I1558" t="e" vm="30">
        <f>_xlfn.XLOOKUP(AllData[[#This Row],[Site Name]],LocationsKey[Site Name],LocationsKey[Town])</f>
        <v>#VALUE!</v>
      </c>
      <c r="J1558" t="str">
        <f>_xlfn.XLOOKUP(AllData[[#This Row],[Site Name]],LocationsKey[Site Name], LocationsKey[Waterway])</f>
        <v>Stour</v>
      </c>
      <c r="K1558" t="s">
        <v>548</v>
      </c>
      <c r="L1558">
        <v>52.046545999999999</v>
      </c>
      <c r="M1558">
        <v>-1.6733910000000001</v>
      </c>
      <c r="N1558" t="s">
        <v>68</v>
      </c>
      <c r="O1558">
        <v>744</v>
      </c>
      <c r="P1558">
        <v>12.7</v>
      </c>
      <c r="Q1558">
        <v>2</v>
      </c>
      <c r="R1558" s="107" t="str">
        <f>IF(AllData[[#This Row],[Nitrate (PPM)]]&gt;2, "Very high", IF(AllData[[#This Row],[Nitrate (PPM)]]&gt;1, "High", IF(AllData[[#This Row],[Nitrate (PPM)]]&gt;0.5, "Some evidence", IF(AllData[[#This Row],[Nitrate (PPM)]]&gt;=0, "No evidence"))))</f>
        <v>High</v>
      </c>
      <c r="S1558" s="112">
        <v>1.72</v>
      </c>
      <c r="T1558" s="7" t="str">
        <f>IF(AllData[[#This Row],[Phosphate (PPM)]]&gt;0.5, "Very high", IF(AllData[[#This Row],[Phosphate (PPM)]]&gt;0.1, "High", IF(AllData[[#This Row],[Phosphate (PPM)]]&gt;0.05, "Some evidence", IF(AllData[[#This Row],[Phosphate (PPM)]]&lt;=0.05, "No Evidence", ""))))</f>
        <v>Very high</v>
      </c>
      <c r="U1558">
        <v>0.2</v>
      </c>
    </row>
    <row r="1559" spans="1:22" x14ac:dyDescent="0.35">
      <c r="A1559" t="s">
        <v>1218</v>
      </c>
      <c r="B1559" s="143">
        <v>45417</v>
      </c>
      <c r="C1559" s="2" t="str" cm="1">
        <f t="array" ref="C15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59">
        <f>YEAR(AllData[[#This Row],[Date]])</f>
        <v>2024</v>
      </c>
      <c r="E1559" s="1">
        <v>0.54166666666666663</v>
      </c>
      <c r="F1559" t="str">
        <f>IF(AND(AllData[[#This Row],[Time]]&lt;0.5, AllData[[#This Row],[Time]]&gt;0.17)=TRUE, "Morning", IF(AND(AllData[[#This Row],[Time]]&lt;0.75, AllData[[#This Row],[Time]]&gt;=0.5)=TRUE, "Afternoon", IF(AND(AllData[[#This Row],[Time]]&lt;1, AllData[[#This Row],[Time]]&gt;=0.75)=TRUE, "Evening", "Night")))</f>
        <v>Afternoon</v>
      </c>
      <c r="G1559" t="str">
        <f>_xlfn.XLOOKUP(AllData[[#This Row],[Location Name]], Locations[Location Name],Locations[Group As])</f>
        <v>Avonbank Drive</v>
      </c>
      <c r="H1559" t="e" vm="1">
        <f>_xlfn.XLOOKUP(AllData[[#This Row],[Site Name]],LocationsKey[Site Name],LocationsKey[District])</f>
        <v>#VALUE!</v>
      </c>
      <c r="I1559" t="e" vm="12">
        <f>_xlfn.XLOOKUP(AllData[[#This Row],[Site Name]],LocationsKey[Site Name],LocationsKey[Town])</f>
        <v>#VALUE!</v>
      </c>
      <c r="J1559" t="str">
        <f>_xlfn.XLOOKUP(AllData[[#This Row],[Site Name]],LocationsKey[Site Name], LocationsKey[Waterway])</f>
        <v>Avon</v>
      </c>
      <c r="K1559" t="s">
        <v>104</v>
      </c>
      <c r="L1559">
        <v>52.177</v>
      </c>
      <c r="M1559">
        <v>-1.736</v>
      </c>
      <c r="N1559" t="s">
        <v>68</v>
      </c>
      <c r="O1559">
        <v>873</v>
      </c>
      <c r="P1559">
        <v>20.5</v>
      </c>
      <c r="Q1559">
        <v>10</v>
      </c>
      <c r="R1559" s="107" t="str">
        <f>IF(AllData[[#This Row],[Nitrate (PPM)]]&gt;2, "Very high", IF(AllData[[#This Row],[Nitrate (PPM)]]&gt;1, "High", IF(AllData[[#This Row],[Nitrate (PPM)]]&gt;0.5, "Some evidence", IF(AllData[[#This Row],[Nitrate (PPM)]]&gt;=0, "No evidence"))))</f>
        <v>Very high</v>
      </c>
      <c r="S1559" s="112">
        <v>0.32</v>
      </c>
      <c r="T1559" s="7" t="str">
        <f>IF(AllData[[#This Row],[Phosphate (PPM)]]&gt;0.5, "Very high", IF(AllData[[#This Row],[Phosphate (PPM)]]&gt;0.1, "High", IF(AllData[[#This Row],[Phosphate (PPM)]]&gt;0.05, "Some evidence", IF(AllData[[#This Row],[Phosphate (PPM)]]&lt;=0.05, "No Evidence", ""))))</f>
        <v>High</v>
      </c>
      <c r="U1559">
        <v>0.76</v>
      </c>
    </row>
    <row r="1560" spans="1:22" x14ac:dyDescent="0.35">
      <c r="A1560" t="s">
        <v>1219</v>
      </c>
      <c r="B1560" s="143">
        <v>45417</v>
      </c>
      <c r="C1560" s="2" t="str" cm="1">
        <f t="array" ref="C15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0">
        <f>YEAR(AllData[[#This Row],[Date]])</f>
        <v>2024</v>
      </c>
      <c r="E1560" s="1">
        <v>0.54166666666666663</v>
      </c>
      <c r="F1560" t="str">
        <f>IF(AND(AllData[[#This Row],[Time]]&lt;0.5, AllData[[#This Row],[Time]]&gt;0.17)=TRUE, "Morning", IF(AND(AllData[[#This Row],[Time]]&lt;0.75, AllData[[#This Row],[Time]]&gt;=0.5)=TRUE, "Afternoon", IF(AND(AllData[[#This Row],[Time]]&lt;1, AllData[[#This Row],[Time]]&gt;=0.75)=TRUE, "Evening", "Night")))</f>
        <v>Afternoon</v>
      </c>
      <c r="G1560" t="str">
        <f>_xlfn.XLOOKUP(AllData[[#This Row],[Location Name]], Locations[Location Name],Locations[Group As])</f>
        <v>Pitch 16</v>
      </c>
      <c r="H1560" t="e" vm="1">
        <f>_xlfn.XLOOKUP(AllData[[#This Row],[Site Name]],LocationsKey[Site Name],LocationsKey[District])</f>
        <v>#VALUE!</v>
      </c>
      <c r="I1560" t="e" vm="12">
        <f>_xlfn.XLOOKUP(AllData[[#This Row],[Site Name]],LocationsKey[Site Name],LocationsKey[Town])</f>
        <v>#VALUE!</v>
      </c>
      <c r="J1560" t="str">
        <f>_xlfn.XLOOKUP(AllData[[#This Row],[Site Name]],LocationsKey[Site Name], LocationsKey[Waterway])</f>
        <v>Avon</v>
      </c>
      <c r="K1560" t="s">
        <v>71</v>
      </c>
      <c r="N1560" t="s">
        <v>31</v>
      </c>
      <c r="O1560">
        <v>863</v>
      </c>
      <c r="P1560">
        <v>20.6</v>
      </c>
      <c r="Q1560">
        <v>10</v>
      </c>
      <c r="R1560" s="107" t="str">
        <f>IF(AllData[[#This Row],[Nitrate (PPM)]]&gt;2, "Very high", IF(AllData[[#This Row],[Nitrate (PPM)]]&gt;1, "High", IF(AllData[[#This Row],[Nitrate (PPM)]]&gt;0.5, "Some evidence", IF(AllData[[#This Row],[Nitrate (PPM)]]&gt;=0, "No evidence"))))</f>
        <v>Very high</v>
      </c>
      <c r="S1560" s="112">
        <v>0.17</v>
      </c>
      <c r="T1560" s="7" t="str">
        <f>IF(AllData[[#This Row],[Phosphate (PPM)]]&gt;0.5, "Very high", IF(AllData[[#This Row],[Phosphate (PPM)]]&gt;0.1, "High", IF(AllData[[#This Row],[Phosphate (PPM)]]&gt;0.05, "Some evidence", IF(AllData[[#This Row],[Phosphate (PPM)]]&lt;=0.05, "No Evidence", ""))))</f>
        <v>High</v>
      </c>
      <c r="U1560">
        <v>0.76</v>
      </c>
    </row>
    <row r="1561" spans="1:22" x14ac:dyDescent="0.35">
      <c r="A1561" t="s">
        <v>1230</v>
      </c>
      <c r="B1561" s="143">
        <v>45417</v>
      </c>
      <c r="C1561" s="2" t="str" cm="1">
        <f t="array" ref="C15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1">
        <f>YEAR(AllData[[#This Row],[Date]])</f>
        <v>2024</v>
      </c>
      <c r="E1561" s="1"/>
      <c r="F1561" t="str">
        <f>IF(AND(AllData[[#This Row],[Time]]&lt;0.5, AllData[[#This Row],[Time]]&gt;0.17)=TRUE, "Morning", IF(AND(AllData[[#This Row],[Time]]&lt;0.75, AllData[[#This Row],[Time]]&gt;=0.5)=TRUE, "Afternoon", IF(AND(AllData[[#This Row],[Time]]&lt;1, AllData[[#This Row],[Time]]&gt;=0.75)=TRUE, "Evening", "Night")))</f>
        <v>Night</v>
      </c>
      <c r="G1561" t="str">
        <f>_xlfn.XLOOKUP(AllData[[#This Row],[Location Name]], Locations[Location Name],Locations[Group As])</f>
        <v>Site 3  :  Severn Trent Water processing plant outflow</v>
      </c>
      <c r="H1561" t="e" vm="1">
        <f>_xlfn.XLOOKUP(AllData[[#This Row],[Site Name]],LocationsKey[Site Name],LocationsKey[District])</f>
        <v>#VALUE!</v>
      </c>
      <c r="I1561" t="e" vm="14">
        <f>_xlfn.XLOOKUP(AllData[[#This Row],[Site Name]],LocationsKey[Site Name],LocationsKey[Town])</f>
        <v>#VALUE!</v>
      </c>
      <c r="J1561" t="str">
        <f>_xlfn.XLOOKUP(AllData[[#This Row],[Site Name]],LocationsKey[Site Name], LocationsKey[Waterway])</f>
        <v>Fosseway Brook</v>
      </c>
      <c r="K1561" t="s">
        <v>676</v>
      </c>
      <c r="L1561">
        <v>52.094423999999997</v>
      </c>
      <c r="M1561">
        <v>-1.6759090000000001</v>
      </c>
      <c r="N1561" t="s">
        <v>31</v>
      </c>
      <c r="O1561">
        <v>830</v>
      </c>
      <c r="P1561">
        <v>16.3</v>
      </c>
      <c r="Q1561">
        <v>10</v>
      </c>
      <c r="R1561" s="107" t="str">
        <f>IF(AllData[[#This Row],[Nitrate (PPM)]]&gt;2, "Very high", IF(AllData[[#This Row],[Nitrate (PPM)]]&gt;1, "High", IF(AllData[[#This Row],[Nitrate (PPM)]]&gt;0.5, "Some evidence", IF(AllData[[#This Row],[Nitrate (PPM)]]&gt;=0, "No evidence"))))</f>
        <v>Very high</v>
      </c>
      <c r="S1561" s="4">
        <v>2.5</v>
      </c>
      <c r="T1561" s="7" t="str">
        <f>IF(AllData[[#This Row],[Phosphate (PPM)]]&gt;0.5, "Very high", IF(AllData[[#This Row],[Phosphate (PPM)]]&gt;0.1, "High", IF(AllData[[#This Row],[Phosphate (PPM)]]&gt;0.05, "Some evidence", IF(AllData[[#This Row],[Phosphate (PPM)]]&lt;=0.05, "No Evidence", ""))))</f>
        <v>Very high</v>
      </c>
    </row>
    <row r="1562" spans="1:22" x14ac:dyDescent="0.35">
      <c r="A1562" t="s">
        <v>1229</v>
      </c>
      <c r="B1562" s="143">
        <v>45417</v>
      </c>
      <c r="C1562" s="2" t="str" cm="1">
        <f t="array" ref="C15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2">
        <f>YEAR(AllData[[#This Row],[Date]])</f>
        <v>2024</v>
      </c>
      <c r="F1562" t="str">
        <f>IF(AND(AllData[[#This Row],[Time]]&lt;0.5, AllData[[#This Row],[Time]]&gt;0.17)=TRUE, "Morning", IF(AND(AllData[[#This Row],[Time]]&lt;0.75, AllData[[#This Row],[Time]]&gt;=0.5)=TRUE, "Afternoon", IF(AND(AllData[[#This Row],[Time]]&lt;1, AllData[[#This Row],[Time]]&gt;=0.75)=TRUE, "Evening", "Night")))</f>
        <v>Night</v>
      </c>
      <c r="G1562" t="str">
        <f>_xlfn.XLOOKUP(AllData[[#This Row],[Location Name]], Locations[Location Name],Locations[Group As])</f>
        <v>Site 3  :  Severn Trent Water processing plant outflow</v>
      </c>
      <c r="H1562" t="e" vm="1">
        <f>_xlfn.XLOOKUP(AllData[[#This Row],[Site Name]],LocationsKey[Site Name],LocationsKey[District])</f>
        <v>#VALUE!</v>
      </c>
      <c r="I1562" t="e" vm="14">
        <f>_xlfn.XLOOKUP(AllData[[#This Row],[Site Name]],LocationsKey[Site Name],LocationsKey[Town])</f>
        <v>#VALUE!</v>
      </c>
      <c r="J1562" t="str">
        <f>_xlfn.XLOOKUP(AllData[[#This Row],[Site Name]],LocationsKey[Site Name], LocationsKey[Waterway])</f>
        <v>Fosseway Brook</v>
      </c>
      <c r="K1562" t="s">
        <v>673</v>
      </c>
      <c r="L1562">
        <v>52.094423999999997</v>
      </c>
      <c r="M1562">
        <v>-1.6759090000000001</v>
      </c>
      <c r="N1562" t="s">
        <v>31</v>
      </c>
      <c r="O1562">
        <v>830</v>
      </c>
      <c r="P1562">
        <v>16.3</v>
      </c>
      <c r="Q1562">
        <v>10</v>
      </c>
      <c r="R1562" s="107" t="str">
        <f>IF(AllData[[#This Row],[Nitrate (PPM)]]&gt;2, "Very high", IF(AllData[[#This Row],[Nitrate (PPM)]]&gt;1, "High", IF(AllData[[#This Row],[Nitrate (PPM)]]&gt;0.5, "Some evidence", IF(AllData[[#This Row],[Nitrate (PPM)]]&gt;=0, "No evidence"))))</f>
        <v>Very high</v>
      </c>
      <c r="S1562" s="4">
        <v>2.5</v>
      </c>
      <c r="T1562" s="7" t="str">
        <f>IF(AllData[[#This Row],[Phosphate (PPM)]]&gt;0.5, "Very high", IF(AllData[[#This Row],[Phosphate (PPM)]]&gt;0.1, "High", IF(AllData[[#This Row],[Phosphate (PPM)]]&gt;0.05, "Some evidence", IF(AllData[[#This Row],[Phosphate (PPM)]]&lt;=0.05, "No Evidence", ""))))</f>
        <v>Very high</v>
      </c>
      <c r="U1562">
        <v>0</v>
      </c>
      <c r="V1562" t="s">
        <v>840</v>
      </c>
    </row>
    <row r="1563" spans="1:22" x14ac:dyDescent="0.35">
      <c r="A1563" t="s">
        <v>1217</v>
      </c>
      <c r="B1563" s="143">
        <v>45417</v>
      </c>
      <c r="C1563" s="2" t="str" cm="1">
        <f t="array" ref="C15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3">
        <f>YEAR(AllData[[#This Row],[Date]])</f>
        <v>2024</v>
      </c>
      <c r="E1563" s="1">
        <v>0.48958333333333331</v>
      </c>
      <c r="F1563" t="str">
        <f>IF(AND(AllData[[#This Row],[Time]]&lt;0.5, AllData[[#This Row],[Time]]&gt;0.17)=TRUE, "Morning", IF(AND(AllData[[#This Row],[Time]]&lt;0.75, AllData[[#This Row],[Time]]&gt;=0.5)=TRUE, "Afternoon", IF(AND(AllData[[#This Row],[Time]]&lt;1, AllData[[#This Row],[Time]]&gt;=0.75)=TRUE, "Evening", "Night")))</f>
        <v>Morning</v>
      </c>
      <c r="G1563" t="str">
        <f>_xlfn.XLOOKUP(AllData[[#This Row],[Location Name]], Locations[Location Name],Locations[Group As])</f>
        <v>Lucy's Mill Bridge</v>
      </c>
      <c r="H1563" t="e" vm="1">
        <f>_xlfn.XLOOKUP(AllData[[#This Row],[Site Name]],LocationsKey[Site Name],LocationsKey[District])</f>
        <v>#VALUE!</v>
      </c>
      <c r="I1563" t="e" vm="12">
        <f>_xlfn.XLOOKUP(AllData[[#This Row],[Site Name]],LocationsKey[Site Name],LocationsKey[Town])</f>
        <v>#VALUE!</v>
      </c>
      <c r="J1563" t="str">
        <f>_xlfn.XLOOKUP(AllData[[#This Row],[Site Name]],LocationsKey[Site Name], LocationsKey[Waterway])</f>
        <v>Avon</v>
      </c>
      <c r="K1563" t="s">
        <v>212</v>
      </c>
      <c r="L1563">
        <v>52.183698999999997</v>
      </c>
      <c r="M1563">
        <v>-1.707816</v>
      </c>
      <c r="N1563" t="s">
        <v>31</v>
      </c>
      <c r="P1563">
        <v>12</v>
      </c>
      <c r="Q1563">
        <v>10</v>
      </c>
      <c r="R1563" s="107" t="str">
        <f>IF(AllData[[#This Row],[Nitrate (PPM)]]&gt;2, "Very high", IF(AllData[[#This Row],[Nitrate (PPM)]]&gt;1, "High", IF(AllData[[#This Row],[Nitrate (PPM)]]&gt;0.5, "Some evidence", IF(AllData[[#This Row],[Nitrate (PPM)]]&gt;=0, "No evidence"))))</f>
        <v>Very high</v>
      </c>
      <c r="S1563" s="4">
        <v>0.28000000000000003</v>
      </c>
      <c r="T1563" s="7" t="str">
        <f>IF(AllData[[#This Row],[Phosphate (PPM)]]&gt;0.5, "Very high", IF(AllData[[#This Row],[Phosphate (PPM)]]&gt;0.1, "High", IF(AllData[[#This Row],[Phosphate (PPM)]]&gt;0.05, "Some evidence", IF(AllData[[#This Row],[Phosphate (PPM)]]&lt;=0.05, "No Evidence", ""))))</f>
        <v>High</v>
      </c>
      <c r="U1563">
        <v>0.7</v>
      </c>
    </row>
    <row r="1564" spans="1:22" x14ac:dyDescent="0.35">
      <c r="A1564" t="s">
        <v>1220</v>
      </c>
      <c r="B1564" s="143">
        <v>45417</v>
      </c>
      <c r="C1564" s="2" t="str" cm="1">
        <f t="array" ref="C15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4">
        <f>YEAR(AllData[[#This Row],[Date]])</f>
        <v>2024</v>
      </c>
      <c r="E1564" s="1">
        <v>0.58333333333333337</v>
      </c>
      <c r="F1564" t="str">
        <f>IF(AND(AllData[[#This Row],[Time]]&lt;0.5, AllData[[#This Row],[Time]]&gt;0.17)=TRUE, "Morning", IF(AND(AllData[[#This Row],[Time]]&lt;0.75, AllData[[#This Row],[Time]]&gt;=0.5)=TRUE, "Afternoon", IF(AND(AllData[[#This Row],[Time]]&lt;1, AllData[[#This Row],[Time]]&gt;=0.75)=TRUE, "Evening", "Night")))</f>
        <v>Afternoon</v>
      </c>
      <c r="G1564" t="str">
        <f>_xlfn.XLOOKUP(AllData[[#This Row],[Location Name]], Locations[Location Name],Locations[Group As])</f>
        <v>Clifford Chambers Mill Bridge</v>
      </c>
      <c r="H1564" t="e" vm="1">
        <f>_xlfn.XLOOKUP(AllData[[#This Row],[Site Name]],LocationsKey[Site Name],LocationsKey[District])</f>
        <v>#VALUE!</v>
      </c>
      <c r="I1564" t="e" vm="22">
        <f>_xlfn.XLOOKUP(AllData[[#This Row],[Site Name]],LocationsKey[Site Name],LocationsKey[Town])</f>
        <v>#VALUE!</v>
      </c>
      <c r="J1564" t="str">
        <f>_xlfn.XLOOKUP(AllData[[#This Row],[Site Name]],LocationsKey[Site Name], LocationsKey[Waterway])</f>
        <v>Stour</v>
      </c>
      <c r="K1564" t="s">
        <v>266</v>
      </c>
      <c r="L1564">
        <v>52.166370000000001</v>
      </c>
      <c r="M1564">
        <v>-1.708032</v>
      </c>
      <c r="N1564" t="s">
        <v>68</v>
      </c>
      <c r="O1564">
        <v>616</v>
      </c>
      <c r="P1564">
        <v>16</v>
      </c>
      <c r="Q1564">
        <v>9</v>
      </c>
      <c r="R1564" s="107" t="str">
        <f>IF(AllData[[#This Row],[Nitrate (PPM)]]&gt;2, "Very high", IF(AllData[[#This Row],[Nitrate (PPM)]]&gt;1, "High", IF(AllData[[#This Row],[Nitrate (PPM)]]&gt;0.5, "Some evidence", IF(AllData[[#This Row],[Nitrate (PPM)]]&gt;=0, "No evidence"))))</f>
        <v>Very high</v>
      </c>
      <c r="S1564" s="112">
        <v>0.2</v>
      </c>
      <c r="T1564" s="7" t="str">
        <f>IF(AllData[[#This Row],[Phosphate (PPM)]]&gt;0.5, "Very high", IF(AllData[[#This Row],[Phosphate (PPM)]]&gt;0.1, "High", IF(AllData[[#This Row],[Phosphate (PPM)]]&gt;0.05, "Some evidence", IF(AllData[[#This Row],[Phosphate (PPM)]]&lt;=0.05, "No Evidence", ""))))</f>
        <v>High</v>
      </c>
      <c r="U1564">
        <v>0.8</v>
      </c>
    </row>
    <row r="1565" spans="1:22" x14ac:dyDescent="0.35">
      <c r="A1565" t="s">
        <v>1222</v>
      </c>
      <c r="B1565" s="143">
        <v>45417</v>
      </c>
      <c r="C1565" s="2" t="str" cm="1">
        <f t="array" ref="C15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5">
        <f>YEAR(AllData[[#This Row],[Date]])</f>
        <v>2024</v>
      </c>
      <c r="E1565" s="1">
        <v>0.66388888888888886</v>
      </c>
      <c r="F1565" t="str">
        <f>IF(AND(AllData[[#This Row],[Time]]&lt;0.5, AllData[[#This Row],[Time]]&gt;0.17)=TRUE, "Morning", IF(AND(AllData[[#This Row],[Time]]&lt;0.75, AllData[[#This Row],[Time]]&gt;=0.5)=TRUE, "Afternoon", IF(AND(AllData[[#This Row],[Time]]&lt;1, AllData[[#This Row],[Time]]&gt;=0.75)=TRUE, "Evening", "Night")))</f>
        <v>Afternoon</v>
      </c>
      <c r="G1565" t="str">
        <f>_xlfn.XLOOKUP(AllData[[#This Row],[Location Name]], Locations[Location Name],Locations[Group As])</f>
        <v>Sherbourne Brook 1</v>
      </c>
      <c r="H1565" t="e" vm="1">
        <f>_xlfn.XLOOKUP(AllData[[#This Row],[Site Name]],LocationsKey[Site Name],LocationsKey[District])</f>
        <v>#VALUE!</v>
      </c>
      <c r="I1565" t="e" vm="23">
        <f>_xlfn.XLOOKUP(AllData[[#This Row],[Site Name]],LocationsKey[Site Name],LocationsKey[Town])</f>
        <v>#VALUE!</v>
      </c>
      <c r="J1565" t="str">
        <f>_xlfn.XLOOKUP(AllData[[#This Row],[Site Name]],LocationsKey[Site Name], LocationsKey[Waterway])</f>
        <v>Sherbourne Brook</v>
      </c>
      <c r="K1565" t="s">
        <v>541</v>
      </c>
      <c r="L1565">
        <v>52.252499999999998</v>
      </c>
      <c r="M1565">
        <v>-1.6685000000000001</v>
      </c>
      <c r="N1565" t="s">
        <v>25</v>
      </c>
      <c r="O1565">
        <v>1060</v>
      </c>
      <c r="P1565">
        <v>14</v>
      </c>
      <c r="Q1565">
        <v>8</v>
      </c>
      <c r="R1565" s="107" t="str">
        <f>IF(AllData[[#This Row],[Nitrate (PPM)]]&gt;2, "Very high", IF(AllData[[#This Row],[Nitrate (PPM)]]&gt;1, "High", IF(AllData[[#This Row],[Nitrate (PPM)]]&gt;0.5, "Some evidence", IF(AllData[[#This Row],[Nitrate (PPM)]]&gt;=0, "No evidence"))))</f>
        <v>Very high</v>
      </c>
      <c r="S1565" s="112">
        <v>0.39</v>
      </c>
      <c r="T1565" s="7" t="str">
        <f>IF(AllData[[#This Row],[Phosphate (PPM)]]&gt;0.5, "Very high", IF(AllData[[#This Row],[Phosphate (PPM)]]&gt;0.1, "High", IF(AllData[[#This Row],[Phosphate (PPM)]]&gt;0.05, "Some evidence", IF(AllData[[#This Row],[Phosphate (PPM)]]&lt;=0.05, "No Evidence", ""))))</f>
        <v>High</v>
      </c>
      <c r="U1565">
        <v>0.1</v>
      </c>
    </row>
    <row r="1566" spans="1:22" x14ac:dyDescent="0.35">
      <c r="A1566" t="s">
        <v>1215</v>
      </c>
      <c r="B1566" s="143">
        <v>45417</v>
      </c>
      <c r="C1566" s="2" t="str" cm="1">
        <f t="array" ref="C15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6">
        <f>YEAR(AllData[[#This Row],[Date]])</f>
        <v>2024</v>
      </c>
      <c r="E1566" s="1">
        <v>0.48958333333333331</v>
      </c>
      <c r="F1566" t="str">
        <f>IF(AND(AllData[[#This Row],[Time]]&lt;0.5, AllData[[#This Row],[Time]]&gt;0.17)=TRUE, "Morning", IF(AND(AllData[[#This Row],[Time]]&lt;0.75, AllData[[#This Row],[Time]]&gt;=0.5)=TRUE, "Afternoon", IF(AND(AllData[[#This Row],[Time]]&lt;1, AllData[[#This Row],[Time]]&gt;=0.75)=TRUE, "Evening", "Night")))</f>
        <v>Morning</v>
      </c>
      <c r="G1566" t="str">
        <f>_xlfn.XLOOKUP(AllData[[#This Row],[Location Name]], Locations[Location Name],Locations[Group As])</f>
        <v>Carrant Bredon Rd</v>
      </c>
      <c r="H1566" t="e" vm="4">
        <f>_xlfn.XLOOKUP(AllData[[#This Row],[Site Name]],LocationsKey[Site Name],LocationsKey[District])</f>
        <v>#VALUE!</v>
      </c>
      <c r="I1566" t="e" vm="4">
        <f>_xlfn.XLOOKUP(AllData[[#This Row],[Site Name]],LocationsKey[Site Name],LocationsKey[Town])</f>
        <v>#VALUE!</v>
      </c>
      <c r="J1566" t="str">
        <f>_xlfn.XLOOKUP(AllData[[#This Row],[Site Name]],LocationsKey[Site Name], LocationsKey[Waterway])</f>
        <v>Carrant</v>
      </c>
      <c r="K1566" t="s">
        <v>603</v>
      </c>
      <c r="L1566">
        <v>51.996152000000002</v>
      </c>
      <c r="M1566">
        <v>-2.15598</v>
      </c>
      <c r="N1566" t="s">
        <v>25</v>
      </c>
      <c r="O1566">
        <v>714</v>
      </c>
      <c r="P1566">
        <v>13.7</v>
      </c>
      <c r="Q1566">
        <v>7</v>
      </c>
      <c r="R1566" s="107" t="str">
        <f>IF(AllData[[#This Row],[Nitrate (PPM)]]&gt;2, "Very high", IF(AllData[[#This Row],[Nitrate (PPM)]]&gt;1, "High", IF(AllData[[#This Row],[Nitrate (PPM)]]&gt;0.5, "Some evidence", IF(AllData[[#This Row],[Nitrate (PPM)]]&gt;=0, "No evidence"))))</f>
        <v>Very high</v>
      </c>
      <c r="S1566" s="112">
        <v>0.22</v>
      </c>
      <c r="T1566" s="7" t="str">
        <f>IF(AllData[[#This Row],[Phosphate (PPM)]]&gt;0.5, "Very high", IF(AllData[[#This Row],[Phosphate (PPM)]]&gt;0.1, "High", IF(AllData[[#This Row],[Phosphate (PPM)]]&gt;0.05, "Some evidence", IF(AllData[[#This Row],[Phosphate (PPM)]]&lt;=0.05, "No Evidence", ""))))</f>
        <v>High</v>
      </c>
      <c r="U1566">
        <v>0.1</v>
      </c>
      <c r="V1566" t="s">
        <v>1216</v>
      </c>
    </row>
    <row r="1567" spans="1:22" x14ac:dyDescent="0.35">
      <c r="A1567" t="s">
        <v>1221</v>
      </c>
      <c r="B1567" s="143">
        <v>45417</v>
      </c>
      <c r="C1567" s="2" t="str" cm="1">
        <f t="array" ref="C15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7">
        <f>YEAR(AllData[[#This Row],[Date]])</f>
        <v>2024</v>
      </c>
      <c r="E1567" s="1">
        <v>0.63541666666666663</v>
      </c>
      <c r="F1567" t="str">
        <f>IF(AND(AllData[[#This Row],[Time]]&lt;0.5, AllData[[#This Row],[Time]]&gt;0.17)=TRUE, "Morning", IF(AND(AllData[[#This Row],[Time]]&lt;0.75, AllData[[#This Row],[Time]]&gt;=0.5)=TRUE, "Afternoon", IF(AND(AllData[[#This Row],[Time]]&lt;1, AllData[[#This Row],[Time]]&gt;=0.75)=TRUE, "Evening", "Night")))</f>
        <v>Afternoon</v>
      </c>
      <c r="G1567" t="str">
        <f>_xlfn.XLOOKUP(AllData[[#This Row],[Location Name]], Locations[Location Name],Locations[Group As])</f>
        <v>Bell Brook 1</v>
      </c>
      <c r="H1567" t="e" vm="1">
        <f>_xlfn.XLOOKUP(AllData[[#This Row],[Site Name]],LocationsKey[Site Name],LocationsKey[District])</f>
        <v>#VALUE!</v>
      </c>
      <c r="I1567" t="e" vm="19">
        <f>_xlfn.XLOOKUP(AllData[[#This Row],[Site Name]],LocationsKey[Site Name],LocationsKey[Town])</f>
        <v>#VALUE!</v>
      </c>
      <c r="J1567" t="str">
        <f>_xlfn.XLOOKUP(AllData[[#This Row],[Site Name]],LocationsKey[Site Name], LocationsKey[Waterway])</f>
        <v>Bell Brook</v>
      </c>
      <c r="K1567" t="s">
        <v>538</v>
      </c>
      <c r="L1567">
        <v>52.244900000000001</v>
      </c>
      <c r="M1567">
        <v>-1.6617</v>
      </c>
      <c r="N1567" t="s">
        <v>25</v>
      </c>
      <c r="O1567">
        <v>702</v>
      </c>
      <c r="P1567">
        <v>14.6</v>
      </c>
      <c r="Q1567">
        <v>6</v>
      </c>
      <c r="R1567" s="107" t="str">
        <f>IF(AllData[[#This Row],[Nitrate (PPM)]]&gt;2, "Very high", IF(AllData[[#This Row],[Nitrate (PPM)]]&gt;1, "High", IF(AllData[[#This Row],[Nitrate (PPM)]]&gt;0.5, "Some evidence", IF(AllData[[#This Row],[Nitrate (PPM)]]&gt;=0, "No evidence"))))</f>
        <v>Very high</v>
      </c>
      <c r="S1567" s="112">
        <v>0.79</v>
      </c>
      <c r="T1567" s="7" t="str">
        <f>IF(AllData[[#This Row],[Phosphate (PPM)]]&gt;0.5, "Very high", IF(AllData[[#This Row],[Phosphate (PPM)]]&gt;0.1, "High", IF(AllData[[#This Row],[Phosphate (PPM)]]&gt;0.05, "Some evidence", IF(AllData[[#This Row],[Phosphate (PPM)]]&lt;=0.05, "No Evidence", ""))))</f>
        <v>Very high</v>
      </c>
      <c r="U1567">
        <v>0.1</v>
      </c>
    </row>
    <row r="1568" spans="1:22" x14ac:dyDescent="0.35">
      <c r="A1568" t="s">
        <v>1228</v>
      </c>
      <c r="B1568" s="143">
        <v>45417</v>
      </c>
      <c r="C1568" s="2" t="str" cm="1">
        <f t="array" ref="C15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8">
        <f>YEAR(AllData[[#This Row],[Date]])</f>
        <v>2024</v>
      </c>
      <c r="E1568" s="1"/>
      <c r="F1568" t="str">
        <f>IF(AND(AllData[[#This Row],[Time]]&lt;0.5, AllData[[#This Row],[Time]]&gt;0.17)=TRUE, "Morning", IF(AND(AllData[[#This Row],[Time]]&lt;0.75, AllData[[#This Row],[Time]]&gt;=0.5)=TRUE, "Afternoon", IF(AND(AllData[[#This Row],[Time]]&lt;1, AllData[[#This Row],[Time]]&gt;=0.75)=TRUE, "Evening", "Night")))</f>
        <v>Night</v>
      </c>
      <c r="G1568" t="str">
        <f>_xlfn.XLOOKUP(AllData[[#This Row],[Location Name]], Locations[Location Name],Locations[Group As])</f>
        <v>Site 2  :  Cross Leys culvert</v>
      </c>
      <c r="H1568" t="e" vm="1">
        <f>_xlfn.XLOOKUP(AllData[[#This Row],[Site Name]],LocationsKey[Site Name],LocationsKey[District])</f>
        <v>#VALUE!</v>
      </c>
      <c r="I1568" t="e" vm="14">
        <f>_xlfn.XLOOKUP(AllData[[#This Row],[Site Name]],LocationsKey[Site Name],LocationsKey[Town])</f>
        <v>#VALUE!</v>
      </c>
      <c r="J1568" t="str">
        <f>_xlfn.XLOOKUP(AllData[[#This Row],[Site Name]],LocationsKey[Site Name], LocationsKey[Waterway])</f>
        <v>Fosseway Brook</v>
      </c>
      <c r="K1568" t="s">
        <v>626</v>
      </c>
      <c r="L1568">
        <v>52.092967999999999</v>
      </c>
      <c r="M1568">
        <v>-1.6862710000000001</v>
      </c>
      <c r="N1568" t="s">
        <v>68</v>
      </c>
      <c r="O1568">
        <v>662</v>
      </c>
      <c r="P1568">
        <v>17.3</v>
      </c>
      <c r="Q1568">
        <v>5</v>
      </c>
      <c r="R1568" s="107" t="str">
        <f>IF(AllData[[#This Row],[Nitrate (PPM)]]&gt;2, "Very high", IF(AllData[[#This Row],[Nitrate (PPM)]]&gt;1, "High", IF(AllData[[#This Row],[Nitrate (PPM)]]&gt;0.5, "Some evidence", IF(AllData[[#This Row],[Nitrate (PPM)]]&gt;=0, "No evidence"))))</f>
        <v>Very high</v>
      </c>
      <c r="S1568" s="4">
        <v>0.46</v>
      </c>
      <c r="T1568" s="7" t="str">
        <f>IF(AllData[[#This Row],[Phosphate (PPM)]]&gt;0.5, "Very high", IF(AllData[[#This Row],[Phosphate (PPM)]]&gt;0.1, "High", IF(AllData[[#This Row],[Phosphate (PPM)]]&gt;0.05, "Some evidence", IF(AllData[[#This Row],[Phosphate (PPM)]]&lt;=0.05, "No Evidence", ""))))</f>
        <v>High</v>
      </c>
    </row>
    <row r="1569" spans="1:22" x14ac:dyDescent="0.35">
      <c r="A1569" t="s">
        <v>1227</v>
      </c>
      <c r="B1569" s="143">
        <v>45417</v>
      </c>
      <c r="C1569" s="2" t="str" cm="1">
        <f t="array" ref="C15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69">
        <f>YEAR(AllData[[#This Row],[Date]])</f>
        <v>2024</v>
      </c>
      <c r="F1569" t="str">
        <f>IF(AND(AllData[[#This Row],[Time]]&lt;0.5, AllData[[#This Row],[Time]]&gt;0.17)=TRUE, "Morning", IF(AND(AllData[[#This Row],[Time]]&lt;0.75, AllData[[#This Row],[Time]]&gt;=0.5)=TRUE, "Afternoon", IF(AND(AllData[[#This Row],[Time]]&lt;1, AllData[[#This Row],[Time]]&gt;=0.75)=TRUE, "Evening", "Night")))</f>
        <v>Night</v>
      </c>
      <c r="G1569" t="str">
        <f>_xlfn.XLOOKUP(AllData[[#This Row],[Location Name]], Locations[Location Name],Locations[Group As])</f>
        <v>Site 2  :  Cross Leys culvert</v>
      </c>
      <c r="H1569" t="e" vm="1">
        <f>_xlfn.XLOOKUP(AllData[[#This Row],[Site Name]],LocationsKey[Site Name],LocationsKey[District])</f>
        <v>#VALUE!</v>
      </c>
      <c r="I1569" t="e" vm="14">
        <f>_xlfn.XLOOKUP(AllData[[#This Row],[Site Name]],LocationsKey[Site Name],LocationsKey[Town])</f>
        <v>#VALUE!</v>
      </c>
      <c r="J1569" t="str">
        <f>_xlfn.XLOOKUP(AllData[[#This Row],[Site Name]],LocationsKey[Site Name], LocationsKey[Waterway])</f>
        <v>Fosseway Brook</v>
      </c>
      <c r="K1569" t="s">
        <v>623</v>
      </c>
      <c r="L1569">
        <v>52.092967999999999</v>
      </c>
      <c r="M1569">
        <v>-1.6862710000000001</v>
      </c>
      <c r="N1569" t="s">
        <v>68</v>
      </c>
      <c r="O1569">
        <v>662</v>
      </c>
      <c r="P1569">
        <v>17.3</v>
      </c>
      <c r="Q1569">
        <v>5</v>
      </c>
      <c r="R1569" s="107" t="str">
        <f>IF(AllData[[#This Row],[Nitrate (PPM)]]&gt;2, "Very high", IF(AllData[[#This Row],[Nitrate (PPM)]]&gt;1, "High", IF(AllData[[#This Row],[Nitrate (PPM)]]&gt;0.5, "Some evidence", IF(AllData[[#This Row],[Nitrate (PPM)]]&gt;=0, "No evidence"))))</f>
        <v>Very high</v>
      </c>
      <c r="S1569" s="4">
        <v>0.46</v>
      </c>
      <c r="T1569" s="7" t="str">
        <f>IF(AllData[[#This Row],[Phosphate (PPM)]]&gt;0.5, "Very high", IF(AllData[[#This Row],[Phosphate (PPM)]]&gt;0.1, "High", IF(AllData[[#This Row],[Phosphate (PPM)]]&gt;0.05, "Some evidence", IF(AllData[[#This Row],[Phosphate (PPM)]]&lt;=0.05, "No Evidence", ""))))</f>
        <v>High</v>
      </c>
      <c r="U1569">
        <v>0</v>
      </c>
      <c r="V1569" t="s">
        <v>835</v>
      </c>
    </row>
    <row r="1570" spans="1:22" x14ac:dyDescent="0.35">
      <c r="A1570" t="s">
        <v>1223</v>
      </c>
      <c r="B1570" s="143">
        <v>45417</v>
      </c>
      <c r="C1570" s="2" t="str" cm="1">
        <f t="array" ref="C15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0">
        <f>YEAR(AllData[[#This Row],[Date]])</f>
        <v>2024</v>
      </c>
      <c r="E1570" s="1">
        <v>0.70138888888888884</v>
      </c>
      <c r="F1570" t="str">
        <f>IF(AND(AllData[[#This Row],[Time]]&lt;0.5, AllData[[#This Row],[Time]]&gt;0.17)=TRUE, "Morning", IF(AND(AllData[[#This Row],[Time]]&lt;0.75, AllData[[#This Row],[Time]]&gt;=0.5)=TRUE, "Afternoon", IF(AND(AllData[[#This Row],[Time]]&lt;1, AllData[[#This Row],[Time]]&gt;=0.75)=TRUE, "Evening", "Night")))</f>
        <v>Afternoon</v>
      </c>
      <c r="G1570" t="str">
        <f>_xlfn.XLOOKUP(AllData[[#This Row],[Location Name]], Locations[Location Name],Locations[Group As])</f>
        <v>Fell Mill Footbridge</v>
      </c>
      <c r="H1570" t="e" vm="1">
        <f>_xlfn.XLOOKUP(AllData[[#This Row],[Site Name]],LocationsKey[Site Name],LocationsKey[District])</f>
        <v>#VALUE!</v>
      </c>
      <c r="I1570" t="e" vm="15">
        <f>_xlfn.XLOOKUP(AllData[[#This Row],[Site Name]],LocationsKey[Site Name],LocationsKey[Town])</f>
        <v>#VALUE!</v>
      </c>
      <c r="J1570" t="str">
        <f>_xlfn.XLOOKUP(AllData[[#This Row],[Site Name]],LocationsKey[Site Name], LocationsKey[Waterway])</f>
        <v>Stour</v>
      </c>
      <c r="K1570" t="s">
        <v>875</v>
      </c>
      <c r="L1570">
        <v>52.070086000000003</v>
      </c>
      <c r="M1570">
        <v>-1.61145</v>
      </c>
      <c r="N1570" t="s">
        <v>31</v>
      </c>
      <c r="O1570">
        <v>632</v>
      </c>
      <c r="P1570">
        <v>13.3</v>
      </c>
      <c r="Q1570">
        <v>5</v>
      </c>
      <c r="R1570" s="107" t="str">
        <f>IF(AllData[[#This Row],[Nitrate (PPM)]]&gt;2, "Very high", IF(AllData[[#This Row],[Nitrate (PPM)]]&gt;1, "High", IF(AllData[[#This Row],[Nitrate (PPM)]]&gt;0.5, "Some evidence", IF(AllData[[#This Row],[Nitrate (PPM)]]&gt;=0, "No evidence"))))</f>
        <v>Very high</v>
      </c>
      <c r="S1570" s="112">
        <v>0.31</v>
      </c>
      <c r="T1570" s="7" t="str">
        <f>IF(AllData[[#This Row],[Phosphate (PPM)]]&gt;0.5, "Very high", IF(AllData[[#This Row],[Phosphate (PPM)]]&gt;0.1, "High", IF(AllData[[#This Row],[Phosphate (PPM)]]&gt;0.05, "Some evidence", IF(AllData[[#This Row],[Phosphate (PPM)]]&lt;=0.05, "No Evidence", ""))))</f>
        <v>High</v>
      </c>
      <c r="U1570">
        <v>1.49</v>
      </c>
      <c r="V1570" t="s">
        <v>1224</v>
      </c>
    </row>
    <row r="1571" spans="1:22" x14ac:dyDescent="0.35">
      <c r="A1571" t="s">
        <v>1226</v>
      </c>
      <c r="B1571" s="143">
        <v>45417</v>
      </c>
      <c r="C1571" s="2" t="str" cm="1">
        <f t="array" ref="C15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1">
        <f>YEAR(AllData[[#This Row],[Date]])</f>
        <v>2024</v>
      </c>
      <c r="E1571" s="1"/>
      <c r="F1571" t="str">
        <f>IF(AND(AllData[[#This Row],[Time]]&lt;0.5, AllData[[#This Row],[Time]]&gt;0.17)=TRUE, "Morning", IF(AND(AllData[[#This Row],[Time]]&lt;0.75, AllData[[#This Row],[Time]]&gt;=0.5)=TRUE, "Afternoon", IF(AND(AllData[[#This Row],[Time]]&lt;1, AllData[[#This Row],[Time]]&gt;=0.75)=TRUE, "Evening", "Night")))</f>
        <v>Night</v>
      </c>
      <c r="G1571" t="str">
        <f>_xlfn.XLOOKUP(AllData[[#This Row],[Location Name]], Locations[Location Name],Locations[Group As])</f>
        <v>Site 1  :  Middle Street</v>
      </c>
      <c r="H1571" t="e" vm="1">
        <f>_xlfn.XLOOKUP(AllData[[#This Row],[Site Name]],LocationsKey[Site Name],LocationsKey[District])</f>
        <v>#VALUE!</v>
      </c>
      <c r="I1571" t="e" vm="14">
        <f>_xlfn.XLOOKUP(AllData[[#This Row],[Site Name]],LocationsKey[Site Name],LocationsKey[Town])</f>
        <v>#VALUE!</v>
      </c>
      <c r="J1571" t="str">
        <f>_xlfn.XLOOKUP(AllData[[#This Row],[Site Name]],LocationsKey[Site Name], LocationsKey[Waterway])</f>
        <v>Fosseway Brook</v>
      </c>
      <c r="K1571" t="s">
        <v>670</v>
      </c>
      <c r="L1571">
        <v>52.090085000000002</v>
      </c>
      <c r="M1571">
        <v>-1.692593</v>
      </c>
      <c r="N1571" t="s">
        <v>68</v>
      </c>
      <c r="O1571">
        <v>603</v>
      </c>
      <c r="P1571">
        <v>15.8</v>
      </c>
      <c r="Q1571">
        <v>5</v>
      </c>
      <c r="R1571" s="107" t="str">
        <f>IF(AllData[[#This Row],[Nitrate (PPM)]]&gt;2, "Very high", IF(AllData[[#This Row],[Nitrate (PPM)]]&gt;1, "High", IF(AllData[[#This Row],[Nitrate (PPM)]]&gt;0.5, "Some evidence", IF(AllData[[#This Row],[Nitrate (PPM)]]&gt;=0, "No evidence"))))</f>
        <v>Very high</v>
      </c>
      <c r="S1571" s="4">
        <v>0.21</v>
      </c>
      <c r="T1571" s="7" t="str">
        <f>IF(AllData[[#This Row],[Phosphate (PPM)]]&gt;0.5, "Very high", IF(AllData[[#This Row],[Phosphate (PPM)]]&gt;0.1, "High", IF(AllData[[#This Row],[Phosphate (PPM)]]&gt;0.05, "Some evidence", IF(AllData[[#This Row],[Phosphate (PPM)]]&lt;=0.05, "No Evidence", ""))))</f>
        <v>High</v>
      </c>
    </row>
    <row r="1572" spans="1:22" x14ac:dyDescent="0.35">
      <c r="A1572" t="s">
        <v>1225</v>
      </c>
      <c r="B1572" s="143">
        <v>45417</v>
      </c>
      <c r="C1572" s="2" t="str" cm="1">
        <f t="array" ref="C15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2">
        <f>YEAR(AllData[[#This Row],[Date]])</f>
        <v>2024</v>
      </c>
      <c r="F1572" t="str">
        <f>IF(AND(AllData[[#This Row],[Time]]&lt;0.5, AllData[[#This Row],[Time]]&gt;0.17)=TRUE, "Morning", IF(AND(AllData[[#This Row],[Time]]&lt;0.75, AllData[[#This Row],[Time]]&gt;=0.5)=TRUE, "Afternoon", IF(AND(AllData[[#This Row],[Time]]&lt;1, AllData[[#This Row],[Time]]&gt;=0.75)=TRUE, "Evening", "Night")))</f>
        <v>Night</v>
      </c>
      <c r="G1572" t="str">
        <f>_xlfn.XLOOKUP(AllData[[#This Row],[Location Name]], Locations[Location Name],Locations[Group As])</f>
        <v>Site 1  :  Middle Street</v>
      </c>
      <c r="H1572" t="e" vm="1">
        <f>_xlfn.XLOOKUP(AllData[[#This Row],[Site Name]],LocationsKey[Site Name],LocationsKey[District])</f>
        <v>#VALUE!</v>
      </c>
      <c r="I1572" t="e" vm="14">
        <f>_xlfn.XLOOKUP(AllData[[#This Row],[Site Name]],LocationsKey[Site Name],LocationsKey[Town])</f>
        <v>#VALUE!</v>
      </c>
      <c r="J1572" t="str">
        <f>_xlfn.XLOOKUP(AllData[[#This Row],[Site Name]],LocationsKey[Site Name], LocationsKey[Waterway])</f>
        <v>Fosseway Brook</v>
      </c>
      <c r="K1572" t="s">
        <v>667</v>
      </c>
      <c r="L1572">
        <v>52.090085000000002</v>
      </c>
      <c r="M1572">
        <v>-1.692593</v>
      </c>
      <c r="N1572" t="s">
        <v>68</v>
      </c>
      <c r="O1572">
        <v>603</v>
      </c>
      <c r="P1572">
        <v>15.8</v>
      </c>
      <c r="Q1572">
        <v>5</v>
      </c>
      <c r="R1572" s="107" t="str">
        <f>IF(AllData[[#This Row],[Nitrate (PPM)]]&gt;2, "Very high", IF(AllData[[#This Row],[Nitrate (PPM)]]&gt;1, "High", IF(AllData[[#This Row],[Nitrate (PPM)]]&gt;0.5, "Some evidence", IF(AllData[[#This Row],[Nitrate (PPM)]]&gt;=0, "No evidence"))))</f>
        <v>Very high</v>
      </c>
      <c r="S1572" s="4">
        <v>0.21</v>
      </c>
      <c r="T1572" s="7" t="str">
        <f>IF(AllData[[#This Row],[Phosphate (PPM)]]&gt;0.5, "Very high", IF(AllData[[#This Row],[Phosphate (PPM)]]&gt;0.1, "High", IF(AllData[[#This Row],[Phosphate (PPM)]]&gt;0.05, "Some evidence", IF(AllData[[#This Row],[Phosphate (PPM)]]&lt;=0.05, "No Evidence", ""))))</f>
        <v>High</v>
      </c>
      <c r="U1572">
        <v>0</v>
      </c>
      <c r="V1572" t="s">
        <v>835</v>
      </c>
    </row>
    <row r="1573" spans="1:22" x14ac:dyDescent="0.35">
      <c r="A1573" t="s">
        <v>1231</v>
      </c>
      <c r="B1573" s="143">
        <v>45417</v>
      </c>
      <c r="C1573" s="2" t="str" cm="1">
        <f t="array" ref="C15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3">
        <f>YEAR(AllData[[#This Row],[Date]])</f>
        <v>2024</v>
      </c>
      <c r="E1573" s="1">
        <v>0.45833333333333331</v>
      </c>
      <c r="F1573" t="str">
        <f>IF(AND(AllData[[#This Row],[Time]]&lt;0.5, AllData[[#This Row],[Time]]&gt;0.17)=TRUE, "Morning", IF(AND(AllData[[#This Row],[Time]]&lt;0.75, AllData[[#This Row],[Time]]&gt;=0.5)=TRUE, "Afternoon", IF(AND(AllData[[#This Row],[Time]]&lt;1, AllData[[#This Row],[Time]]&gt;=0.75)=TRUE, "Evening", "Night")))</f>
        <v>Morning</v>
      </c>
      <c r="G1573" t="str">
        <f>_xlfn.XLOOKUP(AllData[[#This Row],[Location Name]], Locations[Location Name],Locations[Group As])</f>
        <v>Site 1  :  Middle Street</v>
      </c>
      <c r="H1573" t="e" vm="1">
        <f>_xlfn.XLOOKUP(AllData[[#This Row],[Site Name]],LocationsKey[Site Name],LocationsKey[District])</f>
        <v>#VALUE!</v>
      </c>
      <c r="I1573" t="e" vm="14">
        <f>_xlfn.XLOOKUP(AllData[[#This Row],[Site Name]],LocationsKey[Site Name],LocationsKey[Town])</f>
        <v>#VALUE!</v>
      </c>
      <c r="J1573" t="str">
        <f>_xlfn.XLOOKUP(AllData[[#This Row],[Site Name]],LocationsKey[Site Name], LocationsKey[Waterway])</f>
        <v>Fosseway Brook</v>
      </c>
      <c r="K1573" t="s">
        <v>678</v>
      </c>
      <c r="L1573">
        <v>52.090085000000002</v>
      </c>
      <c r="M1573">
        <v>-1.692593</v>
      </c>
      <c r="N1573" t="s">
        <v>68</v>
      </c>
      <c r="O1573">
        <v>603</v>
      </c>
      <c r="P1573">
        <v>15.8</v>
      </c>
      <c r="Q1573">
        <v>5</v>
      </c>
      <c r="R1573" s="107" t="str">
        <f>IF(AllData[[#This Row],[Nitrate (PPM)]]&gt;2, "Very high", IF(AllData[[#This Row],[Nitrate (PPM)]]&gt;1, "High", IF(AllData[[#This Row],[Nitrate (PPM)]]&gt;0.5, "Some evidence", IF(AllData[[#This Row],[Nitrate (PPM)]]&gt;=0, "No evidence"))))</f>
        <v>Very high</v>
      </c>
      <c r="S1573">
        <v>0.21</v>
      </c>
      <c r="T1573" s="7" t="str">
        <f>IF(AllData[[#This Row],[Phosphate (PPM)]]&gt;0.5, "Very high", IF(AllData[[#This Row],[Phosphate (PPM)]]&gt;0.1, "High", IF(AllData[[#This Row],[Phosphate (PPM)]]&gt;0.05, "Some evidence", IF(AllData[[#This Row],[Phosphate (PPM)]]&lt;=0.05, "No Evidence", ""))))</f>
        <v>High</v>
      </c>
      <c r="U1573">
        <v>0.05</v>
      </c>
    </row>
    <row r="1574" spans="1:22" x14ac:dyDescent="0.35">
      <c r="A1574" t="s">
        <v>1214</v>
      </c>
      <c r="B1574" s="143">
        <v>45417</v>
      </c>
      <c r="C1574" s="2" t="str" cm="1">
        <f t="array" ref="C15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4">
        <f>YEAR(AllData[[#This Row],[Date]])</f>
        <v>2024</v>
      </c>
      <c r="E1574" s="1">
        <v>0.41111111111111109</v>
      </c>
      <c r="F1574" t="str">
        <f>IF(AND(AllData[[#This Row],[Time]]&lt;0.5, AllData[[#This Row],[Time]]&gt;0.17)=TRUE, "Morning", IF(AND(AllData[[#This Row],[Time]]&lt;0.75, AllData[[#This Row],[Time]]&gt;=0.5)=TRUE, "Afternoon", IF(AND(AllData[[#This Row],[Time]]&lt;1, AllData[[#This Row],[Time]]&gt;=0.75)=TRUE, "Evening", "Night")))</f>
        <v>Morning</v>
      </c>
      <c r="G1574" t="str">
        <f>_xlfn.XLOOKUP(AllData[[#This Row],[Location Name]], Locations[Location Name],Locations[Group As])</f>
        <v>Black Bear</v>
      </c>
      <c r="H1574" t="e" vm="4">
        <f>_xlfn.XLOOKUP(AllData[[#This Row],[Site Name]],LocationsKey[Site Name],LocationsKey[District])</f>
        <v>#VALUE!</v>
      </c>
      <c r="I1574" t="e" vm="4">
        <f>_xlfn.XLOOKUP(AllData[[#This Row],[Site Name]],LocationsKey[Site Name],LocationsKey[Town])</f>
        <v>#VALUE!</v>
      </c>
      <c r="J1574" t="str">
        <f>_xlfn.XLOOKUP(AllData[[#This Row],[Site Name]],LocationsKey[Site Name], LocationsKey[Waterway])</f>
        <v>Avon</v>
      </c>
      <c r="K1574" t="s">
        <v>572</v>
      </c>
      <c r="L1574">
        <v>51.997269000000003</v>
      </c>
      <c r="M1574">
        <v>-2.1561880000000002</v>
      </c>
      <c r="N1574" t="s">
        <v>25</v>
      </c>
      <c r="O1574">
        <v>708</v>
      </c>
      <c r="P1574">
        <v>15</v>
      </c>
      <c r="Q1574">
        <v>3</v>
      </c>
      <c r="R1574" s="107" t="str">
        <f>IF(AllData[[#This Row],[Nitrate (PPM)]]&gt;2, "Very high", IF(AllData[[#This Row],[Nitrate (PPM)]]&gt;1, "High", IF(AllData[[#This Row],[Nitrate (PPM)]]&gt;0.5, "Some evidence", IF(AllData[[#This Row],[Nitrate (PPM)]]&gt;=0, "No evidence"))))</f>
        <v>Very high</v>
      </c>
      <c r="S1574" s="112">
        <v>0.49</v>
      </c>
      <c r="T1574" s="7" t="str">
        <f>IF(AllData[[#This Row],[Phosphate (PPM)]]&gt;0.5, "Very high", IF(AllData[[#This Row],[Phosphate (PPM)]]&gt;0.1, "High", IF(AllData[[#This Row],[Phosphate (PPM)]]&gt;0.05, "Some evidence", IF(AllData[[#This Row],[Phosphate (PPM)]]&lt;=0.05, "No Evidence", ""))))</f>
        <v>High</v>
      </c>
      <c r="U1574">
        <v>0</v>
      </c>
    </row>
    <row r="1575" spans="1:22" x14ac:dyDescent="0.35">
      <c r="A1575" t="s">
        <v>1209</v>
      </c>
      <c r="B1575" s="143">
        <v>45416</v>
      </c>
      <c r="C1575" s="2" t="str" cm="1">
        <f t="array" ref="C15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5">
        <f>YEAR(AllData[[#This Row],[Date]])</f>
        <v>2024</v>
      </c>
      <c r="E1575" s="1">
        <v>0.29444444444444445</v>
      </c>
      <c r="F1575" t="str">
        <f>IF(AND(AllData[[#This Row],[Time]]&lt;0.5, AllData[[#This Row],[Time]]&gt;0.17)=TRUE, "Morning", IF(AND(AllData[[#This Row],[Time]]&lt;0.75, AllData[[#This Row],[Time]]&gt;=0.5)=TRUE, "Afternoon", IF(AND(AllData[[#This Row],[Time]]&lt;1, AllData[[#This Row],[Time]]&gt;=0.75)=TRUE, "Evening", "Night")))</f>
        <v>Morning</v>
      </c>
      <c r="G1575" t="str">
        <f>_xlfn.XLOOKUP(AllData[[#This Row],[Location Name]], Locations[Location Name],Locations[Group As])</f>
        <v>Lower Lode</v>
      </c>
      <c r="H1575" t="e" vm="4">
        <f>_xlfn.XLOOKUP(AllData[[#This Row],[Site Name]],LocationsKey[Site Name],LocationsKey[District])</f>
        <v>#VALUE!</v>
      </c>
      <c r="I1575" t="e" vm="4">
        <f>_xlfn.XLOOKUP(AllData[[#This Row],[Site Name]],LocationsKey[Site Name],LocationsKey[Town])</f>
        <v>#VALUE!</v>
      </c>
      <c r="J1575" t="str">
        <f>_xlfn.XLOOKUP(AllData[[#This Row],[Site Name]],LocationsKey[Site Name], LocationsKey[Waterway])</f>
        <v>Avon</v>
      </c>
      <c r="K1575" t="s">
        <v>595</v>
      </c>
      <c r="L1575">
        <v>51.985059999999997</v>
      </c>
      <c r="M1575">
        <v>-2.1742940000000002</v>
      </c>
      <c r="N1575" t="s">
        <v>31</v>
      </c>
      <c r="O1575">
        <v>7000</v>
      </c>
      <c r="P1575">
        <v>12.7</v>
      </c>
      <c r="Q1575">
        <v>10</v>
      </c>
      <c r="R1575" s="107" t="str">
        <f>IF(AllData[[#This Row],[Nitrate (PPM)]]&gt;2, "Very high", IF(AllData[[#This Row],[Nitrate (PPM)]]&gt;1, "High", IF(AllData[[#This Row],[Nitrate (PPM)]]&gt;0.5, "Some evidence", IF(AllData[[#This Row],[Nitrate (PPM)]]&gt;=0, "No evidence"))))</f>
        <v>Very high</v>
      </c>
      <c r="S1575" s="112">
        <v>0.56999999999999995</v>
      </c>
      <c r="T1575" s="7" t="str">
        <f>IF(AllData[[#This Row],[Phosphate (PPM)]]&gt;0.5, "Very high", IF(AllData[[#This Row],[Phosphate (PPM)]]&gt;0.1, "High", IF(AllData[[#This Row],[Phosphate (PPM)]]&gt;0.05, "Some evidence", IF(AllData[[#This Row],[Phosphate (PPM)]]&lt;=0.05, "No Evidence", ""))))</f>
        <v>Very high</v>
      </c>
      <c r="U1575">
        <v>1</v>
      </c>
    </row>
    <row r="1576" spans="1:22" x14ac:dyDescent="0.35">
      <c r="A1576" t="s">
        <v>1210</v>
      </c>
      <c r="B1576" s="143">
        <v>45416</v>
      </c>
      <c r="C1576" s="2" t="str" cm="1">
        <f t="array" ref="C15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6">
        <f>YEAR(AllData[[#This Row],[Date]])</f>
        <v>2024</v>
      </c>
      <c r="E1576" s="1">
        <v>0.4375</v>
      </c>
      <c r="F1576" t="str">
        <f>IF(AND(AllData[[#This Row],[Time]]&lt;0.5, AllData[[#This Row],[Time]]&gt;0.17)=TRUE, "Morning", IF(AND(AllData[[#This Row],[Time]]&lt;0.75, AllData[[#This Row],[Time]]&gt;=0.5)=TRUE, "Afternoon", IF(AND(AllData[[#This Row],[Time]]&lt;1, AllData[[#This Row],[Time]]&gt;=0.75)=TRUE, "Evening", "Night")))</f>
        <v>Morning</v>
      </c>
      <c r="G1576" t="str">
        <f>_xlfn.XLOOKUP(AllData[[#This Row],[Location Name]], Locations[Location Name],Locations[Group As])</f>
        <v>Avon Smiths Meadow Wyre Piddle</v>
      </c>
      <c r="H1576" t="e" vm="6">
        <f>_xlfn.XLOOKUP(AllData[[#This Row],[Site Name]],LocationsKey[Site Name],LocationsKey[District])</f>
        <v>#VALUE!</v>
      </c>
      <c r="I1576" t="e" vm="13">
        <f>_xlfn.XLOOKUP(AllData[[#This Row],[Site Name]],LocationsKey[Site Name],LocationsKey[Town])</f>
        <v>#VALUE!</v>
      </c>
      <c r="J1576" t="str">
        <f>_xlfn.XLOOKUP(AllData[[#This Row],[Site Name]],LocationsKey[Site Name], LocationsKey[Waterway])</f>
        <v>Avon</v>
      </c>
      <c r="K1576" t="s">
        <v>784</v>
      </c>
      <c r="L1576">
        <v>52.122858999999998</v>
      </c>
      <c r="M1576">
        <v>-2.0575389999999998</v>
      </c>
      <c r="N1576" t="s">
        <v>25</v>
      </c>
      <c r="O1576">
        <v>723</v>
      </c>
      <c r="P1576">
        <v>13.1</v>
      </c>
      <c r="Q1576">
        <v>6</v>
      </c>
      <c r="R1576" s="107" t="str">
        <f>IF(AllData[[#This Row],[Nitrate (PPM)]]&gt;2, "Very high", IF(AllData[[#This Row],[Nitrate (PPM)]]&gt;1, "High", IF(AllData[[#This Row],[Nitrate (PPM)]]&gt;0.5, "Some evidence", IF(AllData[[#This Row],[Nitrate (PPM)]]&gt;=0, "No evidence"))))</f>
        <v>Very high</v>
      </c>
      <c r="S1576" s="112">
        <v>0.5</v>
      </c>
      <c r="T1576" s="7" t="str">
        <f>IF(AllData[[#This Row],[Phosphate (PPM)]]&gt;0.5, "Very high", IF(AllData[[#This Row],[Phosphate (PPM)]]&gt;0.1, "High", IF(AllData[[#This Row],[Phosphate (PPM)]]&gt;0.05, "Some evidence", IF(AllData[[#This Row],[Phosphate (PPM)]]&lt;=0.05, "No Evidence", ""))))</f>
        <v>High</v>
      </c>
      <c r="U1576">
        <v>0.89</v>
      </c>
      <c r="V1576" t="s">
        <v>1211</v>
      </c>
    </row>
    <row r="1577" spans="1:22" x14ac:dyDescent="0.35">
      <c r="A1577" t="s">
        <v>1212</v>
      </c>
      <c r="B1577" s="143">
        <v>45416</v>
      </c>
      <c r="C1577" s="2" t="str" cm="1">
        <f t="array" ref="C15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7">
        <f>YEAR(AllData[[#This Row],[Date]])</f>
        <v>2024</v>
      </c>
      <c r="E1577" s="1">
        <v>0.46875</v>
      </c>
      <c r="F1577" t="str">
        <f>IF(AND(AllData[[#This Row],[Time]]&lt;0.5, AllData[[#This Row],[Time]]&gt;0.17)=TRUE, "Morning", IF(AND(AllData[[#This Row],[Time]]&lt;0.75, AllData[[#This Row],[Time]]&gt;=0.5)=TRUE, "Afternoon", IF(AND(AllData[[#This Row],[Time]]&lt;1, AllData[[#This Row],[Time]]&gt;=0.75)=TRUE, "Evening", "Night")))</f>
        <v>Morning</v>
      </c>
      <c r="G1577" t="str">
        <f>_xlfn.XLOOKUP(AllData[[#This Row],[Location Name]], Locations[Location Name],Locations[Group As])</f>
        <v>Piddle Brook Wyre Piddle Bridge</v>
      </c>
      <c r="H1577" t="e" vm="6">
        <f>_xlfn.XLOOKUP(AllData[[#This Row],[Site Name]],LocationsKey[Site Name],LocationsKey[District])</f>
        <v>#VALUE!</v>
      </c>
      <c r="I1577" t="e" vm="13">
        <f>_xlfn.XLOOKUP(AllData[[#This Row],[Site Name]],LocationsKey[Site Name],LocationsKey[Town])</f>
        <v>#VALUE!</v>
      </c>
      <c r="J1577" t="str">
        <f>_xlfn.XLOOKUP(AllData[[#This Row],[Site Name]],LocationsKey[Site Name], LocationsKey[Waterway])</f>
        <v>Piddle Brook</v>
      </c>
      <c r="K1577" t="s">
        <v>787</v>
      </c>
      <c r="L1577">
        <v>52.126404000000001</v>
      </c>
      <c r="M1577">
        <v>-2.0565410000000002</v>
      </c>
      <c r="N1577" t="s">
        <v>25</v>
      </c>
      <c r="O1577">
        <v>1030</v>
      </c>
      <c r="P1577">
        <v>12.8</v>
      </c>
      <c r="Q1577">
        <v>5</v>
      </c>
      <c r="R1577" s="107" t="str">
        <f>IF(AllData[[#This Row],[Nitrate (PPM)]]&gt;2, "Very high", IF(AllData[[#This Row],[Nitrate (PPM)]]&gt;1, "High", IF(AllData[[#This Row],[Nitrate (PPM)]]&gt;0.5, "Some evidence", IF(AllData[[#This Row],[Nitrate (PPM)]]&gt;=0, "No evidence"))))</f>
        <v>Very high</v>
      </c>
      <c r="S1577" s="112">
        <v>0.72</v>
      </c>
      <c r="T1577" s="7" t="str">
        <f>IF(AllData[[#This Row],[Phosphate (PPM)]]&gt;0.5, "Very high", IF(AllData[[#This Row],[Phosphate (PPM)]]&gt;0.1, "High", IF(AllData[[#This Row],[Phosphate (PPM)]]&gt;0.05, "Some evidence", IF(AllData[[#This Row],[Phosphate (PPM)]]&lt;=0.05, "No Evidence", ""))))</f>
        <v>Very high</v>
      </c>
      <c r="U1577">
        <v>0.37</v>
      </c>
      <c r="V1577" t="s">
        <v>1213</v>
      </c>
    </row>
    <row r="1578" spans="1:22" x14ac:dyDescent="0.35">
      <c r="A1578" t="s">
        <v>1206</v>
      </c>
      <c r="B1578" s="143">
        <v>45415</v>
      </c>
      <c r="C1578" s="2" t="str" cm="1">
        <f t="array" ref="C15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8">
        <f>YEAR(AllData[[#This Row],[Date]])</f>
        <v>2024</v>
      </c>
      <c r="E1578" s="1">
        <v>0.625</v>
      </c>
      <c r="F1578" t="str">
        <f>IF(AND(AllData[[#This Row],[Time]]&lt;0.5, AllData[[#This Row],[Time]]&gt;0.17)=TRUE, "Morning", IF(AND(AllData[[#This Row],[Time]]&lt;0.75, AllData[[#This Row],[Time]]&gt;=0.5)=TRUE, "Afternoon", IF(AND(AllData[[#This Row],[Time]]&lt;1, AllData[[#This Row],[Time]]&gt;=0.75)=TRUE, "Evening", "Night")))</f>
        <v>Afternoon</v>
      </c>
      <c r="G1578" t="str">
        <f>_xlfn.XLOOKUP(AllData[[#This Row],[Location Name]], Locations[Location Name],Locations[Group As])</f>
        <v>Preston-on-Stour River Bridge</v>
      </c>
      <c r="H1578" t="e" vm="1">
        <f>_xlfn.XLOOKUP(AllData[[#This Row],[Site Name]],LocationsKey[Site Name],LocationsKey[District])</f>
        <v>#VALUE!</v>
      </c>
      <c r="I1578" t="e" vm="20">
        <f>_xlfn.XLOOKUP(AllData[[#This Row],[Site Name]],LocationsKey[Site Name],LocationsKey[Town])</f>
        <v>#VALUE!</v>
      </c>
      <c r="J1578" t="str">
        <f>_xlfn.XLOOKUP(AllData[[#This Row],[Site Name]],LocationsKey[Site Name], LocationsKey[Waterway])</f>
        <v>Stour</v>
      </c>
      <c r="K1578" t="s">
        <v>164</v>
      </c>
      <c r="L1578">
        <v>52.146610000000003</v>
      </c>
      <c r="M1578">
        <v>-1.700312</v>
      </c>
      <c r="N1578" t="s">
        <v>31</v>
      </c>
      <c r="O1578">
        <v>702</v>
      </c>
      <c r="P1578">
        <v>12</v>
      </c>
      <c r="Q1578">
        <v>5</v>
      </c>
      <c r="R1578" s="107" t="str">
        <f>IF(AllData[[#This Row],[Nitrate (PPM)]]&gt;2, "Very high", IF(AllData[[#This Row],[Nitrate (PPM)]]&gt;1, "High", IF(AllData[[#This Row],[Nitrate (PPM)]]&gt;0.5, "Some evidence", IF(AllData[[#This Row],[Nitrate (PPM)]]&gt;=0, "No evidence"))))</f>
        <v>Very high</v>
      </c>
      <c r="S1578" s="112">
        <v>0.22</v>
      </c>
      <c r="T1578" s="7" t="str">
        <f>IF(AllData[[#This Row],[Phosphate (PPM)]]&gt;0.5, "Very high", IF(AllData[[#This Row],[Phosphate (PPM)]]&gt;0.1, "High", IF(AllData[[#This Row],[Phosphate (PPM)]]&gt;0.05, "Some evidence", IF(AllData[[#This Row],[Phosphate (PPM)]]&lt;=0.05, "No Evidence", ""))))</f>
        <v>High</v>
      </c>
      <c r="U1578">
        <v>1.5</v>
      </c>
    </row>
    <row r="1579" spans="1:22" x14ac:dyDescent="0.35">
      <c r="A1579" t="s">
        <v>1205</v>
      </c>
      <c r="B1579" s="143">
        <v>45415</v>
      </c>
      <c r="C1579" s="2" t="str" cm="1">
        <f t="array" ref="C15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79">
        <f>YEAR(AllData[[#This Row],[Date]])</f>
        <v>2024</v>
      </c>
      <c r="E1579" s="1">
        <v>0.54513888888888884</v>
      </c>
      <c r="F1579" t="str">
        <f>IF(AND(AllData[[#This Row],[Time]]&lt;0.5, AllData[[#This Row],[Time]]&gt;0.17)=TRUE, "Morning", IF(AND(AllData[[#This Row],[Time]]&lt;0.75, AllData[[#This Row],[Time]]&gt;=0.5)=TRUE, "Afternoon", IF(AND(AllData[[#This Row],[Time]]&lt;1, AllData[[#This Row],[Time]]&gt;=0.75)=TRUE, "Evening", "Night")))</f>
        <v>Afternoon</v>
      </c>
      <c r="G1579" t="str">
        <f>_xlfn.XLOOKUP(AllData[[#This Row],[Location Name]], Locations[Location Name],Locations[Group As])</f>
        <v>Swilgate</v>
      </c>
      <c r="H1579" t="e" vm="4">
        <f>_xlfn.XLOOKUP(AllData[[#This Row],[Site Name]],LocationsKey[Site Name],LocationsKey[District])</f>
        <v>#VALUE!</v>
      </c>
      <c r="I1579" t="e" vm="4">
        <f>_xlfn.XLOOKUP(AllData[[#This Row],[Site Name]],LocationsKey[Site Name],LocationsKey[Town])</f>
        <v>#VALUE!</v>
      </c>
      <c r="J1579" t="str">
        <f>_xlfn.XLOOKUP(AllData[[#This Row],[Site Name]],LocationsKey[Site Name], LocationsKey[Waterway])</f>
        <v>Swilgate</v>
      </c>
      <c r="K1579" t="s">
        <v>85</v>
      </c>
      <c r="N1579" t="s">
        <v>25</v>
      </c>
      <c r="O1579">
        <v>589</v>
      </c>
      <c r="P1579">
        <v>12.1</v>
      </c>
      <c r="Q1579">
        <v>4</v>
      </c>
      <c r="R1579" s="107" t="str">
        <f>IF(AllData[[#This Row],[Nitrate (PPM)]]&gt;2, "Very high", IF(AllData[[#This Row],[Nitrate (PPM)]]&gt;1, "High", IF(AllData[[#This Row],[Nitrate (PPM)]]&gt;0.5, "Some evidence", IF(AllData[[#This Row],[Nitrate (PPM)]]&gt;=0, "No evidence"))))</f>
        <v>Very high</v>
      </c>
      <c r="S1579" s="112">
        <v>0.55000000000000004</v>
      </c>
      <c r="T1579" s="7" t="str">
        <f>IF(AllData[[#This Row],[Phosphate (PPM)]]&gt;0.5, "Very high", IF(AllData[[#This Row],[Phosphate (PPM)]]&gt;0.1, "High", IF(AllData[[#This Row],[Phosphate (PPM)]]&gt;0.05, "Some evidence", IF(AllData[[#This Row],[Phosphate (PPM)]]&lt;=0.05, "No Evidence", ""))))</f>
        <v>Very high</v>
      </c>
      <c r="U1579">
        <v>0</v>
      </c>
    </row>
    <row r="1580" spans="1:22" x14ac:dyDescent="0.35">
      <c r="A1580" t="s">
        <v>1207</v>
      </c>
      <c r="B1580" s="143">
        <v>45415</v>
      </c>
      <c r="C1580" s="2" t="str" cm="1">
        <f t="array" ref="C15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0">
        <f>YEAR(AllData[[#This Row],[Date]])</f>
        <v>2024</v>
      </c>
      <c r="E1580" s="1">
        <v>0.78194444444444444</v>
      </c>
      <c r="F1580" t="str">
        <f>IF(AND(AllData[[#This Row],[Time]]&lt;0.5, AllData[[#This Row],[Time]]&gt;0.17)=TRUE, "Morning", IF(AND(AllData[[#This Row],[Time]]&lt;0.75, AllData[[#This Row],[Time]]&gt;=0.5)=TRUE, "Afternoon", IF(AND(AllData[[#This Row],[Time]]&lt;1, AllData[[#This Row],[Time]]&gt;=0.75)=TRUE, "Evening", "Night")))</f>
        <v>Evening</v>
      </c>
      <c r="G1580" t="str">
        <f>_xlfn.XLOOKUP(AllData[[#This Row],[Location Name]], Locations[Location Name],Locations[Group As])</f>
        <v>Preston Bagot Brook</v>
      </c>
      <c r="H1580" t="e" vm="1">
        <f>_xlfn.XLOOKUP(AllData[[#This Row],[Site Name]],LocationsKey[Site Name],LocationsKey[District])</f>
        <v>#VALUE!</v>
      </c>
      <c r="I1580" t="e" vm="21">
        <f>_xlfn.XLOOKUP(AllData[[#This Row],[Site Name]],LocationsKey[Site Name],LocationsKey[Town])</f>
        <v>#VALUE!</v>
      </c>
      <c r="J1580" t="str">
        <f>_xlfn.XLOOKUP(AllData[[#This Row],[Site Name]],LocationsKey[Site Name], LocationsKey[Waterway])</f>
        <v>Preston Bagot Brook</v>
      </c>
      <c r="K1580" t="s">
        <v>621</v>
      </c>
      <c r="L1580">
        <v>52.286000000000001</v>
      </c>
      <c r="M1580">
        <v>-1.7470000000000001</v>
      </c>
      <c r="N1580" t="s">
        <v>25</v>
      </c>
      <c r="O1580">
        <v>816</v>
      </c>
      <c r="P1580">
        <v>11.8</v>
      </c>
      <c r="Q1580">
        <v>3</v>
      </c>
      <c r="R1580" s="107" t="str">
        <f>IF(AllData[[#This Row],[Nitrate (PPM)]]&gt;2, "Very high", IF(AllData[[#This Row],[Nitrate (PPM)]]&gt;1, "High", IF(AllData[[#This Row],[Nitrate (PPM)]]&gt;0.5, "Some evidence", IF(AllData[[#This Row],[Nitrate (PPM)]]&gt;=0, "No evidence"))))</f>
        <v>Very high</v>
      </c>
      <c r="S1580">
        <v>0.54</v>
      </c>
      <c r="T1580" s="7" t="str">
        <f>IF(AllData[[#This Row],[Phosphate (PPM)]]&gt;0.5, "Very high", IF(AllData[[#This Row],[Phosphate (PPM)]]&gt;0.1, "High", IF(AllData[[#This Row],[Phosphate (PPM)]]&gt;0.05, "Some evidence", IF(AllData[[#This Row],[Phosphate (PPM)]]&lt;=0.05, "No Evidence", ""))))</f>
        <v>Very high</v>
      </c>
      <c r="U1580">
        <v>1</v>
      </c>
      <c r="V1580" t="s">
        <v>970</v>
      </c>
    </row>
    <row r="1581" spans="1:22" x14ac:dyDescent="0.35">
      <c r="A1581" t="s">
        <v>1208</v>
      </c>
      <c r="B1581" s="143">
        <v>45415</v>
      </c>
      <c r="C1581" s="2" t="str" cm="1">
        <f t="array" ref="C15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1">
        <f>YEAR(AllData[[#This Row],[Date]])</f>
        <v>2024</v>
      </c>
      <c r="E1581" s="1">
        <v>0.77777777777777779</v>
      </c>
      <c r="F1581" t="str">
        <f>IF(AND(AllData[[#This Row],[Time]]&lt;0.5, AllData[[#This Row],[Time]]&gt;0.17)=TRUE, "Morning", IF(AND(AllData[[#This Row],[Time]]&lt;0.75, AllData[[#This Row],[Time]]&gt;=0.5)=TRUE, "Afternoon", IF(AND(AllData[[#This Row],[Time]]&lt;1, AllData[[#This Row],[Time]]&gt;=0.75)=TRUE, "Evening", "Night")))</f>
        <v>Evening</v>
      </c>
      <c r="G1581" t="str">
        <f>_xlfn.XLOOKUP(AllData[[#This Row],[Location Name]], Locations[Location Name],Locations[Group As])</f>
        <v>Preston Bagot Canal</v>
      </c>
      <c r="H1581" t="e" vm="1">
        <f>_xlfn.XLOOKUP(AllData[[#This Row],[Site Name]],LocationsKey[Site Name],LocationsKey[District])</f>
        <v>#VALUE!</v>
      </c>
      <c r="I1581" t="e" vm="21">
        <f>_xlfn.XLOOKUP(AllData[[#This Row],[Site Name]],LocationsKey[Site Name],LocationsKey[Town])</f>
        <v>#VALUE!</v>
      </c>
      <c r="J1581" t="str">
        <f>_xlfn.XLOOKUP(AllData[[#This Row],[Site Name]],LocationsKey[Site Name], LocationsKey[Waterway])</f>
        <v>Preston Bagot Canal</v>
      </c>
      <c r="K1581" t="s">
        <v>618</v>
      </c>
      <c r="L1581">
        <v>52.286999999999999</v>
      </c>
      <c r="M1581">
        <v>-1.746</v>
      </c>
      <c r="N1581" t="s">
        <v>25</v>
      </c>
      <c r="O1581">
        <v>470</v>
      </c>
      <c r="P1581">
        <v>13.6</v>
      </c>
      <c r="Q1581">
        <v>2</v>
      </c>
      <c r="R1581" s="107" t="str">
        <f>IF(AllData[[#This Row],[Nitrate (PPM)]]&gt;2, "Very high", IF(AllData[[#This Row],[Nitrate (PPM)]]&gt;1, "High", IF(AllData[[#This Row],[Nitrate (PPM)]]&gt;0.5, "Some evidence", IF(AllData[[#This Row],[Nitrate (PPM)]]&gt;=0, "No evidence"))))</f>
        <v>High</v>
      </c>
      <c r="S1581">
        <v>0</v>
      </c>
      <c r="T1581" s="7" t="str">
        <f>IF(AllData[[#This Row],[Phosphate (PPM)]]&gt;0.5, "Very high", IF(AllData[[#This Row],[Phosphate (PPM)]]&gt;0.1, "High", IF(AllData[[#This Row],[Phosphate (PPM)]]&gt;0.05, "Some evidence", IF(AllData[[#This Row],[Phosphate (PPM)]]&lt;=0.05, "No Evidence", ""))))</f>
        <v>No Evidence</v>
      </c>
      <c r="U1581">
        <v>1</v>
      </c>
      <c r="V1581" t="s">
        <v>970</v>
      </c>
    </row>
    <row r="1582" spans="1:22" x14ac:dyDescent="0.35">
      <c r="A1582" t="s">
        <v>1204</v>
      </c>
      <c r="B1582" s="143">
        <v>45414</v>
      </c>
      <c r="C1582" s="2" t="str" cm="1">
        <f t="array" ref="C15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2">
        <f>YEAR(AllData[[#This Row],[Date]])</f>
        <v>2024</v>
      </c>
      <c r="E1582" s="1">
        <v>0.64583333333333337</v>
      </c>
      <c r="F1582" t="str">
        <f>IF(AND(AllData[[#This Row],[Time]]&lt;0.5, AllData[[#This Row],[Time]]&gt;0.17)=TRUE, "Morning", IF(AND(AllData[[#This Row],[Time]]&lt;0.75, AllData[[#This Row],[Time]]&gt;=0.5)=TRUE, "Afternoon", IF(AND(AllData[[#This Row],[Time]]&lt;1, AllData[[#This Row],[Time]]&gt;=0.75)=TRUE, "Evening", "Night")))</f>
        <v>Afternoon</v>
      </c>
      <c r="G1582" t="str">
        <f>_xlfn.XLOOKUP(AllData[[#This Row],[Location Name]], Locations[Location Name],Locations[Group As])</f>
        <v>Stour Newbold Mill</v>
      </c>
      <c r="H1582" t="e" vm="1">
        <f>_xlfn.XLOOKUP(AllData[[#This Row],[Site Name]],LocationsKey[Site Name],LocationsKey[District])</f>
        <v>#VALUE!</v>
      </c>
      <c r="I1582" t="e" vm="27">
        <f>_xlfn.XLOOKUP(AllData[[#This Row],[Site Name]],LocationsKey[Site Name],LocationsKey[Town])</f>
        <v>#VALUE!</v>
      </c>
      <c r="J1582" t="str">
        <f>_xlfn.XLOOKUP(AllData[[#This Row],[Site Name]],LocationsKey[Site Name], LocationsKey[Waterway])</f>
        <v>Stour</v>
      </c>
      <c r="K1582" t="s">
        <v>141</v>
      </c>
      <c r="N1582" t="s">
        <v>31</v>
      </c>
      <c r="O1582">
        <v>680</v>
      </c>
      <c r="P1582">
        <v>15.4</v>
      </c>
      <c r="Q1582">
        <v>2</v>
      </c>
      <c r="R1582" s="107" t="str">
        <f>IF(AllData[[#This Row],[Nitrate (PPM)]]&gt;2, "Very high", IF(AllData[[#This Row],[Nitrate (PPM)]]&gt;1, "High", IF(AllData[[#This Row],[Nitrate (PPM)]]&gt;0.5, "Some evidence", IF(AllData[[#This Row],[Nitrate (PPM)]]&gt;=0, "No evidence"))))</f>
        <v>High</v>
      </c>
      <c r="S1582" s="4">
        <v>0.46</v>
      </c>
      <c r="T1582" s="7" t="str">
        <f>IF(AllData[[#This Row],[Phosphate (PPM)]]&gt;0.5, "Very high", IF(AllData[[#This Row],[Phosphate (PPM)]]&gt;0.1, "High", IF(AllData[[#This Row],[Phosphate (PPM)]]&gt;0.05, "Some evidence", IF(AllData[[#This Row],[Phosphate (PPM)]]&lt;=0.05, "No Evidence", ""))))</f>
        <v>High</v>
      </c>
      <c r="U1582">
        <v>2.5</v>
      </c>
      <c r="V1582" t="s">
        <v>533</v>
      </c>
    </row>
    <row r="1583" spans="1:22" x14ac:dyDescent="0.35">
      <c r="A1583" t="s">
        <v>1203</v>
      </c>
      <c r="B1583" s="143">
        <v>45414</v>
      </c>
      <c r="C1583" s="2" t="str" cm="1">
        <f t="array" ref="C15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3">
        <f>YEAR(AllData[[#This Row],[Date]])</f>
        <v>2024</v>
      </c>
      <c r="E1583" s="1">
        <v>0.45833333333333331</v>
      </c>
      <c r="F1583" t="str">
        <f>IF(AND(AllData[[#This Row],[Time]]&lt;0.5, AllData[[#This Row],[Time]]&gt;0.17)=TRUE, "Morning", IF(AND(AllData[[#This Row],[Time]]&lt;0.75, AllData[[#This Row],[Time]]&gt;=0.5)=TRUE, "Afternoon", IF(AND(AllData[[#This Row],[Time]]&lt;1, AllData[[#This Row],[Time]]&gt;=0.75)=TRUE, "Evening", "Night")))</f>
        <v>Morning</v>
      </c>
      <c r="G1583" t="str">
        <f>_xlfn.XLOOKUP(AllData[[#This Row],[Location Name]], Locations[Location Name],Locations[Group As])</f>
        <v>Stour Willington</v>
      </c>
      <c r="H1583" t="e" vm="1">
        <f>_xlfn.XLOOKUP(AllData[[#This Row],[Site Name]],LocationsKey[Site Name],LocationsKey[District])</f>
        <v>#VALUE!</v>
      </c>
      <c r="I1583" t="str">
        <f>_xlfn.XLOOKUP(AllData[[#This Row],[Site Name]],LocationsKey[Site Name],LocationsKey[Town])</f>
        <v>Willington</v>
      </c>
      <c r="J1583" t="str">
        <f>_xlfn.XLOOKUP(AllData[[#This Row],[Site Name]],LocationsKey[Site Name], LocationsKey[Waterway])</f>
        <v>Stour</v>
      </c>
      <c r="K1583" t="s">
        <v>521</v>
      </c>
      <c r="L1583">
        <v>52.053553000000001</v>
      </c>
      <c r="M1583">
        <v>-1.6201380000000001</v>
      </c>
      <c r="N1583" t="s">
        <v>25</v>
      </c>
      <c r="O1583">
        <v>617</v>
      </c>
      <c r="P1583">
        <v>13.7</v>
      </c>
      <c r="Q1583">
        <v>2</v>
      </c>
      <c r="R1583" s="107" t="str">
        <f>IF(AllData[[#This Row],[Nitrate (PPM)]]&gt;2, "Very high", IF(AllData[[#This Row],[Nitrate (PPM)]]&gt;1, "High", IF(AllData[[#This Row],[Nitrate (PPM)]]&gt;0.5, "Some evidence", IF(AllData[[#This Row],[Nitrate (PPM)]]&gt;=0, "No evidence"))))</f>
        <v>High</v>
      </c>
      <c r="S1583" s="112">
        <v>0.32</v>
      </c>
      <c r="T1583" s="7" t="str">
        <f>IF(AllData[[#This Row],[Phosphate (PPM)]]&gt;0.5, "Very high", IF(AllData[[#This Row],[Phosphate (PPM)]]&gt;0.1, "High", IF(AllData[[#This Row],[Phosphate (PPM)]]&gt;0.05, "Some evidence", IF(AllData[[#This Row],[Phosphate (PPM)]]&lt;=0.05, "No Evidence", ""))))</f>
        <v>High</v>
      </c>
      <c r="U1583">
        <v>0.5</v>
      </c>
    </row>
    <row r="1584" spans="1:22" x14ac:dyDescent="0.35">
      <c r="A1584" t="s">
        <v>1202</v>
      </c>
      <c r="B1584" s="143">
        <v>45413</v>
      </c>
      <c r="C1584" s="2" t="str" cm="1">
        <f t="array" ref="C15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4">
        <f>YEAR(AllData[[#This Row],[Date]])</f>
        <v>2024</v>
      </c>
      <c r="E1584" s="1">
        <v>0.73958333333333337</v>
      </c>
      <c r="F1584" t="str">
        <f>IF(AND(AllData[[#This Row],[Time]]&lt;0.5, AllData[[#This Row],[Time]]&gt;0.17)=TRUE, "Morning", IF(AND(AllData[[#This Row],[Time]]&lt;0.75, AllData[[#This Row],[Time]]&gt;=0.5)=TRUE, "Afternoon", IF(AND(AllData[[#This Row],[Time]]&lt;1, AllData[[#This Row],[Time]]&gt;=0.75)=TRUE, "Evening", "Night")))</f>
        <v>Afternoon</v>
      </c>
      <c r="G1584" t="str">
        <f>_xlfn.XLOOKUP(AllData[[#This Row],[Location Name]], Locations[Location Name],Locations[Group As])</f>
        <v>Stour Whichford</v>
      </c>
      <c r="H1584" t="e" vm="1">
        <f>_xlfn.XLOOKUP(AllData[[#This Row],[Site Name]],LocationsKey[Site Name],LocationsKey[District])</f>
        <v>#VALUE!</v>
      </c>
      <c r="I1584" t="e" vm="24">
        <f>_xlfn.XLOOKUP(AllData[[#This Row],[Site Name]],LocationsKey[Site Name],LocationsKey[Town])</f>
        <v>#VALUE!</v>
      </c>
      <c r="J1584" t="str">
        <f>_xlfn.XLOOKUP(AllData[[#This Row],[Site Name]],LocationsKey[Site Name], LocationsKey[Waterway])</f>
        <v>Stour</v>
      </c>
      <c r="K1584" t="s">
        <v>980</v>
      </c>
      <c r="N1584" t="s">
        <v>31</v>
      </c>
      <c r="O1584">
        <v>642</v>
      </c>
      <c r="P1584">
        <v>17.5</v>
      </c>
      <c r="Q1584">
        <v>5.13</v>
      </c>
      <c r="R1584" s="107" t="str">
        <f>IF(AllData[[#This Row],[Nitrate (PPM)]]&gt;2, "Very high", IF(AllData[[#This Row],[Nitrate (PPM)]]&gt;1, "High", IF(AllData[[#This Row],[Nitrate (PPM)]]&gt;0.5, "Some evidence", IF(AllData[[#This Row],[Nitrate (PPM)]]&gt;=0, "No evidence"))))</f>
        <v>Very high</v>
      </c>
      <c r="S1584">
        <v>2.02</v>
      </c>
      <c r="T1584" s="7" t="str">
        <f>IF(AllData[[#This Row],[Phosphate (PPM)]]&gt;0.5, "Very high", IF(AllData[[#This Row],[Phosphate (PPM)]]&gt;0.1, "High", IF(AllData[[#This Row],[Phosphate (PPM)]]&gt;0.05, "Some evidence", IF(AllData[[#This Row],[Phosphate (PPM)]]&lt;=0.05, "No Evidence", ""))))</f>
        <v>Very high</v>
      </c>
      <c r="U1584">
        <v>15</v>
      </c>
    </row>
    <row r="1585" spans="1:22" x14ac:dyDescent="0.35">
      <c r="A1585" t="s">
        <v>1201</v>
      </c>
      <c r="B1585" s="143">
        <v>45413</v>
      </c>
      <c r="C1585" s="2" t="str" cm="1">
        <f t="array" ref="C15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5">
        <f>YEAR(AllData[[#This Row],[Date]])</f>
        <v>2024</v>
      </c>
      <c r="E1585" s="1">
        <v>0.5180555555555556</v>
      </c>
      <c r="F1585" t="str">
        <f>IF(AND(AllData[[#This Row],[Time]]&lt;0.5, AllData[[#This Row],[Time]]&gt;0.17)=TRUE, "Morning", IF(AND(AllData[[#This Row],[Time]]&lt;0.75, AllData[[#This Row],[Time]]&gt;=0.5)=TRUE, "Afternoon", IF(AND(AllData[[#This Row],[Time]]&lt;1, AllData[[#This Row],[Time]]&gt;=0.75)=TRUE, "Evening", "Night")))</f>
        <v>Afternoon</v>
      </c>
      <c r="G1585" t="str">
        <f>_xlfn.XLOOKUP(AllData[[#This Row],[Location Name]], Locations[Location Name],Locations[Group As])</f>
        <v>Walcot Lane, Bow Brook Ford</v>
      </c>
      <c r="H1585" t="e" vm="6">
        <f>_xlfn.XLOOKUP(AllData[[#This Row],[Site Name]],LocationsKey[Site Name],LocationsKey[District])</f>
        <v>#VALUE!</v>
      </c>
      <c r="I1585" t="e" vm="7">
        <f>_xlfn.XLOOKUP(AllData[[#This Row],[Site Name]],LocationsKey[Site Name],LocationsKey[Town])</f>
        <v>#VALUE!</v>
      </c>
      <c r="J1585" t="str">
        <f>_xlfn.XLOOKUP(AllData[[#This Row],[Site Name]],LocationsKey[Site Name], LocationsKey[Waterway])</f>
        <v>Bow Brook</v>
      </c>
      <c r="K1585" t="s">
        <v>775</v>
      </c>
      <c r="L1585">
        <v>52.106181999999997</v>
      </c>
      <c r="M1585">
        <v>-2.0860720000000001</v>
      </c>
      <c r="N1585" t="s">
        <v>25</v>
      </c>
      <c r="O1585">
        <v>945</v>
      </c>
      <c r="P1585">
        <v>16</v>
      </c>
      <c r="Q1585">
        <v>5</v>
      </c>
      <c r="R1585" s="107" t="str">
        <f>IF(AllData[[#This Row],[Nitrate (PPM)]]&gt;2, "Very high", IF(AllData[[#This Row],[Nitrate (PPM)]]&gt;1, "High", IF(AllData[[#This Row],[Nitrate (PPM)]]&gt;0.5, "Some evidence", IF(AllData[[#This Row],[Nitrate (PPM)]]&gt;=0, "No evidence"))))</f>
        <v>Very high</v>
      </c>
      <c r="S1585" s="4">
        <v>0.84</v>
      </c>
      <c r="T1585" s="7" t="str">
        <f>IF(AllData[[#This Row],[Phosphate (PPM)]]&gt;0.5, "Very high", IF(AllData[[#This Row],[Phosphate (PPM)]]&gt;0.1, "High", IF(AllData[[#This Row],[Phosphate (PPM)]]&gt;0.05, "Some evidence", IF(AllData[[#This Row],[Phosphate (PPM)]]&lt;=0.05, "No Evidence", ""))))</f>
        <v>Very high</v>
      </c>
      <c r="U1585">
        <v>0.3</v>
      </c>
      <c r="V1585" t="s">
        <v>1132</v>
      </c>
    </row>
    <row r="1586" spans="1:22" x14ac:dyDescent="0.35">
      <c r="A1586" t="s">
        <v>1197</v>
      </c>
      <c r="B1586" s="143">
        <v>45412</v>
      </c>
      <c r="C1586" s="2" t="str" cm="1">
        <f t="array" ref="C15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6">
        <f>YEAR(AllData[[#This Row],[Date]])</f>
        <v>2024</v>
      </c>
      <c r="E1586" s="1">
        <v>0.44166666666666665</v>
      </c>
      <c r="F1586" t="str">
        <f>IF(AND(AllData[[#This Row],[Time]]&lt;0.5, AllData[[#This Row],[Time]]&gt;0.17)=TRUE, "Morning", IF(AND(AllData[[#This Row],[Time]]&lt;0.75, AllData[[#This Row],[Time]]&gt;=0.5)=TRUE, "Afternoon", IF(AND(AllData[[#This Row],[Time]]&lt;1, AllData[[#This Row],[Time]]&gt;=0.75)=TRUE, "Evening", "Night")))</f>
        <v>Morning</v>
      </c>
      <c r="G1586" t="str">
        <f>_xlfn.XLOOKUP(AllData[[#This Row],[Location Name]], Locations[Location Name],Locations[Group As])</f>
        <v>Carrant Mitton Path</v>
      </c>
      <c r="H1586" t="e" vm="4">
        <f>_xlfn.XLOOKUP(AllData[[#This Row],[Site Name]],LocationsKey[Site Name],LocationsKey[District])</f>
        <v>#VALUE!</v>
      </c>
      <c r="I1586" t="e" vm="4">
        <f>_xlfn.XLOOKUP(AllData[[#This Row],[Site Name]],LocationsKey[Site Name],LocationsKey[Town])</f>
        <v>#VALUE!</v>
      </c>
      <c r="J1586" t="str">
        <f>_xlfn.XLOOKUP(AllData[[#This Row],[Site Name]],LocationsKey[Site Name], LocationsKey[Waterway])</f>
        <v>Carrant</v>
      </c>
      <c r="K1586" t="s">
        <v>1198</v>
      </c>
      <c r="L1586">
        <v>51.999794000000001</v>
      </c>
      <c r="M1586">
        <v>-2.1410179999999999</v>
      </c>
      <c r="N1586" t="s">
        <v>25</v>
      </c>
      <c r="O1586">
        <v>696</v>
      </c>
      <c r="P1586">
        <v>13.2</v>
      </c>
      <c r="Q1586">
        <v>10</v>
      </c>
      <c r="R1586" s="107" t="str">
        <f>IF(AllData[[#This Row],[Nitrate (PPM)]]&gt;2, "Very high", IF(AllData[[#This Row],[Nitrate (PPM)]]&gt;1, "High", IF(AllData[[#This Row],[Nitrate (PPM)]]&gt;0.5, "Some evidence", IF(AllData[[#This Row],[Nitrate (PPM)]]&gt;=0, "No evidence"))))</f>
        <v>Very high</v>
      </c>
      <c r="S1586" s="112">
        <v>0.27</v>
      </c>
      <c r="T1586" s="7" t="str">
        <f>IF(AllData[[#This Row],[Phosphate (PPM)]]&gt;0.5, "Very high", IF(AllData[[#This Row],[Phosphate (PPM)]]&gt;0.1, "High", IF(AllData[[#This Row],[Phosphate (PPM)]]&gt;0.05, "Some evidence", IF(AllData[[#This Row],[Phosphate (PPM)]]&lt;=0.05, "No Evidence", ""))))</f>
        <v>High</v>
      </c>
      <c r="U1586">
        <v>0</v>
      </c>
    </row>
    <row r="1587" spans="1:22" x14ac:dyDescent="0.35">
      <c r="A1587" t="s">
        <v>1199</v>
      </c>
      <c r="B1587" s="143">
        <v>45412</v>
      </c>
      <c r="C1587" s="2" t="str" cm="1">
        <f t="array" ref="C15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7">
        <f>YEAR(AllData[[#This Row],[Date]])</f>
        <v>2024</v>
      </c>
      <c r="E1587" s="1">
        <v>0.47013888888888888</v>
      </c>
      <c r="F1587" t="str">
        <f>IF(AND(AllData[[#This Row],[Time]]&lt;0.5, AllData[[#This Row],[Time]]&gt;0.17)=TRUE, "Morning", IF(AND(AllData[[#This Row],[Time]]&lt;0.75, AllData[[#This Row],[Time]]&gt;=0.5)=TRUE, "Afternoon", IF(AND(AllData[[#This Row],[Time]]&lt;1, AllData[[#This Row],[Time]]&gt;=0.75)=TRUE, "Evening", "Night")))</f>
        <v>Morning</v>
      </c>
      <c r="G1587" t="str">
        <f>_xlfn.XLOOKUP(AllData[[#This Row],[Location Name]], Locations[Location Name],Locations[Group As])</f>
        <v>Carrant M5 Bridge</v>
      </c>
      <c r="H1587" t="e" vm="4">
        <f>_xlfn.XLOOKUP(AllData[[#This Row],[Site Name]],LocationsKey[Site Name],LocationsKey[District])</f>
        <v>#VALUE!</v>
      </c>
      <c r="I1587" t="e" vm="4">
        <f>_xlfn.XLOOKUP(AllData[[#This Row],[Site Name]],LocationsKey[Site Name],LocationsKey[Town])</f>
        <v>#VALUE!</v>
      </c>
      <c r="J1587" t="str">
        <f>_xlfn.XLOOKUP(AllData[[#This Row],[Site Name]],LocationsKey[Site Name], LocationsKey[Waterway])</f>
        <v>Carrant</v>
      </c>
      <c r="K1587" t="s">
        <v>1066</v>
      </c>
      <c r="L1587">
        <v>52.011204999999997</v>
      </c>
      <c r="M1587">
        <v>-2.119367</v>
      </c>
      <c r="N1587" t="s">
        <v>25</v>
      </c>
      <c r="O1587">
        <v>720</v>
      </c>
      <c r="P1587">
        <v>14.8</v>
      </c>
      <c r="Q1587">
        <v>8</v>
      </c>
      <c r="R1587" s="107" t="str">
        <f>IF(AllData[[#This Row],[Nitrate (PPM)]]&gt;2, "Very high", IF(AllData[[#This Row],[Nitrate (PPM)]]&gt;1, "High", IF(AllData[[#This Row],[Nitrate (PPM)]]&gt;0.5, "Some evidence", IF(AllData[[#This Row],[Nitrate (PPM)]]&gt;=0, "No evidence"))))</f>
        <v>Very high</v>
      </c>
      <c r="S1587" s="112">
        <v>0.13</v>
      </c>
      <c r="T1587" s="7" t="str">
        <f>IF(AllData[[#This Row],[Phosphate (PPM)]]&gt;0.5, "Very high", IF(AllData[[#This Row],[Phosphate (PPM)]]&gt;0.1, "High", IF(AllData[[#This Row],[Phosphate (PPM)]]&gt;0.05, "Some evidence", IF(AllData[[#This Row],[Phosphate (PPM)]]&lt;=0.05, "No Evidence", ""))))</f>
        <v>High</v>
      </c>
      <c r="U1587">
        <v>0</v>
      </c>
    </row>
    <row r="1588" spans="1:22" x14ac:dyDescent="0.35">
      <c r="A1588" t="s">
        <v>1200</v>
      </c>
      <c r="B1588" s="143">
        <v>45412</v>
      </c>
      <c r="C1588" s="2" t="str" cm="1">
        <f t="array" ref="C15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8">
        <f>YEAR(AllData[[#This Row],[Date]])</f>
        <v>2024</v>
      </c>
      <c r="E1588" s="1">
        <v>0.73958333333333337</v>
      </c>
      <c r="F1588" t="str">
        <f>IF(AND(AllData[[#This Row],[Time]]&lt;0.5, AllData[[#This Row],[Time]]&gt;0.17)=TRUE, "Morning", IF(AND(AllData[[#This Row],[Time]]&lt;0.75, AllData[[#This Row],[Time]]&gt;=0.5)=TRUE, "Afternoon", IF(AND(AllData[[#This Row],[Time]]&lt;1, AllData[[#This Row],[Time]]&gt;=0.75)=TRUE, "Evening", "Night")))</f>
        <v>Afternoon</v>
      </c>
      <c r="G1588" t="str">
        <f>_xlfn.XLOOKUP(AllData[[#This Row],[Location Name]], Locations[Location Name],Locations[Group As])</f>
        <v>Abbey Mill</v>
      </c>
      <c r="H1588" t="e" vm="4">
        <f>_xlfn.XLOOKUP(AllData[[#This Row],[Site Name]],LocationsKey[Site Name],LocationsKey[District])</f>
        <v>#VALUE!</v>
      </c>
      <c r="I1588" t="e" vm="4">
        <f>_xlfn.XLOOKUP(AllData[[#This Row],[Site Name]],LocationsKey[Site Name],LocationsKey[Town])</f>
        <v>#VALUE!</v>
      </c>
      <c r="J1588" t="str">
        <f>_xlfn.XLOOKUP(AllData[[#This Row],[Site Name]],LocationsKey[Site Name], LocationsKey[Waterway])</f>
        <v>Avon</v>
      </c>
      <c r="K1588" t="s">
        <v>27</v>
      </c>
      <c r="L1588">
        <v>51.989908999999997</v>
      </c>
      <c r="M1588">
        <v>-2.16161</v>
      </c>
      <c r="N1588" t="s">
        <v>25</v>
      </c>
      <c r="O1588">
        <v>713</v>
      </c>
      <c r="P1588">
        <v>12.4</v>
      </c>
      <c r="Q1588">
        <v>5</v>
      </c>
      <c r="R1588" s="107" t="str">
        <f>IF(AllData[[#This Row],[Nitrate (PPM)]]&gt;2, "Very high", IF(AllData[[#This Row],[Nitrate (PPM)]]&gt;1, "High", IF(AllData[[#This Row],[Nitrate (PPM)]]&gt;0.5, "Some evidence", IF(AllData[[#This Row],[Nitrate (PPM)]]&gt;=0, "No evidence"))))</f>
        <v>Very high</v>
      </c>
      <c r="S1588" s="112">
        <v>0.51</v>
      </c>
      <c r="T1588" s="7" t="str">
        <f>IF(AllData[[#This Row],[Phosphate (PPM)]]&gt;0.5, "Very high", IF(AllData[[#This Row],[Phosphate (PPM)]]&gt;0.1, "High", IF(AllData[[#This Row],[Phosphate (PPM)]]&gt;0.05, "Some evidence", IF(AllData[[#This Row],[Phosphate (PPM)]]&lt;=0.05, "No Evidence", ""))))</f>
        <v>Very high</v>
      </c>
      <c r="U1588">
        <v>0.7</v>
      </c>
    </row>
    <row r="1589" spans="1:22" x14ac:dyDescent="0.35">
      <c r="A1589" t="s">
        <v>1193</v>
      </c>
      <c r="B1589" s="143">
        <v>45411</v>
      </c>
      <c r="C1589" s="2" t="str" cm="1">
        <f t="array" ref="C15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89">
        <f>YEAR(AllData[[#This Row],[Date]])</f>
        <v>2024</v>
      </c>
      <c r="E1589" s="1">
        <v>0.3840277777777778</v>
      </c>
      <c r="F1589" t="str">
        <f>IF(AND(AllData[[#This Row],[Time]]&lt;0.5, AllData[[#This Row],[Time]]&gt;0.17)=TRUE, "Morning", IF(AND(AllData[[#This Row],[Time]]&lt;0.75, AllData[[#This Row],[Time]]&gt;=0.5)=TRUE, "Afternoon", IF(AND(AllData[[#This Row],[Time]]&lt;1, AllData[[#This Row],[Time]]&gt;=0.75)=TRUE, "Evening", "Night")))</f>
        <v>Morning</v>
      </c>
      <c r="G1589" t="str">
        <f>_xlfn.XLOOKUP(AllData[[#This Row],[Location Name]], Locations[Location Name],Locations[Group As])</f>
        <v>Stour Stretton-on-Fosse Sewage Works</v>
      </c>
      <c r="H1589" t="e" vm="1">
        <f>_xlfn.XLOOKUP(AllData[[#This Row],[Site Name]],LocationsKey[Site Name],LocationsKey[District])</f>
        <v>#VALUE!</v>
      </c>
      <c r="I1589" t="e" vm="30">
        <f>_xlfn.XLOOKUP(AllData[[#This Row],[Site Name]],LocationsKey[Site Name],LocationsKey[Town])</f>
        <v>#VALUE!</v>
      </c>
      <c r="J1589" t="str">
        <f>_xlfn.XLOOKUP(AllData[[#This Row],[Site Name]],LocationsKey[Site Name], LocationsKey[Waterway])</f>
        <v>Stour</v>
      </c>
      <c r="K1589" t="s">
        <v>337</v>
      </c>
      <c r="L1589">
        <v>52.045634</v>
      </c>
      <c r="M1589">
        <v>-1.67191</v>
      </c>
      <c r="N1589" t="s">
        <v>31</v>
      </c>
      <c r="O1589">
        <v>608</v>
      </c>
      <c r="P1589">
        <v>9.4</v>
      </c>
      <c r="Q1589">
        <v>5</v>
      </c>
      <c r="R1589" s="107" t="str">
        <f>IF(AllData[[#This Row],[Nitrate (PPM)]]&gt;2, "Very high", IF(AllData[[#This Row],[Nitrate (PPM)]]&gt;1, "High", IF(AllData[[#This Row],[Nitrate (PPM)]]&gt;0.5, "Some evidence", IF(AllData[[#This Row],[Nitrate (PPM)]]&gt;=0, "No evidence"))))</f>
        <v>Very high</v>
      </c>
      <c r="S1589" s="112">
        <v>1.48</v>
      </c>
      <c r="T1589" s="7" t="str">
        <f>IF(AllData[[#This Row],[Phosphate (PPM)]]&gt;0.5, "Very high", IF(AllData[[#This Row],[Phosphate (PPM)]]&gt;0.1, "High", IF(AllData[[#This Row],[Phosphate (PPM)]]&gt;0.05, "Some evidence", IF(AllData[[#This Row],[Phosphate (PPM)]]&lt;=0.05, "No Evidence", ""))))</f>
        <v>Very high</v>
      </c>
      <c r="U1589">
        <v>0.25</v>
      </c>
    </row>
    <row r="1590" spans="1:22" x14ac:dyDescent="0.35">
      <c r="A1590" t="s">
        <v>1195</v>
      </c>
      <c r="B1590" s="143">
        <v>45411</v>
      </c>
      <c r="C1590" s="2" t="str" cm="1">
        <f t="array" ref="C15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0">
        <f>YEAR(AllData[[#This Row],[Date]])</f>
        <v>2024</v>
      </c>
      <c r="E1590" s="1">
        <v>0.625</v>
      </c>
      <c r="F1590" t="str">
        <f>IF(AND(AllData[[#This Row],[Time]]&lt;0.5, AllData[[#This Row],[Time]]&gt;0.17)=TRUE, "Morning", IF(AND(AllData[[#This Row],[Time]]&lt;0.75, AllData[[#This Row],[Time]]&gt;=0.5)=TRUE, "Afternoon", IF(AND(AllData[[#This Row],[Time]]&lt;1, AllData[[#This Row],[Time]]&gt;=0.75)=TRUE, "Evening", "Night")))</f>
        <v>Afternoon</v>
      </c>
      <c r="G1590" t="str">
        <f>_xlfn.XLOOKUP(AllData[[#This Row],[Location Name]], Locations[Location Name],Locations[Group As])</f>
        <v>Swiffen Bank</v>
      </c>
      <c r="H1590" t="e" vm="1">
        <f>_xlfn.XLOOKUP(AllData[[#This Row],[Site Name]],LocationsKey[Site Name],LocationsKey[District])</f>
        <v>#VALUE!</v>
      </c>
      <c r="I1590" t="e" vm="2">
        <f>_xlfn.XLOOKUP(AllData[[#This Row],[Site Name]],LocationsKey[Site Name],LocationsKey[Town])</f>
        <v>#VALUE!</v>
      </c>
      <c r="J1590" t="str">
        <f>_xlfn.XLOOKUP(AllData[[#This Row],[Site Name]],LocationsKey[Site Name], LocationsKey[Waterway])</f>
        <v>Avon</v>
      </c>
      <c r="K1590" t="s">
        <v>286</v>
      </c>
      <c r="L1590">
        <v>52.206477999999997</v>
      </c>
      <c r="M1590">
        <v>-1.653894</v>
      </c>
      <c r="N1590" t="s">
        <v>31</v>
      </c>
      <c r="O1590">
        <v>491</v>
      </c>
      <c r="P1590">
        <v>14.2</v>
      </c>
      <c r="Q1590">
        <v>5</v>
      </c>
      <c r="R1590" s="107" t="str">
        <f>IF(AllData[[#This Row],[Nitrate (PPM)]]&gt;2, "Very high", IF(AllData[[#This Row],[Nitrate (PPM)]]&gt;1, "High", IF(AllData[[#This Row],[Nitrate (PPM)]]&gt;0.5, "Some evidence", IF(AllData[[#This Row],[Nitrate (PPM)]]&gt;=0, "No evidence"))))</f>
        <v>Very high</v>
      </c>
      <c r="S1590" s="112">
        <v>0.53</v>
      </c>
      <c r="T1590" s="7" t="str">
        <f>IF(AllData[[#This Row],[Phosphate (PPM)]]&gt;0.5, "Very high", IF(AllData[[#This Row],[Phosphate (PPM)]]&gt;0.1, "High", IF(AllData[[#This Row],[Phosphate (PPM)]]&gt;0.05, "Some evidence", IF(AllData[[#This Row],[Phosphate (PPM)]]&lt;=0.05, "No Evidence", ""))))</f>
        <v>Very high</v>
      </c>
      <c r="U1590">
        <v>1.5</v>
      </c>
      <c r="V1590" t="s">
        <v>1196</v>
      </c>
    </row>
    <row r="1591" spans="1:22" x14ac:dyDescent="0.35">
      <c r="A1591" t="s">
        <v>1194</v>
      </c>
      <c r="B1591" s="143">
        <v>45411</v>
      </c>
      <c r="C1591" s="2" t="str" cm="1">
        <f t="array" ref="C15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1">
        <f>YEAR(AllData[[#This Row],[Date]])</f>
        <v>2024</v>
      </c>
      <c r="E1591" s="1">
        <v>0.60972222222222228</v>
      </c>
      <c r="F1591" t="str">
        <f>IF(AND(AllData[[#This Row],[Time]]&lt;0.5, AllData[[#This Row],[Time]]&gt;0.17)=TRUE, "Morning", IF(AND(AllData[[#This Row],[Time]]&lt;0.75, AllData[[#This Row],[Time]]&gt;=0.5)=TRUE, "Afternoon", IF(AND(AllData[[#This Row],[Time]]&lt;1, AllData[[#This Row],[Time]]&gt;=0.75)=TRUE, "Evening", "Night")))</f>
        <v>Afternoon</v>
      </c>
      <c r="G1591" t="str">
        <f>_xlfn.XLOOKUP(AllData[[#This Row],[Location Name]], Locations[Location Name],Locations[Group As])</f>
        <v>Alveston Weir</v>
      </c>
      <c r="H1591" t="e" vm="1">
        <f>_xlfn.XLOOKUP(AllData[[#This Row],[Site Name]],LocationsKey[Site Name],LocationsKey[District])</f>
        <v>#VALUE!</v>
      </c>
      <c r="I1591" t="e" vm="2">
        <f>_xlfn.XLOOKUP(AllData[[#This Row],[Site Name]],LocationsKey[Site Name],LocationsKey[Town])</f>
        <v>#VALUE!</v>
      </c>
      <c r="J1591" t="str">
        <f>_xlfn.XLOOKUP(AllData[[#This Row],[Site Name]],LocationsKey[Site Name], LocationsKey[Waterway])</f>
        <v>Avon</v>
      </c>
      <c r="K1591" t="s">
        <v>288</v>
      </c>
      <c r="N1591" t="s">
        <v>31</v>
      </c>
      <c r="O1591">
        <v>442</v>
      </c>
      <c r="P1591">
        <v>12.1</v>
      </c>
      <c r="Q1591">
        <v>5</v>
      </c>
      <c r="R1591" s="107" t="str">
        <f>IF(AllData[[#This Row],[Nitrate (PPM)]]&gt;2, "Very high", IF(AllData[[#This Row],[Nitrate (PPM)]]&gt;1, "High", IF(AllData[[#This Row],[Nitrate (PPM)]]&gt;0.5, "Some evidence", IF(AllData[[#This Row],[Nitrate (PPM)]]&gt;=0, "No evidence"))))</f>
        <v>Very high</v>
      </c>
      <c r="S1591" s="112">
        <v>0.3</v>
      </c>
      <c r="T1591" s="7" t="str">
        <f>IF(AllData[[#This Row],[Phosphate (PPM)]]&gt;0.5, "Very high", IF(AllData[[#This Row],[Phosphate (PPM)]]&gt;0.1, "High", IF(AllData[[#This Row],[Phosphate (PPM)]]&gt;0.05, "Some evidence", IF(AllData[[#This Row],[Phosphate (PPM)]]&lt;=0.05, "No Evidence", ""))))</f>
        <v>High</v>
      </c>
      <c r="U1591">
        <v>1.5</v>
      </c>
    </row>
    <row r="1592" spans="1:22" x14ac:dyDescent="0.35">
      <c r="A1592" t="s">
        <v>1192</v>
      </c>
      <c r="B1592" s="143">
        <v>45411</v>
      </c>
      <c r="C1592" s="2" t="str" cm="1">
        <f t="array" ref="C15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2">
        <f>YEAR(AllData[[#This Row],[Date]])</f>
        <v>2024</v>
      </c>
      <c r="E1592" s="1">
        <v>0.375</v>
      </c>
      <c r="F1592" t="str">
        <f>IF(AND(AllData[[#This Row],[Time]]&lt;0.5, AllData[[#This Row],[Time]]&gt;0.17)=TRUE, "Morning", IF(AND(AllData[[#This Row],[Time]]&lt;0.75, AllData[[#This Row],[Time]]&gt;=0.5)=TRUE, "Afternoon", IF(AND(AllData[[#This Row],[Time]]&lt;1, AllData[[#This Row],[Time]]&gt;=0.75)=TRUE, "Evening", "Night")))</f>
        <v>Morning</v>
      </c>
      <c r="G1592" t="str">
        <f>_xlfn.XLOOKUP(AllData[[#This Row],[Location Name]], Locations[Location Name],Locations[Group As])</f>
        <v>Stour Stretton-on-Fosse Village</v>
      </c>
      <c r="H1592" t="e" vm="1">
        <f>_xlfn.XLOOKUP(AllData[[#This Row],[Site Name]],LocationsKey[Site Name],LocationsKey[District])</f>
        <v>#VALUE!</v>
      </c>
      <c r="I1592" t="e" vm="30">
        <f>_xlfn.XLOOKUP(AllData[[#This Row],[Site Name]],LocationsKey[Site Name],LocationsKey[Town])</f>
        <v>#VALUE!</v>
      </c>
      <c r="J1592" t="str">
        <f>_xlfn.XLOOKUP(AllData[[#This Row],[Site Name]],LocationsKey[Site Name], LocationsKey[Waterway])</f>
        <v>Stour</v>
      </c>
      <c r="K1592" t="s">
        <v>548</v>
      </c>
      <c r="L1592">
        <v>52.046436999999997</v>
      </c>
      <c r="M1592">
        <v>-1.6734960000000001</v>
      </c>
      <c r="N1592" t="s">
        <v>68</v>
      </c>
      <c r="O1592">
        <v>564</v>
      </c>
      <c r="P1592">
        <v>10.1</v>
      </c>
      <c r="Q1592">
        <v>2</v>
      </c>
      <c r="R1592" s="107" t="str">
        <f>IF(AllData[[#This Row],[Nitrate (PPM)]]&gt;2, "Very high", IF(AllData[[#This Row],[Nitrate (PPM)]]&gt;1, "High", IF(AllData[[#This Row],[Nitrate (PPM)]]&gt;0.5, "Some evidence", IF(AllData[[#This Row],[Nitrate (PPM)]]&gt;=0, "No evidence"))))</f>
        <v>High</v>
      </c>
      <c r="S1592" s="112">
        <v>0.82</v>
      </c>
      <c r="T1592" s="7" t="str">
        <f>IF(AllData[[#This Row],[Phosphate (PPM)]]&gt;0.5, "Very high", IF(AllData[[#This Row],[Phosphate (PPM)]]&gt;0.1, "High", IF(AllData[[#This Row],[Phosphate (PPM)]]&gt;0.05, "Some evidence", IF(AllData[[#This Row],[Phosphate (PPM)]]&lt;=0.05, "No Evidence", ""))))</f>
        <v>Very high</v>
      </c>
      <c r="U1592">
        <v>0.2</v>
      </c>
    </row>
    <row r="1593" spans="1:22" x14ac:dyDescent="0.35">
      <c r="A1593" t="s">
        <v>1184</v>
      </c>
      <c r="B1593" s="143">
        <v>45410</v>
      </c>
      <c r="C1593" s="2" t="str" cm="1">
        <f t="array" ref="C15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3">
        <f>YEAR(AllData[[#This Row],[Date]])</f>
        <v>2024</v>
      </c>
      <c r="E1593" s="1">
        <v>0.41666666666666669</v>
      </c>
      <c r="F1593" t="str">
        <f>IF(AND(AllData[[#This Row],[Time]]&lt;0.5, AllData[[#This Row],[Time]]&gt;0.17)=TRUE, "Morning", IF(AND(AllData[[#This Row],[Time]]&lt;0.75, AllData[[#This Row],[Time]]&gt;=0.5)=TRUE, "Afternoon", IF(AND(AllData[[#This Row],[Time]]&lt;1, AllData[[#This Row],[Time]]&gt;=0.75)=TRUE, "Evening", "Night")))</f>
        <v>Morning</v>
      </c>
      <c r="G1593" t="str">
        <f>_xlfn.XLOOKUP(AllData[[#This Row],[Location Name]], Locations[Location Name],Locations[Group As])</f>
        <v>Avonbank Drive</v>
      </c>
      <c r="H1593" t="e" vm="1">
        <f>_xlfn.XLOOKUP(AllData[[#This Row],[Site Name]],LocationsKey[Site Name],LocationsKey[District])</f>
        <v>#VALUE!</v>
      </c>
      <c r="I1593" t="e" vm="12">
        <f>_xlfn.XLOOKUP(AllData[[#This Row],[Site Name]],LocationsKey[Site Name],LocationsKey[Town])</f>
        <v>#VALUE!</v>
      </c>
      <c r="J1593" t="str">
        <f>_xlfn.XLOOKUP(AllData[[#This Row],[Site Name]],LocationsKey[Site Name], LocationsKey[Waterway])</f>
        <v>Avon</v>
      </c>
      <c r="K1593" t="s">
        <v>104</v>
      </c>
      <c r="L1593">
        <v>52.177</v>
      </c>
      <c r="M1593">
        <v>-1.736</v>
      </c>
      <c r="N1593" t="s">
        <v>68</v>
      </c>
      <c r="O1593">
        <v>890</v>
      </c>
      <c r="P1593">
        <v>14.1</v>
      </c>
      <c r="Q1593">
        <v>10</v>
      </c>
      <c r="R1593" s="107" t="str">
        <f>IF(AllData[[#This Row],[Nitrate (PPM)]]&gt;2, "Very high", IF(AllData[[#This Row],[Nitrate (PPM)]]&gt;1, "High", IF(AllData[[#This Row],[Nitrate (PPM)]]&gt;0.5, "Some evidence", IF(AllData[[#This Row],[Nitrate (PPM)]]&gt;=0, "No evidence"))))</f>
        <v>Very high</v>
      </c>
      <c r="S1593" s="112">
        <v>0.34</v>
      </c>
      <c r="T1593" s="7" t="str">
        <f>IF(AllData[[#This Row],[Phosphate (PPM)]]&gt;0.5, "Very high", IF(AllData[[#This Row],[Phosphate (PPM)]]&gt;0.1, "High", IF(AllData[[#This Row],[Phosphate (PPM)]]&gt;0.05, "Some evidence", IF(AllData[[#This Row],[Phosphate (PPM)]]&lt;=0.05, "No Evidence", ""))))</f>
        <v>High</v>
      </c>
      <c r="U1593">
        <v>1</v>
      </c>
    </row>
    <row r="1594" spans="1:22" x14ac:dyDescent="0.35">
      <c r="A1594" t="s">
        <v>1185</v>
      </c>
      <c r="B1594" s="143">
        <v>45410</v>
      </c>
      <c r="C1594" s="2" t="str" cm="1">
        <f t="array" ref="C15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4">
        <f>YEAR(AllData[[#This Row],[Date]])</f>
        <v>2024</v>
      </c>
      <c r="E1594" s="1">
        <v>0.41666666666666669</v>
      </c>
      <c r="F1594" t="str">
        <f>IF(AND(AllData[[#This Row],[Time]]&lt;0.5, AllData[[#This Row],[Time]]&gt;0.17)=TRUE, "Morning", IF(AND(AllData[[#This Row],[Time]]&lt;0.75, AllData[[#This Row],[Time]]&gt;=0.5)=TRUE, "Afternoon", IF(AND(AllData[[#This Row],[Time]]&lt;1, AllData[[#This Row],[Time]]&gt;=0.75)=TRUE, "Evening", "Night")))</f>
        <v>Morning</v>
      </c>
      <c r="G1594" t="str">
        <f>_xlfn.XLOOKUP(AllData[[#This Row],[Location Name]], Locations[Location Name],Locations[Group As])</f>
        <v>Pitch 16</v>
      </c>
      <c r="H1594" t="e" vm="1">
        <f>_xlfn.XLOOKUP(AllData[[#This Row],[Site Name]],LocationsKey[Site Name],LocationsKey[District])</f>
        <v>#VALUE!</v>
      </c>
      <c r="I1594" t="e" vm="12">
        <f>_xlfn.XLOOKUP(AllData[[#This Row],[Site Name]],LocationsKey[Site Name],LocationsKey[Town])</f>
        <v>#VALUE!</v>
      </c>
      <c r="J1594" t="str">
        <f>_xlfn.XLOOKUP(AllData[[#This Row],[Site Name]],LocationsKey[Site Name], LocationsKey[Waterway])</f>
        <v>Avon</v>
      </c>
      <c r="K1594" t="s">
        <v>71</v>
      </c>
      <c r="N1594" t="s">
        <v>1186</v>
      </c>
      <c r="O1594">
        <v>861</v>
      </c>
      <c r="P1594">
        <v>14.5</v>
      </c>
      <c r="Q1594">
        <v>10</v>
      </c>
      <c r="R1594" s="107" t="str">
        <f>IF(AllData[[#This Row],[Nitrate (PPM)]]&gt;2, "Very high", IF(AllData[[#This Row],[Nitrate (PPM)]]&gt;1, "High", IF(AllData[[#This Row],[Nitrate (PPM)]]&gt;0.5, "Some evidence", IF(AllData[[#This Row],[Nitrate (PPM)]]&gt;=0, "No evidence"))))</f>
        <v>Very high</v>
      </c>
      <c r="S1594" s="112">
        <v>0.34</v>
      </c>
      <c r="T1594" s="7" t="str">
        <f>IF(AllData[[#This Row],[Phosphate (PPM)]]&gt;0.5, "Very high", IF(AllData[[#This Row],[Phosphate (PPM)]]&gt;0.1, "High", IF(AllData[[#This Row],[Phosphate (PPM)]]&gt;0.05, "Some evidence", IF(AllData[[#This Row],[Phosphate (PPM)]]&lt;=0.05, "No Evidence", ""))))</f>
        <v>High</v>
      </c>
      <c r="U1594">
        <v>1</v>
      </c>
    </row>
    <row r="1595" spans="1:22" x14ac:dyDescent="0.35">
      <c r="A1595" t="s">
        <v>1190</v>
      </c>
      <c r="B1595" s="143">
        <v>45410</v>
      </c>
      <c r="C1595" s="2" t="str" cm="1">
        <f t="array" ref="C15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5">
        <f>YEAR(AllData[[#This Row],[Date]])</f>
        <v>2024</v>
      </c>
      <c r="E1595" s="1">
        <v>0.625</v>
      </c>
      <c r="F1595" t="str">
        <f>IF(AND(AllData[[#This Row],[Time]]&lt;0.5, AllData[[#This Row],[Time]]&gt;0.17)=TRUE, "Morning", IF(AND(AllData[[#This Row],[Time]]&lt;0.75, AllData[[#This Row],[Time]]&gt;=0.5)=TRUE, "Afternoon", IF(AND(AllData[[#This Row],[Time]]&lt;1, AllData[[#This Row],[Time]]&gt;=0.75)=TRUE, "Evening", "Night")))</f>
        <v>Afternoon</v>
      </c>
      <c r="G1595" t="str">
        <f>_xlfn.XLOOKUP(AllData[[#This Row],[Location Name]], Locations[Location Name],Locations[Group As])</f>
        <v>Sherbourne Brook 1</v>
      </c>
      <c r="H1595" t="e" vm="1">
        <f>_xlfn.XLOOKUP(AllData[[#This Row],[Site Name]],LocationsKey[Site Name],LocationsKey[District])</f>
        <v>#VALUE!</v>
      </c>
      <c r="I1595" t="e" vm="23">
        <f>_xlfn.XLOOKUP(AllData[[#This Row],[Site Name]],LocationsKey[Site Name],LocationsKey[Town])</f>
        <v>#VALUE!</v>
      </c>
      <c r="J1595" t="str">
        <f>_xlfn.XLOOKUP(AllData[[#This Row],[Site Name]],LocationsKey[Site Name], LocationsKey[Waterway])</f>
        <v>Sherbourne Brook</v>
      </c>
      <c r="K1595" t="s">
        <v>541</v>
      </c>
      <c r="L1595">
        <v>52.252499999999998</v>
      </c>
      <c r="M1595">
        <v>-1.6685000000000001</v>
      </c>
      <c r="N1595" t="s">
        <v>25</v>
      </c>
      <c r="O1595">
        <v>821</v>
      </c>
      <c r="P1595">
        <v>9.6</v>
      </c>
      <c r="Q1595">
        <v>8</v>
      </c>
      <c r="R1595" s="107" t="str">
        <f>IF(AllData[[#This Row],[Nitrate (PPM)]]&gt;2, "Very high", IF(AllData[[#This Row],[Nitrate (PPM)]]&gt;1, "High", IF(AllData[[#This Row],[Nitrate (PPM)]]&gt;0.5, "Some evidence", IF(AllData[[#This Row],[Nitrate (PPM)]]&gt;=0, "No evidence"))))</f>
        <v>Very high</v>
      </c>
      <c r="S1595" s="112">
        <v>0.72</v>
      </c>
      <c r="T1595" s="7" t="str">
        <f>IF(AllData[[#This Row],[Phosphate (PPM)]]&gt;0.5, "Very high", IF(AllData[[#This Row],[Phosphate (PPM)]]&gt;0.1, "High", IF(AllData[[#This Row],[Phosphate (PPM)]]&gt;0.05, "Some evidence", IF(AllData[[#This Row],[Phosphate (PPM)]]&lt;=0.05, "No Evidence", ""))))</f>
        <v>Very high</v>
      </c>
      <c r="U1595">
        <v>9.1999999999999993</v>
      </c>
    </row>
    <row r="1596" spans="1:22" x14ac:dyDescent="0.35">
      <c r="A1596" t="s">
        <v>1189</v>
      </c>
      <c r="B1596" s="143">
        <v>45410</v>
      </c>
      <c r="C1596" s="2" t="str" cm="1">
        <f t="array" ref="C15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6">
        <f>YEAR(AllData[[#This Row],[Date]])</f>
        <v>2024</v>
      </c>
      <c r="E1596" s="1">
        <v>0.58333333333333337</v>
      </c>
      <c r="F1596" t="str">
        <f>IF(AND(AllData[[#This Row],[Time]]&lt;0.5, AllData[[#This Row],[Time]]&gt;0.17)=TRUE, "Morning", IF(AND(AllData[[#This Row],[Time]]&lt;0.75, AllData[[#This Row],[Time]]&gt;=0.5)=TRUE, "Afternoon", IF(AND(AllData[[#This Row],[Time]]&lt;1, AllData[[#This Row],[Time]]&gt;=0.75)=TRUE, "Evening", "Night")))</f>
        <v>Afternoon</v>
      </c>
      <c r="G1596" t="str">
        <f>_xlfn.XLOOKUP(AllData[[#This Row],[Location Name]], Locations[Location Name],Locations[Group As])</f>
        <v>Clifford Chambers Mill Bridge</v>
      </c>
      <c r="H1596" t="e" vm="1">
        <f>_xlfn.XLOOKUP(AllData[[#This Row],[Site Name]],LocationsKey[Site Name],LocationsKey[District])</f>
        <v>#VALUE!</v>
      </c>
      <c r="I1596" t="e" vm="22">
        <f>_xlfn.XLOOKUP(AllData[[#This Row],[Site Name]],LocationsKey[Site Name],LocationsKey[Town])</f>
        <v>#VALUE!</v>
      </c>
      <c r="J1596" t="str">
        <f>_xlfn.XLOOKUP(AllData[[#This Row],[Site Name]],LocationsKey[Site Name], LocationsKey[Waterway])</f>
        <v>Stour</v>
      </c>
      <c r="K1596" t="s">
        <v>266</v>
      </c>
      <c r="L1596">
        <v>52.166370000000001</v>
      </c>
      <c r="M1596">
        <v>-1.708032</v>
      </c>
      <c r="N1596" t="s">
        <v>68</v>
      </c>
      <c r="O1596">
        <v>647</v>
      </c>
      <c r="P1596">
        <v>11.2</v>
      </c>
      <c r="Q1596">
        <v>8</v>
      </c>
      <c r="R1596" s="107" t="str">
        <f>IF(AllData[[#This Row],[Nitrate (PPM)]]&gt;2, "Very high", IF(AllData[[#This Row],[Nitrate (PPM)]]&gt;1, "High", IF(AllData[[#This Row],[Nitrate (PPM)]]&gt;0.5, "Some evidence", IF(AllData[[#This Row],[Nitrate (PPM)]]&gt;=0, "No evidence"))))</f>
        <v>Very high</v>
      </c>
      <c r="S1596" s="112">
        <v>0.13</v>
      </c>
      <c r="T1596" s="7" t="str">
        <f>IF(AllData[[#This Row],[Phosphate (PPM)]]&gt;0.5, "Very high", IF(AllData[[#This Row],[Phosphate (PPM)]]&gt;0.1, "High", IF(AllData[[#This Row],[Phosphate (PPM)]]&gt;0.05, "Some evidence", IF(AllData[[#This Row],[Phosphate (PPM)]]&lt;=0.05, "No Evidence", ""))))</f>
        <v>High</v>
      </c>
      <c r="U1596">
        <v>1.2</v>
      </c>
    </row>
    <row r="1597" spans="1:22" x14ac:dyDescent="0.35">
      <c r="A1597" t="s">
        <v>1191</v>
      </c>
      <c r="B1597" s="143">
        <v>45410</v>
      </c>
      <c r="C1597" s="2" t="str" cm="1">
        <f t="array" ref="C15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7">
        <f>YEAR(AllData[[#This Row],[Date]])</f>
        <v>2024</v>
      </c>
      <c r="E1597" s="1">
        <v>0.63541666666666663</v>
      </c>
      <c r="F1597" t="str">
        <f>IF(AND(AllData[[#This Row],[Time]]&lt;0.5, AllData[[#This Row],[Time]]&gt;0.17)=TRUE, "Morning", IF(AND(AllData[[#This Row],[Time]]&lt;0.75, AllData[[#This Row],[Time]]&gt;=0.5)=TRUE, "Afternoon", IF(AND(AllData[[#This Row],[Time]]&lt;1, AllData[[#This Row],[Time]]&gt;=0.75)=TRUE, "Evening", "Night")))</f>
        <v>Afternoon</v>
      </c>
      <c r="G1597" t="str">
        <f>_xlfn.XLOOKUP(AllData[[#This Row],[Location Name]], Locations[Location Name],Locations[Group As])</f>
        <v>Bell Brook 1</v>
      </c>
      <c r="H1597" t="e" vm="1">
        <f>_xlfn.XLOOKUP(AllData[[#This Row],[Site Name]],LocationsKey[Site Name],LocationsKey[District])</f>
        <v>#VALUE!</v>
      </c>
      <c r="I1597" t="e" vm="19">
        <f>_xlfn.XLOOKUP(AllData[[#This Row],[Site Name]],LocationsKey[Site Name],LocationsKey[Town])</f>
        <v>#VALUE!</v>
      </c>
      <c r="J1597" t="str">
        <f>_xlfn.XLOOKUP(AllData[[#This Row],[Site Name]],LocationsKey[Site Name], LocationsKey[Waterway])</f>
        <v>Bell Brook</v>
      </c>
      <c r="K1597" t="s">
        <v>538</v>
      </c>
      <c r="L1597">
        <v>52.244900000000001</v>
      </c>
      <c r="M1597">
        <v>-1.6617</v>
      </c>
      <c r="N1597" t="s">
        <v>25</v>
      </c>
      <c r="O1597">
        <v>684</v>
      </c>
      <c r="P1597">
        <v>10.5</v>
      </c>
      <c r="Q1597">
        <v>5</v>
      </c>
      <c r="R1597" s="107" t="str">
        <f>IF(AllData[[#This Row],[Nitrate (PPM)]]&gt;2, "Very high", IF(AllData[[#This Row],[Nitrate (PPM)]]&gt;1, "High", IF(AllData[[#This Row],[Nitrate (PPM)]]&gt;0.5, "Some evidence", IF(AllData[[#This Row],[Nitrate (PPM)]]&gt;=0, "No evidence"))))</f>
        <v>Very high</v>
      </c>
      <c r="S1597" s="112">
        <v>0.53</v>
      </c>
      <c r="T1597" s="7" t="str">
        <f>IF(AllData[[#This Row],[Phosphate (PPM)]]&gt;0.5, "Very high", IF(AllData[[#This Row],[Phosphate (PPM)]]&gt;0.1, "High", IF(AllData[[#This Row],[Phosphate (PPM)]]&gt;0.05, "Some evidence", IF(AllData[[#This Row],[Phosphate (PPM)]]&lt;=0.05, "No Evidence", ""))))</f>
        <v>Very high</v>
      </c>
      <c r="U1597">
        <v>0.2</v>
      </c>
    </row>
    <row r="1598" spans="1:22" x14ac:dyDescent="0.35">
      <c r="A1598" t="s">
        <v>1183</v>
      </c>
      <c r="B1598" s="143">
        <v>45410</v>
      </c>
      <c r="C1598" s="2" t="str" cm="1">
        <f t="array" ref="C15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8">
        <f>YEAR(AllData[[#This Row],[Date]])</f>
        <v>2024</v>
      </c>
      <c r="E1598" s="1">
        <v>0.2048611111111111</v>
      </c>
      <c r="F1598" t="str">
        <f>IF(AND(AllData[[#This Row],[Time]]&lt;0.5, AllData[[#This Row],[Time]]&gt;0.17)=TRUE, "Morning", IF(AND(AllData[[#This Row],[Time]]&lt;0.75, AllData[[#This Row],[Time]]&gt;=0.5)=TRUE, "Afternoon", IF(AND(AllData[[#This Row],[Time]]&lt;1, AllData[[#This Row],[Time]]&gt;=0.75)=TRUE, "Evening", "Night")))</f>
        <v>Morning</v>
      </c>
      <c r="G1598" t="str">
        <f>_xlfn.XLOOKUP(AllData[[#This Row],[Location Name]], Locations[Location Name],Locations[Group As])</f>
        <v>Fell Mill Footbridge</v>
      </c>
      <c r="H1598" t="e" vm="1">
        <f>_xlfn.XLOOKUP(AllData[[#This Row],[Site Name]],LocationsKey[Site Name],LocationsKey[District])</f>
        <v>#VALUE!</v>
      </c>
      <c r="I1598" t="e" vm="15">
        <f>_xlfn.XLOOKUP(AllData[[#This Row],[Site Name]],LocationsKey[Site Name],LocationsKey[Town])</f>
        <v>#VALUE!</v>
      </c>
      <c r="J1598" t="str">
        <f>_xlfn.XLOOKUP(AllData[[#This Row],[Site Name]],LocationsKey[Site Name], LocationsKey[Waterway])</f>
        <v>Stour</v>
      </c>
      <c r="K1598" t="s">
        <v>875</v>
      </c>
      <c r="L1598">
        <v>52.070086000000003</v>
      </c>
      <c r="M1598">
        <v>-1.61145</v>
      </c>
      <c r="N1598" t="s">
        <v>31</v>
      </c>
      <c r="O1598">
        <v>465</v>
      </c>
      <c r="P1598">
        <v>10.4</v>
      </c>
      <c r="Q1598">
        <v>5</v>
      </c>
      <c r="R1598" s="107" t="str">
        <f>IF(AllData[[#This Row],[Nitrate (PPM)]]&gt;2, "Very high", IF(AllData[[#This Row],[Nitrate (PPM)]]&gt;1, "High", IF(AllData[[#This Row],[Nitrate (PPM)]]&gt;0.5, "Some evidence", IF(AllData[[#This Row],[Nitrate (PPM)]]&gt;=0, "No evidence"))))</f>
        <v>Very high</v>
      </c>
      <c r="S1598" s="112">
        <v>1.02</v>
      </c>
      <c r="T1598" s="7" t="str">
        <f>IF(AllData[[#This Row],[Phosphate (PPM)]]&gt;0.5, "Very high", IF(AllData[[#This Row],[Phosphate (PPM)]]&gt;0.1, "High", IF(AllData[[#This Row],[Phosphate (PPM)]]&gt;0.05, "Some evidence", IF(AllData[[#This Row],[Phosphate (PPM)]]&lt;=0.05, "No Evidence", ""))))</f>
        <v>Very high</v>
      </c>
      <c r="U1598">
        <v>0.9</v>
      </c>
    </row>
    <row r="1599" spans="1:22" x14ac:dyDescent="0.35">
      <c r="A1599" t="s">
        <v>1188</v>
      </c>
      <c r="B1599" s="143">
        <v>45410</v>
      </c>
      <c r="C1599" s="2" t="str" cm="1">
        <f t="array" ref="C15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599">
        <f>YEAR(AllData[[#This Row],[Date]])</f>
        <v>2024</v>
      </c>
      <c r="E1599" s="1">
        <v>0.5625</v>
      </c>
      <c r="F1599" t="str">
        <f>IF(AND(AllData[[#This Row],[Time]]&lt;0.5, AllData[[#This Row],[Time]]&gt;0.17)=TRUE, "Morning", IF(AND(AllData[[#This Row],[Time]]&lt;0.75, AllData[[#This Row],[Time]]&gt;=0.5)=TRUE, "Afternoon", IF(AND(AllData[[#This Row],[Time]]&lt;1, AllData[[#This Row],[Time]]&gt;=0.75)=TRUE, "Evening", "Night")))</f>
        <v>Afternoon</v>
      </c>
      <c r="G1599" t="str">
        <f>_xlfn.XLOOKUP(AllData[[#This Row],[Location Name]], Locations[Location Name],Locations[Group As])</f>
        <v>The Ford, Langley</v>
      </c>
      <c r="H1599" t="e" vm="1">
        <f>_xlfn.XLOOKUP(AllData[[#This Row],[Site Name]],LocationsKey[Site Name],LocationsKey[District])</f>
        <v>#VALUE!</v>
      </c>
      <c r="I1599" t="str">
        <f>_xlfn.XLOOKUP(AllData[[#This Row],[Site Name]],LocationsKey[Site Name],LocationsKey[Town])</f>
        <v>Langley</v>
      </c>
      <c r="J1599" t="str">
        <f>_xlfn.XLOOKUP(AllData[[#This Row],[Site Name]],LocationsKey[Site Name], LocationsKey[Waterway])</f>
        <v>Langley Ford</v>
      </c>
      <c r="K1599" t="s">
        <v>530</v>
      </c>
      <c r="L1599">
        <v>52.259824000000002</v>
      </c>
      <c r="M1599">
        <v>-1.718574</v>
      </c>
      <c r="N1599" t="s">
        <v>31</v>
      </c>
      <c r="O1599">
        <v>295</v>
      </c>
      <c r="P1599">
        <v>10.3</v>
      </c>
      <c r="Q1599">
        <v>5</v>
      </c>
      <c r="R1599" s="107" t="str">
        <f>IF(AllData[[#This Row],[Nitrate (PPM)]]&gt;2, "Very high", IF(AllData[[#This Row],[Nitrate (PPM)]]&gt;1, "High", IF(AllData[[#This Row],[Nitrate (PPM)]]&gt;0.5, "Some evidence", IF(AllData[[#This Row],[Nitrate (PPM)]]&gt;=0, "No evidence"))))</f>
        <v>Very high</v>
      </c>
      <c r="S1599" s="4">
        <v>0.89</v>
      </c>
      <c r="T1599" s="7" t="str">
        <f>IF(AllData[[#This Row],[Phosphate (PPM)]]&gt;0.5, "Very high", IF(AllData[[#This Row],[Phosphate (PPM)]]&gt;0.1, "High", IF(AllData[[#This Row],[Phosphate (PPM)]]&gt;0.05, "Some evidence", IF(AllData[[#This Row],[Phosphate (PPM)]]&lt;=0.05, "No Evidence", ""))))</f>
        <v>Very high</v>
      </c>
      <c r="U1599">
        <v>0.65</v>
      </c>
    </row>
    <row r="1600" spans="1:22" x14ac:dyDescent="0.35">
      <c r="A1600" t="s">
        <v>1187</v>
      </c>
      <c r="B1600" s="143">
        <v>45410</v>
      </c>
      <c r="C1600" s="2" t="str" cm="1">
        <f t="array" ref="C16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0">
        <f>YEAR(AllData[[#This Row],[Date]])</f>
        <v>2024</v>
      </c>
      <c r="E1600" s="1">
        <v>0.48958333333333331</v>
      </c>
      <c r="F1600" t="str">
        <f>IF(AND(AllData[[#This Row],[Time]]&lt;0.5, AllData[[#This Row],[Time]]&gt;0.17)=TRUE, "Morning", IF(AND(AllData[[#This Row],[Time]]&lt;0.75, AllData[[#This Row],[Time]]&gt;=0.5)=TRUE, "Afternoon", IF(AND(AllData[[#This Row],[Time]]&lt;1, AllData[[#This Row],[Time]]&gt;=0.75)=TRUE, "Evening", "Night")))</f>
        <v>Morning</v>
      </c>
      <c r="G1600" t="str">
        <f>_xlfn.XLOOKUP(AllData[[#This Row],[Location Name]], Locations[Location Name],Locations[Group As])</f>
        <v>Lucy's Mill Bridge</v>
      </c>
      <c r="H1600" t="e" vm="1">
        <f>_xlfn.XLOOKUP(AllData[[#This Row],[Site Name]],LocationsKey[Site Name],LocationsKey[District])</f>
        <v>#VALUE!</v>
      </c>
      <c r="I1600" t="e" vm="12">
        <f>_xlfn.XLOOKUP(AllData[[#This Row],[Site Name]],LocationsKey[Site Name],LocationsKey[Town])</f>
        <v>#VALUE!</v>
      </c>
      <c r="J1600" t="str">
        <f>_xlfn.XLOOKUP(AllData[[#This Row],[Site Name]],LocationsKey[Site Name], LocationsKey[Waterway])</f>
        <v>Avon</v>
      </c>
      <c r="K1600" t="s">
        <v>212</v>
      </c>
      <c r="L1600">
        <v>52.183698999999997</v>
      </c>
      <c r="M1600">
        <v>-1.707816</v>
      </c>
      <c r="N1600" t="s">
        <v>31</v>
      </c>
      <c r="P1600">
        <v>12</v>
      </c>
      <c r="Q1600">
        <v>5</v>
      </c>
      <c r="R1600" s="107" t="str">
        <f>IF(AllData[[#This Row],[Nitrate (PPM)]]&gt;2, "Very high", IF(AllData[[#This Row],[Nitrate (PPM)]]&gt;1, "High", IF(AllData[[#This Row],[Nitrate (PPM)]]&gt;0.5, "Some evidence", IF(AllData[[#This Row],[Nitrate (PPM)]]&gt;=0, "No evidence"))))</f>
        <v>Very high</v>
      </c>
      <c r="S1600" s="4">
        <v>0.26</v>
      </c>
      <c r="T1600" s="7" t="str">
        <f>IF(AllData[[#This Row],[Phosphate (PPM)]]&gt;0.5, "Very high", IF(AllData[[#This Row],[Phosphate (PPM)]]&gt;0.1, "High", IF(AllData[[#This Row],[Phosphate (PPM)]]&gt;0.05, "Some evidence", IF(AllData[[#This Row],[Phosphate (PPM)]]&lt;=0.05, "No Evidence", ""))))</f>
        <v>High</v>
      </c>
      <c r="U1600">
        <v>0.7</v>
      </c>
    </row>
    <row r="1601" spans="1:22" x14ac:dyDescent="0.35">
      <c r="A1601" t="s">
        <v>1172</v>
      </c>
      <c r="B1601" s="143">
        <v>45409</v>
      </c>
      <c r="C1601" s="2" t="str" cm="1">
        <f t="array" ref="C16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1">
        <f>YEAR(AllData[[#This Row],[Date]])</f>
        <v>2024</v>
      </c>
      <c r="E1601" s="1">
        <v>0.64583333333333337</v>
      </c>
      <c r="F1601" t="str">
        <f>IF(AND(AllData[[#This Row],[Time]]&lt;0.5, AllData[[#This Row],[Time]]&gt;0.17)=TRUE, "Morning", IF(AND(AllData[[#This Row],[Time]]&lt;0.75, AllData[[#This Row],[Time]]&gt;=0.5)=TRUE, "Afternoon", IF(AND(AllData[[#This Row],[Time]]&lt;1, AllData[[#This Row],[Time]]&gt;=0.75)=TRUE, "Evening", "Night")))</f>
        <v>Afternoon</v>
      </c>
      <c r="G1601" t="str">
        <f>_xlfn.XLOOKUP(AllData[[#This Row],[Location Name]], Locations[Location Name],Locations[Group As])</f>
        <v>Piddle Brook Wyre Piddle Bridge</v>
      </c>
      <c r="H1601" t="e" vm="6">
        <f>_xlfn.XLOOKUP(AllData[[#This Row],[Site Name]],LocationsKey[Site Name],LocationsKey[District])</f>
        <v>#VALUE!</v>
      </c>
      <c r="I1601" t="e" vm="13">
        <f>_xlfn.XLOOKUP(AllData[[#This Row],[Site Name]],LocationsKey[Site Name],LocationsKey[Town])</f>
        <v>#VALUE!</v>
      </c>
      <c r="J1601" t="str">
        <f>_xlfn.XLOOKUP(AllData[[#This Row],[Site Name]],LocationsKey[Site Name], LocationsKey[Waterway])</f>
        <v>Piddle Brook</v>
      </c>
      <c r="K1601" t="s">
        <v>787</v>
      </c>
      <c r="L1601">
        <v>52.126404000000001</v>
      </c>
      <c r="M1601">
        <v>-2.0565410000000002</v>
      </c>
      <c r="N1601" t="s">
        <v>25</v>
      </c>
      <c r="O1601">
        <v>1420</v>
      </c>
      <c r="P1601">
        <v>9</v>
      </c>
      <c r="Q1601">
        <v>10</v>
      </c>
      <c r="R1601" s="107" t="str">
        <f>IF(AllData[[#This Row],[Nitrate (PPM)]]&gt;2, "Very high", IF(AllData[[#This Row],[Nitrate (PPM)]]&gt;1, "High", IF(AllData[[#This Row],[Nitrate (PPM)]]&gt;0.5, "Some evidence", IF(AllData[[#This Row],[Nitrate (PPM)]]&gt;=0, "No evidence"))))</f>
        <v>Very high</v>
      </c>
      <c r="S1601" s="112">
        <v>0.51</v>
      </c>
      <c r="T1601" s="7" t="str">
        <f>IF(AllData[[#This Row],[Phosphate (PPM)]]&gt;0.5, "Very high", IF(AllData[[#This Row],[Phosphate (PPM)]]&gt;0.1, "High", IF(AllData[[#This Row],[Phosphate (PPM)]]&gt;0.05, "Some evidence", IF(AllData[[#This Row],[Phosphate (PPM)]]&lt;=0.05, "No Evidence", ""))))</f>
        <v>Very high</v>
      </c>
      <c r="U1601">
        <v>0.22</v>
      </c>
      <c r="V1601" t="s">
        <v>1173</v>
      </c>
    </row>
    <row r="1602" spans="1:22" x14ac:dyDescent="0.35">
      <c r="A1602" t="s">
        <v>1181</v>
      </c>
      <c r="B1602" s="143">
        <v>45409</v>
      </c>
      <c r="C1602" s="2" t="str" cm="1">
        <f t="array" ref="C16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2">
        <f>YEAR(AllData[[#This Row],[Date]])</f>
        <v>2024</v>
      </c>
      <c r="E1602" s="1"/>
      <c r="F1602" t="str">
        <f>IF(AND(AllData[[#This Row],[Time]]&lt;0.5, AllData[[#This Row],[Time]]&gt;0.17)=TRUE, "Morning", IF(AND(AllData[[#This Row],[Time]]&lt;0.75, AllData[[#This Row],[Time]]&gt;=0.5)=TRUE, "Afternoon", IF(AND(AllData[[#This Row],[Time]]&lt;1, AllData[[#This Row],[Time]]&gt;=0.75)=TRUE, "Evening", "Night")))</f>
        <v>Night</v>
      </c>
      <c r="G1602" t="str">
        <f>_xlfn.XLOOKUP(AllData[[#This Row],[Location Name]], Locations[Location Name],Locations[Group As])</f>
        <v>Site 3  :  Severn Trent Water processing plant outflow</v>
      </c>
      <c r="H1602" t="e" vm="1">
        <f>_xlfn.XLOOKUP(AllData[[#This Row],[Site Name]],LocationsKey[Site Name],LocationsKey[District])</f>
        <v>#VALUE!</v>
      </c>
      <c r="I1602" t="e" vm="14">
        <f>_xlfn.XLOOKUP(AllData[[#This Row],[Site Name]],LocationsKey[Site Name],LocationsKey[Town])</f>
        <v>#VALUE!</v>
      </c>
      <c r="J1602" t="str">
        <f>_xlfn.XLOOKUP(AllData[[#This Row],[Site Name]],LocationsKey[Site Name], LocationsKey[Waterway])</f>
        <v>Fosseway Brook</v>
      </c>
      <c r="K1602" t="s">
        <v>676</v>
      </c>
      <c r="L1602">
        <v>52.094423999999997</v>
      </c>
      <c r="M1602">
        <v>-1.6759090000000001</v>
      </c>
      <c r="N1602" t="s">
        <v>31</v>
      </c>
      <c r="O1602">
        <v>850</v>
      </c>
      <c r="P1602">
        <v>13.1</v>
      </c>
      <c r="Q1602">
        <v>10</v>
      </c>
      <c r="R1602" s="107" t="str">
        <f>IF(AllData[[#This Row],[Nitrate (PPM)]]&gt;2, "Very high", IF(AllData[[#This Row],[Nitrate (PPM)]]&gt;1, "High", IF(AllData[[#This Row],[Nitrate (PPM)]]&gt;0.5, "Some evidence", IF(AllData[[#This Row],[Nitrate (PPM)]]&gt;=0, "No evidence"))))</f>
        <v>Very high</v>
      </c>
      <c r="S1602" s="4">
        <v>2.5</v>
      </c>
      <c r="T1602" s="7" t="str">
        <f>IF(AllData[[#This Row],[Phosphate (PPM)]]&gt;0.5, "Very high", IF(AllData[[#This Row],[Phosphate (PPM)]]&gt;0.1, "High", IF(AllData[[#This Row],[Phosphate (PPM)]]&gt;0.05, "Some evidence", IF(AllData[[#This Row],[Phosphate (PPM)]]&lt;=0.05, "No Evidence", ""))))</f>
        <v>Very high</v>
      </c>
    </row>
    <row r="1603" spans="1:22" x14ac:dyDescent="0.35">
      <c r="A1603" t="s">
        <v>1180</v>
      </c>
      <c r="B1603" s="143">
        <v>45409</v>
      </c>
      <c r="C1603" s="2" t="str" cm="1">
        <f t="array" ref="C16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3">
        <f>YEAR(AllData[[#This Row],[Date]])</f>
        <v>2024</v>
      </c>
      <c r="F1603" t="str">
        <f>IF(AND(AllData[[#This Row],[Time]]&lt;0.5, AllData[[#This Row],[Time]]&gt;0.17)=TRUE, "Morning", IF(AND(AllData[[#This Row],[Time]]&lt;0.75, AllData[[#This Row],[Time]]&gt;=0.5)=TRUE, "Afternoon", IF(AND(AllData[[#This Row],[Time]]&lt;1, AllData[[#This Row],[Time]]&gt;=0.75)=TRUE, "Evening", "Night")))</f>
        <v>Night</v>
      </c>
      <c r="G1603" t="str">
        <f>_xlfn.XLOOKUP(AllData[[#This Row],[Location Name]], Locations[Location Name],Locations[Group As])</f>
        <v>Site 3  :  Severn Trent Water processing plant outflow</v>
      </c>
      <c r="H1603" t="e" vm="1">
        <f>_xlfn.XLOOKUP(AllData[[#This Row],[Site Name]],LocationsKey[Site Name],LocationsKey[District])</f>
        <v>#VALUE!</v>
      </c>
      <c r="I1603" t="e" vm="14">
        <f>_xlfn.XLOOKUP(AllData[[#This Row],[Site Name]],LocationsKey[Site Name],LocationsKey[Town])</f>
        <v>#VALUE!</v>
      </c>
      <c r="J1603" t="str">
        <f>_xlfn.XLOOKUP(AllData[[#This Row],[Site Name]],LocationsKey[Site Name], LocationsKey[Waterway])</f>
        <v>Fosseway Brook</v>
      </c>
      <c r="K1603" t="s">
        <v>673</v>
      </c>
      <c r="L1603">
        <v>52.094423999999997</v>
      </c>
      <c r="M1603">
        <v>-1.6759090000000001</v>
      </c>
      <c r="N1603" t="s">
        <v>31</v>
      </c>
      <c r="O1603">
        <v>850</v>
      </c>
      <c r="P1603">
        <v>13.1</v>
      </c>
      <c r="Q1603">
        <v>10</v>
      </c>
      <c r="R1603" s="107" t="str">
        <f>IF(AllData[[#This Row],[Nitrate (PPM)]]&gt;2, "Very high", IF(AllData[[#This Row],[Nitrate (PPM)]]&gt;1, "High", IF(AllData[[#This Row],[Nitrate (PPM)]]&gt;0.5, "Some evidence", IF(AllData[[#This Row],[Nitrate (PPM)]]&gt;=0, "No evidence"))))</f>
        <v>Very high</v>
      </c>
      <c r="S1603" s="4">
        <v>2.5</v>
      </c>
      <c r="T1603" s="7" t="str">
        <f>IF(AllData[[#This Row],[Phosphate (PPM)]]&gt;0.5, "Very high", IF(AllData[[#This Row],[Phosphate (PPM)]]&gt;0.1, "High", IF(AllData[[#This Row],[Phosphate (PPM)]]&gt;0.05, "Some evidence", IF(AllData[[#This Row],[Phosphate (PPM)]]&lt;=0.05, "No Evidence", ""))))</f>
        <v>Very high</v>
      </c>
      <c r="U1603">
        <v>0</v>
      </c>
      <c r="V1603" t="s">
        <v>840</v>
      </c>
    </row>
    <row r="1604" spans="1:22" x14ac:dyDescent="0.35">
      <c r="A1604" t="s">
        <v>1170</v>
      </c>
      <c r="B1604" s="143">
        <v>45409</v>
      </c>
      <c r="C1604" s="2" t="str" cm="1">
        <f t="array" ref="C16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4">
        <f>YEAR(AllData[[#This Row],[Date]])</f>
        <v>2024</v>
      </c>
      <c r="E1604" s="1">
        <v>0.61458333333333337</v>
      </c>
      <c r="F1604" t="str">
        <f>IF(AND(AllData[[#This Row],[Time]]&lt;0.5, AllData[[#This Row],[Time]]&gt;0.17)=TRUE, "Morning", IF(AND(AllData[[#This Row],[Time]]&lt;0.75, AllData[[#This Row],[Time]]&gt;=0.5)=TRUE, "Afternoon", IF(AND(AllData[[#This Row],[Time]]&lt;1, AllData[[#This Row],[Time]]&gt;=0.75)=TRUE, "Evening", "Night")))</f>
        <v>Afternoon</v>
      </c>
      <c r="G1604" t="str">
        <f>_xlfn.XLOOKUP(AllData[[#This Row],[Location Name]], Locations[Location Name],Locations[Group As])</f>
        <v>Avon Smiths Meadow Wyre Piddle</v>
      </c>
      <c r="H1604" t="e" vm="6">
        <f>_xlfn.XLOOKUP(AllData[[#This Row],[Site Name]],LocationsKey[Site Name],LocationsKey[District])</f>
        <v>#VALUE!</v>
      </c>
      <c r="I1604" t="e" vm="13">
        <f>_xlfn.XLOOKUP(AllData[[#This Row],[Site Name]],LocationsKey[Site Name],LocationsKey[Town])</f>
        <v>#VALUE!</v>
      </c>
      <c r="J1604" t="str">
        <f>_xlfn.XLOOKUP(AllData[[#This Row],[Site Name]],LocationsKey[Site Name], LocationsKey[Waterway])</f>
        <v>Avon</v>
      </c>
      <c r="K1604" t="s">
        <v>784</v>
      </c>
      <c r="L1604">
        <v>52.122858999999998</v>
      </c>
      <c r="M1604">
        <v>-2.0575389999999998</v>
      </c>
      <c r="N1604" t="s">
        <v>25</v>
      </c>
      <c r="O1604">
        <v>892</v>
      </c>
      <c r="P1604">
        <v>11.7</v>
      </c>
      <c r="Q1604">
        <v>6</v>
      </c>
      <c r="R1604" s="107" t="str">
        <f>IF(AllData[[#This Row],[Nitrate (PPM)]]&gt;2, "Very high", IF(AllData[[#This Row],[Nitrate (PPM)]]&gt;1, "High", IF(AllData[[#This Row],[Nitrate (PPM)]]&gt;0.5, "Some evidence", IF(AllData[[#This Row],[Nitrate (PPM)]]&gt;=0, "No evidence"))))</f>
        <v>Very high</v>
      </c>
      <c r="S1604" s="112">
        <v>0.37</v>
      </c>
      <c r="T1604" s="7" t="str">
        <f>IF(AllData[[#This Row],[Phosphate (PPM)]]&gt;0.5, "Very high", IF(AllData[[#This Row],[Phosphate (PPM)]]&gt;0.1, "High", IF(AllData[[#This Row],[Phosphate (PPM)]]&gt;0.05, "Some evidence", IF(AllData[[#This Row],[Phosphate (PPM)]]&lt;=0.05, "No Evidence", ""))))</f>
        <v>High</v>
      </c>
      <c r="U1604">
        <v>0.65</v>
      </c>
      <c r="V1604" t="s">
        <v>1171</v>
      </c>
    </row>
    <row r="1605" spans="1:22" x14ac:dyDescent="0.35">
      <c r="A1605" t="s">
        <v>1169</v>
      </c>
      <c r="B1605" s="143">
        <v>45409</v>
      </c>
      <c r="C1605" s="2" t="str" cm="1">
        <f t="array" ref="C16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5">
        <f>YEAR(AllData[[#This Row],[Date]])</f>
        <v>2024</v>
      </c>
      <c r="E1605" s="1">
        <v>0.51041666666666663</v>
      </c>
      <c r="F1605" t="str">
        <f>IF(AND(AllData[[#This Row],[Time]]&lt;0.5, AllData[[#This Row],[Time]]&gt;0.17)=TRUE, "Morning", IF(AND(AllData[[#This Row],[Time]]&lt;0.75, AllData[[#This Row],[Time]]&gt;=0.5)=TRUE, "Afternoon", IF(AND(AllData[[#This Row],[Time]]&lt;1, AllData[[#This Row],[Time]]&gt;=0.75)=TRUE, "Evening", "Night")))</f>
        <v>Afternoon</v>
      </c>
      <c r="G1605" t="str">
        <f>_xlfn.XLOOKUP(AllData[[#This Row],[Location Name]], Locations[Location Name],Locations[Group As])</f>
        <v>Carrant Bredon Rd</v>
      </c>
      <c r="H1605" t="e" vm="4">
        <f>_xlfn.XLOOKUP(AllData[[#This Row],[Site Name]],LocationsKey[Site Name],LocationsKey[District])</f>
        <v>#VALUE!</v>
      </c>
      <c r="I1605" t="e" vm="4">
        <f>_xlfn.XLOOKUP(AllData[[#This Row],[Site Name]],LocationsKey[Site Name],LocationsKey[Town])</f>
        <v>#VALUE!</v>
      </c>
      <c r="J1605" t="str">
        <f>_xlfn.XLOOKUP(AllData[[#This Row],[Site Name]],LocationsKey[Site Name], LocationsKey[Waterway])</f>
        <v>Carrant</v>
      </c>
      <c r="K1605" t="s">
        <v>603</v>
      </c>
      <c r="L1605">
        <v>51.996184</v>
      </c>
      <c r="M1605">
        <v>-2.1561520000000001</v>
      </c>
      <c r="N1605" t="s">
        <v>25</v>
      </c>
      <c r="O1605">
        <v>738</v>
      </c>
      <c r="P1605">
        <v>10.7</v>
      </c>
      <c r="Q1605">
        <v>6</v>
      </c>
      <c r="R1605" s="107" t="str">
        <f>IF(AllData[[#This Row],[Nitrate (PPM)]]&gt;2, "Very high", IF(AllData[[#This Row],[Nitrate (PPM)]]&gt;1, "High", IF(AllData[[#This Row],[Nitrate (PPM)]]&gt;0.5, "Some evidence", IF(AllData[[#This Row],[Nitrate (PPM)]]&gt;=0, "No evidence"))))</f>
        <v>Very high</v>
      </c>
      <c r="S1605" s="112">
        <v>0.3</v>
      </c>
      <c r="T1605" s="7" t="str">
        <f>IF(AllData[[#This Row],[Phosphate (PPM)]]&gt;0.5, "Very high", IF(AllData[[#This Row],[Phosphate (PPM)]]&gt;0.1, "High", IF(AllData[[#This Row],[Phosphate (PPM)]]&gt;0.05, "Some evidence", IF(AllData[[#This Row],[Phosphate (PPM)]]&lt;=0.05, "No Evidence", ""))))</f>
        <v>High</v>
      </c>
      <c r="U1605">
        <v>0.06</v>
      </c>
    </row>
    <row r="1606" spans="1:22" x14ac:dyDescent="0.35">
      <c r="A1606" t="s">
        <v>1174</v>
      </c>
      <c r="B1606" s="143">
        <v>45409</v>
      </c>
      <c r="C1606" s="2" t="str" cm="1">
        <f t="array" ref="C16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6">
        <f>YEAR(AllData[[#This Row],[Date]])</f>
        <v>2024</v>
      </c>
      <c r="E1606" s="1">
        <v>0.68055555555555558</v>
      </c>
      <c r="F1606" t="str">
        <f>IF(AND(AllData[[#This Row],[Time]]&lt;0.5, AllData[[#This Row],[Time]]&gt;0.17)=TRUE, "Morning", IF(AND(AllData[[#This Row],[Time]]&lt;0.75, AllData[[#This Row],[Time]]&gt;=0.5)=TRUE, "Afternoon", IF(AND(AllData[[#This Row],[Time]]&lt;1, AllData[[#This Row],[Time]]&gt;=0.75)=TRUE, "Evening", "Night")))</f>
        <v>Afternoon</v>
      </c>
      <c r="G1606" t="str">
        <f>_xlfn.XLOOKUP(AllData[[#This Row],[Location Name]], Locations[Location Name],Locations[Group As])</f>
        <v>Black Bear</v>
      </c>
      <c r="H1606" t="e" vm="4">
        <f>_xlfn.XLOOKUP(AllData[[#This Row],[Site Name]],LocationsKey[Site Name],LocationsKey[District])</f>
        <v>#VALUE!</v>
      </c>
      <c r="I1606" t="e" vm="4">
        <f>_xlfn.XLOOKUP(AllData[[#This Row],[Site Name]],LocationsKey[Site Name],LocationsKey[Town])</f>
        <v>#VALUE!</v>
      </c>
      <c r="J1606" t="str">
        <f>_xlfn.XLOOKUP(AllData[[#This Row],[Site Name]],LocationsKey[Site Name], LocationsKey[Waterway])</f>
        <v>Avon</v>
      </c>
      <c r="K1606" t="s">
        <v>1175</v>
      </c>
      <c r="L1606">
        <v>51.997390000000003</v>
      </c>
      <c r="M1606">
        <v>-2.1562640000000002</v>
      </c>
      <c r="N1606" t="s">
        <v>25</v>
      </c>
      <c r="O1606">
        <v>891</v>
      </c>
      <c r="P1606">
        <v>22.6</v>
      </c>
      <c r="Q1606">
        <v>5</v>
      </c>
      <c r="R1606" s="107" t="str">
        <f>IF(AllData[[#This Row],[Nitrate (PPM)]]&gt;2, "Very high", IF(AllData[[#This Row],[Nitrate (PPM)]]&gt;1, "High", IF(AllData[[#This Row],[Nitrate (PPM)]]&gt;0.5, "Some evidence", IF(AllData[[#This Row],[Nitrate (PPM)]]&gt;=0, "No evidence"))))</f>
        <v>Very high</v>
      </c>
      <c r="S1606" s="112">
        <v>0.59</v>
      </c>
      <c r="T1606" s="7" t="str">
        <f>IF(AllData[[#This Row],[Phosphate (PPM)]]&gt;0.5, "Very high", IF(AllData[[#This Row],[Phosphate (PPM)]]&gt;0.1, "High", IF(AllData[[#This Row],[Phosphate (PPM)]]&gt;0.05, "Some evidence", IF(AllData[[#This Row],[Phosphate (PPM)]]&lt;=0.05, "No Evidence", ""))))</f>
        <v>Very high</v>
      </c>
      <c r="U1606">
        <v>0</v>
      </c>
    </row>
    <row r="1607" spans="1:22" x14ac:dyDescent="0.35">
      <c r="A1607" t="s">
        <v>1177</v>
      </c>
      <c r="B1607" s="143">
        <v>45409</v>
      </c>
      <c r="C1607" s="2" t="str" cm="1">
        <f t="array" ref="C16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7">
        <f>YEAR(AllData[[#This Row],[Date]])</f>
        <v>2024</v>
      </c>
      <c r="E1607" s="1"/>
      <c r="F1607" t="str">
        <f>IF(AND(AllData[[#This Row],[Time]]&lt;0.5, AllData[[#This Row],[Time]]&gt;0.17)=TRUE, "Morning", IF(AND(AllData[[#This Row],[Time]]&lt;0.75, AllData[[#This Row],[Time]]&gt;=0.5)=TRUE, "Afternoon", IF(AND(AllData[[#This Row],[Time]]&lt;1, AllData[[#This Row],[Time]]&gt;=0.75)=TRUE, "Evening", "Night")))</f>
        <v>Night</v>
      </c>
      <c r="G1607" t="str">
        <f>_xlfn.XLOOKUP(AllData[[#This Row],[Location Name]], Locations[Location Name],Locations[Group As])</f>
        <v>Site 1  :  Middle Street</v>
      </c>
      <c r="H1607" t="e" vm="1">
        <f>_xlfn.XLOOKUP(AllData[[#This Row],[Site Name]],LocationsKey[Site Name],LocationsKey[District])</f>
        <v>#VALUE!</v>
      </c>
      <c r="I1607" t="e" vm="14">
        <f>_xlfn.XLOOKUP(AllData[[#This Row],[Site Name]],LocationsKey[Site Name],LocationsKey[Town])</f>
        <v>#VALUE!</v>
      </c>
      <c r="J1607" t="str">
        <f>_xlfn.XLOOKUP(AllData[[#This Row],[Site Name]],LocationsKey[Site Name], LocationsKey[Waterway])</f>
        <v>Fosseway Brook</v>
      </c>
      <c r="K1607" t="s">
        <v>670</v>
      </c>
      <c r="L1607">
        <v>52.090085000000002</v>
      </c>
      <c r="M1607">
        <v>-1.692593</v>
      </c>
      <c r="N1607" t="s">
        <v>68</v>
      </c>
      <c r="O1607">
        <v>571</v>
      </c>
      <c r="P1607">
        <v>11.6</v>
      </c>
      <c r="Q1607">
        <v>5</v>
      </c>
      <c r="R1607" s="107" t="str">
        <f>IF(AllData[[#This Row],[Nitrate (PPM)]]&gt;2, "Very high", IF(AllData[[#This Row],[Nitrate (PPM)]]&gt;1, "High", IF(AllData[[#This Row],[Nitrate (PPM)]]&gt;0.5, "Some evidence", IF(AllData[[#This Row],[Nitrate (PPM)]]&gt;=0, "No evidence"))))</f>
        <v>Very high</v>
      </c>
      <c r="S1607" s="4">
        <v>0.15</v>
      </c>
      <c r="T1607" s="7" t="str">
        <f>IF(AllData[[#This Row],[Phosphate (PPM)]]&gt;0.5, "Very high", IF(AllData[[#This Row],[Phosphate (PPM)]]&gt;0.1, "High", IF(AllData[[#This Row],[Phosphate (PPM)]]&gt;0.05, "Some evidence", IF(AllData[[#This Row],[Phosphate (PPM)]]&lt;=0.05, "No Evidence", ""))))</f>
        <v>High</v>
      </c>
    </row>
    <row r="1608" spans="1:22" x14ac:dyDescent="0.35">
      <c r="A1608" t="s">
        <v>1176</v>
      </c>
      <c r="B1608" s="143">
        <v>45409</v>
      </c>
      <c r="C1608" s="2" t="str" cm="1">
        <f t="array" ref="C16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8">
        <f>YEAR(AllData[[#This Row],[Date]])</f>
        <v>2024</v>
      </c>
      <c r="F1608" t="str">
        <f>IF(AND(AllData[[#This Row],[Time]]&lt;0.5, AllData[[#This Row],[Time]]&gt;0.17)=TRUE, "Morning", IF(AND(AllData[[#This Row],[Time]]&lt;0.75, AllData[[#This Row],[Time]]&gt;=0.5)=TRUE, "Afternoon", IF(AND(AllData[[#This Row],[Time]]&lt;1, AllData[[#This Row],[Time]]&gt;=0.75)=TRUE, "Evening", "Night")))</f>
        <v>Night</v>
      </c>
      <c r="G1608" t="str">
        <f>_xlfn.XLOOKUP(AllData[[#This Row],[Location Name]], Locations[Location Name],Locations[Group As])</f>
        <v>Site 1  :  Middle Street</v>
      </c>
      <c r="H1608" t="e" vm="1">
        <f>_xlfn.XLOOKUP(AllData[[#This Row],[Site Name]],LocationsKey[Site Name],LocationsKey[District])</f>
        <v>#VALUE!</v>
      </c>
      <c r="I1608" t="e" vm="14">
        <f>_xlfn.XLOOKUP(AllData[[#This Row],[Site Name]],LocationsKey[Site Name],LocationsKey[Town])</f>
        <v>#VALUE!</v>
      </c>
      <c r="J1608" t="str">
        <f>_xlfn.XLOOKUP(AllData[[#This Row],[Site Name]],LocationsKey[Site Name], LocationsKey[Waterway])</f>
        <v>Fosseway Brook</v>
      </c>
      <c r="K1608" t="s">
        <v>667</v>
      </c>
      <c r="L1608">
        <v>52.090085000000002</v>
      </c>
      <c r="M1608">
        <v>-1.692593</v>
      </c>
      <c r="N1608" t="s">
        <v>68</v>
      </c>
      <c r="O1608">
        <v>571</v>
      </c>
      <c r="P1608">
        <v>11.6</v>
      </c>
      <c r="Q1608">
        <v>5</v>
      </c>
      <c r="R1608" s="107" t="str">
        <f>IF(AllData[[#This Row],[Nitrate (PPM)]]&gt;2, "Very high", IF(AllData[[#This Row],[Nitrate (PPM)]]&gt;1, "High", IF(AllData[[#This Row],[Nitrate (PPM)]]&gt;0.5, "Some evidence", IF(AllData[[#This Row],[Nitrate (PPM)]]&gt;=0, "No evidence"))))</f>
        <v>Very high</v>
      </c>
      <c r="S1608" s="4">
        <v>0.15</v>
      </c>
      <c r="T1608" s="7" t="str">
        <f>IF(AllData[[#This Row],[Phosphate (PPM)]]&gt;0.5, "Very high", IF(AllData[[#This Row],[Phosphate (PPM)]]&gt;0.1, "High", IF(AllData[[#This Row],[Phosphate (PPM)]]&gt;0.05, "Some evidence", IF(AllData[[#This Row],[Phosphate (PPM)]]&lt;=0.05, "No Evidence", ""))))</f>
        <v>High</v>
      </c>
      <c r="U1608">
        <v>0</v>
      </c>
      <c r="V1608" t="s">
        <v>835</v>
      </c>
    </row>
    <row r="1609" spans="1:22" x14ac:dyDescent="0.35">
      <c r="A1609" t="s">
        <v>1182</v>
      </c>
      <c r="B1609" s="143">
        <v>45409</v>
      </c>
      <c r="C1609" s="2" t="str" cm="1">
        <f t="array" ref="C16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09">
        <f>YEAR(AllData[[#This Row],[Date]])</f>
        <v>2024</v>
      </c>
      <c r="E1609" s="1">
        <v>0.45694444444444443</v>
      </c>
      <c r="F1609" t="str">
        <f>IF(AND(AllData[[#This Row],[Time]]&lt;0.5, AllData[[#This Row],[Time]]&gt;0.17)=TRUE, "Morning", IF(AND(AllData[[#This Row],[Time]]&lt;0.75, AllData[[#This Row],[Time]]&gt;=0.5)=TRUE, "Afternoon", IF(AND(AllData[[#This Row],[Time]]&lt;1, AllData[[#This Row],[Time]]&gt;=0.75)=TRUE, "Evening", "Night")))</f>
        <v>Morning</v>
      </c>
      <c r="G1609" t="str">
        <f>_xlfn.XLOOKUP(AllData[[#This Row],[Location Name]], Locations[Location Name],Locations[Group As])</f>
        <v>Site 1  :  Middle Street</v>
      </c>
      <c r="H1609" t="e" vm="1">
        <f>_xlfn.XLOOKUP(AllData[[#This Row],[Site Name]],LocationsKey[Site Name],LocationsKey[District])</f>
        <v>#VALUE!</v>
      </c>
      <c r="I1609" t="e" vm="14">
        <f>_xlfn.XLOOKUP(AllData[[#This Row],[Site Name]],LocationsKey[Site Name],LocationsKey[Town])</f>
        <v>#VALUE!</v>
      </c>
      <c r="J1609" t="str">
        <f>_xlfn.XLOOKUP(AllData[[#This Row],[Site Name]],LocationsKey[Site Name], LocationsKey[Waterway])</f>
        <v>Fosseway Brook</v>
      </c>
      <c r="K1609" t="s">
        <v>678</v>
      </c>
      <c r="L1609">
        <v>52.090085000000002</v>
      </c>
      <c r="M1609">
        <v>-1.692593</v>
      </c>
      <c r="N1609" t="s">
        <v>68</v>
      </c>
      <c r="O1609">
        <v>571</v>
      </c>
      <c r="P1609">
        <v>11.6</v>
      </c>
      <c r="Q1609">
        <v>5</v>
      </c>
      <c r="R1609" s="107" t="str">
        <f>IF(AllData[[#This Row],[Nitrate (PPM)]]&gt;2, "Very high", IF(AllData[[#This Row],[Nitrate (PPM)]]&gt;1, "High", IF(AllData[[#This Row],[Nitrate (PPM)]]&gt;0.5, "Some evidence", IF(AllData[[#This Row],[Nitrate (PPM)]]&gt;=0, "No evidence"))))</f>
        <v>Very high</v>
      </c>
      <c r="S1609">
        <v>0.15</v>
      </c>
      <c r="T1609" s="7" t="str">
        <f>IF(AllData[[#This Row],[Phosphate (PPM)]]&gt;0.5, "Very high", IF(AllData[[#This Row],[Phosphate (PPM)]]&gt;0.1, "High", IF(AllData[[#This Row],[Phosphate (PPM)]]&gt;0.05, "Some evidence", IF(AllData[[#This Row],[Phosphate (PPM)]]&lt;=0.05, "No Evidence", ""))))</f>
        <v>High</v>
      </c>
      <c r="U1609">
        <v>0.05</v>
      </c>
    </row>
    <row r="1610" spans="1:22" x14ac:dyDescent="0.35">
      <c r="A1610" t="s">
        <v>1166</v>
      </c>
      <c r="B1610" s="143">
        <v>45409</v>
      </c>
      <c r="C1610" s="2" t="str" cm="1">
        <f t="array" ref="C16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0">
        <f>YEAR(AllData[[#This Row],[Date]])</f>
        <v>2024</v>
      </c>
      <c r="E1610" s="1">
        <v>0.36319444444444443</v>
      </c>
      <c r="F1610" t="str">
        <f>IF(AND(AllData[[#This Row],[Time]]&lt;0.5, AllData[[#This Row],[Time]]&gt;0.17)=TRUE, "Morning", IF(AND(AllData[[#This Row],[Time]]&lt;0.75, AllData[[#This Row],[Time]]&gt;=0.5)=TRUE, "Afternoon", IF(AND(AllData[[#This Row],[Time]]&lt;1, AllData[[#This Row],[Time]]&gt;=0.75)=TRUE, "Evening", "Night")))</f>
        <v>Morning</v>
      </c>
      <c r="G1610" t="str">
        <f>_xlfn.XLOOKUP(AllData[[#This Row],[Location Name]], Locations[Location Name],Locations[Group As])</f>
        <v>Stour Whichford</v>
      </c>
      <c r="H1610" t="e" vm="1">
        <f>_xlfn.XLOOKUP(AllData[[#This Row],[Site Name]],LocationsKey[Site Name],LocationsKey[District])</f>
        <v>#VALUE!</v>
      </c>
      <c r="I1610" t="e" vm="24">
        <f>_xlfn.XLOOKUP(AllData[[#This Row],[Site Name]],LocationsKey[Site Name],LocationsKey[Town])</f>
        <v>#VALUE!</v>
      </c>
      <c r="J1610" t="str">
        <f>_xlfn.XLOOKUP(AllData[[#This Row],[Site Name]],LocationsKey[Site Name], LocationsKey[Waterway])</f>
        <v>Stour</v>
      </c>
      <c r="K1610" t="s">
        <v>980</v>
      </c>
      <c r="N1610" t="s">
        <v>31</v>
      </c>
      <c r="O1610">
        <v>6.2</v>
      </c>
      <c r="P1610">
        <v>9.1999999999999993</v>
      </c>
      <c r="Q1610">
        <v>4.5</v>
      </c>
      <c r="R1610" s="107" t="str">
        <f>IF(AllData[[#This Row],[Nitrate (PPM)]]&gt;2, "Very high", IF(AllData[[#This Row],[Nitrate (PPM)]]&gt;1, "High", IF(AllData[[#This Row],[Nitrate (PPM)]]&gt;0.5, "Some evidence", IF(AllData[[#This Row],[Nitrate (PPM)]]&gt;=0, "No evidence"))))</f>
        <v>Very high</v>
      </c>
      <c r="S1610" s="112">
        <v>0.33</v>
      </c>
      <c r="T1610" s="7" t="str">
        <f>IF(AllData[[#This Row],[Phosphate (PPM)]]&gt;0.5, "Very high", IF(AllData[[#This Row],[Phosphate (PPM)]]&gt;0.1, "High", IF(AllData[[#This Row],[Phosphate (PPM)]]&gt;0.05, "Some evidence", IF(AllData[[#This Row],[Phosphate (PPM)]]&lt;=0.05, "No Evidence", ""))))</f>
        <v>High</v>
      </c>
      <c r="U1610">
        <v>15</v>
      </c>
    </row>
    <row r="1611" spans="1:22" x14ac:dyDescent="0.35">
      <c r="A1611" t="s">
        <v>1179</v>
      </c>
      <c r="B1611" s="143">
        <v>45409</v>
      </c>
      <c r="C1611" s="2" t="str" cm="1">
        <f t="array" ref="C16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1">
        <f>YEAR(AllData[[#This Row],[Date]])</f>
        <v>2024</v>
      </c>
      <c r="E1611" s="1"/>
      <c r="F1611" t="str">
        <f>IF(AND(AllData[[#This Row],[Time]]&lt;0.5, AllData[[#This Row],[Time]]&gt;0.17)=TRUE, "Morning", IF(AND(AllData[[#This Row],[Time]]&lt;0.75, AllData[[#This Row],[Time]]&gt;=0.5)=TRUE, "Afternoon", IF(AND(AllData[[#This Row],[Time]]&lt;1, AllData[[#This Row],[Time]]&gt;=0.75)=TRUE, "Evening", "Night")))</f>
        <v>Night</v>
      </c>
      <c r="G1611" t="str">
        <f>_xlfn.XLOOKUP(AllData[[#This Row],[Location Name]], Locations[Location Name],Locations[Group As])</f>
        <v>Site 2  :  Cross Leys culvert</v>
      </c>
      <c r="H1611" t="e" vm="1">
        <f>_xlfn.XLOOKUP(AllData[[#This Row],[Site Name]],LocationsKey[Site Name],LocationsKey[District])</f>
        <v>#VALUE!</v>
      </c>
      <c r="I1611" t="e" vm="14">
        <f>_xlfn.XLOOKUP(AllData[[#This Row],[Site Name]],LocationsKey[Site Name],LocationsKey[Town])</f>
        <v>#VALUE!</v>
      </c>
      <c r="J1611" t="str">
        <f>_xlfn.XLOOKUP(AllData[[#This Row],[Site Name]],LocationsKey[Site Name], LocationsKey[Waterway])</f>
        <v>Fosseway Brook</v>
      </c>
      <c r="K1611" t="s">
        <v>626</v>
      </c>
      <c r="L1611">
        <v>52.092967999999999</v>
      </c>
      <c r="M1611">
        <v>-1.6862710000000001</v>
      </c>
      <c r="N1611" t="s">
        <v>68</v>
      </c>
      <c r="O1611">
        <v>638</v>
      </c>
      <c r="P1611">
        <v>12.4</v>
      </c>
      <c r="Q1611">
        <v>2</v>
      </c>
      <c r="R1611" s="107" t="str">
        <f>IF(AllData[[#This Row],[Nitrate (PPM)]]&gt;2, "Very high", IF(AllData[[#This Row],[Nitrate (PPM)]]&gt;1, "High", IF(AllData[[#This Row],[Nitrate (PPM)]]&gt;0.5, "Some evidence", IF(AllData[[#This Row],[Nitrate (PPM)]]&gt;=0, "No evidence"))))</f>
        <v>High</v>
      </c>
      <c r="S1611" s="4">
        <v>0.17</v>
      </c>
      <c r="T1611" s="7" t="str">
        <f>IF(AllData[[#This Row],[Phosphate (PPM)]]&gt;0.5, "Very high", IF(AllData[[#This Row],[Phosphate (PPM)]]&gt;0.1, "High", IF(AllData[[#This Row],[Phosphate (PPM)]]&gt;0.05, "Some evidence", IF(AllData[[#This Row],[Phosphate (PPM)]]&lt;=0.05, "No Evidence", ""))))</f>
        <v>High</v>
      </c>
    </row>
    <row r="1612" spans="1:22" x14ac:dyDescent="0.35">
      <c r="A1612" t="s">
        <v>1178</v>
      </c>
      <c r="B1612" s="143">
        <v>45409</v>
      </c>
      <c r="C1612" s="2" t="str" cm="1">
        <f t="array" ref="C16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2">
        <f>YEAR(AllData[[#This Row],[Date]])</f>
        <v>2024</v>
      </c>
      <c r="F1612" t="str">
        <f>IF(AND(AllData[[#This Row],[Time]]&lt;0.5, AllData[[#This Row],[Time]]&gt;0.17)=TRUE, "Morning", IF(AND(AllData[[#This Row],[Time]]&lt;0.75, AllData[[#This Row],[Time]]&gt;=0.5)=TRUE, "Afternoon", IF(AND(AllData[[#This Row],[Time]]&lt;1, AllData[[#This Row],[Time]]&gt;=0.75)=TRUE, "Evening", "Night")))</f>
        <v>Night</v>
      </c>
      <c r="G1612" t="str">
        <f>_xlfn.XLOOKUP(AllData[[#This Row],[Location Name]], Locations[Location Name],Locations[Group As])</f>
        <v>Site 2  :  Cross Leys culvert</v>
      </c>
      <c r="H1612" t="e" vm="1">
        <f>_xlfn.XLOOKUP(AllData[[#This Row],[Site Name]],LocationsKey[Site Name],LocationsKey[District])</f>
        <v>#VALUE!</v>
      </c>
      <c r="I1612" t="e" vm="14">
        <f>_xlfn.XLOOKUP(AllData[[#This Row],[Site Name]],LocationsKey[Site Name],LocationsKey[Town])</f>
        <v>#VALUE!</v>
      </c>
      <c r="J1612" t="str">
        <f>_xlfn.XLOOKUP(AllData[[#This Row],[Site Name]],LocationsKey[Site Name], LocationsKey[Waterway])</f>
        <v>Fosseway Brook</v>
      </c>
      <c r="K1612" t="s">
        <v>623</v>
      </c>
      <c r="L1612">
        <v>52.092967999999999</v>
      </c>
      <c r="M1612">
        <v>-1.6862710000000001</v>
      </c>
      <c r="N1612" t="s">
        <v>68</v>
      </c>
      <c r="O1612">
        <v>638</v>
      </c>
      <c r="P1612">
        <v>12.4</v>
      </c>
      <c r="Q1612">
        <v>2</v>
      </c>
      <c r="R1612" s="107" t="str">
        <f>IF(AllData[[#This Row],[Nitrate (PPM)]]&gt;2, "Very high", IF(AllData[[#This Row],[Nitrate (PPM)]]&gt;1, "High", IF(AllData[[#This Row],[Nitrate (PPM)]]&gt;0.5, "Some evidence", IF(AllData[[#This Row],[Nitrate (PPM)]]&gt;=0, "No evidence"))))</f>
        <v>High</v>
      </c>
      <c r="S1612" s="4">
        <v>0.17</v>
      </c>
      <c r="T1612" s="7" t="str">
        <f>IF(AllData[[#This Row],[Phosphate (PPM)]]&gt;0.5, "Very high", IF(AllData[[#This Row],[Phosphate (PPM)]]&gt;0.1, "High", IF(AllData[[#This Row],[Phosphate (PPM)]]&gt;0.05, "Some evidence", IF(AllData[[#This Row],[Phosphate (PPM)]]&lt;=0.05, "No Evidence", ""))))</f>
        <v>High</v>
      </c>
      <c r="U1612">
        <v>0</v>
      </c>
      <c r="V1612" t="s">
        <v>835</v>
      </c>
    </row>
    <row r="1613" spans="1:22" x14ac:dyDescent="0.35">
      <c r="A1613" t="s">
        <v>1167</v>
      </c>
      <c r="B1613" s="143">
        <v>45409</v>
      </c>
      <c r="C1613" s="2" t="str" cm="1">
        <f t="array" ref="C16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3">
        <f>YEAR(AllData[[#This Row],[Date]])</f>
        <v>2024</v>
      </c>
      <c r="E1613" s="1">
        <v>0.38194444444444442</v>
      </c>
      <c r="F1613" t="str">
        <f>IF(AND(AllData[[#This Row],[Time]]&lt;0.5, AllData[[#This Row],[Time]]&gt;0.17)=TRUE, "Morning", IF(AND(AllData[[#This Row],[Time]]&lt;0.75, AllData[[#This Row],[Time]]&gt;=0.5)=TRUE, "Afternoon", IF(AND(AllData[[#This Row],[Time]]&lt;1, AllData[[#This Row],[Time]]&gt;=0.75)=TRUE, "Evening", "Night")))</f>
        <v>Morning</v>
      </c>
      <c r="G1613" t="str">
        <f>_xlfn.XLOOKUP(AllData[[#This Row],[Location Name]], Locations[Location Name],Locations[Group As])</f>
        <v>Stour Ascott Village</v>
      </c>
      <c r="H1613" t="e" vm="1">
        <f>_xlfn.XLOOKUP(AllData[[#This Row],[Site Name]],LocationsKey[Site Name],LocationsKey[District])</f>
        <v>#VALUE!</v>
      </c>
      <c r="I1613" t="e" vm="25">
        <f>_xlfn.XLOOKUP(AllData[[#This Row],[Site Name]],LocationsKey[Site Name],LocationsKey[Town])</f>
        <v>#VALUE!</v>
      </c>
      <c r="J1613" t="str">
        <f>_xlfn.XLOOKUP(AllData[[#This Row],[Site Name]],LocationsKey[Site Name], LocationsKey[Waterway])</f>
        <v>Stour</v>
      </c>
      <c r="K1613" t="s">
        <v>927</v>
      </c>
      <c r="N1613" t="s">
        <v>68</v>
      </c>
      <c r="O1613">
        <v>56.7</v>
      </c>
      <c r="P1613">
        <v>9.1</v>
      </c>
      <c r="Q1613">
        <v>1.05</v>
      </c>
      <c r="R1613" s="107" t="str">
        <f>IF(AllData[[#This Row],[Nitrate (PPM)]]&gt;2, "Very high", IF(AllData[[#This Row],[Nitrate (PPM)]]&gt;1, "High", IF(AllData[[#This Row],[Nitrate (PPM)]]&gt;0.5, "Some evidence", IF(AllData[[#This Row],[Nitrate (PPM)]]&gt;=0, "No evidence"))))</f>
        <v>High</v>
      </c>
      <c r="S1613" s="112">
        <v>0.15</v>
      </c>
      <c r="T1613" s="7" t="str">
        <f>IF(AllData[[#This Row],[Phosphate (PPM)]]&gt;0.5, "Very high", IF(AllData[[#This Row],[Phosphate (PPM)]]&gt;0.1, "High", IF(AllData[[#This Row],[Phosphate (PPM)]]&gt;0.05, "Some evidence", IF(AllData[[#This Row],[Phosphate (PPM)]]&lt;=0.05, "No Evidence", ""))))</f>
        <v>High</v>
      </c>
      <c r="U1613">
        <v>12</v>
      </c>
      <c r="V1613" t="s">
        <v>1168</v>
      </c>
    </row>
    <row r="1614" spans="1:22" x14ac:dyDescent="0.35">
      <c r="A1614" t="s">
        <v>1162</v>
      </c>
      <c r="B1614" s="143">
        <v>45408</v>
      </c>
      <c r="C1614" s="2" t="str" cm="1">
        <f t="array" ref="C16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4">
        <f>YEAR(AllData[[#This Row],[Date]])</f>
        <v>2024</v>
      </c>
      <c r="E1614" s="1">
        <v>0.63888888888888884</v>
      </c>
      <c r="F1614" t="str">
        <f>IF(AND(AllData[[#This Row],[Time]]&lt;0.5, AllData[[#This Row],[Time]]&gt;0.17)=TRUE, "Morning", IF(AND(AllData[[#This Row],[Time]]&lt;0.75, AllData[[#This Row],[Time]]&gt;=0.5)=TRUE, "Afternoon", IF(AND(AllData[[#This Row],[Time]]&lt;1, AllData[[#This Row],[Time]]&gt;=0.75)=TRUE, "Evening", "Night")))</f>
        <v>Afternoon</v>
      </c>
      <c r="G1614" t="str">
        <f>_xlfn.XLOOKUP(AllData[[#This Row],[Location Name]], Locations[Location Name],Locations[Group As])</f>
        <v>Lower Lode</v>
      </c>
      <c r="H1614" t="e" vm="4">
        <f>_xlfn.XLOOKUP(AllData[[#This Row],[Site Name]],LocationsKey[Site Name],LocationsKey[District])</f>
        <v>#VALUE!</v>
      </c>
      <c r="I1614" t="e" vm="4">
        <f>_xlfn.XLOOKUP(AllData[[#This Row],[Site Name]],LocationsKey[Site Name],LocationsKey[Town])</f>
        <v>#VALUE!</v>
      </c>
      <c r="J1614" t="str">
        <f>_xlfn.XLOOKUP(AllData[[#This Row],[Site Name]],LocationsKey[Site Name], LocationsKey[Waterway])</f>
        <v>Avon</v>
      </c>
      <c r="K1614" t="s">
        <v>595</v>
      </c>
      <c r="L1614">
        <v>51.985005999999998</v>
      </c>
      <c r="M1614">
        <v>-2.1742490000000001</v>
      </c>
      <c r="N1614" t="s">
        <v>31</v>
      </c>
      <c r="O1614">
        <v>8560</v>
      </c>
      <c r="P1614">
        <v>13.1</v>
      </c>
      <c r="Q1614">
        <v>10</v>
      </c>
      <c r="R1614" s="107" t="str">
        <f>IF(AllData[[#This Row],[Nitrate (PPM)]]&gt;2, "Very high", IF(AllData[[#This Row],[Nitrate (PPM)]]&gt;1, "High", IF(AllData[[#This Row],[Nitrate (PPM)]]&gt;0.5, "Some evidence", IF(AllData[[#This Row],[Nitrate (PPM)]]&gt;=0, "No evidence"))))</f>
        <v>Very high</v>
      </c>
      <c r="S1614" s="112">
        <v>0.82</v>
      </c>
      <c r="T1614" s="7" t="str">
        <f>IF(AllData[[#This Row],[Phosphate (PPM)]]&gt;0.5, "Very high", IF(AllData[[#This Row],[Phosphate (PPM)]]&gt;0.1, "High", IF(AllData[[#This Row],[Phosphate (PPM)]]&gt;0.05, "Some evidence", IF(AllData[[#This Row],[Phosphate (PPM)]]&lt;=0.05, "No Evidence", ""))))</f>
        <v>Very high</v>
      </c>
      <c r="U1614">
        <v>2</v>
      </c>
    </row>
    <row r="1615" spans="1:22" x14ac:dyDescent="0.35">
      <c r="A1615" t="s">
        <v>1161</v>
      </c>
      <c r="B1615" s="143">
        <v>45408</v>
      </c>
      <c r="C1615" s="2" t="str" cm="1">
        <f t="array" ref="C16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5">
        <f>YEAR(AllData[[#This Row],[Date]])</f>
        <v>2024</v>
      </c>
      <c r="E1615" s="1">
        <v>0.47361111111111109</v>
      </c>
      <c r="F1615" t="str">
        <f>IF(AND(AllData[[#This Row],[Time]]&lt;0.5, AllData[[#This Row],[Time]]&gt;0.17)=TRUE, "Morning", IF(AND(AllData[[#This Row],[Time]]&lt;0.75, AllData[[#This Row],[Time]]&gt;=0.5)=TRUE, "Afternoon", IF(AND(AllData[[#This Row],[Time]]&lt;1, AllData[[#This Row],[Time]]&gt;=0.75)=TRUE, "Evening", "Night")))</f>
        <v>Morning</v>
      </c>
      <c r="G1615" t="str">
        <f>_xlfn.XLOOKUP(AllData[[#This Row],[Location Name]], Locations[Location Name],Locations[Group As])</f>
        <v>Preston-on-Stour River Bridge</v>
      </c>
      <c r="H1615" t="e" vm="1">
        <f>_xlfn.XLOOKUP(AllData[[#This Row],[Site Name]],LocationsKey[Site Name],LocationsKey[District])</f>
        <v>#VALUE!</v>
      </c>
      <c r="I1615" t="e" vm="20">
        <f>_xlfn.XLOOKUP(AllData[[#This Row],[Site Name]],LocationsKey[Site Name],LocationsKey[Town])</f>
        <v>#VALUE!</v>
      </c>
      <c r="J1615" t="str">
        <f>_xlfn.XLOOKUP(AllData[[#This Row],[Site Name]],LocationsKey[Site Name], LocationsKey[Waterway])</f>
        <v>Stour</v>
      </c>
      <c r="K1615" t="s">
        <v>164</v>
      </c>
      <c r="L1615">
        <v>52.146261000000003</v>
      </c>
      <c r="M1615">
        <v>-1.6998660000000001</v>
      </c>
      <c r="N1615" t="s">
        <v>31</v>
      </c>
      <c r="O1615">
        <v>653</v>
      </c>
      <c r="P1615">
        <v>10.9</v>
      </c>
      <c r="Q1615">
        <v>7</v>
      </c>
      <c r="R1615" s="107" t="str">
        <f>IF(AllData[[#This Row],[Nitrate (PPM)]]&gt;2, "Very high", IF(AllData[[#This Row],[Nitrate (PPM)]]&gt;1, "High", IF(AllData[[#This Row],[Nitrate (PPM)]]&gt;0.5, "Some evidence", IF(AllData[[#This Row],[Nitrate (PPM)]]&gt;=0, "No evidence"))))</f>
        <v>Very high</v>
      </c>
      <c r="S1615" s="112">
        <v>0.16</v>
      </c>
      <c r="T1615" s="7" t="str">
        <f>IF(AllData[[#This Row],[Phosphate (PPM)]]&gt;0.5, "Very high", IF(AllData[[#This Row],[Phosphate (PPM)]]&gt;0.1, "High", IF(AllData[[#This Row],[Phosphate (PPM)]]&gt;0.05, "Some evidence", IF(AllData[[#This Row],[Phosphate (PPM)]]&lt;=0.05, "No Evidence", ""))))</f>
        <v>High</v>
      </c>
      <c r="U1615">
        <v>1.5</v>
      </c>
    </row>
    <row r="1616" spans="1:22" x14ac:dyDescent="0.35">
      <c r="A1616" t="s">
        <v>1163</v>
      </c>
      <c r="B1616" s="143">
        <v>45408</v>
      </c>
      <c r="C1616" s="2" t="str" cm="1">
        <f t="array" ref="C16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6">
        <f>YEAR(AllData[[#This Row],[Date]])</f>
        <v>2024</v>
      </c>
      <c r="E1616" s="1">
        <v>0.74722222222222223</v>
      </c>
      <c r="F1616" t="str">
        <f>IF(AND(AllData[[#This Row],[Time]]&lt;0.5, AllData[[#This Row],[Time]]&gt;0.17)=TRUE, "Morning", IF(AND(AllData[[#This Row],[Time]]&lt;0.75, AllData[[#This Row],[Time]]&gt;=0.5)=TRUE, "Afternoon", IF(AND(AllData[[#This Row],[Time]]&lt;1, AllData[[#This Row],[Time]]&gt;=0.75)=TRUE, "Evening", "Night")))</f>
        <v>Afternoon</v>
      </c>
      <c r="G1616" t="str">
        <f>_xlfn.XLOOKUP(AllData[[#This Row],[Location Name]], Locations[Location Name],Locations[Group As])</f>
        <v>Carrant Mitton Path</v>
      </c>
      <c r="H1616" t="e" vm="4">
        <f>_xlfn.XLOOKUP(AllData[[#This Row],[Site Name]],LocationsKey[Site Name],LocationsKey[District])</f>
        <v>#VALUE!</v>
      </c>
      <c r="I1616" t="e" vm="4">
        <f>_xlfn.XLOOKUP(AllData[[#This Row],[Site Name]],LocationsKey[Site Name],LocationsKey[Town])</f>
        <v>#VALUE!</v>
      </c>
      <c r="J1616" t="str">
        <f>_xlfn.XLOOKUP(AllData[[#This Row],[Site Name]],LocationsKey[Site Name], LocationsKey[Waterway])</f>
        <v>Carrant</v>
      </c>
      <c r="K1616" t="s">
        <v>1064</v>
      </c>
      <c r="N1616" t="s">
        <v>25</v>
      </c>
      <c r="O1616">
        <v>675</v>
      </c>
      <c r="P1616">
        <v>14</v>
      </c>
      <c r="Q1616">
        <v>5</v>
      </c>
      <c r="R1616" s="107" t="str">
        <f>IF(AllData[[#This Row],[Nitrate (PPM)]]&gt;2, "Very high", IF(AllData[[#This Row],[Nitrate (PPM)]]&gt;1, "High", IF(AllData[[#This Row],[Nitrate (PPM)]]&gt;0.5, "Some evidence", IF(AllData[[#This Row],[Nitrate (PPM)]]&gt;=0, "No evidence"))))</f>
        <v>Very high</v>
      </c>
      <c r="S1616" s="112">
        <v>0.27</v>
      </c>
      <c r="T1616" s="7" t="str">
        <f>IF(AllData[[#This Row],[Phosphate (PPM)]]&gt;0.5, "Very high", IF(AllData[[#This Row],[Phosphate (PPM)]]&gt;0.1, "High", IF(AllData[[#This Row],[Phosphate (PPM)]]&gt;0.05, "Some evidence", IF(AllData[[#This Row],[Phosphate (PPM)]]&lt;=0.05, "No Evidence", ""))))</f>
        <v>High</v>
      </c>
      <c r="U1616">
        <v>0</v>
      </c>
    </row>
    <row r="1617" spans="1:22" x14ac:dyDescent="0.35">
      <c r="A1617" t="s">
        <v>1164</v>
      </c>
      <c r="B1617" s="143">
        <v>45408</v>
      </c>
      <c r="C1617" s="2" t="str" cm="1">
        <f t="array" ref="C16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7">
        <f>YEAR(AllData[[#This Row],[Date]])</f>
        <v>2024</v>
      </c>
      <c r="E1617" s="1">
        <v>0.67361111111111116</v>
      </c>
      <c r="F1617" t="str">
        <f>IF(AND(AllData[[#This Row],[Time]]&lt;0.5, AllData[[#This Row],[Time]]&gt;0.17)=TRUE, "Morning", IF(AND(AllData[[#This Row],[Time]]&lt;0.75, AllData[[#This Row],[Time]]&gt;=0.5)=TRUE, "Afternoon", IF(AND(AllData[[#This Row],[Time]]&lt;1, AllData[[#This Row],[Time]]&gt;=0.75)=TRUE, "Evening", "Night")))</f>
        <v>Afternoon</v>
      </c>
      <c r="G1617" t="str">
        <f>_xlfn.XLOOKUP(AllData[[#This Row],[Location Name]], Locations[Location Name],Locations[Group As])</f>
        <v>Preston Bagot Brook</v>
      </c>
      <c r="H1617" t="e" vm="1">
        <f>_xlfn.XLOOKUP(AllData[[#This Row],[Site Name]],LocationsKey[Site Name],LocationsKey[District])</f>
        <v>#VALUE!</v>
      </c>
      <c r="I1617" t="e" vm="21">
        <f>_xlfn.XLOOKUP(AllData[[#This Row],[Site Name]],LocationsKey[Site Name],LocationsKey[Town])</f>
        <v>#VALUE!</v>
      </c>
      <c r="J1617" t="str">
        <f>_xlfn.XLOOKUP(AllData[[#This Row],[Site Name]],LocationsKey[Site Name], LocationsKey[Waterway])</f>
        <v>Preston Bagot Brook</v>
      </c>
      <c r="K1617" t="s">
        <v>621</v>
      </c>
      <c r="L1617">
        <v>52.286000000000001</v>
      </c>
      <c r="M1617">
        <v>-1.7470000000000001</v>
      </c>
      <c r="N1617" t="s">
        <v>25</v>
      </c>
      <c r="O1617">
        <v>381</v>
      </c>
      <c r="P1617">
        <v>11.4</v>
      </c>
      <c r="Q1617">
        <v>2</v>
      </c>
      <c r="R1617" s="107" t="str">
        <f>IF(AllData[[#This Row],[Nitrate (PPM)]]&gt;2, "Very high", IF(AllData[[#This Row],[Nitrate (PPM)]]&gt;1, "High", IF(AllData[[#This Row],[Nitrate (PPM)]]&gt;0.5, "Some evidence", IF(AllData[[#This Row],[Nitrate (PPM)]]&gt;=0, "No evidence"))))</f>
        <v>High</v>
      </c>
      <c r="S1617">
        <v>0.46</v>
      </c>
      <c r="T1617" s="7" t="str">
        <f>IF(AllData[[#This Row],[Phosphate (PPM)]]&gt;0.5, "Very high", IF(AllData[[#This Row],[Phosphate (PPM)]]&gt;0.1, "High", IF(AllData[[#This Row],[Phosphate (PPM)]]&gt;0.05, "Some evidence", IF(AllData[[#This Row],[Phosphate (PPM)]]&lt;=0.05, "No Evidence", ""))))</f>
        <v>High</v>
      </c>
      <c r="U1617">
        <v>1</v>
      </c>
      <c r="V1617" t="s">
        <v>970</v>
      </c>
    </row>
    <row r="1618" spans="1:22" x14ac:dyDescent="0.35">
      <c r="A1618" t="s">
        <v>1165</v>
      </c>
      <c r="B1618" s="143">
        <v>45408</v>
      </c>
      <c r="C1618" s="2" t="str" cm="1">
        <f t="array" ref="C16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8">
        <f>YEAR(AllData[[#This Row],[Date]])</f>
        <v>2024</v>
      </c>
      <c r="E1618" s="1">
        <v>0.67361111111111116</v>
      </c>
      <c r="F1618" t="str">
        <f>IF(AND(AllData[[#This Row],[Time]]&lt;0.5, AllData[[#This Row],[Time]]&gt;0.17)=TRUE, "Morning", IF(AND(AllData[[#This Row],[Time]]&lt;0.75, AllData[[#This Row],[Time]]&gt;=0.5)=TRUE, "Afternoon", IF(AND(AllData[[#This Row],[Time]]&lt;1, AllData[[#This Row],[Time]]&gt;=0.75)=TRUE, "Evening", "Night")))</f>
        <v>Afternoon</v>
      </c>
      <c r="G1618" t="str">
        <f>_xlfn.XLOOKUP(AllData[[#This Row],[Location Name]], Locations[Location Name],Locations[Group As])</f>
        <v>Preston Bagot Canal</v>
      </c>
      <c r="H1618" t="e" vm="1">
        <f>_xlfn.XLOOKUP(AllData[[#This Row],[Site Name]],LocationsKey[Site Name],LocationsKey[District])</f>
        <v>#VALUE!</v>
      </c>
      <c r="I1618" t="e" vm="21">
        <f>_xlfn.XLOOKUP(AllData[[#This Row],[Site Name]],LocationsKey[Site Name],LocationsKey[Town])</f>
        <v>#VALUE!</v>
      </c>
      <c r="J1618" t="str">
        <f>_xlfn.XLOOKUP(AllData[[#This Row],[Site Name]],LocationsKey[Site Name], LocationsKey[Waterway])</f>
        <v>Preston Bagot Canal</v>
      </c>
      <c r="K1618" t="s">
        <v>618</v>
      </c>
      <c r="L1618">
        <v>52.286999999999999</v>
      </c>
      <c r="M1618">
        <v>-1.746</v>
      </c>
      <c r="N1618" t="s">
        <v>25</v>
      </c>
      <c r="O1618">
        <v>396</v>
      </c>
      <c r="P1618">
        <v>13</v>
      </c>
      <c r="Q1618">
        <v>0</v>
      </c>
      <c r="R1618" s="107" t="str">
        <f>IF(AllData[[#This Row],[Nitrate (PPM)]]&gt;2, "Very high", IF(AllData[[#This Row],[Nitrate (PPM)]]&gt;1, "High", IF(AllData[[#This Row],[Nitrate (PPM)]]&gt;0.5, "Some evidence", IF(AllData[[#This Row],[Nitrate (PPM)]]&gt;=0, "No evidence"))))</f>
        <v>No evidence</v>
      </c>
      <c r="S1618">
        <v>0.02</v>
      </c>
      <c r="T1618" s="7" t="str">
        <f>IF(AllData[[#This Row],[Phosphate (PPM)]]&gt;0.5, "Very high", IF(AllData[[#This Row],[Phosphate (PPM)]]&gt;0.1, "High", IF(AllData[[#This Row],[Phosphate (PPM)]]&gt;0.05, "Some evidence", IF(AllData[[#This Row],[Phosphate (PPM)]]&lt;=0.05, "No Evidence", ""))))</f>
        <v>No Evidence</v>
      </c>
      <c r="U1618">
        <v>1</v>
      </c>
      <c r="V1618" t="s">
        <v>970</v>
      </c>
    </row>
    <row r="1619" spans="1:22" x14ac:dyDescent="0.35">
      <c r="A1619" t="s">
        <v>1160</v>
      </c>
      <c r="B1619" s="143">
        <v>45407</v>
      </c>
      <c r="C1619" s="2" t="str" cm="1">
        <f t="array" ref="C16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19">
        <f>YEAR(AllData[[#This Row],[Date]])</f>
        <v>2024</v>
      </c>
      <c r="E1619" s="1">
        <v>0.52083333333333337</v>
      </c>
      <c r="F1619" t="str">
        <f>IF(AND(AllData[[#This Row],[Time]]&lt;0.5, AllData[[#This Row],[Time]]&gt;0.17)=TRUE, "Morning", IF(AND(AllData[[#This Row],[Time]]&lt;0.75, AllData[[#This Row],[Time]]&gt;=0.5)=TRUE, "Afternoon", IF(AND(AllData[[#This Row],[Time]]&lt;1, AllData[[#This Row],[Time]]&gt;=0.75)=TRUE, "Evening", "Night")))</f>
        <v>Afternoon</v>
      </c>
      <c r="G1619" t="str">
        <f>_xlfn.XLOOKUP(AllData[[#This Row],[Location Name]], Locations[Location Name],Locations[Group As])</f>
        <v>Swilgate</v>
      </c>
      <c r="H1619" t="e" vm="4">
        <f>_xlfn.XLOOKUP(AllData[[#This Row],[Site Name]],LocationsKey[Site Name],LocationsKey[District])</f>
        <v>#VALUE!</v>
      </c>
      <c r="I1619" t="e" vm="4">
        <f>_xlfn.XLOOKUP(AllData[[#This Row],[Site Name]],LocationsKey[Site Name],LocationsKey[Town])</f>
        <v>#VALUE!</v>
      </c>
      <c r="J1619" t="str">
        <f>_xlfn.XLOOKUP(AllData[[#This Row],[Site Name]],LocationsKey[Site Name], LocationsKey[Waterway])</f>
        <v>Swilgate</v>
      </c>
      <c r="K1619" t="s">
        <v>85</v>
      </c>
      <c r="N1619" t="s">
        <v>25</v>
      </c>
      <c r="O1619">
        <v>954</v>
      </c>
      <c r="P1619">
        <v>10.6</v>
      </c>
      <c r="Q1619">
        <v>5</v>
      </c>
      <c r="R1619" s="107" t="str">
        <f>IF(AllData[[#This Row],[Nitrate (PPM)]]&gt;2, "Very high", IF(AllData[[#This Row],[Nitrate (PPM)]]&gt;1, "High", IF(AllData[[#This Row],[Nitrate (PPM)]]&gt;0.5, "Some evidence", IF(AllData[[#This Row],[Nitrate (PPM)]]&gt;=0, "No evidence"))))</f>
        <v>Very high</v>
      </c>
      <c r="S1619" s="112">
        <v>0.38</v>
      </c>
      <c r="T1619" s="7" t="str">
        <f>IF(AllData[[#This Row],[Phosphate (PPM)]]&gt;0.5, "Very high", IF(AllData[[#This Row],[Phosphate (PPM)]]&gt;0.1, "High", IF(AllData[[#This Row],[Phosphate (PPM)]]&gt;0.05, "Some evidence", IF(AllData[[#This Row],[Phosphate (PPM)]]&lt;=0.05, "No Evidence", ""))))</f>
        <v>High</v>
      </c>
      <c r="U1619">
        <v>0</v>
      </c>
    </row>
    <row r="1620" spans="1:22" x14ac:dyDescent="0.35">
      <c r="A1620" t="s">
        <v>1159</v>
      </c>
      <c r="B1620" s="143">
        <v>45407</v>
      </c>
      <c r="C1620" s="2" t="str" cm="1">
        <f t="array" ref="C16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0">
        <f>YEAR(AllData[[#This Row],[Date]])</f>
        <v>2024</v>
      </c>
      <c r="E1620" s="1">
        <v>0.4375</v>
      </c>
      <c r="F1620" t="str">
        <f>IF(AND(AllData[[#This Row],[Time]]&lt;0.5, AllData[[#This Row],[Time]]&gt;0.17)=TRUE, "Morning", IF(AND(AllData[[#This Row],[Time]]&lt;0.75, AllData[[#This Row],[Time]]&gt;=0.5)=TRUE, "Afternoon", IF(AND(AllData[[#This Row],[Time]]&lt;1, AllData[[#This Row],[Time]]&gt;=0.75)=TRUE, "Evening", "Night")))</f>
        <v>Morning</v>
      </c>
      <c r="G1620" t="str">
        <f>_xlfn.XLOOKUP(AllData[[#This Row],[Location Name]], Locations[Location Name],Locations[Group As])</f>
        <v>Stour Willington</v>
      </c>
      <c r="H1620" t="e" vm="1">
        <f>_xlfn.XLOOKUP(AllData[[#This Row],[Site Name]],LocationsKey[Site Name],LocationsKey[District])</f>
        <v>#VALUE!</v>
      </c>
      <c r="I1620" t="str">
        <f>_xlfn.XLOOKUP(AllData[[#This Row],[Site Name]],LocationsKey[Site Name],LocationsKey[Town])</f>
        <v>Willington</v>
      </c>
      <c r="J1620" t="str">
        <f>_xlfn.XLOOKUP(AllData[[#This Row],[Site Name]],LocationsKey[Site Name], LocationsKey[Waterway])</f>
        <v>Stour</v>
      </c>
      <c r="K1620" t="s">
        <v>521</v>
      </c>
      <c r="L1620">
        <v>52.053561000000002</v>
      </c>
      <c r="M1620">
        <v>-1.620147</v>
      </c>
      <c r="N1620" t="s">
        <v>25</v>
      </c>
      <c r="O1620">
        <v>611</v>
      </c>
      <c r="P1620">
        <v>10.1</v>
      </c>
      <c r="Q1620">
        <v>5</v>
      </c>
      <c r="R1620" s="107" t="str">
        <f>IF(AllData[[#This Row],[Nitrate (PPM)]]&gt;2, "Very high", IF(AllData[[#This Row],[Nitrate (PPM)]]&gt;1, "High", IF(AllData[[#This Row],[Nitrate (PPM)]]&gt;0.5, "Some evidence", IF(AllData[[#This Row],[Nitrate (PPM)]]&gt;=0, "No evidence"))))</f>
        <v>Very high</v>
      </c>
      <c r="S1620" s="112">
        <v>0.13</v>
      </c>
      <c r="T1620" s="7" t="str">
        <f>IF(AllData[[#This Row],[Phosphate (PPM)]]&gt;0.5, "Very high", IF(AllData[[#This Row],[Phosphate (PPM)]]&gt;0.1, "High", IF(AllData[[#This Row],[Phosphate (PPM)]]&gt;0.05, "Some evidence", IF(AllData[[#This Row],[Phosphate (PPM)]]&lt;=0.05, "No Evidence", ""))))</f>
        <v>High</v>
      </c>
      <c r="U1620">
        <v>0.5</v>
      </c>
    </row>
    <row r="1621" spans="1:22" x14ac:dyDescent="0.35">
      <c r="A1621" t="s">
        <v>1158</v>
      </c>
      <c r="B1621" s="143">
        <v>45406</v>
      </c>
      <c r="C1621" s="2" t="str" cm="1">
        <f t="array" ref="C16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1">
        <f>YEAR(AllData[[#This Row],[Date]])</f>
        <v>2024</v>
      </c>
      <c r="E1621" s="1">
        <v>0.625</v>
      </c>
      <c r="F1621" t="str">
        <f>IF(AND(AllData[[#This Row],[Time]]&lt;0.5, AllData[[#This Row],[Time]]&gt;0.17)=TRUE, "Morning", IF(AND(AllData[[#This Row],[Time]]&lt;0.75, AllData[[#This Row],[Time]]&gt;=0.5)=TRUE, "Afternoon", IF(AND(AllData[[#This Row],[Time]]&lt;1, AllData[[#This Row],[Time]]&gt;=0.75)=TRUE, "Evening", "Night")))</f>
        <v>Afternoon</v>
      </c>
      <c r="G1621" t="str">
        <f>_xlfn.XLOOKUP(AllData[[#This Row],[Location Name]], Locations[Location Name],Locations[Group As])</f>
        <v>Stour Newbold Mill</v>
      </c>
      <c r="H1621" t="e" vm="1">
        <f>_xlfn.XLOOKUP(AllData[[#This Row],[Site Name]],LocationsKey[Site Name],LocationsKey[District])</f>
        <v>#VALUE!</v>
      </c>
      <c r="I1621" t="e" vm="27">
        <f>_xlfn.XLOOKUP(AllData[[#This Row],[Site Name]],LocationsKey[Site Name],LocationsKey[Town])</f>
        <v>#VALUE!</v>
      </c>
      <c r="J1621" t="str">
        <f>_xlfn.XLOOKUP(AllData[[#This Row],[Site Name]],LocationsKey[Site Name], LocationsKey[Waterway])</f>
        <v>Stour</v>
      </c>
      <c r="K1621" t="s">
        <v>141</v>
      </c>
      <c r="N1621" t="s">
        <v>31</v>
      </c>
      <c r="O1621">
        <v>592</v>
      </c>
      <c r="P1621">
        <v>13.9</v>
      </c>
      <c r="Q1621">
        <v>2</v>
      </c>
      <c r="R1621" s="107" t="str">
        <f>IF(AllData[[#This Row],[Nitrate (PPM)]]&gt;2, "Very high", IF(AllData[[#This Row],[Nitrate (PPM)]]&gt;1, "High", IF(AllData[[#This Row],[Nitrate (PPM)]]&gt;0.5, "Some evidence", IF(AllData[[#This Row],[Nitrate (PPM)]]&gt;=0, "No evidence"))))</f>
        <v>High</v>
      </c>
      <c r="S1621" s="4">
        <v>0.28999999999999998</v>
      </c>
      <c r="T1621" s="7" t="str">
        <f>IF(AllData[[#This Row],[Phosphate (PPM)]]&gt;0.5, "Very high", IF(AllData[[#This Row],[Phosphate (PPM)]]&gt;0.1, "High", IF(AllData[[#This Row],[Phosphate (PPM)]]&gt;0.05, "Some evidence", IF(AllData[[#This Row],[Phosphate (PPM)]]&lt;=0.05, "No Evidence", ""))))</f>
        <v>High</v>
      </c>
      <c r="U1621">
        <v>2.5</v>
      </c>
      <c r="V1621" t="s">
        <v>533</v>
      </c>
    </row>
    <row r="1622" spans="1:22" x14ac:dyDescent="0.35">
      <c r="A1622" t="s">
        <v>1156</v>
      </c>
      <c r="B1622" s="143">
        <v>45405</v>
      </c>
      <c r="C1622" s="2" t="str" cm="1">
        <f t="array" ref="C16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2">
        <f>YEAR(AllData[[#This Row],[Date]])</f>
        <v>2024</v>
      </c>
      <c r="E1622" s="1">
        <v>0.61527777777777781</v>
      </c>
      <c r="F1622" t="str">
        <f>IF(AND(AllData[[#This Row],[Time]]&lt;0.5, AllData[[#This Row],[Time]]&gt;0.17)=TRUE, "Morning", IF(AND(AllData[[#This Row],[Time]]&lt;0.75, AllData[[#This Row],[Time]]&gt;=0.5)=TRUE, "Afternoon", IF(AND(AllData[[#This Row],[Time]]&lt;1, AllData[[#This Row],[Time]]&gt;=0.75)=TRUE, "Evening", "Night")))</f>
        <v>Afternoon</v>
      </c>
      <c r="G1622" t="str">
        <f>_xlfn.XLOOKUP(AllData[[#This Row],[Location Name]], Locations[Location Name],Locations[Group As])</f>
        <v>Abbey Mill</v>
      </c>
      <c r="H1622" t="e" vm="4">
        <f>_xlfn.XLOOKUP(AllData[[#This Row],[Site Name]],LocationsKey[Site Name],LocationsKey[District])</f>
        <v>#VALUE!</v>
      </c>
      <c r="I1622" t="e" vm="4">
        <f>_xlfn.XLOOKUP(AllData[[#This Row],[Site Name]],LocationsKey[Site Name],LocationsKey[Town])</f>
        <v>#VALUE!</v>
      </c>
      <c r="J1622" t="str">
        <f>_xlfn.XLOOKUP(AllData[[#This Row],[Site Name]],LocationsKey[Site Name], LocationsKey[Waterway])</f>
        <v>Avon</v>
      </c>
      <c r="K1622" t="s">
        <v>27</v>
      </c>
      <c r="L1622">
        <v>51.991256999999997</v>
      </c>
      <c r="M1622">
        <v>-2.1625000000000001</v>
      </c>
      <c r="N1622" t="s">
        <v>25</v>
      </c>
      <c r="O1622">
        <v>882</v>
      </c>
      <c r="P1622">
        <v>13.7</v>
      </c>
      <c r="Q1622">
        <v>7</v>
      </c>
      <c r="R1622" s="107" t="str">
        <f>IF(AllData[[#This Row],[Nitrate (PPM)]]&gt;2, "Very high", IF(AllData[[#This Row],[Nitrate (PPM)]]&gt;1, "High", IF(AllData[[#This Row],[Nitrate (PPM)]]&gt;0.5, "Some evidence", IF(AllData[[#This Row],[Nitrate (PPM)]]&gt;=0, "No evidence"))))</f>
        <v>Very high</v>
      </c>
      <c r="S1622" s="112">
        <v>0.6</v>
      </c>
      <c r="T1622" s="7" t="str">
        <f>IF(AllData[[#This Row],[Phosphate (PPM)]]&gt;0.5, "Very high", IF(AllData[[#This Row],[Phosphate (PPM)]]&gt;0.1, "High", IF(AllData[[#This Row],[Phosphate (PPM)]]&gt;0.05, "Some evidence", IF(AllData[[#This Row],[Phosphate (PPM)]]&lt;=0.05, "No Evidence", ""))))</f>
        <v>Very high</v>
      </c>
      <c r="U1622">
        <v>0.6</v>
      </c>
      <c r="V1622" t="s">
        <v>1157</v>
      </c>
    </row>
    <row r="1623" spans="1:22" x14ac:dyDescent="0.35">
      <c r="A1623" t="s">
        <v>1155</v>
      </c>
      <c r="B1623" s="143">
        <v>45405</v>
      </c>
      <c r="C1623" s="2" t="str" cm="1">
        <f t="array" ref="C16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3">
        <f>YEAR(AllData[[#This Row],[Date]])</f>
        <v>2024</v>
      </c>
      <c r="E1623" s="1">
        <v>0.45694444444444443</v>
      </c>
      <c r="F1623" t="str">
        <f>IF(AND(AllData[[#This Row],[Time]]&lt;0.5, AllData[[#This Row],[Time]]&gt;0.17)=TRUE, "Morning", IF(AND(AllData[[#This Row],[Time]]&lt;0.75, AllData[[#This Row],[Time]]&gt;=0.5)=TRUE, "Afternoon", IF(AND(AllData[[#This Row],[Time]]&lt;1, AllData[[#This Row],[Time]]&gt;=0.75)=TRUE, "Evening", "Night")))</f>
        <v>Morning</v>
      </c>
      <c r="G1623" t="str">
        <f>_xlfn.XLOOKUP(AllData[[#This Row],[Location Name]], Locations[Location Name],Locations[Group As])</f>
        <v>Carrant M5 Bridge</v>
      </c>
      <c r="H1623" t="e" vm="4">
        <f>_xlfn.XLOOKUP(AllData[[#This Row],[Site Name]],LocationsKey[Site Name],LocationsKey[District])</f>
        <v>#VALUE!</v>
      </c>
      <c r="I1623" t="e" vm="4">
        <f>_xlfn.XLOOKUP(AllData[[#This Row],[Site Name]],LocationsKey[Site Name],LocationsKey[Town])</f>
        <v>#VALUE!</v>
      </c>
      <c r="J1623" t="str">
        <f>_xlfn.XLOOKUP(AllData[[#This Row],[Site Name]],LocationsKey[Site Name], LocationsKey[Waterway])</f>
        <v>Carrant</v>
      </c>
      <c r="K1623" t="s">
        <v>1144</v>
      </c>
      <c r="L1623">
        <v>52.011870000000002</v>
      </c>
      <c r="M1623">
        <v>-2.120187</v>
      </c>
      <c r="N1623" t="s">
        <v>25</v>
      </c>
      <c r="O1623">
        <v>771</v>
      </c>
      <c r="P1623">
        <v>11.1</v>
      </c>
      <c r="Q1623">
        <v>5</v>
      </c>
      <c r="R1623" s="107" t="str">
        <f>IF(AllData[[#This Row],[Nitrate (PPM)]]&gt;2, "Very high", IF(AllData[[#This Row],[Nitrate (PPM)]]&gt;1, "High", IF(AllData[[#This Row],[Nitrate (PPM)]]&gt;0.5, "Some evidence", IF(AllData[[#This Row],[Nitrate (PPM)]]&gt;=0, "No evidence"))))</f>
        <v>Very high</v>
      </c>
      <c r="S1623" s="112">
        <v>0.4</v>
      </c>
      <c r="T1623" s="7" t="str">
        <f>IF(AllData[[#This Row],[Phosphate (PPM)]]&gt;0.5, "Very high", IF(AllData[[#This Row],[Phosphate (PPM)]]&gt;0.1, "High", IF(AllData[[#This Row],[Phosphate (PPM)]]&gt;0.05, "Some evidence", IF(AllData[[#This Row],[Phosphate (PPM)]]&lt;=0.05, "No Evidence", ""))))</f>
        <v>High</v>
      </c>
      <c r="U1623">
        <v>0</v>
      </c>
    </row>
    <row r="1624" spans="1:22" x14ac:dyDescent="0.35">
      <c r="A1624" t="s">
        <v>1152</v>
      </c>
      <c r="B1624" s="143">
        <v>45404</v>
      </c>
      <c r="C1624" s="2" t="str" cm="1">
        <f t="array" ref="C16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4">
        <f>YEAR(AllData[[#This Row],[Date]])</f>
        <v>2024</v>
      </c>
      <c r="E1624" s="1">
        <v>0.61805555555555558</v>
      </c>
      <c r="F1624" t="str">
        <f>IF(AND(AllData[[#This Row],[Time]]&lt;0.5, AllData[[#This Row],[Time]]&gt;0.17)=TRUE, "Morning", IF(AND(AllData[[#This Row],[Time]]&lt;0.75, AllData[[#This Row],[Time]]&gt;=0.5)=TRUE, "Afternoon", IF(AND(AllData[[#This Row],[Time]]&lt;1, AllData[[#This Row],[Time]]&gt;=0.75)=TRUE, "Evening", "Night")))</f>
        <v>Afternoon</v>
      </c>
      <c r="G1624" t="str">
        <f>_xlfn.XLOOKUP(AllData[[#This Row],[Location Name]], Locations[Location Name],Locations[Group As])</f>
        <v>Alveston Weir</v>
      </c>
      <c r="H1624" t="e" vm="1">
        <f>_xlfn.XLOOKUP(AllData[[#This Row],[Site Name]],LocationsKey[Site Name],LocationsKey[District])</f>
        <v>#VALUE!</v>
      </c>
      <c r="I1624" t="e" vm="2">
        <f>_xlfn.XLOOKUP(AllData[[#This Row],[Site Name]],LocationsKey[Site Name],LocationsKey[Town])</f>
        <v>#VALUE!</v>
      </c>
      <c r="J1624" t="str">
        <f>_xlfn.XLOOKUP(AllData[[#This Row],[Site Name]],LocationsKey[Site Name], LocationsKey[Waterway])</f>
        <v>Avon</v>
      </c>
      <c r="K1624" t="s">
        <v>288</v>
      </c>
      <c r="L1624">
        <v>52.214260000000003</v>
      </c>
      <c r="M1624">
        <v>-1.660045</v>
      </c>
      <c r="N1624" t="s">
        <v>31</v>
      </c>
      <c r="O1624">
        <v>689</v>
      </c>
      <c r="P1624">
        <v>12</v>
      </c>
      <c r="Q1624">
        <v>10</v>
      </c>
      <c r="R1624" s="107" t="str">
        <f>IF(AllData[[#This Row],[Nitrate (PPM)]]&gt;2, "Very high", IF(AllData[[#This Row],[Nitrate (PPM)]]&gt;1, "High", IF(AllData[[#This Row],[Nitrate (PPM)]]&gt;0.5, "Some evidence", IF(AllData[[#This Row],[Nitrate (PPM)]]&gt;=0, "No evidence"))))</f>
        <v>Very high</v>
      </c>
      <c r="S1624" s="112">
        <v>0.17</v>
      </c>
      <c r="T1624" s="7" t="str">
        <f>IF(AllData[[#This Row],[Phosphate (PPM)]]&gt;0.5, "Very high", IF(AllData[[#This Row],[Phosphate (PPM)]]&gt;0.1, "High", IF(AllData[[#This Row],[Phosphate (PPM)]]&gt;0.05, "Some evidence", IF(AllData[[#This Row],[Phosphate (PPM)]]&lt;=0.05, "No Evidence", ""))))</f>
        <v>High</v>
      </c>
      <c r="U1624">
        <v>0</v>
      </c>
    </row>
    <row r="1625" spans="1:22" x14ac:dyDescent="0.35">
      <c r="A1625" t="s">
        <v>1153</v>
      </c>
      <c r="B1625" s="143">
        <v>45404</v>
      </c>
      <c r="C1625" s="2" t="str" cm="1">
        <f t="array" ref="C16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5">
        <f>YEAR(AllData[[#This Row],[Date]])</f>
        <v>2024</v>
      </c>
      <c r="E1625" s="1">
        <v>0.62152777777777779</v>
      </c>
      <c r="F1625" t="str">
        <f>IF(AND(AllData[[#This Row],[Time]]&lt;0.5, AllData[[#This Row],[Time]]&gt;0.17)=TRUE, "Morning", IF(AND(AllData[[#This Row],[Time]]&lt;0.75, AllData[[#This Row],[Time]]&gt;=0.5)=TRUE, "Afternoon", IF(AND(AllData[[#This Row],[Time]]&lt;1, AllData[[#This Row],[Time]]&gt;=0.75)=TRUE, "Evening", "Night")))</f>
        <v>Afternoon</v>
      </c>
      <c r="G1625" t="str">
        <f>_xlfn.XLOOKUP(AllData[[#This Row],[Location Name]], Locations[Location Name],Locations[Group As])</f>
        <v>Swiffen Bank</v>
      </c>
      <c r="H1625" t="e" vm="1">
        <f>_xlfn.XLOOKUP(AllData[[#This Row],[Site Name]],LocationsKey[Site Name],LocationsKey[District])</f>
        <v>#VALUE!</v>
      </c>
      <c r="I1625" t="e" vm="2">
        <f>_xlfn.XLOOKUP(AllData[[#This Row],[Site Name]],LocationsKey[Site Name],LocationsKey[Town])</f>
        <v>#VALUE!</v>
      </c>
      <c r="J1625" t="str">
        <f>_xlfn.XLOOKUP(AllData[[#This Row],[Site Name]],LocationsKey[Site Name], LocationsKey[Waterway])</f>
        <v>Avon</v>
      </c>
      <c r="K1625" t="s">
        <v>286</v>
      </c>
      <c r="L1625">
        <v>52.206477999999997</v>
      </c>
      <c r="M1625">
        <v>-1.653894</v>
      </c>
      <c r="N1625" t="s">
        <v>31</v>
      </c>
      <c r="O1625">
        <v>685</v>
      </c>
      <c r="P1625">
        <v>12</v>
      </c>
      <c r="Q1625">
        <v>10</v>
      </c>
      <c r="R1625" s="107" t="str">
        <f>IF(AllData[[#This Row],[Nitrate (PPM)]]&gt;2, "Very high", IF(AllData[[#This Row],[Nitrate (PPM)]]&gt;1, "High", IF(AllData[[#This Row],[Nitrate (PPM)]]&gt;0.5, "Some evidence", IF(AllData[[#This Row],[Nitrate (PPM)]]&gt;=0, "No evidence"))))</f>
        <v>Very high</v>
      </c>
      <c r="S1625" s="112">
        <v>0.35</v>
      </c>
      <c r="T1625" s="7" t="str">
        <f>IF(AllData[[#This Row],[Phosphate (PPM)]]&gt;0.5, "Very high", IF(AllData[[#This Row],[Phosphate (PPM)]]&gt;0.1, "High", IF(AllData[[#This Row],[Phosphate (PPM)]]&gt;0.05, "Some evidence", IF(AllData[[#This Row],[Phosphate (PPM)]]&lt;=0.05, "No Evidence", ""))))</f>
        <v>High</v>
      </c>
      <c r="U1625">
        <v>0</v>
      </c>
      <c r="V1625" t="s">
        <v>1154</v>
      </c>
    </row>
    <row r="1626" spans="1:22" x14ac:dyDescent="0.35">
      <c r="A1626" t="s">
        <v>1150</v>
      </c>
      <c r="B1626" s="143">
        <v>45404</v>
      </c>
      <c r="C1626" s="2" t="str" cm="1">
        <f t="array" ref="C16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6">
        <f>YEAR(AllData[[#This Row],[Date]])</f>
        <v>2024</v>
      </c>
      <c r="E1626" s="1">
        <v>0.375</v>
      </c>
      <c r="F1626" t="str">
        <f>IF(AND(AllData[[#This Row],[Time]]&lt;0.5, AllData[[#This Row],[Time]]&gt;0.17)=TRUE, "Morning", IF(AND(AllData[[#This Row],[Time]]&lt;0.75, AllData[[#This Row],[Time]]&gt;=0.5)=TRUE, "Afternoon", IF(AND(AllData[[#This Row],[Time]]&lt;1, AllData[[#This Row],[Time]]&gt;=0.75)=TRUE, "Evening", "Night")))</f>
        <v>Morning</v>
      </c>
      <c r="G1626" t="str">
        <f>_xlfn.XLOOKUP(AllData[[#This Row],[Location Name]], Locations[Location Name],Locations[Group As])</f>
        <v>Stour Stretton-on-Fosse Sewage Works</v>
      </c>
      <c r="H1626" t="e" vm="1">
        <f>_xlfn.XLOOKUP(AllData[[#This Row],[Site Name]],LocationsKey[Site Name],LocationsKey[District])</f>
        <v>#VALUE!</v>
      </c>
      <c r="I1626" t="e" vm="30">
        <f>_xlfn.XLOOKUP(AllData[[#This Row],[Site Name]],LocationsKey[Site Name],LocationsKey[Town])</f>
        <v>#VALUE!</v>
      </c>
      <c r="J1626" t="str">
        <f>_xlfn.XLOOKUP(AllData[[#This Row],[Site Name]],LocationsKey[Site Name], LocationsKey[Waterway])</f>
        <v>Stour</v>
      </c>
      <c r="K1626" t="s">
        <v>337</v>
      </c>
      <c r="L1626">
        <v>52.045648999999997</v>
      </c>
      <c r="M1626">
        <v>-1.671883</v>
      </c>
      <c r="N1626" t="s">
        <v>31</v>
      </c>
      <c r="O1626">
        <v>798</v>
      </c>
      <c r="P1626">
        <v>8.1999999999999993</v>
      </c>
      <c r="Q1626">
        <v>2</v>
      </c>
      <c r="R1626" s="107" t="str">
        <f>IF(AllData[[#This Row],[Nitrate (PPM)]]&gt;2, "Very high", IF(AllData[[#This Row],[Nitrate (PPM)]]&gt;1, "High", IF(AllData[[#This Row],[Nitrate (PPM)]]&gt;0.5, "Some evidence", IF(AllData[[#This Row],[Nitrate (PPM)]]&gt;=0, "No evidence"))))</f>
        <v>High</v>
      </c>
      <c r="S1626" s="112">
        <v>2.5</v>
      </c>
      <c r="T1626" s="7" t="str">
        <f>IF(AllData[[#This Row],[Phosphate (PPM)]]&gt;0.5, "Very high", IF(AllData[[#This Row],[Phosphate (PPM)]]&gt;0.1, "High", IF(AllData[[#This Row],[Phosphate (PPM)]]&gt;0.05, "Some evidence", IF(AllData[[#This Row],[Phosphate (PPM)]]&lt;=0.05, "No Evidence", ""))))</f>
        <v>Very high</v>
      </c>
      <c r="U1626">
        <v>0.25</v>
      </c>
      <c r="V1626" t="s">
        <v>1151</v>
      </c>
    </row>
    <row r="1627" spans="1:22" x14ac:dyDescent="0.35">
      <c r="A1627" t="s">
        <v>1149</v>
      </c>
      <c r="B1627" s="143">
        <v>45404</v>
      </c>
      <c r="C1627" s="2" t="str" cm="1">
        <f t="array" ref="C16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7">
        <f>YEAR(AllData[[#This Row],[Date]])</f>
        <v>2024</v>
      </c>
      <c r="E1627" s="1">
        <v>0.36875000000000002</v>
      </c>
      <c r="F1627" t="str">
        <f>IF(AND(AllData[[#This Row],[Time]]&lt;0.5, AllData[[#This Row],[Time]]&gt;0.17)=TRUE, "Morning", IF(AND(AllData[[#This Row],[Time]]&lt;0.75, AllData[[#This Row],[Time]]&gt;=0.5)=TRUE, "Afternoon", IF(AND(AllData[[#This Row],[Time]]&lt;1, AllData[[#This Row],[Time]]&gt;=0.75)=TRUE, "Evening", "Night")))</f>
        <v>Morning</v>
      </c>
      <c r="G1627" t="str">
        <f>_xlfn.XLOOKUP(AllData[[#This Row],[Location Name]], Locations[Location Name],Locations[Group As])</f>
        <v>Stour Stretton-on-Fosse Village</v>
      </c>
      <c r="H1627" t="e" vm="1">
        <f>_xlfn.XLOOKUP(AllData[[#This Row],[Site Name]],LocationsKey[Site Name],LocationsKey[District])</f>
        <v>#VALUE!</v>
      </c>
      <c r="I1627" t="e" vm="30">
        <f>_xlfn.XLOOKUP(AllData[[#This Row],[Site Name]],LocationsKey[Site Name],LocationsKey[Town])</f>
        <v>#VALUE!</v>
      </c>
      <c r="J1627" t="str">
        <f>_xlfn.XLOOKUP(AllData[[#This Row],[Site Name]],LocationsKey[Site Name], LocationsKey[Waterway])</f>
        <v>Stour</v>
      </c>
      <c r="K1627" t="s">
        <v>548</v>
      </c>
      <c r="L1627">
        <v>52.046478</v>
      </c>
      <c r="M1627">
        <v>-1.67333</v>
      </c>
      <c r="N1627" t="s">
        <v>68</v>
      </c>
      <c r="O1627">
        <v>732</v>
      </c>
      <c r="P1627">
        <v>8.6</v>
      </c>
      <c r="Q1627">
        <v>2</v>
      </c>
      <c r="R1627" s="107" t="str">
        <f>IF(AllData[[#This Row],[Nitrate (PPM)]]&gt;2, "Very high", IF(AllData[[#This Row],[Nitrate (PPM)]]&gt;1, "High", IF(AllData[[#This Row],[Nitrate (PPM)]]&gt;0.5, "Some evidence", IF(AllData[[#This Row],[Nitrate (PPM)]]&gt;=0, "No evidence"))))</f>
        <v>High</v>
      </c>
      <c r="S1627" s="112">
        <v>2.5</v>
      </c>
      <c r="T1627" s="7" t="str">
        <f>IF(AllData[[#This Row],[Phosphate (PPM)]]&gt;0.5, "Very high", IF(AllData[[#This Row],[Phosphate (PPM)]]&gt;0.1, "High", IF(AllData[[#This Row],[Phosphate (PPM)]]&gt;0.05, "Some evidence", IF(AllData[[#This Row],[Phosphate (PPM)]]&lt;=0.05, "No Evidence", ""))))</f>
        <v>Very high</v>
      </c>
      <c r="U1627">
        <v>0.2</v>
      </c>
    </row>
    <row r="1628" spans="1:22" x14ac:dyDescent="0.35">
      <c r="A1628" t="s">
        <v>1147</v>
      </c>
      <c r="B1628" s="143">
        <v>45403</v>
      </c>
      <c r="C1628" s="2" t="str" cm="1">
        <f t="array" ref="C16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8">
        <f>YEAR(AllData[[#This Row],[Date]])</f>
        <v>2024</v>
      </c>
      <c r="E1628" s="1">
        <v>0.68125000000000002</v>
      </c>
      <c r="F1628" t="str">
        <f>IF(AND(AllData[[#This Row],[Time]]&lt;0.5, AllData[[#This Row],[Time]]&gt;0.17)=TRUE, "Morning", IF(AND(AllData[[#This Row],[Time]]&lt;0.75, AllData[[#This Row],[Time]]&gt;=0.5)=TRUE, "Afternoon", IF(AND(AllData[[#This Row],[Time]]&lt;1, AllData[[#This Row],[Time]]&gt;=0.75)=TRUE, "Evening", "Night")))</f>
        <v>Afternoon</v>
      </c>
      <c r="G1628" t="str">
        <f>_xlfn.XLOOKUP(AllData[[#This Row],[Location Name]], Locations[Location Name],Locations[Group As])</f>
        <v>Black Bear</v>
      </c>
      <c r="H1628" t="e" vm="4">
        <f>_xlfn.XLOOKUP(AllData[[#This Row],[Site Name]],LocationsKey[Site Name],LocationsKey[District])</f>
        <v>#VALUE!</v>
      </c>
      <c r="I1628" t="e" vm="4">
        <f>_xlfn.XLOOKUP(AllData[[#This Row],[Site Name]],LocationsKey[Site Name],LocationsKey[Town])</f>
        <v>#VALUE!</v>
      </c>
      <c r="J1628" t="str">
        <f>_xlfn.XLOOKUP(AllData[[#This Row],[Site Name]],LocationsKey[Site Name], LocationsKey[Waterway])</f>
        <v>Avon</v>
      </c>
      <c r="K1628" t="s">
        <v>572</v>
      </c>
      <c r="N1628" t="s">
        <v>25</v>
      </c>
      <c r="O1628">
        <v>790</v>
      </c>
      <c r="P1628">
        <v>15.4</v>
      </c>
      <c r="Q1628">
        <v>10</v>
      </c>
      <c r="R1628" s="107" t="str">
        <f>IF(AllData[[#This Row],[Nitrate (PPM)]]&gt;2, "Very high", IF(AllData[[#This Row],[Nitrate (PPM)]]&gt;1, "High", IF(AllData[[#This Row],[Nitrate (PPM)]]&gt;0.5, "Some evidence", IF(AllData[[#This Row],[Nitrate (PPM)]]&gt;=0, "No evidence"))))</f>
        <v>Very high</v>
      </c>
      <c r="S1628" s="112">
        <v>0.45</v>
      </c>
      <c r="T1628" s="7" t="str">
        <f>IF(AllData[[#This Row],[Phosphate (PPM)]]&gt;0.5, "Very high", IF(AllData[[#This Row],[Phosphate (PPM)]]&gt;0.1, "High", IF(AllData[[#This Row],[Phosphate (PPM)]]&gt;0.05, "Some evidence", IF(AllData[[#This Row],[Phosphate (PPM)]]&lt;=0.05, "No Evidence", ""))))</f>
        <v>High</v>
      </c>
      <c r="U1628">
        <v>0</v>
      </c>
    </row>
    <row r="1629" spans="1:22" x14ac:dyDescent="0.35">
      <c r="A1629" t="s">
        <v>1140</v>
      </c>
      <c r="B1629" s="143">
        <v>45403</v>
      </c>
      <c r="C1629" s="2" t="str" cm="1">
        <f t="array" ref="C16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29">
        <f>YEAR(AllData[[#This Row],[Date]])</f>
        <v>2024</v>
      </c>
      <c r="E1629" s="1">
        <v>0.47222222222222221</v>
      </c>
      <c r="F1629" t="str">
        <f>IF(AND(AllData[[#This Row],[Time]]&lt;0.5, AllData[[#This Row],[Time]]&gt;0.17)=TRUE, "Morning", IF(AND(AllData[[#This Row],[Time]]&lt;0.75, AllData[[#This Row],[Time]]&gt;=0.5)=TRUE, "Afternoon", IF(AND(AllData[[#This Row],[Time]]&lt;1, AllData[[#This Row],[Time]]&gt;=0.75)=TRUE, "Evening", "Night")))</f>
        <v>Morning</v>
      </c>
      <c r="G1629" t="str">
        <f>_xlfn.XLOOKUP(AllData[[#This Row],[Location Name]], Locations[Location Name],Locations[Group As])</f>
        <v>Lucy's Mill Bridge</v>
      </c>
      <c r="H1629" t="e" vm="1">
        <f>_xlfn.XLOOKUP(AllData[[#This Row],[Site Name]],LocationsKey[Site Name],LocationsKey[District])</f>
        <v>#VALUE!</v>
      </c>
      <c r="I1629" t="e" vm="12">
        <f>_xlfn.XLOOKUP(AllData[[#This Row],[Site Name]],LocationsKey[Site Name],LocationsKey[Town])</f>
        <v>#VALUE!</v>
      </c>
      <c r="J1629" t="str">
        <f>_xlfn.XLOOKUP(AllData[[#This Row],[Site Name]],LocationsKey[Site Name], LocationsKey[Waterway])</f>
        <v>Avon</v>
      </c>
      <c r="K1629" t="s">
        <v>212</v>
      </c>
      <c r="L1629">
        <v>52.183698999999997</v>
      </c>
      <c r="M1629">
        <v>-1.707816</v>
      </c>
      <c r="N1629" t="s">
        <v>31</v>
      </c>
      <c r="P1629">
        <v>13</v>
      </c>
      <c r="Q1629">
        <v>10</v>
      </c>
      <c r="R1629" s="107" t="str">
        <f>IF(AllData[[#This Row],[Nitrate (PPM)]]&gt;2, "Very high", IF(AllData[[#This Row],[Nitrate (PPM)]]&gt;1, "High", IF(AllData[[#This Row],[Nitrate (PPM)]]&gt;0.5, "Some evidence", IF(AllData[[#This Row],[Nitrate (PPM)]]&gt;=0, "No evidence"))))</f>
        <v>Very high</v>
      </c>
      <c r="S1629" s="4">
        <v>0.26</v>
      </c>
      <c r="T1629" s="7" t="str">
        <f>IF(AllData[[#This Row],[Phosphate (PPM)]]&gt;0.5, "Very high", IF(AllData[[#This Row],[Phosphate (PPM)]]&gt;0.1, "High", IF(AllData[[#This Row],[Phosphate (PPM)]]&gt;0.05, "Some evidence", IF(AllData[[#This Row],[Phosphate (PPM)]]&lt;=0.05, "No Evidence", ""))))</f>
        <v>High</v>
      </c>
      <c r="U1629">
        <v>0.7</v>
      </c>
    </row>
    <row r="1630" spans="1:22" x14ac:dyDescent="0.35">
      <c r="A1630" t="s">
        <v>1142</v>
      </c>
      <c r="B1630" s="143">
        <v>45403</v>
      </c>
      <c r="C1630" s="2" t="str" cm="1">
        <f t="array" ref="C16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0">
        <f>YEAR(AllData[[#This Row],[Date]])</f>
        <v>2024</v>
      </c>
      <c r="E1630" s="1">
        <v>0.58472222222222225</v>
      </c>
      <c r="F1630" t="str">
        <f>IF(AND(AllData[[#This Row],[Time]]&lt;0.5, AllData[[#This Row],[Time]]&gt;0.17)=TRUE, "Morning", IF(AND(AllData[[#This Row],[Time]]&lt;0.75, AllData[[#This Row],[Time]]&gt;=0.5)=TRUE, "Afternoon", IF(AND(AllData[[#This Row],[Time]]&lt;1, AllData[[#This Row],[Time]]&gt;=0.75)=TRUE, "Evening", "Night")))</f>
        <v>Afternoon</v>
      </c>
      <c r="G1630" t="str">
        <f>_xlfn.XLOOKUP(AllData[[#This Row],[Location Name]], Locations[Location Name],Locations[Group As])</f>
        <v>Carrant Mitton Path</v>
      </c>
      <c r="H1630" t="e" vm="4">
        <f>_xlfn.XLOOKUP(AllData[[#This Row],[Site Name]],LocationsKey[Site Name],LocationsKey[District])</f>
        <v>#VALUE!</v>
      </c>
      <c r="I1630" t="e" vm="4">
        <f>_xlfn.XLOOKUP(AllData[[#This Row],[Site Name]],LocationsKey[Site Name],LocationsKey[Town])</f>
        <v>#VALUE!</v>
      </c>
      <c r="J1630" t="str">
        <f>_xlfn.XLOOKUP(AllData[[#This Row],[Site Name]],LocationsKey[Site Name], LocationsKey[Waterway])</f>
        <v>Carrant</v>
      </c>
      <c r="K1630" t="s">
        <v>1064</v>
      </c>
      <c r="L1630">
        <v>52.000030000000002</v>
      </c>
      <c r="M1630">
        <v>-2.141861</v>
      </c>
      <c r="N1630" t="s">
        <v>25</v>
      </c>
      <c r="O1630">
        <v>525</v>
      </c>
      <c r="P1630">
        <v>12.3</v>
      </c>
      <c r="Q1630">
        <v>9</v>
      </c>
      <c r="R1630" s="107" t="str">
        <f>IF(AllData[[#This Row],[Nitrate (PPM)]]&gt;2, "Very high", IF(AllData[[#This Row],[Nitrate (PPM)]]&gt;1, "High", IF(AllData[[#This Row],[Nitrate (PPM)]]&gt;0.5, "Some evidence", IF(AllData[[#This Row],[Nitrate (PPM)]]&gt;=0, "No evidence"))))</f>
        <v>Very high</v>
      </c>
      <c r="S1630" s="112">
        <v>0.28000000000000003</v>
      </c>
      <c r="T1630" s="7" t="str">
        <f>IF(AllData[[#This Row],[Phosphate (PPM)]]&gt;0.5, "Very high", IF(AllData[[#This Row],[Phosphate (PPM)]]&gt;0.1, "High", IF(AllData[[#This Row],[Phosphate (PPM)]]&gt;0.05, "Some evidence", IF(AllData[[#This Row],[Phosphate (PPM)]]&lt;=0.05, "No Evidence", ""))))</f>
        <v>High</v>
      </c>
      <c r="U1630">
        <v>0</v>
      </c>
    </row>
    <row r="1631" spans="1:22" x14ac:dyDescent="0.35">
      <c r="A1631" t="s">
        <v>1141</v>
      </c>
      <c r="B1631" s="143">
        <v>45403</v>
      </c>
      <c r="C1631" s="2" t="str" cm="1">
        <f t="array" ref="C16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1">
        <f>YEAR(AllData[[#This Row],[Date]])</f>
        <v>2024</v>
      </c>
      <c r="E1631" s="1">
        <v>0.57291666666666663</v>
      </c>
      <c r="F1631" t="str">
        <f>IF(AND(AllData[[#This Row],[Time]]&lt;0.5, AllData[[#This Row],[Time]]&gt;0.17)=TRUE, "Morning", IF(AND(AllData[[#This Row],[Time]]&lt;0.75, AllData[[#This Row],[Time]]&gt;=0.5)=TRUE, "Afternoon", IF(AND(AllData[[#This Row],[Time]]&lt;1, AllData[[#This Row],[Time]]&gt;=0.75)=TRUE, "Evening", "Night")))</f>
        <v>Afternoon</v>
      </c>
      <c r="G1631" t="str">
        <f>_xlfn.XLOOKUP(AllData[[#This Row],[Location Name]], Locations[Location Name],Locations[Group As])</f>
        <v>Clifford Chambers Mill Bridge</v>
      </c>
      <c r="H1631" t="e" vm="1">
        <f>_xlfn.XLOOKUP(AllData[[#This Row],[Site Name]],LocationsKey[Site Name],LocationsKey[District])</f>
        <v>#VALUE!</v>
      </c>
      <c r="I1631" t="e" vm="22">
        <f>_xlfn.XLOOKUP(AllData[[#This Row],[Site Name]],LocationsKey[Site Name],LocationsKey[Town])</f>
        <v>#VALUE!</v>
      </c>
      <c r="J1631" t="str">
        <f>_xlfn.XLOOKUP(AllData[[#This Row],[Site Name]],LocationsKey[Site Name], LocationsKey[Waterway])</f>
        <v>Stour</v>
      </c>
      <c r="K1631" t="s">
        <v>266</v>
      </c>
      <c r="L1631">
        <v>52.166370000000001</v>
      </c>
      <c r="M1631">
        <v>-1.708032</v>
      </c>
      <c r="N1631" t="s">
        <v>68</v>
      </c>
      <c r="O1631">
        <v>659</v>
      </c>
      <c r="P1631">
        <v>12.5</v>
      </c>
      <c r="Q1631">
        <v>8</v>
      </c>
      <c r="R1631" s="107" t="str">
        <f>IF(AllData[[#This Row],[Nitrate (PPM)]]&gt;2, "Very high", IF(AllData[[#This Row],[Nitrate (PPM)]]&gt;1, "High", IF(AllData[[#This Row],[Nitrate (PPM)]]&gt;0.5, "Some evidence", IF(AllData[[#This Row],[Nitrate (PPM)]]&gt;=0, "No evidence"))))</f>
        <v>Very high</v>
      </c>
      <c r="S1631" s="112">
        <v>0.14000000000000001</v>
      </c>
      <c r="T1631" s="7" t="str">
        <f>IF(AllData[[#This Row],[Phosphate (PPM)]]&gt;0.5, "Very high", IF(AllData[[#This Row],[Phosphate (PPM)]]&gt;0.1, "High", IF(AllData[[#This Row],[Phosphate (PPM)]]&gt;0.05, "Some evidence", IF(AllData[[#This Row],[Phosphate (PPM)]]&lt;=0.05, "No Evidence", ""))))</f>
        <v>High</v>
      </c>
      <c r="U1631">
        <v>0.8</v>
      </c>
    </row>
    <row r="1632" spans="1:22" x14ac:dyDescent="0.35">
      <c r="A1632" t="s">
        <v>1145</v>
      </c>
      <c r="B1632" s="143">
        <v>45403</v>
      </c>
      <c r="C1632" s="2" t="str" cm="1">
        <f t="array" ref="C16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2">
        <f>YEAR(AllData[[#This Row],[Date]])</f>
        <v>2024</v>
      </c>
      <c r="E1632" s="1">
        <v>0.61458333333333337</v>
      </c>
      <c r="F1632" t="str">
        <f>IF(AND(AllData[[#This Row],[Time]]&lt;0.5, AllData[[#This Row],[Time]]&gt;0.17)=TRUE, "Morning", IF(AND(AllData[[#This Row],[Time]]&lt;0.75, AllData[[#This Row],[Time]]&gt;=0.5)=TRUE, "Afternoon", IF(AND(AllData[[#This Row],[Time]]&lt;1, AllData[[#This Row],[Time]]&gt;=0.75)=TRUE, "Evening", "Night")))</f>
        <v>Afternoon</v>
      </c>
      <c r="G1632" t="str">
        <f>_xlfn.XLOOKUP(AllData[[#This Row],[Location Name]], Locations[Location Name],Locations[Group As])</f>
        <v>Sherbourne Brook 1</v>
      </c>
      <c r="H1632" t="e" vm="1">
        <f>_xlfn.XLOOKUP(AllData[[#This Row],[Site Name]],LocationsKey[Site Name],LocationsKey[District])</f>
        <v>#VALUE!</v>
      </c>
      <c r="I1632" t="e" vm="23">
        <f>_xlfn.XLOOKUP(AllData[[#This Row],[Site Name]],LocationsKey[Site Name],LocationsKey[Town])</f>
        <v>#VALUE!</v>
      </c>
      <c r="J1632" t="str">
        <f>_xlfn.XLOOKUP(AllData[[#This Row],[Site Name]],LocationsKey[Site Name], LocationsKey[Waterway])</f>
        <v>Sherbourne Brook</v>
      </c>
      <c r="K1632" t="s">
        <v>541</v>
      </c>
      <c r="L1632">
        <v>52.252499999999998</v>
      </c>
      <c r="M1632">
        <v>-1.6685000000000001</v>
      </c>
      <c r="N1632" t="s">
        <v>25</v>
      </c>
      <c r="O1632">
        <v>1060</v>
      </c>
      <c r="P1632">
        <v>11.1</v>
      </c>
      <c r="Q1632">
        <v>6</v>
      </c>
      <c r="R1632" s="107" t="str">
        <f>IF(AllData[[#This Row],[Nitrate (PPM)]]&gt;2, "Very high", IF(AllData[[#This Row],[Nitrate (PPM)]]&gt;1, "High", IF(AllData[[#This Row],[Nitrate (PPM)]]&gt;0.5, "Some evidence", IF(AllData[[#This Row],[Nitrate (PPM)]]&gt;=0, "No evidence"))))</f>
        <v>Very high</v>
      </c>
      <c r="S1632" s="112">
        <v>0.56999999999999995</v>
      </c>
      <c r="T1632" s="7" t="str">
        <f>IF(AllData[[#This Row],[Phosphate (PPM)]]&gt;0.5, "Very high", IF(AllData[[#This Row],[Phosphate (PPM)]]&gt;0.1, "High", IF(AllData[[#This Row],[Phosphate (PPM)]]&gt;0.05, "Some evidence", IF(AllData[[#This Row],[Phosphate (PPM)]]&lt;=0.05, "No Evidence", ""))))</f>
        <v>Very high</v>
      </c>
      <c r="U1632">
        <v>0.2</v>
      </c>
    </row>
    <row r="1633" spans="1:22" x14ac:dyDescent="0.35">
      <c r="A1633" t="s">
        <v>1148</v>
      </c>
      <c r="B1633" s="143">
        <v>45403</v>
      </c>
      <c r="C1633" s="2" t="str" cm="1">
        <f t="array" ref="C16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3">
        <f>YEAR(AllData[[#This Row],[Date]])</f>
        <v>2024</v>
      </c>
      <c r="E1633" s="1">
        <v>0.73055555555555551</v>
      </c>
      <c r="F1633" t="str">
        <f>IF(AND(AllData[[#This Row],[Time]]&lt;0.5, AllData[[#This Row],[Time]]&gt;0.17)=TRUE, "Morning", IF(AND(AllData[[#This Row],[Time]]&lt;0.75, AllData[[#This Row],[Time]]&gt;=0.5)=TRUE, "Afternoon", IF(AND(AllData[[#This Row],[Time]]&lt;1, AllData[[#This Row],[Time]]&gt;=0.75)=TRUE, "Evening", "Night")))</f>
        <v>Afternoon</v>
      </c>
      <c r="G1633" t="str">
        <f>_xlfn.XLOOKUP(AllData[[#This Row],[Location Name]], Locations[Location Name],Locations[Group As])</f>
        <v>Pershore Bridges</v>
      </c>
      <c r="H1633" t="e" vm="6">
        <f>_xlfn.XLOOKUP(AllData[[#This Row],[Site Name]],LocationsKey[Site Name],LocationsKey[District])</f>
        <v>#VALUE!</v>
      </c>
      <c r="I1633" t="e" vm="7">
        <f>_xlfn.XLOOKUP(AllData[[#This Row],[Site Name]],LocationsKey[Site Name],LocationsKey[Town])</f>
        <v>#VALUE!</v>
      </c>
      <c r="J1633" t="str">
        <f>_xlfn.XLOOKUP(AllData[[#This Row],[Site Name]],LocationsKey[Site Name], LocationsKey[Waterway])</f>
        <v>Avon</v>
      </c>
      <c r="K1633" t="s">
        <v>584</v>
      </c>
      <c r="L1633">
        <v>52.104089999999999</v>
      </c>
      <c r="M1633">
        <v>-2.0707499999999999</v>
      </c>
      <c r="O1633">
        <v>877</v>
      </c>
      <c r="P1633">
        <v>13.2</v>
      </c>
      <c r="Q1633">
        <v>5</v>
      </c>
      <c r="R1633" s="107" t="str">
        <f>IF(AllData[[#This Row],[Nitrate (PPM)]]&gt;2, "Very high", IF(AllData[[#This Row],[Nitrate (PPM)]]&gt;1, "High", IF(AllData[[#This Row],[Nitrate (PPM)]]&gt;0.5, "Some evidence", IF(AllData[[#This Row],[Nitrate (PPM)]]&gt;=0, "No evidence"))))</f>
        <v>Very high</v>
      </c>
      <c r="S1633" s="112">
        <v>0.46</v>
      </c>
      <c r="T1633" s="7" t="str">
        <f>IF(AllData[[#This Row],[Phosphate (PPM)]]&gt;0.5, "Very high", IF(AllData[[#This Row],[Phosphate (PPM)]]&gt;0.1, "High", IF(AllData[[#This Row],[Phosphate (PPM)]]&gt;0.05, "Some evidence", IF(AllData[[#This Row],[Phosphate (PPM)]]&lt;=0.05, "No Evidence", ""))))</f>
        <v>High</v>
      </c>
      <c r="U1633">
        <v>3.38</v>
      </c>
    </row>
    <row r="1634" spans="1:22" x14ac:dyDescent="0.35">
      <c r="A1634" t="s">
        <v>1137</v>
      </c>
      <c r="B1634" s="143">
        <v>45403</v>
      </c>
      <c r="C1634" s="2" t="str" cm="1">
        <f t="array" ref="C16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4">
        <f>YEAR(AllData[[#This Row],[Date]])</f>
        <v>2024</v>
      </c>
      <c r="E1634" s="1">
        <v>0.42708333333333331</v>
      </c>
      <c r="F1634" t="str">
        <f>IF(AND(AllData[[#This Row],[Time]]&lt;0.5, AllData[[#This Row],[Time]]&gt;0.17)=TRUE, "Morning", IF(AND(AllData[[#This Row],[Time]]&lt;0.75, AllData[[#This Row],[Time]]&gt;=0.5)=TRUE, "Afternoon", IF(AND(AllData[[#This Row],[Time]]&lt;1, AllData[[#This Row],[Time]]&gt;=0.75)=TRUE, "Evening", "Night")))</f>
        <v>Morning</v>
      </c>
      <c r="G1634" t="str">
        <f>_xlfn.XLOOKUP(AllData[[#This Row],[Location Name]], Locations[Location Name],Locations[Group As])</f>
        <v>Avon Smiths Meadow Wyre Piddle</v>
      </c>
      <c r="H1634" t="e" vm="6">
        <f>_xlfn.XLOOKUP(AllData[[#This Row],[Site Name]],LocationsKey[Site Name],LocationsKey[District])</f>
        <v>#VALUE!</v>
      </c>
      <c r="I1634" t="e" vm="13">
        <f>_xlfn.XLOOKUP(AllData[[#This Row],[Site Name]],LocationsKey[Site Name],LocationsKey[Town])</f>
        <v>#VALUE!</v>
      </c>
      <c r="J1634" t="str">
        <f>_xlfn.XLOOKUP(AllData[[#This Row],[Site Name]],LocationsKey[Site Name], LocationsKey[Waterway])</f>
        <v>Avon</v>
      </c>
      <c r="K1634" t="s">
        <v>784</v>
      </c>
      <c r="L1634">
        <v>52.122858999999998</v>
      </c>
      <c r="M1634">
        <v>-2.0575389999999998</v>
      </c>
      <c r="N1634" t="s">
        <v>25</v>
      </c>
      <c r="O1634">
        <v>868</v>
      </c>
      <c r="P1634">
        <v>11.6</v>
      </c>
      <c r="Q1634">
        <v>5</v>
      </c>
      <c r="R1634" s="107" t="str">
        <f>IF(AllData[[#This Row],[Nitrate (PPM)]]&gt;2, "Very high", IF(AllData[[#This Row],[Nitrate (PPM)]]&gt;1, "High", IF(AllData[[#This Row],[Nitrate (PPM)]]&gt;0.5, "Some evidence", IF(AllData[[#This Row],[Nitrate (PPM)]]&gt;=0, "No evidence"))))</f>
        <v>Very high</v>
      </c>
      <c r="S1634" s="112">
        <v>0.56000000000000005</v>
      </c>
      <c r="T1634" s="7" t="str">
        <f>IF(AllData[[#This Row],[Phosphate (PPM)]]&gt;0.5, "Very high", IF(AllData[[#This Row],[Phosphate (PPM)]]&gt;0.1, "High", IF(AllData[[#This Row],[Phosphate (PPM)]]&gt;0.05, "Some evidence", IF(AllData[[#This Row],[Phosphate (PPM)]]&lt;=0.05, "No Evidence", ""))))</f>
        <v>Very high</v>
      </c>
      <c r="U1634">
        <v>0.68</v>
      </c>
      <c r="V1634" t="s">
        <v>1138</v>
      </c>
    </row>
    <row r="1635" spans="1:22" x14ac:dyDescent="0.35">
      <c r="A1635" t="s">
        <v>1143</v>
      </c>
      <c r="B1635" s="143">
        <v>45403</v>
      </c>
      <c r="C1635" s="2" t="str" cm="1">
        <f t="array" ref="C16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5">
        <f>YEAR(AllData[[#This Row],[Date]])</f>
        <v>2024</v>
      </c>
      <c r="E1635" s="1">
        <v>0.59652777777777777</v>
      </c>
      <c r="F1635" t="str">
        <f>IF(AND(AllData[[#This Row],[Time]]&lt;0.5, AllData[[#This Row],[Time]]&gt;0.17)=TRUE, "Morning", IF(AND(AllData[[#This Row],[Time]]&lt;0.75, AllData[[#This Row],[Time]]&gt;=0.5)=TRUE, "Afternoon", IF(AND(AllData[[#This Row],[Time]]&lt;1, AllData[[#This Row],[Time]]&gt;=0.75)=TRUE, "Evening", "Night")))</f>
        <v>Afternoon</v>
      </c>
      <c r="G1635" t="str">
        <f>_xlfn.XLOOKUP(AllData[[#This Row],[Location Name]], Locations[Location Name],Locations[Group As])</f>
        <v>Carrant M5 Bridge</v>
      </c>
      <c r="H1635" t="e" vm="4">
        <f>_xlfn.XLOOKUP(AllData[[#This Row],[Site Name]],LocationsKey[Site Name],LocationsKey[District])</f>
        <v>#VALUE!</v>
      </c>
      <c r="I1635" t="e" vm="4">
        <f>_xlfn.XLOOKUP(AllData[[#This Row],[Site Name]],LocationsKey[Site Name],LocationsKey[Town])</f>
        <v>#VALUE!</v>
      </c>
      <c r="J1635" t="str">
        <f>_xlfn.XLOOKUP(AllData[[#This Row],[Site Name]],LocationsKey[Site Name], LocationsKey[Waterway])</f>
        <v>Carrant</v>
      </c>
      <c r="K1635" t="s">
        <v>1144</v>
      </c>
      <c r="L1635">
        <v>52.019897999999998</v>
      </c>
      <c r="M1635">
        <v>-2.136495</v>
      </c>
      <c r="N1635" t="s">
        <v>25</v>
      </c>
      <c r="O1635">
        <v>747</v>
      </c>
      <c r="P1635">
        <v>12.4</v>
      </c>
      <c r="Q1635">
        <v>5</v>
      </c>
      <c r="R1635" s="107" t="str">
        <f>IF(AllData[[#This Row],[Nitrate (PPM)]]&gt;2, "Very high", IF(AllData[[#This Row],[Nitrate (PPM)]]&gt;1, "High", IF(AllData[[#This Row],[Nitrate (PPM)]]&gt;0.5, "Some evidence", IF(AllData[[#This Row],[Nitrate (PPM)]]&gt;=0, "No evidence"))))</f>
        <v>Very high</v>
      </c>
      <c r="S1635" s="112">
        <v>0.32</v>
      </c>
      <c r="T1635" s="7" t="str">
        <f>IF(AllData[[#This Row],[Phosphate (PPM)]]&gt;0.5, "Very high", IF(AllData[[#This Row],[Phosphate (PPM)]]&gt;0.1, "High", IF(AllData[[#This Row],[Phosphate (PPM)]]&gt;0.05, "Some evidence", IF(AllData[[#This Row],[Phosphate (PPM)]]&lt;=0.05, "No Evidence", ""))))</f>
        <v>High</v>
      </c>
      <c r="U1635">
        <v>0</v>
      </c>
    </row>
    <row r="1636" spans="1:22" x14ac:dyDescent="0.35">
      <c r="A1636" t="s">
        <v>1146</v>
      </c>
      <c r="B1636" s="143">
        <v>45403</v>
      </c>
      <c r="C1636" s="2" t="str" cm="1">
        <f t="array" ref="C16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6">
        <f>YEAR(AllData[[#This Row],[Date]])</f>
        <v>2024</v>
      </c>
      <c r="E1636" s="1">
        <v>0.625</v>
      </c>
      <c r="F1636" t="str">
        <f>IF(AND(AllData[[#This Row],[Time]]&lt;0.5, AllData[[#This Row],[Time]]&gt;0.17)=TRUE, "Morning", IF(AND(AllData[[#This Row],[Time]]&lt;0.75, AllData[[#This Row],[Time]]&gt;=0.5)=TRUE, "Afternoon", IF(AND(AllData[[#This Row],[Time]]&lt;1, AllData[[#This Row],[Time]]&gt;=0.75)=TRUE, "Evening", "Night")))</f>
        <v>Afternoon</v>
      </c>
      <c r="G1636" t="str">
        <f>_xlfn.XLOOKUP(AllData[[#This Row],[Location Name]], Locations[Location Name],Locations[Group As])</f>
        <v>Bell Brook 1</v>
      </c>
      <c r="H1636" t="e" vm="1">
        <f>_xlfn.XLOOKUP(AllData[[#This Row],[Site Name]],LocationsKey[Site Name],LocationsKey[District])</f>
        <v>#VALUE!</v>
      </c>
      <c r="I1636" t="e" vm="19">
        <f>_xlfn.XLOOKUP(AllData[[#This Row],[Site Name]],LocationsKey[Site Name],LocationsKey[Town])</f>
        <v>#VALUE!</v>
      </c>
      <c r="J1636" t="str">
        <f>_xlfn.XLOOKUP(AllData[[#This Row],[Site Name]],LocationsKey[Site Name], LocationsKey[Waterway])</f>
        <v>Bell Brook</v>
      </c>
      <c r="K1636" t="s">
        <v>538</v>
      </c>
      <c r="L1636">
        <v>52.244900000000001</v>
      </c>
      <c r="M1636">
        <v>-1.6617</v>
      </c>
      <c r="N1636" t="s">
        <v>25</v>
      </c>
      <c r="O1636">
        <v>735</v>
      </c>
      <c r="P1636">
        <v>13</v>
      </c>
      <c r="Q1636">
        <v>5</v>
      </c>
      <c r="R1636" s="107" t="str">
        <f>IF(AllData[[#This Row],[Nitrate (PPM)]]&gt;2, "Very high", IF(AllData[[#This Row],[Nitrate (PPM)]]&gt;1, "High", IF(AllData[[#This Row],[Nitrate (PPM)]]&gt;0.5, "Some evidence", IF(AllData[[#This Row],[Nitrate (PPM)]]&gt;=0, "No evidence"))))</f>
        <v>Very high</v>
      </c>
      <c r="S1636" s="112">
        <v>0.43</v>
      </c>
      <c r="T1636" s="7" t="str">
        <f>IF(AllData[[#This Row],[Phosphate (PPM)]]&gt;0.5, "Very high", IF(AllData[[#This Row],[Phosphate (PPM)]]&gt;0.1, "High", IF(AllData[[#This Row],[Phosphate (PPM)]]&gt;0.05, "Some evidence", IF(AllData[[#This Row],[Phosphate (PPM)]]&lt;=0.05, "No Evidence", ""))))</f>
        <v>High</v>
      </c>
      <c r="U1636">
        <v>0.1</v>
      </c>
    </row>
    <row r="1637" spans="1:22" x14ac:dyDescent="0.35">
      <c r="A1637" t="s">
        <v>1139</v>
      </c>
      <c r="B1637" s="143">
        <v>45403</v>
      </c>
      <c r="C1637" s="2" t="str" cm="1">
        <f t="array" ref="C16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7">
        <f>YEAR(AllData[[#This Row],[Date]])</f>
        <v>2024</v>
      </c>
      <c r="E1637" s="1">
        <v>0.44444444444444442</v>
      </c>
      <c r="F1637" t="str">
        <f>IF(AND(AllData[[#This Row],[Time]]&lt;0.5, AllData[[#This Row],[Time]]&gt;0.17)=TRUE, "Morning", IF(AND(AllData[[#This Row],[Time]]&lt;0.75, AllData[[#This Row],[Time]]&gt;=0.5)=TRUE, "Afternoon", IF(AND(AllData[[#This Row],[Time]]&lt;1, AllData[[#This Row],[Time]]&gt;=0.75)=TRUE, "Evening", "Night")))</f>
        <v>Morning</v>
      </c>
      <c r="G1637" t="str">
        <f>_xlfn.XLOOKUP(AllData[[#This Row],[Location Name]], Locations[Location Name],Locations[Group As])</f>
        <v>The Ford, Langley</v>
      </c>
      <c r="H1637" t="e" vm="1">
        <f>_xlfn.XLOOKUP(AllData[[#This Row],[Site Name]],LocationsKey[Site Name],LocationsKey[District])</f>
        <v>#VALUE!</v>
      </c>
      <c r="I1637" t="str">
        <f>_xlfn.XLOOKUP(AllData[[#This Row],[Site Name]],LocationsKey[Site Name],LocationsKey[Town])</f>
        <v>Langley</v>
      </c>
      <c r="J1637" t="str">
        <f>_xlfn.XLOOKUP(AllData[[#This Row],[Site Name]],LocationsKey[Site Name], LocationsKey[Waterway])</f>
        <v>Langley Ford</v>
      </c>
      <c r="K1637" t="s">
        <v>561</v>
      </c>
      <c r="L1637">
        <v>52.259909999999998</v>
      </c>
      <c r="M1637">
        <v>-1.7188140000000001</v>
      </c>
      <c r="N1637" t="s">
        <v>31</v>
      </c>
      <c r="O1637">
        <v>734</v>
      </c>
      <c r="P1637">
        <v>9.6999999999999993</v>
      </c>
      <c r="Q1637">
        <v>5</v>
      </c>
      <c r="R1637" s="107" t="str">
        <f>IF(AllData[[#This Row],[Nitrate (PPM)]]&gt;2, "Very high", IF(AllData[[#This Row],[Nitrate (PPM)]]&gt;1, "High", IF(AllData[[#This Row],[Nitrate (PPM)]]&gt;0.5, "Some evidence", IF(AllData[[#This Row],[Nitrate (PPM)]]&gt;=0, "No evidence"))))</f>
        <v>Very high</v>
      </c>
      <c r="S1637" s="112">
        <v>0.47</v>
      </c>
      <c r="T1637" s="7" t="str">
        <f>IF(AllData[[#This Row],[Phosphate (PPM)]]&gt;0.5, "Very high", IF(AllData[[#This Row],[Phosphate (PPM)]]&gt;0.1, "High", IF(AllData[[#This Row],[Phosphate (PPM)]]&gt;0.05, "Some evidence", IF(AllData[[#This Row],[Phosphate (PPM)]]&lt;=0.05, "No Evidence", ""))))</f>
        <v>High</v>
      </c>
      <c r="U1637">
        <v>0.3</v>
      </c>
      <c r="V1637" t="s">
        <v>814</v>
      </c>
    </row>
    <row r="1638" spans="1:22" x14ac:dyDescent="0.35">
      <c r="A1638" t="s">
        <v>1130</v>
      </c>
      <c r="B1638" s="143">
        <v>45402</v>
      </c>
      <c r="C1638" s="2" t="str" cm="1">
        <f t="array" ref="C16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8">
        <f>YEAR(AllData[[#This Row],[Date]])</f>
        <v>2024</v>
      </c>
      <c r="E1638" s="1">
        <v>0.50694444444444442</v>
      </c>
      <c r="F1638" t="str">
        <f>IF(AND(AllData[[#This Row],[Time]]&lt;0.5, AllData[[#This Row],[Time]]&gt;0.17)=TRUE, "Morning", IF(AND(AllData[[#This Row],[Time]]&lt;0.75, AllData[[#This Row],[Time]]&gt;=0.5)=TRUE, "Afternoon", IF(AND(AllData[[#This Row],[Time]]&lt;1, AllData[[#This Row],[Time]]&gt;=0.75)=TRUE, "Evening", "Night")))</f>
        <v>Afternoon</v>
      </c>
      <c r="G1638" t="str">
        <f>_xlfn.XLOOKUP(AllData[[#This Row],[Location Name]], Locations[Location Name],Locations[Group As])</f>
        <v>Fell Mill Footbridge</v>
      </c>
      <c r="H1638" t="e" vm="1">
        <f>_xlfn.XLOOKUP(AllData[[#This Row],[Site Name]],LocationsKey[Site Name],LocationsKey[District])</f>
        <v>#VALUE!</v>
      </c>
      <c r="I1638" t="e" vm="15">
        <f>_xlfn.XLOOKUP(AllData[[#This Row],[Site Name]],LocationsKey[Site Name],LocationsKey[Town])</f>
        <v>#VALUE!</v>
      </c>
      <c r="J1638" t="str">
        <f>_xlfn.XLOOKUP(AllData[[#This Row],[Site Name]],LocationsKey[Site Name], LocationsKey[Waterway])</f>
        <v>Stour</v>
      </c>
      <c r="K1638" t="s">
        <v>875</v>
      </c>
      <c r="L1638">
        <v>52.070086000000003</v>
      </c>
      <c r="M1638">
        <v>-1.61145</v>
      </c>
      <c r="N1638" t="s">
        <v>31</v>
      </c>
      <c r="O1638">
        <v>602</v>
      </c>
      <c r="P1638">
        <v>11.5</v>
      </c>
      <c r="Q1638">
        <v>10</v>
      </c>
      <c r="R1638" s="107" t="str">
        <f>IF(AllData[[#This Row],[Nitrate (PPM)]]&gt;2, "Very high", IF(AllData[[#This Row],[Nitrate (PPM)]]&gt;1, "High", IF(AllData[[#This Row],[Nitrate (PPM)]]&gt;0.5, "Some evidence", IF(AllData[[#This Row],[Nitrate (PPM)]]&gt;=0, "No evidence"))))</f>
        <v>Very high</v>
      </c>
      <c r="S1638" s="112">
        <v>0.18</v>
      </c>
      <c r="T1638" s="7" t="str">
        <f>IF(AllData[[#This Row],[Phosphate (PPM)]]&gt;0.5, "Very high", IF(AllData[[#This Row],[Phosphate (PPM)]]&gt;0.1, "High", IF(AllData[[#This Row],[Phosphate (PPM)]]&gt;0.05, "Some evidence", IF(AllData[[#This Row],[Phosphate (PPM)]]&lt;=0.05, "No Evidence", ""))))</f>
        <v>High</v>
      </c>
      <c r="U1638">
        <v>1.4</v>
      </c>
    </row>
    <row r="1639" spans="1:22" x14ac:dyDescent="0.35">
      <c r="A1639" t="s">
        <v>1127</v>
      </c>
      <c r="B1639" s="143">
        <v>45402</v>
      </c>
      <c r="C1639" s="2" t="str" cm="1">
        <f t="array" ref="C16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39">
        <f>YEAR(AllData[[#This Row],[Date]])</f>
        <v>2024</v>
      </c>
      <c r="E1639" s="1">
        <v>0.47916666666666669</v>
      </c>
      <c r="F1639" t="str">
        <f>IF(AND(AllData[[#This Row],[Time]]&lt;0.5, AllData[[#This Row],[Time]]&gt;0.17)=TRUE, "Morning", IF(AND(AllData[[#This Row],[Time]]&lt;0.75, AllData[[#This Row],[Time]]&gt;=0.5)=TRUE, "Afternoon", IF(AND(AllData[[#This Row],[Time]]&lt;1, AllData[[#This Row],[Time]]&gt;=0.75)=TRUE, "Evening", "Night")))</f>
        <v>Morning</v>
      </c>
      <c r="G1639" t="str">
        <f>_xlfn.XLOOKUP(AllData[[#This Row],[Location Name]], Locations[Location Name],Locations[Group As])</f>
        <v>Piddle Brook Wyre Piddle Bridge</v>
      </c>
      <c r="H1639" t="e" vm="6">
        <f>_xlfn.XLOOKUP(AllData[[#This Row],[Site Name]],LocationsKey[Site Name],LocationsKey[District])</f>
        <v>#VALUE!</v>
      </c>
      <c r="I1639" t="e" vm="13">
        <f>_xlfn.XLOOKUP(AllData[[#This Row],[Site Name]],LocationsKey[Site Name],LocationsKey[Town])</f>
        <v>#VALUE!</v>
      </c>
      <c r="J1639" t="str">
        <f>_xlfn.XLOOKUP(AllData[[#This Row],[Site Name]],LocationsKey[Site Name], LocationsKey[Waterway])</f>
        <v>Piddle Brook</v>
      </c>
      <c r="K1639" t="s">
        <v>787</v>
      </c>
      <c r="L1639">
        <v>52.126404000000001</v>
      </c>
      <c r="M1639">
        <v>-2.0565410000000002</v>
      </c>
      <c r="N1639" t="s">
        <v>25</v>
      </c>
      <c r="O1639">
        <v>1270</v>
      </c>
      <c r="P1639">
        <v>10.3</v>
      </c>
      <c r="Q1639">
        <v>7</v>
      </c>
      <c r="R1639" s="107" t="str">
        <f>IF(AllData[[#This Row],[Nitrate (PPM)]]&gt;2, "Very high", IF(AllData[[#This Row],[Nitrate (PPM)]]&gt;1, "High", IF(AllData[[#This Row],[Nitrate (PPM)]]&gt;0.5, "Some evidence", IF(AllData[[#This Row],[Nitrate (PPM)]]&gt;=0, "No evidence"))))</f>
        <v>Very high</v>
      </c>
      <c r="S1639" s="112">
        <v>0.67</v>
      </c>
      <c r="T1639" s="7" t="str">
        <f>IF(AllData[[#This Row],[Phosphate (PPM)]]&gt;0.5, "Very high", IF(AllData[[#This Row],[Phosphate (PPM)]]&gt;0.1, "High", IF(AllData[[#This Row],[Phosphate (PPM)]]&gt;0.05, "Some evidence", IF(AllData[[#This Row],[Phosphate (PPM)]]&lt;=0.05, "No Evidence", ""))))</f>
        <v>Very high</v>
      </c>
      <c r="U1639">
        <v>0.27</v>
      </c>
      <c r="V1639" t="s">
        <v>1128</v>
      </c>
    </row>
    <row r="1640" spans="1:22" x14ac:dyDescent="0.35">
      <c r="A1640" t="s">
        <v>1129</v>
      </c>
      <c r="B1640" s="143">
        <v>45402</v>
      </c>
      <c r="C1640" s="2" t="str" cm="1">
        <f t="array" ref="C16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0">
        <f>YEAR(AllData[[#This Row],[Date]])</f>
        <v>2024</v>
      </c>
      <c r="E1640" s="1">
        <v>0.5</v>
      </c>
      <c r="F1640" t="str">
        <f>IF(AND(AllData[[#This Row],[Time]]&lt;0.5, AllData[[#This Row],[Time]]&gt;0.17)=TRUE, "Morning", IF(AND(AllData[[#This Row],[Time]]&lt;0.75, AllData[[#This Row],[Time]]&gt;=0.5)=TRUE, "Afternoon", IF(AND(AllData[[#This Row],[Time]]&lt;1, AllData[[#This Row],[Time]]&gt;=0.75)=TRUE, "Evening", "Night")))</f>
        <v>Afternoon</v>
      </c>
      <c r="G1640" t="str">
        <f>_xlfn.XLOOKUP(AllData[[#This Row],[Location Name]], Locations[Location Name],Locations[Group As])</f>
        <v>Carrant Bredon Rd</v>
      </c>
      <c r="H1640" t="e" vm="4">
        <f>_xlfn.XLOOKUP(AllData[[#This Row],[Site Name]],LocationsKey[Site Name],LocationsKey[District])</f>
        <v>#VALUE!</v>
      </c>
      <c r="I1640" t="e" vm="4">
        <f>_xlfn.XLOOKUP(AllData[[#This Row],[Site Name]],LocationsKey[Site Name],LocationsKey[Town])</f>
        <v>#VALUE!</v>
      </c>
      <c r="J1640" t="str">
        <f>_xlfn.XLOOKUP(AllData[[#This Row],[Site Name]],LocationsKey[Site Name], LocationsKey[Waterway])</f>
        <v>Carrant</v>
      </c>
      <c r="K1640" t="s">
        <v>603</v>
      </c>
      <c r="L1640">
        <v>51.996274999999997</v>
      </c>
      <c r="M1640">
        <v>-2.1560709999999998</v>
      </c>
      <c r="N1640" t="s">
        <v>25</v>
      </c>
      <c r="O1640">
        <v>746</v>
      </c>
      <c r="P1640">
        <v>11.5</v>
      </c>
      <c r="Q1640">
        <v>7</v>
      </c>
      <c r="R1640" s="107" t="str">
        <f>IF(AllData[[#This Row],[Nitrate (PPM)]]&gt;2, "Very high", IF(AllData[[#This Row],[Nitrate (PPM)]]&gt;1, "High", IF(AllData[[#This Row],[Nitrate (PPM)]]&gt;0.5, "Some evidence", IF(AllData[[#This Row],[Nitrate (PPM)]]&gt;=0, "No evidence"))))</f>
        <v>Very high</v>
      </c>
      <c r="S1640" s="112">
        <v>0.22</v>
      </c>
      <c r="T1640" s="7" t="str">
        <f>IF(AllData[[#This Row],[Phosphate (PPM)]]&gt;0.5, "Very high", IF(AllData[[#This Row],[Phosphate (PPM)]]&gt;0.1, "High", IF(AllData[[#This Row],[Phosphate (PPM)]]&gt;0.05, "Some evidence", IF(AllData[[#This Row],[Phosphate (PPM)]]&lt;=0.05, "No Evidence", ""))))</f>
        <v>High</v>
      </c>
      <c r="U1640">
        <v>0.08</v>
      </c>
    </row>
    <row r="1641" spans="1:22" x14ac:dyDescent="0.35">
      <c r="A1641" t="s">
        <v>1131</v>
      </c>
      <c r="B1641" s="143">
        <v>45402</v>
      </c>
      <c r="C1641" s="2" t="str" cm="1">
        <f t="array" ref="C16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1">
        <f>YEAR(AllData[[#This Row],[Date]])</f>
        <v>2024</v>
      </c>
      <c r="E1641" s="1">
        <v>0.67361111111111116</v>
      </c>
      <c r="F1641" t="str">
        <f>IF(AND(AllData[[#This Row],[Time]]&lt;0.5, AllData[[#This Row],[Time]]&gt;0.17)=TRUE, "Morning", IF(AND(AllData[[#This Row],[Time]]&lt;0.75, AllData[[#This Row],[Time]]&gt;=0.5)=TRUE, "Afternoon", IF(AND(AllData[[#This Row],[Time]]&lt;1, AllData[[#This Row],[Time]]&gt;=0.75)=TRUE, "Evening", "Night")))</f>
        <v>Afternoon</v>
      </c>
      <c r="G1641" t="str">
        <f>_xlfn.XLOOKUP(AllData[[#This Row],[Location Name]], Locations[Location Name],Locations[Group As])</f>
        <v>Walcot Lane, Bow Brook Ford</v>
      </c>
      <c r="H1641" t="e" vm="6">
        <f>_xlfn.XLOOKUP(AllData[[#This Row],[Site Name]],LocationsKey[Site Name],LocationsKey[District])</f>
        <v>#VALUE!</v>
      </c>
      <c r="I1641" t="e" vm="7">
        <f>_xlfn.XLOOKUP(AllData[[#This Row],[Site Name]],LocationsKey[Site Name],LocationsKey[Town])</f>
        <v>#VALUE!</v>
      </c>
      <c r="J1641" t="str">
        <f>_xlfn.XLOOKUP(AllData[[#This Row],[Site Name]],LocationsKey[Site Name], LocationsKey[Waterway])</f>
        <v>Bow Brook</v>
      </c>
      <c r="K1641" t="s">
        <v>775</v>
      </c>
      <c r="L1641">
        <v>52.129123</v>
      </c>
      <c r="M1641">
        <v>-2.076397</v>
      </c>
      <c r="N1641" t="s">
        <v>25</v>
      </c>
      <c r="O1641">
        <v>1090</v>
      </c>
      <c r="P1641">
        <v>14.5</v>
      </c>
      <c r="Q1641">
        <v>5</v>
      </c>
      <c r="R1641" s="107" t="str">
        <f>IF(AllData[[#This Row],[Nitrate (PPM)]]&gt;2, "Very high", IF(AllData[[#This Row],[Nitrate (PPM)]]&gt;1, "High", IF(AllData[[#This Row],[Nitrate (PPM)]]&gt;0.5, "Some evidence", IF(AllData[[#This Row],[Nitrate (PPM)]]&gt;=0, "No evidence"))))</f>
        <v>Very high</v>
      </c>
      <c r="S1641" s="112">
        <v>0.8</v>
      </c>
      <c r="T1641" s="7" t="str">
        <f>IF(AllData[[#This Row],[Phosphate (PPM)]]&gt;0.5, "Very high", IF(AllData[[#This Row],[Phosphate (PPM)]]&gt;0.1, "High", IF(AllData[[#This Row],[Phosphate (PPM)]]&gt;0.05, "Some evidence", IF(AllData[[#This Row],[Phosphate (PPM)]]&lt;=0.05, "No Evidence", ""))))</f>
        <v>Very high</v>
      </c>
      <c r="U1641">
        <v>0.25</v>
      </c>
      <c r="V1641" t="s">
        <v>1132</v>
      </c>
    </row>
    <row r="1642" spans="1:22" x14ac:dyDescent="0.35">
      <c r="A1642" t="s">
        <v>1133</v>
      </c>
      <c r="B1642" s="143">
        <v>45402</v>
      </c>
      <c r="C1642" s="2" t="str" cm="1">
        <f t="array" ref="C16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2">
        <f>YEAR(AllData[[#This Row],[Date]])</f>
        <v>2024</v>
      </c>
      <c r="E1642" s="1">
        <v>0.70138888888888884</v>
      </c>
      <c r="F1642" t="str">
        <f>IF(AND(AllData[[#This Row],[Time]]&lt;0.5, AllData[[#This Row],[Time]]&gt;0.17)=TRUE, "Morning", IF(AND(AllData[[#This Row],[Time]]&lt;0.75, AllData[[#This Row],[Time]]&gt;=0.5)=TRUE, "Afternoon", IF(AND(AllData[[#This Row],[Time]]&lt;1, AllData[[#This Row],[Time]]&gt;=0.75)=TRUE, "Evening", "Night")))</f>
        <v>Afternoon</v>
      </c>
      <c r="G1642" t="str">
        <f>_xlfn.XLOOKUP(AllData[[#This Row],[Location Name]], Locations[Location Name],Locations[Group As])</f>
        <v>Stour Whichford</v>
      </c>
      <c r="H1642" t="e" vm="1">
        <f>_xlfn.XLOOKUP(AllData[[#This Row],[Site Name]],LocationsKey[Site Name],LocationsKey[District])</f>
        <v>#VALUE!</v>
      </c>
      <c r="I1642" t="e" vm="24">
        <f>_xlfn.XLOOKUP(AllData[[#This Row],[Site Name]],LocationsKey[Site Name],LocationsKey[Town])</f>
        <v>#VALUE!</v>
      </c>
      <c r="J1642" t="str">
        <f>_xlfn.XLOOKUP(AllData[[#This Row],[Site Name]],LocationsKey[Site Name], LocationsKey[Waterway])</f>
        <v>Stour</v>
      </c>
      <c r="K1642" t="s">
        <v>980</v>
      </c>
      <c r="N1642" t="s">
        <v>31</v>
      </c>
      <c r="O1642">
        <v>522</v>
      </c>
      <c r="P1642">
        <v>12.1</v>
      </c>
      <c r="Q1642">
        <v>4.5</v>
      </c>
      <c r="R1642" s="107" t="str">
        <f>IF(AllData[[#This Row],[Nitrate (PPM)]]&gt;2, "Very high", IF(AllData[[#This Row],[Nitrate (PPM)]]&gt;1, "High", IF(AllData[[#This Row],[Nitrate (PPM)]]&gt;0.5, "Some evidence", IF(AllData[[#This Row],[Nitrate (PPM)]]&gt;=0, "No evidence"))))</f>
        <v>Very high</v>
      </c>
      <c r="S1642" s="112">
        <v>0.34</v>
      </c>
      <c r="T1642" s="7" t="str">
        <f>IF(AllData[[#This Row],[Phosphate (PPM)]]&gt;0.5, "Very high", IF(AllData[[#This Row],[Phosphate (PPM)]]&gt;0.1, "High", IF(AllData[[#This Row],[Phosphate (PPM)]]&gt;0.05, "Some evidence", IF(AllData[[#This Row],[Phosphate (PPM)]]&lt;=0.05, "No Evidence", ""))))</f>
        <v>High</v>
      </c>
      <c r="U1642">
        <v>15</v>
      </c>
    </row>
    <row r="1643" spans="1:22" x14ac:dyDescent="0.35">
      <c r="A1643" t="s">
        <v>1135</v>
      </c>
      <c r="B1643" s="143">
        <v>45402</v>
      </c>
      <c r="C1643" s="2" t="str" cm="1">
        <f t="array" ref="C16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3">
        <f>YEAR(AllData[[#This Row],[Date]])</f>
        <v>2024</v>
      </c>
      <c r="E1643" s="1">
        <v>0.7</v>
      </c>
      <c r="F1643" t="str">
        <f>IF(AND(AllData[[#This Row],[Time]]&lt;0.5, AllData[[#This Row],[Time]]&gt;0.17)=TRUE, "Morning", IF(AND(AllData[[#This Row],[Time]]&lt;0.75, AllData[[#This Row],[Time]]&gt;=0.5)=TRUE, "Afternoon", IF(AND(AllData[[#This Row],[Time]]&lt;1, AllData[[#This Row],[Time]]&gt;=0.75)=TRUE, "Evening", "Night")))</f>
        <v>Afternoon</v>
      </c>
      <c r="G1643" t="str">
        <f>_xlfn.XLOOKUP(AllData[[#This Row],[Location Name]], Locations[Location Name],Locations[Group As])</f>
        <v>Preston Bagot Brook</v>
      </c>
      <c r="H1643" t="e" vm="1">
        <f>_xlfn.XLOOKUP(AllData[[#This Row],[Site Name]],LocationsKey[Site Name],LocationsKey[District])</f>
        <v>#VALUE!</v>
      </c>
      <c r="I1643" t="e" vm="21">
        <f>_xlfn.XLOOKUP(AllData[[#This Row],[Site Name]],LocationsKey[Site Name],LocationsKey[Town])</f>
        <v>#VALUE!</v>
      </c>
      <c r="J1643" t="str">
        <f>_xlfn.XLOOKUP(AllData[[#This Row],[Site Name]],LocationsKey[Site Name], LocationsKey[Waterway])</f>
        <v>Preston Bagot Brook</v>
      </c>
      <c r="K1643" t="s">
        <v>621</v>
      </c>
      <c r="L1643">
        <v>52.286000000000001</v>
      </c>
      <c r="M1643">
        <v>-1.7470000000000001</v>
      </c>
      <c r="N1643" t="s">
        <v>25</v>
      </c>
      <c r="O1643">
        <v>812</v>
      </c>
      <c r="P1643">
        <v>12.9</v>
      </c>
      <c r="Q1643">
        <v>3.5</v>
      </c>
      <c r="R1643" s="107" t="str">
        <f>IF(AllData[[#This Row],[Nitrate (PPM)]]&gt;2, "Very high", IF(AllData[[#This Row],[Nitrate (PPM)]]&gt;1, "High", IF(AllData[[#This Row],[Nitrate (PPM)]]&gt;0.5, "Some evidence", IF(AllData[[#This Row],[Nitrate (PPM)]]&gt;=0, "No evidence"))))</f>
        <v>Very high</v>
      </c>
      <c r="S1643">
        <v>0.51</v>
      </c>
      <c r="T1643" s="7" t="str">
        <f>IF(AllData[[#This Row],[Phosphate (PPM)]]&gt;0.5, "Very high", IF(AllData[[#This Row],[Phosphate (PPM)]]&gt;0.1, "High", IF(AllData[[#This Row],[Phosphate (PPM)]]&gt;0.05, "Some evidence", IF(AllData[[#This Row],[Phosphate (PPM)]]&lt;=0.05, "No Evidence", ""))))</f>
        <v>Very high</v>
      </c>
      <c r="U1643">
        <v>1</v>
      </c>
      <c r="V1643" t="s">
        <v>970</v>
      </c>
    </row>
    <row r="1644" spans="1:22" x14ac:dyDescent="0.35">
      <c r="A1644" t="s">
        <v>1134</v>
      </c>
      <c r="B1644" s="143">
        <v>45402</v>
      </c>
      <c r="C1644" s="2" t="str" cm="1">
        <f t="array" ref="C16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4">
        <f>YEAR(AllData[[#This Row],[Date]])</f>
        <v>2024</v>
      </c>
      <c r="E1644" s="1">
        <v>0.72916666666666663</v>
      </c>
      <c r="F1644" t="str">
        <f>IF(AND(AllData[[#This Row],[Time]]&lt;0.5, AllData[[#This Row],[Time]]&gt;0.17)=TRUE, "Morning", IF(AND(AllData[[#This Row],[Time]]&lt;0.75, AllData[[#This Row],[Time]]&gt;=0.5)=TRUE, "Afternoon", IF(AND(AllData[[#This Row],[Time]]&lt;1, AllData[[#This Row],[Time]]&gt;=0.75)=TRUE, "Evening", "Night")))</f>
        <v>Afternoon</v>
      </c>
      <c r="G1644" t="str">
        <f>_xlfn.XLOOKUP(AllData[[#This Row],[Location Name]], Locations[Location Name],Locations[Group As])</f>
        <v>Stour Ascott Village</v>
      </c>
      <c r="H1644" t="e" vm="1">
        <f>_xlfn.XLOOKUP(AllData[[#This Row],[Site Name]],LocationsKey[Site Name],LocationsKey[District])</f>
        <v>#VALUE!</v>
      </c>
      <c r="I1644" t="e" vm="25">
        <f>_xlfn.XLOOKUP(AllData[[#This Row],[Site Name]],LocationsKey[Site Name],LocationsKey[Town])</f>
        <v>#VALUE!</v>
      </c>
      <c r="J1644" t="str">
        <f>_xlfn.XLOOKUP(AllData[[#This Row],[Site Name]],LocationsKey[Site Name], LocationsKey[Waterway])</f>
        <v>Stour</v>
      </c>
      <c r="K1644" t="s">
        <v>927</v>
      </c>
      <c r="N1644" t="s">
        <v>68</v>
      </c>
      <c r="O1644">
        <v>12.08</v>
      </c>
      <c r="P1644">
        <v>12.1</v>
      </c>
      <c r="Q1644">
        <v>3.5</v>
      </c>
      <c r="R1644" s="107" t="str">
        <f>IF(AllData[[#This Row],[Nitrate (PPM)]]&gt;2, "Very high", IF(AllData[[#This Row],[Nitrate (PPM)]]&gt;1, "High", IF(AllData[[#This Row],[Nitrate (PPM)]]&gt;0.5, "Some evidence", IF(AllData[[#This Row],[Nitrate (PPM)]]&gt;=0, "No evidence"))))</f>
        <v>Very high</v>
      </c>
      <c r="S1644" s="112">
        <v>0.23</v>
      </c>
      <c r="T1644" s="7" t="str">
        <f>IF(AllData[[#This Row],[Phosphate (PPM)]]&gt;0.5, "Very high", IF(AllData[[#This Row],[Phosphate (PPM)]]&gt;0.1, "High", IF(AllData[[#This Row],[Phosphate (PPM)]]&gt;0.05, "Some evidence", IF(AllData[[#This Row],[Phosphate (PPM)]]&lt;=0.05, "No Evidence", ""))))</f>
        <v>High</v>
      </c>
      <c r="U1644">
        <v>12</v>
      </c>
    </row>
    <row r="1645" spans="1:22" x14ac:dyDescent="0.35">
      <c r="A1645" t="s">
        <v>1136</v>
      </c>
      <c r="B1645" s="143">
        <v>45402</v>
      </c>
      <c r="C1645" s="2" t="str" cm="1">
        <f t="array" ref="C16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5">
        <f>YEAR(AllData[[#This Row],[Date]])</f>
        <v>2024</v>
      </c>
      <c r="E1645" s="1">
        <v>0.69444444444444442</v>
      </c>
      <c r="F1645" t="str">
        <f>IF(AND(AllData[[#This Row],[Time]]&lt;0.5, AllData[[#This Row],[Time]]&gt;0.17)=TRUE, "Morning", IF(AND(AllData[[#This Row],[Time]]&lt;0.75, AllData[[#This Row],[Time]]&gt;=0.5)=TRUE, "Afternoon", IF(AND(AllData[[#This Row],[Time]]&lt;1, AllData[[#This Row],[Time]]&gt;=0.75)=TRUE, "Evening", "Night")))</f>
        <v>Afternoon</v>
      </c>
      <c r="G1645" t="str">
        <f>_xlfn.XLOOKUP(AllData[[#This Row],[Location Name]], Locations[Location Name],Locations[Group As])</f>
        <v>Preston Bagot Canal</v>
      </c>
      <c r="H1645" t="e" vm="1">
        <f>_xlfn.XLOOKUP(AllData[[#This Row],[Site Name]],LocationsKey[Site Name],LocationsKey[District])</f>
        <v>#VALUE!</v>
      </c>
      <c r="I1645" t="e" vm="21">
        <f>_xlfn.XLOOKUP(AllData[[#This Row],[Site Name]],LocationsKey[Site Name],LocationsKey[Town])</f>
        <v>#VALUE!</v>
      </c>
      <c r="J1645" t="str">
        <f>_xlfn.XLOOKUP(AllData[[#This Row],[Site Name]],LocationsKey[Site Name], LocationsKey[Waterway])</f>
        <v>Preston Bagot Canal</v>
      </c>
      <c r="K1645" t="s">
        <v>618</v>
      </c>
      <c r="L1645">
        <v>52.286999999999999</v>
      </c>
      <c r="M1645">
        <v>-1.746</v>
      </c>
      <c r="N1645" t="s">
        <v>25</v>
      </c>
      <c r="O1645">
        <v>367</v>
      </c>
      <c r="P1645">
        <v>14.2</v>
      </c>
      <c r="Q1645">
        <v>0</v>
      </c>
      <c r="R1645" s="107" t="str">
        <f>IF(AllData[[#This Row],[Nitrate (PPM)]]&gt;2, "Very high", IF(AllData[[#This Row],[Nitrate (PPM)]]&gt;1, "High", IF(AllData[[#This Row],[Nitrate (PPM)]]&gt;0.5, "Some evidence", IF(AllData[[#This Row],[Nitrate (PPM)]]&gt;=0, "No evidence"))))</f>
        <v>No evidence</v>
      </c>
      <c r="S1645">
        <v>0</v>
      </c>
      <c r="T1645" s="7" t="str">
        <f>IF(AllData[[#This Row],[Phosphate (PPM)]]&gt;0.5, "Very high", IF(AllData[[#This Row],[Phosphate (PPM)]]&gt;0.1, "High", IF(AllData[[#This Row],[Phosphate (PPM)]]&gt;0.05, "Some evidence", IF(AllData[[#This Row],[Phosphate (PPM)]]&lt;=0.05, "No Evidence", ""))))</f>
        <v>No Evidence</v>
      </c>
      <c r="U1645">
        <v>1</v>
      </c>
      <c r="V1645" t="s">
        <v>970</v>
      </c>
    </row>
    <row r="1646" spans="1:22" x14ac:dyDescent="0.35">
      <c r="A1646" t="s">
        <v>1116</v>
      </c>
      <c r="B1646" s="143">
        <v>45401</v>
      </c>
      <c r="C1646" s="2" t="str" cm="1">
        <f t="array" ref="C16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6">
        <f>YEAR(AllData[[#This Row],[Date]])</f>
        <v>2024</v>
      </c>
      <c r="E1646" s="1">
        <v>0.70486111111111116</v>
      </c>
      <c r="F1646" t="str">
        <f>IF(AND(AllData[[#This Row],[Time]]&lt;0.5, AllData[[#This Row],[Time]]&gt;0.17)=TRUE, "Morning", IF(AND(AllData[[#This Row],[Time]]&lt;0.75, AllData[[#This Row],[Time]]&gt;=0.5)=TRUE, "Afternoon", IF(AND(AllData[[#This Row],[Time]]&lt;1, AllData[[#This Row],[Time]]&gt;=0.75)=TRUE, "Evening", "Night")))</f>
        <v>Afternoon</v>
      </c>
      <c r="G1646" t="str">
        <f>_xlfn.XLOOKUP(AllData[[#This Row],[Location Name]], Locations[Location Name],Locations[Group As])</f>
        <v>Lower Lode</v>
      </c>
      <c r="H1646" t="e" vm="4">
        <f>_xlfn.XLOOKUP(AllData[[#This Row],[Site Name]],LocationsKey[Site Name],LocationsKey[District])</f>
        <v>#VALUE!</v>
      </c>
      <c r="I1646" t="e" vm="4">
        <f>_xlfn.XLOOKUP(AllData[[#This Row],[Site Name]],LocationsKey[Site Name],LocationsKey[Town])</f>
        <v>#VALUE!</v>
      </c>
      <c r="J1646" t="str">
        <f>_xlfn.XLOOKUP(AllData[[#This Row],[Site Name]],LocationsKey[Site Name], LocationsKey[Waterway])</f>
        <v>Avon</v>
      </c>
      <c r="K1646" t="s">
        <v>595</v>
      </c>
      <c r="L1646">
        <v>51.985052000000003</v>
      </c>
      <c r="M1646">
        <v>-2.174159</v>
      </c>
      <c r="N1646" t="s">
        <v>31</v>
      </c>
      <c r="O1646">
        <v>9000</v>
      </c>
      <c r="P1646">
        <v>15.4</v>
      </c>
      <c r="Q1646">
        <v>10</v>
      </c>
      <c r="R1646" s="107" t="str">
        <f>IF(AllData[[#This Row],[Nitrate (PPM)]]&gt;2, "Very high", IF(AllData[[#This Row],[Nitrate (PPM)]]&gt;1, "High", IF(AllData[[#This Row],[Nitrate (PPM)]]&gt;0.5, "Some evidence", IF(AllData[[#This Row],[Nitrate (PPM)]]&gt;=0, "No evidence"))))</f>
        <v>Very high</v>
      </c>
      <c r="S1646" s="4">
        <v>0.08</v>
      </c>
      <c r="T1646" s="7" t="str">
        <f>IF(AllData[[#This Row],[Phosphate (PPM)]]&gt;0.5, "Very high", IF(AllData[[#This Row],[Phosphate (PPM)]]&gt;0.1, "High", IF(AllData[[#This Row],[Phosphate (PPM)]]&gt;0.05, "Some evidence", IF(AllData[[#This Row],[Phosphate (PPM)]]&lt;=0.05, "No Evidence", ""))))</f>
        <v>Some evidence</v>
      </c>
      <c r="U1646">
        <v>2</v>
      </c>
    </row>
    <row r="1647" spans="1:22" x14ac:dyDescent="0.35">
      <c r="A1647" t="s">
        <v>1125</v>
      </c>
      <c r="B1647" s="143">
        <v>45401</v>
      </c>
      <c r="C1647" s="2" t="str" cm="1">
        <f t="array" ref="C16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7">
        <f>YEAR(AllData[[#This Row],[Date]])</f>
        <v>2024</v>
      </c>
      <c r="E1647" s="1"/>
      <c r="F1647" t="str">
        <f>IF(AND(AllData[[#This Row],[Time]]&lt;0.5, AllData[[#This Row],[Time]]&gt;0.17)=TRUE, "Morning", IF(AND(AllData[[#This Row],[Time]]&lt;0.75, AllData[[#This Row],[Time]]&gt;=0.5)=TRUE, "Afternoon", IF(AND(AllData[[#This Row],[Time]]&lt;1, AllData[[#This Row],[Time]]&gt;=0.75)=TRUE, "Evening", "Night")))</f>
        <v>Night</v>
      </c>
      <c r="G1647" t="str">
        <f>_xlfn.XLOOKUP(AllData[[#This Row],[Location Name]], Locations[Location Name],Locations[Group As])</f>
        <v>Site 3  :  Severn Trent Water processing plant outflow</v>
      </c>
      <c r="H1647" t="e" vm="1">
        <f>_xlfn.XLOOKUP(AllData[[#This Row],[Site Name]],LocationsKey[Site Name],LocationsKey[District])</f>
        <v>#VALUE!</v>
      </c>
      <c r="I1647" t="e" vm="14">
        <f>_xlfn.XLOOKUP(AllData[[#This Row],[Site Name]],LocationsKey[Site Name],LocationsKey[Town])</f>
        <v>#VALUE!</v>
      </c>
      <c r="J1647" t="str">
        <f>_xlfn.XLOOKUP(AllData[[#This Row],[Site Name]],LocationsKey[Site Name], LocationsKey[Waterway])</f>
        <v>Fosseway Brook</v>
      </c>
      <c r="K1647" t="s">
        <v>676</v>
      </c>
      <c r="L1647">
        <v>52.094447000000002</v>
      </c>
      <c r="M1647">
        <v>-1.675732</v>
      </c>
      <c r="N1647" t="s">
        <v>31</v>
      </c>
      <c r="O1647">
        <v>801</v>
      </c>
      <c r="P1647">
        <v>13</v>
      </c>
      <c r="Q1647">
        <v>6</v>
      </c>
      <c r="R1647" s="107" t="str">
        <f>IF(AllData[[#This Row],[Nitrate (PPM)]]&gt;2, "Very high", IF(AllData[[#This Row],[Nitrate (PPM)]]&gt;1, "High", IF(AllData[[#This Row],[Nitrate (PPM)]]&gt;0.5, "Some evidence", IF(AllData[[#This Row],[Nitrate (PPM)]]&gt;=0, "No evidence"))))</f>
        <v>Very high</v>
      </c>
      <c r="S1647" s="4">
        <v>2.5</v>
      </c>
      <c r="T1647" s="7" t="str">
        <f>IF(AllData[[#This Row],[Phosphate (PPM)]]&gt;0.5, "Very high", IF(AllData[[#This Row],[Phosphate (PPM)]]&gt;0.1, "High", IF(AllData[[#This Row],[Phosphate (PPM)]]&gt;0.05, "Some evidence", IF(AllData[[#This Row],[Phosphate (PPM)]]&lt;=0.05, "No Evidence", ""))))</f>
        <v>Very high</v>
      </c>
    </row>
    <row r="1648" spans="1:22" x14ac:dyDescent="0.35">
      <c r="A1648" t="s">
        <v>1124</v>
      </c>
      <c r="B1648" s="143">
        <v>45401</v>
      </c>
      <c r="C1648" s="2" t="str" cm="1">
        <f t="array" ref="C16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8">
        <f>YEAR(AllData[[#This Row],[Date]])</f>
        <v>2024</v>
      </c>
      <c r="F1648" t="str">
        <f>IF(AND(AllData[[#This Row],[Time]]&lt;0.5, AllData[[#This Row],[Time]]&gt;0.17)=TRUE, "Morning", IF(AND(AllData[[#This Row],[Time]]&lt;0.75, AllData[[#This Row],[Time]]&gt;=0.5)=TRUE, "Afternoon", IF(AND(AllData[[#This Row],[Time]]&lt;1, AllData[[#This Row],[Time]]&gt;=0.75)=TRUE, "Evening", "Night")))</f>
        <v>Night</v>
      </c>
      <c r="G1648" t="str">
        <f>_xlfn.XLOOKUP(AllData[[#This Row],[Location Name]], Locations[Location Name],Locations[Group As])</f>
        <v>Site 3  :  Severn Trent Water processing plant outflow</v>
      </c>
      <c r="H1648" t="e" vm="1">
        <f>_xlfn.XLOOKUP(AllData[[#This Row],[Site Name]],LocationsKey[Site Name],LocationsKey[District])</f>
        <v>#VALUE!</v>
      </c>
      <c r="I1648" t="e" vm="14">
        <f>_xlfn.XLOOKUP(AllData[[#This Row],[Site Name]],LocationsKey[Site Name],LocationsKey[Town])</f>
        <v>#VALUE!</v>
      </c>
      <c r="J1648" t="str">
        <f>_xlfn.XLOOKUP(AllData[[#This Row],[Site Name]],LocationsKey[Site Name], LocationsKey[Waterway])</f>
        <v>Fosseway Brook</v>
      </c>
      <c r="K1648" t="s">
        <v>673</v>
      </c>
      <c r="L1648">
        <v>52.094447000000002</v>
      </c>
      <c r="M1648">
        <v>-1.675732</v>
      </c>
      <c r="N1648" t="s">
        <v>31</v>
      </c>
      <c r="O1648">
        <v>801</v>
      </c>
      <c r="P1648">
        <v>13</v>
      </c>
      <c r="Q1648">
        <v>6</v>
      </c>
      <c r="R1648" s="107" t="str">
        <f>IF(AllData[[#This Row],[Nitrate (PPM)]]&gt;2, "Very high", IF(AllData[[#This Row],[Nitrate (PPM)]]&gt;1, "High", IF(AllData[[#This Row],[Nitrate (PPM)]]&gt;0.5, "Some evidence", IF(AllData[[#This Row],[Nitrate (PPM)]]&gt;=0, "No evidence"))))</f>
        <v>Very high</v>
      </c>
      <c r="S1648" s="4">
        <v>2.5</v>
      </c>
      <c r="T1648" s="7" t="str">
        <f>IF(AllData[[#This Row],[Phosphate (PPM)]]&gt;0.5, "Very high", IF(AllData[[#This Row],[Phosphate (PPM)]]&gt;0.1, "High", IF(AllData[[#This Row],[Phosphate (PPM)]]&gt;0.05, "Some evidence", IF(AllData[[#This Row],[Phosphate (PPM)]]&lt;=0.05, "No Evidence", ""))))</f>
        <v>Very high</v>
      </c>
      <c r="U1648">
        <v>0</v>
      </c>
      <c r="V1648" t="s">
        <v>835</v>
      </c>
    </row>
    <row r="1649" spans="1:22" x14ac:dyDescent="0.35">
      <c r="A1649" t="s">
        <v>1117</v>
      </c>
      <c r="B1649" s="143">
        <v>45401</v>
      </c>
      <c r="C1649" s="2" t="str" cm="1">
        <f t="array" ref="C16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49">
        <f>YEAR(AllData[[#This Row],[Date]])</f>
        <v>2024</v>
      </c>
      <c r="E1649" s="1">
        <v>0.70902777777777781</v>
      </c>
      <c r="F1649" t="str">
        <f>IF(AND(AllData[[#This Row],[Time]]&lt;0.5, AllData[[#This Row],[Time]]&gt;0.17)=TRUE, "Morning", IF(AND(AllData[[#This Row],[Time]]&lt;0.75, AllData[[#This Row],[Time]]&gt;=0.5)=TRUE, "Afternoon", IF(AND(AllData[[#This Row],[Time]]&lt;1, AllData[[#This Row],[Time]]&gt;=0.75)=TRUE, "Evening", "Night")))</f>
        <v>Afternoon</v>
      </c>
      <c r="G1649" t="str">
        <f>_xlfn.XLOOKUP(AllData[[#This Row],[Location Name]], Locations[Location Name],Locations[Group As])</f>
        <v>Mill Bridge Peopleton</v>
      </c>
      <c r="H1649" t="e" vm="6">
        <f>_xlfn.XLOOKUP(AllData[[#This Row],[Site Name]],LocationsKey[Site Name],LocationsKey[District])</f>
        <v>#VALUE!</v>
      </c>
      <c r="I1649" t="str">
        <f>_xlfn.XLOOKUP(AllData[[#This Row],[Site Name]],LocationsKey[Site Name],LocationsKey[Town])</f>
        <v>Peopleton</v>
      </c>
      <c r="J1649" t="str">
        <f>_xlfn.XLOOKUP(AllData[[#This Row],[Site Name]],LocationsKey[Site Name], LocationsKey[Waterway])</f>
        <v>Bow Brook</v>
      </c>
      <c r="K1649" t="s">
        <v>1015</v>
      </c>
      <c r="L1649">
        <v>52.154262000000003</v>
      </c>
      <c r="M1649">
        <v>-2.0906370000000001</v>
      </c>
      <c r="N1649" t="s">
        <v>31</v>
      </c>
      <c r="O1649">
        <v>1020</v>
      </c>
      <c r="P1649">
        <v>13.3</v>
      </c>
      <c r="Q1649">
        <v>4</v>
      </c>
      <c r="R1649" s="107" t="str">
        <f>IF(AllData[[#This Row],[Nitrate (PPM)]]&gt;2, "Very high", IF(AllData[[#This Row],[Nitrate (PPM)]]&gt;1, "High", IF(AllData[[#This Row],[Nitrate (PPM)]]&gt;0.5, "Some evidence", IF(AllData[[#This Row],[Nitrate (PPM)]]&gt;=0, "No evidence"))))</f>
        <v>Very high</v>
      </c>
      <c r="S1649" s="112">
        <v>0.83</v>
      </c>
      <c r="T1649" s="7" t="str">
        <f>IF(AllData[[#This Row],[Phosphate (PPM)]]&gt;0.5, "Very high", IF(AllData[[#This Row],[Phosphate (PPM)]]&gt;0.1, "High", IF(AllData[[#This Row],[Phosphate (PPM)]]&gt;0.05, "Some evidence", IF(AllData[[#This Row],[Phosphate (PPM)]]&lt;=0.05, "No Evidence", ""))))</f>
        <v>Very high</v>
      </c>
      <c r="U1649">
        <v>0.45</v>
      </c>
    </row>
    <row r="1650" spans="1:22" x14ac:dyDescent="0.35">
      <c r="A1650" t="s">
        <v>1123</v>
      </c>
      <c r="B1650" s="143">
        <v>45401</v>
      </c>
      <c r="C1650" s="2" t="str" cm="1">
        <f t="array" ref="C16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0">
        <f>YEAR(AllData[[#This Row],[Date]])</f>
        <v>2024</v>
      </c>
      <c r="E1650" s="1"/>
      <c r="F1650" t="str">
        <f>IF(AND(AllData[[#This Row],[Time]]&lt;0.5, AllData[[#This Row],[Time]]&gt;0.17)=TRUE, "Morning", IF(AND(AllData[[#This Row],[Time]]&lt;0.75, AllData[[#This Row],[Time]]&gt;=0.5)=TRUE, "Afternoon", IF(AND(AllData[[#This Row],[Time]]&lt;1, AllData[[#This Row],[Time]]&gt;=0.75)=TRUE, "Evening", "Night")))</f>
        <v>Night</v>
      </c>
      <c r="G1650" t="str">
        <f>_xlfn.XLOOKUP(AllData[[#This Row],[Location Name]], Locations[Location Name],Locations[Group As])</f>
        <v>Site 2  :  Cross Leys culvert</v>
      </c>
      <c r="H1650" t="e" vm="1">
        <f>_xlfn.XLOOKUP(AllData[[#This Row],[Site Name]],LocationsKey[Site Name],LocationsKey[District])</f>
        <v>#VALUE!</v>
      </c>
      <c r="I1650" t="e" vm="14">
        <f>_xlfn.XLOOKUP(AllData[[#This Row],[Site Name]],LocationsKey[Site Name],LocationsKey[Town])</f>
        <v>#VALUE!</v>
      </c>
      <c r="J1650" t="str">
        <f>_xlfn.XLOOKUP(AllData[[#This Row],[Site Name]],LocationsKey[Site Name], LocationsKey[Waterway])</f>
        <v>Fosseway Brook</v>
      </c>
      <c r="K1650" t="s">
        <v>626</v>
      </c>
      <c r="L1650">
        <v>52.093020000000003</v>
      </c>
      <c r="M1650">
        <v>-1.6862870000000001</v>
      </c>
      <c r="N1650" t="s">
        <v>68</v>
      </c>
      <c r="O1650">
        <v>606</v>
      </c>
      <c r="P1650">
        <v>12.5</v>
      </c>
      <c r="Q1650">
        <v>3</v>
      </c>
      <c r="R1650" s="107" t="str">
        <f>IF(AllData[[#This Row],[Nitrate (PPM)]]&gt;2, "Very high", IF(AllData[[#This Row],[Nitrate (PPM)]]&gt;1, "High", IF(AllData[[#This Row],[Nitrate (PPM)]]&gt;0.5, "Some evidence", IF(AllData[[#This Row],[Nitrate (PPM)]]&gt;=0, "No evidence"))))</f>
        <v>Very high</v>
      </c>
      <c r="S1650" s="4">
        <v>0.3</v>
      </c>
      <c r="T1650" s="7" t="str">
        <f>IF(AllData[[#This Row],[Phosphate (PPM)]]&gt;0.5, "Very high", IF(AllData[[#This Row],[Phosphate (PPM)]]&gt;0.1, "High", IF(AllData[[#This Row],[Phosphate (PPM)]]&gt;0.05, "Some evidence", IF(AllData[[#This Row],[Phosphate (PPM)]]&lt;=0.05, "No Evidence", ""))))</f>
        <v>High</v>
      </c>
    </row>
    <row r="1651" spans="1:22" x14ac:dyDescent="0.35">
      <c r="A1651" t="s">
        <v>1122</v>
      </c>
      <c r="B1651" s="143">
        <v>45401</v>
      </c>
      <c r="C1651" s="2" t="str" cm="1">
        <f t="array" ref="C16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1">
        <f>YEAR(AllData[[#This Row],[Date]])</f>
        <v>2024</v>
      </c>
      <c r="F1651" t="str">
        <f>IF(AND(AllData[[#This Row],[Time]]&lt;0.5, AllData[[#This Row],[Time]]&gt;0.17)=TRUE, "Morning", IF(AND(AllData[[#This Row],[Time]]&lt;0.75, AllData[[#This Row],[Time]]&gt;=0.5)=TRUE, "Afternoon", IF(AND(AllData[[#This Row],[Time]]&lt;1, AllData[[#This Row],[Time]]&gt;=0.75)=TRUE, "Evening", "Night")))</f>
        <v>Night</v>
      </c>
      <c r="G1651" t="str">
        <f>_xlfn.XLOOKUP(AllData[[#This Row],[Location Name]], Locations[Location Name],Locations[Group As])</f>
        <v>Site 2  :  Cross Leys culvert</v>
      </c>
      <c r="H1651" t="e" vm="1">
        <f>_xlfn.XLOOKUP(AllData[[#This Row],[Site Name]],LocationsKey[Site Name],LocationsKey[District])</f>
        <v>#VALUE!</v>
      </c>
      <c r="I1651" t="e" vm="14">
        <f>_xlfn.XLOOKUP(AllData[[#This Row],[Site Name]],LocationsKey[Site Name],LocationsKey[Town])</f>
        <v>#VALUE!</v>
      </c>
      <c r="J1651" t="str">
        <f>_xlfn.XLOOKUP(AllData[[#This Row],[Site Name]],LocationsKey[Site Name], LocationsKey[Waterway])</f>
        <v>Fosseway Brook</v>
      </c>
      <c r="K1651" t="s">
        <v>623</v>
      </c>
      <c r="L1651">
        <v>52.093020000000003</v>
      </c>
      <c r="M1651">
        <v>-1.6862870000000001</v>
      </c>
      <c r="N1651" t="s">
        <v>68</v>
      </c>
      <c r="O1651">
        <v>606</v>
      </c>
      <c r="P1651">
        <v>12.5</v>
      </c>
      <c r="Q1651">
        <v>3</v>
      </c>
      <c r="R1651" s="107" t="str">
        <f>IF(AllData[[#This Row],[Nitrate (PPM)]]&gt;2, "Very high", IF(AllData[[#This Row],[Nitrate (PPM)]]&gt;1, "High", IF(AllData[[#This Row],[Nitrate (PPM)]]&gt;0.5, "Some evidence", IF(AllData[[#This Row],[Nitrate (PPM)]]&gt;=0, "No evidence"))))</f>
        <v>Very high</v>
      </c>
      <c r="S1651" s="4">
        <v>0.3</v>
      </c>
      <c r="T1651" s="7" t="str">
        <f>IF(AllData[[#This Row],[Phosphate (PPM)]]&gt;0.5, "Very high", IF(AllData[[#This Row],[Phosphate (PPM)]]&gt;0.1, "High", IF(AllData[[#This Row],[Phosphate (PPM)]]&gt;0.05, "Some evidence", IF(AllData[[#This Row],[Phosphate (PPM)]]&lt;=0.05, "No Evidence", ""))))</f>
        <v>High</v>
      </c>
      <c r="U1651">
        <v>0</v>
      </c>
      <c r="V1651" t="s">
        <v>835</v>
      </c>
    </row>
    <row r="1652" spans="1:22" x14ac:dyDescent="0.35">
      <c r="A1652" t="s">
        <v>1120</v>
      </c>
      <c r="B1652" s="143">
        <v>45401</v>
      </c>
      <c r="C1652" s="2" t="str" cm="1">
        <f t="array" ref="C16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2">
        <f>YEAR(AllData[[#This Row],[Date]])</f>
        <v>2024</v>
      </c>
      <c r="E1652" s="1"/>
      <c r="F1652" t="str">
        <f>IF(AND(AllData[[#This Row],[Time]]&lt;0.5, AllData[[#This Row],[Time]]&gt;0.17)=TRUE, "Morning", IF(AND(AllData[[#This Row],[Time]]&lt;0.75, AllData[[#This Row],[Time]]&gt;=0.5)=TRUE, "Afternoon", IF(AND(AllData[[#This Row],[Time]]&lt;1, AllData[[#This Row],[Time]]&gt;=0.75)=TRUE, "Evening", "Night")))</f>
        <v>Night</v>
      </c>
      <c r="G1652" t="str">
        <f>_xlfn.XLOOKUP(AllData[[#This Row],[Location Name]], Locations[Location Name],Locations[Group As])</f>
        <v>Site 1  :  Middle Street</v>
      </c>
      <c r="H1652" t="e" vm="1">
        <f>_xlfn.XLOOKUP(AllData[[#This Row],[Site Name]],LocationsKey[Site Name],LocationsKey[District])</f>
        <v>#VALUE!</v>
      </c>
      <c r="I1652" t="e" vm="14">
        <f>_xlfn.XLOOKUP(AllData[[#This Row],[Site Name]],LocationsKey[Site Name],LocationsKey[Town])</f>
        <v>#VALUE!</v>
      </c>
      <c r="J1652" t="str">
        <f>_xlfn.XLOOKUP(AllData[[#This Row],[Site Name]],LocationsKey[Site Name], LocationsKey[Waterway])</f>
        <v>Fosseway Brook</v>
      </c>
      <c r="K1652" t="s">
        <v>670</v>
      </c>
      <c r="L1652">
        <v>52.090110000000003</v>
      </c>
      <c r="M1652">
        <v>-1.692544</v>
      </c>
      <c r="N1652" t="s">
        <v>68</v>
      </c>
      <c r="O1652">
        <v>571</v>
      </c>
      <c r="P1652">
        <v>13</v>
      </c>
      <c r="Q1652">
        <v>2</v>
      </c>
      <c r="R1652" s="107" t="str">
        <f>IF(AllData[[#This Row],[Nitrate (PPM)]]&gt;2, "Very high", IF(AllData[[#This Row],[Nitrate (PPM)]]&gt;1, "High", IF(AllData[[#This Row],[Nitrate (PPM)]]&gt;0.5, "Some evidence", IF(AllData[[#This Row],[Nitrate (PPM)]]&gt;=0, "No evidence"))))</f>
        <v>High</v>
      </c>
      <c r="S1652" s="4">
        <v>0.05</v>
      </c>
      <c r="T1652" s="7" t="str">
        <f>IF(AllData[[#This Row],[Phosphate (PPM)]]&gt;0.5, "Very high", IF(AllData[[#This Row],[Phosphate (PPM)]]&gt;0.1, "High", IF(AllData[[#This Row],[Phosphate (PPM)]]&gt;0.05, "Some evidence", IF(AllData[[#This Row],[Phosphate (PPM)]]&lt;=0.05, "No Evidence", ""))))</f>
        <v>No Evidence</v>
      </c>
      <c r="V1652" t="s">
        <v>1121</v>
      </c>
    </row>
    <row r="1653" spans="1:22" x14ac:dyDescent="0.35">
      <c r="A1653" t="s">
        <v>1118</v>
      </c>
      <c r="B1653" s="143">
        <v>45401</v>
      </c>
      <c r="C1653" s="2" t="str" cm="1">
        <f t="array" ref="C16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3">
        <f>YEAR(AllData[[#This Row],[Date]])</f>
        <v>2024</v>
      </c>
      <c r="F1653" t="str">
        <f>IF(AND(AllData[[#This Row],[Time]]&lt;0.5, AllData[[#This Row],[Time]]&gt;0.17)=TRUE, "Morning", IF(AND(AllData[[#This Row],[Time]]&lt;0.75, AllData[[#This Row],[Time]]&gt;=0.5)=TRUE, "Afternoon", IF(AND(AllData[[#This Row],[Time]]&lt;1, AllData[[#This Row],[Time]]&gt;=0.75)=TRUE, "Evening", "Night")))</f>
        <v>Night</v>
      </c>
      <c r="G1653" t="str">
        <f>_xlfn.XLOOKUP(AllData[[#This Row],[Location Name]], Locations[Location Name],Locations[Group As])</f>
        <v>Site 1  :  Middle Street</v>
      </c>
      <c r="H1653" t="e" vm="1">
        <f>_xlfn.XLOOKUP(AllData[[#This Row],[Site Name]],LocationsKey[Site Name],LocationsKey[District])</f>
        <v>#VALUE!</v>
      </c>
      <c r="I1653" t="e" vm="14">
        <f>_xlfn.XLOOKUP(AllData[[#This Row],[Site Name]],LocationsKey[Site Name],LocationsKey[Town])</f>
        <v>#VALUE!</v>
      </c>
      <c r="J1653" t="str">
        <f>_xlfn.XLOOKUP(AllData[[#This Row],[Site Name]],LocationsKey[Site Name], LocationsKey[Waterway])</f>
        <v>Fosseway Brook</v>
      </c>
      <c r="K1653" t="s">
        <v>667</v>
      </c>
      <c r="L1653">
        <v>52.090110000000003</v>
      </c>
      <c r="M1653">
        <v>-1.692544</v>
      </c>
      <c r="N1653" t="s">
        <v>68</v>
      </c>
      <c r="O1653">
        <v>571</v>
      </c>
      <c r="P1653">
        <v>13</v>
      </c>
      <c r="Q1653">
        <v>2</v>
      </c>
      <c r="R1653" s="107" t="str">
        <f>IF(AllData[[#This Row],[Nitrate (PPM)]]&gt;2, "Very high", IF(AllData[[#This Row],[Nitrate (PPM)]]&gt;1, "High", IF(AllData[[#This Row],[Nitrate (PPM)]]&gt;0.5, "Some evidence", IF(AllData[[#This Row],[Nitrate (PPM)]]&gt;=0, "No evidence"))))</f>
        <v>High</v>
      </c>
      <c r="S1653" s="4">
        <v>0.05</v>
      </c>
      <c r="T1653" s="7" t="str">
        <f>IF(AllData[[#This Row],[Phosphate (PPM)]]&gt;0.5, "Very high", IF(AllData[[#This Row],[Phosphate (PPM)]]&gt;0.1, "High", IF(AllData[[#This Row],[Phosphate (PPM)]]&gt;0.05, "Some evidence", IF(AllData[[#This Row],[Phosphate (PPM)]]&lt;=0.05, "No Evidence", ""))))</f>
        <v>No Evidence</v>
      </c>
      <c r="U1653">
        <v>0</v>
      </c>
      <c r="V1653" t="s">
        <v>1119</v>
      </c>
    </row>
    <row r="1654" spans="1:22" x14ac:dyDescent="0.35">
      <c r="A1654" t="s">
        <v>1126</v>
      </c>
      <c r="B1654" s="143">
        <v>45401</v>
      </c>
      <c r="C1654" s="2" t="str" cm="1">
        <f t="array" ref="C16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4">
        <f>YEAR(AllData[[#This Row],[Date]])</f>
        <v>2024</v>
      </c>
      <c r="E1654" s="1">
        <v>0.4548611111111111</v>
      </c>
      <c r="F1654" t="str">
        <f>IF(AND(AllData[[#This Row],[Time]]&lt;0.5, AllData[[#This Row],[Time]]&gt;0.17)=TRUE, "Morning", IF(AND(AllData[[#This Row],[Time]]&lt;0.75, AllData[[#This Row],[Time]]&gt;=0.5)=TRUE, "Afternoon", IF(AND(AllData[[#This Row],[Time]]&lt;1, AllData[[#This Row],[Time]]&gt;=0.75)=TRUE, "Evening", "Night")))</f>
        <v>Morning</v>
      </c>
      <c r="G1654" t="str">
        <f>_xlfn.XLOOKUP(AllData[[#This Row],[Location Name]], Locations[Location Name],Locations[Group As])</f>
        <v>Site 1  :  Middle Street</v>
      </c>
      <c r="H1654" t="e" vm="1">
        <f>_xlfn.XLOOKUP(AllData[[#This Row],[Site Name]],LocationsKey[Site Name],LocationsKey[District])</f>
        <v>#VALUE!</v>
      </c>
      <c r="I1654" t="e" vm="14">
        <f>_xlfn.XLOOKUP(AllData[[#This Row],[Site Name]],LocationsKey[Site Name],LocationsKey[Town])</f>
        <v>#VALUE!</v>
      </c>
      <c r="J1654" t="str">
        <f>_xlfn.XLOOKUP(AllData[[#This Row],[Site Name]],LocationsKey[Site Name], LocationsKey[Waterway])</f>
        <v>Fosseway Brook</v>
      </c>
      <c r="K1654" t="s">
        <v>678</v>
      </c>
      <c r="L1654">
        <v>52.090085000000002</v>
      </c>
      <c r="M1654">
        <v>-1.692593</v>
      </c>
      <c r="N1654" t="s">
        <v>68</v>
      </c>
      <c r="O1654">
        <v>571</v>
      </c>
      <c r="P1654">
        <v>13</v>
      </c>
      <c r="Q1654">
        <v>2</v>
      </c>
      <c r="R1654" s="107" t="str">
        <f>IF(AllData[[#This Row],[Nitrate (PPM)]]&gt;2, "Very high", IF(AllData[[#This Row],[Nitrate (PPM)]]&gt;1, "High", IF(AllData[[#This Row],[Nitrate (PPM)]]&gt;0.5, "Some evidence", IF(AllData[[#This Row],[Nitrate (PPM)]]&gt;=0, "No evidence"))))</f>
        <v>High</v>
      </c>
      <c r="S1654">
        <v>0.05</v>
      </c>
      <c r="T1654" s="7" t="str">
        <f>IF(AllData[[#This Row],[Phosphate (PPM)]]&gt;0.5, "Very high", IF(AllData[[#This Row],[Phosphate (PPM)]]&gt;0.1, "High", IF(AllData[[#This Row],[Phosphate (PPM)]]&gt;0.05, "Some evidence", IF(AllData[[#This Row],[Phosphate (PPM)]]&lt;=0.05, "No Evidence", ""))))</f>
        <v>No Evidence</v>
      </c>
      <c r="U1654">
        <v>0.05</v>
      </c>
    </row>
    <row r="1655" spans="1:22" x14ac:dyDescent="0.35">
      <c r="A1655" t="s">
        <v>1113</v>
      </c>
      <c r="B1655" s="143">
        <v>45400</v>
      </c>
      <c r="C1655" s="2" t="str" cm="1">
        <f t="array" ref="C16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5">
        <f>YEAR(AllData[[#This Row],[Date]])</f>
        <v>2024</v>
      </c>
      <c r="E1655" s="1">
        <v>0.51875000000000004</v>
      </c>
      <c r="F1655" t="str">
        <f>IF(AND(AllData[[#This Row],[Time]]&lt;0.5, AllData[[#This Row],[Time]]&gt;0.17)=TRUE, "Morning", IF(AND(AllData[[#This Row],[Time]]&lt;0.75, AllData[[#This Row],[Time]]&gt;=0.5)=TRUE, "Afternoon", IF(AND(AllData[[#This Row],[Time]]&lt;1, AllData[[#This Row],[Time]]&gt;=0.75)=TRUE, "Evening", "Night")))</f>
        <v>Afternoon</v>
      </c>
      <c r="G1655" t="str">
        <f>_xlfn.XLOOKUP(AllData[[#This Row],[Location Name]], Locations[Location Name],Locations[Group As])</f>
        <v>Preston-on-Stour River Bridge</v>
      </c>
      <c r="H1655" t="e" vm="1">
        <f>_xlfn.XLOOKUP(AllData[[#This Row],[Site Name]],LocationsKey[Site Name],LocationsKey[District])</f>
        <v>#VALUE!</v>
      </c>
      <c r="I1655" t="e" vm="20">
        <f>_xlfn.XLOOKUP(AllData[[#This Row],[Site Name]],LocationsKey[Site Name],LocationsKey[Town])</f>
        <v>#VALUE!</v>
      </c>
      <c r="J1655" t="str">
        <f>_xlfn.XLOOKUP(AllData[[#This Row],[Site Name]],LocationsKey[Site Name], LocationsKey[Waterway])</f>
        <v>Stour</v>
      </c>
      <c r="K1655" t="s">
        <v>164</v>
      </c>
      <c r="L1655">
        <v>52.146473</v>
      </c>
      <c r="M1655">
        <v>-1.699732</v>
      </c>
      <c r="N1655" t="s">
        <v>31</v>
      </c>
      <c r="O1655">
        <v>658</v>
      </c>
      <c r="P1655">
        <v>10.8</v>
      </c>
      <c r="Q1655">
        <v>7</v>
      </c>
      <c r="R1655" s="107" t="str">
        <f>IF(AllData[[#This Row],[Nitrate (PPM)]]&gt;2, "Very high", IF(AllData[[#This Row],[Nitrate (PPM)]]&gt;1, "High", IF(AllData[[#This Row],[Nitrate (PPM)]]&gt;0.5, "Some evidence", IF(AllData[[#This Row],[Nitrate (PPM)]]&gt;=0, "No evidence"))))</f>
        <v>Very high</v>
      </c>
      <c r="S1655" s="4">
        <v>0.21</v>
      </c>
      <c r="T1655" s="7" t="str">
        <f>IF(AllData[[#This Row],[Phosphate (PPM)]]&gt;0.5, "Very high", IF(AllData[[#This Row],[Phosphate (PPM)]]&gt;0.1, "High", IF(AllData[[#This Row],[Phosphate (PPM)]]&gt;0.05, "Some evidence", IF(AllData[[#This Row],[Phosphate (PPM)]]&lt;=0.05, "No Evidence", ""))))</f>
        <v>High</v>
      </c>
      <c r="U1655">
        <v>1.5</v>
      </c>
    </row>
    <row r="1656" spans="1:22" x14ac:dyDescent="0.35">
      <c r="A1656" t="s">
        <v>1114</v>
      </c>
      <c r="B1656" s="143">
        <v>45400</v>
      </c>
      <c r="C1656" s="2" t="str" cm="1">
        <f t="array" ref="C16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6">
        <f>YEAR(AllData[[#This Row],[Date]])</f>
        <v>2024</v>
      </c>
      <c r="E1656" s="1">
        <v>0.58263888888888893</v>
      </c>
      <c r="F1656" t="str">
        <f>IF(AND(AllData[[#This Row],[Time]]&lt;0.5, AllData[[#This Row],[Time]]&gt;0.17)=TRUE, "Morning", IF(AND(AllData[[#This Row],[Time]]&lt;0.75, AllData[[#This Row],[Time]]&gt;=0.5)=TRUE, "Afternoon", IF(AND(AllData[[#This Row],[Time]]&lt;1, AllData[[#This Row],[Time]]&gt;=0.75)=TRUE, "Evening", "Night")))</f>
        <v>Afternoon</v>
      </c>
      <c r="G1656" t="str">
        <f>_xlfn.XLOOKUP(AllData[[#This Row],[Location Name]], Locations[Location Name],Locations[Group As])</f>
        <v>Twyning Fleet</v>
      </c>
      <c r="H1656" t="e" vm="4">
        <f>_xlfn.XLOOKUP(AllData[[#This Row],[Site Name]],LocationsKey[Site Name],LocationsKey[District])</f>
        <v>#VALUE!</v>
      </c>
      <c r="I1656" t="str">
        <f>_xlfn.XLOOKUP(AllData[[#This Row],[Site Name]],LocationsKey[Site Name],LocationsKey[Town])</f>
        <v>Twyning Green</v>
      </c>
      <c r="J1656" t="str">
        <f>_xlfn.XLOOKUP(AllData[[#This Row],[Site Name]],LocationsKey[Site Name], LocationsKey[Waterway])</f>
        <v>Avon</v>
      </c>
      <c r="K1656" t="s">
        <v>56</v>
      </c>
      <c r="L1656">
        <v>52.027461000000002</v>
      </c>
      <c r="M1656">
        <v>-2.1407370000000001</v>
      </c>
      <c r="N1656" t="s">
        <v>31</v>
      </c>
      <c r="O1656">
        <v>7380</v>
      </c>
      <c r="P1656">
        <v>13.6</v>
      </c>
      <c r="Q1656">
        <v>5</v>
      </c>
      <c r="R1656" s="107" t="str">
        <f>IF(AllData[[#This Row],[Nitrate (PPM)]]&gt;2, "Very high", IF(AllData[[#This Row],[Nitrate (PPM)]]&gt;1, "High", IF(AllData[[#This Row],[Nitrate (PPM)]]&gt;0.5, "Some evidence", IF(AllData[[#This Row],[Nitrate (PPM)]]&gt;=0, "No evidence"))))</f>
        <v>Very high</v>
      </c>
      <c r="S1656" s="4">
        <v>0.99</v>
      </c>
      <c r="T1656" s="7" t="str">
        <f>IF(AllData[[#This Row],[Phosphate (PPM)]]&gt;0.5, "Very high", IF(AllData[[#This Row],[Phosphate (PPM)]]&gt;0.1, "High", IF(AllData[[#This Row],[Phosphate (PPM)]]&gt;0.05, "Some evidence", IF(AllData[[#This Row],[Phosphate (PPM)]]&lt;=0.05, "No Evidence", ""))))</f>
        <v>Very high</v>
      </c>
      <c r="U1656">
        <v>0</v>
      </c>
      <c r="V1656" t="s">
        <v>1115</v>
      </c>
    </row>
    <row r="1657" spans="1:22" x14ac:dyDescent="0.35">
      <c r="A1657" t="s">
        <v>1112</v>
      </c>
      <c r="B1657" s="143">
        <v>45400</v>
      </c>
      <c r="C1657" s="2" t="str" cm="1">
        <f t="array" ref="C16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7">
        <f>YEAR(AllData[[#This Row],[Date]])</f>
        <v>2024</v>
      </c>
      <c r="E1657" s="1">
        <v>0.44791666666666669</v>
      </c>
      <c r="F1657" t="str">
        <f>IF(AND(AllData[[#This Row],[Time]]&lt;0.5, AllData[[#This Row],[Time]]&gt;0.17)=TRUE, "Morning", IF(AND(AllData[[#This Row],[Time]]&lt;0.75, AllData[[#This Row],[Time]]&gt;=0.5)=TRUE, "Afternoon", IF(AND(AllData[[#This Row],[Time]]&lt;1, AllData[[#This Row],[Time]]&gt;=0.75)=TRUE, "Evening", "Night")))</f>
        <v>Morning</v>
      </c>
      <c r="G1657" t="str">
        <f>_xlfn.XLOOKUP(AllData[[#This Row],[Location Name]], Locations[Location Name],Locations[Group As])</f>
        <v>Swilgate</v>
      </c>
      <c r="H1657" t="e" vm="4">
        <f>_xlfn.XLOOKUP(AllData[[#This Row],[Site Name]],LocationsKey[Site Name],LocationsKey[District])</f>
        <v>#VALUE!</v>
      </c>
      <c r="I1657" t="e" vm="4">
        <f>_xlfn.XLOOKUP(AllData[[#This Row],[Site Name]],LocationsKey[Site Name],LocationsKey[Town])</f>
        <v>#VALUE!</v>
      </c>
      <c r="J1657" t="str">
        <f>_xlfn.XLOOKUP(AllData[[#This Row],[Site Name]],LocationsKey[Site Name], LocationsKey[Waterway])</f>
        <v>Swilgate</v>
      </c>
      <c r="K1657" t="s">
        <v>85</v>
      </c>
      <c r="N1657" t="s">
        <v>25</v>
      </c>
      <c r="O1657">
        <v>928</v>
      </c>
      <c r="P1657">
        <v>10.5</v>
      </c>
      <c r="Q1657">
        <v>3</v>
      </c>
      <c r="R1657" s="107" t="str">
        <f>IF(AllData[[#This Row],[Nitrate (PPM)]]&gt;2, "Very high", IF(AllData[[#This Row],[Nitrate (PPM)]]&gt;1, "High", IF(AllData[[#This Row],[Nitrate (PPM)]]&gt;0.5, "Some evidence", IF(AllData[[#This Row],[Nitrate (PPM)]]&gt;=0, "No evidence"))))</f>
        <v>Very high</v>
      </c>
      <c r="S1657" s="112">
        <v>0.37</v>
      </c>
      <c r="T1657" s="7" t="str">
        <f>IF(AllData[[#This Row],[Phosphate (PPM)]]&gt;0.5, "Very high", IF(AllData[[#This Row],[Phosphate (PPM)]]&gt;0.1, "High", IF(AllData[[#This Row],[Phosphate (PPM)]]&gt;0.05, "Some evidence", IF(AllData[[#This Row],[Phosphate (PPM)]]&lt;=0.05, "No Evidence", ""))))</f>
        <v>High</v>
      </c>
      <c r="U1657">
        <v>0</v>
      </c>
    </row>
    <row r="1658" spans="1:22" x14ac:dyDescent="0.35">
      <c r="A1658" t="s">
        <v>1111</v>
      </c>
      <c r="B1658" s="143">
        <v>45400</v>
      </c>
      <c r="C1658" s="2" t="str" cm="1">
        <f t="array" ref="C16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8">
        <f>YEAR(AllData[[#This Row],[Date]])</f>
        <v>2024</v>
      </c>
      <c r="E1658" s="1">
        <v>0.43472222222222223</v>
      </c>
      <c r="F1658" t="str">
        <f>IF(AND(AllData[[#This Row],[Time]]&lt;0.5, AllData[[#This Row],[Time]]&gt;0.17)=TRUE, "Morning", IF(AND(AllData[[#This Row],[Time]]&lt;0.75, AllData[[#This Row],[Time]]&gt;=0.5)=TRUE, "Afternoon", IF(AND(AllData[[#This Row],[Time]]&lt;1, AllData[[#This Row],[Time]]&gt;=0.75)=TRUE, "Evening", "Night")))</f>
        <v>Morning</v>
      </c>
      <c r="G1658" t="str">
        <f>_xlfn.XLOOKUP(AllData[[#This Row],[Location Name]], Locations[Location Name],Locations[Group As])</f>
        <v>Stour Willington</v>
      </c>
      <c r="H1658" t="e" vm="1">
        <f>_xlfn.XLOOKUP(AllData[[#This Row],[Site Name]],LocationsKey[Site Name],LocationsKey[District])</f>
        <v>#VALUE!</v>
      </c>
      <c r="I1658" t="str">
        <f>_xlfn.XLOOKUP(AllData[[#This Row],[Site Name]],LocationsKey[Site Name],LocationsKey[Town])</f>
        <v>Willington</v>
      </c>
      <c r="J1658" t="str">
        <f>_xlfn.XLOOKUP(AllData[[#This Row],[Site Name]],LocationsKey[Site Name], LocationsKey[Waterway])</f>
        <v>Stour</v>
      </c>
      <c r="K1658" t="s">
        <v>521</v>
      </c>
      <c r="L1658">
        <v>52.053559999999997</v>
      </c>
      <c r="M1658">
        <v>-1.620126</v>
      </c>
      <c r="N1658" t="s">
        <v>25</v>
      </c>
      <c r="O1658">
        <v>597</v>
      </c>
      <c r="P1658">
        <v>10.7</v>
      </c>
      <c r="Q1658">
        <v>2</v>
      </c>
      <c r="R1658" s="107" t="str">
        <f>IF(AllData[[#This Row],[Nitrate (PPM)]]&gt;2, "Very high", IF(AllData[[#This Row],[Nitrate (PPM)]]&gt;1, "High", IF(AllData[[#This Row],[Nitrate (PPM)]]&gt;0.5, "Some evidence", IF(AllData[[#This Row],[Nitrate (PPM)]]&gt;=0, "No evidence"))))</f>
        <v>High</v>
      </c>
      <c r="S1658" s="112">
        <v>0.15</v>
      </c>
      <c r="T1658" s="7" t="str">
        <f>IF(AllData[[#This Row],[Phosphate (PPM)]]&gt;0.5, "Very high", IF(AllData[[#This Row],[Phosphate (PPM)]]&gt;0.1, "High", IF(AllData[[#This Row],[Phosphate (PPM)]]&gt;0.05, "Some evidence", IF(AllData[[#This Row],[Phosphate (PPM)]]&lt;=0.05, "No Evidence", ""))))</f>
        <v>High</v>
      </c>
      <c r="U1658">
        <v>0.5</v>
      </c>
    </row>
    <row r="1659" spans="1:22" x14ac:dyDescent="0.35">
      <c r="A1659" t="s">
        <v>1110</v>
      </c>
      <c r="B1659" s="143">
        <v>45399</v>
      </c>
      <c r="C1659" s="2" t="str" cm="1">
        <f t="array" ref="C16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59">
        <f>YEAR(AllData[[#This Row],[Date]])</f>
        <v>2024</v>
      </c>
      <c r="E1659" s="1">
        <v>0.66666666666666663</v>
      </c>
      <c r="F1659" t="str">
        <f>IF(AND(AllData[[#This Row],[Time]]&lt;0.5, AllData[[#This Row],[Time]]&gt;0.17)=TRUE, "Morning", IF(AND(AllData[[#This Row],[Time]]&lt;0.75, AllData[[#This Row],[Time]]&gt;=0.5)=TRUE, "Afternoon", IF(AND(AllData[[#This Row],[Time]]&lt;1, AllData[[#This Row],[Time]]&gt;=0.75)=TRUE, "Evening", "Night")))</f>
        <v>Afternoon</v>
      </c>
      <c r="G1659" t="str">
        <f>_xlfn.XLOOKUP(AllData[[#This Row],[Location Name]], Locations[Location Name],Locations[Group As])</f>
        <v>Stour Newbold Mill</v>
      </c>
      <c r="H1659" t="e" vm="1">
        <f>_xlfn.XLOOKUP(AllData[[#This Row],[Site Name]],LocationsKey[Site Name],LocationsKey[District])</f>
        <v>#VALUE!</v>
      </c>
      <c r="I1659" t="e" vm="27">
        <f>_xlfn.XLOOKUP(AllData[[#This Row],[Site Name]],LocationsKey[Site Name],LocationsKey[Town])</f>
        <v>#VALUE!</v>
      </c>
      <c r="J1659" t="str">
        <f>_xlfn.XLOOKUP(AllData[[#This Row],[Site Name]],LocationsKey[Site Name], LocationsKey[Waterway])</f>
        <v>Stour</v>
      </c>
      <c r="K1659" t="s">
        <v>141</v>
      </c>
      <c r="N1659" t="s">
        <v>31</v>
      </c>
      <c r="O1659">
        <v>572</v>
      </c>
      <c r="P1659">
        <v>18.100000000000001</v>
      </c>
      <c r="Q1659">
        <v>2</v>
      </c>
      <c r="R1659" s="107" t="str">
        <f>IF(AllData[[#This Row],[Nitrate (PPM)]]&gt;2, "Very high", IF(AllData[[#This Row],[Nitrate (PPM)]]&gt;1, "High", IF(AllData[[#This Row],[Nitrate (PPM)]]&gt;0.5, "Some evidence", IF(AllData[[#This Row],[Nitrate (PPM)]]&gt;=0, "No evidence"))))</f>
        <v>High</v>
      </c>
      <c r="S1659" s="4">
        <v>0.27</v>
      </c>
      <c r="T1659" s="7" t="str">
        <f>IF(AllData[[#This Row],[Phosphate (PPM)]]&gt;0.5, "Very high", IF(AllData[[#This Row],[Phosphate (PPM)]]&gt;0.1, "High", IF(AllData[[#This Row],[Phosphate (PPM)]]&gt;0.05, "Some evidence", IF(AllData[[#This Row],[Phosphate (PPM)]]&lt;=0.05, "No Evidence", ""))))</f>
        <v>High</v>
      </c>
      <c r="U1659">
        <v>2.5</v>
      </c>
      <c r="V1659" t="s">
        <v>533</v>
      </c>
    </row>
    <row r="1660" spans="1:22" x14ac:dyDescent="0.35">
      <c r="A1660" t="s">
        <v>1108</v>
      </c>
      <c r="B1660" s="143">
        <v>45398</v>
      </c>
      <c r="C1660" s="2" t="str" cm="1">
        <f t="array" ref="C16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0">
        <f>YEAR(AllData[[#This Row],[Date]])</f>
        <v>2024</v>
      </c>
      <c r="E1660" s="1">
        <v>0.38333333333333336</v>
      </c>
      <c r="F1660" t="str">
        <f>IF(AND(AllData[[#This Row],[Time]]&lt;0.5, AllData[[#This Row],[Time]]&gt;0.17)=TRUE, "Morning", IF(AND(AllData[[#This Row],[Time]]&lt;0.75, AllData[[#This Row],[Time]]&gt;=0.5)=TRUE, "Afternoon", IF(AND(AllData[[#This Row],[Time]]&lt;1, AllData[[#This Row],[Time]]&gt;=0.75)=TRUE, "Evening", "Night")))</f>
        <v>Morning</v>
      </c>
      <c r="G1660" t="str">
        <f>_xlfn.XLOOKUP(AllData[[#This Row],[Location Name]], Locations[Location Name],Locations[Group As])</f>
        <v>Stour Stretton-on-Fosse Sewage Works</v>
      </c>
      <c r="H1660" t="e" vm="1">
        <f>_xlfn.XLOOKUP(AllData[[#This Row],[Site Name]],LocationsKey[Site Name],LocationsKey[District])</f>
        <v>#VALUE!</v>
      </c>
      <c r="I1660" t="e" vm="30">
        <f>_xlfn.XLOOKUP(AllData[[#This Row],[Site Name]],LocationsKey[Site Name],LocationsKey[Town])</f>
        <v>#VALUE!</v>
      </c>
      <c r="J1660" t="str">
        <f>_xlfn.XLOOKUP(AllData[[#This Row],[Site Name]],LocationsKey[Site Name], LocationsKey[Waterway])</f>
        <v>Stour</v>
      </c>
      <c r="K1660" t="s">
        <v>337</v>
      </c>
      <c r="L1660">
        <v>52.045665</v>
      </c>
      <c r="M1660">
        <v>-1.6719170000000001</v>
      </c>
      <c r="N1660" t="s">
        <v>31</v>
      </c>
      <c r="O1660">
        <v>753</v>
      </c>
      <c r="P1660">
        <v>9.1999999999999993</v>
      </c>
      <c r="Q1660">
        <v>2</v>
      </c>
      <c r="R1660" s="107" t="str">
        <f>IF(AllData[[#This Row],[Nitrate (PPM)]]&gt;2, "Very high", IF(AllData[[#This Row],[Nitrate (PPM)]]&gt;1, "High", IF(AllData[[#This Row],[Nitrate (PPM)]]&gt;0.5, "Some evidence", IF(AllData[[#This Row],[Nitrate (PPM)]]&gt;=0, "No evidence"))))</f>
        <v>High</v>
      </c>
      <c r="S1660" s="4">
        <v>2.5</v>
      </c>
      <c r="T1660" s="7" t="str">
        <f>IF(AllData[[#This Row],[Phosphate (PPM)]]&gt;0.5, "Very high", IF(AllData[[#This Row],[Phosphate (PPM)]]&gt;0.1, "High", IF(AllData[[#This Row],[Phosphate (PPM)]]&gt;0.05, "Some evidence", IF(AllData[[#This Row],[Phosphate (PPM)]]&lt;=0.05, "No Evidence", ""))))</f>
        <v>Very high</v>
      </c>
      <c r="U1660">
        <v>0.2</v>
      </c>
      <c r="V1660" t="s">
        <v>1109</v>
      </c>
    </row>
    <row r="1661" spans="1:22" x14ac:dyDescent="0.35">
      <c r="A1661" t="s">
        <v>1107</v>
      </c>
      <c r="B1661" s="143">
        <v>45398</v>
      </c>
      <c r="C1661" s="2" t="str" cm="1">
        <f t="array" ref="C16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1">
        <f>YEAR(AllData[[#This Row],[Date]])</f>
        <v>2024</v>
      </c>
      <c r="E1661" s="1">
        <v>0.37152777777777779</v>
      </c>
      <c r="F1661" t="str">
        <f>IF(AND(AllData[[#This Row],[Time]]&lt;0.5, AllData[[#This Row],[Time]]&gt;0.17)=TRUE, "Morning", IF(AND(AllData[[#This Row],[Time]]&lt;0.75, AllData[[#This Row],[Time]]&gt;=0.5)=TRUE, "Afternoon", IF(AND(AllData[[#This Row],[Time]]&lt;1, AllData[[#This Row],[Time]]&gt;=0.75)=TRUE, "Evening", "Night")))</f>
        <v>Morning</v>
      </c>
      <c r="G1661" t="str">
        <f>_xlfn.XLOOKUP(AllData[[#This Row],[Location Name]], Locations[Location Name],Locations[Group As])</f>
        <v>Stour Stretton-on-Fosse Village</v>
      </c>
      <c r="H1661" t="e" vm="1">
        <f>_xlfn.XLOOKUP(AllData[[#This Row],[Site Name]],LocationsKey[Site Name],LocationsKey[District])</f>
        <v>#VALUE!</v>
      </c>
      <c r="I1661" t="e" vm="30">
        <f>_xlfn.XLOOKUP(AllData[[#This Row],[Site Name]],LocationsKey[Site Name],LocationsKey[Town])</f>
        <v>#VALUE!</v>
      </c>
      <c r="J1661" t="str">
        <f>_xlfn.XLOOKUP(AllData[[#This Row],[Site Name]],LocationsKey[Site Name], LocationsKey[Waterway])</f>
        <v>Stour</v>
      </c>
      <c r="K1661" t="s">
        <v>548</v>
      </c>
      <c r="L1661">
        <v>52.046520999999998</v>
      </c>
      <c r="M1661">
        <v>-1.6734370000000001</v>
      </c>
      <c r="N1661" t="s">
        <v>68</v>
      </c>
      <c r="O1661">
        <v>713</v>
      </c>
      <c r="P1661">
        <v>8.9</v>
      </c>
      <c r="Q1661">
        <v>2</v>
      </c>
      <c r="R1661" s="107" t="str">
        <f>IF(AllData[[#This Row],[Nitrate (PPM)]]&gt;2, "Very high", IF(AllData[[#This Row],[Nitrate (PPM)]]&gt;1, "High", IF(AllData[[#This Row],[Nitrate (PPM)]]&gt;0.5, "Some evidence", IF(AllData[[#This Row],[Nitrate (PPM)]]&gt;=0, "No evidence"))))</f>
        <v>High</v>
      </c>
      <c r="S1661" s="4">
        <v>1.99</v>
      </c>
      <c r="T1661" s="7" t="str">
        <f>IF(AllData[[#This Row],[Phosphate (PPM)]]&gt;0.5, "Very high", IF(AllData[[#This Row],[Phosphate (PPM)]]&gt;0.1, "High", IF(AllData[[#This Row],[Phosphate (PPM)]]&gt;0.05, "Some evidence", IF(AllData[[#This Row],[Phosphate (PPM)]]&lt;=0.05, "No Evidence", ""))))</f>
        <v>Very high</v>
      </c>
      <c r="U1661">
        <v>0.2</v>
      </c>
    </row>
    <row r="1662" spans="1:22" x14ac:dyDescent="0.35">
      <c r="A1662" t="s">
        <v>1103</v>
      </c>
      <c r="B1662" s="143">
        <v>45397</v>
      </c>
      <c r="C1662" s="2" t="str" cm="1">
        <f t="array" ref="C16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2">
        <f>YEAR(AllData[[#This Row],[Date]])</f>
        <v>2024</v>
      </c>
      <c r="E1662" s="1">
        <v>0.59722222222222221</v>
      </c>
      <c r="F1662" t="str">
        <f>IF(AND(AllData[[#This Row],[Time]]&lt;0.5, AllData[[#This Row],[Time]]&gt;0.17)=TRUE, "Morning", IF(AND(AllData[[#This Row],[Time]]&lt;0.75, AllData[[#This Row],[Time]]&gt;=0.5)=TRUE, "Afternoon", IF(AND(AllData[[#This Row],[Time]]&lt;1, AllData[[#This Row],[Time]]&gt;=0.75)=TRUE, "Evening", "Night")))</f>
        <v>Afternoon</v>
      </c>
      <c r="G1662" t="str">
        <f>_xlfn.XLOOKUP(AllData[[#This Row],[Location Name]], Locations[Location Name],Locations[Group As])</f>
        <v>Abbey Mill</v>
      </c>
      <c r="H1662" t="e" vm="4">
        <f>_xlfn.XLOOKUP(AllData[[#This Row],[Site Name]],LocationsKey[Site Name],LocationsKey[District])</f>
        <v>#VALUE!</v>
      </c>
      <c r="I1662" t="e" vm="4">
        <f>_xlfn.XLOOKUP(AllData[[#This Row],[Site Name]],LocationsKey[Site Name],LocationsKey[Town])</f>
        <v>#VALUE!</v>
      </c>
      <c r="J1662" t="str">
        <f>_xlfn.XLOOKUP(AllData[[#This Row],[Site Name]],LocationsKey[Site Name], LocationsKey[Waterway])</f>
        <v>Avon</v>
      </c>
      <c r="K1662" t="s">
        <v>27</v>
      </c>
      <c r="L1662">
        <v>51.989905999999998</v>
      </c>
      <c r="M1662">
        <v>-2.1616270000000002</v>
      </c>
      <c r="N1662" t="s">
        <v>25</v>
      </c>
      <c r="O1662">
        <v>794</v>
      </c>
      <c r="P1662">
        <v>13</v>
      </c>
      <c r="Q1662">
        <v>10</v>
      </c>
      <c r="R1662" s="107" t="str">
        <f>IF(AllData[[#This Row],[Nitrate (PPM)]]&gt;2, "Very high", IF(AllData[[#This Row],[Nitrate (PPM)]]&gt;1, "High", IF(AllData[[#This Row],[Nitrate (PPM)]]&gt;0.5, "Some evidence", IF(AllData[[#This Row],[Nitrate (PPM)]]&gt;=0, "No evidence"))))</f>
        <v>Very high</v>
      </c>
      <c r="S1662" s="4">
        <v>0.52</v>
      </c>
      <c r="T1662" s="7" t="str">
        <f>IF(AllData[[#This Row],[Phosphate (PPM)]]&gt;0.5, "Very high", IF(AllData[[#This Row],[Phosphate (PPM)]]&gt;0.1, "High", IF(AllData[[#This Row],[Phosphate (PPM)]]&gt;0.05, "Some evidence", IF(AllData[[#This Row],[Phosphate (PPM)]]&lt;=0.05, "No Evidence", ""))))</f>
        <v>Very high</v>
      </c>
      <c r="U1662">
        <v>0.5</v>
      </c>
      <c r="V1662" t="s">
        <v>1104</v>
      </c>
    </row>
    <row r="1663" spans="1:22" x14ac:dyDescent="0.35">
      <c r="A1663" t="s">
        <v>1105</v>
      </c>
      <c r="B1663" s="143">
        <v>45397</v>
      </c>
      <c r="C1663" s="2" t="str" cm="1">
        <f t="array" ref="C16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3">
        <f>YEAR(AllData[[#This Row],[Date]])</f>
        <v>2024</v>
      </c>
      <c r="E1663" s="1">
        <v>0.60416666666666663</v>
      </c>
      <c r="F1663" t="str">
        <f>IF(AND(AllData[[#This Row],[Time]]&lt;0.5, AllData[[#This Row],[Time]]&gt;0.17)=TRUE, "Morning", IF(AND(AllData[[#This Row],[Time]]&lt;0.75, AllData[[#This Row],[Time]]&gt;=0.5)=TRUE, "Afternoon", IF(AND(AllData[[#This Row],[Time]]&lt;1, AllData[[#This Row],[Time]]&gt;=0.75)=TRUE, "Evening", "Night")))</f>
        <v>Afternoon</v>
      </c>
      <c r="G1663" t="str">
        <f>_xlfn.XLOOKUP(AllData[[#This Row],[Location Name]], Locations[Location Name],Locations[Group As])</f>
        <v>Swiffen Bank</v>
      </c>
      <c r="H1663" t="e" vm="1">
        <f>_xlfn.XLOOKUP(AllData[[#This Row],[Site Name]],LocationsKey[Site Name],LocationsKey[District])</f>
        <v>#VALUE!</v>
      </c>
      <c r="I1663" t="e" vm="2">
        <f>_xlfn.XLOOKUP(AllData[[#This Row],[Site Name]],LocationsKey[Site Name],LocationsKey[Town])</f>
        <v>#VALUE!</v>
      </c>
      <c r="J1663" t="str">
        <f>_xlfn.XLOOKUP(AllData[[#This Row],[Site Name]],LocationsKey[Site Name], LocationsKey[Waterway])</f>
        <v>Avon</v>
      </c>
      <c r="K1663" t="s">
        <v>286</v>
      </c>
      <c r="L1663">
        <v>52.206477999999997</v>
      </c>
      <c r="M1663">
        <v>-1.653894</v>
      </c>
      <c r="N1663" t="s">
        <v>31</v>
      </c>
      <c r="O1663">
        <v>675</v>
      </c>
      <c r="P1663">
        <v>12.7</v>
      </c>
      <c r="Q1663">
        <v>10</v>
      </c>
      <c r="R1663" s="107" t="str">
        <f>IF(AllData[[#This Row],[Nitrate (PPM)]]&gt;2, "Very high", IF(AllData[[#This Row],[Nitrate (PPM)]]&gt;1, "High", IF(AllData[[#This Row],[Nitrate (PPM)]]&gt;0.5, "Some evidence", IF(AllData[[#This Row],[Nitrate (PPM)]]&gt;=0, "No evidence"))))</f>
        <v>Very high</v>
      </c>
      <c r="S1663" s="4">
        <v>0.41</v>
      </c>
      <c r="T1663" s="7" t="str">
        <f>IF(AllData[[#This Row],[Phosphate (PPM)]]&gt;0.5, "Very high", IF(AllData[[#This Row],[Phosphate (PPM)]]&gt;0.1, "High", IF(AllData[[#This Row],[Phosphate (PPM)]]&gt;0.05, "Some evidence", IF(AllData[[#This Row],[Phosphate (PPM)]]&lt;=0.05, "No Evidence", ""))))</f>
        <v>High</v>
      </c>
      <c r="U1663">
        <v>0</v>
      </c>
    </row>
    <row r="1664" spans="1:22" x14ac:dyDescent="0.35">
      <c r="A1664" t="s">
        <v>1101</v>
      </c>
      <c r="B1664" s="143">
        <v>45397</v>
      </c>
      <c r="C1664" s="2" t="str" cm="1">
        <f t="array" ref="C16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4">
        <f>YEAR(AllData[[#This Row],[Date]])</f>
        <v>2024</v>
      </c>
      <c r="E1664" s="1">
        <v>0.59444444444444444</v>
      </c>
      <c r="F1664" t="str">
        <f>IF(AND(AllData[[#This Row],[Time]]&lt;0.5, AllData[[#This Row],[Time]]&gt;0.17)=TRUE, "Morning", IF(AND(AllData[[#This Row],[Time]]&lt;0.75, AllData[[#This Row],[Time]]&gt;=0.5)=TRUE, "Afternoon", IF(AND(AllData[[#This Row],[Time]]&lt;1, AllData[[#This Row],[Time]]&gt;=0.75)=TRUE, "Evening", "Night")))</f>
        <v>Afternoon</v>
      </c>
      <c r="G1664" t="str">
        <f>_xlfn.XLOOKUP(AllData[[#This Row],[Location Name]], Locations[Location Name],Locations[Group As])</f>
        <v>Alveston Weir</v>
      </c>
      <c r="H1664" t="e" vm="1">
        <f>_xlfn.XLOOKUP(AllData[[#This Row],[Site Name]],LocationsKey[Site Name],LocationsKey[District])</f>
        <v>#VALUE!</v>
      </c>
      <c r="I1664" t="e" vm="2">
        <f>_xlfn.XLOOKUP(AllData[[#This Row],[Site Name]],LocationsKey[Site Name],LocationsKey[Town])</f>
        <v>#VALUE!</v>
      </c>
      <c r="J1664" t="str">
        <f>_xlfn.XLOOKUP(AllData[[#This Row],[Site Name]],LocationsKey[Site Name], LocationsKey[Waterway])</f>
        <v>Avon</v>
      </c>
      <c r="K1664" t="s">
        <v>288</v>
      </c>
      <c r="L1664">
        <v>52.212288999999998</v>
      </c>
      <c r="M1664">
        <v>-1.660452</v>
      </c>
      <c r="N1664" t="s">
        <v>31</v>
      </c>
      <c r="O1664">
        <v>666</v>
      </c>
      <c r="P1664">
        <v>15</v>
      </c>
      <c r="Q1664">
        <v>10</v>
      </c>
      <c r="R1664" s="107" t="str">
        <f>IF(AllData[[#This Row],[Nitrate (PPM)]]&gt;2, "Very high", IF(AllData[[#This Row],[Nitrate (PPM)]]&gt;1, "High", IF(AllData[[#This Row],[Nitrate (PPM)]]&gt;0.5, "Some evidence", IF(AllData[[#This Row],[Nitrate (PPM)]]&gt;=0, "No evidence"))))</f>
        <v>Very high</v>
      </c>
      <c r="S1664" s="4">
        <v>0.44</v>
      </c>
      <c r="T1664" s="7" t="str">
        <f>IF(AllData[[#This Row],[Phosphate (PPM)]]&gt;0.5, "Very high", IF(AllData[[#This Row],[Phosphate (PPM)]]&gt;0.1, "High", IF(AllData[[#This Row],[Phosphate (PPM)]]&gt;0.05, "Some evidence", IF(AllData[[#This Row],[Phosphate (PPM)]]&lt;=0.05, "No Evidence", ""))))</f>
        <v>High</v>
      </c>
      <c r="U1664">
        <v>0</v>
      </c>
      <c r="V1664" t="s">
        <v>1102</v>
      </c>
    </row>
    <row r="1665" spans="1:22" x14ac:dyDescent="0.35">
      <c r="A1665" t="s">
        <v>1106</v>
      </c>
      <c r="B1665" s="143">
        <v>45397</v>
      </c>
      <c r="C1665" s="2" t="str" cm="1">
        <f t="array" ref="C16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5">
        <f>YEAR(AllData[[#This Row],[Date]])</f>
        <v>2024</v>
      </c>
      <c r="E1665" s="1">
        <v>0.64513888888888893</v>
      </c>
      <c r="F1665" t="str">
        <f>IF(AND(AllData[[#This Row],[Time]]&lt;0.5, AllData[[#This Row],[Time]]&gt;0.17)=TRUE, "Morning", IF(AND(AllData[[#This Row],[Time]]&lt;0.75, AllData[[#This Row],[Time]]&gt;=0.5)=TRUE, "Afternoon", IF(AND(AllData[[#This Row],[Time]]&lt;1, AllData[[#This Row],[Time]]&gt;=0.75)=TRUE, "Evening", "Night")))</f>
        <v>Afternoon</v>
      </c>
      <c r="G1665" t="str">
        <f>_xlfn.XLOOKUP(AllData[[#This Row],[Location Name]], Locations[Location Name],Locations[Group As])</f>
        <v>The Ford, Langley</v>
      </c>
      <c r="H1665" t="e" vm="1">
        <f>_xlfn.XLOOKUP(AllData[[#This Row],[Site Name]],LocationsKey[Site Name],LocationsKey[District])</f>
        <v>#VALUE!</v>
      </c>
      <c r="I1665" t="str">
        <f>_xlfn.XLOOKUP(AllData[[#This Row],[Site Name]],LocationsKey[Site Name],LocationsKey[Town])</f>
        <v>Langley</v>
      </c>
      <c r="J1665" t="str">
        <f>_xlfn.XLOOKUP(AllData[[#This Row],[Site Name]],LocationsKey[Site Name], LocationsKey[Waterway])</f>
        <v>Langley Ford</v>
      </c>
      <c r="K1665" t="s">
        <v>561</v>
      </c>
      <c r="L1665">
        <v>52.259639</v>
      </c>
      <c r="M1665">
        <v>-1.7181999999999999</v>
      </c>
      <c r="N1665" t="s">
        <v>31</v>
      </c>
      <c r="O1665">
        <v>582</v>
      </c>
      <c r="P1665">
        <v>11.2</v>
      </c>
      <c r="Q1665">
        <v>0.5</v>
      </c>
      <c r="R1665" s="107" t="str">
        <f>IF(AllData[[#This Row],[Nitrate (PPM)]]&gt;2, "Very high", IF(AllData[[#This Row],[Nitrate (PPM)]]&gt;1, "High", IF(AllData[[#This Row],[Nitrate (PPM)]]&gt;0.5, "Some evidence", IF(AllData[[#This Row],[Nitrate (PPM)]]&gt;=0, "No evidence"))))</f>
        <v>No evidence</v>
      </c>
      <c r="S1665" s="4">
        <v>0.78</v>
      </c>
      <c r="T1665" s="7" t="str">
        <f>IF(AllData[[#This Row],[Phosphate (PPM)]]&gt;0.5, "Very high", IF(AllData[[#This Row],[Phosphate (PPM)]]&gt;0.1, "High", IF(AllData[[#This Row],[Phosphate (PPM)]]&gt;0.05, "Some evidence", IF(AllData[[#This Row],[Phosphate (PPM)]]&lt;=0.05, "No Evidence", ""))))</f>
        <v>Very high</v>
      </c>
      <c r="U1665">
        <v>0.65</v>
      </c>
    </row>
    <row r="1666" spans="1:22" x14ac:dyDescent="0.35">
      <c r="A1666" t="s">
        <v>1089</v>
      </c>
      <c r="B1666" s="143">
        <v>45396</v>
      </c>
      <c r="C1666" s="2" t="str" cm="1">
        <f t="array" ref="C16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6">
        <f>YEAR(AllData[[#This Row],[Date]])</f>
        <v>2024</v>
      </c>
      <c r="E1666" s="1">
        <v>0.72916666666666663</v>
      </c>
      <c r="F1666" t="str">
        <f>IF(AND(AllData[[#This Row],[Time]]&lt;0.5, AllData[[#This Row],[Time]]&gt;0.17)=TRUE, "Morning", IF(AND(AllData[[#This Row],[Time]]&lt;0.75, AllData[[#This Row],[Time]]&gt;=0.5)=TRUE, "Afternoon", IF(AND(AllData[[#This Row],[Time]]&lt;1, AllData[[#This Row],[Time]]&gt;=0.75)=TRUE, "Evening", "Night")))</f>
        <v>Afternoon</v>
      </c>
      <c r="G1666" t="str">
        <f>_xlfn.XLOOKUP(AllData[[#This Row],[Location Name]], Locations[Location Name],Locations[Group As])</f>
        <v>Sherbourne Brook 1</v>
      </c>
      <c r="H1666" t="e" vm="1">
        <f>_xlfn.XLOOKUP(AllData[[#This Row],[Site Name]],LocationsKey[Site Name],LocationsKey[District])</f>
        <v>#VALUE!</v>
      </c>
      <c r="I1666" t="e" vm="23">
        <f>_xlfn.XLOOKUP(AllData[[#This Row],[Site Name]],LocationsKey[Site Name],LocationsKey[Town])</f>
        <v>#VALUE!</v>
      </c>
      <c r="J1666" t="str">
        <f>_xlfn.XLOOKUP(AllData[[#This Row],[Site Name]],LocationsKey[Site Name], LocationsKey[Waterway])</f>
        <v>Sherbourne Brook</v>
      </c>
      <c r="K1666" t="s">
        <v>541</v>
      </c>
      <c r="L1666">
        <v>52.252499999999998</v>
      </c>
      <c r="M1666">
        <v>-1.6685000000000001</v>
      </c>
      <c r="N1666" t="s">
        <v>25</v>
      </c>
      <c r="O1666">
        <v>1040</v>
      </c>
      <c r="P1666">
        <v>12.2</v>
      </c>
      <c r="Q1666">
        <v>5</v>
      </c>
      <c r="R1666" s="107" t="str">
        <f>IF(AllData[[#This Row],[Nitrate (PPM)]]&gt;2, "Very high", IF(AllData[[#This Row],[Nitrate (PPM)]]&gt;1, "High", IF(AllData[[#This Row],[Nitrate (PPM)]]&gt;0.5, "Some evidence", IF(AllData[[#This Row],[Nitrate (PPM)]]&gt;=0, "No evidence"))))</f>
        <v>Very high</v>
      </c>
      <c r="S1666" s="112">
        <v>0.62</v>
      </c>
      <c r="T1666" s="7" t="str">
        <f>IF(AllData[[#This Row],[Phosphate (PPM)]]&gt;0.5, "Very high", IF(AllData[[#This Row],[Phosphate (PPM)]]&gt;0.1, "High", IF(AllData[[#This Row],[Phosphate (PPM)]]&gt;0.05, "Some evidence", IF(AllData[[#This Row],[Phosphate (PPM)]]&lt;=0.05, "No Evidence", ""))))</f>
        <v>Very high</v>
      </c>
      <c r="U1666">
        <v>0.3</v>
      </c>
    </row>
    <row r="1667" spans="1:22" x14ac:dyDescent="0.35">
      <c r="A1667" t="s">
        <v>1099</v>
      </c>
      <c r="B1667" s="143">
        <v>45396</v>
      </c>
      <c r="C1667" s="2" t="str" cm="1">
        <f t="array" ref="C16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7">
        <f>YEAR(AllData[[#This Row],[Date]])</f>
        <v>2024</v>
      </c>
      <c r="E1667" s="1"/>
      <c r="F1667" t="str">
        <f>IF(AND(AllData[[#This Row],[Time]]&lt;0.5, AllData[[#This Row],[Time]]&gt;0.17)=TRUE, "Morning", IF(AND(AllData[[#This Row],[Time]]&lt;0.75, AllData[[#This Row],[Time]]&gt;=0.5)=TRUE, "Afternoon", IF(AND(AllData[[#This Row],[Time]]&lt;1, AllData[[#This Row],[Time]]&gt;=0.75)=TRUE, "Evening", "Night")))</f>
        <v>Night</v>
      </c>
      <c r="G1667" t="str">
        <f>_xlfn.XLOOKUP(AllData[[#This Row],[Location Name]], Locations[Location Name],Locations[Group As])</f>
        <v>Site 3  :  Severn Trent Water processing plant outflow</v>
      </c>
      <c r="H1667" t="e" vm="1">
        <f>_xlfn.XLOOKUP(AllData[[#This Row],[Site Name]],LocationsKey[Site Name],LocationsKey[District])</f>
        <v>#VALUE!</v>
      </c>
      <c r="I1667" t="e" vm="14">
        <f>_xlfn.XLOOKUP(AllData[[#This Row],[Site Name]],LocationsKey[Site Name],LocationsKey[Town])</f>
        <v>#VALUE!</v>
      </c>
      <c r="J1667" t="str">
        <f>_xlfn.XLOOKUP(AllData[[#This Row],[Site Name]],LocationsKey[Site Name], LocationsKey[Waterway])</f>
        <v>Fosseway Brook</v>
      </c>
      <c r="K1667" t="s">
        <v>676</v>
      </c>
      <c r="L1667">
        <v>52.094423999999997</v>
      </c>
      <c r="M1667">
        <v>-1.6759090000000001</v>
      </c>
      <c r="N1667" t="s">
        <v>31</v>
      </c>
      <c r="O1667">
        <v>841</v>
      </c>
      <c r="P1667">
        <v>14.5</v>
      </c>
      <c r="Q1667">
        <v>5</v>
      </c>
      <c r="R1667" s="107" t="str">
        <f>IF(AllData[[#This Row],[Nitrate (PPM)]]&gt;2, "Very high", IF(AllData[[#This Row],[Nitrate (PPM)]]&gt;1, "High", IF(AllData[[#This Row],[Nitrate (PPM)]]&gt;0.5, "Some evidence", IF(AllData[[#This Row],[Nitrate (PPM)]]&gt;=0, "No evidence"))))</f>
        <v>Very high</v>
      </c>
      <c r="S1667" s="4">
        <v>2.5</v>
      </c>
      <c r="T1667" s="7" t="str">
        <f>IF(AllData[[#This Row],[Phosphate (PPM)]]&gt;0.5, "Very high", IF(AllData[[#This Row],[Phosphate (PPM)]]&gt;0.1, "High", IF(AllData[[#This Row],[Phosphate (PPM)]]&gt;0.05, "Some evidence", IF(AllData[[#This Row],[Phosphate (PPM)]]&lt;=0.05, "No Evidence", ""))))</f>
        <v>Very high</v>
      </c>
    </row>
    <row r="1668" spans="1:22" x14ac:dyDescent="0.35">
      <c r="A1668" t="s">
        <v>1098</v>
      </c>
      <c r="B1668" s="143">
        <v>45396</v>
      </c>
      <c r="C1668" s="2" t="str" cm="1">
        <f t="array" ref="C16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8">
        <f>YEAR(AllData[[#This Row],[Date]])</f>
        <v>2024</v>
      </c>
      <c r="F1668" t="str">
        <f>IF(AND(AllData[[#This Row],[Time]]&lt;0.5, AllData[[#This Row],[Time]]&gt;0.17)=TRUE, "Morning", IF(AND(AllData[[#This Row],[Time]]&lt;0.75, AllData[[#This Row],[Time]]&gt;=0.5)=TRUE, "Afternoon", IF(AND(AllData[[#This Row],[Time]]&lt;1, AllData[[#This Row],[Time]]&gt;=0.75)=TRUE, "Evening", "Night")))</f>
        <v>Night</v>
      </c>
      <c r="G1668" t="str">
        <f>_xlfn.XLOOKUP(AllData[[#This Row],[Location Name]], Locations[Location Name],Locations[Group As])</f>
        <v>Site 3  :  Severn Trent Water processing plant outflow</v>
      </c>
      <c r="H1668" t="e" vm="1">
        <f>_xlfn.XLOOKUP(AllData[[#This Row],[Site Name]],LocationsKey[Site Name],LocationsKey[District])</f>
        <v>#VALUE!</v>
      </c>
      <c r="I1668" t="e" vm="14">
        <f>_xlfn.XLOOKUP(AllData[[#This Row],[Site Name]],LocationsKey[Site Name],LocationsKey[Town])</f>
        <v>#VALUE!</v>
      </c>
      <c r="J1668" t="str">
        <f>_xlfn.XLOOKUP(AllData[[#This Row],[Site Name]],LocationsKey[Site Name], LocationsKey[Waterway])</f>
        <v>Fosseway Brook</v>
      </c>
      <c r="K1668" t="s">
        <v>673</v>
      </c>
      <c r="L1668">
        <v>52.094423999999997</v>
      </c>
      <c r="M1668">
        <v>-1.6759090000000001</v>
      </c>
      <c r="N1668" t="s">
        <v>31</v>
      </c>
      <c r="O1668">
        <v>841</v>
      </c>
      <c r="P1668">
        <v>14.5</v>
      </c>
      <c r="Q1668">
        <v>5</v>
      </c>
      <c r="R1668" s="107" t="str">
        <f>IF(AllData[[#This Row],[Nitrate (PPM)]]&gt;2, "Very high", IF(AllData[[#This Row],[Nitrate (PPM)]]&gt;1, "High", IF(AllData[[#This Row],[Nitrate (PPM)]]&gt;0.5, "Some evidence", IF(AllData[[#This Row],[Nitrate (PPM)]]&gt;=0, "No evidence"))))</f>
        <v>Very high</v>
      </c>
      <c r="S1668" s="4">
        <v>2.5</v>
      </c>
      <c r="T1668" s="7" t="str">
        <f>IF(AllData[[#This Row],[Phosphate (PPM)]]&gt;0.5, "Very high", IF(AllData[[#This Row],[Phosphate (PPM)]]&gt;0.1, "High", IF(AllData[[#This Row],[Phosphate (PPM)]]&gt;0.05, "Some evidence", IF(AllData[[#This Row],[Phosphate (PPM)]]&lt;=0.05, "No Evidence", ""))))</f>
        <v>Very high</v>
      </c>
      <c r="U1668">
        <v>0</v>
      </c>
      <c r="V1668" t="s">
        <v>840</v>
      </c>
    </row>
    <row r="1669" spans="1:22" x14ac:dyDescent="0.35">
      <c r="A1669" t="s">
        <v>1091</v>
      </c>
      <c r="B1669" s="143">
        <v>45396</v>
      </c>
      <c r="C1669" s="2" t="str" cm="1">
        <f t="array" ref="C16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69">
        <f>YEAR(AllData[[#This Row],[Date]])</f>
        <v>2024</v>
      </c>
      <c r="E1669" s="1">
        <v>0.76111111111111107</v>
      </c>
      <c r="F1669" t="str">
        <f>IF(AND(AllData[[#This Row],[Time]]&lt;0.5, AllData[[#This Row],[Time]]&gt;0.17)=TRUE, "Morning", IF(AND(AllData[[#This Row],[Time]]&lt;0.75, AllData[[#This Row],[Time]]&gt;=0.5)=TRUE, "Afternoon", IF(AND(AllData[[#This Row],[Time]]&lt;1, AllData[[#This Row],[Time]]&gt;=0.75)=TRUE, "Evening", "Night")))</f>
        <v>Evening</v>
      </c>
      <c r="G1669" t="str">
        <f>_xlfn.XLOOKUP(AllData[[#This Row],[Location Name]], Locations[Location Name],Locations[Group As])</f>
        <v>Pershore Bridges</v>
      </c>
      <c r="H1669" t="e" vm="6">
        <f>_xlfn.XLOOKUP(AllData[[#This Row],[Site Name]],LocationsKey[Site Name],LocationsKey[District])</f>
        <v>#VALUE!</v>
      </c>
      <c r="I1669" t="e" vm="7">
        <f>_xlfn.XLOOKUP(AllData[[#This Row],[Site Name]],LocationsKey[Site Name],LocationsKey[Town])</f>
        <v>#VALUE!</v>
      </c>
      <c r="J1669" t="str">
        <f>_xlfn.XLOOKUP(AllData[[#This Row],[Site Name]],LocationsKey[Site Name], LocationsKey[Waterway])</f>
        <v>Avon</v>
      </c>
      <c r="K1669" t="s">
        <v>584</v>
      </c>
      <c r="L1669">
        <v>52.104089999999999</v>
      </c>
      <c r="M1669">
        <v>-2.0707499999999999</v>
      </c>
      <c r="O1669">
        <v>822</v>
      </c>
      <c r="P1669">
        <v>12.5</v>
      </c>
      <c r="Q1669">
        <v>5</v>
      </c>
      <c r="R1669" s="107" t="str">
        <f>IF(AllData[[#This Row],[Nitrate (PPM)]]&gt;2, "Very high", IF(AllData[[#This Row],[Nitrate (PPM)]]&gt;1, "High", IF(AllData[[#This Row],[Nitrate (PPM)]]&gt;0.5, "Some evidence", IF(AllData[[#This Row],[Nitrate (PPM)]]&gt;=0, "No evidence"))))</f>
        <v>Very high</v>
      </c>
      <c r="S1669" s="112">
        <v>0.62</v>
      </c>
      <c r="T1669" s="7" t="str">
        <f>IF(AllData[[#This Row],[Phosphate (PPM)]]&gt;0.5, "Very high", IF(AllData[[#This Row],[Phosphate (PPM)]]&gt;0.1, "High", IF(AllData[[#This Row],[Phosphate (PPM)]]&gt;0.05, "Some evidence", IF(AllData[[#This Row],[Phosphate (PPM)]]&lt;=0.05, "No Evidence", ""))))</f>
        <v>Very high</v>
      </c>
      <c r="U1669">
        <v>3.34</v>
      </c>
    </row>
    <row r="1670" spans="1:22" x14ac:dyDescent="0.35">
      <c r="A1670" t="s">
        <v>1088</v>
      </c>
      <c r="B1670" s="143">
        <v>45396</v>
      </c>
      <c r="C1670" s="2" t="str" cm="1">
        <f t="array" ref="C16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0">
        <f>YEAR(AllData[[#This Row],[Date]])</f>
        <v>2024</v>
      </c>
      <c r="E1670" s="1">
        <v>0.68888888888888888</v>
      </c>
      <c r="F1670" t="str">
        <f>IF(AND(AllData[[#This Row],[Time]]&lt;0.5, AllData[[#This Row],[Time]]&gt;0.17)=TRUE, "Morning", IF(AND(AllData[[#This Row],[Time]]&lt;0.75, AllData[[#This Row],[Time]]&gt;=0.5)=TRUE, "Afternoon", IF(AND(AllData[[#This Row],[Time]]&lt;1, AllData[[#This Row],[Time]]&gt;=0.75)=TRUE, "Evening", "Night")))</f>
        <v>Afternoon</v>
      </c>
      <c r="G1670" t="str">
        <f>_xlfn.XLOOKUP(AllData[[#This Row],[Location Name]], Locations[Location Name],Locations[Group As])</f>
        <v>Black Bear</v>
      </c>
      <c r="H1670" t="e" vm="4">
        <f>_xlfn.XLOOKUP(AllData[[#This Row],[Site Name]],LocationsKey[Site Name],LocationsKey[District])</f>
        <v>#VALUE!</v>
      </c>
      <c r="I1670" t="e" vm="4">
        <f>_xlfn.XLOOKUP(AllData[[#This Row],[Site Name]],LocationsKey[Site Name],LocationsKey[Town])</f>
        <v>#VALUE!</v>
      </c>
      <c r="J1670" t="str">
        <f>_xlfn.XLOOKUP(AllData[[#This Row],[Site Name]],LocationsKey[Site Name], LocationsKey[Waterway])</f>
        <v>Avon</v>
      </c>
      <c r="K1670" t="s">
        <v>572</v>
      </c>
      <c r="L1670">
        <v>51.997185000000002</v>
      </c>
      <c r="M1670">
        <v>-2.155983</v>
      </c>
      <c r="N1670" t="s">
        <v>25</v>
      </c>
      <c r="O1670">
        <v>765</v>
      </c>
      <c r="P1670">
        <v>14.1</v>
      </c>
      <c r="Q1670">
        <v>5</v>
      </c>
      <c r="R1670" s="107" t="str">
        <f>IF(AllData[[#This Row],[Nitrate (PPM)]]&gt;2, "Very high", IF(AllData[[#This Row],[Nitrate (PPM)]]&gt;1, "High", IF(AllData[[#This Row],[Nitrate (PPM)]]&gt;0.5, "Some evidence", IF(AllData[[#This Row],[Nitrate (PPM)]]&gt;=0, "No evidence"))))</f>
        <v>Very high</v>
      </c>
      <c r="S1670" s="4">
        <v>0.92</v>
      </c>
      <c r="T1670" s="7" t="str">
        <f>IF(AllData[[#This Row],[Phosphate (PPM)]]&gt;0.5, "Very high", IF(AllData[[#This Row],[Phosphate (PPM)]]&gt;0.1, "High", IF(AllData[[#This Row],[Phosphate (PPM)]]&gt;0.05, "Some evidence", IF(AllData[[#This Row],[Phosphate (PPM)]]&lt;=0.05, "No Evidence", ""))))</f>
        <v>Very high</v>
      </c>
      <c r="U1670">
        <v>0</v>
      </c>
    </row>
    <row r="1671" spans="1:22" x14ac:dyDescent="0.35">
      <c r="A1671" t="s">
        <v>1087</v>
      </c>
      <c r="B1671" s="143">
        <v>45396</v>
      </c>
      <c r="C1671" s="2" t="str" cm="1">
        <f t="array" ref="C16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1">
        <f>YEAR(AllData[[#This Row],[Date]])</f>
        <v>2024</v>
      </c>
      <c r="E1671" s="1">
        <v>0.5493055555555556</v>
      </c>
      <c r="F1671" t="str">
        <f>IF(AND(AllData[[#This Row],[Time]]&lt;0.5, AllData[[#This Row],[Time]]&gt;0.17)=TRUE, "Morning", IF(AND(AllData[[#This Row],[Time]]&lt;0.75, AllData[[#This Row],[Time]]&gt;=0.5)=TRUE, "Afternoon", IF(AND(AllData[[#This Row],[Time]]&lt;1, AllData[[#This Row],[Time]]&gt;=0.75)=TRUE, "Evening", "Night")))</f>
        <v>Afternoon</v>
      </c>
      <c r="G1671" t="str">
        <f>_xlfn.XLOOKUP(AllData[[#This Row],[Location Name]], Locations[Location Name],Locations[Group As])</f>
        <v>Lucy's Mill Bridge</v>
      </c>
      <c r="H1671" t="e" vm="1">
        <f>_xlfn.XLOOKUP(AllData[[#This Row],[Site Name]],LocationsKey[Site Name],LocationsKey[District])</f>
        <v>#VALUE!</v>
      </c>
      <c r="I1671" t="e" vm="12">
        <f>_xlfn.XLOOKUP(AllData[[#This Row],[Site Name]],LocationsKey[Site Name],LocationsKey[Town])</f>
        <v>#VALUE!</v>
      </c>
      <c r="J1671" t="str">
        <f>_xlfn.XLOOKUP(AllData[[#This Row],[Site Name]],LocationsKey[Site Name], LocationsKey[Waterway])</f>
        <v>Avon</v>
      </c>
      <c r="K1671" t="s">
        <v>212</v>
      </c>
      <c r="L1671">
        <v>52.183698999999997</v>
      </c>
      <c r="M1671">
        <v>-1.707816</v>
      </c>
      <c r="N1671" t="s">
        <v>31</v>
      </c>
      <c r="P1671">
        <v>12</v>
      </c>
      <c r="Q1671">
        <v>5</v>
      </c>
      <c r="R1671" s="107" t="str">
        <f>IF(AllData[[#This Row],[Nitrate (PPM)]]&gt;2, "Very high", IF(AllData[[#This Row],[Nitrate (PPM)]]&gt;1, "High", IF(AllData[[#This Row],[Nitrate (PPM)]]&gt;0.5, "Some evidence", IF(AllData[[#This Row],[Nitrate (PPM)]]&gt;=0, "No evidence"))))</f>
        <v>Very high</v>
      </c>
      <c r="S1671" s="4">
        <v>0.26</v>
      </c>
      <c r="T1671" s="7" t="str">
        <f>IF(AllData[[#This Row],[Phosphate (PPM)]]&gt;0.5, "Very high", IF(AllData[[#This Row],[Phosphate (PPM)]]&gt;0.1, "High", IF(AllData[[#This Row],[Phosphate (PPM)]]&gt;0.05, "Some evidence", IF(AllData[[#This Row],[Phosphate (PPM)]]&lt;=0.05, "No Evidence", ""))))</f>
        <v>High</v>
      </c>
      <c r="U1671">
        <v>0.7</v>
      </c>
    </row>
    <row r="1672" spans="1:22" x14ac:dyDescent="0.35">
      <c r="A1672" t="s">
        <v>1090</v>
      </c>
      <c r="B1672" s="143">
        <v>45396</v>
      </c>
      <c r="C1672" s="2" t="str" cm="1">
        <f t="array" ref="C16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2">
        <f>YEAR(AllData[[#This Row],[Date]])</f>
        <v>2024</v>
      </c>
      <c r="E1672" s="1">
        <v>0.73958333333333337</v>
      </c>
      <c r="F1672" t="str">
        <f>IF(AND(AllData[[#This Row],[Time]]&lt;0.5, AllData[[#This Row],[Time]]&gt;0.17)=TRUE, "Morning", IF(AND(AllData[[#This Row],[Time]]&lt;0.75, AllData[[#This Row],[Time]]&gt;=0.5)=TRUE, "Afternoon", IF(AND(AllData[[#This Row],[Time]]&lt;1, AllData[[#This Row],[Time]]&gt;=0.75)=TRUE, "Evening", "Night")))</f>
        <v>Afternoon</v>
      </c>
      <c r="G1672" t="str">
        <f>_xlfn.XLOOKUP(AllData[[#This Row],[Location Name]], Locations[Location Name],Locations[Group As])</f>
        <v>Bell Brook 1</v>
      </c>
      <c r="H1672" t="e" vm="1">
        <f>_xlfn.XLOOKUP(AllData[[#This Row],[Site Name]],LocationsKey[Site Name],LocationsKey[District])</f>
        <v>#VALUE!</v>
      </c>
      <c r="I1672" t="e" vm="19">
        <f>_xlfn.XLOOKUP(AllData[[#This Row],[Site Name]],LocationsKey[Site Name],LocationsKey[Town])</f>
        <v>#VALUE!</v>
      </c>
      <c r="J1672" t="str">
        <f>_xlfn.XLOOKUP(AllData[[#This Row],[Site Name]],LocationsKey[Site Name], LocationsKey[Waterway])</f>
        <v>Bell Brook</v>
      </c>
      <c r="K1672" t="s">
        <v>538</v>
      </c>
      <c r="L1672">
        <v>52.244900000000001</v>
      </c>
      <c r="M1672">
        <v>-1.6617</v>
      </c>
      <c r="N1672" t="s">
        <v>25</v>
      </c>
      <c r="O1672">
        <v>690</v>
      </c>
      <c r="P1672">
        <v>13.1</v>
      </c>
      <c r="Q1672">
        <v>4</v>
      </c>
      <c r="R1672" s="107" t="str">
        <f>IF(AllData[[#This Row],[Nitrate (PPM)]]&gt;2, "Very high", IF(AllData[[#This Row],[Nitrate (PPM)]]&gt;1, "High", IF(AllData[[#This Row],[Nitrate (PPM)]]&gt;0.5, "Some evidence", IF(AllData[[#This Row],[Nitrate (PPM)]]&gt;=0, "No evidence"))))</f>
        <v>Very high</v>
      </c>
      <c r="S1672" s="112">
        <v>0.5</v>
      </c>
      <c r="T1672" s="7" t="str">
        <f>IF(AllData[[#This Row],[Phosphate (PPM)]]&gt;0.5, "Very high", IF(AllData[[#This Row],[Phosphate (PPM)]]&gt;0.1, "High", IF(AllData[[#This Row],[Phosphate (PPM)]]&gt;0.05, "Some evidence", IF(AllData[[#This Row],[Phosphate (PPM)]]&lt;=0.05, "No Evidence", ""))))</f>
        <v>High</v>
      </c>
      <c r="U1672">
        <v>0.1</v>
      </c>
    </row>
    <row r="1673" spans="1:22" x14ac:dyDescent="0.35">
      <c r="A1673" t="s">
        <v>1097</v>
      </c>
      <c r="B1673" s="143">
        <v>45396</v>
      </c>
      <c r="C1673" s="2" t="str" cm="1">
        <f t="array" ref="C16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3">
        <f>YEAR(AllData[[#This Row],[Date]])</f>
        <v>2024</v>
      </c>
      <c r="E1673" s="1"/>
      <c r="F1673" t="str">
        <f>IF(AND(AllData[[#This Row],[Time]]&lt;0.5, AllData[[#This Row],[Time]]&gt;0.17)=TRUE, "Morning", IF(AND(AllData[[#This Row],[Time]]&lt;0.75, AllData[[#This Row],[Time]]&gt;=0.5)=TRUE, "Afternoon", IF(AND(AllData[[#This Row],[Time]]&lt;1, AllData[[#This Row],[Time]]&gt;=0.75)=TRUE, "Evening", "Night")))</f>
        <v>Night</v>
      </c>
      <c r="G1673" t="str">
        <f>_xlfn.XLOOKUP(AllData[[#This Row],[Location Name]], Locations[Location Name],Locations[Group As])</f>
        <v>Site 2  :  Cross Leys culvert</v>
      </c>
      <c r="H1673" t="e" vm="1">
        <f>_xlfn.XLOOKUP(AllData[[#This Row],[Site Name]],LocationsKey[Site Name],LocationsKey[District])</f>
        <v>#VALUE!</v>
      </c>
      <c r="I1673" t="e" vm="14">
        <f>_xlfn.XLOOKUP(AllData[[#This Row],[Site Name]],LocationsKey[Site Name],LocationsKey[Town])</f>
        <v>#VALUE!</v>
      </c>
      <c r="J1673" t="str">
        <f>_xlfn.XLOOKUP(AllData[[#This Row],[Site Name]],LocationsKey[Site Name], LocationsKey[Waterway])</f>
        <v>Fosseway Brook</v>
      </c>
      <c r="K1673" t="s">
        <v>626</v>
      </c>
      <c r="L1673">
        <v>52.092967999999999</v>
      </c>
      <c r="M1673">
        <v>-1.6862710000000001</v>
      </c>
      <c r="N1673" t="s">
        <v>68</v>
      </c>
      <c r="O1673">
        <v>638</v>
      </c>
      <c r="P1673">
        <v>13.7</v>
      </c>
      <c r="Q1673">
        <v>2</v>
      </c>
      <c r="R1673" s="107" t="str">
        <f>IF(AllData[[#This Row],[Nitrate (PPM)]]&gt;2, "Very high", IF(AllData[[#This Row],[Nitrate (PPM)]]&gt;1, "High", IF(AllData[[#This Row],[Nitrate (PPM)]]&gt;0.5, "Some evidence", IF(AllData[[#This Row],[Nitrate (PPM)]]&gt;=0, "No evidence"))))</f>
        <v>High</v>
      </c>
      <c r="S1673" s="4">
        <v>0.26</v>
      </c>
      <c r="T1673" s="7" t="str">
        <f>IF(AllData[[#This Row],[Phosphate (PPM)]]&gt;0.5, "Very high", IF(AllData[[#This Row],[Phosphate (PPM)]]&gt;0.1, "High", IF(AllData[[#This Row],[Phosphate (PPM)]]&gt;0.05, "Some evidence", IF(AllData[[#This Row],[Phosphate (PPM)]]&lt;=0.05, "No Evidence", ""))))</f>
        <v>High</v>
      </c>
    </row>
    <row r="1674" spans="1:22" x14ac:dyDescent="0.35">
      <c r="A1674" t="s">
        <v>1096</v>
      </c>
      <c r="B1674" s="143">
        <v>45396</v>
      </c>
      <c r="C1674" s="2" t="str" cm="1">
        <f t="array" ref="C16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4">
        <f>YEAR(AllData[[#This Row],[Date]])</f>
        <v>2024</v>
      </c>
      <c r="F1674" t="str">
        <f>IF(AND(AllData[[#This Row],[Time]]&lt;0.5, AllData[[#This Row],[Time]]&gt;0.17)=TRUE, "Morning", IF(AND(AllData[[#This Row],[Time]]&lt;0.75, AllData[[#This Row],[Time]]&gt;=0.5)=TRUE, "Afternoon", IF(AND(AllData[[#This Row],[Time]]&lt;1, AllData[[#This Row],[Time]]&gt;=0.75)=TRUE, "Evening", "Night")))</f>
        <v>Night</v>
      </c>
      <c r="G1674" t="str">
        <f>_xlfn.XLOOKUP(AllData[[#This Row],[Location Name]], Locations[Location Name],Locations[Group As])</f>
        <v>Site 2  :  Cross Leys culvert</v>
      </c>
      <c r="H1674" t="e" vm="1">
        <f>_xlfn.XLOOKUP(AllData[[#This Row],[Site Name]],LocationsKey[Site Name],LocationsKey[District])</f>
        <v>#VALUE!</v>
      </c>
      <c r="I1674" t="e" vm="14">
        <f>_xlfn.XLOOKUP(AllData[[#This Row],[Site Name]],LocationsKey[Site Name],LocationsKey[Town])</f>
        <v>#VALUE!</v>
      </c>
      <c r="J1674" t="str">
        <f>_xlfn.XLOOKUP(AllData[[#This Row],[Site Name]],LocationsKey[Site Name], LocationsKey[Waterway])</f>
        <v>Fosseway Brook</v>
      </c>
      <c r="K1674" t="s">
        <v>623</v>
      </c>
      <c r="L1674">
        <v>52.092967999999999</v>
      </c>
      <c r="M1674">
        <v>-1.6862710000000001</v>
      </c>
      <c r="N1674" t="s">
        <v>68</v>
      </c>
      <c r="O1674">
        <v>638</v>
      </c>
      <c r="P1674">
        <v>13.7</v>
      </c>
      <c r="Q1674">
        <v>2</v>
      </c>
      <c r="R1674" s="107" t="str">
        <f>IF(AllData[[#This Row],[Nitrate (PPM)]]&gt;2, "Very high", IF(AllData[[#This Row],[Nitrate (PPM)]]&gt;1, "High", IF(AllData[[#This Row],[Nitrate (PPM)]]&gt;0.5, "Some evidence", IF(AllData[[#This Row],[Nitrate (PPM)]]&gt;=0, "No evidence"))))</f>
        <v>High</v>
      </c>
      <c r="S1674" s="4">
        <v>0.26</v>
      </c>
      <c r="T1674" s="7" t="str">
        <f>IF(AllData[[#This Row],[Phosphate (PPM)]]&gt;0.5, "Very high", IF(AllData[[#This Row],[Phosphate (PPM)]]&gt;0.1, "High", IF(AllData[[#This Row],[Phosphate (PPM)]]&gt;0.05, "Some evidence", IF(AllData[[#This Row],[Phosphate (PPM)]]&lt;=0.05, "No Evidence", ""))))</f>
        <v>High</v>
      </c>
      <c r="U1674">
        <v>0</v>
      </c>
      <c r="V1674" t="s">
        <v>835</v>
      </c>
    </row>
    <row r="1675" spans="1:22" x14ac:dyDescent="0.35">
      <c r="A1675" t="s">
        <v>1094</v>
      </c>
      <c r="B1675" s="143">
        <v>45396</v>
      </c>
      <c r="C1675" s="2" t="str" cm="1">
        <f t="array" ref="C16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5">
        <f>YEAR(AllData[[#This Row],[Date]])</f>
        <v>2024</v>
      </c>
      <c r="E1675" s="1"/>
      <c r="F1675" t="str">
        <f>IF(AND(AllData[[#This Row],[Time]]&lt;0.5, AllData[[#This Row],[Time]]&gt;0.17)=TRUE, "Morning", IF(AND(AllData[[#This Row],[Time]]&lt;0.75, AllData[[#This Row],[Time]]&gt;=0.5)=TRUE, "Afternoon", IF(AND(AllData[[#This Row],[Time]]&lt;1, AllData[[#This Row],[Time]]&gt;=0.75)=TRUE, "Evening", "Night")))</f>
        <v>Night</v>
      </c>
      <c r="G1675" t="str">
        <f>_xlfn.XLOOKUP(AllData[[#This Row],[Location Name]], Locations[Location Name],Locations[Group As])</f>
        <v>Site 1  :  Middle Street</v>
      </c>
      <c r="H1675" t="e" vm="1">
        <f>_xlfn.XLOOKUP(AllData[[#This Row],[Site Name]],LocationsKey[Site Name],LocationsKey[District])</f>
        <v>#VALUE!</v>
      </c>
      <c r="I1675" t="e" vm="14">
        <f>_xlfn.XLOOKUP(AllData[[#This Row],[Site Name]],LocationsKey[Site Name],LocationsKey[Town])</f>
        <v>#VALUE!</v>
      </c>
      <c r="J1675" t="str">
        <f>_xlfn.XLOOKUP(AllData[[#This Row],[Site Name]],LocationsKey[Site Name], LocationsKey[Waterway])</f>
        <v>Fosseway Brook</v>
      </c>
      <c r="K1675" t="s">
        <v>670</v>
      </c>
      <c r="L1675">
        <v>52.090085000000002</v>
      </c>
      <c r="M1675">
        <v>-1.692593</v>
      </c>
      <c r="N1675" t="s">
        <v>68</v>
      </c>
      <c r="O1675">
        <v>567</v>
      </c>
      <c r="P1675">
        <v>14.8</v>
      </c>
      <c r="Q1675">
        <v>2</v>
      </c>
      <c r="R1675" s="107" t="str">
        <f>IF(AllData[[#This Row],[Nitrate (PPM)]]&gt;2, "Very high", IF(AllData[[#This Row],[Nitrate (PPM)]]&gt;1, "High", IF(AllData[[#This Row],[Nitrate (PPM)]]&gt;0.5, "Some evidence", IF(AllData[[#This Row],[Nitrate (PPM)]]&gt;=0, "No evidence"))))</f>
        <v>High</v>
      </c>
      <c r="S1675" s="4">
        <v>0.24</v>
      </c>
      <c r="T1675" s="7" t="str">
        <f>IF(AllData[[#This Row],[Phosphate (PPM)]]&gt;0.5, "Very high", IF(AllData[[#This Row],[Phosphate (PPM)]]&gt;0.1, "High", IF(AllData[[#This Row],[Phosphate (PPM)]]&gt;0.05, "Some evidence", IF(AllData[[#This Row],[Phosphate (PPM)]]&lt;=0.05, "No Evidence", ""))))</f>
        <v>High</v>
      </c>
      <c r="V1675" t="s">
        <v>1095</v>
      </c>
    </row>
    <row r="1676" spans="1:22" x14ac:dyDescent="0.35">
      <c r="A1676" t="s">
        <v>1092</v>
      </c>
      <c r="B1676" s="143">
        <v>45396</v>
      </c>
      <c r="C1676" s="2" t="str" cm="1">
        <f t="array" ref="C16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6">
        <f>YEAR(AllData[[#This Row],[Date]])</f>
        <v>2024</v>
      </c>
      <c r="F1676" t="str">
        <f>IF(AND(AllData[[#This Row],[Time]]&lt;0.5, AllData[[#This Row],[Time]]&gt;0.17)=TRUE, "Morning", IF(AND(AllData[[#This Row],[Time]]&lt;0.75, AllData[[#This Row],[Time]]&gt;=0.5)=TRUE, "Afternoon", IF(AND(AllData[[#This Row],[Time]]&lt;1, AllData[[#This Row],[Time]]&gt;=0.75)=TRUE, "Evening", "Night")))</f>
        <v>Night</v>
      </c>
      <c r="G1676" t="str">
        <f>_xlfn.XLOOKUP(AllData[[#This Row],[Location Name]], Locations[Location Name],Locations[Group As])</f>
        <v>Site 1  :  Middle Street</v>
      </c>
      <c r="H1676" t="e" vm="1">
        <f>_xlfn.XLOOKUP(AllData[[#This Row],[Site Name]],LocationsKey[Site Name],LocationsKey[District])</f>
        <v>#VALUE!</v>
      </c>
      <c r="I1676" t="e" vm="14">
        <f>_xlfn.XLOOKUP(AllData[[#This Row],[Site Name]],LocationsKey[Site Name],LocationsKey[Town])</f>
        <v>#VALUE!</v>
      </c>
      <c r="J1676" t="str">
        <f>_xlfn.XLOOKUP(AllData[[#This Row],[Site Name]],LocationsKey[Site Name], LocationsKey[Waterway])</f>
        <v>Fosseway Brook</v>
      </c>
      <c r="K1676" t="s">
        <v>667</v>
      </c>
      <c r="L1676">
        <v>52.090085000000002</v>
      </c>
      <c r="M1676">
        <v>-1.692593</v>
      </c>
      <c r="N1676" t="s">
        <v>68</v>
      </c>
      <c r="O1676">
        <v>567</v>
      </c>
      <c r="P1676">
        <v>14.8</v>
      </c>
      <c r="Q1676">
        <v>2</v>
      </c>
      <c r="R1676" s="107" t="str">
        <f>IF(AllData[[#This Row],[Nitrate (PPM)]]&gt;2, "Very high", IF(AllData[[#This Row],[Nitrate (PPM)]]&gt;1, "High", IF(AllData[[#This Row],[Nitrate (PPM)]]&gt;0.5, "Some evidence", IF(AllData[[#This Row],[Nitrate (PPM)]]&gt;=0, "No evidence"))))</f>
        <v>High</v>
      </c>
      <c r="S1676" s="4">
        <v>0.24</v>
      </c>
      <c r="T1676" s="7" t="str">
        <f>IF(AllData[[#This Row],[Phosphate (PPM)]]&gt;0.5, "Very high", IF(AllData[[#This Row],[Phosphate (PPM)]]&gt;0.1, "High", IF(AllData[[#This Row],[Phosphate (PPM)]]&gt;0.05, "Some evidence", IF(AllData[[#This Row],[Phosphate (PPM)]]&lt;=0.05, "No Evidence", ""))))</f>
        <v>High</v>
      </c>
      <c r="U1676">
        <v>0</v>
      </c>
      <c r="V1676" t="s">
        <v>1093</v>
      </c>
    </row>
    <row r="1677" spans="1:22" x14ac:dyDescent="0.35">
      <c r="A1677" t="s">
        <v>1100</v>
      </c>
      <c r="B1677" s="143">
        <v>45396</v>
      </c>
      <c r="C1677" s="2" t="str" cm="1">
        <f t="array" ref="C16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7">
        <f>YEAR(AllData[[#This Row],[Date]])</f>
        <v>2024</v>
      </c>
      <c r="E1677" s="1">
        <v>0.45347222222222222</v>
      </c>
      <c r="F1677" t="str">
        <f>IF(AND(AllData[[#This Row],[Time]]&lt;0.5, AllData[[#This Row],[Time]]&gt;0.17)=TRUE, "Morning", IF(AND(AllData[[#This Row],[Time]]&lt;0.75, AllData[[#This Row],[Time]]&gt;=0.5)=TRUE, "Afternoon", IF(AND(AllData[[#This Row],[Time]]&lt;1, AllData[[#This Row],[Time]]&gt;=0.75)=TRUE, "Evening", "Night")))</f>
        <v>Morning</v>
      </c>
      <c r="G1677" t="str">
        <f>_xlfn.XLOOKUP(AllData[[#This Row],[Location Name]], Locations[Location Name],Locations[Group As])</f>
        <v>Site 1  :  Middle Street</v>
      </c>
      <c r="H1677" t="e" vm="1">
        <f>_xlfn.XLOOKUP(AllData[[#This Row],[Site Name]],LocationsKey[Site Name],LocationsKey[District])</f>
        <v>#VALUE!</v>
      </c>
      <c r="I1677" t="e" vm="14">
        <f>_xlfn.XLOOKUP(AllData[[#This Row],[Site Name]],LocationsKey[Site Name],LocationsKey[Town])</f>
        <v>#VALUE!</v>
      </c>
      <c r="J1677" t="str">
        <f>_xlfn.XLOOKUP(AllData[[#This Row],[Site Name]],LocationsKey[Site Name], LocationsKey[Waterway])</f>
        <v>Fosseway Brook</v>
      </c>
      <c r="K1677" t="s">
        <v>678</v>
      </c>
      <c r="L1677">
        <v>52.090085000000002</v>
      </c>
      <c r="M1677">
        <v>-1.692593</v>
      </c>
      <c r="N1677" t="s">
        <v>68</v>
      </c>
      <c r="O1677">
        <v>567</v>
      </c>
      <c r="P1677">
        <v>14.8</v>
      </c>
      <c r="Q1677">
        <v>2</v>
      </c>
      <c r="R1677" s="107" t="str">
        <f>IF(AllData[[#This Row],[Nitrate (PPM)]]&gt;2, "Very high", IF(AllData[[#This Row],[Nitrate (PPM)]]&gt;1, "High", IF(AllData[[#This Row],[Nitrate (PPM)]]&gt;0.5, "Some evidence", IF(AllData[[#This Row],[Nitrate (PPM)]]&gt;=0, "No evidence"))))</f>
        <v>High</v>
      </c>
      <c r="S1677">
        <v>0.24</v>
      </c>
      <c r="T1677" s="7" t="str">
        <f>IF(AllData[[#This Row],[Phosphate (PPM)]]&gt;0.5, "Very high", IF(AllData[[#This Row],[Phosphate (PPM)]]&gt;0.1, "High", IF(AllData[[#This Row],[Phosphate (PPM)]]&gt;0.05, "Some evidence", IF(AllData[[#This Row],[Phosphate (PPM)]]&lt;=0.05, "No Evidence", ""))))</f>
        <v>High</v>
      </c>
      <c r="U1677">
        <v>0.05</v>
      </c>
    </row>
    <row r="1678" spans="1:22" x14ac:dyDescent="0.35">
      <c r="A1678" t="s">
        <v>1072</v>
      </c>
      <c r="B1678" s="143">
        <v>45395</v>
      </c>
      <c r="C1678" s="2" t="str" cm="1">
        <f t="array" ref="C16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8">
        <f>YEAR(AllData[[#This Row],[Date]])</f>
        <v>2024</v>
      </c>
      <c r="E1678" s="1">
        <v>0.3659722222222222</v>
      </c>
      <c r="F1678" t="str">
        <f>IF(AND(AllData[[#This Row],[Time]]&lt;0.5, AllData[[#This Row],[Time]]&gt;0.17)=TRUE, "Morning", IF(AND(AllData[[#This Row],[Time]]&lt;0.75, AllData[[#This Row],[Time]]&gt;=0.5)=TRUE, "Afternoon", IF(AND(AllData[[#This Row],[Time]]&lt;1, AllData[[#This Row],[Time]]&gt;=0.75)=TRUE, "Evening", "Night")))</f>
        <v>Morning</v>
      </c>
      <c r="G1678" t="str">
        <f>_xlfn.XLOOKUP(AllData[[#This Row],[Location Name]], Locations[Location Name],Locations[Group As])</f>
        <v>Lower Lode</v>
      </c>
      <c r="H1678" t="e" vm="4">
        <f>_xlfn.XLOOKUP(AllData[[#This Row],[Site Name]],LocationsKey[Site Name],LocationsKey[District])</f>
        <v>#VALUE!</v>
      </c>
      <c r="I1678" t="e" vm="4">
        <f>_xlfn.XLOOKUP(AllData[[#This Row],[Site Name]],LocationsKey[Site Name],LocationsKey[Town])</f>
        <v>#VALUE!</v>
      </c>
      <c r="J1678" t="str">
        <f>_xlfn.XLOOKUP(AllData[[#This Row],[Site Name]],LocationsKey[Site Name], LocationsKey[Waterway])</f>
        <v>Avon</v>
      </c>
      <c r="K1678" t="s">
        <v>595</v>
      </c>
      <c r="N1678" t="s">
        <v>31</v>
      </c>
      <c r="O1678">
        <v>7020</v>
      </c>
      <c r="P1678">
        <v>13.5</v>
      </c>
      <c r="Q1678">
        <v>10</v>
      </c>
      <c r="R1678" s="107" t="str">
        <f>IF(AllData[[#This Row],[Nitrate (PPM)]]&gt;2, "Very high", IF(AllData[[#This Row],[Nitrate (PPM)]]&gt;1, "High", IF(AllData[[#This Row],[Nitrate (PPM)]]&gt;0.5, "Some evidence", IF(AllData[[#This Row],[Nitrate (PPM)]]&gt;=0, "No evidence"))))</f>
        <v>Very high</v>
      </c>
      <c r="S1678" s="4">
        <v>0.4</v>
      </c>
      <c r="T1678" s="7" t="str">
        <f>IF(AllData[[#This Row],[Phosphate (PPM)]]&gt;0.5, "Very high", IF(AllData[[#This Row],[Phosphate (PPM)]]&gt;0.1, "High", IF(AllData[[#This Row],[Phosphate (PPM)]]&gt;0.05, "Some evidence", IF(AllData[[#This Row],[Phosphate (PPM)]]&lt;=0.05, "No Evidence", ""))))</f>
        <v>High</v>
      </c>
      <c r="U1678">
        <v>2</v>
      </c>
    </row>
    <row r="1679" spans="1:22" x14ac:dyDescent="0.35">
      <c r="A1679" t="s">
        <v>1083</v>
      </c>
      <c r="B1679" s="143">
        <v>45395</v>
      </c>
      <c r="C1679" s="2" t="str" cm="1">
        <f t="array" ref="C16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79">
        <f>YEAR(AllData[[#This Row],[Date]])</f>
        <v>2024</v>
      </c>
      <c r="E1679" s="1">
        <v>0.64583333333333337</v>
      </c>
      <c r="F1679" t="str">
        <f>IF(AND(AllData[[#This Row],[Time]]&lt;0.5, AllData[[#This Row],[Time]]&gt;0.17)=TRUE, "Morning", IF(AND(AllData[[#This Row],[Time]]&lt;0.75, AllData[[#This Row],[Time]]&gt;=0.5)=TRUE, "Afternoon", IF(AND(AllData[[#This Row],[Time]]&lt;1, AllData[[#This Row],[Time]]&gt;=0.75)=TRUE, "Evening", "Night")))</f>
        <v>Afternoon</v>
      </c>
      <c r="G1679" t="str">
        <f>_xlfn.XLOOKUP(AllData[[#This Row],[Location Name]], Locations[Location Name],Locations[Group As])</f>
        <v>Fell Mill Footbridge</v>
      </c>
      <c r="H1679" t="e" vm="1">
        <f>_xlfn.XLOOKUP(AllData[[#This Row],[Site Name]],LocationsKey[Site Name],LocationsKey[District])</f>
        <v>#VALUE!</v>
      </c>
      <c r="I1679" t="e" vm="15">
        <f>_xlfn.XLOOKUP(AllData[[#This Row],[Site Name]],LocationsKey[Site Name],LocationsKey[Town])</f>
        <v>#VALUE!</v>
      </c>
      <c r="J1679" t="str">
        <f>_xlfn.XLOOKUP(AllData[[#This Row],[Site Name]],LocationsKey[Site Name], LocationsKey[Waterway])</f>
        <v>Stour</v>
      </c>
      <c r="K1679" t="s">
        <v>875</v>
      </c>
      <c r="N1679" t="s">
        <v>31</v>
      </c>
      <c r="O1679">
        <v>586</v>
      </c>
      <c r="P1679">
        <v>14.4</v>
      </c>
      <c r="Q1679">
        <v>10</v>
      </c>
      <c r="R1679" s="107" t="str">
        <f>IF(AllData[[#This Row],[Nitrate (PPM)]]&gt;2, "Very high", IF(AllData[[#This Row],[Nitrate (PPM)]]&gt;1, "High", IF(AllData[[#This Row],[Nitrate (PPM)]]&gt;0.5, "Some evidence", IF(AllData[[#This Row],[Nitrate (PPM)]]&gt;=0, "No evidence"))))</f>
        <v>Very high</v>
      </c>
      <c r="S1679" s="4">
        <v>0.18</v>
      </c>
      <c r="T1679" s="7" t="str">
        <f>IF(AllData[[#This Row],[Phosphate (PPM)]]&gt;0.5, "Very high", IF(AllData[[#This Row],[Phosphate (PPM)]]&gt;0.1, "High", IF(AllData[[#This Row],[Phosphate (PPM)]]&gt;0.05, "Some evidence", IF(AllData[[#This Row],[Phosphate (PPM)]]&lt;=0.05, "No Evidence", ""))))</f>
        <v>High</v>
      </c>
      <c r="U1679">
        <v>1.5</v>
      </c>
      <c r="V1679" t="s">
        <v>1084</v>
      </c>
    </row>
    <row r="1680" spans="1:22" x14ac:dyDescent="0.35">
      <c r="A1680" t="s">
        <v>1076</v>
      </c>
      <c r="B1680" s="143">
        <v>45395</v>
      </c>
      <c r="C1680" s="2" t="str" cm="1">
        <f t="array" ref="C16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0">
        <f>YEAR(AllData[[#This Row],[Date]])</f>
        <v>2024</v>
      </c>
      <c r="E1680" s="1">
        <v>0.4597222222222222</v>
      </c>
      <c r="F1680" t="str">
        <f>IF(AND(AllData[[#This Row],[Time]]&lt;0.5, AllData[[#This Row],[Time]]&gt;0.17)=TRUE, "Morning", IF(AND(AllData[[#This Row],[Time]]&lt;0.75, AllData[[#This Row],[Time]]&gt;=0.5)=TRUE, "Afternoon", IF(AND(AllData[[#This Row],[Time]]&lt;1, AllData[[#This Row],[Time]]&gt;=0.75)=TRUE, "Evening", "Night")))</f>
        <v>Morning</v>
      </c>
      <c r="G1680" t="str">
        <f>_xlfn.XLOOKUP(AllData[[#This Row],[Location Name]], Locations[Location Name],Locations[Group As])</f>
        <v>Avonbank Drive</v>
      </c>
      <c r="H1680" t="e" vm="1">
        <f>_xlfn.XLOOKUP(AllData[[#This Row],[Site Name]],LocationsKey[Site Name],LocationsKey[District])</f>
        <v>#VALUE!</v>
      </c>
      <c r="I1680" t="e" vm="12">
        <f>_xlfn.XLOOKUP(AllData[[#This Row],[Site Name]],LocationsKey[Site Name],LocationsKey[Town])</f>
        <v>#VALUE!</v>
      </c>
      <c r="J1680" t="str">
        <f>_xlfn.XLOOKUP(AllData[[#This Row],[Site Name]],LocationsKey[Site Name], LocationsKey[Waterway])</f>
        <v>Avon</v>
      </c>
      <c r="K1680" t="s">
        <v>67</v>
      </c>
      <c r="L1680">
        <v>52.177146999999998</v>
      </c>
      <c r="M1680">
        <v>-1.7358070000000001</v>
      </c>
      <c r="N1680" t="s">
        <v>68</v>
      </c>
      <c r="O1680">
        <v>792</v>
      </c>
      <c r="P1680">
        <v>15.8</v>
      </c>
      <c r="Q1680">
        <v>7</v>
      </c>
      <c r="R1680" s="107" t="str">
        <f>IF(AllData[[#This Row],[Nitrate (PPM)]]&gt;2, "Very high", IF(AllData[[#This Row],[Nitrate (PPM)]]&gt;1, "High", IF(AllData[[#This Row],[Nitrate (PPM)]]&gt;0.5, "Some evidence", IF(AllData[[#This Row],[Nitrate (PPM)]]&gt;=0, "No evidence"))))</f>
        <v>Very high</v>
      </c>
      <c r="S1680" s="4">
        <v>0.4</v>
      </c>
      <c r="T1680" s="7" t="str">
        <f>IF(AllData[[#This Row],[Phosphate (PPM)]]&gt;0.5, "Very high", IF(AllData[[#This Row],[Phosphate (PPM)]]&gt;0.1, "High", IF(AllData[[#This Row],[Phosphate (PPM)]]&gt;0.05, "Some evidence", IF(AllData[[#This Row],[Phosphate (PPM)]]&lt;=0.05, "No Evidence", ""))))</f>
        <v>High</v>
      </c>
      <c r="U1680">
        <v>0.8</v>
      </c>
      <c r="V1680" t="s">
        <v>1077</v>
      </c>
    </row>
    <row r="1681" spans="1:22" x14ac:dyDescent="0.35">
      <c r="A1681" t="s">
        <v>1080</v>
      </c>
      <c r="B1681" s="143">
        <v>45395</v>
      </c>
      <c r="C1681" s="2" t="str" cm="1">
        <f t="array" ref="C16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1">
        <f>YEAR(AllData[[#This Row],[Date]])</f>
        <v>2024</v>
      </c>
      <c r="E1681" s="1">
        <v>0.5</v>
      </c>
      <c r="F1681" t="str">
        <f>IF(AND(AllData[[#This Row],[Time]]&lt;0.5, AllData[[#This Row],[Time]]&gt;0.17)=TRUE, "Morning", IF(AND(AllData[[#This Row],[Time]]&lt;0.75, AllData[[#This Row],[Time]]&gt;=0.5)=TRUE, "Afternoon", IF(AND(AllData[[#This Row],[Time]]&lt;1, AllData[[#This Row],[Time]]&gt;=0.75)=TRUE, "Evening", "Night")))</f>
        <v>Afternoon</v>
      </c>
      <c r="G1681" t="str">
        <f>_xlfn.XLOOKUP(AllData[[#This Row],[Location Name]], Locations[Location Name],Locations[Group As])</f>
        <v>Piddle Brook Wyre Piddle Bridge</v>
      </c>
      <c r="H1681" t="e" vm="6">
        <f>_xlfn.XLOOKUP(AllData[[#This Row],[Site Name]],LocationsKey[Site Name],LocationsKey[District])</f>
        <v>#VALUE!</v>
      </c>
      <c r="I1681" t="e" vm="13">
        <f>_xlfn.XLOOKUP(AllData[[#This Row],[Site Name]],LocationsKey[Site Name],LocationsKey[Town])</f>
        <v>#VALUE!</v>
      </c>
      <c r="J1681" t="str">
        <f>_xlfn.XLOOKUP(AllData[[#This Row],[Site Name]],LocationsKey[Site Name], LocationsKey[Waterway])</f>
        <v>Piddle Brook</v>
      </c>
      <c r="K1681" t="s">
        <v>787</v>
      </c>
      <c r="L1681">
        <v>52.126404000000001</v>
      </c>
      <c r="M1681">
        <v>-2.0565410000000002</v>
      </c>
      <c r="N1681" t="s">
        <v>25</v>
      </c>
      <c r="O1681">
        <v>1010</v>
      </c>
      <c r="P1681">
        <v>13.1</v>
      </c>
      <c r="Q1681">
        <v>5</v>
      </c>
      <c r="R1681" s="107" t="str">
        <f>IF(AllData[[#This Row],[Nitrate (PPM)]]&gt;2, "Very high", IF(AllData[[#This Row],[Nitrate (PPM)]]&gt;1, "High", IF(AllData[[#This Row],[Nitrate (PPM)]]&gt;0.5, "Some evidence", IF(AllData[[#This Row],[Nitrate (PPM)]]&gt;=0, "No evidence"))))</f>
        <v>Very high</v>
      </c>
      <c r="S1681" s="4">
        <v>0.53</v>
      </c>
      <c r="T1681" s="7" t="str">
        <f>IF(AllData[[#This Row],[Phosphate (PPM)]]&gt;0.5, "Very high", IF(AllData[[#This Row],[Phosphate (PPM)]]&gt;0.1, "High", IF(AllData[[#This Row],[Phosphate (PPM)]]&gt;0.05, "Some evidence", IF(AllData[[#This Row],[Phosphate (PPM)]]&lt;=0.05, "No Evidence", ""))))</f>
        <v>Very high</v>
      </c>
      <c r="U1681">
        <v>0.33</v>
      </c>
      <c r="V1681" t="s">
        <v>1081</v>
      </c>
    </row>
    <row r="1682" spans="1:22" x14ac:dyDescent="0.35">
      <c r="A1682" t="s">
        <v>1085</v>
      </c>
      <c r="B1682" s="143">
        <v>45395</v>
      </c>
      <c r="C1682" s="2" t="str" cm="1">
        <f t="array" ref="C16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2">
        <f>YEAR(AllData[[#This Row],[Date]])</f>
        <v>2024</v>
      </c>
      <c r="E1682" s="1">
        <v>0.75277777777777777</v>
      </c>
      <c r="F1682" t="str">
        <f>IF(AND(AllData[[#This Row],[Time]]&lt;0.5, AllData[[#This Row],[Time]]&gt;0.17)=TRUE, "Morning", IF(AND(AllData[[#This Row],[Time]]&lt;0.75, AllData[[#This Row],[Time]]&gt;=0.5)=TRUE, "Afternoon", IF(AND(AllData[[#This Row],[Time]]&lt;1, AllData[[#This Row],[Time]]&gt;=0.75)=TRUE, "Evening", "Night")))</f>
        <v>Evening</v>
      </c>
      <c r="G1682" t="str">
        <f>_xlfn.XLOOKUP(AllData[[#This Row],[Location Name]], Locations[Location Name],Locations[Group As])</f>
        <v>Walcot Lane, Bow Brook Ford</v>
      </c>
      <c r="H1682" t="e" vm="6">
        <f>_xlfn.XLOOKUP(AllData[[#This Row],[Site Name]],LocationsKey[Site Name],LocationsKey[District])</f>
        <v>#VALUE!</v>
      </c>
      <c r="I1682" t="e" vm="7">
        <f>_xlfn.XLOOKUP(AllData[[#This Row],[Site Name]],LocationsKey[Site Name],LocationsKey[Town])</f>
        <v>#VALUE!</v>
      </c>
      <c r="J1682" t="str">
        <f>_xlfn.XLOOKUP(AllData[[#This Row],[Site Name]],LocationsKey[Site Name], LocationsKey[Waterway])</f>
        <v>Bow Brook</v>
      </c>
      <c r="K1682" t="s">
        <v>775</v>
      </c>
      <c r="L1682">
        <v>52.130450000000003</v>
      </c>
      <c r="M1682">
        <v>-2.0786319999999998</v>
      </c>
      <c r="N1682" t="s">
        <v>25</v>
      </c>
      <c r="O1682">
        <v>872</v>
      </c>
      <c r="P1682">
        <v>15.7</v>
      </c>
      <c r="Q1682">
        <v>5</v>
      </c>
      <c r="R1682" s="107" t="str">
        <f>IF(AllData[[#This Row],[Nitrate (PPM)]]&gt;2, "Very high", IF(AllData[[#This Row],[Nitrate (PPM)]]&gt;1, "High", IF(AllData[[#This Row],[Nitrate (PPM)]]&gt;0.5, "Some evidence", IF(AllData[[#This Row],[Nitrate (PPM)]]&gt;=0, "No evidence"))))</f>
        <v>Very high</v>
      </c>
      <c r="S1682" s="112">
        <v>0.92</v>
      </c>
      <c r="T1682" s="7" t="str">
        <f>IF(AllData[[#This Row],[Phosphate (PPM)]]&gt;0.5, "Very high", IF(AllData[[#This Row],[Phosphate (PPM)]]&gt;0.1, "High", IF(AllData[[#This Row],[Phosphate (PPM)]]&gt;0.05, "Some evidence", IF(AllData[[#This Row],[Phosphate (PPM)]]&lt;=0.05, "No Evidence", ""))))</f>
        <v>Very high</v>
      </c>
      <c r="U1682">
        <v>0.5</v>
      </c>
      <c r="V1682" t="s">
        <v>1086</v>
      </c>
    </row>
    <row r="1683" spans="1:22" x14ac:dyDescent="0.35">
      <c r="A1683" t="s">
        <v>1082</v>
      </c>
      <c r="B1683" s="143">
        <v>45395</v>
      </c>
      <c r="C1683" s="2" t="str" cm="1">
        <f t="array" ref="C16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3">
        <f>YEAR(AllData[[#This Row],[Date]])</f>
        <v>2024</v>
      </c>
      <c r="E1683" s="1">
        <v>0.52083333333333337</v>
      </c>
      <c r="F1683" t="str">
        <f>IF(AND(AllData[[#This Row],[Time]]&lt;0.5, AllData[[#This Row],[Time]]&gt;0.17)=TRUE, "Morning", IF(AND(AllData[[#This Row],[Time]]&lt;0.75, AllData[[#This Row],[Time]]&gt;=0.5)=TRUE, "Afternoon", IF(AND(AllData[[#This Row],[Time]]&lt;1, AllData[[#This Row],[Time]]&gt;=0.75)=TRUE, "Evening", "Night")))</f>
        <v>Afternoon</v>
      </c>
      <c r="G1683" t="str">
        <f>_xlfn.XLOOKUP(AllData[[#This Row],[Location Name]], Locations[Location Name],Locations[Group As])</f>
        <v>Carrant Bredon Rd</v>
      </c>
      <c r="H1683" t="e" vm="4">
        <f>_xlfn.XLOOKUP(AllData[[#This Row],[Site Name]],LocationsKey[Site Name],LocationsKey[District])</f>
        <v>#VALUE!</v>
      </c>
      <c r="I1683" t="e" vm="4">
        <f>_xlfn.XLOOKUP(AllData[[#This Row],[Site Name]],LocationsKey[Site Name],LocationsKey[Town])</f>
        <v>#VALUE!</v>
      </c>
      <c r="J1683" t="str">
        <f>_xlfn.XLOOKUP(AllData[[#This Row],[Site Name]],LocationsKey[Site Name], LocationsKey[Waterway])</f>
        <v>Carrant</v>
      </c>
      <c r="K1683" t="s">
        <v>603</v>
      </c>
      <c r="L1683">
        <v>51.996319</v>
      </c>
      <c r="M1683">
        <v>-2.156094</v>
      </c>
      <c r="N1683" t="s">
        <v>25</v>
      </c>
      <c r="O1683">
        <v>753</v>
      </c>
      <c r="P1683">
        <v>14.3</v>
      </c>
      <c r="Q1683">
        <v>5</v>
      </c>
      <c r="R1683" s="107" t="str">
        <f>IF(AllData[[#This Row],[Nitrate (PPM)]]&gt;2, "Very high", IF(AllData[[#This Row],[Nitrate (PPM)]]&gt;1, "High", IF(AllData[[#This Row],[Nitrate (PPM)]]&gt;0.5, "Some evidence", IF(AllData[[#This Row],[Nitrate (PPM)]]&gt;=0, "No evidence"))))</f>
        <v>Very high</v>
      </c>
      <c r="S1683" s="4">
        <v>0.32</v>
      </c>
      <c r="T1683" s="7" t="str">
        <f>IF(AllData[[#This Row],[Phosphate (PPM)]]&gt;0.5, "Very high", IF(AllData[[#This Row],[Phosphate (PPM)]]&gt;0.1, "High", IF(AllData[[#This Row],[Phosphate (PPM)]]&gt;0.05, "Some evidence", IF(AllData[[#This Row],[Phosphate (PPM)]]&lt;=0.05, "No Evidence", ""))))</f>
        <v>High</v>
      </c>
      <c r="U1683">
        <v>0.43</v>
      </c>
    </row>
    <row r="1684" spans="1:22" x14ac:dyDescent="0.35">
      <c r="A1684" t="s">
        <v>1078</v>
      </c>
      <c r="B1684" s="143">
        <v>45395</v>
      </c>
      <c r="C1684" s="2" t="str" cm="1">
        <f t="array" ref="C16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4">
        <f>YEAR(AllData[[#This Row],[Date]])</f>
        <v>2024</v>
      </c>
      <c r="E1684" s="1">
        <v>0.5</v>
      </c>
      <c r="F1684" t="str">
        <f>IF(AND(AllData[[#This Row],[Time]]&lt;0.5, AllData[[#This Row],[Time]]&gt;0.17)=TRUE, "Morning", IF(AND(AllData[[#This Row],[Time]]&lt;0.75, AllData[[#This Row],[Time]]&gt;=0.5)=TRUE, "Afternoon", IF(AND(AllData[[#This Row],[Time]]&lt;1, AllData[[#This Row],[Time]]&gt;=0.75)=TRUE, "Evening", "Night")))</f>
        <v>Afternoon</v>
      </c>
      <c r="G1684" t="str">
        <f>_xlfn.XLOOKUP(AllData[[#This Row],[Location Name]], Locations[Location Name],Locations[Group As])</f>
        <v>Avon Smiths Meadow Wyre Piddle</v>
      </c>
      <c r="H1684" t="e" vm="6">
        <f>_xlfn.XLOOKUP(AllData[[#This Row],[Site Name]],LocationsKey[Site Name],LocationsKey[District])</f>
        <v>#VALUE!</v>
      </c>
      <c r="I1684" t="e" vm="13">
        <f>_xlfn.XLOOKUP(AllData[[#This Row],[Site Name]],LocationsKey[Site Name],LocationsKey[Town])</f>
        <v>#VALUE!</v>
      </c>
      <c r="J1684" t="str">
        <f>_xlfn.XLOOKUP(AllData[[#This Row],[Site Name]],LocationsKey[Site Name], LocationsKey[Waterway])</f>
        <v>Avon</v>
      </c>
      <c r="K1684" t="s">
        <v>784</v>
      </c>
      <c r="L1684">
        <v>52.122858999999998</v>
      </c>
      <c r="M1684">
        <v>-2.0575389999999998</v>
      </c>
      <c r="N1684" t="s">
        <v>25</v>
      </c>
      <c r="O1684">
        <v>743</v>
      </c>
      <c r="P1684">
        <v>7.3</v>
      </c>
      <c r="Q1684">
        <v>5</v>
      </c>
      <c r="R1684" s="107" t="str">
        <f>IF(AllData[[#This Row],[Nitrate (PPM)]]&gt;2, "Very high", IF(AllData[[#This Row],[Nitrate (PPM)]]&gt;1, "High", IF(AllData[[#This Row],[Nitrate (PPM)]]&gt;0.5, "Some evidence", IF(AllData[[#This Row],[Nitrate (PPM)]]&gt;=0, "No evidence"))))</f>
        <v>Very high</v>
      </c>
      <c r="S1684" s="4">
        <v>0.37</v>
      </c>
      <c r="T1684" s="7" t="str">
        <f>IF(AllData[[#This Row],[Phosphate (PPM)]]&gt;0.5, "Very high", IF(AllData[[#This Row],[Phosphate (PPM)]]&gt;0.1, "High", IF(AllData[[#This Row],[Phosphate (PPM)]]&gt;0.05, "Some evidence", IF(AllData[[#This Row],[Phosphate (PPM)]]&lt;=0.05, "No Evidence", ""))))</f>
        <v>High</v>
      </c>
      <c r="U1684">
        <v>0.84</v>
      </c>
      <c r="V1684" t="s">
        <v>1079</v>
      </c>
    </row>
    <row r="1685" spans="1:22" x14ac:dyDescent="0.35">
      <c r="A1685" t="s">
        <v>1074</v>
      </c>
      <c r="B1685" s="143">
        <v>45395</v>
      </c>
      <c r="C1685" s="2" t="str" cm="1">
        <f t="array" ref="C16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5">
        <f>YEAR(AllData[[#This Row],[Date]])</f>
        <v>2024</v>
      </c>
      <c r="E1685" s="1">
        <v>0.44374999999999998</v>
      </c>
      <c r="F1685" t="str">
        <f>IF(AND(AllData[[#This Row],[Time]]&lt;0.5, AllData[[#This Row],[Time]]&gt;0.17)=TRUE, "Morning", IF(AND(AllData[[#This Row],[Time]]&lt;0.75, AllData[[#This Row],[Time]]&gt;=0.5)=TRUE, "Afternoon", IF(AND(AllData[[#This Row],[Time]]&lt;1, AllData[[#This Row],[Time]]&gt;=0.75)=TRUE, "Evening", "Night")))</f>
        <v>Morning</v>
      </c>
      <c r="G1685" t="str">
        <f>_xlfn.XLOOKUP(AllData[[#This Row],[Location Name]], Locations[Location Name],Locations[Group As])</f>
        <v>Pitch 16</v>
      </c>
      <c r="H1685" t="e" vm="1">
        <f>_xlfn.XLOOKUP(AllData[[#This Row],[Site Name]],LocationsKey[Site Name],LocationsKey[District])</f>
        <v>#VALUE!</v>
      </c>
      <c r="I1685" t="e" vm="12">
        <f>_xlfn.XLOOKUP(AllData[[#This Row],[Site Name]],LocationsKey[Site Name],LocationsKey[Town])</f>
        <v>#VALUE!</v>
      </c>
      <c r="J1685" t="str">
        <f>_xlfn.XLOOKUP(AllData[[#This Row],[Site Name]],LocationsKey[Site Name], LocationsKey[Waterway])</f>
        <v>Avon</v>
      </c>
      <c r="K1685" t="s">
        <v>71</v>
      </c>
      <c r="L1685">
        <v>52.172607999999997</v>
      </c>
      <c r="M1685">
        <v>-1.7454069999999999</v>
      </c>
      <c r="N1685" t="s">
        <v>31</v>
      </c>
      <c r="O1685">
        <v>790</v>
      </c>
      <c r="P1685">
        <v>15.6</v>
      </c>
      <c r="Q1685">
        <v>4</v>
      </c>
      <c r="R1685" s="107" t="str">
        <f>IF(AllData[[#This Row],[Nitrate (PPM)]]&gt;2, "Very high", IF(AllData[[#This Row],[Nitrate (PPM)]]&gt;1, "High", IF(AllData[[#This Row],[Nitrate (PPM)]]&gt;0.5, "Some evidence", IF(AllData[[#This Row],[Nitrate (PPM)]]&gt;=0, "No evidence"))))</f>
        <v>Very high</v>
      </c>
      <c r="S1685" s="4">
        <v>0.72</v>
      </c>
      <c r="T1685" s="7" t="str">
        <f>IF(AllData[[#This Row],[Phosphate (PPM)]]&gt;0.5, "Very high", IF(AllData[[#This Row],[Phosphate (PPM)]]&gt;0.1, "High", IF(AllData[[#This Row],[Phosphate (PPM)]]&gt;0.05, "Some evidence", IF(AllData[[#This Row],[Phosphate (PPM)]]&lt;=0.05, "No Evidence", ""))))</f>
        <v>Very high</v>
      </c>
      <c r="U1685">
        <v>0.8</v>
      </c>
      <c r="V1685" t="s">
        <v>1075</v>
      </c>
    </row>
    <row r="1686" spans="1:22" x14ac:dyDescent="0.35">
      <c r="A1686" t="s">
        <v>1071</v>
      </c>
      <c r="B1686" s="143">
        <v>45395</v>
      </c>
      <c r="C1686" s="2" t="str" cm="1">
        <f t="array" ref="C16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6">
        <f>YEAR(AllData[[#This Row],[Date]])</f>
        <v>2024</v>
      </c>
      <c r="E1686" s="1">
        <v>0.36388888888888887</v>
      </c>
      <c r="F1686" t="str">
        <f>IF(AND(AllData[[#This Row],[Time]]&lt;0.5, AllData[[#This Row],[Time]]&gt;0.17)=TRUE, "Morning", IF(AND(AllData[[#This Row],[Time]]&lt;0.75, AllData[[#This Row],[Time]]&gt;=0.5)=TRUE, "Afternoon", IF(AND(AllData[[#This Row],[Time]]&lt;1, AllData[[#This Row],[Time]]&gt;=0.75)=TRUE, "Evening", "Night")))</f>
        <v>Morning</v>
      </c>
      <c r="G1686" t="str">
        <f>_xlfn.XLOOKUP(AllData[[#This Row],[Location Name]], Locations[Location Name],Locations[Group As])</f>
        <v>Stour Whichford</v>
      </c>
      <c r="H1686" t="e" vm="1">
        <f>_xlfn.XLOOKUP(AllData[[#This Row],[Site Name]],LocationsKey[Site Name],LocationsKey[District])</f>
        <v>#VALUE!</v>
      </c>
      <c r="I1686" t="e" vm="24">
        <f>_xlfn.XLOOKUP(AllData[[#This Row],[Site Name]],LocationsKey[Site Name],LocationsKey[Town])</f>
        <v>#VALUE!</v>
      </c>
      <c r="J1686" t="str">
        <f>_xlfn.XLOOKUP(AllData[[#This Row],[Site Name]],LocationsKey[Site Name], LocationsKey[Waterway])</f>
        <v>Stour</v>
      </c>
      <c r="K1686" t="s">
        <v>980</v>
      </c>
      <c r="N1686" t="s">
        <v>31</v>
      </c>
      <c r="O1686">
        <v>59.8</v>
      </c>
      <c r="P1686">
        <v>12.08</v>
      </c>
      <c r="Q1686">
        <v>2.0699999999999998</v>
      </c>
      <c r="R1686" s="107" t="str">
        <f>IF(AllData[[#This Row],[Nitrate (PPM)]]&gt;2, "Very high", IF(AllData[[#This Row],[Nitrate (PPM)]]&gt;1, "High", IF(AllData[[#This Row],[Nitrate (PPM)]]&gt;0.5, "Some evidence", IF(AllData[[#This Row],[Nitrate (PPM)]]&gt;=0, "No evidence"))))</f>
        <v>Very high</v>
      </c>
      <c r="S1686" s="4">
        <v>0.48</v>
      </c>
      <c r="T1686" s="7" t="str">
        <f>IF(AllData[[#This Row],[Phosphate (PPM)]]&gt;0.5, "Very high", IF(AllData[[#This Row],[Phosphate (PPM)]]&gt;0.1, "High", IF(AllData[[#This Row],[Phosphate (PPM)]]&gt;0.05, "Some evidence", IF(AllData[[#This Row],[Phosphate (PPM)]]&lt;=0.05, "No Evidence", ""))))</f>
        <v>High</v>
      </c>
      <c r="U1686">
        <v>20</v>
      </c>
    </row>
    <row r="1687" spans="1:22" x14ac:dyDescent="0.35">
      <c r="A1687" t="s">
        <v>1073</v>
      </c>
      <c r="B1687" s="143">
        <v>45395</v>
      </c>
      <c r="C1687" s="2" t="str" cm="1">
        <f t="array" ref="C16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7">
        <f>YEAR(AllData[[#This Row],[Date]])</f>
        <v>2024</v>
      </c>
      <c r="E1687" s="1">
        <v>0.38472222222222224</v>
      </c>
      <c r="F1687" t="str">
        <f>IF(AND(AllData[[#This Row],[Time]]&lt;0.5, AllData[[#This Row],[Time]]&gt;0.17)=TRUE, "Morning", IF(AND(AllData[[#This Row],[Time]]&lt;0.75, AllData[[#This Row],[Time]]&gt;=0.5)=TRUE, "Afternoon", IF(AND(AllData[[#This Row],[Time]]&lt;1, AllData[[#This Row],[Time]]&gt;=0.75)=TRUE, "Evening", "Night")))</f>
        <v>Morning</v>
      </c>
      <c r="G1687" t="str">
        <f>_xlfn.XLOOKUP(AllData[[#This Row],[Location Name]], Locations[Location Name],Locations[Group As])</f>
        <v>Stour Ascott Village</v>
      </c>
      <c r="H1687" t="e" vm="1">
        <f>_xlfn.XLOOKUP(AllData[[#This Row],[Site Name]],LocationsKey[Site Name],LocationsKey[District])</f>
        <v>#VALUE!</v>
      </c>
      <c r="I1687" t="e" vm="25">
        <f>_xlfn.XLOOKUP(AllData[[#This Row],[Site Name]],LocationsKey[Site Name],LocationsKey[Town])</f>
        <v>#VALUE!</v>
      </c>
      <c r="J1687" t="str">
        <f>_xlfn.XLOOKUP(AllData[[#This Row],[Site Name]],LocationsKey[Site Name], LocationsKey[Waterway])</f>
        <v>Stour</v>
      </c>
      <c r="K1687" t="s">
        <v>927</v>
      </c>
      <c r="N1687" t="s">
        <v>68</v>
      </c>
      <c r="O1687">
        <v>54.8</v>
      </c>
      <c r="P1687">
        <v>12.6</v>
      </c>
      <c r="Q1687">
        <v>0.01</v>
      </c>
      <c r="R1687" s="107" t="str">
        <f>IF(AllData[[#This Row],[Nitrate (PPM)]]&gt;2, "Very high", IF(AllData[[#This Row],[Nitrate (PPM)]]&gt;1, "High", IF(AllData[[#This Row],[Nitrate (PPM)]]&gt;0.5, "Some evidence", IF(AllData[[#This Row],[Nitrate (PPM)]]&gt;=0, "No evidence"))))</f>
        <v>No evidence</v>
      </c>
      <c r="S1687" s="4">
        <v>0.21</v>
      </c>
      <c r="T1687" s="7" t="str">
        <f>IF(AllData[[#This Row],[Phosphate (PPM)]]&gt;0.5, "Very high", IF(AllData[[#This Row],[Phosphate (PPM)]]&gt;0.1, "High", IF(AllData[[#This Row],[Phosphate (PPM)]]&gt;0.05, "Some evidence", IF(AllData[[#This Row],[Phosphate (PPM)]]&lt;=0.05, "No Evidence", ""))))</f>
        <v>High</v>
      </c>
      <c r="U1687">
        <v>13</v>
      </c>
    </row>
    <row r="1688" spans="1:22" x14ac:dyDescent="0.35">
      <c r="A1688" t="s">
        <v>1070</v>
      </c>
      <c r="B1688" s="143">
        <v>45394</v>
      </c>
      <c r="C1688" s="2" t="str" cm="1">
        <f t="array" ref="C16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8">
        <f>YEAR(AllData[[#This Row],[Date]])</f>
        <v>2024</v>
      </c>
      <c r="E1688" s="1">
        <v>0.68402777777777779</v>
      </c>
      <c r="F1688" t="str">
        <f>IF(AND(AllData[[#This Row],[Time]]&lt;0.5, AllData[[#This Row],[Time]]&gt;0.17)=TRUE, "Morning", IF(AND(AllData[[#This Row],[Time]]&lt;0.75, AllData[[#This Row],[Time]]&gt;=0.5)=TRUE, "Afternoon", IF(AND(AllData[[#This Row],[Time]]&lt;1, AllData[[#This Row],[Time]]&gt;=0.75)=TRUE, "Evening", "Night")))</f>
        <v>Afternoon</v>
      </c>
      <c r="G1688" t="str">
        <f>_xlfn.XLOOKUP(AllData[[#This Row],[Location Name]], Locations[Location Name],Locations[Group As])</f>
        <v>Preston Bagot Canal</v>
      </c>
      <c r="H1688" t="e" vm="1">
        <f>_xlfn.XLOOKUP(AllData[[#This Row],[Site Name]],LocationsKey[Site Name],LocationsKey[District])</f>
        <v>#VALUE!</v>
      </c>
      <c r="I1688" t="e" vm="21">
        <f>_xlfn.XLOOKUP(AllData[[#This Row],[Site Name]],LocationsKey[Site Name],LocationsKey[Town])</f>
        <v>#VALUE!</v>
      </c>
      <c r="J1688" t="str">
        <f>_xlfn.XLOOKUP(AllData[[#This Row],[Site Name]],LocationsKey[Site Name], LocationsKey[Waterway])</f>
        <v>Preston Bagot Canal</v>
      </c>
      <c r="K1688" t="s">
        <v>618</v>
      </c>
      <c r="L1688">
        <v>52.286999999999999</v>
      </c>
      <c r="M1688">
        <v>-1.746</v>
      </c>
      <c r="N1688" t="s">
        <v>25</v>
      </c>
      <c r="O1688">
        <v>404</v>
      </c>
      <c r="P1688">
        <v>15.4</v>
      </c>
      <c r="Q1688">
        <v>3.5</v>
      </c>
      <c r="R1688" s="107" t="str">
        <f>IF(AllData[[#This Row],[Nitrate (PPM)]]&gt;2, "Very high", IF(AllData[[#This Row],[Nitrate (PPM)]]&gt;1, "High", IF(AllData[[#This Row],[Nitrate (PPM)]]&gt;0.5, "Some evidence", IF(AllData[[#This Row],[Nitrate (PPM)]]&gt;=0, "No evidence"))))</f>
        <v>Very high</v>
      </c>
      <c r="S1688">
        <v>0.15</v>
      </c>
      <c r="T1688" s="7" t="str">
        <f>IF(AllData[[#This Row],[Phosphate (PPM)]]&gt;0.5, "Very high", IF(AllData[[#This Row],[Phosphate (PPM)]]&gt;0.1, "High", IF(AllData[[#This Row],[Phosphate (PPM)]]&gt;0.05, "Some evidence", IF(AllData[[#This Row],[Phosphate (PPM)]]&lt;=0.05, "No Evidence", ""))))</f>
        <v>High</v>
      </c>
      <c r="U1688">
        <v>1</v>
      </c>
      <c r="V1688" t="s">
        <v>970</v>
      </c>
    </row>
    <row r="1689" spans="1:22" x14ac:dyDescent="0.35">
      <c r="A1689" t="s">
        <v>1069</v>
      </c>
      <c r="B1689" s="143">
        <v>45394</v>
      </c>
      <c r="C1689" s="2" t="str" cm="1">
        <f t="array" ref="C16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89">
        <f>YEAR(AllData[[#This Row],[Date]])</f>
        <v>2024</v>
      </c>
      <c r="E1689" s="1">
        <v>0.68888888888888888</v>
      </c>
      <c r="F1689" t="str">
        <f>IF(AND(AllData[[#This Row],[Time]]&lt;0.5, AllData[[#This Row],[Time]]&gt;0.17)=TRUE, "Morning", IF(AND(AllData[[#This Row],[Time]]&lt;0.75, AllData[[#This Row],[Time]]&gt;=0.5)=TRUE, "Afternoon", IF(AND(AllData[[#This Row],[Time]]&lt;1, AllData[[#This Row],[Time]]&gt;=0.75)=TRUE, "Evening", "Night")))</f>
        <v>Afternoon</v>
      </c>
      <c r="G1689" t="str">
        <f>_xlfn.XLOOKUP(AllData[[#This Row],[Location Name]], Locations[Location Name],Locations[Group As])</f>
        <v>Preston Bagot Brook</v>
      </c>
      <c r="H1689" t="e" vm="1">
        <f>_xlfn.XLOOKUP(AllData[[#This Row],[Site Name]],LocationsKey[Site Name],LocationsKey[District])</f>
        <v>#VALUE!</v>
      </c>
      <c r="I1689" t="e" vm="21">
        <f>_xlfn.XLOOKUP(AllData[[#This Row],[Site Name]],LocationsKey[Site Name],LocationsKey[Town])</f>
        <v>#VALUE!</v>
      </c>
      <c r="J1689" t="str">
        <f>_xlfn.XLOOKUP(AllData[[#This Row],[Site Name]],LocationsKey[Site Name], LocationsKey[Waterway])</f>
        <v>Preston Bagot Brook</v>
      </c>
      <c r="K1689" t="s">
        <v>621</v>
      </c>
      <c r="L1689">
        <v>52.286000000000001</v>
      </c>
      <c r="M1689">
        <v>-1.7470000000000001</v>
      </c>
      <c r="N1689" t="s">
        <v>25</v>
      </c>
      <c r="O1689">
        <v>671</v>
      </c>
      <c r="P1689">
        <v>14.2</v>
      </c>
      <c r="Q1689">
        <v>2</v>
      </c>
      <c r="R1689" s="107" t="str">
        <f>IF(AllData[[#This Row],[Nitrate (PPM)]]&gt;2, "Very high", IF(AllData[[#This Row],[Nitrate (PPM)]]&gt;1, "High", IF(AllData[[#This Row],[Nitrate (PPM)]]&gt;0.5, "Some evidence", IF(AllData[[#This Row],[Nitrate (PPM)]]&gt;=0, "No evidence"))))</f>
        <v>High</v>
      </c>
      <c r="S1689">
        <v>0.59</v>
      </c>
      <c r="T1689" s="7" t="str">
        <f>IF(AllData[[#This Row],[Phosphate (PPM)]]&gt;0.5, "Very high", IF(AllData[[#This Row],[Phosphate (PPM)]]&gt;0.1, "High", IF(AllData[[#This Row],[Phosphate (PPM)]]&gt;0.05, "Some evidence", IF(AllData[[#This Row],[Phosphate (PPM)]]&lt;=0.05, "No Evidence", ""))))</f>
        <v>Very high</v>
      </c>
      <c r="U1689">
        <v>1</v>
      </c>
      <c r="V1689" t="s">
        <v>970</v>
      </c>
    </row>
    <row r="1690" spans="1:22" x14ac:dyDescent="0.35">
      <c r="A1690" t="s">
        <v>1065</v>
      </c>
      <c r="B1690" s="143">
        <v>45393</v>
      </c>
      <c r="C1690" s="2" t="str" cm="1">
        <f t="array" ref="C16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0">
        <f>YEAR(AllData[[#This Row],[Date]])</f>
        <v>2024</v>
      </c>
      <c r="E1690" s="1">
        <v>0.56597222222222221</v>
      </c>
      <c r="F1690" t="str">
        <f>IF(AND(AllData[[#This Row],[Time]]&lt;0.5, AllData[[#This Row],[Time]]&gt;0.17)=TRUE, "Morning", IF(AND(AllData[[#This Row],[Time]]&lt;0.75, AllData[[#This Row],[Time]]&gt;=0.5)=TRUE, "Afternoon", IF(AND(AllData[[#This Row],[Time]]&lt;1, AllData[[#This Row],[Time]]&gt;=0.75)=TRUE, "Evening", "Night")))</f>
        <v>Afternoon</v>
      </c>
      <c r="G1690" t="str">
        <f>_xlfn.XLOOKUP(AllData[[#This Row],[Location Name]], Locations[Location Name],Locations[Group As])</f>
        <v>Carrant M5 Bridge</v>
      </c>
      <c r="H1690" t="e" vm="4">
        <f>_xlfn.XLOOKUP(AllData[[#This Row],[Site Name]],LocationsKey[Site Name],LocationsKey[District])</f>
        <v>#VALUE!</v>
      </c>
      <c r="I1690" t="e" vm="4">
        <f>_xlfn.XLOOKUP(AllData[[#This Row],[Site Name]],LocationsKey[Site Name],LocationsKey[Town])</f>
        <v>#VALUE!</v>
      </c>
      <c r="J1690" t="str">
        <f>_xlfn.XLOOKUP(AllData[[#This Row],[Site Name]],LocationsKey[Site Name], LocationsKey[Waterway])</f>
        <v>Carrant</v>
      </c>
      <c r="K1690" t="s">
        <v>1066</v>
      </c>
      <c r="L1690">
        <v>52.022495999999997</v>
      </c>
      <c r="M1690">
        <v>-2.1379350000000001</v>
      </c>
      <c r="N1690" t="s">
        <v>25</v>
      </c>
      <c r="O1690">
        <v>715</v>
      </c>
      <c r="P1690">
        <v>15.6</v>
      </c>
      <c r="Q1690">
        <v>9</v>
      </c>
      <c r="R1690" s="107" t="str">
        <f>IF(AllData[[#This Row],[Nitrate (PPM)]]&gt;2, "Very high", IF(AllData[[#This Row],[Nitrate (PPM)]]&gt;1, "High", IF(AllData[[#This Row],[Nitrate (PPM)]]&gt;0.5, "Some evidence", IF(AllData[[#This Row],[Nitrate (PPM)]]&gt;=0, "No evidence"))))</f>
        <v>Very high</v>
      </c>
      <c r="S1690" s="4">
        <v>0.3</v>
      </c>
      <c r="T1690" s="7" t="str">
        <f>IF(AllData[[#This Row],[Phosphate (PPM)]]&gt;0.5, "Very high", IF(AllData[[#This Row],[Phosphate (PPM)]]&gt;0.1, "High", IF(AllData[[#This Row],[Phosphate (PPM)]]&gt;0.05, "Some evidence", IF(AllData[[#This Row],[Phosphate (PPM)]]&lt;=0.05, "No Evidence", ""))))</f>
        <v>High</v>
      </c>
      <c r="U1690">
        <v>0.5</v>
      </c>
    </row>
    <row r="1691" spans="1:22" x14ac:dyDescent="0.35">
      <c r="A1691" t="s">
        <v>1063</v>
      </c>
      <c r="B1691" s="143">
        <v>45393</v>
      </c>
      <c r="C1691" s="2" t="str" cm="1">
        <f t="array" ref="C16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1">
        <f>YEAR(AllData[[#This Row],[Date]])</f>
        <v>2024</v>
      </c>
      <c r="E1691" s="1">
        <v>0.54374999999999996</v>
      </c>
      <c r="F1691" t="str">
        <f>IF(AND(AllData[[#This Row],[Time]]&lt;0.5, AllData[[#This Row],[Time]]&gt;0.17)=TRUE, "Morning", IF(AND(AllData[[#This Row],[Time]]&lt;0.75, AllData[[#This Row],[Time]]&gt;=0.5)=TRUE, "Afternoon", IF(AND(AllData[[#This Row],[Time]]&lt;1, AllData[[#This Row],[Time]]&gt;=0.75)=TRUE, "Evening", "Night")))</f>
        <v>Afternoon</v>
      </c>
      <c r="G1691" t="str">
        <f>_xlfn.XLOOKUP(AllData[[#This Row],[Location Name]], Locations[Location Name],Locations[Group As])</f>
        <v>Carrant Mitton Path</v>
      </c>
      <c r="H1691" t="e" vm="4">
        <f>_xlfn.XLOOKUP(AllData[[#This Row],[Site Name]],LocationsKey[Site Name],LocationsKey[District])</f>
        <v>#VALUE!</v>
      </c>
      <c r="I1691" t="e" vm="4">
        <f>_xlfn.XLOOKUP(AllData[[#This Row],[Site Name]],LocationsKey[Site Name],LocationsKey[Town])</f>
        <v>#VALUE!</v>
      </c>
      <c r="J1691" t="str">
        <f>_xlfn.XLOOKUP(AllData[[#This Row],[Site Name]],LocationsKey[Site Name], LocationsKey[Waterway])</f>
        <v>Carrant</v>
      </c>
      <c r="K1691" t="s">
        <v>1064</v>
      </c>
      <c r="L1691">
        <v>51.999930999999997</v>
      </c>
      <c r="M1691">
        <v>-2.1409120000000001</v>
      </c>
      <c r="N1691" t="s">
        <v>25</v>
      </c>
      <c r="O1691">
        <v>696</v>
      </c>
      <c r="P1691">
        <v>14.6</v>
      </c>
      <c r="Q1691">
        <v>6</v>
      </c>
      <c r="R1691" s="107" t="str">
        <f>IF(AllData[[#This Row],[Nitrate (PPM)]]&gt;2, "Very high", IF(AllData[[#This Row],[Nitrate (PPM)]]&gt;1, "High", IF(AllData[[#This Row],[Nitrate (PPM)]]&gt;0.5, "Some evidence", IF(AllData[[#This Row],[Nitrate (PPM)]]&gt;=0, "No evidence"))))</f>
        <v>Very high</v>
      </c>
      <c r="S1691" s="4">
        <v>0.47</v>
      </c>
      <c r="T1691" s="7" t="str">
        <f>IF(AllData[[#This Row],[Phosphate (PPM)]]&gt;0.5, "Very high", IF(AllData[[#This Row],[Phosphate (PPM)]]&gt;0.1, "High", IF(AllData[[#This Row],[Phosphate (PPM)]]&gt;0.05, "Some evidence", IF(AllData[[#This Row],[Phosphate (PPM)]]&lt;=0.05, "No Evidence", ""))))</f>
        <v>High</v>
      </c>
      <c r="U1691">
        <v>0.5</v>
      </c>
    </row>
    <row r="1692" spans="1:22" x14ac:dyDescent="0.35">
      <c r="A1692" t="s">
        <v>1068</v>
      </c>
      <c r="B1692" s="143">
        <v>45393</v>
      </c>
      <c r="C1692" s="2" t="str" cm="1">
        <f t="array" ref="C16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2">
        <f>YEAR(AllData[[#This Row],[Date]])</f>
        <v>2024</v>
      </c>
      <c r="E1692" s="1">
        <v>0.68125000000000002</v>
      </c>
      <c r="F1692" t="str">
        <f>IF(AND(AllData[[#This Row],[Time]]&lt;0.5, AllData[[#This Row],[Time]]&gt;0.17)=TRUE, "Morning", IF(AND(AllData[[#This Row],[Time]]&lt;0.75, AllData[[#This Row],[Time]]&gt;=0.5)=TRUE, "Afternoon", IF(AND(AllData[[#This Row],[Time]]&lt;1, AllData[[#This Row],[Time]]&gt;=0.75)=TRUE, "Evening", "Night")))</f>
        <v>Afternoon</v>
      </c>
      <c r="G1692" t="str">
        <f>_xlfn.XLOOKUP(AllData[[#This Row],[Location Name]], Locations[Location Name],Locations[Group As])</f>
        <v>Preston-on-Stour River Bridge</v>
      </c>
      <c r="H1692" t="e" vm="1">
        <f>_xlfn.XLOOKUP(AllData[[#This Row],[Site Name]],LocationsKey[Site Name],LocationsKey[District])</f>
        <v>#VALUE!</v>
      </c>
      <c r="I1692" t="e" vm="20">
        <f>_xlfn.XLOOKUP(AllData[[#This Row],[Site Name]],LocationsKey[Site Name],LocationsKey[Town])</f>
        <v>#VALUE!</v>
      </c>
      <c r="J1692" t="str">
        <f>_xlfn.XLOOKUP(AllData[[#This Row],[Site Name]],LocationsKey[Site Name], LocationsKey[Waterway])</f>
        <v>Stour</v>
      </c>
      <c r="K1692" t="s">
        <v>164</v>
      </c>
      <c r="L1692">
        <v>52.146439000000001</v>
      </c>
      <c r="M1692">
        <v>-1.699913</v>
      </c>
      <c r="N1692" t="s">
        <v>31</v>
      </c>
      <c r="O1692">
        <v>605</v>
      </c>
      <c r="P1692">
        <v>14</v>
      </c>
      <c r="Q1692">
        <v>5</v>
      </c>
      <c r="R1692" s="107" t="str">
        <f>IF(AllData[[#This Row],[Nitrate (PPM)]]&gt;2, "Very high", IF(AllData[[#This Row],[Nitrate (PPM)]]&gt;1, "High", IF(AllData[[#This Row],[Nitrate (PPM)]]&gt;0.5, "Some evidence", IF(AllData[[#This Row],[Nitrate (PPM)]]&gt;=0, "No evidence"))))</f>
        <v>Very high</v>
      </c>
      <c r="S1692" s="4">
        <v>0.24</v>
      </c>
      <c r="T1692" s="7" t="str">
        <f>IF(AllData[[#This Row],[Phosphate (PPM)]]&gt;0.5, "Very high", IF(AllData[[#This Row],[Phosphate (PPM)]]&gt;0.1, "High", IF(AllData[[#This Row],[Phosphate (PPM)]]&gt;0.05, "Some evidence", IF(AllData[[#This Row],[Phosphate (PPM)]]&lt;=0.05, "No Evidence", ""))))</f>
        <v>High</v>
      </c>
      <c r="U1692">
        <v>1.5</v>
      </c>
    </row>
    <row r="1693" spans="1:22" x14ac:dyDescent="0.35">
      <c r="A1693" t="s">
        <v>1061</v>
      </c>
      <c r="B1693" s="143">
        <v>45393</v>
      </c>
      <c r="C1693" s="2" t="str" cm="1">
        <f t="array" ref="C16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3">
        <f>YEAR(AllData[[#This Row],[Date]])</f>
        <v>2024</v>
      </c>
      <c r="E1693" s="1">
        <v>0.4375</v>
      </c>
      <c r="F1693" t="str">
        <f>IF(AND(AllData[[#This Row],[Time]]&lt;0.5, AllData[[#This Row],[Time]]&gt;0.17)=TRUE, "Morning", IF(AND(AllData[[#This Row],[Time]]&lt;0.75, AllData[[#This Row],[Time]]&gt;=0.5)=TRUE, "Afternoon", IF(AND(AllData[[#This Row],[Time]]&lt;1, AllData[[#This Row],[Time]]&gt;=0.75)=TRUE, "Evening", "Night")))</f>
        <v>Morning</v>
      </c>
      <c r="G1693" t="str">
        <f>_xlfn.XLOOKUP(AllData[[#This Row],[Location Name]], Locations[Location Name],Locations[Group As])</f>
        <v>Swilgate</v>
      </c>
      <c r="H1693" t="e" vm="4">
        <f>_xlfn.XLOOKUP(AllData[[#This Row],[Site Name]],LocationsKey[Site Name],LocationsKey[District])</f>
        <v>#VALUE!</v>
      </c>
      <c r="I1693" t="e" vm="4">
        <f>_xlfn.XLOOKUP(AllData[[#This Row],[Site Name]],LocationsKey[Site Name],LocationsKey[Town])</f>
        <v>#VALUE!</v>
      </c>
      <c r="J1693" t="str">
        <f>_xlfn.XLOOKUP(AllData[[#This Row],[Site Name]],LocationsKey[Site Name], LocationsKey[Waterway])</f>
        <v>Swilgate</v>
      </c>
      <c r="K1693" t="s">
        <v>85</v>
      </c>
      <c r="N1693" t="s">
        <v>25</v>
      </c>
      <c r="O1693">
        <v>774</v>
      </c>
      <c r="P1693">
        <v>13.2</v>
      </c>
      <c r="Q1693">
        <v>3</v>
      </c>
      <c r="R1693" s="107" t="str">
        <f>IF(AllData[[#This Row],[Nitrate (PPM)]]&gt;2, "Very high", IF(AllData[[#This Row],[Nitrate (PPM)]]&gt;1, "High", IF(AllData[[#This Row],[Nitrate (PPM)]]&gt;0.5, "Some evidence", IF(AllData[[#This Row],[Nitrate (PPM)]]&gt;=0, "No evidence"))))</f>
        <v>Very high</v>
      </c>
      <c r="S1693" s="4">
        <v>0.25</v>
      </c>
      <c r="T1693" s="7" t="str">
        <f>IF(AllData[[#This Row],[Phosphate (PPM)]]&gt;0.5, "Very high", IF(AllData[[#This Row],[Phosphate (PPM)]]&gt;0.1, "High", IF(AllData[[#This Row],[Phosphate (PPM)]]&gt;0.05, "Some evidence", IF(AllData[[#This Row],[Phosphate (PPM)]]&lt;=0.05, "No Evidence", ""))))</f>
        <v>High</v>
      </c>
      <c r="U1693">
        <v>2</v>
      </c>
      <c r="V1693" t="s">
        <v>272</v>
      </c>
    </row>
    <row r="1694" spans="1:22" x14ac:dyDescent="0.35">
      <c r="A1694" t="s">
        <v>1067</v>
      </c>
      <c r="B1694" s="143">
        <v>45393</v>
      </c>
      <c r="C1694" s="2" t="str" cm="1">
        <f t="array" ref="C16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4">
        <f>YEAR(AllData[[#This Row],[Date]])</f>
        <v>2024</v>
      </c>
      <c r="E1694" s="1">
        <v>0.66666666666666663</v>
      </c>
      <c r="F1694" t="str">
        <f>IF(AND(AllData[[#This Row],[Time]]&lt;0.5, AllData[[#This Row],[Time]]&gt;0.17)=TRUE, "Morning", IF(AND(AllData[[#This Row],[Time]]&lt;0.75, AllData[[#This Row],[Time]]&gt;=0.5)=TRUE, "Afternoon", IF(AND(AllData[[#This Row],[Time]]&lt;1, AllData[[#This Row],[Time]]&gt;=0.75)=TRUE, "Evening", "Night")))</f>
        <v>Afternoon</v>
      </c>
      <c r="G1694" t="str">
        <f>_xlfn.XLOOKUP(AllData[[#This Row],[Location Name]], Locations[Location Name],Locations[Group As])</f>
        <v>Stour Newbold Mill</v>
      </c>
      <c r="H1694" t="e" vm="1">
        <f>_xlfn.XLOOKUP(AllData[[#This Row],[Site Name]],LocationsKey[Site Name],LocationsKey[District])</f>
        <v>#VALUE!</v>
      </c>
      <c r="I1694" t="e" vm="27">
        <f>_xlfn.XLOOKUP(AllData[[#This Row],[Site Name]],LocationsKey[Site Name],LocationsKey[Town])</f>
        <v>#VALUE!</v>
      </c>
      <c r="J1694" t="str">
        <f>_xlfn.XLOOKUP(AllData[[#This Row],[Site Name]],LocationsKey[Site Name], LocationsKey[Waterway])</f>
        <v>Stour</v>
      </c>
      <c r="K1694" t="s">
        <v>141</v>
      </c>
      <c r="N1694" t="s">
        <v>31</v>
      </c>
      <c r="O1694">
        <v>608</v>
      </c>
      <c r="P1694">
        <v>13.5</v>
      </c>
      <c r="Q1694">
        <v>2</v>
      </c>
      <c r="R1694" s="107" t="str">
        <f>IF(AllData[[#This Row],[Nitrate (PPM)]]&gt;2, "Very high", IF(AllData[[#This Row],[Nitrate (PPM)]]&gt;1, "High", IF(AllData[[#This Row],[Nitrate (PPM)]]&gt;0.5, "Some evidence", IF(AllData[[#This Row],[Nitrate (PPM)]]&gt;=0, "No evidence"))))</f>
        <v>High</v>
      </c>
      <c r="S1694" s="4">
        <v>0.26</v>
      </c>
      <c r="T1694" s="7" t="str">
        <f>IF(AllData[[#This Row],[Phosphate (PPM)]]&gt;0.5, "Very high", IF(AllData[[#This Row],[Phosphate (PPM)]]&gt;0.1, "High", IF(AllData[[#This Row],[Phosphate (PPM)]]&gt;0.05, "Some evidence", IF(AllData[[#This Row],[Phosphate (PPM)]]&lt;=0.05, "No Evidence", ""))))</f>
        <v>High</v>
      </c>
      <c r="U1694">
        <v>3</v>
      </c>
      <c r="V1694" t="s">
        <v>533</v>
      </c>
    </row>
    <row r="1695" spans="1:22" x14ac:dyDescent="0.35">
      <c r="A1695" t="s">
        <v>1062</v>
      </c>
      <c r="B1695" s="143">
        <v>45393</v>
      </c>
      <c r="C1695" s="2" t="str" cm="1">
        <f t="array" ref="C16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5">
        <f>YEAR(AllData[[#This Row],[Date]])</f>
        <v>2024</v>
      </c>
      <c r="E1695" s="1">
        <v>0.45833333333333331</v>
      </c>
      <c r="F1695" t="str">
        <f>IF(AND(AllData[[#This Row],[Time]]&lt;0.5, AllData[[#This Row],[Time]]&gt;0.17)=TRUE, "Morning", IF(AND(AllData[[#This Row],[Time]]&lt;0.75, AllData[[#This Row],[Time]]&gt;=0.5)=TRUE, "Afternoon", IF(AND(AllData[[#This Row],[Time]]&lt;1, AllData[[#This Row],[Time]]&gt;=0.75)=TRUE, "Evening", "Night")))</f>
        <v>Morning</v>
      </c>
      <c r="G1695" t="str">
        <f>_xlfn.XLOOKUP(AllData[[#This Row],[Location Name]], Locations[Location Name],Locations[Group As])</f>
        <v>Stour Willington</v>
      </c>
      <c r="H1695" t="e" vm="1">
        <f>_xlfn.XLOOKUP(AllData[[#This Row],[Site Name]],LocationsKey[Site Name],LocationsKey[District])</f>
        <v>#VALUE!</v>
      </c>
      <c r="I1695" t="str">
        <f>_xlfn.XLOOKUP(AllData[[#This Row],[Site Name]],LocationsKey[Site Name],LocationsKey[Town])</f>
        <v>Willington</v>
      </c>
      <c r="J1695" t="str">
        <f>_xlfn.XLOOKUP(AllData[[#This Row],[Site Name]],LocationsKey[Site Name], LocationsKey[Waterway])</f>
        <v>Stour</v>
      </c>
      <c r="K1695" t="s">
        <v>521</v>
      </c>
      <c r="L1695">
        <v>52.053567999999999</v>
      </c>
      <c r="M1695">
        <v>-1.620152</v>
      </c>
      <c r="N1695" t="s">
        <v>25</v>
      </c>
      <c r="O1695">
        <v>579</v>
      </c>
      <c r="P1695">
        <v>14.1</v>
      </c>
      <c r="Q1695">
        <v>2</v>
      </c>
      <c r="R1695" s="107" t="str">
        <f>IF(AllData[[#This Row],[Nitrate (PPM)]]&gt;2, "Very high", IF(AllData[[#This Row],[Nitrate (PPM)]]&gt;1, "High", IF(AllData[[#This Row],[Nitrate (PPM)]]&gt;0.5, "Some evidence", IF(AllData[[#This Row],[Nitrate (PPM)]]&gt;=0, "No evidence"))))</f>
        <v>High</v>
      </c>
      <c r="S1695" s="4">
        <v>0.24</v>
      </c>
      <c r="T1695" s="7" t="str">
        <f>IF(AllData[[#This Row],[Phosphate (PPM)]]&gt;0.5, "Very high", IF(AllData[[#This Row],[Phosphate (PPM)]]&gt;0.1, "High", IF(AllData[[#This Row],[Phosphate (PPM)]]&gt;0.05, "Some evidence", IF(AllData[[#This Row],[Phosphate (PPM)]]&lt;=0.05, "No Evidence", ""))))</f>
        <v>High</v>
      </c>
      <c r="U1695">
        <v>0.5</v>
      </c>
    </row>
    <row r="1696" spans="1:22" x14ac:dyDescent="0.35">
      <c r="A1696" t="s">
        <v>1059</v>
      </c>
      <c r="B1696" s="143">
        <v>45391</v>
      </c>
      <c r="C1696" s="2" t="str" cm="1">
        <f t="array" ref="C16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6">
        <f>YEAR(AllData[[#This Row],[Date]])</f>
        <v>2024</v>
      </c>
      <c r="E1696" s="1">
        <v>0.61250000000000004</v>
      </c>
      <c r="F1696" t="str">
        <f>IF(AND(AllData[[#This Row],[Time]]&lt;0.5, AllData[[#This Row],[Time]]&gt;0.17)=TRUE, "Morning", IF(AND(AllData[[#This Row],[Time]]&lt;0.75, AllData[[#This Row],[Time]]&gt;=0.5)=TRUE, "Afternoon", IF(AND(AllData[[#This Row],[Time]]&lt;1, AllData[[#This Row],[Time]]&gt;=0.75)=TRUE, "Evening", "Night")))</f>
        <v>Afternoon</v>
      </c>
      <c r="G1696" t="str">
        <f>_xlfn.XLOOKUP(AllData[[#This Row],[Location Name]], Locations[Location Name],Locations[Group As])</f>
        <v>Abbey Mill</v>
      </c>
      <c r="H1696" t="e" vm="4">
        <f>_xlfn.XLOOKUP(AllData[[#This Row],[Site Name]],LocationsKey[Site Name],LocationsKey[District])</f>
        <v>#VALUE!</v>
      </c>
      <c r="I1696" t="e" vm="4">
        <f>_xlfn.XLOOKUP(AllData[[#This Row],[Site Name]],LocationsKey[Site Name],LocationsKey[Town])</f>
        <v>#VALUE!</v>
      </c>
      <c r="J1696" t="str">
        <f>_xlfn.XLOOKUP(AllData[[#This Row],[Site Name]],LocationsKey[Site Name], LocationsKey[Waterway])</f>
        <v>Avon</v>
      </c>
      <c r="K1696" t="s">
        <v>27</v>
      </c>
      <c r="L1696">
        <v>51.989916999999998</v>
      </c>
      <c r="M1696">
        <v>-2.161635</v>
      </c>
      <c r="N1696" t="s">
        <v>25</v>
      </c>
      <c r="O1696">
        <v>682</v>
      </c>
      <c r="P1696">
        <v>12.1</v>
      </c>
      <c r="Q1696">
        <v>10</v>
      </c>
      <c r="R1696" s="107" t="str">
        <f>IF(AllData[[#This Row],[Nitrate (PPM)]]&gt;2, "Very high", IF(AllData[[#This Row],[Nitrate (PPM)]]&gt;1, "High", IF(AllData[[#This Row],[Nitrate (PPM)]]&gt;0.5, "Some evidence", IF(AllData[[#This Row],[Nitrate (PPM)]]&gt;=0, "No evidence"))))</f>
        <v>Very high</v>
      </c>
      <c r="S1696" s="4">
        <v>0.5</v>
      </c>
      <c r="T1696" s="7" t="str">
        <f>IF(AllData[[#This Row],[Phosphate (PPM)]]&gt;0.5, "Very high", IF(AllData[[#This Row],[Phosphate (PPM)]]&gt;0.1, "High", IF(AllData[[#This Row],[Phosphate (PPM)]]&gt;0.05, "Some evidence", IF(AllData[[#This Row],[Phosphate (PPM)]]&lt;=0.05, "No Evidence", ""))))</f>
        <v>High</v>
      </c>
      <c r="U1696">
        <v>2.5</v>
      </c>
      <c r="V1696" t="s">
        <v>1060</v>
      </c>
    </row>
    <row r="1697" spans="1:22" x14ac:dyDescent="0.35">
      <c r="A1697" t="s">
        <v>1057</v>
      </c>
      <c r="B1697" s="143">
        <v>45390</v>
      </c>
      <c r="C1697" s="2" t="str" cm="1">
        <f t="array" ref="C16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7">
        <f>YEAR(AllData[[#This Row],[Date]])</f>
        <v>2024</v>
      </c>
      <c r="E1697" s="1">
        <v>0.73611111111111116</v>
      </c>
      <c r="F1697" t="str">
        <f>IF(AND(AllData[[#This Row],[Time]]&lt;0.5, AllData[[#This Row],[Time]]&gt;0.17)=TRUE, "Morning", IF(AND(AllData[[#This Row],[Time]]&lt;0.75, AllData[[#This Row],[Time]]&gt;=0.5)=TRUE, "Afternoon", IF(AND(AllData[[#This Row],[Time]]&lt;1, AllData[[#This Row],[Time]]&gt;=0.75)=TRUE, "Evening", "Night")))</f>
        <v>Afternoon</v>
      </c>
      <c r="G1697" t="str">
        <f>_xlfn.XLOOKUP(AllData[[#This Row],[Location Name]], Locations[Location Name],Locations[Group As])</f>
        <v>Sherbourne Brook 1</v>
      </c>
      <c r="H1697" t="e" vm="1">
        <f>_xlfn.XLOOKUP(AllData[[#This Row],[Site Name]],LocationsKey[Site Name],LocationsKey[District])</f>
        <v>#VALUE!</v>
      </c>
      <c r="I1697" t="e" vm="23">
        <f>_xlfn.XLOOKUP(AllData[[#This Row],[Site Name]],LocationsKey[Site Name],LocationsKey[Town])</f>
        <v>#VALUE!</v>
      </c>
      <c r="J1697" t="str">
        <f>_xlfn.XLOOKUP(AllData[[#This Row],[Site Name]],LocationsKey[Site Name], LocationsKey[Waterway])</f>
        <v>Sherbourne Brook</v>
      </c>
      <c r="K1697" t="s">
        <v>541</v>
      </c>
      <c r="L1697">
        <v>52.252499999999998</v>
      </c>
      <c r="M1697">
        <v>-1.6685000000000001</v>
      </c>
      <c r="N1697" t="s">
        <v>25</v>
      </c>
      <c r="O1697">
        <v>962</v>
      </c>
      <c r="P1697">
        <v>12.6</v>
      </c>
      <c r="Q1697">
        <v>5</v>
      </c>
      <c r="R1697" s="107" t="str">
        <f>IF(AllData[[#This Row],[Nitrate (PPM)]]&gt;2, "Very high", IF(AllData[[#This Row],[Nitrate (PPM)]]&gt;1, "High", IF(AllData[[#This Row],[Nitrate (PPM)]]&gt;0.5, "Some evidence", IF(AllData[[#This Row],[Nitrate (PPM)]]&gt;=0, "No evidence"))))</f>
        <v>Very high</v>
      </c>
      <c r="S1697" s="112">
        <v>0.68</v>
      </c>
      <c r="T1697" s="7" t="str">
        <f>IF(AllData[[#This Row],[Phosphate (PPM)]]&gt;0.5, "Very high", IF(AllData[[#This Row],[Phosphate (PPM)]]&gt;0.1, "High", IF(AllData[[#This Row],[Phosphate (PPM)]]&gt;0.05, "Some evidence", IF(AllData[[#This Row],[Phosphate (PPM)]]&lt;=0.05, "No Evidence", ""))))</f>
        <v>Very high</v>
      </c>
      <c r="U1697">
        <v>0.2</v>
      </c>
    </row>
    <row r="1698" spans="1:22" x14ac:dyDescent="0.35">
      <c r="A1698" t="s">
        <v>1058</v>
      </c>
      <c r="B1698" s="143">
        <v>45390</v>
      </c>
      <c r="C1698" s="2" t="str" cm="1">
        <f t="array" ref="C16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8">
        <f>YEAR(AllData[[#This Row],[Date]])</f>
        <v>2024</v>
      </c>
      <c r="E1698" s="1">
        <v>0.74305555555555558</v>
      </c>
      <c r="F1698" t="str">
        <f>IF(AND(AllData[[#This Row],[Time]]&lt;0.5, AllData[[#This Row],[Time]]&gt;0.17)=TRUE, "Morning", IF(AND(AllData[[#This Row],[Time]]&lt;0.75, AllData[[#This Row],[Time]]&gt;=0.5)=TRUE, "Afternoon", IF(AND(AllData[[#This Row],[Time]]&lt;1, AllData[[#This Row],[Time]]&gt;=0.75)=TRUE, "Evening", "Night")))</f>
        <v>Afternoon</v>
      </c>
      <c r="G1698" t="str">
        <f>_xlfn.XLOOKUP(AllData[[#This Row],[Location Name]], Locations[Location Name],Locations[Group As])</f>
        <v>Bell Brook 1</v>
      </c>
      <c r="H1698" t="e" vm="1">
        <f>_xlfn.XLOOKUP(AllData[[#This Row],[Site Name]],LocationsKey[Site Name],LocationsKey[District])</f>
        <v>#VALUE!</v>
      </c>
      <c r="I1698" t="e" vm="19">
        <f>_xlfn.XLOOKUP(AllData[[#This Row],[Site Name]],LocationsKey[Site Name],LocationsKey[Town])</f>
        <v>#VALUE!</v>
      </c>
      <c r="J1698" t="str">
        <f>_xlfn.XLOOKUP(AllData[[#This Row],[Site Name]],LocationsKey[Site Name], LocationsKey[Waterway])</f>
        <v>Bell Brook</v>
      </c>
      <c r="K1698" t="s">
        <v>538</v>
      </c>
      <c r="L1698">
        <v>52.244900000000001</v>
      </c>
      <c r="M1698">
        <v>-1.6617</v>
      </c>
      <c r="N1698" t="s">
        <v>25</v>
      </c>
      <c r="O1698">
        <v>643</v>
      </c>
      <c r="P1698">
        <v>12.5</v>
      </c>
      <c r="Q1698">
        <v>5</v>
      </c>
      <c r="R1698" s="107" t="str">
        <f>IF(AllData[[#This Row],[Nitrate (PPM)]]&gt;2, "Very high", IF(AllData[[#This Row],[Nitrate (PPM)]]&gt;1, "High", IF(AllData[[#This Row],[Nitrate (PPM)]]&gt;0.5, "Some evidence", IF(AllData[[#This Row],[Nitrate (PPM)]]&gt;=0, "No evidence"))))</f>
        <v>Very high</v>
      </c>
      <c r="S1698" s="112">
        <v>0.12</v>
      </c>
      <c r="T1698" s="7" t="str">
        <f>IF(AllData[[#This Row],[Phosphate (PPM)]]&gt;0.5, "Very high", IF(AllData[[#This Row],[Phosphate (PPM)]]&gt;0.1, "High", IF(AllData[[#This Row],[Phosphate (PPM)]]&gt;0.05, "Some evidence", IF(AllData[[#This Row],[Phosphate (PPM)]]&lt;=0.05, "No Evidence", ""))))</f>
        <v>High</v>
      </c>
      <c r="U1698">
        <v>0.2</v>
      </c>
    </row>
    <row r="1699" spans="1:22" x14ac:dyDescent="0.35">
      <c r="A1699" t="s">
        <v>1053</v>
      </c>
      <c r="B1699" s="143">
        <v>45390</v>
      </c>
      <c r="C1699" s="2" t="str" cm="1">
        <f t="array" ref="C16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699">
        <f>YEAR(AllData[[#This Row],[Date]])</f>
        <v>2024</v>
      </c>
      <c r="E1699" s="1">
        <v>0.60416666666666663</v>
      </c>
      <c r="F1699" t="str">
        <f>IF(AND(AllData[[#This Row],[Time]]&lt;0.5, AllData[[#This Row],[Time]]&gt;0.17)=TRUE, "Morning", IF(AND(AllData[[#This Row],[Time]]&lt;0.75, AllData[[#This Row],[Time]]&gt;=0.5)=TRUE, "Afternoon", IF(AND(AllData[[#This Row],[Time]]&lt;1, AllData[[#This Row],[Time]]&gt;=0.75)=TRUE, "Evening", "Night")))</f>
        <v>Afternoon</v>
      </c>
      <c r="G1699" t="str">
        <f>_xlfn.XLOOKUP(AllData[[#This Row],[Location Name]], Locations[Location Name],Locations[Group As])</f>
        <v>Swiffen Bank</v>
      </c>
      <c r="H1699" t="e" vm="1">
        <f>_xlfn.XLOOKUP(AllData[[#This Row],[Site Name]],LocationsKey[Site Name],LocationsKey[District])</f>
        <v>#VALUE!</v>
      </c>
      <c r="I1699" t="e" vm="2">
        <f>_xlfn.XLOOKUP(AllData[[#This Row],[Site Name]],LocationsKey[Site Name],LocationsKey[Town])</f>
        <v>#VALUE!</v>
      </c>
      <c r="J1699" t="str">
        <f>_xlfn.XLOOKUP(AllData[[#This Row],[Site Name]],LocationsKey[Site Name], LocationsKey[Waterway])</f>
        <v>Avon</v>
      </c>
      <c r="K1699" t="s">
        <v>286</v>
      </c>
      <c r="L1699">
        <v>52.206477999999997</v>
      </c>
      <c r="M1699">
        <v>-1.653894</v>
      </c>
      <c r="N1699" t="s">
        <v>31</v>
      </c>
      <c r="O1699">
        <v>562</v>
      </c>
      <c r="P1699">
        <v>15.5</v>
      </c>
      <c r="Q1699">
        <v>5</v>
      </c>
      <c r="R1699" s="107" t="str">
        <f>IF(AllData[[#This Row],[Nitrate (PPM)]]&gt;2, "Very high", IF(AllData[[#This Row],[Nitrate (PPM)]]&gt;1, "High", IF(AllData[[#This Row],[Nitrate (PPM)]]&gt;0.5, "Some evidence", IF(AllData[[#This Row],[Nitrate (PPM)]]&gt;=0, "No evidence"))))</f>
        <v>Very high</v>
      </c>
      <c r="S1699" s="4">
        <v>0.49</v>
      </c>
      <c r="T1699" s="7" t="str">
        <f>IF(AllData[[#This Row],[Phosphate (PPM)]]&gt;0.5, "Very high", IF(AllData[[#This Row],[Phosphate (PPM)]]&gt;0.1, "High", IF(AllData[[#This Row],[Phosphate (PPM)]]&gt;0.05, "Some evidence", IF(AllData[[#This Row],[Phosphate (PPM)]]&lt;=0.05, "No Evidence", ""))))</f>
        <v>High</v>
      </c>
      <c r="U1699">
        <v>0.5</v>
      </c>
      <c r="V1699" t="s">
        <v>1054</v>
      </c>
    </row>
    <row r="1700" spans="1:22" x14ac:dyDescent="0.35">
      <c r="A1700" t="s">
        <v>1055</v>
      </c>
      <c r="B1700" s="143">
        <v>45390</v>
      </c>
      <c r="C1700" s="2" t="str" cm="1">
        <f t="array" ref="C17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0">
        <f>YEAR(AllData[[#This Row],[Date]])</f>
        <v>2024</v>
      </c>
      <c r="E1700" s="1">
        <v>0.625</v>
      </c>
      <c r="F1700" t="str">
        <f>IF(AND(AllData[[#This Row],[Time]]&lt;0.5, AllData[[#This Row],[Time]]&gt;0.17)=TRUE, "Morning", IF(AND(AllData[[#This Row],[Time]]&lt;0.75, AllData[[#This Row],[Time]]&gt;=0.5)=TRUE, "Afternoon", IF(AND(AllData[[#This Row],[Time]]&lt;1, AllData[[#This Row],[Time]]&gt;=0.75)=TRUE, "Evening", "Night")))</f>
        <v>Afternoon</v>
      </c>
      <c r="G1700" t="str">
        <f>_xlfn.XLOOKUP(AllData[[#This Row],[Location Name]], Locations[Location Name],Locations[Group As])</f>
        <v>Alveston Weir</v>
      </c>
      <c r="H1700" t="e" vm="1">
        <f>_xlfn.XLOOKUP(AllData[[#This Row],[Site Name]],LocationsKey[Site Name],LocationsKey[District])</f>
        <v>#VALUE!</v>
      </c>
      <c r="I1700" t="e" vm="2">
        <f>_xlfn.XLOOKUP(AllData[[#This Row],[Site Name]],LocationsKey[Site Name],LocationsKey[Town])</f>
        <v>#VALUE!</v>
      </c>
      <c r="J1700" t="str">
        <f>_xlfn.XLOOKUP(AllData[[#This Row],[Site Name]],LocationsKey[Site Name], LocationsKey[Waterway])</f>
        <v>Avon</v>
      </c>
      <c r="K1700" t="s">
        <v>288</v>
      </c>
      <c r="L1700">
        <v>52.212288999999998</v>
      </c>
      <c r="M1700">
        <v>-1.660452</v>
      </c>
      <c r="N1700" t="s">
        <v>31</v>
      </c>
      <c r="O1700">
        <v>557</v>
      </c>
      <c r="P1700">
        <v>13.6</v>
      </c>
      <c r="Q1700">
        <v>5</v>
      </c>
      <c r="R1700" s="107" t="str">
        <f>IF(AllData[[#This Row],[Nitrate (PPM)]]&gt;2, "Very high", IF(AllData[[#This Row],[Nitrate (PPM)]]&gt;1, "High", IF(AllData[[#This Row],[Nitrate (PPM)]]&gt;0.5, "Some evidence", IF(AllData[[#This Row],[Nitrate (PPM)]]&gt;=0, "No evidence"))))</f>
        <v>Very high</v>
      </c>
      <c r="S1700" s="4">
        <v>0.42</v>
      </c>
      <c r="T1700" s="7" t="str">
        <f>IF(AllData[[#This Row],[Phosphate (PPM)]]&gt;0.5, "Very high", IF(AllData[[#This Row],[Phosphate (PPM)]]&gt;0.1, "High", IF(AllData[[#This Row],[Phosphate (PPM)]]&gt;0.05, "Some evidence", IF(AllData[[#This Row],[Phosphate (PPM)]]&lt;=0.05, "No Evidence", ""))))</f>
        <v>High</v>
      </c>
      <c r="U1700">
        <v>0</v>
      </c>
      <c r="V1700" t="s">
        <v>1056</v>
      </c>
    </row>
    <row r="1701" spans="1:22" x14ac:dyDescent="0.35">
      <c r="A1701" t="s">
        <v>1052</v>
      </c>
      <c r="B1701" s="143">
        <v>45390</v>
      </c>
      <c r="C1701" s="2" t="str" cm="1">
        <f t="array" ref="C17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1">
        <f>YEAR(AllData[[#This Row],[Date]])</f>
        <v>2024</v>
      </c>
      <c r="E1701" s="1">
        <v>0.41736111111111113</v>
      </c>
      <c r="F1701" t="str">
        <f>IF(AND(AllData[[#This Row],[Time]]&lt;0.5, AllData[[#This Row],[Time]]&gt;0.17)=TRUE, "Morning", IF(AND(AllData[[#This Row],[Time]]&lt;0.75, AllData[[#This Row],[Time]]&gt;=0.5)=TRUE, "Afternoon", IF(AND(AllData[[#This Row],[Time]]&lt;1, AllData[[#This Row],[Time]]&gt;=0.75)=TRUE, "Evening", "Night")))</f>
        <v>Morning</v>
      </c>
      <c r="G1701" t="str">
        <f>_xlfn.XLOOKUP(AllData[[#This Row],[Location Name]], Locations[Location Name],Locations[Group As])</f>
        <v>Stour Stretton-on-Fosse Sewage Works</v>
      </c>
      <c r="H1701" t="e" vm="1">
        <f>_xlfn.XLOOKUP(AllData[[#This Row],[Site Name]],LocationsKey[Site Name],LocationsKey[District])</f>
        <v>#VALUE!</v>
      </c>
      <c r="I1701" t="e" vm="30">
        <f>_xlfn.XLOOKUP(AllData[[#This Row],[Site Name]],LocationsKey[Site Name],LocationsKey[Town])</f>
        <v>#VALUE!</v>
      </c>
      <c r="J1701" t="str">
        <f>_xlfn.XLOOKUP(AllData[[#This Row],[Site Name]],LocationsKey[Site Name], LocationsKey[Waterway])</f>
        <v>Stour</v>
      </c>
      <c r="K1701" t="s">
        <v>337</v>
      </c>
      <c r="L1701">
        <v>52.045679999999997</v>
      </c>
      <c r="M1701">
        <v>-1.671869</v>
      </c>
      <c r="N1701" t="s">
        <v>31</v>
      </c>
      <c r="O1701">
        <v>677</v>
      </c>
      <c r="P1701">
        <v>11.4</v>
      </c>
      <c r="Q1701">
        <v>2</v>
      </c>
      <c r="R1701" s="107" t="str">
        <f>IF(AllData[[#This Row],[Nitrate (PPM)]]&gt;2, "Very high", IF(AllData[[#This Row],[Nitrate (PPM)]]&gt;1, "High", IF(AllData[[#This Row],[Nitrate (PPM)]]&gt;0.5, "Some evidence", IF(AllData[[#This Row],[Nitrate (PPM)]]&gt;=0, "No evidence"))))</f>
        <v>High</v>
      </c>
      <c r="S1701" s="4">
        <v>2.5</v>
      </c>
      <c r="T1701" s="7" t="str">
        <f>IF(AllData[[#This Row],[Phosphate (PPM)]]&gt;0.5, "Very high", IF(AllData[[#This Row],[Phosphate (PPM)]]&gt;0.1, "High", IF(AllData[[#This Row],[Phosphate (PPM)]]&gt;0.05, "Some evidence", IF(AllData[[#This Row],[Phosphate (PPM)]]&lt;=0.05, "No Evidence", ""))))</f>
        <v>Very high</v>
      </c>
      <c r="U1701">
        <v>0.3</v>
      </c>
    </row>
    <row r="1702" spans="1:22" x14ac:dyDescent="0.35">
      <c r="A1702" t="s">
        <v>1051</v>
      </c>
      <c r="B1702" s="143">
        <v>45390</v>
      </c>
      <c r="C1702" s="2" t="str" cm="1">
        <f t="array" ref="C17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2">
        <f>YEAR(AllData[[#This Row],[Date]])</f>
        <v>2024</v>
      </c>
      <c r="E1702" s="1">
        <v>0.40555555555555556</v>
      </c>
      <c r="F1702" t="str">
        <f>IF(AND(AllData[[#This Row],[Time]]&lt;0.5, AllData[[#This Row],[Time]]&gt;0.17)=TRUE, "Morning", IF(AND(AllData[[#This Row],[Time]]&lt;0.75, AllData[[#This Row],[Time]]&gt;=0.5)=TRUE, "Afternoon", IF(AND(AllData[[#This Row],[Time]]&lt;1, AllData[[#This Row],[Time]]&gt;=0.75)=TRUE, "Evening", "Night")))</f>
        <v>Morning</v>
      </c>
      <c r="G1702" t="str">
        <f>_xlfn.XLOOKUP(AllData[[#This Row],[Location Name]], Locations[Location Name],Locations[Group As])</f>
        <v>Stour Stretton-on-Fosse Village</v>
      </c>
      <c r="H1702" t="e" vm="1">
        <f>_xlfn.XLOOKUP(AllData[[#This Row],[Site Name]],LocationsKey[Site Name],LocationsKey[District])</f>
        <v>#VALUE!</v>
      </c>
      <c r="I1702" t="e" vm="30">
        <f>_xlfn.XLOOKUP(AllData[[#This Row],[Site Name]],LocationsKey[Site Name],LocationsKey[Town])</f>
        <v>#VALUE!</v>
      </c>
      <c r="J1702" t="str">
        <f>_xlfn.XLOOKUP(AllData[[#This Row],[Site Name]],LocationsKey[Site Name], LocationsKey[Waterway])</f>
        <v>Stour</v>
      </c>
      <c r="K1702" t="s">
        <v>548</v>
      </c>
      <c r="L1702">
        <v>52.046472000000001</v>
      </c>
      <c r="M1702">
        <v>-1.6733560000000001</v>
      </c>
      <c r="N1702" t="s">
        <v>68</v>
      </c>
      <c r="O1702">
        <v>610</v>
      </c>
      <c r="P1702">
        <v>11.4</v>
      </c>
      <c r="Q1702">
        <v>2</v>
      </c>
      <c r="R1702" s="107" t="str">
        <f>IF(AllData[[#This Row],[Nitrate (PPM)]]&gt;2, "Very high", IF(AllData[[#This Row],[Nitrate (PPM)]]&gt;1, "High", IF(AllData[[#This Row],[Nitrate (PPM)]]&gt;0.5, "Some evidence", IF(AllData[[#This Row],[Nitrate (PPM)]]&gt;=0, "No evidence"))))</f>
        <v>High</v>
      </c>
      <c r="S1702" s="4">
        <v>1.28</v>
      </c>
      <c r="T1702" s="7" t="str">
        <f>IF(AllData[[#This Row],[Phosphate (PPM)]]&gt;0.5, "Very high", IF(AllData[[#This Row],[Phosphate (PPM)]]&gt;0.1, "High", IF(AllData[[#This Row],[Phosphate (PPM)]]&gt;0.05, "Some evidence", IF(AllData[[#This Row],[Phosphate (PPM)]]&lt;=0.05, "No Evidence", ""))))</f>
        <v>Very high</v>
      </c>
      <c r="U1702">
        <v>0.2</v>
      </c>
    </row>
    <row r="1703" spans="1:22" x14ac:dyDescent="0.35">
      <c r="A1703" t="s">
        <v>1046</v>
      </c>
      <c r="B1703" s="143">
        <v>45389</v>
      </c>
      <c r="C1703" s="2" t="str" cm="1">
        <f t="array" ref="C17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3">
        <f>YEAR(AllData[[#This Row],[Date]])</f>
        <v>2024</v>
      </c>
      <c r="E1703" s="1">
        <v>0.57291666666666663</v>
      </c>
      <c r="F1703" t="str">
        <f>IF(AND(AllData[[#This Row],[Time]]&lt;0.5, AllData[[#This Row],[Time]]&gt;0.17)=TRUE, "Morning", IF(AND(AllData[[#This Row],[Time]]&lt;0.75, AllData[[#This Row],[Time]]&gt;=0.5)=TRUE, "Afternoon", IF(AND(AllData[[#This Row],[Time]]&lt;1, AllData[[#This Row],[Time]]&gt;=0.75)=TRUE, "Evening", "Night")))</f>
        <v>Afternoon</v>
      </c>
      <c r="G1703" t="str">
        <f>_xlfn.XLOOKUP(AllData[[#This Row],[Location Name]], Locations[Location Name],Locations[Group As])</f>
        <v>Clifford Chambers Mill Bridge</v>
      </c>
      <c r="H1703" t="e" vm="1">
        <f>_xlfn.XLOOKUP(AllData[[#This Row],[Site Name]],LocationsKey[Site Name],LocationsKey[District])</f>
        <v>#VALUE!</v>
      </c>
      <c r="I1703" t="e" vm="22">
        <f>_xlfn.XLOOKUP(AllData[[#This Row],[Site Name]],LocationsKey[Site Name],LocationsKey[Town])</f>
        <v>#VALUE!</v>
      </c>
      <c r="J1703" t="str">
        <f>_xlfn.XLOOKUP(AllData[[#This Row],[Site Name]],LocationsKey[Site Name], LocationsKey[Waterway])</f>
        <v>Stour</v>
      </c>
      <c r="K1703" t="s">
        <v>266</v>
      </c>
      <c r="L1703">
        <v>52.166370000000001</v>
      </c>
      <c r="M1703">
        <v>-1.708032</v>
      </c>
      <c r="N1703" t="s">
        <v>68</v>
      </c>
      <c r="O1703">
        <v>617</v>
      </c>
      <c r="P1703">
        <v>14.4</v>
      </c>
      <c r="Q1703">
        <v>9</v>
      </c>
      <c r="R1703" s="107" t="str">
        <f>IF(AllData[[#This Row],[Nitrate (PPM)]]&gt;2, "Very high", IF(AllData[[#This Row],[Nitrate (PPM)]]&gt;1, "High", IF(AllData[[#This Row],[Nitrate (PPM)]]&gt;0.5, "Some evidence", IF(AllData[[#This Row],[Nitrate (PPM)]]&gt;=0, "No evidence"))))</f>
        <v>Very high</v>
      </c>
      <c r="S1703" s="4">
        <v>0.24</v>
      </c>
      <c r="T1703" s="7" t="str">
        <f>IF(AllData[[#This Row],[Phosphate (PPM)]]&gt;0.5, "Very high", IF(AllData[[#This Row],[Phosphate (PPM)]]&gt;0.1, "High", IF(AllData[[#This Row],[Phosphate (PPM)]]&gt;0.05, "Some evidence", IF(AllData[[#This Row],[Phosphate (PPM)]]&lt;=0.05, "No Evidence", ""))))</f>
        <v>High</v>
      </c>
      <c r="U1703">
        <v>1.25</v>
      </c>
      <c r="V1703" t="s">
        <v>34</v>
      </c>
    </row>
    <row r="1704" spans="1:22" x14ac:dyDescent="0.35">
      <c r="A1704" t="s">
        <v>1047</v>
      </c>
      <c r="B1704" s="143">
        <v>45389</v>
      </c>
      <c r="C1704" s="2" t="str" cm="1">
        <f t="array" ref="C17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4">
        <f>YEAR(AllData[[#This Row],[Date]])</f>
        <v>2024</v>
      </c>
      <c r="E1704" s="1">
        <v>0.61041666666666672</v>
      </c>
      <c r="F1704" t="str">
        <f>IF(AND(AllData[[#This Row],[Time]]&lt;0.5, AllData[[#This Row],[Time]]&gt;0.17)=TRUE, "Morning", IF(AND(AllData[[#This Row],[Time]]&lt;0.75, AllData[[#This Row],[Time]]&gt;=0.5)=TRUE, "Afternoon", IF(AND(AllData[[#This Row],[Time]]&lt;1, AllData[[#This Row],[Time]]&gt;=0.75)=TRUE, "Evening", "Night")))</f>
        <v>Afternoon</v>
      </c>
      <c r="G1704" t="str">
        <f>_xlfn.XLOOKUP(AllData[[#This Row],[Location Name]], Locations[Location Name],Locations[Group As])</f>
        <v>Walcot Lane, Bow Brook Ford</v>
      </c>
      <c r="H1704" t="e" vm="6">
        <f>_xlfn.XLOOKUP(AllData[[#This Row],[Site Name]],LocationsKey[Site Name],LocationsKey[District])</f>
        <v>#VALUE!</v>
      </c>
      <c r="I1704" t="e" vm="7">
        <f>_xlfn.XLOOKUP(AllData[[#This Row],[Site Name]],LocationsKey[Site Name],LocationsKey[Town])</f>
        <v>#VALUE!</v>
      </c>
      <c r="J1704" t="str">
        <f>_xlfn.XLOOKUP(AllData[[#This Row],[Site Name]],LocationsKey[Site Name], LocationsKey[Waterway])</f>
        <v>Bow Brook</v>
      </c>
      <c r="K1704" t="s">
        <v>775</v>
      </c>
      <c r="L1704">
        <v>52.130467000000003</v>
      </c>
      <c r="M1704">
        <v>-2.0785360000000002</v>
      </c>
      <c r="N1704" t="s">
        <v>25</v>
      </c>
      <c r="O1704">
        <v>749</v>
      </c>
      <c r="P1704">
        <v>13.2</v>
      </c>
      <c r="Q1704">
        <v>5</v>
      </c>
      <c r="R1704" s="107" t="str">
        <f>IF(AllData[[#This Row],[Nitrate (PPM)]]&gt;2, "Very high", IF(AllData[[#This Row],[Nitrate (PPM)]]&gt;1, "High", IF(AllData[[#This Row],[Nitrate (PPM)]]&gt;0.5, "Some evidence", IF(AllData[[#This Row],[Nitrate (PPM)]]&gt;=0, "No evidence"))))</f>
        <v>Very high</v>
      </c>
      <c r="S1704" s="4">
        <v>0.8</v>
      </c>
      <c r="T1704" s="7" t="str">
        <f>IF(AllData[[#This Row],[Phosphate (PPM)]]&gt;0.5, "Very high", IF(AllData[[#This Row],[Phosphate (PPM)]]&gt;0.1, "High", IF(AllData[[#This Row],[Phosphate (PPM)]]&gt;0.05, "Some evidence", IF(AllData[[#This Row],[Phosphate (PPM)]]&lt;=0.05, "No Evidence", ""))))</f>
        <v>Very high</v>
      </c>
      <c r="U1704">
        <v>0.9</v>
      </c>
      <c r="V1704" t="s">
        <v>1048</v>
      </c>
    </row>
    <row r="1705" spans="1:22" x14ac:dyDescent="0.35">
      <c r="A1705" t="s">
        <v>1045</v>
      </c>
      <c r="B1705" s="143">
        <v>45389</v>
      </c>
      <c r="C1705" s="2" t="str" cm="1">
        <f t="array" ref="C17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5">
        <f>YEAR(AllData[[#This Row],[Date]])</f>
        <v>2024</v>
      </c>
      <c r="E1705" s="1">
        <v>0.48958333333333331</v>
      </c>
      <c r="F1705" t="str">
        <f>IF(AND(AllData[[#This Row],[Time]]&lt;0.5, AllData[[#This Row],[Time]]&gt;0.17)=TRUE, "Morning", IF(AND(AllData[[#This Row],[Time]]&lt;0.75, AllData[[#This Row],[Time]]&gt;=0.5)=TRUE, "Afternoon", IF(AND(AllData[[#This Row],[Time]]&lt;1, AllData[[#This Row],[Time]]&gt;=0.75)=TRUE, "Evening", "Night")))</f>
        <v>Morning</v>
      </c>
      <c r="G1705" t="str">
        <f>_xlfn.XLOOKUP(AllData[[#This Row],[Location Name]], Locations[Location Name],Locations[Group As])</f>
        <v>Lucy's Mill Bridge</v>
      </c>
      <c r="H1705" t="e" vm="1">
        <f>_xlfn.XLOOKUP(AllData[[#This Row],[Site Name]],LocationsKey[Site Name],LocationsKey[District])</f>
        <v>#VALUE!</v>
      </c>
      <c r="I1705" t="e" vm="12">
        <f>_xlfn.XLOOKUP(AllData[[#This Row],[Site Name]],LocationsKey[Site Name],LocationsKey[Town])</f>
        <v>#VALUE!</v>
      </c>
      <c r="J1705" t="str">
        <f>_xlfn.XLOOKUP(AllData[[#This Row],[Site Name]],LocationsKey[Site Name], LocationsKey[Waterway])</f>
        <v>Avon</v>
      </c>
      <c r="K1705" t="s">
        <v>212</v>
      </c>
      <c r="L1705">
        <v>52.183698999999997</v>
      </c>
      <c r="M1705">
        <v>-1.707816</v>
      </c>
      <c r="N1705" t="s">
        <v>31</v>
      </c>
      <c r="P1705">
        <v>13</v>
      </c>
      <c r="Q1705">
        <v>5</v>
      </c>
      <c r="R1705" s="107" t="str">
        <f>IF(AllData[[#This Row],[Nitrate (PPM)]]&gt;2, "Very high", IF(AllData[[#This Row],[Nitrate (PPM)]]&gt;1, "High", IF(AllData[[#This Row],[Nitrate (PPM)]]&gt;0.5, "Some evidence", IF(AllData[[#This Row],[Nitrate (PPM)]]&gt;=0, "No evidence"))))</f>
        <v>Very high</v>
      </c>
      <c r="S1705" s="4">
        <v>0.26</v>
      </c>
      <c r="T1705" s="7" t="str">
        <f>IF(AllData[[#This Row],[Phosphate (PPM)]]&gt;0.5, "Very high", IF(AllData[[#This Row],[Phosphate (PPM)]]&gt;0.1, "High", IF(AllData[[#This Row],[Phosphate (PPM)]]&gt;0.05, "Some evidence", IF(AllData[[#This Row],[Phosphate (PPM)]]&lt;=0.05, "No Evidence", ""))))</f>
        <v>High</v>
      </c>
      <c r="U1705">
        <v>0.7</v>
      </c>
    </row>
    <row r="1706" spans="1:22" x14ac:dyDescent="0.35">
      <c r="A1706" t="s">
        <v>1049</v>
      </c>
      <c r="B1706" s="143">
        <v>45389</v>
      </c>
      <c r="C1706" s="2" t="str" cm="1">
        <f t="array" ref="C17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6">
        <f>YEAR(AllData[[#This Row],[Date]])</f>
        <v>2024</v>
      </c>
      <c r="E1706" s="1">
        <v>0.61805555555555558</v>
      </c>
      <c r="F1706" t="str">
        <f>IF(AND(AllData[[#This Row],[Time]]&lt;0.5, AllData[[#This Row],[Time]]&gt;0.17)=TRUE, "Morning", IF(AND(AllData[[#This Row],[Time]]&lt;0.75, AllData[[#This Row],[Time]]&gt;=0.5)=TRUE, "Afternoon", IF(AND(AllData[[#This Row],[Time]]&lt;1, AllData[[#This Row],[Time]]&gt;=0.75)=TRUE, "Evening", "Night")))</f>
        <v>Afternoon</v>
      </c>
      <c r="G1706" t="str">
        <f>_xlfn.XLOOKUP(AllData[[#This Row],[Location Name]], Locations[Location Name],Locations[Group As])</f>
        <v>Fell Mill Footbridge</v>
      </c>
      <c r="H1706" t="e" vm="1">
        <f>_xlfn.XLOOKUP(AllData[[#This Row],[Site Name]],LocationsKey[Site Name],LocationsKey[District])</f>
        <v>#VALUE!</v>
      </c>
      <c r="I1706" t="e" vm="15">
        <f>_xlfn.XLOOKUP(AllData[[#This Row],[Site Name]],LocationsKey[Site Name],LocationsKey[Town])</f>
        <v>#VALUE!</v>
      </c>
      <c r="J1706" t="str">
        <f>_xlfn.XLOOKUP(AllData[[#This Row],[Site Name]],LocationsKey[Site Name], LocationsKey[Waterway])</f>
        <v>Stour</v>
      </c>
      <c r="K1706" t="s">
        <v>875</v>
      </c>
      <c r="L1706">
        <v>52.070086000000003</v>
      </c>
      <c r="M1706">
        <v>-1.61145</v>
      </c>
      <c r="N1706" t="s">
        <v>31</v>
      </c>
      <c r="O1706">
        <v>579</v>
      </c>
      <c r="P1706">
        <v>12.5</v>
      </c>
      <c r="Q1706">
        <v>2</v>
      </c>
      <c r="R1706" s="107" t="str">
        <f>IF(AllData[[#This Row],[Nitrate (PPM)]]&gt;2, "Very high", IF(AllData[[#This Row],[Nitrate (PPM)]]&gt;1, "High", IF(AllData[[#This Row],[Nitrate (PPM)]]&gt;0.5, "Some evidence", IF(AllData[[#This Row],[Nitrate (PPM)]]&gt;=0, "No evidence"))))</f>
        <v>High</v>
      </c>
      <c r="S1706" s="4">
        <v>0.22</v>
      </c>
      <c r="T1706" s="7" t="str">
        <f>IF(AllData[[#This Row],[Phosphate (PPM)]]&gt;0.5, "Very high", IF(AllData[[#This Row],[Phosphate (PPM)]]&gt;0.1, "High", IF(AllData[[#This Row],[Phosphate (PPM)]]&gt;0.05, "Some evidence", IF(AllData[[#This Row],[Phosphate (PPM)]]&lt;=0.05, "No Evidence", ""))))</f>
        <v>High</v>
      </c>
      <c r="U1706">
        <v>1.75</v>
      </c>
      <c r="V1706" t="s">
        <v>1050</v>
      </c>
    </row>
    <row r="1707" spans="1:22" x14ac:dyDescent="0.35">
      <c r="A1707" t="s">
        <v>1043</v>
      </c>
      <c r="B1707" s="143">
        <v>45389</v>
      </c>
      <c r="C1707" s="2" t="str" cm="1">
        <f t="array" ref="C17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7">
        <f>YEAR(AllData[[#This Row],[Date]])</f>
        <v>2024</v>
      </c>
      <c r="E1707" s="1">
        <v>0.4513888888888889</v>
      </c>
      <c r="F1707" t="str">
        <f>IF(AND(AllData[[#This Row],[Time]]&lt;0.5, AllData[[#This Row],[Time]]&gt;0.17)=TRUE, "Morning", IF(AND(AllData[[#This Row],[Time]]&lt;0.75, AllData[[#This Row],[Time]]&gt;=0.5)=TRUE, "Afternoon", IF(AND(AllData[[#This Row],[Time]]&lt;1, AllData[[#This Row],[Time]]&gt;=0.75)=TRUE, "Evening", "Night")))</f>
        <v>Morning</v>
      </c>
      <c r="G1707" t="str">
        <f>_xlfn.XLOOKUP(AllData[[#This Row],[Location Name]], Locations[Location Name],Locations[Group As])</f>
        <v>The Ford, Langley</v>
      </c>
      <c r="H1707" t="e" vm="1">
        <f>_xlfn.XLOOKUP(AllData[[#This Row],[Site Name]],LocationsKey[Site Name],LocationsKey[District])</f>
        <v>#VALUE!</v>
      </c>
      <c r="I1707" t="str">
        <f>_xlfn.XLOOKUP(AllData[[#This Row],[Site Name]],LocationsKey[Site Name],LocationsKey[Town])</f>
        <v>Langley</v>
      </c>
      <c r="J1707" t="str">
        <f>_xlfn.XLOOKUP(AllData[[#This Row],[Site Name]],LocationsKey[Site Name], LocationsKey[Waterway])</f>
        <v>Langley Ford</v>
      </c>
      <c r="K1707" t="s">
        <v>561</v>
      </c>
      <c r="L1707">
        <v>52.259639</v>
      </c>
      <c r="M1707">
        <v>-1.7181999999999999</v>
      </c>
      <c r="N1707" t="s">
        <v>31</v>
      </c>
      <c r="O1707">
        <v>436</v>
      </c>
      <c r="P1707">
        <v>11</v>
      </c>
      <c r="Q1707">
        <v>0.5</v>
      </c>
      <c r="R1707" s="107" t="str">
        <f>IF(AllData[[#This Row],[Nitrate (PPM)]]&gt;2, "Very high", IF(AllData[[#This Row],[Nitrate (PPM)]]&gt;1, "High", IF(AllData[[#This Row],[Nitrate (PPM)]]&gt;0.5, "Some evidence", IF(AllData[[#This Row],[Nitrate (PPM)]]&gt;=0, "No evidence"))))</f>
        <v>No evidence</v>
      </c>
      <c r="S1707" s="4">
        <v>0.73</v>
      </c>
      <c r="T1707" s="7" t="str">
        <f>IF(AllData[[#This Row],[Phosphate (PPM)]]&gt;0.5, "Very high", IF(AllData[[#This Row],[Phosphate (PPM)]]&gt;0.1, "High", IF(AllData[[#This Row],[Phosphate (PPM)]]&gt;0.05, "Some evidence", IF(AllData[[#This Row],[Phosphate (PPM)]]&lt;=0.05, "No Evidence", ""))))</f>
        <v>Very high</v>
      </c>
      <c r="U1707">
        <v>0.45</v>
      </c>
      <c r="V1707" t="s">
        <v>1044</v>
      </c>
    </row>
    <row r="1708" spans="1:22" x14ac:dyDescent="0.35">
      <c r="A1708" t="s">
        <v>1021</v>
      </c>
      <c r="B1708" s="143">
        <v>45388</v>
      </c>
      <c r="C1708" s="2" t="str" cm="1">
        <f t="array" ref="C17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8">
        <f>YEAR(AllData[[#This Row],[Date]])</f>
        <v>2024</v>
      </c>
      <c r="E1708" s="1">
        <v>0.41666666666666669</v>
      </c>
      <c r="F1708" t="str">
        <f>IF(AND(AllData[[#This Row],[Time]]&lt;0.5, AllData[[#This Row],[Time]]&gt;0.17)=TRUE, "Morning", IF(AND(AllData[[#This Row],[Time]]&lt;0.75, AllData[[#This Row],[Time]]&gt;=0.5)=TRUE, "Afternoon", IF(AND(AllData[[#This Row],[Time]]&lt;1, AllData[[#This Row],[Time]]&gt;=0.75)=TRUE, "Evening", "Night")))</f>
        <v>Morning</v>
      </c>
      <c r="G1708" t="str">
        <f>_xlfn.XLOOKUP(AllData[[#This Row],[Location Name]], Locations[Location Name],Locations[Group As])</f>
        <v>Avonbank Drive</v>
      </c>
      <c r="H1708" t="e" vm="1">
        <f>_xlfn.XLOOKUP(AllData[[#This Row],[Site Name]],LocationsKey[Site Name],LocationsKey[District])</f>
        <v>#VALUE!</v>
      </c>
      <c r="I1708" t="e" vm="12">
        <f>_xlfn.XLOOKUP(AllData[[#This Row],[Site Name]],LocationsKey[Site Name],LocationsKey[Town])</f>
        <v>#VALUE!</v>
      </c>
      <c r="J1708" t="str">
        <f>_xlfn.XLOOKUP(AllData[[#This Row],[Site Name]],LocationsKey[Site Name], LocationsKey[Waterway])</f>
        <v>Avon</v>
      </c>
      <c r="K1708" t="s">
        <v>104</v>
      </c>
      <c r="L1708">
        <v>52.177</v>
      </c>
      <c r="M1708">
        <v>-1.736</v>
      </c>
      <c r="N1708" t="s">
        <v>68</v>
      </c>
      <c r="O1708">
        <v>642</v>
      </c>
      <c r="P1708">
        <v>17.5</v>
      </c>
      <c r="Q1708">
        <v>10</v>
      </c>
      <c r="R1708" s="107" t="str">
        <f>IF(AllData[[#This Row],[Nitrate (PPM)]]&gt;2, "Very high", IF(AllData[[#This Row],[Nitrate (PPM)]]&gt;1, "High", IF(AllData[[#This Row],[Nitrate (PPM)]]&gt;0.5, "Some evidence", IF(AllData[[#This Row],[Nitrate (PPM)]]&gt;=0, "No evidence"))))</f>
        <v>Very high</v>
      </c>
      <c r="S1708" s="112">
        <v>0.38</v>
      </c>
      <c r="T1708" s="7" t="str">
        <f>IF(AllData[[#This Row],[Phosphate (PPM)]]&gt;0.5, "Very high", IF(AllData[[#This Row],[Phosphate (PPM)]]&gt;0.1, "High", IF(AllData[[#This Row],[Phosphate (PPM)]]&gt;0.05, "Some evidence", IF(AllData[[#This Row],[Phosphate (PPM)]]&lt;=0.05, "No Evidence", ""))))</f>
        <v>High</v>
      </c>
      <c r="U1708">
        <v>1</v>
      </c>
    </row>
    <row r="1709" spans="1:22" x14ac:dyDescent="0.35">
      <c r="A1709" t="s">
        <v>1022</v>
      </c>
      <c r="B1709" s="143">
        <v>45388</v>
      </c>
      <c r="C1709" s="2" t="str" cm="1">
        <f t="array" ref="C17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09">
        <f>YEAR(AllData[[#This Row],[Date]])</f>
        <v>2024</v>
      </c>
      <c r="E1709" s="1">
        <v>0.41666666666666669</v>
      </c>
      <c r="F1709" t="str">
        <f>IF(AND(AllData[[#This Row],[Time]]&lt;0.5, AllData[[#This Row],[Time]]&gt;0.17)=TRUE, "Morning", IF(AND(AllData[[#This Row],[Time]]&lt;0.75, AllData[[#This Row],[Time]]&gt;=0.5)=TRUE, "Afternoon", IF(AND(AllData[[#This Row],[Time]]&lt;1, AllData[[#This Row],[Time]]&gt;=0.75)=TRUE, "Evening", "Night")))</f>
        <v>Morning</v>
      </c>
      <c r="G1709" t="str">
        <f>_xlfn.XLOOKUP(AllData[[#This Row],[Location Name]], Locations[Location Name],Locations[Group As])</f>
        <v>Pitch 16</v>
      </c>
      <c r="H1709" t="e" vm="1">
        <f>_xlfn.XLOOKUP(AllData[[#This Row],[Site Name]],LocationsKey[Site Name],LocationsKey[District])</f>
        <v>#VALUE!</v>
      </c>
      <c r="I1709" t="e" vm="12">
        <f>_xlfn.XLOOKUP(AllData[[#This Row],[Site Name]],LocationsKey[Site Name],LocationsKey[Town])</f>
        <v>#VALUE!</v>
      </c>
      <c r="J1709" t="str">
        <f>_xlfn.XLOOKUP(AllData[[#This Row],[Site Name]],LocationsKey[Site Name], LocationsKey[Waterway])</f>
        <v>Avon</v>
      </c>
      <c r="K1709" t="s">
        <v>71</v>
      </c>
      <c r="N1709" t="s">
        <v>31</v>
      </c>
      <c r="O1709">
        <v>641</v>
      </c>
      <c r="P1709">
        <v>17.5</v>
      </c>
      <c r="Q1709">
        <v>10</v>
      </c>
      <c r="R1709" s="107" t="str">
        <f>IF(AllData[[#This Row],[Nitrate (PPM)]]&gt;2, "Very high", IF(AllData[[#This Row],[Nitrate (PPM)]]&gt;1, "High", IF(AllData[[#This Row],[Nitrate (PPM)]]&gt;0.5, "Some evidence", IF(AllData[[#This Row],[Nitrate (PPM)]]&gt;=0, "No evidence"))))</f>
        <v>Very high</v>
      </c>
      <c r="S1709" s="112">
        <v>0.36</v>
      </c>
      <c r="T1709" s="7" t="str">
        <f>IF(AllData[[#This Row],[Phosphate (PPM)]]&gt;0.5, "Very high", IF(AllData[[#This Row],[Phosphate (PPM)]]&gt;0.1, "High", IF(AllData[[#This Row],[Phosphate (PPM)]]&gt;0.05, "Some evidence", IF(AllData[[#This Row],[Phosphate (PPM)]]&lt;=0.05, "No Evidence", ""))))</f>
        <v>High</v>
      </c>
      <c r="U1709">
        <v>1</v>
      </c>
    </row>
    <row r="1710" spans="1:22" x14ac:dyDescent="0.35">
      <c r="A1710" t="s">
        <v>1027</v>
      </c>
      <c r="B1710" s="143">
        <v>45388</v>
      </c>
      <c r="C1710" s="2" t="str" cm="1">
        <f t="array" ref="C17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0">
        <f>YEAR(AllData[[#This Row],[Date]])</f>
        <v>2024</v>
      </c>
      <c r="E1710" s="1">
        <v>0.59027777777777779</v>
      </c>
      <c r="F1710" t="str">
        <f>IF(AND(AllData[[#This Row],[Time]]&lt;0.5, AllData[[#This Row],[Time]]&gt;0.17)=TRUE, "Morning", IF(AND(AllData[[#This Row],[Time]]&lt;0.75, AllData[[#This Row],[Time]]&gt;=0.5)=TRUE, "Afternoon", IF(AND(AllData[[#This Row],[Time]]&lt;1, AllData[[#This Row],[Time]]&gt;=0.75)=TRUE, "Evening", "Night")))</f>
        <v>Afternoon</v>
      </c>
      <c r="G1710" t="str">
        <f>_xlfn.XLOOKUP(AllData[[#This Row],[Location Name]], Locations[Location Name],Locations[Group As])</f>
        <v>Preston-on-Stour River Bridge</v>
      </c>
      <c r="H1710" t="e" vm="1">
        <f>_xlfn.XLOOKUP(AllData[[#This Row],[Site Name]],LocationsKey[Site Name],LocationsKey[District])</f>
        <v>#VALUE!</v>
      </c>
      <c r="I1710" t="e" vm="20">
        <f>_xlfn.XLOOKUP(AllData[[#This Row],[Site Name]],LocationsKey[Site Name],LocationsKey[Town])</f>
        <v>#VALUE!</v>
      </c>
      <c r="J1710" t="str">
        <f>_xlfn.XLOOKUP(AllData[[#This Row],[Site Name]],LocationsKey[Site Name], LocationsKey[Waterway])</f>
        <v>Stour</v>
      </c>
      <c r="K1710" t="s">
        <v>164</v>
      </c>
      <c r="L1710">
        <v>52.146602000000001</v>
      </c>
      <c r="M1710">
        <v>-1.70031</v>
      </c>
      <c r="N1710" t="s">
        <v>31</v>
      </c>
      <c r="O1710">
        <v>544</v>
      </c>
      <c r="P1710">
        <v>14.4</v>
      </c>
      <c r="Q1710">
        <v>6</v>
      </c>
      <c r="R1710" s="107" t="str">
        <f>IF(AllData[[#This Row],[Nitrate (PPM)]]&gt;2, "Very high", IF(AllData[[#This Row],[Nitrate (PPM)]]&gt;1, "High", IF(AllData[[#This Row],[Nitrate (PPM)]]&gt;0.5, "Some evidence", IF(AllData[[#This Row],[Nitrate (PPM)]]&gt;=0, "No evidence"))))</f>
        <v>Very high</v>
      </c>
      <c r="S1710" s="4">
        <v>0.26</v>
      </c>
      <c r="T1710" s="7" t="str">
        <f>IF(AllData[[#This Row],[Phosphate (PPM)]]&gt;0.5, "Very high", IF(AllData[[#This Row],[Phosphate (PPM)]]&gt;0.1, "High", IF(AllData[[#This Row],[Phosphate (PPM)]]&gt;0.05, "Some evidence", IF(AllData[[#This Row],[Phosphate (PPM)]]&lt;=0.05, "No Evidence", ""))))</f>
        <v>High</v>
      </c>
      <c r="U1710">
        <v>2</v>
      </c>
      <c r="V1710" t="s">
        <v>1028</v>
      </c>
    </row>
    <row r="1711" spans="1:22" x14ac:dyDescent="0.35">
      <c r="A1711" t="s">
        <v>1041</v>
      </c>
      <c r="B1711" s="143">
        <v>45388</v>
      </c>
      <c r="C1711" s="2" t="str" cm="1">
        <f t="array" ref="C17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1">
        <f>YEAR(AllData[[#This Row],[Date]])</f>
        <v>2024</v>
      </c>
      <c r="E1711" s="1"/>
      <c r="F1711" t="str">
        <f>IF(AND(AllData[[#This Row],[Time]]&lt;0.5, AllData[[#This Row],[Time]]&gt;0.17)=TRUE, "Morning", IF(AND(AllData[[#This Row],[Time]]&lt;0.75, AllData[[#This Row],[Time]]&gt;=0.5)=TRUE, "Afternoon", IF(AND(AllData[[#This Row],[Time]]&lt;1, AllData[[#This Row],[Time]]&gt;=0.75)=TRUE, "Evening", "Night")))</f>
        <v>Night</v>
      </c>
      <c r="G1711" t="str">
        <f>_xlfn.XLOOKUP(AllData[[#This Row],[Location Name]], Locations[Location Name],Locations[Group As])</f>
        <v>Site 3  :  Severn Trent Water processing plant outflow</v>
      </c>
      <c r="H1711" t="e" vm="1">
        <f>_xlfn.XLOOKUP(AllData[[#This Row],[Site Name]],LocationsKey[Site Name],LocationsKey[District])</f>
        <v>#VALUE!</v>
      </c>
      <c r="I1711" t="e" vm="14">
        <f>_xlfn.XLOOKUP(AllData[[#This Row],[Site Name]],LocationsKey[Site Name],LocationsKey[Town])</f>
        <v>#VALUE!</v>
      </c>
      <c r="J1711" t="str">
        <f>_xlfn.XLOOKUP(AllData[[#This Row],[Site Name]],LocationsKey[Site Name], LocationsKey[Waterway])</f>
        <v>Fosseway Brook</v>
      </c>
      <c r="K1711" t="s">
        <v>676</v>
      </c>
      <c r="L1711">
        <v>52.094423999999997</v>
      </c>
      <c r="M1711">
        <v>-1.6759090000000001</v>
      </c>
      <c r="N1711" t="s">
        <v>31</v>
      </c>
      <c r="O1711">
        <v>712</v>
      </c>
      <c r="P1711">
        <v>13.1</v>
      </c>
      <c r="Q1711">
        <v>5</v>
      </c>
      <c r="R1711" s="107" t="str">
        <f>IF(AllData[[#This Row],[Nitrate (PPM)]]&gt;2, "Very high", IF(AllData[[#This Row],[Nitrate (PPM)]]&gt;1, "High", IF(AllData[[#This Row],[Nitrate (PPM)]]&gt;0.5, "Some evidence", IF(AllData[[#This Row],[Nitrate (PPM)]]&gt;=0, "No evidence"))))</f>
        <v>Very high</v>
      </c>
      <c r="S1711" s="4">
        <v>2.5</v>
      </c>
      <c r="T1711" s="7" t="str">
        <f>IF(AllData[[#This Row],[Phosphate (PPM)]]&gt;0.5, "Very high", IF(AllData[[#This Row],[Phosphate (PPM)]]&gt;0.1, "High", IF(AllData[[#This Row],[Phosphate (PPM)]]&gt;0.05, "Some evidence", IF(AllData[[#This Row],[Phosphate (PPM)]]&lt;=0.05, "No Evidence", ""))))</f>
        <v>Very high</v>
      </c>
      <c r="V1711" t="s">
        <v>950</v>
      </c>
    </row>
    <row r="1712" spans="1:22" x14ac:dyDescent="0.35">
      <c r="A1712" t="s">
        <v>1039</v>
      </c>
      <c r="B1712" s="143">
        <v>45388</v>
      </c>
      <c r="C1712" s="2" t="str" cm="1">
        <f t="array" ref="C17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2">
        <f>YEAR(AllData[[#This Row],[Date]])</f>
        <v>2024</v>
      </c>
      <c r="F1712" t="str">
        <f>IF(AND(AllData[[#This Row],[Time]]&lt;0.5, AllData[[#This Row],[Time]]&gt;0.17)=TRUE, "Morning", IF(AND(AllData[[#This Row],[Time]]&lt;0.75, AllData[[#This Row],[Time]]&gt;=0.5)=TRUE, "Afternoon", IF(AND(AllData[[#This Row],[Time]]&lt;1, AllData[[#This Row],[Time]]&gt;=0.75)=TRUE, "Evening", "Night")))</f>
        <v>Night</v>
      </c>
      <c r="G1712" t="str">
        <f>_xlfn.XLOOKUP(AllData[[#This Row],[Location Name]], Locations[Location Name],Locations[Group As])</f>
        <v>Site 3  :  Severn Trent Water processing plant outflow</v>
      </c>
      <c r="H1712" t="e" vm="1">
        <f>_xlfn.XLOOKUP(AllData[[#This Row],[Site Name]],LocationsKey[Site Name],LocationsKey[District])</f>
        <v>#VALUE!</v>
      </c>
      <c r="I1712" t="e" vm="14">
        <f>_xlfn.XLOOKUP(AllData[[#This Row],[Site Name]],LocationsKey[Site Name],LocationsKey[Town])</f>
        <v>#VALUE!</v>
      </c>
      <c r="J1712" t="str">
        <f>_xlfn.XLOOKUP(AllData[[#This Row],[Site Name]],LocationsKey[Site Name], LocationsKey[Waterway])</f>
        <v>Fosseway Brook</v>
      </c>
      <c r="K1712" t="s">
        <v>673</v>
      </c>
      <c r="L1712">
        <v>52.094423999999997</v>
      </c>
      <c r="M1712">
        <v>-1.6759090000000001</v>
      </c>
      <c r="N1712" t="s">
        <v>31</v>
      </c>
      <c r="O1712">
        <v>712</v>
      </c>
      <c r="P1712">
        <v>13.1</v>
      </c>
      <c r="Q1712">
        <v>5</v>
      </c>
      <c r="R1712" s="107" t="str">
        <f>IF(AllData[[#This Row],[Nitrate (PPM)]]&gt;2, "Very high", IF(AllData[[#This Row],[Nitrate (PPM)]]&gt;1, "High", IF(AllData[[#This Row],[Nitrate (PPM)]]&gt;0.5, "Some evidence", IF(AllData[[#This Row],[Nitrate (PPM)]]&gt;=0, "No evidence"))))</f>
        <v>Very high</v>
      </c>
      <c r="S1712" s="4">
        <v>2.5</v>
      </c>
      <c r="T1712" s="7" t="str">
        <f>IF(AllData[[#This Row],[Phosphate (PPM)]]&gt;0.5, "Very high", IF(AllData[[#This Row],[Phosphate (PPM)]]&gt;0.1, "High", IF(AllData[[#This Row],[Phosphate (PPM)]]&gt;0.05, "Some evidence", IF(AllData[[#This Row],[Phosphate (PPM)]]&lt;=0.05, "No Evidence", ""))))</f>
        <v>Very high</v>
      </c>
      <c r="U1712">
        <v>0</v>
      </c>
      <c r="V1712" t="s">
        <v>1040</v>
      </c>
    </row>
    <row r="1713" spans="1:22" x14ac:dyDescent="0.35">
      <c r="A1713" t="s">
        <v>1029</v>
      </c>
      <c r="B1713" s="143">
        <v>45388</v>
      </c>
      <c r="C1713" s="2" t="str" cm="1">
        <f t="array" ref="C17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3">
        <f>YEAR(AllData[[#This Row],[Date]])</f>
        <v>2024</v>
      </c>
      <c r="E1713" s="1">
        <v>0.625</v>
      </c>
      <c r="F1713" t="str">
        <f>IF(AND(AllData[[#This Row],[Time]]&lt;0.5, AllData[[#This Row],[Time]]&gt;0.17)=TRUE, "Morning", IF(AND(AllData[[#This Row],[Time]]&lt;0.75, AllData[[#This Row],[Time]]&gt;=0.5)=TRUE, "Afternoon", IF(AND(AllData[[#This Row],[Time]]&lt;1, AllData[[#This Row],[Time]]&gt;=0.75)=TRUE, "Evening", "Night")))</f>
        <v>Afternoon</v>
      </c>
      <c r="G1713" t="str">
        <f>_xlfn.XLOOKUP(AllData[[#This Row],[Location Name]], Locations[Location Name],Locations[Group As])</f>
        <v>Carrant Bredon Rd</v>
      </c>
      <c r="H1713" t="e" vm="4">
        <f>_xlfn.XLOOKUP(AllData[[#This Row],[Site Name]],LocationsKey[Site Name],LocationsKey[District])</f>
        <v>#VALUE!</v>
      </c>
      <c r="I1713" t="e" vm="4">
        <f>_xlfn.XLOOKUP(AllData[[#This Row],[Site Name]],LocationsKey[Site Name],LocationsKey[Town])</f>
        <v>#VALUE!</v>
      </c>
      <c r="J1713" t="str">
        <f>_xlfn.XLOOKUP(AllData[[#This Row],[Site Name]],LocationsKey[Site Name], LocationsKey[Waterway])</f>
        <v>Carrant</v>
      </c>
      <c r="K1713" t="s">
        <v>603</v>
      </c>
      <c r="L1713">
        <v>51.996315000000003</v>
      </c>
      <c r="M1713">
        <v>-2.1561300000000001</v>
      </c>
      <c r="N1713" t="s">
        <v>25</v>
      </c>
      <c r="O1713">
        <v>652</v>
      </c>
      <c r="P1713">
        <v>15.1</v>
      </c>
      <c r="Q1713">
        <v>5</v>
      </c>
      <c r="R1713" s="107" t="str">
        <f>IF(AllData[[#This Row],[Nitrate (PPM)]]&gt;2, "Very high", IF(AllData[[#This Row],[Nitrate (PPM)]]&gt;1, "High", IF(AllData[[#This Row],[Nitrate (PPM)]]&gt;0.5, "Some evidence", IF(AllData[[#This Row],[Nitrate (PPM)]]&gt;=0, "No evidence"))))</f>
        <v>Very high</v>
      </c>
      <c r="S1713" s="4">
        <v>0.3</v>
      </c>
      <c r="T1713" s="7" t="str">
        <f>IF(AllData[[#This Row],[Phosphate (PPM)]]&gt;0.5, "Very high", IF(AllData[[#This Row],[Phosphate (PPM)]]&gt;0.1, "High", IF(AllData[[#This Row],[Phosphate (PPM)]]&gt;0.05, "Some evidence", IF(AllData[[#This Row],[Phosphate (PPM)]]&lt;=0.05, "No Evidence", ""))))</f>
        <v>High</v>
      </c>
      <c r="U1713">
        <v>1.28</v>
      </c>
      <c r="V1713" t="s">
        <v>1030</v>
      </c>
    </row>
    <row r="1714" spans="1:22" x14ac:dyDescent="0.35">
      <c r="A1714" t="s">
        <v>1031</v>
      </c>
      <c r="B1714" s="143">
        <v>45388</v>
      </c>
      <c r="C1714" s="2" t="str" cm="1">
        <f t="array" ref="C17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4">
        <f>YEAR(AllData[[#This Row],[Date]])</f>
        <v>2024</v>
      </c>
      <c r="E1714" s="1">
        <v>0.64583333333333337</v>
      </c>
      <c r="F1714" t="str">
        <f>IF(AND(AllData[[#This Row],[Time]]&lt;0.5, AllData[[#This Row],[Time]]&gt;0.17)=TRUE, "Morning", IF(AND(AllData[[#This Row],[Time]]&lt;0.75, AllData[[#This Row],[Time]]&gt;=0.5)=TRUE, "Afternoon", IF(AND(AllData[[#This Row],[Time]]&lt;1, AllData[[#This Row],[Time]]&gt;=0.75)=TRUE, "Evening", "Night")))</f>
        <v>Afternoon</v>
      </c>
      <c r="G1714" t="str">
        <f>_xlfn.XLOOKUP(AllData[[#This Row],[Location Name]], Locations[Location Name],Locations[Group As])</f>
        <v>Black Bear</v>
      </c>
      <c r="H1714" t="e" vm="4">
        <f>_xlfn.XLOOKUP(AllData[[#This Row],[Site Name]],LocationsKey[Site Name],LocationsKey[District])</f>
        <v>#VALUE!</v>
      </c>
      <c r="I1714" t="e" vm="4">
        <f>_xlfn.XLOOKUP(AllData[[#This Row],[Site Name]],LocationsKey[Site Name],LocationsKey[Town])</f>
        <v>#VALUE!</v>
      </c>
      <c r="J1714" t="str">
        <f>_xlfn.XLOOKUP(AllData[[#This Row],[Site Name]],LocationsKey[Site Name], LocationsKey[Waterway])</f>
        <v>Avon</v>
      </c>
      <c r="K1714" t="s">
        <v>572</v>
      </c>
      <c r="N1714" t="s">
        <v>25</v>
      </c>
      <c r="O1714">
        <v>631</v>
      </c>
      <c r="P1714">
        <v>14.6</v>
      </c>
      <c r="Q1714">
        <v>5</v>
      </c>
      <c r="R1714" s="107" t="str">
        <f>IF(AllData[[#This Row],[Nitrate (PPM)]]&gt;2, "Very high", IF(AllData[[#This Row],[Nitrate (PPM)]]&gt;1, "High", IF(AllData[[#This Row],[Nitrate (PPM)]]&gt;0.5, "Some evidence", IF(AllData[[#This Row],[Nitrate (PPM)]]&gt;=0, "No evidence"))))</f>
        <v>Very high</v>
      </c>
      <c r="S1714" s="4">
        <v>0.4</v>
      </c>
      <c r="T1714" s="7" t="str">
        <f>IF(AllData[[#This Row],[Phosphate (PPM)]]&gt;0.5, "Very high", IF(AllData[[#This Row],[Phosphate (PPM)]]&gt;0.1, "High", IF(AllData[[#This Row],[Phosphate (PPM)]]&gt;0.05, "Some evidence", IF(AllData[[#This Row],[Phosphate (PPM)]]&lt;=0.05, "No Evidence", ""))))</f>
        <v>High</v>
      </c>
      <c r="U1714">
        <v>0</v>
      </c>
      <c r="V1714" t="s">
        <v>1032</v>
      </c>
    </row>
    <row r="1715" spans="1:22" x14ac:dyDescent="0.35">
      <c r="A1715" t="s">
        <v>1025</v>
      </c>
      <c r="B1715" s="143">
        <v>45388</v>
      </c>
      <c r="C1715" s="2" t="str" cm="1">
        <f t="array" ref="C17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5">
        <f>YEAR(AllData[[#This Row],[Date]])</f>
        <v>2024</v>
      </c>
      <c r="E1715" s="1">
        <v>0.51041666666666663</v>
      </c>
      <c r="F1715" t="str">
        <f>IF(AND(AllData[[#This Row],[Time]]&lt;0.5, AllData[[#This Row],[Time]]&gt;0.17)=TRUE, "Morning", IF(AND(AllData[[#This Row],[Time]]&lt;0.75, AllData[[#This Row],[Time]]&gt;=0.5)=TRUE, "Afternoon", IF(AND(AllData[[#This Row],[Time]]&lt;1, AllData[[#This Row],[Time]]&gt;=0.75)=TRUE, "Evening", "Night")))</f>
        <v>Afternoon</v>
      </c>
      <c r="G1715" t="str">
        <f>_xlfn.XLOOKUP(AllData[[#This Row],[Location Name]], Locations[Location Name],Locations[Group As])</f>
        <v>Piddle Brook Wyre Piddle Bridge</v>
      </c>
      <c r="H1715" t="e" vm="6">
        <f>_xlfn.XLOOKUP(AllData[[#This Row],[Site Name]],LocationsKey[Site Name],LocationsKey[District])</f>
        <v>#VALUE!</v>
      </c>
      <c r="I1715" t="e" vm="13">
        <f>_xlfn.XLOOKUP(AllData[[#This Row],[Site Name]],LocationsKey[Site Name],LocationsKey[Town])</f>
        <v>#VALUE!</v>
      </c>
      <c r="J1715" t="str">
        <f>_xlfn.XLOOKUP(AllData[[#This Row],[Site Name]],LocationsKey[Site Name], LocationsKey[Waterway])</f>
        <v>Piddle Brook</v>
      </c>
      <c r="K1715" t="s">
        <v>787</v>
      </c>
      <c r="L1715">
        <v>52.126424</v>
      </c>
      <c r="M1715">
        <v>-2.0565760000000002</v>
      </c>
      <c r="N1715" t="s">
        <v>25</v>
      </c>
      <c r="O1715">
        <v>639</v>
      </c>
      <c r="P1715">
        <v>13.3</v>
      </c>
      <c r="Q1715">
        <v>4</v>
      </c>
      <c r="R1715" s="107" t="str">
        <f>IF(AllData[[#This Row],[Nitrate (PPM)]]&gt;2, "Very high", IF(AllData[[#This Row],[Nitrate (PPM)]]&gt;1, "High", IF(AllData[[#This Row],[Nitrate (PPM)]]&gt;0.5, "Some evidence", IF(AllData[[#This Row],[Nitrate (PPM)]]&gt;=0, "No evidence"))))</f>
        <v>Very high</v>
      </c>
      <c r="S1715" s="4">
        <v>0.32</v>
      </c>
      <c r="T1715" s="7" t="str">
        <f>IF(AllData[[#This Row],[Phosphate (PPM)]]&gt;0.5, "Very high", IF(AllData[[#This Row],[Phosphate (PPM)]]&gt;0.1, "High", IF(AllData[[#This Row],[Phosphate (PPM)]]&gt;0.05, "Some evidence", IF(AllData[[#This Row],[Phosphate (PPM)]]&lt;=0.05, "No Evidence", ""))))</f>
        <v>High</v>
      </c>
      <c r="U1715">
        <v>0.96</v>
      </c>
      <c r="V1715" t="s">
        <v>1026</v>
      </c>
    </row>
    <row r="1716" spans="1:22" x14ac:dyDescent="0.35">
      <c r="A1716" t="s">
        <v>1023</v>
      </c>
      <c r="B1716" s="143">
        <v>45388</v>
      </c>
      <c r="C1716" s="2" t="str" cm="1">
        <f t="array" ref="C17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6">
        <f>YEAR(AllData[[#This Row],[Date]])</f>
        <v>2024</v>
      </c>
      <c r="E1716" s="1">
        <v>0.47430555555555554</v>
      </c>
      <c r="F1716" t="str">
        <f>IF(AND(AllData[[#This Row],[Time]]&lt;0.5, AllData[[#This Row],[Time]]&gt;0.17)=TRUE, "Morning", IF(AND(AllData[[#This Row],[Time]]&lt;0.75, AllData[[#This Row],[Time]]&gt;=0.5)=TRUE, "Afternoon", IF(AND(AllData[[#This Row],[Time]]&lt;1, AllData[[#This Row],[Time]]&gt;=0.75)=TRUE, "Evening", "Night")))</f>
        <v>Morning</v>
      </c>
      <c r="G1716" t="str">
        <f>_xlfn.XLOOKUP(AllData[[#This Row],[Location Name]], Locations[Location Name],Locations[Group As])</f>
        <v>Avon Smiths Meadow Wyre Piddle</v>
      </c>
      <c r="H1716" t="e" vm="6">
        <f>_xlfn.XLOOKUP(AllData[[#This Row],[Site Name]],LocationsKey[Site Name],LocationsKey[District])</f>
        <v>#VALUE!</v>
      </c>
      <c r="I1716" t="e" vm="13">
        <f>_xlfn.XLOOKUP(AllData[[#This Row],[Site Name]],LocationsKey[Site Name],LocationsKey[Town])</f>
        <v>#VALUE!</v>
      </c>
      <c r="J1716" t="str">
        <f>_xlfn.XLOOKUP(AllData[[#This Row],[Site Name]],LocationsKey[Site Name], LocationsKey[Waterway])</f>
        <v>Avon</v>
      </c>
      <c r="K1716" t="s">
        <v>784</v>
      </c>
      <c r="L1716">
        <v>52.125045</v>
      </c>
      <c r="M1716">
        <v>-2.0538820000000002</v>
      </c>
      <c r="N1716" t="s">
        <v>25</v>
      </c>
      <c r="O1716">
        <v>495</v>
      </c>
      <c r="P1716">
        <v>13</v>
      </c>
      <c r="Q1716">
        <v>4</v>
      </c>
      <c r="R1716" s="107" t="str">
        <f>IF(AllData[[#This Row],[Nitrate (PPM)]]&gt;2, "Very high", IF(AllData[[#This Row],[Nitrate (PPM)]]&gt;1, "High", IF(AllData[[#This Row],[Nitrate (PPM)]]&gt;0.5, "Some evidence", IF(AllData[[#This Row],[Nitrate (PPM)]]&gt;=0, "No evidence"))))</f>
        <v>Very high</v>
      </c>
      <c r="S1716" s="4">
        <v>0.37</v>
      </c>
      <c r="T1716" s="7" t="str">
        <f>IF(AllData[[#This Row],[Phosphate (PPM)]]&gt;0.5, "Very high", IF(AllData[[#This Row],[Phosphate (PPM)]]&gt;0.1, "High", IF(AllData[[#This Row],[Phosphate (PPM)]]&gt;0.05, "Some evidence", IF(AllData[[#This Row],[Phosphate (PPM)]]&lt;=0.05, "No Evidence", ""))))</f>
        <v>High</v>
      </c>
      <c r="U1716">
        <v>2.0299999999999998</v>
      </c>
      <c r="V1716" t="s">
        <v>1024</v>
      </c>
    </row>
    <row r="1717" spans="1:22" x14ac:dyDescent="0.35">
      <c r="A1717" t="s">
        <v>1038</v>
      </c>
      <c r="B1717" s="143">
        <v>45388</v>
      </c>
      <c r="C1717" s="2" t="str" cm="1">
        <f t="array" ref="C17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7">
        <f>YEAR(AllData[[#This Row],[Date]])</f>
        <v>2024</v>
      </c>
      <c r="E1717" s="1"/>
      <c r="F1717" t="str">
        <f>IF(AND(AllData[[#This Row],[Time]]&lt;0.5, AllData[[#This Row],[Time]]&gt;0.17)=TRUE, "Morning", IF(AND(AllData[[#This Row],[Time]]&lt;0.75, AllData[[#This Row],[Time]]&gt;=0.5)=TRUE, "Afternoon", IF(AND(AllData[[#This Row],[Time]]&lt;1, AllData[[#This Row],[Time]]&gt;=0.75)=TRUE, "Evening", "Night")))</f>
        <v>Night</v>
      </c>
      <c r="G1717" t="str">
        <f>_xlfn.XLOOKUP(AllData[[#This Row],[Location Name]], Locations[Location Name],Locations[Group As])</f>
        <v>Site 2  :  Cross Leys culvert</v>
      </c>
      <c r="H1717" t="e" vm="1">
        <f>_xlfn.XLOOKUP(AllData[[#This Row],[Site Name]],LocationsKey[Site Name],LocationsKey[District])</f>
        <v>#VALUE!</v>
      </c>
      <c r="I1717" t="e" vm="14">
        <f>_xlfn.XLOOKUP(AllData[[#This Row],[Site Name]],LocationsKey[Site Name],LocationsKey[Town])</f>
        <v>#VALUE!</v>
      </c>
      <c r="J1717" t="str">
        <f>_xlfn.XLOOKUP(AllData[[#This Row],[Site Name]],LocationsKey[Site Name], LocationsKey[Waterway])</f>
        <v>Fosseway Brook</v>
      </c>
      <c r="K1717" t="s">
        <v>626</v>
      </c>
      <c r="L1717">
        <v>52.092967999999999</v>
      </c>
      <c r="M1717">
        <v>-1.6862710000000001</v>
      </c>
      <c r="N1717" t="s">
        <v>68</v>
      </c>
      <c r="O1717">
        <v>588</v>
      </c>
      <c r="P1717">
        <v>14.1</v>
      </c>
      <c r="Q1717">
        <v>2</v>
      </c>
      <c r="R1717" s="107" t="str">
        <f>IF(AllData[[#This Row],[Nitrate (PPM)]]&gt;2, "Very high", IF(AllData[[#This Row],[Nitrate (PPM)]]&gt;1, "High", IF(AllData[[#This Row],[Nitrate (PPM)]]&gt;0.5, "Some evidence", IF(AllData[[#This Row],[Nitrate (PPM)]]&gt;=0, "No evidence"))))</f>
        <v>High</v>
      </c>
      <c r="S1717" s="4">
        <v>0.3</v>
      </c>
      <c r="T1717" s="7" t="str">
        <f>IF(AllData[[#This Row],[Phosphate (PPM)]]&gt;0.5, "Very high", IF(AllData[[#This Row],[Phosphate (PPM)]]&gt;0.1, "High", IF(AllData[[#This Row],[Phosphate (PPM)]]&gt;0.05, "Some evidence", IF(AllData[[#This Row],[Phosphate (PPM)]]&lt;=0.05, "No Evidence", ""))))</f>
        <v>High</v>
      </c>
      <c r="V1717" t="s">
        <v>950</v>
      </c>
    </row>
    <row r="1718" spans="1:22" x14ac:dyDescent="0.35">
      <c r="A1718" t="s">
        <v>1037</v>
      </c>
      <c r="B1718" s="143">
        <v>45388</v>
      </c>
      <c r="C1718" s="2" t="str" cm="1">
        <f t="array" ref="C17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8">
        <f>YEAR(AllData[[#This Row],[Date]])</f>
        <v>2024</v>
      </c>
      <c r="F1718" t="str">
        <f>IF(AND(AllData[[#This Row],[Time]]&lt;0.5, AllData[[#This Row],[Time]]&gt;0.17)=TRUE, "Morning", IF(AND(AllData[[#This Row],[Time]]&lt;0.75, AllData[[#This Row],[Time]]&gt;=0.5)=TRUE, "Afternoon", IF(AND(AllData[[#This Row],[Time]]&lt;1, AllData[[#This Row],[Time]]&gt;=0.75)=TRUE, "Evening", "Night")))</f>
        <v>Night</v>
      </c>
      <c r="G1718" t="str">
        <f>_xlfn.XLOOKUP(AllData[[#This Row],[Location Name]], Locations[Location Name],Locations[Group As])</f>
        <v>Site 2  :  Cross Leys culvert</v>
      </c>
      <c r="H1718" t="e" vm="1">
        <f>_xlfn.XLOOKUP(AllData[[#This Row],[Site Name]],LocationsKey[Site Name],LocationsKey[District])</f>
        <v>#VALUE!</v>
      </c>
      <c r="I1718" t="e" vm="14">
        <f>_xlfn.XLOOKUP(AllData[[#This Row],[Site Name]],LocationsKey[Site Name],LocationsKey[Town])</f>
        <v>#VALUE!</v>
      </c>
      <c r="J1718" t="str">
        <f>_xlfn.XLOOKUP(AllData[[#This Row],[Site Name]],LocationsKey[Site Name], LocationsKey[Waterway])</f>
        <v>Fosseway Brook</v>
      </c>
      <c r="K1718" t="s">
        <v>623</v>
      </c>
      <c r="L1718">
        <v>52.092967999999999</v>
      </c>
      <c r="M1718">
        <v>-1.6862710000000001</v>
      </c>
      <c r="N1718" t="s">
        <v>68</v>
      </c>
      <c r="O1718">
        <v>588</v>
      </c>
      <c r="P1718">
        <v>14.1</v>
      </c>
      <c r="Q1718">
        <v>2</v>
      </c>
      <c r="R1718" s="107" t="str">
        <f>IF(AllData[[#This Row],[Nitrate (PPM)]]&gt;2, "Very high", IF(AllData[[#This Row],[Nitrate (PPM)]]&gt;1, "High", IF(AllData[[#This Row],[Nitrate (PPM)]]&gt;0.5, "Some evidence", IF(AllData[[#This Row],[Nitrate (PPM)]]&gt;=0, "No evidence"))))</f>
        <v>High</v>
      </c>
      <c r="S1718" s="4">
        <v>0.3</v>
      </c>
      <c r="T1718" s="7" t="str">
        <f>IF(AllData[[#This Row],[Phosphate (PPM)]]&gt;0.5, "Very high", IF(AllData[[#This Row],[Phosphate (PPM)]]&gt;0.1, "High", IF(AllData[[#This Row],[Phosphate (PPM)]]&gt;0.05, "Some evidence", IF(AllData[[#This Row],[Phosphate (PPM)]]&lt;=0.05, "No Evidence", ""))))</f>
        <v>High</v>
      </c>
      <c r="U1718">
        <v>0</v>
      </c>
      <c r="V1718" t="s">
        <v>948</v>
      </c>
    </row>
    <row r="1719" spans="1:22" x14ac:dyDescent="0.35">
      <c r="A1719" t="s">
        <v>1035</v>
      </c>
      <c r="B1719" s="143">
        <v>45388</v>
      </c>
      <c r="C1719" s="2" t="str" cm="1">
        <f t="array" ref="C17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19">
        <f>YEAR(AllData[[#This Row],[Date]])</f>
        <v>2024</v>
      </c>
      <c r="E1719" s="1"/>
      <c r="F1719" t="str">
        <f>IF(AND(AllData[[#This Row],[Time]]&lt;0.5, AllData[[#This Row],[Time]]&gt;0.17)=TRUE, "Morning", IF(AND(AllData[[#This Row],[Time]]&lt;0.75, AllData[[#This Row],[Time]]&gt;=0.5)=TRUE, "Afternoon", IF(AND(AllData[[#This Row],[Time]]&lt;1, AllData[[#This Row],[Time]]&gt;=0.75)=TRUE, "Evening", "Night")))</f>
        <v>Night</v>
      </c>
      <c r="G1719" t="str">
        <f>_xlfn.XLOOKUP(AllData[[#This Row],[Location Name]], Locations[Location Name],Locations[Group As])</f>
        <v>Site 1  :  Middle Street</v>
      </c>
      <c r="H1719" t="e" vm="1">
        <f>_xlfn.XLOOKUP(AllData[[#This Row],[Site Name]],LocationsKey[Site Name],LocationsKey[District])</f>
        <v>#VALUE!</v>
      </c>
      <c r="I1719" t="e" vm="14">
        <f>_xlfn.XLOOKUP(AllData[[#This Row],[Site Name]],LocationsKey[Site Name],LocationsKey[Town])</f>
        <v>#VALUE!</v>
      </c>
      <c r="J1719" t="str">
        <f>_xlfn.XLOOKUP(AllData[[#This Row],[Site Name]],LocationsKey[Site Name], LocationsKey[Waterway])</f>
        <v>Fosseway Brook</v>
      </c>
      <c r="K1719" t="s">
        <v>670</v>
      </c>
      <c r="L1719">
        <v>52.090085000000002</v>
      </c>
      <c r="M1719">
        <v>-1.692593</v>
      </c>
      <c r="N1719" t="s">
        <v>68</v>
      </c>
      <c r="O1719">
        <v>519</v>
      </c>
      <c r="P1719">
        <v>14.8</v>
      </c>
      <c r="Q1719">
        <v>2</v>
      </c>
      <c r="R1719" s="107" t="str">
        <f>IF(AllData[[#This Row],[Nitrate (PPM)]]&gt;2, "Very high", IF(AllData[[#This Row],[Nitrate (PPM)]]&gt;1, "High", IF(AllData[[#This Row],[Nitrate (PPM)]]&gt;0.5, "Some evidence", IF(AllData[[#This Row],[Nitrate (PPM)]]&gt;=0, "No evidence"))))</f>
        <v>High</v>
      </c>
      <c r="S1719" s="4">
        <v>0.06</v>
      </c>
      <c r="T1719" s="7" t="str">
        <f>IF(AllData[[#This Row],[Phosphate (PPM)]]&gt;0.5, "Very high", IF(AllData[[#This Row],[Phosphate (PPM)]]&gt;0.1, "High", IF(AllData[[#This Row],[Phosphate (PPM)]]&gt;0.05, "Some evidence", IF(AllData[[#This Row],[Phosphate (PPM)]]&lt;=0.05, "No Evidence", ""))))</f>
        <v>Some evidence</v>
      </c>
      <c r="V1719" t="s">
        <v>1036</v>
      </c>
    </row>
    <row r="1720" spans="1:22" x14ac:dyDescent="0.35">
      <c r="A1720" t="s">
        <v>1033</v>
      </c>
      <c r="B1720" s="143">
        <v>45388</v>
      </c>
      <c r="C1720" s="2" t="str" cm="1">
        <f t="array" ref="C17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0">
        <f>YEAR(AllData[[#This Row],[Date]])</f>
        <v>2024</v>
      </c>
      <c r="F1720" t="str">
        <f>IF(AND(AllData[[#This Row],[Time]]&lt;0.5, AllData[[#This Row],[Time]]&gt;0.17)=TRUE, "Morning", IF(AND(AllData[[#This Row],[Time]]&lt;0.75, AllData[[#This Row],[Time]]&gt;=0.5)=TRUE, "Afternoon", IF(AND(AllData[[#This Row],[Time]]&lt;1, AllData[[#This Row],[Time]]&gt;=0.75)=TRUE, "Evening", "Night")))</f>
        <v>Night</v>
      </c>
      <c r="G1720" t="str">
        <f>_xlfn.XLOOKUP(AllData[[#This Row],[Location Name]], Locations[Location Name],Locations[Group As])</f>
        <v>Site 1  :  Middle Street</v>
      </c>
      <c r="H1720" t="e" vm="1">
        <f>_xlfn.XLOOKUP(AllData[[#This Row],[Site Name]],LocationsKey[Site Name],LocationsKey[District])</f>
        <v>#VALUE!</v>
      </c>
      <c r="I1720" t="e" vm="14">
        <f>_xlfn.XLOOKUP(AllData[[#This Row],[Site Name]],LocationsKey[Site Name],LocationsKey[Town])</f>
        <v>#VALUE!</v>
      </c>
      <c r="J1720" t="str">
        <f>_xlfn.XLOOKUP(AllData[[#This Row],[Site Name]],LocationsKey[Site Name], LocationsKey[Waterway])</f>
        <v>Fosseway Brook</v>
      </c>
      <c r="K1720" t="s">
        <v>667</v>
      </c>
      <c r="L1720">
        <v>52.090085000000002</v>
      </c>
      <c r="M1720">
        <v>-1.692593</v>
      </c>
      <c r="N1720" t="s">
        <v>68</v>
      </c>
      <c r="O1720">
        <v>519</v>
      </c>
      <c r="P1720">
        <v>14.8</v>
      </c>
      <c r="Q1720">
        <v>2</v>
      </c>
      <c r="R1720" s="107" t="str">
        <f>IF(AllData[[#This Row],[Nitrate (PPM)]]&gt;2, "Very high", IF(AllData[[#This Row],[Nitrate (PPM)]]&gt;1, "High", IF(AllData[[#This Row],[Nitrate (PPM)]]&gt;0.5, "Some evidence", IF(AllData[[#This Row],[Nitrate (PPM)]]&gt;=0, "No evidence"))))</f>
        <v>High</v>
      </c>
      <c r="S1720" s="4">
        <v>0.06</v>
      </c>
      <c r="T1720" s="7" t="str">
        <f>IF(AllData[[#This Row],[Phosphate (PPM)]]&gt;0.5, "Very high", IF(AllData[[#This Row],[Phosphate (PPM)]]&gt;0.1, "High", IF(AllData[[#This Row],[Phosphate (PPM)]]&gt;0.05, "Some evidence", IF(AllData[[#This Row],[Phosphate (PPM)]]&lt;=0.05, "No Evidence", ""))))</f>
        <v>Some evidence</v>
      </c>
      <c r="U1720">
        <v>0</v>
      </c>
      <c r="V1720" t="s">
        <v>1034</v>
      </c>
    </row>
    <row r="1721" spans="1:22" x14ac:dyDescent="0.35">
      <c r="A1721" t="s">
        <v>1042</v>
      </c>
      <c r="B1721" s="143">
        <v>45388</v>
      </c>
      <c r="C1721" s="2" t="str" cm="1">
        <f t="array" ref="C17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1">
        <f>YEAR(AllData[[#This Row],[Date]])</f>
        <v>2024</v>
      </c>
      <c r="E1721" s="1">
        <v>0.41111111111111109</v>
      </c>
      <c r="F1721" t="str">
        <f>IF(AND(AllData[[#This Row],[Time]]&lt;0.5, AllData[[#This Row],[Time]]&gt;0.17)=TRUE, "Morning", IF(AND(AllData[[#This Row],[Time]]&lt;0.75, AllData[[#This Row],[Time]]&gt;=0.5)=TRUE, "Afternoon", IF(AND(AllData[[#This Row],[Time]]&lt;1, AllData[[#This Row],[Time]]&gt;=0.75)=TRUE, "Evening", "Night")))</f>
        <v>Morning</v>
      </c>
      <c r="G1721" t="str">
        <f>_xlfn.XLOOKUP(AllData[[#This Row],[Location Name]], Locations[Location Name],Locations[Group As])</f>
        <v>Site 1  :  Middle Street</v>
      </c>
      <c r="H1721" t="e" vm="1">
        <f>_xlfn.XLOOKUP(AllData[[#This Row],[Site Name]],LocationsKey[Site Name],LocationsKey[District])</f>
        <v>#VALUE!</v>
      </c>
      <c r="I1721" t="e" vm="14">
        <f>_xlfn.XLOOKUP(AllData[[#This Row],[Site Name]],LocationsKey[Site Name],LocationsKey[Town])</f>
        <v>#VALUE!</v>
      </c>
      <c r="J1721" t="str">
        <f>_xlfn.XLOOKUP(AllData[[#This Row],[Site Name]],LocationsKey[Site Name], LocationsKey[Waterway])</f>
        <v>Fosseway Brook</v>
      </c>
      <c r="K1721" t="s">
        <v>678</v>
      </c>
      <c r="L1721">
        <v>52.090085000000002</v>
      </c>
      <c r="M1721">
        <v>-1.692593</v>
      </c>
      <c r="N1721" t="s">
        <v>68</v>
      </c>
      <c r="O1721">
        <v>519</v>
      </c>
      <c r="P1721">
        <v>14.8</v>
      </c>
      <c r="Q1721">
        <v>2</v>
      </c>
      <c r="R1721" s="107" t="str">
        <f>IF(AllData[[#This Row],[Nitrate (PPM)]]&gt;2, "Very high", IF(AllData[[#This Row],[Nitrate (PPM)]]&gt;1, "High", IF(AllData[[#This Row],[Nitrate (PPM)]]&gt;0.5, "Some evidence", IF(AllData[[#This Row],[Nitrate (PPM)]]&gt;=0, "No evidence"))))</f>
        <v>High</v>
      </c>
      <c r="S1721">
        <v>0.06</v>
      </c>
      <c r="T1721" s="7" t="str">
        <f>IF(AllData[[#This Row],[Phosphate (PPM)]]&gt;0.5, "Very high", IF(AllData[[#This Row],[Phosphate (PPM)]]&gt;0.1, "High", IF(AllData[[#This Row],[Phosphate (PPM)]]&gt;0.05, "Some evidence", IF(AllData[[#This Row],[Phosphate (PPM)]]&lt;=0.05, "No Evidence", ""))))</f>
        <v>Some evidence</v>
      </c>
      <c r="U1721">
        <v>0.05</v>
      </c>
    </row>
    <row r="1722" spans="1:22" x14ac:dyDescent="0.35">
      <c r="A1722" t="s">
        <v>1020</v>
      </c>
      <c r="B1722" s="143">
        <v>45388</v>
      </c>
      <c r="C1722" s="2" t="str" cm="1">
        <f t="array" ref="C17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2">
        <f>YEAR(AllData[[#This Row],[Date]])</f>
        <v>2024</v>
      </c>
      <c r="E1722" s="1">
        <v>0.38750000000000001</v>
      </c>
      <c r="F1722" t="str">
        <f>IF(AND(AllData[[#This Row],[Time]]&lt;0.5, AllData[[#This Row],[Time]]&gt;0.17)=TRUE, "Morning", IF(AND(AllData[[#This Row],[Time]]&lt;0.75, AllData[[#This Row],[Time]]&gt;=0.5)=TRUE, "Afternoon", IF(AND(AllData[[#This Row],[Time]]&lt;1, AllData[[#This Row],[Time]]&gt;=0.75)=TRUE, "Evening", "Night")))</f>
        <v>Morning</v>
      </c>
      <c r="G1722" t="str">
        <f>_xlfn.XLOOKUP(AllData[[#This Row],[Location Name]], Locations[Location Name],Locations[Group As])</f>
        <v>Stour Ascott Village</v>
      </c>
      <c r="H1722" t="e" vm="1">
        <f>_xlfn.XLOOKUP(AllData[[#This Row],[Site Name]],LocationsKey[Site Name],LocationsKey[District])</f>
        <v>#VALUE!</v>
      </c>
      <c r="I1722" t="e" vm="25">
        <f>_xlfn.XLOOKUP(AllData[[#This Row],[Site Name]],LocationsKey[Site Name],LocationsKey[Town])</f>
        <v>#VALUE!</v>
      </c>
      <c r="J1722" t="str">
        <f>_xlfn.XLOOKUP(AllData[[#This Row],[Site Name]],LocationsKey[Site Name], LocationsKey[Waterway])</f>
        <v>Stour</v>
      </c>
      <c r="K1722" t="s">
        <v>927</v>
      </c>
      <c r="N1722" t="s">
        <v>68</v>
      </c>
      <c r="O1722">
        <v>51.04</v>
      </c>
      <c r="P1722">
        <v>12.9</v>
      </c>
      <c r="Q1722">
        <v>2</v>
      </c>
      <c r="R1722" s="107" t="str">
        <f>IF(AllData[[#This Row],[Nitrate (PPM)]]&gt;2, "Very high", IF(AllData[[#This Row],[Nitrate (PPM)]]&gt;1, "High", IF(AllData[[#This Row],[Nitrate (PPM)]]&gt;0.5, "Some evidence", IF(AllData[[#This Row],[Nitrate (PPM)]]&gt;=0, "No evidence"))))</f>
        <v>High</v>
      </c>
      <c r="S1722" s="4">
        <v>0.1</v>
      </c>
      <c r="T1722" s="7" t="str">
        <f>IF(AllData[[#This Row],[Phosphate (PPM)]]&gt;0.5, "Very high", IF(AllData[[#This Row],[Phosphate (PPM)]]&gt;0.1, "High", IF(AllData[[#This Row],[Phosphate (PPM)]]&gt;0.05, "Some evidence", IF(AllData[[#This Row],[Phosphate (PPM)]]&lt;=0.05, "No Evidence", ""))))</f>
        <v>Some evidence</v>
      </c>
      <c r="U1722">
        <v>18</v>
      </c>
    </row>
    <row r="1723" spans="1:22" x14ac:dyDescent="0.35">
      <c r="A1723" t="s">
        <v>1019</v>
      </c>
      <c r="B1723" s="143">
        <v>45388</v>
      </c>
      <c r="C1723" s="2" t="str" cm="1">
        <f t="array" ref="C17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3">
        <f>YEAR(AllData[[#This Row],[Date]])</f>
        <v>2024</v>
      </c>
      <c r="E1723" s="1">
        <v>0.36666666666666664</v>
      </c>
      <c r="F1723" t="str">
        <f>IF(AND(AllData[[#This Row],[Time]]&lt;0.5, AllData[[#This Row],[Time]]&gt;0.17)=TRUE, "Morning", IF(AND(AllData[[#This Row],[Time]]&lt;0.75, AllData[[#This Row],[Time]]&gt;=0.5)=TRUE, "Afternoon", IF(AND(AllData[[#This Row],[Time]]&lt;1, AllData[[#This Row],[Time]]&gt;=0.75)=TRUE, "Evening", "Night")))</f>
        <v>Morning</v>
      </c>
      <c r="G1723" t="str">
        <f>_xlfn.XLOOKUP(AllData[[#This Row],[Location Name]], Locations[Location Name],Locations[Group As])</f>
        <v>Stour Whichford</v>
      </c>
      <c r="H1723" t="e" vm="1">
        <f>_xlfn.XLOOKUP(AllData[[#This Row],[Site Name]],LocationsKey[Site Name],LocationsKey[District])</f>
        <v>#VALUE!</v>
      </c>
      <c r="I1723" t="e" vm="24">
        <f>_xlfn.XLOOKUP(AllData[[#This Row],[Site Name]],LocationsKey[Site Name],LocationsKey[Town])</f>
        <v>#VALUE!</v>
      </c>
      <c r="J1723" t="str">
        <f>_xlfn.XLOOKUP(AllData[[#This Row],[Site Name]],LocationsKey[Site Name], LocationsKey[Waterway])</f>
        <v>Stour</v>
      </c>
      <c r="K1723" t="s">
        <v>980</v>
      </c>
      <c r="N1723" t="s">
        <v>31</v>
      </c>
      <c r="O1723">
        <v>50.9</v>
      </c>
      <c r="P1723">
        <v>12.09</v>
      </c>
      <c r="Q1723">
        <v>1.08</v>
      </c>
      <c r="R1723" s="107" t="str">
        <f>IF(AllData[[#This Row],[Nitrate (PPM)]]&gt;2, "Very high", IF(AllData[[#This Row],[Nitrate (PPM)]]&gt;1, "High", IF(AllData[[#This Row],[Nitrate (PPM)]]&gt;0.5, "Some evidence", IF(AllData[[#This Row],[Nitrate (PPM)]]&gt;=0, "No evidence"))))</f>
        <v>High</v>
      </c>
      <c r="S1723" s="4">
        <v>0.54</v>
      </c>
      <c r="T1723" s="7" t="str">
        <f>IF(AllData[[#This Row],[Phosphate (PPM)]]&gt;0.5, "Very high", IF(AllData[[#This Row],[Phosphate (PPM)]]&gt;0.1, "High", IF(AllData[[#This Row],[Phosphate (PPM)]]&gt;0.05, "Some evidence", IF(AllData[[#This Row],[Phosphate (PPM)]]&lt;=0.05, "No Evidence", ""))))</f>
        <v>Very high</v>
      </c>
      <c r="U1723">
        <v>25</v>
      </c>
    </row>
    <row r="1724" spans="1:22" x14ac:dyDescent="0.35">
      <c r="A1724" t="s">
        <v>1014</v>
      </c>
      <c r="B1724" s="143">
        <v>45387</v>
      </c>
      <c r="C1724" s="2" t="str" cm="1">
        <f t="array" ref="C17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4">
        <f>YEAR(AllData[[#This Row],[Date]])</f>
        <v>2024</v>
      </c>
      <c r="E1724" s="1">
        <v>0.3923611111111111</v>
      </c>
      <c r="F1724" t="str">
        <f>IF(AND(AllData[[#This Row],[Time]]&lt;0.5, AllData[[#This Row],[Time]]&gt;0.17)=TRUE, "Morning", IF(AND(AllData[[#This Row],[Time]]&lt;0.75, AllData[[#This Row],[Time]]&gt;=0.5)=TRUE, "Afternoon", IF(AND(AllData[[#This Row],[Time]]&lt;1, AllData[[#This Row],[Time]]&gt;=0.75)=TRUE, "Evening", "Night")))</f>
        <v>Morning</v>
      </c>
      <c r="G1724" t="str">
        <f>_xlfn.XLOOKUP(AllData[[#This Row],[Location Name]], Locations[Location Name],Locations[Group As])</f>
        <v>Mill Bridge Peopleton</v>
      </c>
      <c r="H1724" t="e" vm="6">
        <f>_xlfn.XLOOKUP(AllData[[#This Row],[Site Name]],LocationsKey[Site Name],LocationsKey[District])</f>
        <v>#VALUE!</v>
      </c>
      <c r="I1724" t="str">
        <f>_xlfn.XLOOKUP(AllData[[#This Row],[Site Name]],LocationsKey[Site Name],LocationsKey[Town])</f>
        <v>Peopleton</v>
      </c>
      <c r="J1724" t="str">
        <f>_xlfn.XLOOKUP(AllData[[#This Row],[Site Name]],LocationsKey[Site Name], LocationsKey[Waterway])</f>
        <v>Bow Brook</v>
      </c>
      <c r="K1724" t="s">
        <v>1015</v>
      </c>
      <c r="L1724">
        <v>52.151646</v>
      </c>
      <c r="M1724">
        <v>-2.096368</v>
      </c>
      <c r="N1724" t="s">
        <v>31</v>
      </c>
      <c r="O1724">
        <v>523</v>
      </c>
      <c r="P1724">
        <v>12.6</v>
      </c>
      <c r="Q1724">
        <v>5</v>
      </c>
      <c r="R1724" s="107" t="str">
        <f>IF(AllData[[#This Row],[Nitrate (PPM)]]&gt;2, "Very high", IF(AllData[[#This Row],[Nitrate (PPM)]]&gt;1, "High", IF(AllData[[#This Row],[Nitrate (PPM)]]&gt;0.5, "Some evidence", IF(AllData[[#This Row],[Nitrate (PPM)]]&gt;=0, "No evidence"))))</f>
        <v>Very high</v>
      </c>
      <c r="S1724" s="4">
        <v>0.46</v>
      </c>
      <c r="T1724" s="7" t="str">
        <f>IF(AllData[[#This Row],[Phosphate (PPM)]]&gt;0.5, "Very high", IF(AllData[[#This Row],[Phosphate (PPM)]]&gt;0.1, "High", IF(AllData[[#This Row],[Phosphate (PPM)]]&gt;0.05, "Some evidence", IF(AllData[[#This Row],[Phosphate (PPM)]]&lt;=0.05, "No Evidence", ""))))</f>
        <v>High</v>
      </c>
      <c r="U1724">
        <v>1.4</v>
      </c>
      <c r="V1724" t="s">
        <v>1016</v>
      </c>
    </row>
    <row r="1725" spans="1:22" x14ac:dyDescent="0.35">
      <c r="A1725" t="s">
        <v>1017</v>
      </c>
      <c r="B1725" s="143">
        <v>45387</v>
      </c>
      <c r="C1725" s="2" t="str" cm="1">
        <f t="array" ref="C17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5">
        <f>YEAR(AllData[[#This Row],[Date]])</f>
        <v>2024</v>
      </c>
      <c r="E1725" s="1">
        <v>0.65902777777777777</v>
      </c>
      <c r="F1725" t="str">
        <f>IF(AND(AllData[[#This Row],[Time]]&lt;0.5, AllData[[#This Row],[Time]]&gt;0.17)=TRUE, "Morning", IF(AND(AllData[[#This Row],[Time]]&lt;0.75, AllData[[#This Row],[Time]]&gt;=0.5)=TRUE, "Afternoon", IF(AND(AllData[[#This Row],[Time]]&lt;1, AllData[[#This Row],[Time]]&gt;=0.75)=TRUE, "Evening", "Night")))</f>
        <v>Afternoon</v>
      </c>
      <c r="G1725" t="str">
        <f>_xlfn.XLOOKUP(AllData[[#This Row],[Location Name]], Locations[Location Name],Locations[Group As])</f>
        <v>Preston Bagot Brook</v>
      </c>
      <c r="H1725" t="e" vm="1">
        <f>_xlfn.XLOOKUP(AllData[[#This Row],[Site Name]],LocationsKey[Site Name],LocationsKey[District])</f>
        <v>#VALUE!</v>
      </c>
      <c r="I1725" t="e" vm="21">
        <f>_xlfn.XLOOKUP(AllData[[#This Row],[Site Name]],LocationsKey[Site Name],LocationsKey[Town])</f>
        <v>#VALUE!</v>
      </c>
      <c r="J1725" t="str">
        <f>_xlfn.XLOOKUP(AllData[[#This Row],[Site Name]],LocationsKey[Site Name], LocationsKey[Waterway])</f>
        <v>Preston Bagot Brook</v>
      </c>
      <c r="K1725" t="s">
        <v>621</v>
      </c>
      <c r="L1725">
        <v>52.286000000000001</v>
      </c>
      <c r="M1725">
        <v>-1.7470000000000001</v>
      </c>
      <c r="N1725" t="s">
        <v>25</v>
      </c>
      <c r="O1725">
        <v>336</v>
      </c>
      <c r="P1725">
        <v>14.9</v>
      </c>
      <c r="Q1725">
        <v>2</v>
      </c>
      <c r="R1725" s="107" t="str">
        <f>IF(AllData[[#This Row],[Nitrate (PPM)]]&gt;2, "Very high", IF(AllData[[#This Row],[Nitrate (PPM)]]&gt;1, "High", IF(AllData[[#This Row],[Nitrate (PPM)]]&gt;0.5, "Some evidence", IF(AllData[[#This Row],[Nitrate (PPM)]]&gt;=0, "No evidence"))))</f>
        <v>High</v>
      </c>
      <c r="S1725">
        <v>0.69</v>
      </c>
      <c r="T1725" s="7" t="str">
        <f>IF(AllData[[#This Row],[Phosphate (PPM)]]&gt;0.5, "Very high", IF(AllData[[#This Row],[Phosphate (PPM)]]&gt;0.1, "High", IF(AllData[[#This Row],[Phosphate (PPM)]]&gt;0.05, "Some evidence", IF(AllData[[#This Row],[Phosphate (PPM)]]&lt;=0.05, "No Evidence", ""))))</f>
        <v>Very high</v>
      </c>
      <c r="U1725">
        <v>1</v>
      </c>
      <c r="V1725" t="s">
        <v>970</v>
      </c>
    </row>
    <row r="1726" spans="1:22" x14ac:dyDescent="0.35">
      <c r="A1726" t="s">
        <v>1018</v>
      </c>
      <c r="B1726" s="143">
        <v>45387</v>
      </c>
      <c r="C1726" s="2" t="str" cm="1">
        <f t="array" ref="C17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6">
        <f>YEAR(AllData[[#This Row],[Date]])</f>
        <v>2024</v>
      </c>
      <c r="E1726" s="1">
        <v>0.69097222222222221</v>
      </c>
      <c r="F1726" t="str">
        <f>IF(AND(AllData[[#This Row],[Time]]&lt;0.5, AllData[[#This Row],[Time]]&gt;0.17)=TRUE, "Morning", IF(AND(AllData[[#This Row],[Time]]&lt;0.75, AllData[[#This Row],[Time]]&gt;=0.5)=TRUE, "Afternoon", IF(AND(AllData[[#This Row],[Time]]&lt;1, AllData[[#This Row],[Time]]&gt;=0.75)=TRUE, "Evening", "Night")))</f>
        <v>Afternoon</v>
      </c>
      <c r="G1726" t="str">
        <f>_xlfn.XLOOKUP(AllData[[#This Row],[Location Name]], Locations[Location Name],Locations[Group As])</f>
        <v>Preston Bagot Canal</v>
      </c>
      <c r="H1726" t="e" vm="1">
        <f>_xlfn.XLOOKUP(AllData[[#This Row],[Site Name]],LocationsKey[Site Name],LocationsKey[District])</f>
        <v>#VALUE!</v>
      </c>
      <c r="I1726" t="e" vm="21">
        <f>_xlfn.XLOOKUP(AllData[[#This Row],[Site Name]],LocationsKey[Site Name],LocationsKey[Town])</f>
        <v>#VALUE!</v>
      </c>
      <c r="J1726" t="str">
        <f>_xlfn.XLOOKUP(AllData[[#This Row],[Site Name]],LocationsKey[Site Name], LocationsKey[Waterway])</f>
        <v>Preston Bagot Canal</v>
      </c>
      <c r="K1726" t="s">
        <v>618</v>
      </c>
      <c r="L1726">
        <v>52.286999999999999</v>
      </c>
      <c r="M1726">
        <v>-1.746</v>
      </c>
      <c r="N1726" t="s">
        <v>25</v>
      </c>
      <c r="O1726">
        <v>380</v>
      </c>
      <c r="P1726">
        <v>15</v>
      </c>
      <c r="Q1726">
        <v>1.5</v>
      </c>
      <c r="R1726" s="107" t="str">
        <f>IF(AllData[[#This Row],[Nitrate (PPM)]]&gt;2, "Very high", IF(AllData[[#This Row],[Nitrate (PPM)]]&gt;1, "High", IF(AllData[[#This Row],[Nitrate (PPM)]]&gt;0.5, "Some evidence", IF(AllData[[#This Row],[Nitrate (PPM)]]&gt;=0, "No evidence"))))</f>
        <v>High</v>
      </c>
      <c r="S1726">
        <v>0.09</v>
      </c>
      <c r="T1726" s="7" t="str">
        <f>IF(AllData[[#This Row],[Phosphate (PPM)]]&gt;0.5, "Very high", IF(AllData[[#This Row],[Phosphate (PPM)]]&gt;0.1, "High", IF(AllData[[#This Row],[Phosphate (PPM)]]&gt;0.05, "Some evidence", IF(AllData[[#This Row],[Phosphate (PPM)]]&lt;=0.05, "No Evidence", ""))))</f>
        <v>Some evidence</v>
      </c>
      <c r="U1726">
        <v>1</v>
      </c>
      <c r="V1726" t="s">
        <v>970</v>
      </c>
    </row>
    <row r="1727" spans="1:22" x14ac:dyDescent="0.35">
      <c r="A1727" t="s">
        <v>1010</v>
      </c>
      <c r="B1727" s="143">
        <v>45386</v>
      </c>
      <c r="C1727" s="2" t="str" cm="1">
        <f t="array" ref="C17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7">
        <f>YEAR(AllData[[#This Row],[Date]])</f>
        <v>2024</v>
      </c>
      <c r="E1727" s="1">
        <v>0.47222222222222221</v>
      </c>
      <c r="F1727" t="str">
        <f>IF(AND(AllData[[#This Row],[Time]]&lt;0.5, AllData[[#This Row],[Time]]&gt;0.17)=TRUE, "Morning", IF(AND(AllData[[#This Row],[Time]]&lt;0.75, AllData[[#This Row],[Time]]&gt;=0.5)=TRUE, "Afternoon", IF(AND(AllData[[#This Row],[Time]]&lt;1, AllData[[#This Row],[Time]]&gt;=0.75)=TRUE, "Evening", "Night")))</f>
        <v>Morning</v>
      </c>
      <c r="G1727" t="str">
        <f>_xlfn.XLOOKUP(AllData[[#This Row],[Location Name]], Locations[Location Name],Locations[Group As])</f>
        <v>Swiffen Bank</v>
      </c>
      <c r="H1727" t="e" vm="1">
        <f>_xlfn.XLOOKUP(AllData[[#This Row],[Site Name]],LocationsKey[Site Name],LocationsKey[District])</f>
        <v>#VALUE!</v>
      </c>
      <c r="I1727" t="e" vm="2">
        <f>_xlfn.XLOOKUP(AllData[[#This Row],[Site Name]],LocationsKey[Site Name],LocationsKey[Town])</f>
        <v>#VALUE!</v>
      </c>
      <c r="J1727" t="str">
        <f>_xlfn.XLOOKUP(AllData[[#This Row],[Site Name]],LocationsKey[Site Name], LocationsKey[Waterway])</f>
        <v>Avon</v>
      </c>
      <c r="K1727" t="s">
        <v>286</v>
      </c>
      <c r="L1727">
        <v>52.206477999999997</v>
      </c>
      <c r="M1727">
        <v>-1.653894</v>
      </c>
      <c r="N1727" t="s">
        <v>31</v>
      </c>
      <c r="O1727">
        <v>519</v>
      </c>
      <c r="P1727">
        <v>13.8</v>
      </c>
      <c r="Q1727">
        <v>5</v>
      </c>
      <c r="R1727" s="107" t="str">
        <f>IF(AllData[[#This Row],[Nitrate (PPM)]]&gt;2, "Very high", IF(AllData[[#This Row],[Nitrate (PPM)]]&gt;1, "High", IF(AllData[[#This Row],[Nitrate (PPM)]]&gt;0.5, "Some evidence", IF(AllData[[#This Row],[Nitrate (PPM)]]&gt;=0, "No evidence"))))</f>
        <v>Very high</v>
      </c>
      <c r="S1727" s="4">
        <v>0.51</v>
      </c>
      <c r="T1727" s="7" t="str">
        <f>IF(AllData[[#This Row],[Phosphate (PPM)]]&gt;0.5, "Very high", IF(AllData[[#This Row],[Phosphate (PPM)]]&gt;0.1, "High", IF(AllData[[#This Row],[Phosphate (PPM)]]&gt;0.05, "Some evidence", IF(AllData[[#This Row],[Phosphate (PPM)]]&lt;=0.05, "No Evidence", ""))))</f>
        <v>Very high</v>
      </c>
      <c r="U1727">
        <v>2</v>
      </c>
      <c r="V1727" t="s">
        <v>1011</v>
      </c>
    </row>
    <row r="1728" spans="1:22" x14ac:dyDescent="0.35">
      <c r="A1728" t="s">
        <v>1008</v>
      </c>
      <c r="B1728" s="143">
        <v>45386</v>
      </c>
      <c r="C1728" s="2" t="str" cm="1">
        <f t="array" ref="C17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8">
        <f>YEAR(AllData[[#This Row],[Date]])</f>
        <v>2024</v>
      </c>
      <c r="E1728" s="1">
        <v>0.46875</v>
      </c>
      <c r="F1728" t="str">
        <f>IF(AND(AllData[[#This Row],[Time]]&lt;0.5, AllData[[#This Row],[Time]]&gt;0.17)=TRUE, "Morning", IF(AND(AllData[[#This Row],[Time]]&lt;0.75, AllData[[#This Row],[Time]]&gt;=0.5)=TRUE, "Afternoon", IF(AND(AllData[[#This Row],[Time]]&lt;1, AllData[[#This Row],[Time]]&gt;=0.75)=TRUE, "Evening", "Night")))</f>
        <v>Morning</v>
      </c>
      <c r="G1728" t="str">
        <f>_xlfn.XLOOKUP(AllData[[#This Row],[Location Name]], Locations[Location Name],Locations[Group As])</f>
        <v>Alveston Weir</v>
      </c>
      <c r="H1728" t="e" vm="1">
        <f>_xlfn.XLOOKUP(AllData[[#This Row],[Site Name]],LocationsKey[Site Name],LocationsKey[District])</f>
        <v>#VALUE!</v>
      </c>
      <c r="I1728" t="e" vm="2">
        <f>_xlfn.XLOOKUP(AllData[[#This Row],[Site Name]],LocationsKey[Site Name],LocationsKey[Town])</f>
        <v>#VALUE!</v>
      </c>
      <c r="J1728" t="str">
        <f>_xlfn.XLOOKUP(AllData[[#This Row],[Site Name]],LocationsKey[Site Name], LocationsKey[Waterway])</f>
        <v>Avon</v>
      </c>
      <c r="K1728" t="s">
        <v>288</v>
      </c>
      <c r="L1728">
        <v>52.212288999999998</v>
      </c>
      <c r="M1728">
        <v>-1.660452</v>
      </c>
      <c r="N1728" t="s">
        <v>31</v>
      </c>
      <c r="O1728">
        <v>493</v>
      </c>
      <c r="P1728">
        <v>14.4</v>
      </c>
      <c r="Q1728">
        <v>5</v>
      </c>
      <c r="R1728" s="107" t="str">
        <f>IF(AllData[[#This Row],[Nitrate (PPM)]]&gt;2, "Very high", IF(AllData[[#This Row],[Nitrate (PPM)]]&gt;1, "High", IF(AllData[[#This Row],[Nitrate (PPM)]]&gt;0.5, "Some evidence", IF(AllData[[#This Row],[Nitrate (PPM)]]&gt;=0, "No evidence"))))</f>
        <v>Very high</v>
      </c>
      <c r="S1728" s="4">
        <v>0.35</v>
      </c>
      <c r="T1728" s="7" t="str">
        <f>IF(AllData[[#This Row],[Phosphate (PPM)]]&gt;0.5, "Very high", IF(AllData[[#This Row],[Phosphate (PPM)]]&gt;0.1, "High", IF(AllData[[#This Row],[Phosphate (PPM)]]&gt;0.05, "Some evidence", IF(AllData[[#This Row],[Phosphate (PPM)]]&lt;=0.05, "No Evidence", ""))))</f>
        <v>High</v>
      </c>
      <c r="U1728">
        <v>1.5</v>
      </c>
      <c r="V1728" t="s">
        <v>1009</v>
      </c>
    </row>
    <row r="1729" spans="1:22" x14ac:dyDescent="0.35">
      <c r="A1729" t="s">
        <v>1007</v>
      </c>
      <c r="B1729" s="143">
        <v>45386</v>
      </c>
      <c r="C1729" s="2" t="str" cm="1">
        <f t="array" ref="C17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29">
        <f>YEAR(AllData[[#This Row],[Date]])</f>
        <v>2024</v>
      </c>
      <c r="E1729" s="1">
        <v>0.41666666666666669</v>
      </c>
      <c r="F1729" t="str">
        <f>IF(AND(AllData[[#This Row],[Time]]&lt;0.5, AllData[[#This Row],[Time]]&gt;0.17)=TRUE, "Morning", IF(AND(AllData[[#This Row],[Time]]&lt;0.75, AllData[[#This Row],[Time]]&gt;=0.5)=TRUE, "Afternoon", IF(AND(AllData[[#This Row],[Time]]&lt;1, AllData[[#This Row],[Time]]&gt;=0.75)=TRUE, "Evening", "Night")))</f>
        <v>Morning</v>
      </c>
      <c r="G1729" t="str">
        <f>_xlfn.XLOOKUP(AllData[[#This Row],[Location Name]], Locations[Location Name],Locations[Group As])</f>
        <v>Swilgate</v>
      </c>
      <c r="H1729" t="e" vm="4">
        <f>_xlfn.XLOOKUP(AllData[[#This Row],[Site Name]],LocationsKey[Site Name],LocationsKey[District])</f>
        <v>#VALUE!</v>
      </c>
      <c r="I1729" t="e" vm="4">
        <f>_xlfn.XLOOKUP(AllData[[#This Row],[Site Name]],LocationsKey[Site Name],LocationsKey[Town])</f>
        <v>#VALUE!</v>
      </c>
      <c r="J1729" t="str">
        <f>_xlfn.XLOOKUP(AllData[[#This Row],[Site Name]],LocationsKey[Site Name], LocationsKey[Waterway])</f>
        <v>Swilgate</v>
      </c>
      <c r="K1729" t="s">
        <v>85</v>
      </c>
      <c r="N1729" t="s">
        <v>25</v>
      </c>
      <c r="O1729">
        <v>416</v>
      </c>
      <c r="P1729">
        <v>11.1</v>
      </c>
      <c r="Q1729">
        <v>2</v>
      </c>
      <c r="R1729" s="107" t="str">
        <f>IF(AllData[[#This Row],[Nitrate (PPM)]]&gt;2, "Very high", IF(AllData[[#This Row],[Nitrate (PPM)]]&gt;1, "High", IF(AllData[[#This Row],[Nitrate (PPM)]]&gt;0.5, "Some evidence", IF(AllData[[#This Row],[Nitrate (PPM)]]&gt;=0, "No evidence"))))</f>
        <v>High</v>
      </c>
      <c r="S1729" s="4">
        <v>0.2</v>
      </c>
      <c r="T1729" s="7" t="str">
        <f>IF(AllData[[#This Row],[Phosphate (PPM)]]&gt;0.5, "Very high", IF(AllData[[#This Row],[Phosphate (PPM)]]&gt;0.1, "High", IF(AllData[[#This Row],[Phosphate (PPM)]]&gt;0.05, "Some evidence", IF(AllData[[#This Row],[Phosphate (PPM)]]&lt;=0.05, "No Evidence", ""))))</f>
        <v>High</v>
      </c>
      <c r="U1729">
        <v>1</v>
      </c>
    </row>
    <row r="1730" spans="1:22" x14ac:dyDescent="0.35">
      <c r="A1730" t="s">
        <v>1012</v>
      </c>
      <c r="B1730" s="143">
        <v>45386</v>
      </c>
      <c r="C1730" s="2" t="str" cm="1">
        <f t="array" ref="C17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0">
        <f>YEAR(AllData[[#This Row],[Date]])</f>
        <v>2024</v>
      </c>
      <c r="E1730" s="1">
        <v>0.47916666666666669</v>
      </c>
      <c r="F1730" t="str">
        <f>IF(AND(AllData[[#This Row],[Time]]&lt;0.5, AllData[[#This Row],[Time]]&gt;0.17)=TRUE, "Morning", IF(AND(AllData[[#This Row],[Time]]&lt;0.75, AllData[[#This Row],[Time]]&gt;=0.5)=TRUE, "Afternoon", IF(AND(AllData[[#This Row],[Time]]&lt;1, AllData[[#This Row],[Time]]&gt;=0.75)=TRUE, "Evening", "Night")))</f>
        <v>Morning</v>
      </c>
      <c r="G1730" t="str">
        <f>_xlfn.XLOOKUP(AllData[[#This Row],[Location Name]], Locations[Location Name],Locations[Group As])</f>
        <v>Stour Willington</v>
      </c>
      <c r="H1730" t="e" vm="1">
        <f>_xlfn.XLOOKUP(AllData[[#This Row],[Site Name]],LocationsKey[Site Name],LocationsKey[District])</f>
        <v>#VALUE!</v>
      </c>
      <c r="I1730" t="str">
        <f>_xlfn.XLOOKUP(AllData[[#This Row],[Site Name]],LocationsKey[Site Name],LocationsKey[Town])</f>
        <v>Willington</v>
      </c>
      <c r="J1730" t="str">
        <f>_xlfn.XLOOKUP(AllData[[#This Row],[Site Name]],LocationsKey[Site Name], LocationsKey[Waterway])</f>
        <v>Stour</v>
      </c>
      <c r="K1730" t="s">
        <v>521</v>
      </c>
      <c r="L1730">
        <v>52.053564999999999</v>
      </c>
      <c r="M1730">
        <v>-1.620147</v>
      </c>
      <c r="N1730" t="s">
        <v>25</v>
      </c>
      <c r="O1730">
        <v>325</v>
      </c>
      <c r="P1730">
        <v>12.9</v>
      </c>
      <c r="Q1730">
        <v>0.5</v>
      </c>
      <c r="R1730" s="107" t="str">
        <f>IF(AllData[[#This Row],[Nitrate (PPM)]]&gt;2, "Very high", IF(AllData[[#This Row],[Nitrate (PPM)]]&gt;1, "High", IF(AllData[[#This Row],[Nitrate (PPM)]]&gt;0.5, "Some evidence", IF(AllData[[#This Row],[Nitrate (PPM)]]&gt;=0, "No evidence"))))</f>
        <v>No evidence</v>
      </c>
      <c r="S1730" s="4">
        <v>0.06</v>
      </c>
      <c r="T1730" s="7" t="str">
        <f>IF(AllData[[#This Row],[Phosphate (PPM)]]&gt;0.5, "Very high", IF(AllData[[#This Row],[Phosphate (PPM)]]&gt;0.1, "High", IF(AllData[[#This Row],[Phosphate (PPM)]]&gt;0.05, "Some evidence", IF(AllData[[#This Row],[Phosphate (PPM)]]&lt;=0.05, "No Evidence", ""))))</f>
        <v>Some evidence</v>
      </c>
      <c r="U1730">
        <v>1.5</v>
      </c>
      <c r="V1730" t="s">
        <v>1013</v>
      </c>
    </row>
    <row r="1731" spans="1:22" x14ac:dyDescent="0.35">
      <c r="A1731" t="s">
        <v>1003</v>
      </c>
      <c r="B1731" s="143">
        <v>45385</v>
      </c>
      <c r="C1731" s="2" t="str" cm="1">
        <f t="array" ref="C17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1">
        <f>YEAR(AllData[[#This Row],[Date]])</f>
        <v>2024</v>
      </c>
      <c r="E1731" s="1">
        <v>0.625</v>
      </c>
      <c r="F1731" t="str">
        <f>IF(AND(AllData[[#This Row],[Time]]&lt;0.5, AllData[[#This Row],[Time]]&gt;0.17)=TRUE, "Morning", IF(AND(AllData[[#This Row],[Time]]&lt;0.75, AllData[[#This Row],[Time]]&gt;=0.5)=TRUE, "Afternoon", IF(AND(AllData[[#This Row],[Time]]&lt;1, AllData[[#This Row],[Time]]&gt;=0.75)=TRUE, "Evening", "Night")))</f>
        <v>Afternoon</v>
      </c>
      <c r="G1731" t="str">
        <f>_xlfn.XLOOKUP(AllData[[#This Row],[Location Name]], Locations[Location Name],Locations[Group As])</f>
        <v>Sherbourne Brook 1</v>
      </c>
      <c r="H1731" t="e" vm="1">
        <f>_xlfn.XLOOKUP(AllData[[#This Row],[Site Name]],LocationsKey[Site Name],LocationsKey[District])</f>
        <v>#VALUE!</v>
      </c>
      <c r="I1731" t="e" vm="23">
        <f>_xlfn.XLOOKUP(AllData[[#This Row],[Site Name]],LocationsKey[Site Name],LocationsKey[Town])</f>
        <v>#VALUE!</v>
      </c>
      <c r="J1731" t="str">
        <f>_xlfn.XLOOKUP(AllData[[#This Row],[Site Name]],LocationsKey[Site Name], LocationsKey[Waterway])</f>
        <v>Sherbourne Brook</v>
      </c>
      <c r="K1731" t="s">
        <v>541</v>
      </c>
      <c r="L1731">
        <v>52.252499999999998</v>
      </c>
      <c r="M1731">
        <v>-1.6685000000000001</v>
      </c>
      <c r="N1731" t="s">
        <v>25</v>
      </c>
      <c r="O1731">
        <v>685</v>
      </c>
      <c r="P1731">
        <v>11.4</v>
      </c>
      <c r="Q1731">
        <v>5</v>
      </c>
      <c r="R1731" s="107" t="str">
        <f>IF(AllData[[#This Row],[Nitrate (PPM)]]&gt;2, "Very high", IF(AllData[[#This Row],[Nitrate (PPM)]]&gt;1, "High", IF(AllData[[#This Row],[Nitrate (PPM)]]&gt;0.5, "Some evidence", IF(AllData[[#This Row],[Nitrate (PPM)]]&gt;=0, "No evidence"))))</f>
        <v>Very high</v>
      </c>
      <c r="S1731" s="4">
        <v>0.8</v>
      </c>
      <c r="T1731" s="7" t="str">
        <f>IF(AllData[[#This Row],[Phosphate (PPM)]]&gt;0.5, "Very high", IF(AllData[[#This Row],[Phosphate (PPM)]]&gt;0.1, "High", IF(AllData[[#This Row],[Phosphate (PPM)]]&gt;0.05, "Some evidence", IF(AllData[[#This Row],[Phosphate (PPM)]]&lt;=0.05, "No Evidence", ""))))</f>
        <v>Very high</v>
      </c>
      <c r="U1731">
        <v>0.5</v>
      </c>
      <c r="V1731" t="s">
        <v>1004</v>
      </c>
    </row>
    <row r="1732" spans="1:22" x14ac:dyDescent="0.35">
      <c r="A1732" t="s">
        <v>1006</v>
      </c>
      <c r="B1732" s="143">
        <v>45385</v>
      </c>
      <c r="C1732" s="2" t="str" cm="1">
        <f t="array" ref="C17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2">
        <f>YEAR(AllData[[#This Row],[Date]])</f>
        <v>2024</v>
      </c>
      <c r="E1732" s="1">
        <v>0.63888888888888884</v>
      </c>
      <c r="F1732" t="str">
        <f>IF(AND(AllData[[#This Row],[Time]]&lt;0.5, AllData[[#This Row],[Time]]&gt;0.17)=TRUE, "Morning", IF(AND(AllData[[#This Row],[Time]]&lt;0.75, AllData[[#This Row],[Time]]&gt;=0.5)=TRUE, "Afternoon", IF(AND(AllData[[#This Row],[Time]]&lt;1, AllData[[#This Row],[Time]]&gt;=0.75)=TRUE, "Evening", "Night")))</f>
        <v>Afternoon</v>
      </c>
      <c r="G1732" t="str">
        <f>_xlfn.XLOOKUP(AllData[[#This Row],[Location Name]], Locations[Location Name],Locations[Group As])</f>
        <v>Bell Brook 1</v>
      </c>
      <c r="H1732" t="e" vm="1">
        <f>_xlfn.XLOOKUP(AllData[[#This Row],[Site Name]],LocationsKey[Site Name],LocationsKey[District])</f>
        <v>#VALUE!</v>
      </c>
      <c r="I1732" t="e" vm="19">
        <f>_xlfn.XLOOKUP(AllData[[#This Row],[Site Name]],LocationsKey[Site Name],LocationsKey[Town])</f>
        <v>#VALUE!</v>
      </c>
      <c r="J1732" t="str">
        <f>_xlfn.XLOOKUP(AllData[[#This Row],[Site Name]],LocationsKey[Site Name], LocationsKey[Waterway])</f>
        <v>Bell Brook</v>
      </c>
      <c r="K1732" t="s">
        <v>538</v>
      </c>
      <c r="L1732">
        <v>52.244900000000001</v>
      </c>
      <c r="M1732">
        <v>-1.6617</v>
      </c>
      <c r="N1732" t="s">
        <v>25</v>
      </c>
      <c r="O1732">
        <v>531</v>
      </c>
      <c r="P1732">
        <v>10.7</v>
      </c>
      <c r="Q1732">
        <v>3</v>
      </c>
      <c r="R1732" s="107" t="str">
        <f>IF(AllData[[#This Row],[Nitrate (PPM)]]&gt;2, "Very high", IF(AllData[[#This Row],[Nitrate (PPM)]]&gt;1, "High", IF(AllData[[#This Row],[Nitrate (PPM)]]&gt;0.5, "Some evidence", IF(AllData[[#This Row],[Nitrate (PPM)]]&gt;=0, "No evidence"))))</f>
        <v>Very high</v>
      </c>
      <c r="S1732" s="4">
        <v>0.28999999999999998</v>
      </c>
      <c r="T1732" s="7" t="str">
        <f>IF(AllData[[#This Row],[Phosphate (PPM)]]&gt;0.5, "Very high", IF(AllData[[#This Row],[Phosphate (PPM)]]&gt;0.1, "High", IF(AllData[[#This Row],[Phosphate (PPM)]]&gt;0.05, "Some evidence", IF(AllData[[#This Row],[Phosphate (PPM)]]&lt;=0.05, "No Evidence", ""))))</f>
        <v>High</v>
      </c>
      <c r="U1732">
        <v>0.3</v>
      </c>
      <c r="V1732" t="s">
        <v>798</v>
      </c>
    </row>
    <row r="1733" spans="1:22" x14ac:dyDescent="0.35">
      <c r="A1733" t="s">
        <v>1005</v>
      </c>
      <c r="B1733" s="143">
        <v>45385</v>
      </c>
      <c r="C1733" s="2" t="str" cm="1">
        <f t="array" ref="C17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3">
        <f>YEAR(AllData[[#This Row],[Date]])</f>
        <v>2024</v>
      </c>
      <c r="E1733" s="1">
        <v>0.63541666666666663</v>
      </c>
      <c r="F1733" t="str">
        <f>IF(AND(AllData[[#This Row],[Time]]&lt;0.5, AllData[[#This Row],[Time]]&gt;0.17)=TRUE, "Morning", IF(AND(AllData[[#This Row],[Time]]&lt;0.75, AllData[[#This Row],[Time]]&gt;=0.5)=TRUE, "Afternoon", IF(AND(AllData[[#This Row],[Time]]&lt;1, AllData[[#This Row],[Time]]&gt;=0.75)=TRUE, "Evening", "Night")))</f>
        <v>Afternoon</v>
      </c>
      <c r="G1733" t="str">
        <f>_xlfn.XLOOKUP(AllData[[#This Row],[Location Name]], Locations[Location Name],Locations[Group As])</f>
        <v>Stour Newbold Mill</v>
      </c>
      <c r="H1733" t="e" vm="1">
        <f>_xlfn.XLOOKUP(AllData[[#This Row],[Site Name]],LocationsKey[Site Name],LocationsKey[District])</f>
        <v>#VALUE!</v>
      </c>
      <c r="I1733" t="e" vm="27">
        <f>_xlfn.XLOOKUP(AllData[[#This Row],[Site Name]],LocationsKey[Site Name],LocationsKey[Town])</f>
        <v>#VALUE!</v>
      </c>
      <c r="J1733" t="str">
        <f>_xlfn.XLOOKUP(AllData[[#This Row],[Site Name]],LocationsKey[Site Name], LocationsKey[Waterway])</f>
        <v>Stour</v>
      </c>
      <c r="K1733" t="s">
        <v>141</v>
      </c>
      <c r="N1733" t="s">
        <v>31</v>
      </c>
      <c r="O1733">
        <v>571</v>
      </c>
      <c r="P1733">
        <v>14.1</v>
      </c>
      <c r="Q1733">
        <v>2</v>
      </c>
      <c r="R1733" s="107" t="str">
        <f>IF(AllData[[#This Row],[Nitrate (PPM)]]&gt;2, "Very high", IF(AllData[[#This Row],[Nitrate (PPM)]]&gt;1, "High", IF(AllData[[#This Row],[Nitrate (PPM)]]&gt;0.5, "Some evidence", IF(AllData[[#This Row],[Nitrate (PPM)]]&gt;=0, "No evidence"))))</f>
        <v>High</v>
      </c>
      <c r="S1733" s="4">
        <v>0.23</v>
      </c>
      <c r="T1733" s="7" t="str">
        <f>IF(AllData[[#This Row],[Phosphate (PPM)]]&gt;0.5, "Very high", IF(AllData[[#This Row],[Phosphate (PPM)]]&gt;0.1, "High", IF(AllData[[#This Row],[Phosphate (PPM)]]&gt;0.05, "Some evidence", IF(AllData[[#This Row],[Phosphate (PPM)]]&lt;=0.05, "No Evidence", ""))))</f>
        <v>High</v>
      </c>
      <c r="U1733">
        <v>3</v>
      </c>
      <c r="V1733" t="s">
        <v>908</v>
      </c>
    </row>
    <row r="1734" spans="1:22" x14ac:dyDescent="0.35">
      <c r="A1734" t="s">
        <v>1002</v>
      </c>
      <c r="B1734" s="143">
        <v>45384</v>
      </c>
      <c r="C1734" s="2" t="str" cm="1">
        <f t="array" ref="C17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4">
        <f>YEAR(AllData[[#This Row],[Date]])</f>
        <v>2024</v>
      </c>
      <c r="E1734" s="1">
        <v>0.41597222222222224</v>
      </c>
      <c r="F1734" t="str">
        <f>IF(AND(AllData[[#This Row],[Time]]&lt;0.5, AllData[[#This Row],[Time]]&gt;0.17)=TRUE, "Morning", IF(AND(AllData[[#This Row],[Time]]&lt;0.75, AllData[[#This Row],[Time]]&gt;=0.5)=TRUE, "Afternoon", IF(AND(AllData[[#This Row],[Time]]&lt;1, AllData[[#This Row],[Time]]&gt;=0.75)=TRUE, "Evening", "Night")))</f>
        <v>Morning</v>
      </c>
      <c r="G1734" t="str">
        <f>_xlfn.XLOOKUP(AllData[[#This Row],[Location Name]], Locations[Location Name],Locations[Group As])</f>
        <v>Stour Stretton-on-Fosse Sewage Works</v>
      </c>
      <c r="H1734" t="e" vm="1">
        <f>_xlfn.XLOOKUP(AllData[[#This Row],[Site Name]],LocationsKey[Site Name],LocationsKey[District])</f>
        <v>#VALUE!</v>
      </c>
      <c r="I1734" t="e" vm="30">
        <f>_xlfn.XLOOKUP(AllData[[#This Row],[Site Name]],LocationsKey[Site Name],LocationsKey[Town])</f>
        <v>#VALUE!</v>
      </c>
      <c r="J1734" t="str">
        <f>_xlfn.XLOOKUP(AllData[[#This Row],[Site Name]],LocationsKey[Site Name], LocationsKey[Waterway])</f>
        <v>Stour</v>
      </c>
      <c r="K1734" t="s">
        <v>337</v>
      </c>
      <c r="L1734">
        <v>52.045686000000003</v>
      </c>
      <c r="M1734">
        <v>-1.6719360000000001</v>
      </c>
      <c r="N1734" t="s">
        <v>31</v>
      </c>
      <c r="O1734">
        <v>452</v>
      </c>
      <c r="P1734">
        <v>9.6999999999999993</v>
      </c>
      <c r="Q1734">
        <v>0.5</v>
      </c>
      <c r="R1734" s="107" t="str">
        <f>IF(AllData[[#This Row],[Nitrate (PPM)]]&gt;2, "Very high", IF(AllData[[#This Row],[Nitrate (PPM)]]&gt;1, "High", IF(AllData[[#This Row],[Nitrate (PPM)]]&gt;0.5, "Some evidence", IF(AllData[[#This Row],[Nitrate (PPM)]]&gt;=0, "No evidence"))))</f>
        <v>No evidence</v>
      </c>
      <c r="S1734" s="4">
        <v>0.7</v>
      </c>
      <c r="T1734" s="7" t="str">
        <f>IF(AllData[[#This Row],[Phosphate (PPM)]]&gt;0.5, "Very high", IF(AllData[[#This Row],[Phosphate (PPM)]]&gt;0.1, "High", IF(AllData[[#This Row],[Phosphate (PPM)]]&gt;0.05, "Some evidence", IF(AllData[[#This Row],[Phosphate (PPM)]]&lt;=0.05, "No Evidence", ""))))</f>
        <v>Very high</v>
      </c>
      <c r="U1734">
        <v>0.35</v>
      </c>
    </row>
    <row r="1735" spans="1:22" x14ac:dyDescent="0.35">
      <c r="A1735" t="s">
        <v>1001</v>
      </c>
      <c r="B1735" s="143">
        <v>45384</v>
      </c>
      <c r="C1735" s="2" t="str" cm="1">
        <f t="array" ref="C17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5">
        <f>YEAR(AllData[[#This Row],[Date]])</f>
        <v>2024</v>
      </c>
      <c r="E1735" s="1">
        <v>0.40277777777777779</v>
      </c>
      <c r="F1735" t="str">
        <f>IF(AND(AllData[[#This Row],[Time]]&lt;0.5, AllData[[#This Row],[Time]]&gt;0.17)=TRUE, "Morning", IF(AND(AllData[[#This Row],[Time]]&lt;0.75, AllData[[#This Row],[Time]]&gt;=0.5)=TRUE, "Afternoon", IF(AND(AllData[[#This Row],[Time]]&lt;1, AllData[[#This Row],[Time]]&gt;=0.75)=TRUE, "Evening", "Night")))</f>
        <v>Morning</v>
      </c>
      <c r="G1735" t="str">
        <f>_xlfn.XLOOKUP(AllData[[#This Row],[Location Name]], Locations[Location Name],Locations[Group As])</f>
        <v>Stour Stretton-on-Fosse Village</v>
      </c>
      <c r="H1735" t="e" vm="1">
        <f>_xlfn.XLOOKUP(AllData[[#This Row],[Site Name]],LocationsKey[Site Name],LocationsKey[District])</f>
        <v>#VALUE!</v>
      </c>
      <c r="I1735" t="e" vm="30">
        <f>_xlfn.XLOOKUP(AllData[[#This Row],[Site Name]],LocationsKey[Site Name],LocationsKey[Town])</f>
        <v>#VALUE!</v>
      </c>
      <c r="J1735" t="str">
        <f>_xlfn.XLOOKUP(AllData[[#This Row],[Site Name]],LocationsKey[Site Name], LocationsKey[Waterway])</f>
        <v>Stour</v>
      </c>
      <c r="K1735" t="s">
        <v>548</v>
      </c>
      <c r="L1735">
        <v>52.046517000000001</v>
      </c>
      <c r="M1735">
        <v>-1.6733910000000001</v>
      </c>
      <c r="N1735" t="s">
        <v>68</v>
      </c>
      <c r="O1735">
        <v>418</v>
      </c>
      <c r="P1735">
        <v>9.6</v>
      </c>
      <c r="Q1735">
        <v>0.5</v>
      </c>
      <c r="R1735" s="107" t="str">
        <f>IF(AllData[[#This Row],[Nitrate (PPM)]]&gt;2, "Very high", IF(AllData[[#This Row],[Nitrate (PPM)]]&gt;1, "High", IF(AllData[[#This Row],[Nitrate (PPM)]]&gt;0.5, "Some evidence", IF(AllData[[#This Row],[Nitrate (PPM)]]&gt;=0, "No evidence"))))</f>
        <v>No evidence</v>
      </c>
      <c r="S1735" s="4">
        <v>0.42</v>
      </c>
      <c r="T1735" s="7" t="str">
        <f>IF(AllData[[#This Row],[Phosphate (PPM)]]&gt;0.5, "Very high", IF(AllData[[#This Row],[Phosphate (PPM)]]&gt;0.1, "High", IF(AllData[[#This Row],[Phosphate (PPM)]]&gt;0.05, "Some evidence", IF(AllData[[#This Row],[Phosphate (PPM)]]&lt;=0.05, "No Evidence", ""))))</f>
        <v>High</v>
      </c>
      <c r="U1735">
        <v>0.3</v>
      </c>
    </row>
    <row r="1736" spans="1:22" x14ac:dyDescent="0.35">
      <c r="A1736" t="s">
        <v>999</v>
      </c>
      <c r="B1736" s="143">
        <v>45383</v>
      </c>
      <c r="C1736" s="2" t="str" cm="1">
        <f t="array" ref="C17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6">
        <f>YEAR(AllData[[#This Row],[Date]])</f>
        <v>2024</v>
      </c>
      <c r="E1736" s="1"/>
      <c r="F1736" t="str">
        <f>IF(AND(AllData[[#This Row],[Time]]&lt;0.5, AllData[[#This Row],[Time]]&gt;0.17)=TRUE, "Morning", IF(AND(AllData[[#This Row],[Time]]&lt;0.75, AllData[[#This Row],[Time]]&gt;=0.5)=TRUE, "Afternoon", IF(AND(AllData[[#This Row],[Time]]&lt;1, AllData[[#This Row],[Time]]&gt;=0.75)=TRUE, "Evening", "Night")))</f>
        <v>Night</v>
      </c>
      <c r="G1736" t="str">
        <f>_xlfn.XLOOKUP(AllData[[#This Row],[Location Name]], Locations[Location Name],Locations[Group As])</f>
        <v>Site 3  :  Severn Trent Water processing plant outflow</v>
      </c>
      <c r="H1736" t="e" vm="1">
        <f>_xlfn.XLOOKUP(AllData[[#This Row],[Site Name]],LocationsKey[Site Name],LocationsKey[District])</f>
        <v>#VALUE!</v>
      </c>
      <c r="I1736" t="e" vm="14">
        <f>_xlfn.XLOOKUP(AllData[[#This Row],[Site Name]],LocationsKey[Site Name],LocationsKey[Town])</f>
        <v>#VALUE!</v>
      </c>
      <c r="J1736" t="str">
        <f>_xlfn.XLOOKUP(AllData[[#This Row],[Site Name]],LocationsKey[Site Name], LocationsKey[Waterway])</f>
        <v>Fosseway Brook</v>
      </c>
      <c r="K1736" t="s">
        <v>676</v>
      </c>
      <c r="N1736" t="s">
        <v>31</v>
      </c>
      <c r="O1736">
        <v>718</v>
      </c>
      <c r="P1736">
        <v>13.9</v>
      </c>
      <c r="Q1736">
        <v>7.5</v>
      </c>
      <c r="R1736" s="107" t="str">
        <f>IF(AllData[[#This Row],[Nitrate (PPM)]]&gt;2, "Very high", IF(AllData[[#This Row],[Nitrate (PPM)]]&gt;1, "High", IF(AllData[[#This Row],[Nitrate (PPM)]]&gt;0.5, "Some evidence", IF(AllData[[#This Row],[Nitrate (PPM)]]&gt;=0, "No evidence"))))</f>
        <v>Very high</v>
      </c>
      <c r="S1736" s="4">
        <v>0.87</v>
      </c>
      <c r="T1736" s="7" t="str">
        <f>IF(AllData[[#This Row],[Phosphate (PPM)]]&gt;0.5, "Very high", IF(AllData[[#This Row],[Phosphate (PPM)]]&gt;0.1, "High", IF(AllData[[#This Row],[Phosphate (PPM)]]&gt;0.05, "Some evidence", IF(AllData[[#This Row],[Phosphate (PPM)]]&lt;=0.05, "No Evidence", ""))))</f>
        <v>Very high</v>
      </c>
    </row>
    <row r="1737" spans="1:22" x14ac:dyDescent="0.35">
      <c r="A1737" t="s">
        <v>998</v>
      </c>
      <c r="B1737" s="143">
        <v>45383</v>
      </c>
      <c r="C1737" s="2" t="str" cm="1">
        <f t="array" ref="C17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7">
        <f>YEAR(AllData[[#This Row],[Date]])</f>
        <v>2024</v>
      </c>
      <c r="F1737" t="str">
        <f>IF(AND(AllData[[#This Row],[Time]]&lt;0.5, AllData[[#This Row],[Time]]&gt;0.17)=TRUE, "Morning", IF(AND(AllData[[#This Row],[Time]]&lt;0.75, AllData[[#This Row],[Time]]&gt;=0.5)=TRUE, "Afternoon", IF(AND(AllData[[#This Row],[Time]]&lt;1, AllData[[#This Row],[Time]]&gt;=0.75)=TRUE, "Evening", "Night")))</f>
        <v>Night</v>
      </c>
      <c r="G1737" t="str">
        <f>_xlfn.XLOOKUP(AllData[[#This Row],[Location Name]], Locations[Location Name],Locations[Group As])</f>
        <v>Site 3  :  Severn Trent Water processing plant outflow</v>
      </c>
      <c r="H1737" t="e" vm="1">
        <f>_xlfn.XLOOKUP(AllData[[#This Row],[Site Name]],LocationsKey[Site Name],LocationsKey[District])</f>
        <v>#VALUE!</v>
      </c>
      <c r="I1737" t="e" vm="14">
        <f>_xlfn.XLOOKUP(AllData[[#This Row],[Site Name]],LocationsKey[Site Name],LocationsKey[Town])</f>
        <v>#VALUE!</v>
      </c>
      <c r="J1737" t="str">
        <f>_xlfn.XLOOKUP(AllData[[#This Row],[Site Name]],LocationsKey[Site Name], LocationsKey[Waterway])</f>
        <v>Fosseway Brook</v>
      </c>
      <c r="K1737" t="s">
        <v>673</v>
      </c>
      <c r="N1737" t="s">
        <v>31</v>
      </c>
      <c r="O1737">
        <v>718</v>
      </c>
      <c r="P1737">
        <v>13.9</v>
      </c>
      <c r="Q1737">
        <v>7.5</v>
      </c>
      <c r="R1737" s="107" t="str">
        <f>IF(AllData[[#This Row],[Nitrate (PPM)]]&gt;2, "Very high", IF(AllData[[#This Row],[Nitrate (PPM)]]&gt;1, "High", IF(AllData[[#This Row],[Nitrate (PPM)]]&gt;0.5, "Some evidence", IF(AllData[[#This Row],[Nitrate (PPM)]]&gt;=0, "No evidence"))))</f>
        <v>Very high</v>
      </c>
      <c r="S1737" s="4">
        <v>0.87</v>
      </c>
      <c r="T1737" s="7" t="str">
        <f>IF(AllData[[#This Row],[Phosphate (PPM)]]&gt;0.5, "Very high", IF(AllData[[#This Row],[Phosphate (PPM)]]&gt;0.1, "High", IF(AllData[[#This Row],[Phosphate (PPM)]]&gt;0.05, "Some evidence", IF(AllData[[#This Row],[Phosphate (PPM)]]&lt;=0.05, "No Evidence", ""))))</f>
        <v>Very high</v>
      </c>
      <c r="U1737">
        <v>0</v>
      </c>
      <c r="V1737" t="s">
        <v>840</v>
      </c>
    </row>
    <row r="1738" spans="1:22" x14ac:dyDescent="0.35">
      <c r="A1738" t="s">
        <v>993</v>
      </c>
      <c r="B1738" s="143">
        <v>45383</v>
      </c>
      <c r="C1738" s="2" t="str" cm="1">
        <f t="array" ref="C17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8">
        <f>YEAR(AllData[[#This Row],[Date]])</f>
        <v>2024</v>
      </c>
      <c r="E1738" s="1"/>
      <c r="F1738" t="str">
        <f>IF(AND(AllData[[#This Row],[Time]]&lt;0.5, AllData[[#This Row],[Time]]&gt;0.17)=TRUE, "Morning", IF(AND(AllData[[#This Row],[Time]]&lt;0.75, AllData[[#This Row],[Time]]&gt;=0.5)=TRUE, "Afternoon", IF(AND(AllData[[#This Row],[Time]]&lt;1, AllData[[#This Row],[Time]]&gt;=0.75)=TRUE, "Evening", "Night")))</f>
        <v>Night</v>
      </c>
      <c r="G1738" t="str">
        <f>_xlfn.XLOOKUP(AllData[[#This Row],[Location Name]], Locations[Location Name],Locations[Group As])</f>
        <v>Site 1  :  Middle Street</v>
      </c>
      <c r="H1738" t="e" vm="1">
        <f>_xlfn.XLOOKUP(AllData[[#This Row],[Site Name]],LocationsKey[Site Name],LocationsKey[District])</f>
        <v>#VALUE!</v>
      </c>
      <c r="I1738" t="e" vm="14">
        <f>_xlfn.XLOOKUP(AllData[[#This Row],[Site Name]],LocationsKey[Site Name],LocationsKey[Town])</f>
        <v>#VALUE!</v>
      </c>
      <c r="J1738" t="str">
        <f>_xlfn.XLOOKUP(AllData[[#This Row],[Site Name]],LocationsKey[Site Name], LocationsKey[Waterway])</f>
        <v>Fosseway Brook</v>
      </c>
      <c r="K1738" t="s">
        <v>670</v>
      </c>
      <c r="N1738" t="s">
        <v>68</v>
      </c>
      <c r="O1738">
        <v>525</v>
      </c>
      <c r="P1738">
        <v>14.2</v>
      </c>
      <c r="Q1738">
        <v>3.5</v>
      </c>
      <c r="R1738" s="107" t="str">
        <f>IF(AllData[[#This Row],[Nitrate (PPM)]]&gt;2, "Very high", IF(AllData[[#This Row],[Nitrate (PPM)]]&gt;1, "High", IF(AllData[[#This Row],[Nitrate (PPM)]]&gt;0.5, "Some evidence", IF(AllData[[#This Row],[Nitrate (PPM)]]&gt;=0, "No evidence"))))</f>
        <v>Very high</v>
      </c>
      <c r="S1738" s="4">
        <v>0.24</v>
      </c>
      <c r="T1738" s="7" t="str">
        <f>IF(AllData[[#This Row],[Phosphate (PPM)]]&gt;0.5, "Very high", IF(AllData[[#This Row],[Phosphate (PPM)]]&gt;0.1, "High", IF(AllData[[#This Row],[Phosphate (PPM)]]&gt;0.05, "Some evidence", IF(AllData[[#This Row],[Phosphate (PPM)]]&lt;=0.05, "No Evidence", ""))))</f>
        <v>High</v>
      </c>
    </row>
    <row r="1739" spans="1:22" x14ac:dyDescent="0.35">
      <c r="A1739" t="s">
        <v>992</v>
      </c>
      <c r="B1739" s="143">
        <v>45383</v>
      </c>
      <c r="C1739" s="2" t="str" cm="1">
        <f t="array" ref="C17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39">
        <f>YEAR(AllData[[#This Row],[Date]])</f>
        <v>2024</v>
      </c>
      <c r="F1739" t="str">
        <f>IF(AND(AllData[[#This Row],[Time]]&lt;0.5, AllData[[#This Row],[Time]]&gt;0.17)=TRUE, "Morning", IF(AND(AllData[[#This Row],[Time]]&lt;0.75, AllData[[#This Row],[Time]]&gt;=0.5)=TRUE, "Afternoon", IF(AND(AllData[[#This Row],[Time]]&lt;1, AllData[[#This Row],[Time]]&gt;=0.75)=TRUE, "Evening", "Night")))</f>
        <v>Night</v>
      </c>
      <c r="G1739" t="str">
        <f>_xlfn.XLOOKUP(AllData[[#This Row],[Location Name]], Locations[Location Name],Locations[Group As])</f>
        <v>Site 1  :  Middle Street</v>
      </c>
      <c r="H1739" t="e" vm="1">
        <f>_xlfn.XLOOKUP(AllData[[#This Row],[Site Name]],LocationsKey[Site Name],LocationsKey[District])</f>
        <v>#VALUE!</v>
      </c>
      <c r="I1739" t="e" vm="14">
        <f>_xlfn.XLOOKUP(AllData[[#This Row],[Site Name]],LocationsKey[Site Name],LocationsKey[Town])</f>
        <v>#VALUE!</v>
      </c>
      <c r="J1739" t="str">
        <f>_xlfn.XLOOKUP(AllData[[#This Row],[Site Name]],LocationsKey[Site Name], LocationsKey[Waterway])</f>
        <v>Fosseway Brook</v>
      </c>
      <c r="K1739" t="s">
        <v>667</v>
      </c>
      <c r="N1739" t="s">
        <v>68</v>
      </c>
      <c r="O1739">
        <v>525</v>
      </c>
      <c r="P1739">
        <v>14.2</v>
      </c>
      <c r="Q1739">
        <v>3.5</v>
      </c>
      <c r="R1739" s="107" t="str">
        <f>IF(AllData[[#This Row],[Nitrate (PPM)]]&gt;2, "Very high", IF(AllData[[#This Row],[Nitrate (PPM)]]&gt;1, "High", IF(AllData[[#This Row],[Nitrate (PPM)]]&gt;0.5, "Some evidence", IF(AllData[[#This Row],[Nitrate (PPM)]]&gt;=0, "No evidence"))))</f>
        <v>Very high</v>
      </c>
      <c r="S1739" s="4">
        <v>0.24</v>
      </c>
      <c r="T1739" s="7" t="str">
        <f>IF(AllData[[#This Row],[Phosphate (PPM)]]&gt;0.5, "Very high", IF(AllData[[#This Row],[Phosphate (PPM)]]&gt;0.1, "High", IF(AllData[[#This Row],[Phosphate (PPM)]]&gt;0.05, "Some evidence", IF(AllData[[#This Row],[Phosphate (PPM)]]&lt;=0.05, "No Evidence", ""))))</f>
        <v>High</v>
      </c>
      <c r="U1739">
        <v>0</v>
      </c>
      <c r="V1739" t="s">
        <v>835</v>
      </c>
    </row>
    <row r="1740" spans="1:22" x14ac:dyDescent="0.35">
      <c r="A1740" t="s">
        <v>1000</v>
      </c>
      <c r="B1740" s="143">
        <v>45383</v>
      </c>
      <c r="C1740" s="2" t="str" cm="1">
        <f t="array" ref="C17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0">
        <f>YEAR(AllData[[#This Row],[Date]])</f>
        <v>2024</v>
      </c>
      <c r="E1740" s="1">
        <v>0.4513888888888889</v>
      </c>
      <c r="F1740" t="str">
        <f>IF(AND(AllData[[#This Row],[Time]]&lt;0.5, AllData[[#This Row],[Time]]&gt;0.17)=TRUE, "Morning", IF(AND(AllData[[#This Row],[Time]]&lt;0.75, AllData[[#This Row],[Time]]&gt;=0.5)=TRUE, "Afternoon", IF(AND(AllData[[#This Row],[Time]]&lt;1, AllData[[#This Row],[Time]]&gt;=0.75)=TRUE, "Evening", "Night")))</f>
        <v>Morning</v>
      </c>
      <c r="G1740" t="str">
        <f>_xlfn.XLOOKUP(AllData[[#This Row],[Location Name]], Locations[Location Name],Locations[Group As])</f>
        <v>Site 1  :  Middle Street</v>
      </c>
      <c r="H1740" t="e" vm="1">
        <f>_xlfn.XLOOKUP(AllData[[#This Row],[Site Name]],LocationsKey[Site Name],LocationsKey[District])</f>
        <v>#VALUE!</v>
      </c>
      <c r="I1740" t="e" vm="14">
        <f>_xlfn.XLOOKUP(AllData[[#This Row],[Site Name]],LocationsKey[Site Name],LocationsKey[Town])</f>
        <v>#VALUE!</v>
      </c>
      <c r="J1740" t="str">
        <f>_xlfn.XLOOKUP(AllData[[#This Row],[Site Name]],LocationsKey[Site Name], LocationsKey[Waterway])</f>
        <v>Fosseway Brook</v>
      </c>
      <c r="K1740" t="s">
        <v>678</v>
      </c>
      <c r="L1740">
        <v>52.090085000000002</v>
      </c>
      <c r="M1740">
        <v>-1.692593</v>
      </c>
      <c r="N1740" t="s">
        <v>68</v>
      </c>
      <c r="O1740">
        <v>525</v>
      </c>
      <c r="P1740">
        <v>14.2</v>
      </c>
      <c r="Q1740">
        <v>3.5</v>
      </c>
      <c r="R1740" s="107" t="str">
        <f>IF(AllData[[#This Row],[Nitrate (PPM)]]&gt;2, "Very high", IF(AllData[[#This Row],[Nitrate (PPM)]]&gt;1, "High", IF(AllData[[#This Row],[Nitrate (PPM)]]&gt;0.5, "Some evidence", IF(AllData[[#This Row],[Nitrate (PPM)]]&gt;=0, "No evidence"))))</f>
        <v>Very high</v>
      </c>
      <c r="S1740">
        <v>0.24</v>
      </c>
      <c r="T1740" s="7" t="str">
        <f>IF(AllData[[#This Row],[Phosphate (PPM)]]&gt;0.5, "Very high", IF(AllData[[#This Row],[Phosphate (PPM)]]&gt;0.1, "High", IF(AllData[[#This Row],[Phosphate (PPM)]]&gt;0.05, "Some evidence", IF(AllData[[#This Row],[Phosphate (PPM)]]&lt;=0.05, "No Evidence", ""))))</f>
        <v>High</v>
      </c>
      <c r="U1740">
        <v>0.05</v>
      </c>
    </row>
    <row r="1741" spans="1:22" x14ac:dyDescent="0.35">
      <c r="A1741" t="s">
        <v>996</v>
      </c>
      <c r="B1741" s="143">
        <v>45383</v>
      </c>
      <c r="C1741" s="2" t="str" cm="1">
        <f t="array" ref="C17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1">
        <f>YEAR(AllData[[#This Row],[Date]])</f>
        <v>2024</v>
      </c>
      <c r="E1741" s="1"/>
      <c r="F1741" t="str">
        <f>IF(AND(AllData[[#This Row],[Time]]&lt;0.5, AllData[[#This Row],[Time]]&gt;0.17)=TRUE, "Morning", IF(AND(AllData[[#This Row],[Time]]&lt;0.75, AllData[[#This Row],[Time]]&gt;=0.5)=TRUE, "Afternoon", IF(AND(AllData[[#This Row],[Time]]&lt;1, AllData[[#This Row],[Time]]&gt;=0.75)=TRUE, "Evening", "Night")))</f>
        <v>Night</v>
      </c>
      <c r="G1741" t="str">
        <f>_xlfn.XLOOKUP(AllData[[#This Row],[Location Name]], Locations[Location Name],Locations[Group As])</f>
        <v>Site 2  :  Cross Leys culvert</v>
      </c>
      <c r="H1741" t="e" vm="1">
        <f>_xlfn.XLOOKUP(AllData[[#This Row],[Site Name]],LocationsKey[Site Name],LocationsKey[District])</f>
        <v>#VALUE!</v>
      </c>
      <c r="I1741" t="e" vm="14">
        <f>_xlfn.XLOOKUP(AllData[[#This Row],[Site Name]],LocationsKey[Site Name],LocationsKey[Town])</f>
        <v>#VALUE!</v>
      </c>
      <c r="J1741" t="str">
        <f>_xlfn.XLOOKUP(AllData[[#This Row],[Site Name]],LocationsKey[Site Name], LocationsKey[Waterway])</f>
        <v>Fosseway Brook</v>
      </c>
      <c r="K1741" t="s">
        <v>626</v>
      </c>
      <c r="N1741" t="s">
        <v>68</v>
      </c>
      <c r="O1741">
        <v>580</v>
      </c>
      <c r="P1741">
        <v>13.3</v>
      </c>
      <c r="Q1741">
        <v>2</v>
      </c>
      <c r="R1741" s="107" t="str">
        <f>IF(AllData[[#This Row],[Nitrate (PPM)]]&gt;2, "Very high", IF(AllData[[#This Row],[Nitrate (PPM)]]&gt;1, "High", IF(AllData[[#This Row],[Nitrate (PPM)]]&gt;0.5, "Some evidence", IF(AllData[[#This Row],[Nitrate (PPM)]]&gt;=0, "No evidence"))))</f>
        <v>High</v>
      </c>
      <c r="S1741" s="4">
        <v>0.25</v>
      </c>
      <c r="T1741" s="7" t="str">
        <f>IF(AllData[[#This Row],[Phosphate (PPM)]]&gt;0.5, "Very high", IF(AllData[[#This Row],[Phosphate (PPM)]]&gt;0.1, "High", IF(AllData[[#This Row],[Phosphate (PPM)]]&gt;0.05, "Some evidence", IF(AllData[[#This Row],[Phosphate (PPM)]]&lt;=0.05, "No Evidence", ""))))</f>
        <v>High</v>
      </c>
      <c r="V1741" t="s">
        <v>997</v>
      </c>
    </row>
    <row r="1742" spans="1:22" x14ac:dyDescent="0.35">
      <c r="A1742" t="s">
        <v>994</v>
      </c>
      <c r="B1742" s="143">
        <v>45383</v>
      </c>
      <c r="C1742" s="2" t="str" cm="1">
        <f t="array" ref="C17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2">
        <f>YEAR(AllData[[#This Row],[Date]])</f>
        <v>2024</v>
      </c>
      <c r="F1742" t="str">
        <f>IF(AND(AllData[[#This Row],[Time]]&lt;0.5, AllData[[#This Row],[Time]]&gt;0.17)=TRUE, "Morning", IF(AND(AllData[[#This Row],[Time]]&lt;0.75, AllData[[#This Row],[Time]]&gt;=0.5)=TRUE, "Afternoon", IF(AND(AllData[[#This Row],[Time]]&lt;1, AllData[[#This Row],[Time]]&gt;=0.75)=TRUE, "Evening", "Night")))</f>
        <v>Night</v>
      </c>
      <c r="G1742" t="str">
        <f>_xlfn.XLOOKUP(AllData[[#This Row],[Location Name]], Locations[Location Name],Locations[Group As])</f>
        <v>Site 2  :  Cross Leys culvert</v>
      </c>
      <c r="H1742" t="e" vm="1">
        <f>_xlfn.XLOOKUP(AllData[[#This Row],[Site Name]],LocationsKey[Site Name],LocationsKey[District])</f>
        <v>#VALUE!</v>
      </c>
      <c r="I1742" t="e" vm="14">
        <f>_xlfn.XLOOKUP(AllData[[#This Row],[Site Name]],LocationsKey[Site Name],LocationsKey[Town])</f>
        <v>#VALUE!</v>
      </c>
      <c r="J1742" t="str">
        <f>_xlfn.XLOOKUP(AllData[[#This Row],[Site Name]],LocationsKey[Site Name], LocationsKey[Waterway])</f>
        <v>Fosseway Brook</v>
      </c>
      <c r="K1742" t="s">
        <v>623</v>
      </c>
      <c r="N1742" t="s">
        <v>68</v>
      </c>
      <c r="O1742">
        <v>580</v>
      </c>
      <c r="P1742">
        <v>13.3</v>
      </c>
      <c r="Q1742">
        <v>2</v>
      </c>
      <c r="R1742" s="107" t="str">
        <f>IF(AllData[[#This Row],[Nitrate (PPM)]]&gt;2, "Very high", IF(AllData[[#This Row],[Nitrate (PPM)]]&gt;1, "High", IF(AllData[[#This Row],[Nitrate (PPM)]]&gt;0.5, "Some evidence", IF(AllData[[#This Row],[Nitrate (PPM)]]&gt;=0, "No evidence"))))</f>
        <v>High</v>
      </c>
      <c r="S1742" s="4">
        <v>0.25</v>
      </c>
      <c r="T1742" s="7" t="str">
        <f>IF(AllData[[#This Row],[Phosphate (PPM)]]&gt;0.5, "Very high", IF(AllData[[#This Row],[Phosphate (PPM)]]&gt;0.1, "High", IF(AllData[[#This Row],[Phosphate (PPM)]]&gt;0.05, "Some evidence", IF(AllData[[#This Row],[Phosphate (PPM)]]&lt;=0.05, "No Evidence", ""))))</f>
        <v>High</v>
      </c>
      <c r="U1742">
        <v>0</v>
      </c>
      <c r="V1742" t="s">
        <v>995</v>
      </c>
    </row>
    <row r="1743" spans="1:22" x14ac:dyDescent="0.35">
      <c r="A1743" t="s">
        <v>991</v>
      </c>
      <c r="B1743" s="143">
        <v>45382</v>
      </c>
      <c r="C1743" s="2" t="str" cm="1">
        <f t="array" ref="C17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3">
        <f>YEAR(AllData[[#This Row],[Date]])</f>
        <v>2024</v>
      </c>
      <c r="E1743" s="1">
        <v>0.5625</v>
      </c>
      <c r="F1743" t="str">
        <f>IF(AND(AllData[[#This Row],[Time]]&lt;0.5, AllData[[#This Row],[Time]]&gt;0.17)=TRUE, "Morning", IF(AND(AllData[[#This Row],[Time]]&lt;0.75, AllData[[#This Row],[Time]]&gt;=0.5)=TRUE, "Afternoon", IF(AND(AllData[[#This Row],[Time]]&lt;1, AllData[[#This Row],[Time]]&gt;=0.75)=TRUE, "Evening", "Night")))</f>
        <v>Afternoon</v>
      </c>
      <c r="G1743" t="str">
        <f>_xlfn.XLOOKUP(AllData[[#This Row],[Location Name]], Locations[Location Name],Locations[Group As])</f>
        <v>Clifford Chambers Mill Bridge</v>
      </c>
      <c r="H1743" t="e" vm="1">
        <f>_xlfn.XLOOKUP(AllData[[#This Row],[Site Name]],LocationsKey[Site Name],LocationsKey[District])</f>
        <v>#VALUE!</v>
      </c>
      <c r="I1743" t="e" vm="22">
        <f>_xlfn.XLOOKUP(AllData[[#This Row],[Site Name]],LocationsKey[Site Name],LocationsKey[Town])</f>
        <v>#VALUE!</v>
      </c>
      <c r="J1743" t="str">
        <f>_xlfn.XLOOKUP(AllData[[#This Row],[Site Name]],LocationsKey[Site Name], LocationsKey[Waterway])</f>
        <v>Stour</v>
      </c>
      <c r="K1743" t="s">
        <v>266</v>
      </c>
      <c r="L1743">
        <v>52.166370000000001</v>
      </c>
      <c r="M1743">
        <v>-1.708032</v>
      </c>
      <c r="N1743" t="s">
        <v>68</v>
      </c>
      <c r="O1743">
        <v>610</v>
      </c>
      <c r="P1743">
        <v>10.1</v>
      </c>
      <c r="Q1743">
        <v>10</v>
      </c>
      <c r="R1743" s="107" t="str">
        <f>IF(AllData[[#This Row],[Nitrate (PPM)]]&gt;2, "Very high", IF(AllData[[#This Row],[Nitrate (PPM)]]&gt;1, "High", IF(AllData[[#This Row],[Nitrate (PPM)]]&gt;0.5, "Some evidence", IF(AllData[[#This Row],[Nitrate (PPM)]]&gt;=0, "No evidence"))))</f>
        <v>Very high</v>
      </c>
      <c r="S1743" s="4">
        <v>0.28000000000000003</v>
      </c>
      <c r="T1743" s="7" t="str">
        <f>IF(AllData[[#This Row],[Phosphate (PPM)]]&gt;0.5, "Very high", IF(AllData[[#This Row],[Phosphate (PPM)]]&gt;0.1, "High", IF(AllData[[#This Row],[Phosphate (PPM)]]&gt;0.05, "Some evidence", IF(AllData[[#This Row],[Phosphate (PPM)]]&lt;=0.05, "No Evidence", ""))))</f>
        <v>High</v>
      </c>
      <c r="U1743">
        <v>1.25</v>
      </c>
    </row>
    <row r="1744" spans="1:22" x14ac:dyDescent="0.35">
      <c r="A1744" t="s">
        <v>989</v>
      </c>
      <c r="B1744" s="143">
        <v>45382</v>
      </c>
      <c r="C1744" s="2" t="str" cm="1">
        <f t="array" ref="C17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4">
        <f>YEAR(AllData[[#This Row],[Date]])</f>
        <v>2024</v>
      </c>
      <c r="E1744" s="1">
        <v>0.53125</v>
      </c>
      <c r="F1744" t="str">
        <f>IF(AND(AllData[[#This Row],[Time]]&lt;0.5, AllData[[#This Row],[Time]]&gt;0.17)=TRUE, "Morning", IF(AND(AllData[[#This Row],[Time]]&lt;0.75, AllData[[#This Row],[Time]]&gt;=0.5)=TRUE, "Afternoon", IF(AND(AllData[[#This Row],[Time]]&lt;1, AllData[[#This Row],[Time]]&gt;=0.75)=TRUE, "Evening", "Night")))</f>
        <v>Afternoon</v>
      </c>
      <c r="G1744" t="str">
        <f>_xlfn.XLOOKUP(AllData[[#This Row],[Location Name]], Locations[Location Name],Locations[Group As])</f>
        <v>Black Bear</v>
      </c>
      <c r="H1744" t="e" vm="4">
        <f>_xlfn.XLOOKUP(AllData[[#This Row],[Site Name]],LocationsKey[Site Name],LocationsKey[District])</f>
        <v>#VALUE!</v>
      </c>
      <c r="I1744" t="e" vm="4">
        <f>_xlfn.XLOOKUP(AllData[[#This Row],[Site Name]],LocationsKey[Site Name],LocationsKey[Town])</f>
        <v>#VALUE!</v>
      </c>
      <c r="J1744" t="str">
        <f>_xlfn.XLOOKUP(AllData[[#This Row],[Site Name]],LocationsKey[Site Name], LocationsKey[Waterway])</f>
        <v>Avon</v>
      </c>
      <c r="K1744" t="s">
        <v>572</v>
      </c>
      <c r="N1744" t="s">
        <v>25</v>
      </c>
      <c r="O1744">
        <v>571</v>
      </c>
      <c r="P1744">
        <v>10.4</v>
      </c>
      <c r="Q1744">
        <v>4</v>
      </c>
      <c r="R1744" s="107" t="str">
        <f>IF(AllData[[#This Row],[Nitrate (PPM)]]&gt;2, "Very high", IF(AllData[[#This Row],[Nitrate (PPM)]]&gt;1, "High", IF(AllData[[#This Row],[Nitrate (PPM)]]&gt;0.5, "Some evidence", IF(AllData[[#This Row],[Nitrate (PPM)]]&gt;=0, "No evidence"))))</f>
        <v>Very high</v>
      </c>
      <c r="S1744" s="4">
        <v>0.36</v>
      </c>
      <c r="T1744" s="7" t="str">
        <f>IF(AllData[[#This Row],[Phosphate (PPM)]]&gt;0.5, "Very high", IF(AllData[[#This Row],[Phosphate (PPM)]]&gt;0.1, "High", IF(AllData[[#This Row],[Phosphate (PPM)]]&gt;0.05, "Some evidence", IF(AllData[[#This Row],[Phosphate (PPM)]]&lt;=0.05, "No Evidence", ""))))</f>
        <v>High</v>
      </c>
      <c r="U1744">
        <v>0</v>
      </c>
      <c r="V1744" t="s">
        <v>990</v>
      </c>
    </row>
    <row r="1745" spans="1:22" x14ac:dyDescent="0.35">
      <c r="A1745" t="s">
        <v>987</v>
      </c>
      <c r="B1745" s="143">
        <v>45382</v>
      </c>
      <c r="C1745" s="2" t="str" cm="1">
        <f t="array" ref="C17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5">
        <f>YEAR(AllData[[#This Row],[Date]])</f>
        <v>2024</v>
      </c>
      <c r="E1745" s="1">
        <v>0.52083333333333337</v>
      </c>
      <c r="F1745" t="str">
        <f>IF(AND(AllData[[#This Row],[Time]]&lt;0.5, AllData[[#This Row],[Time]]&gt;0.17)=TRUE, "Morning", IF(AND(AllData[[#This Row],[Time]]&lt;0.75, AllData[[#This Row],[Time]]&gt;=0.5)=TRUE, "Afternoon", IF(AND(AllData[[#This Row],[Time]]&lt;1, AllData[[#This Row],[Time]]&gt;=0.75)=TRUE, "Evening", "Night")))</f>
        <v>Afternoon</v>
      </c>
      <c r="G1745" t="str">
        <f>_xlfn.XLOOKUP(AllData[[#This Row],[Location Name]], Locations[Location Name],Locations[Group As])</f>
        <v>Carrant Bredon Rd</v>
      </c>
      <c r="H1745" t="e" vm="4">
        <f>_xlfn.XLOOKUP(AllData[[#This Row],[Site Name]],LocationsKey[Site Name],LocationsKey[District])</f>
        <v>#VALUE!</v>
      </c>
      <c r="I1745" t="e" vm="4">
        <f>_xlfn.XLOOKUP(AllData[[#This Row],[Site Name]],LocationsKey[Site Name],LocationsKey[Town])</f>
        <v>#VALUE!</v>
      </c>
      <c r="J1745" t="str">
        <f>_xlfn.XLOOKUP(AllData[[#This Row],[Site Name]],LocationsKey[Site Name], LocationsKey[Waterway])</f>
        <v>Carrant</v>
      </c>
      <c r="K1745" t="s">
        <v>603</v>
      </c>
      <c r="L1745">
        <v>51.996478000000003</v>
      </c>
      <c r="M1745">
        <v>-2.155986</v>
      </c>
      <c r="N1745" t="s">
        <v>25</v>
      </c>
      <c r="O1745">
        <v>539</v>
      </c>
      <c r="P1745">
        <v>10.6</v>
      </c>
      <c r="Q1745">
        <v>4</v>
      </c>
      <c r="R1745" s="107" t="str">
        <f>IF(AllData[[#This Row],[Nitrate (PPM)]]&gt;2, "Very high", IF(AllData[[#This Row],[Nitrate (PPM)]]&gt;1, "High", IF(AllData[[#This Row],[Nitrate (PPM)]]&gt;0.5, "Some evidence", IF(AllData[[#This Row],[Nitrate (PPM)]]&gt;=0, "No evidence"))))</f>
        <v>Very high</v>
      </c>
      <c r="S1745" s="4">
        <v>0.45</v>
      </c>
      <c r="T1745" s="7" t="str">
        <f>IF(AllData[[#This Row],[Phosphate (PPM)]]&gt;0.5, "Very high", IF(AllData[[#This Row],[Phosphate (PPM)]]&gt;0.1, "High", IF(AllData[[#This Row],[Phosphate (PPM)]]&gt;0.05, "Some evidence", IF(AllData[[#This Row],[Phosphate (PPM)]]&lt;=0.05, "No Evidence", ""))))</f>
        <v>High</v>
      </c>
      <c r="U1745">
        <v>1.7</v>
      </c>
      <c r="V1745" t="s">
        <v>988</v>
      </c>
    </row>
    <row r="1746" spans="1:22" x14ac:dyDescent="0.35">
      <c r="A1746" t="s">
        <v>986</v>
      </c>
      <c r="B1746" s="143">
        <v>45382</v>
      </c>
      <c r="C1746" s="2" t="str" cm="1">
        <f t="array" ref="C17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6">
        <f>YEAR(AllData[[#This Row],[Date]])</f>
        <v>2024</v>
      </c>
      <c r="E1746" s="1">
        <v>0.45833333333333331</v>
      </c>
      <c r="F1746" t="str">
        <f>IF(AND(AllData[[#This Row],[Time]]&lt;0.5, AllData[[#This Row],[Time]]&gt;0.17)=TRUE, "Morning", IF(AND(AllData[[#This Row],[Time]]&lt;0.75, AllData[[#This Row],[Time]]&gt;=0.5)=TRUE, "Afternoon", IF(AND(AllData[[#This Row],[Time]]&lt;1, AllData[[#This Row],[Time]]&gt;=0.75)=TRUE, "Evening", "Night")))</f>
        <v>Morning</v>
      </c>
      <c r="G1746" t="str">
        <f>_xlfn.XLOOKUP(AllData[[#This Row],[Location Name]], Locations[Location Name],Locations[Group As])</f>
        <v>Avonbank Drive</v>
      </c>
      <c r="H1746" t="e" vm="1">
        <f>_xlfn.XLOOKUP(AllData[[#This Row],[Site Name]],LocationsKey[Site Name],LocationsKey[District])</f>
        <v>#VALUE!</v>
      </c>
      <c r="I1746" t="e" vm="12">
        <f>_xlfn.XLOOKUP(AllData[[#This Row],[Site Name]],LocationsKey[Site Name],LocationsKey[Town])</f>
        <v>#VALUE!</v>
      </c>
      <c r="J1746" t="str">
        <f>_xlfn.XLOOKUP(AllData[[#This Row],[Site Name]],LocationsKey[Site Name], LocationsKey[Waterway])</f>
        <v>Avon</v>
      </c>
      <c r="K1746" t="s">
        <v>67</v>
      </c>
      <c r="L1746">
        <v>52.177044000000002</v>
      </c>
      <c r="M1746">
        <v>-1.7356940000000001</v>
      </c>
      <c r="N1746" t="s">
        <v>68</v>
      </c>
      <c r="O1746">
        <v>594</v>
      </c>
      <c r="P1746">
        <v>10.1</v>
      </c>
      <c r="Q1746">
        <v>3</v>
      </c>
      <c r="R1746" s="107" t="str">
        <f>IF(AllData[[#This Row],[Nitrate (PPM)]]&gt;2, "Very high", IF(AllData[[#This Row],[Nitrate (PPM)]]&gt;1, "High", IF(AllData[[#This Row],[Nitrate (PPM)]]&gt;0.5, "Some evidence", IF(AllData[[#This Row],[Nitrate (PPM)]]&gt;=0, "No evidence"))))</f>
        <v>Very high</v>
      </c>
      <c r="S1746" s="4">
        <v>0.31</v>
      </c>
      <c r="T1746" s="7" t="str">
        <f>IF(AllData[[#This Row],[Phosphate (PPM)]]&gt;0.5, "Very high", IF(AllData[[#This Row],[Phosphate (PPM)]]&gt;0.1, "High", IF(AllData[[#This Row],[Phosphate (PPM)]]&gt;0.05, "Some evidence", IF(AllData[[#This Row],[Phosphate (PPM)]]&lt;=0.05, "No Evidence", ""))))</f>
        <v>High</v>
      </c>
      <c r="U1746">
        <v>0.84</v>
      </c>
    </row>
    <row r="1747" spans="1:22" x14ac:dyDescent="0.35">
      <c r="A1747" t="s">
        <v>984</v>
      </c>
      <c r="B1747" s="143">
        <v>45382</v>
      </c>
      <c r="C1747" s="2" t="str" cm="1">
        <f t="array" ref="C17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7">
        <f>YEAR(AllData[[#This Row],[Date]])</f>
        <v>2024</v>
      </c>
      <c r="E1747" s="1">
        <v>0.44444444444444442</v>
      </c>
      <c r="F1747" t="str">
        <f>IF(AND(AllData[[#This Row],[Time]]&lt;0.5, AllData[[#This Row],[Time]]&gt;0.17)=TRUE, "Morning", IF(AND(AllData[[#This Row],[Time]]&lt;0.75, AllData[[#This Row],[Time]]&gt;=0.5)=TRUE, "Afternoon", IF(AND(AllData[[#This Row],[Time]]&lt;1, AllData[[#This Row],[Time]]&gt;=0.75)=TRUE, "Evening", "Night")))</f>
        <v>Morning</v>
      </c>
      <c r="G1747" t="str">
        <f>_xlfn.XLOOKUP(AllData[[#This Row],[Location Name]], Locations[Location Name],Locations[Group As])</f>
        <v>Pitch 16</v>
      </c>
      <c r="H1747" t="e" vm="1">
        <f>_xlfn.XLOOKUP(AllData[[#This Row],[Site Name]],LocationsKey[Site Name],LocationsKey[District])</f>
        <v>#VALUE!</v>
      </c>
      <c r="I1747" t="e" vm="12">
        <f>_xlfn.XLOOKUP(AllData[[#This Row],[Site Name]],LocationsKey[Site Name],LocationsKey[Town])</f>
        <v>#VALUE!</v>
      </c>
      <c r="J1747" t="str">
        <f>_xlfn.XLOOKUP(AllData[[#This Row],[Site Name]],LocationsKey[Site Name], LocationsKey[Waterway])</f>
        <v>Avon</v>
      </c>
      <c r="K1747" t="s">
        <v>71</v>
      </c>
      <c r="L1747">
        <v>52.172958999999999</v>
      </c>
      <c r="M1747">
        <v>-1.745298</v>
      </c>
      <c r="N1747" t="s">
        <v>31</v>
      </c>
      <c r="O1747">
        <v>586</v>
      </c>
      <c r="P1747">
        <v>11.1</v>
      </c>
      <c r="Q1747">
        <v>3</v>
      </c>
      <c r="R1747" s="107" t="str">
        <f>IF(AllData[[#This Row],[Nitrate (PPM)]]&gt;2, "Very high", IF(AllData[[#This Row],[Nitrate (PPM)]]&gt;1, "High", IF(AllData[[#This Row],[Nitrate (PPM)]]&gt;0.5, "Some evidence", IF(AllData[[#This Row],[Nitrate (PPM)]]&gt;=0, "No evidence"))))</f>
        <v>Very high</v>
      </c>
      <c r="S1747" s="4">
        <v>0.46</v>
      </c>
      <c r="T1747" s="7" t="str">
        <f>IF(AllData[[#This Row],[Phosphate (PPM)]]&gt;0.5, "Very high", IF(AllData[[#This Row],[Phosphate (PPM)]]&gt;0.1, "High", IF(AllData[[#This Row],[Phosphate (PPM)]]&gt;0.05, "Some evidence", IF(AllData[[#This Row],[Phosphate (PPM)]]&lt;=0.05, "No Evidence", ""))))</f>
        <v>High</v>
      </c>
      <c r="U1747">
        <v>0.84</v>
      </c>
      <c r="V1747" t="s">
        <v>985</v>
      </c>
    </row>
    <row r="1748" spans="1:22" x14ac:dyDescent="0.35">
      <c r="A1748" t="s">
        <v>981</v>
      </c>
      <c r="B1748" s="143">
        <v>45382</v>
      </c>
      <c r="C1748" s="2" t="str" cm="1">
        <f t="array" ref="C17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8">
        <f>YEAR(AllData[[#This Row],[Date]])</f>
        <v>2024</v>
      </c>
      <c r="E1748" s="1">
        <v>5.2777777777777778E-2</v>
      </c>
      <c r="F1748" t="str">
        <f>IF(AND(AllData[[#This Row],[Time]]&lt;0.5, AllData[[#This Row],[Time]]&gt;0.17)=TRUE, "Morning", IF(AND(AllData[[#This Row],[Time]]&lt;0.75, AllData[[#This Row],[Time]]&gt;=0.5)=TRUE, "Afternoon", IF(AND(AllData[[#This Row],[Time]]&lt;1, AllData[[#This Row],[Time]]&gt;=0.75)=TRUE, "Evening", "Night")))</f>
        <v>Night</v>
      </c>
      <c r="G1748" t="str">
        <f>_xlfn.XLOOKUP(AllData[[#This Row],[Location Name]], Locations[Location Name],Locations[Group As])</f>
        <v>The Ford, Langley</v>
      </c>
      <c r="H1748" t="e" vm="1">
        <f>_xlfn.XLOOKUP(AllData[[#This Row],[Site Name]],LocationsKey[Site Name],LocationsKey[District])</f>
        <v>#VALUE!</v>
      </c>
      <c r="I1748" t="str">
        <f>_xlfn.XLOOKUP(AllData[[#This Row],[Site Name]],LocationsKey[Site Name],LocationsKey[Town])</f>
        <v>Langley</v>
      </c>
      <c r="J1748" t="str">
        <f>_xlfn.XLOOKUP(AllData[[#This Row],[Site Name]],LocationsKey[Site Name], LocationsKey[Waterway])</f>
        <v>Langley Ford</v>
      </c>
      <c r="K1748" t="s">
        <v>561</v>
      </c>
      <c r="L1748">
        <v>52.259639</v>
      </c>
      <c r="M1748">
        <v>-1.7181999999999999</v>
      </c>
      <c r="N1748" t="s">
        <v>31</v>
      </c>
      <c r="O1748">
        <v>522</v>
      </c>
      <c r="P1748">
        <v>8.8000000000000007</v>
      </c>
      <c r="Q1748">
        <v>2</v>
      </c>
      <c r="R1748" s="107" t="str">
        <f>IF(AllData[[#This Row],[Nitrate (PPM)]]&gt;2, "Very high", IF(AllData[[#This Row],[Nitrate (PPM)]]&gt;1, "High", IF(AllData[[#This Row],[Nitrate (PPM)]]&gt;0.5, "Some evidence", IF(AllData[[#This Row],[Nitrate (PPM)]]&gt;=0, "No evidence"))))</f>
        <v>High</v>
      </c>
      <c r="S1748" s="4">
        <v>0.6</v>
      </c>
      <c r="T1748" s="7" t="str">
        <f>IF(AllData[[#This Row],[Phosphate (PPM)]]&gt;0.5, "Very high", IF(AllData[[#This Row],[Phosphate (PPM)]]&gt;0.1, "High", IF(AllData[[#This Row],[Phosphate (PPM)]]&gt;0.05, "Some evidence", IF(AllData[[#This Row],[Phosphate (PPM)]]&lt;=0.05, "No Evidence", ""))))</f>
        <v>Very high</v>
      </c>
      <c r="U1748">
        <v>0.5</v>
      </c>
      <c r="V1748" t="s">
        <v>982</v>
      </c>
    </row>
    <row r="1749" spans="1:22" x14ac:dyDescent="0.35">
      <c r="A1749" t="s">
        <v>983</v>
      </c>
      <c r="B1749" s="143">
        <v>45382</v>
      </c>
      <c r="C1749" s="2" t="str" cm="1">
        <f t="array" ref="C17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49">
        <f>YEAR(AllData[[#This Row],[Date]])</f>
        <v>2024</v>
      </c>
      <c r="E1749" s="1">
        <v>0.4375</v>
      </c>
      <c r="F1749" t="str">
        <f>IF(AND(AllData[[#This Row],[Time]]&lt;0.5, AllData[[#This Row],[Time]]&gt;0.17)=TRUE, "Morning", IF(AND(AllData[[#This Row],[Time]]&lt;0.75, AllData[[#This Row],[Time]]&gt;=0.5)=TRUE, "Afternoon", IF(AND(AllData[[#This Row],[Time]]&lt;1, AllData[[#This Row],[Time]]&gt;=0.75)=TRUE, "Evening", "Night")))</f>
        <v>Morning</v>
      </c>
      <c r="G1749" t="str">
        <f>_xlfn.XLOOKUP(AllData[[#This Row],[Location Name]], Locations[Location Name],Locations[Group As])</f>
        <v>Lucy's Mill Bridge</v>
      </c>
      <c r="H1749" t="e" vm="1">
        <f>_xlfn.XLOOKUP(AllData[[#This Row],[Site Name]],LocationsKey[Site Name],LocationsKey[District])</f>
        <v>#VALUE!</v>
      </c>
      <c r="I1749" t="e" vm="12">
        <f>_xlfn.XLOOKUP(AllData[[#This Row],[Site Name]],LocationsKey[Site Name],LocationsKey[Town])</f>
        <v>#VALUE!</v>
      </c>
      <c r="J1749" t="str">
        <f>_xlfn.XLOOKUP(AllData[[#This Row],[Site Name]],LocationsKey[Site Name], LocationsKey[Waterway])</f>
        <v>Avon</v>
      </c>
      <c r="K1749" t="s">
        <v>212</v>
      </c>
      <c r="L1749">
        <v>52.183698999999997</v>
      </c>
      <c r="M1749">
        <v>-1.707816</v>
      </c>
      <c r="N1749" t="s">
        <v>31</v>
      </c>
      <c r="P1749">
        <v>11</v>
      </c>
      <c r="Q1749">
        <v>0</v>
      </c>
      <c r="R1749" s="107" t="str">
        <f>IF(AllData[[#This Row],[Nitrate (PPM)]]&gt;2, "Very high", IF(AllData[[#This Row],[Nitrate (PPM)]]&gt;1, "High", IF(AllData[[#This Row],[Nitrate (PPM)]]&gt;0.5, "Some evidence", IF(AllData[[#This Row],[Nitrate (PPM)]]&gt;=0, "No evidence"))))</f>
        <v>No evidence</v>
      </c>
      <c r="S1749" s="4">
        <v>0.28000000000000003</v>
      </c>
      <c r="T1749" s="7" t="str">
        <f>IF(AllData[[#This Row],[Phosphate (PPM)]]&gt;0.5, "Very high", IF(AllData[[#This Row],[Phosphate (PPM)]]&gt;0.1, "High", IF(AllData[[#This Row],[Phosphate (PPM)]]&gt;0.05, "Some evidence", IF(AllData[[#This Row],[Phosphate (PPM)]]&lt;=0.05, "No Evidence", ""))))</f>
        <v>High</v>
      </c>
      <c r="U1749">
        <v>0.7</v>
      </c>
    </row>
    <row r="1750" spans="1:22" x14ac:dyDescent="0.35">
      <c r="A1750" t="s">
        <v>974</v>
      </c>
      <c r="B1750" s="143">
        <v>45381</v>
      </c>
      <c r="C1750" s="2" t="str" cm="1">
        <f t="array" ref="C17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0">
        <f>YEAR(AllData[[#This Row],[Date]])</f>
        <v>2024</v>
      </c>
      <c r="E1750" s="1">
        <v>0.50347222222222221</v>
      </c>
      <c r="F1750" t="str">
        <f>IF(AND(AllData[[#This Row],[Time]]&lt;0.5, AllData[[#This Row],[Time]]&gt;0.17)=TRUE, "Morning", IF(AND(AllData[[#This Row],[Time]]&lt;0.75, AllData[[#This Row],[Time]]&gt;=0.5)=TRUE, "Afternoon", IF(AND(AllData[[#This Row],[Time]]&lt;1, AllData[[#This Row],[Time]]&gt;=0.75)=TRUE, "Evening", "Night")))</f>
        <v>Afternoon</v>
      </c>
      <c r="G1750" t="str">
        <f>_xlfn.XLOOKUP(AllData[[#This Row],[Location Name]], Locations[Location Name],Locations[Group As])</f>
        <v>Pershore Bridges</v>
      </c>
      <c r="H1750" t="e" vm="6">
        <f>_xlfn.XLOOKUP(AllData[[#This Row],[Site Name]],LocationsKey[Site Name],LocationsKey[District])</f>
        <v>#VALUE!</v>
      </c>
      <c r="I1750" t="e" vm="7">
        <f>_xlfn.XLOOKUP(AllData[[#This Row],[Site Name]],LocationsKey[Site Name],LocationsKey[Town])</f>
        <v>#VALUE!</v>
      </c>
      <c r="J1750" t="str">
        <f>_xlfn.XLOOKUP(AllData[[#This Row],[Site Name]],LocationsKey[Site Name], LocationsKey[Waterway])</f>
        <v>Avon</v>
      </c>
      <c r="K1750" t="s">
        <v>938</v>
      </c>
      <c r="L1750">
        <v>52.104187000000003</v>
      </c>
      <c r="M1750">
        <v>-2.0709179999999998</v>
      </c>
      <c r="O1750">
        <v>520</v>
      </c>
      <c r="P1750">
        <v>13.4</v>
      </c>
      <c r="Q1750">
        <v>10</v>
      </c>
      <c r="R1750" s="107" t="str">
        <f>IF(AllData[[#This Row],[Nitrate (PPM)]]&gt;2, "Very high", IF(AllData[[#This Row],[Nitrate (PPM)]]&gt;1, "High", IF(AllData[[#This Row],[Nitrate (PPM)]]&gt;0.5, "Some evidence", IF(AllData[[#This Row],[Nitrate (PPM)]]&gt;=0, "No evidence"))))</f>
        <v>Very high</v>
      </c>
      <c r="S1750" s="4">
        <v>0.53</v>
      </c>
      <c r="T1750" s="7" t="str">
        <f>IF(AllData[[#This Row],[Phosphate (PPM)]]&gt;0.5, "Very high", IF(AllData[[#This Row],[Phosphate (PPM)]]&gt;0.1, "High", IF(AllData[[#This Row],[Phosphate (PPM)]]&gt;0.05, "Some evidence", IF(AllData[[#This Row],[Phosphate (PPM)]]&lt;=0.05, "No Evidence", ""))))</f>
        <v>Very high</v>
      </c>
      <c r="U1750">
        <v>3.41</v>
      </c>
    </row>
    <row r="1751" spans="1:22" x14ac:dyDescent="0.35">
      <c r="A1751" t="s">
        <v>977</v>
      </c>
      <c r="B1751" s="143">
        <v>45381</v>
      </c>
      <c r="C1751" s="2" t="str" cm="1">
        <f t="array" ref="C17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1">
        <f>YEAR(AllData[[#This Row],[Date]])</f>
        <v>2024</v>
      </c>
      <c r="E1751" s="1">
        <v>0.53611111111111109</v>
      </c>
      <c r="F1751" t="str">
        <f>IF(AND(AllData[[#This Row],[Time]]&lt;0.5, AllData[[#This Row],[Time]]&gt;0.17)=TRUE, "Morning", IF(AND(AllData[[#This Row],[Time]]&lt;0.75, AllData[[#This Row],[Time]]&gt;=0.5)=TRUE, "Afternoon", IF(AND(AllData[[#This Row],[Time]]&lt;1, AllData[[#This Row],[Time]]&gt;=0.75)=TRUE, "Evening", "Night")))</f>
        <v>Afternoon</v>
      </c>
      <c r="G1751" t="str">
        <f>_xlfn.XLOOKUP(AllData[[#This Row],[Location Name]], Locations[Location Name],Locations[Group As])</f>
        <v>Preston-on-Stour River Bridge</v>
      </c>
      <c r="H1751" t="e" vm="1">
        <f>_xlfn.XLOOKUP(AllData[[#This Row],[Site Name]],LocationsKey[Site Name],LocationsKey[District])</f>
        <v>#VALUE!</v>
      </c>
      <c r="I1751" t="e" vm="20">
        <f>_xlfn.XLOOKUP(AllData[[#This Row],[Site Name]],LocationsKey[Site Name],LocationsKey[Town])</f>
        <v>#VALUE!</v>
      </c>
      <c r="J1751" t="str">
        <f>_xlfn.XLOOKUP(AllData[[#This Row],[Site Name]],LocationsKey[Site Name], LocationsKey[Waterway])</f>
        <v>Stour</v>
      </c>
      <c r="K1751" t="s">
        <v>164</v>
      </c>
      <c r="L1751">
        <v>52.146521999999997</v>
      </c>
      <c r="M1751">
        <v>-1.6998</v>
      </c>
      <c r="N1751" t="s">
        <v>31</v>
      </c>
      <c r="O1751">
        <v>541</v>
      </c>
      <c r="P1751">
        <v>10.8</v>
      </c>
      <c r="Q1751">
        <v>6</v>
      </c>
      <c r="R1751" s="107" t="str">
        <f>IF(AllData[[#This Row],[Nitrate (PPM)]]&gt;2, "Very high", IF(AllData[[#This Row],[Nitrate (PPM)]]&gt;1, "High", IF(AllData[[#This Row],[Nitrate (PPM)]]&gt;0.5, "Some evidence", IF(AllData[[#This Row],[Nitrate (PPM)]]&gt;=0, "No evidence"))))</f>
        <v>Very high</v>
      </c>
      <c r="S1751" s="4">
        <v>0.21</v>
      </c>
      <c r="T1751" s="7" t="str">
        <f>IF(AllData[[#This Row],[Phosphate (PPM)]]&gt;0.5, "Very high", IF(AllData[[#This Row],[Phosphate (PPM)]]&gt;0.1, "High", IF(AllData[[#This Row],[Phosphate (PPM)]]&gt;0.05, "Some evidence", IF(AllData[[#This Row],[Phosphate (PPM)]]&lt;=0.05, "No Evidence", ""))))</f>
        <v>High</v>
      </c>
      <c r="U1751">
        <v>2</v>
      </c>
    </row>
    <row r="1752" spans="1:22" x14ac:dyDescent="0.35">
      <c r="A1752" t="s">
        <v>972</v>
      </c>
      <c r="B1752" s="143">
        <v>45381</v>
      </c>
      <c r="C1752" s="2" t="str" cm="1">
        <f t="array" ref="C17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2">
        <f>YEAR(AllData[[#This Row],[Date]])</f>
        <v>2024</v>
      </c>
      <c r="E1752" s="1">
        <v>0.45416666666666666</v>
      </c>
      <c r="F1752" t="str">
        <f>IF(AND(AllData[[#This Row],[Time]]&lt;0.5, AllData[[#This Row],[Time]]&gt;0.17)=TRUE, "Morning", IF(AND(AllData[[#This Row],[Time]]&lt;0.75, AllData[[#This Row],[Time]]&gt;=0.5)=TRUE, "Afternoon", IF(AND(AllData[[#This Row],[Time]]&lt;1, AllData[[#This Row],[Time]]&gt;=0.75)=TRUE, "Evening", "Night")))</f>
        <v>Morning</v>
      </c>
      <c r="G1752" t="str">
        <f>_xlfn.XLOOKUP(AllData[[#This Row],[Location Name]], Locations[Location Name],Locations[Group As])</f>
        <v>Avon Smiths Meadow Wyre Piddle</v>
      </c>
      <c r="H1752" t="e" vm="6">
        <f>_xlfn.XLOOKUP(AllData[[#This Row],[Site Name]],LocationsKey[Site Name],LocationsKey[District])</f>
        <v>#VALUE!</v>
      </c>
      <c r="I1752" t="e" vm="13">
        <f>_xlfn.XLOOKUP(AllData[[#This Row],[Site Name]],LocationsKey[Site Name],LocationsKey[Town])</f>
        <v>#VALUE!</v>
      </c>
      <c r="J1752" t="str">
        <f>_xlfn.XLOOKUP(AllData[[#This Row],[Site Name]],LocationsKey[Site Name], LocationsKey[Waterway])</f>
        <v>Avon</v>
      </c>
      <c r="K1752" t="s">
        <v>784</v>
      </c>
      <c r="L1752">
        <v>52.124921000000001</v>
      </c>
      <c r="M1752">
        <v>-2.053655</v>
      </c>
      <c r="N1752" t="s">
        <v>25</v>
      </c>
      <c r="O1752">
        <v>492</v>
      </c>
      <c r="P1752">
        <v>10.5</v>
      </c>
      <c r="Q1752">
        <v>5</v>
      </c>
      <c r="R1752" s="107" t="str">
        <f>IF(AllData[[#This Row],[Nitrate (PPM)]]&gt;2, "Very high", IF(AllData[[#This Row],[Nitrate (PPM)]]&gt;1, "High", IF(AllData[[#This Row],[Nitrate (PPM)]]&gt;0.5, "Some evidence", IF(AllData[[#This Row],[Nitrate (PPM)]]&gt;=0, "No evidence"))))</f>
        <v>Very high</v>
      </c>
      <c r="S1752" s="4">
        <v>0.47</v>
      </c>
      <c r="T1752" s="7" t="str">
        <f>IF(AllData[[#This Row],[Phosphate (PPM)]]&gt;0.5, "Very high", IF(AllData[[#This Row],[Phosphate (PPM)]]&gt;0.1, "High", IF(AllData[[#This Row],[Phosphate (PPM)]]&gt;0.05, "Some evidence", IF(AllData[[#This Row],[Phosphate (PPM)]]&lt;=0.05, "No Evidence", ""))))</f>
        <v>High</v>
      </c>
      <c r="U1752">
        <v>1.88</v>
      </c>
      <c r="V1752" t="s">
        <v>973</v>
      </c>
    </row>
    <row r="1753" spans="1:22" x14ac:dyDescent="0.35">
      <c r="A1753" t="s">
        <v>975</v>
      </c>
      <c r="B1753" s="143">
        <v>45381</v>
      </c>
      <c r="C1753" s="2" t="str" cm="1">
        <f t="array" ref="C17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3">
        <f>YEAR(AllData[[#This Row],[Date]])</f>
        <v>2024</v>
      </c>
      <c r="E1753" s="1">
        <v>0.50486111111111109</v>
      </c>
      <c r="F1753" t="str">
        <f>IF(AND(AllData[[#This Row],[Time]]&lt;0.5, AllData[[#This Row],[Time]]&gt;0.17)=TRUE, "Morning", IF(AND(AllData[[#This Row],[Time]]&lt;0.75, AllData[[#This Row],[Time]]&gt;=0.5)=TRUE, "Afternoon", IF(AND(AllData[[#This Row],[Time]]&lt;1, AllData[[#This Row],[Time]]&gt;=0.75)=TRUE, "Evening", "Night")))</f>
        <v>Afternoon</v>
      </c>
      <c r="G1753" t="str">
        <f>_xlfn.XLOOKUP(AllData[[#This Row],[Location Name]], Locations[Location Name],Locations[Group As])</f>
        <v>Piddle Brook Wyre Piddle Bridge</v>
      </c>
      <c r="H1753" t="e" vm="6">
        <f>_xlfn.XLOOKUP(AllData[[#This Row],[Site Name]],LocationsKey[Site Name],LocationsKey[District])</f>
        <v>#VALUE!</v>
      </c>
      <c r="I1753" t="e" vm="13">
        <f>_xlfn.XLOOKUP(AllData[[#This Row],[Site Name]],LocationsKey[Site Name],LocationsKey[Town])</f>
        <v>#VALUE!</v>
      </c>
      <c r="J1753" t="str">
        <f>_xlfn.XLOOKUP(AllData[[#This Row],[Site Name]],LocationsKey[Site Name], LocationsKey[Waterway])</f>
        <v>Piddle Brook</v>
      </c>
      <c r="K1753" t="s">
        <v>787</v>
      </c>
      <c r="L1753">
        <v>52.126382999999997</v>
      </c>
      <c r="M1753">
        <v>-2.0565329999999999</v>
      </c>
      <c r="N1753" t="s">
        <v>25</v>
      </c>
      <c r="O1753">
        <v>650</v>
      </c>
      <c r="P1753">
        <v>10.8</v>
      </c>
      <c r="Q1753">
        <v>4</v>
      </c>
      <c r="R1753" s="107" t="str">
        <f>IF(AllData[[#This Row],[Nitrate (PPM)]]&gt;2, "Very high", IF(AllData[[#This Row],[Nitrate (PPM)]]&gt;1, "High", IF(AllData[[#This Row],[Nitrate (PPM)]]&gt;0.5, "Some evidence", IF(AllData[[#This Row],[Nitrate (PPM)]]&gt;=0, "No evidence"))))</f>
        <v>Very high</v>
      </c>
      <c r="S1753" s="4">
        <v>0.37</v>
      </c>
      <c r="T1753" s="7" t="str">
        <f>IF(AllData[[#This Row],[Phosphate (PPM)]]&gt;0.5, "Very high", IF(AllData[[#This Row],[Phosphate (PPM)]]&gt;0.1, "High", IF(AllData[[#This Row],[Phosphate (PPM)]]&gt;0.05, "Some evidence", IF(AllData[[#This Row],[Phosphate (PPM)]]&lt;=0.05, "No Evidence", ""))))</f>
        <v>High</v>
      </c>
      <c r="U1753">
        <v>0.72</v>
      </c>
      <c r="V1753" t="s">
        <v>976</v>
      </c>
    </row>
    <row r="1754" spans="1:22" x14ac:dyDescent="0.35">
      <c r="A1754" t="s">
        <v>979</v>
      </c>
      <c r="B1754" s="143">
        <v>45381</v>
      </c>
      <c r="C1754" s="2" t="str" cm="1">
        <f t="array" ref="C17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4">
        <f>YEAR(AllData[[#This Row],[Date]])</f>
        <v>2024</v>
      </c>
      <c r="E1754" s="1">
        <v>0.67708333333333337</v>
      </c>
      <c r="F1754" t="str">
        <f>IF(AND(AllData[[#This Row],[Time]]&lt;0.5, AllData[[#This Row],[Time]]&gt;0.17)=TRUE, "Morning", IF(AND(AllData[[#This Row],[Time]]&lt;0.75, AllData[[#This Row],[Time]]&gt;=0.5)=TRUE, "Afternoon", IF(AND(AllData[[#This Row],[Time]]&lt;1, AllData[[#This Row],[Time]]&gt;=0.75)=TRUE, "Evening", "Night")))</f>
        <v>Afternoon</v>
      </c>
      <c r="G1754" t="str">
        <f>_xlfn.XLOOKUP(AllData[[#This Row],[Location Name]], Locations[Location Name],Locations[Group As])</f>
        <v>Stour Whichford</v>
      </c>
      <c r="H1754" t="e" vm="1">
        <f>_xlfn.XLOOKUP(AllData[[#This Row],[Site Name]],LocationsKey[Site Name],LocationsKey[District])</f>
        <v>#VALUE!</v>
      </c>
      <c r="I1754" t="e" vm="24">
        <f>_xlfn.XLOOKUP(AllData[[#This Row],[Site Name]],LocationsKey[Site Name],LocationsKey[Town])</f>
        <v>#VALUE!</v>
      </c>
      <c r="J1754" t="str">
        <f>_xlfn.XLOOKUP(AllData[[#This Row],[Site Name]],LocationsKey[Site Name], LocationsKey[Waterway])</f>
        <v>Stour</v>
      </c>
      <c r="K1754" t="s">
        <v>980</v>
      </c>
      <c r="N1754" t="s">
        <v>31</v>
      </c>
      <c r="O1754">
        <v>53.7</v>
      </c>
      <c r="P1754">
        <v>12.5</v>
      </c>
      <c r="Q1754">
        <v>2</v>
      </c>
      <c r="R1754" s="107" t="str">
        <f>IF(AllData[[#This Row],[Nitrate (PPM)]]&gt;2, "Very high", IF(AllData[[#This Row],[Nitrate (PPM)]]&gt;1, "High", IF(AllData[[#This Row],[Nitrate (PPM)]]&gt;0.5, "Some evidence", IF(AllData[[#This Row],[Nitrate (PPM)]]&gt;=0, "No evidence"))))</f>
        <v>High</v>
      </c>
      <c r="S1754" s="4">
        <v>0.31</v>
      </c>
      <c r="T1754" s="7" t="str">
        <f>IF(AllData[[#This Row],[Phosphate (PPM)]]&gt;0.5, "Very high", IF(AllData[[#This Row],[Phosphate (PPM)]]&gt;0.1, "High", IF(AllData[[#This Row],[Phosphate (PPM)]]&gt;0.05, "Some evidence", IF(AllData[[#This Row],[Phosphate (PPM)]]&lt;=0.05, "No Evidence", ""))))</f>
        <v>High</v>
      </c>
      <c r="U1754">
        <v>29</v>
      </c>
    </row>
    <row r="1755" spans="1:22" x14ac:dyDescent="0.35">
      <c r="A1755" t="s">
        <v>978</v>
      </c>
      <c r="B1755" s="143">
        <v>45381</v>
      </c>
      <c r="C1755" s="2" t="str" cm="1">
        <f t="array" ref="C17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5">
        <f>YEAR(AllData[[#This Row],[Date]])</f>
        <v>2024</v>
      </c>
      <c r="E1755" s="1">
        <v>0.65277777777777779</v>
      </c>
      <c r="F1755" t="str">
        <f>IF(AND(AllData[[#This Row],[Time]]&lt;0.5, AllData[[#This Row],[Time]]&gt;0.17)=TRUE, "Morning", IF(AND(AllData[[#This Row],[Time]]&lt;0.75, AllData[[#This Row],[Time]]&gt;=0.5)=TRUE, "Afternoon", IF(AND(AllData[[#This Row],[Time]]&lt;1, AllData[[#This Row],[Time]]&gt;=0.75)=TRUE, "Evening", "Night")))</f>
        <v>Afternoon</v>
      </c>
      <c r="G1755" t="str">
        <f>_xlfn.XLOOKUP(AllData[[#This Row],[Location Name]], Locations[Location Name],Locations[Group As])</f>
        <v>Stour Ascott Village</v>
      </c>
      <c r="H1755" t="e" vm="1">
        <f>_xlfn.XLOOKUP(AllData[[#This Row],[Site Name]],LocationsKey[Site Name],LocationsKey[District])</f>
        <v>#VALUE!</v>
      </c>
      <c r="I1755" t="e" vm="25">
        <f>_xlfn.XLOOKUP(AllData[[#This Row],[Site Name]],LocationsKey[Site Name],LocationsKey[Town])</f>
        <v>#VALUE!</v>
      </c>
      <c r="J1755" t="str">
        <f>_xlfn.XLOOKUP(AllData[[#This Row],[Site Name]],LocationsKey[Site Name], LocationsKey[Waterway])</f>
        <v>Stour</v>
      </c>
      <c r="K1755" t="s">
        <v>927</v>
      </c>
      <c r="N1755" t="s">
        <v>68</v>
      </c>
      <c r="O1755">
        <v>50.06</v>
      </c>
      <c r="P1755">
        <v>13.7</v>
      </c>
      <c r="Q1755">
        <v>2</v>
      </c>
      <c r="R1755" s="107" t="str">
        <f>IF(AllData[[#This Row],[Nitrate (PPM)]]&gt;2, "Very high", IF(AllData[[#This Row],[Nitrate (PPM)]]&gt;1, "High", IF(AllData[[#This Row],[Nitrate (PPM)]]&gt;0.5, "Some evidence", IF(AllData[[#This Row],[Nitrate (PPM)]]&gt;=0, "No evidence"))))</f>
        <v>High</v>
      </c>
      <c r="S1755" s="4">
        <v>0.73</v>
      </c>
      <c r="T1755" s="7" t="str">
        <f>IF(AllData[[#This Row],[Phosphate (PPM)]]&gt;0.5, "Very high", IF(AllData[[#This Row],[Phosphate (PPM)]]&gt;0.1, "High", IF(AllData[[#This Row],[Phosphate (PPM)]]&gt;0.05, "Some evidence", IF(AllData[[#This Row],[Phosphate (PPM)]]&lt;=0.05, "No Evidence", ""))))</f>
        <v>Very high</v>
      </c>
      <c r="U1755">
        <v>17</v>
      </c>
    </row>
    <row r="1756" spans="1:22" x14ac:dyDescent="0.35">
      <c r="A1756" t="s">
        <v>969</v>
      </c>
      <c r="B1756" s="143">
        <v>45380</v>
      </c>
      <c r="C1756" s="2" t="str" cm="1">
        <f t="array" ref="C17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6">
        <f>YEAR(AllData[[#This Row],[Date]])</f>
        <v>2024</v>
      </c>
      <c r="E1756" s="1">
        <v>0.67013888888888884</v>
      </c>
      <c r="F1756" t="str">
        <f>IF(AND(AllData[[#This Row],[Time]]&lt;0.5, AllData[[#This Row],[Time]]&gt;0.17)=TRUE, "Morning", IF(AND(AllData[[#This Row],[Time]]&lt;0.75, AllData[[#This Row],[Time]]&gt;=0.5)=TRUE, "Afternoon", IF(AND(AllData[[#This Row],[Time]]&lt;1, AllData[[#This Row],[Time]]&gt;=0.75)=TRUE, "Evening", "Night")))</f>
        <v>Afternoon</v>
      </c>
      <c r="G1756" t="str">
        <f>_xlfn.XLOOKUP(AllData[[#This Row],[Location Name]], Locations[Location Name],Locations[Group As])</f>
        <v>Preston Bagot Brook</v>
      </c>
      <c r="H1756" t="e" vm="1">
        <f>_xlfn.XLOOKUP(AllData[[#This Row],[Site Name]],LocationsKey[Site Name],LocationsKey[District])</f>
        <v>#VALUE!</v>
      </c>
      <c r="I1756" t="e" vm="21">
        <f>_xlfn.XLOOKUP(AllData[[#This Row],[Site Name]],LocationsKey[Site Name],LocationsKey[Town])</f>
        <v>#VALUE!</v>
      </c>
      <c r="J1756" t="str">
        <f>_xlfn.XLOOKUP(AllData[[#This Row],[Site Name]],LocationsKey[Site Name], LocationsKey[Waterway])</f>
        <v>Preston Bagot Brook</v>
      </c>
      <c r="K1756" t="s">
        <v>621</v>
      </c>
      <c r="L1756">
        <v>52.286000000000001</v>
      </c>
      <c r="M1756">
        <v>-1.7470000000000001</v>
      </c>
      <c r="N1756" t="s">
        <v>25</v>
      </c>
      <c r="O1756">
        <v>456</v>
      </c>
      <c r="P1756">
        <v>11.7</v>
      </c>
      <c r="Q1756">
        <v>3</v>
      </c>
      <c r="R1756" s="107" t="str">
        <f>IF(AllData[[#This Row],[Nitrate (PPM)]]&gt;2, "Very high", IF(AllData[[#This Row],[Nitrate (PPM)]]&gt;1, "High", IF(AllData[[#This Row],[Nitrate (PPM)]]&gt;0.5, "Some evidence", IF(AllData[[#This Row],[Nitrate (PPM)]]&gt;=0, "No evidence"))))</f>
        <v>Very high</v>
      </c>
      <c r="S1756">
        <v>0.53</v>
      </c>
      <c r="T1756" s="7" t="str">
        <f>IF(AllData[[#This Row],[Phosphate (PPM)]]&gt;0.5, "Very high", IF(AllData[[#This Row],[Phosphate (PPM)]]&gt;0.1, "High", IF(AllData[[#This Row],[Phosphate (PPM)]]&gt;0.05, "Some evidence", IF(AllData[[#This Row],[Phosphate (PPM)]]&lt;=0.05, "No Evidence", ""))))</f>
        <v>Very high</v>
      </c>
      <c r="U1756">
        <v>1</v>
      </c>
      <c r="V1756" t="s">
        <v>970</v>
      </c>
    </row>
    <row r="1757" spans="1:22" x14ac:dyDescent="0.35">
      <c r="A1757" t="s">
        <v>971</v>
      </c>
      <c r="B1757" s="143">
        <v>45380</v>
      </c>
      <c r="C1757" s="2" t="str" cm="1">
        <f t="array" ref="C17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7">
        <f>YEAR(AllData[[#This Row],[Date]])</f>
        <v>2024</v>
      </c>
      <c r="E1757" s="1">
        <v>0.66874999999999996</v>
      </c>
      <c r="F1757" t="str">
        <f>IF(AND(AllData[[#This Row],[Time]]&lt;0.5, AllData[[#This Row],[Time]]&gt;0.17)=TRUE, "Morning", IF(AND(AllData[[#This Row],[Time]]&lt;0.75, AllData[[#This Row],[Time]]&gt;=0.5)=TRUE, "Afternoon", IF(AND(AllData[[#This Row],[Time]]&lt;1, AllData[[#This Row],[Time]]&gt;=0.75)=TRUE, "Evening", "Night")))</f>
        <v>Afternoon</v>
      </c>
      <c r="G1757" t="str">
        <f>_xlfn.XLOOKUP(AllData[[#This Row],[Location Name]], Locations[Location Name],Locations[Group As])</f>
        <v>Preston Bagot Canal</v>
      </c>
      <c r="H1757" t="e" vm="1">
        <f>_xlfn.XLOOKUP(AllData[[#This Row],[Site Name]],LocationsKey[Site Name],LocationsKey[District])</f>
        <v>#VALUE!</v>
      </c>
      <c r="I1757" t="e" vm="21">
        <f>_xlfn.XLOOKUP(AllData[[#This Row],[Site Name]],LocationsKey[Site Name],LocationsKey[Town])</f>
        <v>#VALUE!</v>
      </c>
      <c r="J1757" t="str">
        <f>_xlfn.XLOOKUP(AllData[[#This Row],[Site Name]],LocationsKey[Site Name], LocationsKey[Waterway])</f>
        <v>Preston Bagot Canal</v>
      </c>
      <c r="K1757" t="s">
        <v>618</v>
      </c>
      <c r="L1757">
        <v>52.286999999999999</v>
      </c>
      <c r="M1757">
        <v>-1.746</v>
      </c>
      <c r="N1757" t="s">
        <v>25</v>
      </c>
      <c r="O1757">
        <v>334</v>
      </c>
      <c r="P1757">
        <v>12.6</v>
      </c>
      <c r="Q1757">
        <v>2</v>
      </c>
      <c r="R1757" s="107" t="str">
        <f>IF(AllData[[#This Row],[Nitrate (PPM)]]&gt;2, "Very high", IF(AllData[[#This Row],[Nitrate (PPM)]]&gt;1, "High", IF(AllData[[#This Row],[Nitrate (PPM)]]&gt;0.5, "Some evidence", IF(AllData[[#This Row],[Nitrate (PPM)]]&gt;=0, "No evidence"))))</f>
        <v>High</v>
      </c>
      <c r="S1757">
        <v>0.13</v>
      </c>
      <c r="T1757" s="7" t="str">
        <f>IF(AllData[[#This Row],[Phosphate (PPM)]]&gt;0.5, "Very high", IF(AllData[[#This Row],[Phosphate (PPM)]]&gt;0.1, "High", IF(AllData[[#This Row],[Phosphate (PPM)]]&gt;0.05, "Some evidence", IF(AllData[[#This Row],[Phosphate (PPM)]]&lt;=0.05, "No Evidence", ""))))</f>
        <v>High</v>
      </c>
      <c r="U1757">
        <v>1</v>
      </c>
      <c r="V1757" t="s">
        <v>970</v>
      </c>
    </row>
    <row r="1758" spans="1:22" x14ac:dyDescent="0.35">
      <c r="A1758" t="s">
        <v>968</v>
      </c>
      <c r="B1758" s="143">
        <v>45379</v>
      </c>
      <c r="C1758" s="2" t="str" cm="1">
        <f t="array" ref="C17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8">
        <f>YEAR(AllData[[#This Row],[Date]])</f>
        <v>2024</v>
      </c>
      <c r="E1758" s="1">
        <v>0.44791666666666669</v>
      </c>
      <c r="F1758" t="str">
        <f>IF(AND(AllData[[#This Row],[Time]]&lt;0.5, AllData[[#This Row],[Time]]&gt;0.17)=TRUE, "Morning", IF(AND(AllData[[#This Row],[Time]]&lt;0.75, AllData[[#This Row],[Time]]&gt;=0.5)=TRUE, "Afternoon", IF(AND(AllData[[#This Row],[Time]]&lt;1, AllData[[#This Row],[Time]]&gt;=0.75)=TRUE, "Evening", "Night")))</f>
        <v>Morning</v>
      </c>
      <c r="G1758" t="str">
        <f>_xlfn.XLOOKUP(AllData[[#This Row],[Location Name]], Locations[Location Name],Locations[Group As])</f>
        <v>Swilgate</v>
      </c>
      <c r="H1758" t="e" vm="4">
        <f>_xlfn.XLOOKUP(AllData[[#This Row],[Site Name]],LocationsKey[Site Name],LocationsKey[District])</f>
        <v>#VALUE!</v>
      </c>
      <c r="I1758" t="e" vm="4">
        <f>_xlfn.XLOOKUP(AllData[[#This Row],[Site Name]],LocationsKey[Site Name],LocationsKey[Town])</f>
        <v>#VALUE!</v>
      </c>
      <c r="J1758" t="str">
        <f>_xlfn.XLOOKUP(AllData[[#This Row],[Site Name]],LocationsKey[Site Name], LocationsKey[Waterway])</f>
        <v>Swilgate</v>
      </c>
      <c r="K1758" t="s">
        <v>85</v>
      </c>
      <c r="N1758" t="s">
        <v>25</v>
      </c>
      <c r="O1758">
        <v>450</v>
      </c>
      <c r="P1758">
        <v>8.8000000000000007</v>
      </c>
      <c r="Q1758">
        <v>2</v>
      </c>
      <c r="R1758" s="107" t="str">
        <f>IF(AllData[[#This Row],[Nitrate (PPM)]]&gt;2, "Very high", IF(AllData[[#This Row],[Nitrate (PPM)]]&gt;1, "High", IF(AllData[[#This Row],[Nitrate (PPM)]]&gt;0.5, "Some evidence", IF(AllData[[#This Row],[Nitrate (PPM)]]&gt;=0, "No evidence"))))</f>
        <v>High</v>
      </c>
      <c r="S1758" s="4">
        <v>0.43</v>
      </c>
      <c r="T1758" s="7" t="str">
        <f>IF(AllData[[#This Row],[Phosphate (PPM)]]&gt;0.5, "Very high", IF(AllData[[#This Row],[Phosphate (PPM)]]&gt;0.1, "High", IF(AllData[[#This Row],[Phosphate (PPM)]]&gt;0.05, "Some evidence", IF(AllData[[#This Row],[Phosphate (PPM)]]&lt;=0.05, "No Evidence", ""))))</f>
        <v>High</v>
      </c>
      <c r="U1758">
        <v>1.5</v>
      </c>
    </row>
    <row r="1759" spans="1:22" x14ac:dyDescent="0.35">
      <c r="A1759" t="s">
        <v>967</v>
      </c>
      <c r="B1759" s="143">
        <v>45379</v>
      </c>
      <c r="C1759" s="2" t="str" cm="1">
        <f t="array" ref="C17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59">
        <f>YEAR(AllData[[#This Row],[Date]])</f>
        <v>2024</v>
      </c>
      <c r="E1759" s="1">
        <v>0.44722222222222224</v>
      </c>
      <c r="F1759" t="str">
        <f>IF(AND(AllData[[#This Row],[Time]]&lt;0.5, AllData[[#This Row],[Time]]&gt;0.17)=TRUE, "Morning", IF(AND(AllData[[#This Row],[Time]]&lt;0.75, AllData[[#This Row],[Time]]&gt;=0.5)=TRUE, "Afternoon", IF(AND(AllData[[#This Row],[Time]]&lt;1, AllData[[#This Row],[Time]]&gt;=0.75)=TRUE, "Evening", "Night")))</f>
        <v>Morning</v>
      </c>
      <c r="G1759" t="str">
        <f>_xlfn.XLOOKUP(AllData[[#This Row],[Location Name]], Locations[Location Name],Locations[Group As])</f>
        <v>Stour Willington</v>
      </c>
      <c r="H1759" t="e" vm="1">
        <f>_xlfn.XLOOKUP(AllData[[#This Row],[Site Name]],LocationsKey[Site Name],LocationsKey[District])</f>
        <v>#VALUE!</v>
      </c>
      <c r="I1759" t="str">
        <f>_xlfn.XLOOKUP(AllData[[#This Row],[Site Name]],LocationsKey[Site Name],LocationsKey[Town])</f>
        <v>Willington</v>
      </c>
      <c r="J1759" t="str">
        <f>_xlfn.XLOOKUP(AllData[[#This Row],[Site Name]],LocationsKey[Site Name], LocationsKey[Waterway])</f>
        <v>Stour</v>
      </c>
      <c r="K1759" t="s">
        <v>521</v>
      </c>
      <c r="L1759">
        <v>52.053576999999997</v>
      </c>
      <c r="M1759">
        <v>-1.6201719999999999</v>
      </c>
      <c r="N1759" t="s">
        <v>25</v>
      </c>
      <c r="O1759">
        <v>353</v>
      </c>
      <c r="P1759">
        <v>10.199999999999999</v>
      </c>
      <c r="Q1759">
        <v>1.5</v>
      </c>
      <c r="R1759" s="107" t="str">
        <f>IF(AllData[[#This Row],[Nitrate (PPM)]]&gt;2, "Very high", IF(AllData[[#This Row],[Nitrate (PPM)]]&gt;1, "High", IF(AllData[[#This Row],[Nitrate (PPM)]]&gt;0.5, "Some evidence", IF(AllData[[#This Row],[Nitrate (PPM)]]&gt;=0, "No evidence"))))</f>
        <v>High</v>
      </c>
      <c r="S1759" s="4">
        <v>0.25</v>
      </c>
      <c r="T1759" s="7" t="str">
        <f>IF(AllData[[#This Row],[Phosphate (PPM)]]&gt;0.5, "Very high", IF(AllData[[#This Row],[Phosphate (PPM)]]&gt;0.1, "High", IF(AllData[[#This Row],[Phosphate (PPM)]]&gt;0.05, "Some evidence", IF(AllData[[#This Row],[Phosphate (PPM)]]&lt;=0.05, "No Evidence", ""))))</f>
        <v>High</v>
      </c>
      <c r="U1759">
        <v>0.5</v>
      </c>
    </row>
    <row r="1760" spans="1:22" x14ac:dyDescent="0.35">
      <c r="A1760" t="s">
        <v>960</v>
      </c>
      <c r="B1760" s="143">
        <v>45378</v>
      </c>
      <c r="C1760" s="2" t="str" cm="1">
        <f t="array" ref="C17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0">
        <f>YEAR(AllData[[#This Row],[Date]])</f>
        <v>2024</v>
      </c>
      <c r="E1760" s="1">
        <v>0.40069444444444446</v>
      </c>
      <c r="F1760" t="str">
        <f>IF(AND(AllData[[#This Row],[Time]]&lt;0.5, AllData[[#This Row],[Time]]&gt;0.17)=TRUE, "Morning", IF(AND(AllData[[#This Row],[Time]]&lt;0.75, AllData[[#This Row],[Time]]&gt;=0.5)=TRUE, "Afternoon", IF(AND(AllData[[#This Row],[Time]]&lt;1, AllData[[#This Row],[Time]]&gt;=0.75)=TRUE, "Evening", "Night")))</f>
        <v>Morning</v>
      </c>
      <c r="G1760" t="str">
        <f>_xlfn.XLOOKUP(AllData[[#This Row],[Location Name]], Locations[Location Name],Locations[Group As])</f>
        <v>Abbey Mill</v>
      </c>
      <c r="H1760" t="e" vm="4">
        <f>_xlfn.XLOOKUP(AllData[[#This Row],[Site Name]],LocationsKey[Site Name],LocationsKey[District])</f>
        <v>#VALUE!</v>
      </c>
      <c r="I1760" t="e" vm="4">
        <f>_xlfn.XLOOKUP(AllData[[#This Row],[Site Name]],LocationsKey[Site Name],LocationsKey[Town])</f>
        <v>#VALUE!</v>
      </c>
      <c r="J1760" t="str">
        <f>_xlfn.XLOOKUP(AllData[[#This Row],[Site Name]],LocationsKey[Site Name], LocationsKey[Waterway])</f>
        <v>Avon</v>
      </c>
      <c r="K1760" t="s">
        <v>27</v>
      </c>
      <c r="L1760">
        <v>51.991314000000003</v>
      </c>
      <c r="M1760">
        <v>-2.1626799999999999</v>
      </c>
      <c r="N1760" t="s">
        <v>25</v>
      </c>
      <c r="O1760">
        <v>810</v>
      </c>
      <c r="P1760">
        <v>9.8000000000000007</v>
      </c>
      <c r="Q1760">
        <v>5</v>
      </c>
      <c r="R1760" s="107" t="str">
        <f>IF(AllData[[#This Row],[Nitrate (PPM)]]&gt;2, "Very high", IF(AllData[[#This Row],[Nitrate (PPM)]]&gt;1, "High", IF(AllData[[#This Row],[Nitrate (PPM)]]&gt;0.5, "Some evidence", IF(AllData[[#This Row],[Nitrate (PPM)]]&gt;=0, "No evidence"))))</f>
        <v>Very high</v>
      </c>
      <c r="S1760" s="4">
        <v>0.98</v>
      </c>
      <c r="T1760" s="7" t="str">
        <f>IF(AllData[[#This Row],[Phosphate (PPM)]]&gt;0.5, "Very high", IF(AllData[[#This Row],[Phosphate (PPM)]]&gt;0.1, "High", IF(AllData[[#This Row],[Phosphate (PPM)]]&gt;0.05, "Some evidence", IF(AllData[[#This Row],[Phosphate (PPM)]]&lt;=0.05, "No Evidence", ""))))</f>
        <v>Very high</v>
      </c>
      <c r="U1760">
        <v>0.7</v>
      </c>
      <c r="V1760" t="s">
        <v>961</v>
      </c>
    </row>
    <row r="1761" spans="1:22" x14ac:dyDescent="0.35">
      <c r="A1761" t="s">
        <v>964</v>
      </c>
      <c r="B1761" s="143">
        <v>45378</v>
      </c>
      <c r="C1761" s="2" t="str" cm="1">
        <f t="array" ref="C17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1">
        <f>YEAR(AllData[[#This Row],[Date]])</f>
        <v>2024</v>
      </c>
      <c r="E1761" s="1">
        <v>0.59375</v>
      </c>
      <c r="F1761" t="str">
        <f>IF(AND(AllData[[#This Row],[Time]]&lt;0.5, AllData[[#This Row],[Time]]&gt;0.17)=TRUE, "Morning", IF(AND(AllData[[#This Row],[Time]]&lt;0.75, AllData[[#This Row],[Time]]&gt;=0.5)=TRUE, "Afternoon", IF(AND(AllData[[#This Row],[Time]]&lt;1, AllData[[#This Row],[Time]]&gt;=0.75)=TRUE, "Evening", "Night")))</f>
        <v>Afternoon</v>
      </c>
      <c r="G1761" t="str">
        <f>_xlfn.XLOOKUP(AllData[[#This Row],[Location Name]], Locations[Location Name],Locations[Group As])</f>
        <v>Alveston Weir</v>
      </c>
      <c r="H1761" t="e" vm="1">
        <f>_xlfn.XLOOKUP(AllData[[#This Row],[Site Name]],LocationsKey[Site Name],LocationsKey[District])</f>
        <v>#VALUE!</v>
      </c>
      <c r="I1761" t="e" vm="2">
        <f>_xlfn.XLOOKUP(AllData[[#This Row],[Site Name]],LocationsKey[Site Name],LocationsKey[Town])</f>
        <v>#VALUE!</v>
      </c>
      <c r="J1761" t="str">
        <f>_xlfn.XLOOKUP(AllData[[#This Row],[Site Name]],LocationsKey[Site Name], LocationsKey[Waterway])</f>
        <v>Avon</v>
      </c>
      <c r="K1761" t="s">
        <v>288</v>
      </c>
      <c r="L1761">
        <v>52.212288999999998</v>
      </c>
      <c r="M1761">
        <v>-1.660452</v>
      </c>
      <c r="N1761" t="s">
        <v>31</v>
      </c>
      <c r="O1761">
        <v>545</v>
      </c>
      <c r="P1761">
        <v>11</v>
      </c>
      <c r="Q1761">
        <v>5</v>
      </c>
      <c r="R1761" s="107" t="str">
        <f>IF(AllData[[#This Row],[Nitrate (PPM)]]&gt;2, "Very high", IF(AllData[[#This Row],[Nitrate (PPM)]]&gt;1, "High", IF(AllData[[#This Row],[Nitrate (PPM)]]&gt;0.5, "Some evidence", IF(AllData[[#This Row],[Nitrate (PPM)]]&gt;=0, "No evidence"))))</f>
        <v>Very high</v>
      </c>
      <c r="S1761" s="4">
        <v>0.43</v>
      </c>
      <c r="T1761" s="7" t="str">
        <f>IF(AllData[[#This Row],[Phosphate (PPM)]]&gt;0.5, "Very high", IF(AllData[[#This Row],[Phosphate (PPM)]]&gt;0.1, "High", IF(AllData[[#This Row],[Phosphate (PPM)]]&gt;0.05, "Some evidence", IF(AllData[[#This Row],[Phosphate (PPM)]]&lt;=0.05, "No Evidence", ""))))</f>
        <v>High</v>
      </c>
      <c r="U1761">
        <v>1.75</v>
      </c>
      <c r="V1761" t="s">
        <v>965</v>
      </c>
    </row>
    <row r="1762" spans="1:22" x14ac:dyDescent="0.35">
      <c r="A1762" t="s">
        <v>962</v>
      </c>
      <c r="B1762" s="143">
        <v>45378</v>
      </c>
      <c r="C1762" s="2" t="str" cm="1">
        <f t="array" ref="C17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2">
        <f>YEAR(AllData[[#This Row],[Date]])</f>
        <v>2024</v>
      </c>
      <c r="E1762" s="1">
        <v>0.57708333333333328</v>
      </c>
      <c r="F1762" t="str">
        <f>IF(AND(AllData[[#This Row],[Time]]&lt;0.5, AllData[[#This Row],[Time]]&gt;0.17)=TRUE, "Morning", IF(AND(AllData[[#This Row],[Time]]&lt;0.75, AllData[[#This Row],[Time]]&gt;=0.5)=TRUE, "Afternoon", IF(AND(AllData[[#This Row],[Time]]&lt;1, AllData[[#This Row],[Time]]&gt;=0.75)=TRUE, "Evening", "Night")))</f>
        <v>Afternoon</v>
      </c>
      <c r="G1762" t="str">
        <f>_xlfn.XLOOKUP(AllData[[#This Row],[Location Name]], Locations[Location Name],Locations[Group As])</f>
        <v>Swiffen Bank</v>
      </c>
      <c r="H1762" t="e" vm="1">
        <f>_xlfn.XLOOKUP(AllData[[#This Row],[Site Name]],LocationsKey[Site Name],LocationsKey[District])</f>
        <v>#VALUE!</v>
      </c>
      <c r="I1762" t="e" vm="2">
        <f>_xlfn.XLOOKUP(AllData[[#This Row],[Site Name]],LocationsKey[Site Name],LocationsKey[Town])</f>
        <v>#VALUE!</v>
      </c>
      <c r="J1762" t="str">
        <f>_xlfn.XLOOKUP(AllData[[#This Row],[Site Name]],LocationsKey[Site Name], LocationsKey[Waterway])</f>
        <v>Avon</v>
      </c>
      <c r="K1762" t="s">
        <v>286</v>
      </c>
      <c r="N1762" t="s">
        <v>31</v>
      </c>
      <c r="O1762">
        <v>542</v>
      </c>
      <c r="P1762">
        <v>12.1</v>
      </c>
      <c r="Q1762">
        <v>5</v>
      </c>
      <c r="R1762" s="107" t="str">
        <f>IF(AllData[[#This Row],[Nitrate (PPM)]]&gt;2, "Very high", IF(AllData[[#This Row],[Nitrate (PPM)]]&gt;1, "High", IF(AllData[[#This Row],[Nitrate (PPM)]]&gt;0.5, "Some evidence", IF(AllData[[#This Row],[Nitrate (PPM)]]&gt;=0, "No evidence"))))</f>
        <v>Very high</v>
      </c>
      <c r="S1762" s="4">
        <v>0.74</v>
      </c>
      <c r="T1762" s="7" t="str">
        <f>IF(AllData[[#This Row],[Phosphate (PPM)]]&gt;0.5, "Very high", IF(AllData[[#This Row],[Phosphate (PPM)]]&gt;0.1, "High", IF(AllData[[#This Row],[Phosphate (PPM)]]&gt;0.05, "Some evidence", IF(AllData[[#This Row],[Phosphate (PPM)]]&lt;=0.05, "No Evidence", ""))))</f>
        <v>Very high</v>
      </c>
      <c r="U1762">
        <v>1.75</v>
      </c>
      <c r="V1762" t="s">
        <v>963</v>
      </c>
    </row>
    <row r="1763" spans="1:22" x14ac:dyDescent="0.35">
      <c r="A1763" t="s">
        <v>966</v>
      </c>
      <c r="B1763" s="143">
        <v>45378</v>
      </c>
      <c r="C1763" s="2" t="str" cm="1">
        <f t="array" ref="C17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3">
        <f>YEAR(AllData[[#This Row],[Date]])</f>
        <v>2024</v>
      </c>
      <c r="E1763" s="1">
        <v>0.625</v>
      </c>
      <c r="F1763" t="str">
        <f>IF(AND(AllData[[#This Row],[Time]]&lt;0.5, AllData[[#This Row],[Time]]&gt;0.17)=TRUE, "Morning", IF(AND(AllData[[#This Row],[Time]]&lt;0.75, AllData[[#This Row],[Time]]&gt;=0.5)=TRUE, "Afternoon", IF(AND(AllData[[#This Row],[Time]]&lt;1, AllData[[#This Row],[Time]]&gt;=0.75)=TRUE, "Evening", "Night")))</f>
        <v>Afternoon</v>
      </c>
      <c r="G1763" t="str">
        <f>_xlfn.XLOOKUP(AllData[[#This Row],[Location Name]], Locations[Location Name],Locations[Group As])</f>
        <v>Stour Newbold Mill</v>
      </c>
      <c r="H1763" t="e" vm="1">
        <f>_xlfn.XLOOKUP(AllData[[#This Row],[Site Name]],LocationsKey[Site Name],LocationsKey[District])</f>
        <v>#VALUE!</v>
      </c>
      <c r="I1763" t="e" vm="27">
        <f>_xlfn.XLOOKUP(AllData[[#This Row],[Site Name]],LocationsKey[Site Name],LocationsKey[Town])</f>
        <v>#VALUE!</v>
      </c>
      <c r="J1763" t="str">
        <f>_xlfn.XLOOKUP(AllData[[#This Row],[Site Name]],LocationsKey[Site Name], LocationsKey[Waterway])</f>
        <v>Stour</v>
      </c>
      <c r="K1763" t="s">
        <v>141</v>
      </c>
      <c r="L1763">
        <v>52.112907999999997</v>
      </c>
      <c r="M1763">
        <v>-1.6332070000000001</v>
      </c>
      <c r="N1763" t="s">
        <v>68</v>
      </c>
      <c r="O1763">
        <v>460</v>
      </c>
      <c r="P1763">
        <v>13.1</v>
      </c>
      <c r="Q1763">
        <v>2</v>
      </c>
      <c r="R1763" s="107" t="str">
        <f>IF(AllData[[#This Row],[Nitrate (PPM)]]&gt;2, "Very high", IF(AllData[[#This Row],[Nitrate (PPM)]]&gt;1, "High", IF(AllData[[#This Row],[Nitrate (PPM)]]&gt;0.5, "Some evidence", IF(AllData[[#This Row],[Nitrate (PPM)]]&gt;=0, "No evidence"))))</f>
        <v>High</v>
      </c>
      <c r="S1763" s="4">
        <v>0.19</v>
      </c>
      <c r="T1763" s="7" t="str">
        <f>IF(AllData[[#This Row],[Phosphate (PPM)]]&gt;0.5, "Very high", IF(AllData[[#This Row],[Phosphate (PPM)]]&gt;0.1, "High", IF(AllData[[#This Row],[Phosphate (PPM)]]&gt;0.05, "Some evidence", IF(AllData[[#This Row],[Phosphate (PPM)]]&lt;=0.05, "No Evidence", ""))))</f>
        <v>High</v>
      </c>
      <c r="U1763">
        <v>3.5</v>
      </c>
      <c r="V1763" t="s">
        <v>908</v>
      </c>
    </row>
    <row r="1764" spans="1:22" x14ac:dyDescent="0.35">
      <c r="A1764" t="s">
        <v>958</v>
      </c>
      <c r="B1764" s="143">
        <v>45376</v>
      </c>
      <c r="C1764" s="2" t="str" cm="1">
        <f t="array" ref="C17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4">
        <f>YEAR(AllData[[#This Row],[Date]])</f>
        <v>2024</v>
      </c>
      <c r="E1764" s="1">
        <v>0.37986111111111109</v>
      </c>
      <c r="F1764" t="str">
        <f>IF(AND(AllData[[#This Row],[Time]]&lt;0.5, AllData[[#This Row],[Time]]&gt;0.17)=TRUE, "Morning", IF(AND(AllData[[#This Row],[Time]]&lt;0.75, AllData[[#This Row],[Time]]&gt;=0.5)=TRUE, "Afternoon", IF(AND(AllData[[#This Row],[Time]]&lt;1, AllData[[#This Row],[Time]]&gt;=0.75)=TRUE, "Evening", "Night")))</f>
        <v>Morning</v>
      </c>
      <c r="G1764" t="str">
        <f>_xlfn.XLOOKUP(AllData[[#This Row],[Location Name]], Locations[Location Name],Locations[Group As])</f>
        <v>Stour Stretton-on-Fosse Sewage Works</v>
      </c>
      <c r="H1764" t="e" vm="1">
        <f>_xlfn.XLOOKUP(AllData[[#This Row],[Site Name]],LocationsKey[Site Name],LocationsKey[District])</f>
        <v>#VALUE!</v>
      </c>
      <c r="I1764" t="e" vm="30">
        <f>_xlfn.XLOOKUP(AllData[[#This Row],[Site Name]],LocationsKey[Site Name],LocationsKey[Town])</f>
        <v>#VALUE!</v>
      </c>
      <c r="J1764" t="str">
        <f>_xlfn.XLOOKUP(AllData[[#This Row],[Site Name]],LocationsKey[Site Name], LocationsKey[Waterway])</f>
        <v>Stour</v>
      </c>
      <c r="K1764" t="s">
        <v>337</v>
      </c>
      <c r="L1764">
        <v>52.045610000000003</v>
      </c>
      <c r="M1764">
        <v>-1.6719390000000001</v>
      </c>
      <c r="N1764" t="s">
        <v>31</v>
      </c>
      <c r="O1764">
        <v>760</v>
      </c>
      <c r="P1764">
        <v>8.1</v>
      </c>
      <c r="Q1764">
        <v>2</v>
      </c>
      <c r="R1764" s="107" t="str">
        <f>IF(AllData[[#This Row],[Nitrate (PPM)]]&gt;2, "Very high", IF(AllData[[#This Row],[Nitrate (PPM)]]&gt;1, "High", IF(AllData[[#This Row],[Nitrate (PPM)]]&gt;0.5, "Some evidence", IF(AllData[[#This Row],[Nitrate (PPM)]]&gt;=0, "No evidence"))))</f>
        <v>High</v>
      </c>
      <c r="S1764" s="4">
        <v>2.5</v>
      </c>
      <c r="T1764" s="7" t="str">
        <f>IF(AllData[[#This Row],[Phosphate (PPM)]]&gt;0.5, "Very high", IF(AllData[[#This Row],[Phosphate (PPM)]]&gt;0.1, "High", IF(AllData[[#This Row],[Phosphate (PPM)]]&gt;0.05, "Some evidence", IF(AllData[[#This Row],[Phosphate (PPM)]]&lt;=0.05, "No Evidence", ""))))</f>
        <v>Very high</v>
      </c>
      <c r="U1764">
        <v>0.3</v>
      </c>
      <c r="V1764" t="s">
        <v>959</v>
      </c>
    </row>
    <row r="1765" spans="1:22" x14ac:dyDescent="0.35">
      <c r="A1765" t="s">
        <v>957</v>
      </c>
      <c r="B1765" s="143">
        <v>45376</v>
      </c>
      <c r="C1765" s="2" t="str" cm="1">
        <f t="array" ref="C17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5">
        <f>YEAR(AllData[[#This Row],[Date]])</f>
        <v>2024</v>
      </c>
      <c r="E1765" s="1">
        <v>0.37361111111111112</v>
      </c>
      <c r="F1765" t="str">
        <f>IF(AND(AllData[[#This Row],[Time]]&lt;0.5, AllData[[#This Row],[Time]]&gt;0.17)=TRUE, "Morning", IF(AND(AllData[[#This Row],[Time]]&lt;0.75, AllData[[#This Row],[Time]]&gt;=0.5)=TRUE, "Afternoon", IF(AND(AllData[[#This Row],[Time]]&lt;1, AllData[[#This Row],[Time]]&gt;=0.75)=TRUE, "Evening", "Night")))</f>
        <v>Morning</v>
      </c>
      <c r="G1765" t="str">
        <f>_xlfn.XLOOKUP(AllData[[#This Row],[Location Name]], Locations[Location Name],Locations[Group As])</f>
        <v>Stour Stretton-on-Fosse Village</v>
      </c>
      <c r="H1765" t="e" vm="1">
        <f>_xlfn.XLOOKUP(AllData[[#This Row],[Site Name]],LocationsKey[Site Name],LocationsKey[District])</f>
        <v>#VALUE!</v>
      </c>
      <c r="I1765" t="e" vm="30">
        <f>_xlfn.XLOOKUP(AllData[[#This Row],[Site Name]],LocationsKey[Site Name],LocationsKey[Town])</f>
        <v>#VALUE!</v>
      </c>
      <c r="J1765" t="str">
        <f>_xlfn.XLOOKUP(AllData[[#This Row],[Site Name]],LocationsKey[Site Name], LocationsKey[Waterway])</f>
        <v>Stour</v>
      </c>
      <c r="K1765" t="s">
        <v>548</v>
      </c>
      <c r="L1765">
        <v>52.046520999999998</v>
      </c>
      <c r="M1765">
        <v>-1.673325</v>
      </c>
      <c r="N1765" t="s">
        <v>68</v>
      </c>
      <c r="O1765">
        <v>702</v>
      </c>
      <c r="P1765">
        <v>8.4</v>
      </c>
      <c r="Q1765">
        <v>2</v>
      </c>
      <c r="R1765" s="107" t="str">
        <f>IF(AllData[[#This Row],[Nitrate (PPM)]]&gt;2, "Very high", IF(AllData[[#This Row],[Nitrate (PPM)]]&gt;1, "High", IF(AllData[[#This Row],[Nitrate (PPM)]]&gt;0.5, "Some evidence", IF(AllData[[#This Row],[Nitrate (PPM)]]&gt;=0, "No evidence"))))</f>
        <v>High</v>
      </c>
      <c r="S1765" s="4">
        <v>1.57</v>
      </c>
      <c r="T1765" s="7" t="str">
        <f>IF(AllData[[#This Row],[Phosphate (PPM)]]&gt;0.5, "Very high", IF(AllData[[#This Row],[Phosphate (PPM)]]&gt;0.1, "High", IF(AllData[[#This Row],[Phosphate (PPM)]]&gt;0.05, "Some evidence", IF(AllData[[#This Row],[Phosphate (PPM)]]&lt;=0.05, "No Evidence", ""))))</f>
        <v>Very high</v>
      </c>
      <c r="U1765">
        <v>0.2</v>
      </c>
    </row>
    <row r="1766" spans="1:22" x14ac:dyDescent="0.35">
      <c r="A1766" t="s">
        <v>955</v>
      </c>
      <c r="B1766" s="143">
        <v>45375</v>
      </c>
      <c r="C1766" s="2" t="str" cm="1">
        <f t="array" ref="C17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6">
        <f>YEAR(AllData[[#This Row],[Date]])</f>
        <v>2024</v>
      </c>
      <c r="E1766" s="1"/>
      <c r="F1766" t="str">
        <f>IF(AND(AllData[[#This Row],[Time]]&lt;0.5, AllData[[#This Row],[Time]]&gt;0.17)=TRUE, "Morning", IF(AND(AllData[[#This Row],[Time]]&lt;0.75, AllData[[#This Row],[Time]]&gt;=0.5)=TRUE, "Afternoon", IF(AND(AllData[[#This Row],[Time]]&lt;1, AllData[[#This Row],[Time]]&gt;=0.75)=TRUE, "Evening", "Night")))</f>
        <v>Night</v>
      </c>
      <c r="G1766" t="str">
        <f>_xlfn.XLOOKUP(AllData[[#This Row],[Location Name]], Locations[Location Name],Locations[Group As])</f>
        <v>Site 3  :  Severn Trent Water processing plant outflow</v>
      </c>
      <c r="H1766" t="e" vm="1">
        <f>_xlfn.XLOOKUP(AllData[[#This Row],[Site Name]],LocationsKey[Site Name],LocationsKey[District])</f>
        <v>#VALUE!</v>
      </c>
      <c r="I1766" t="e" vm="14">
        <f>_xlfn.XLOOKUP(AllData[[#This Row],[Site Name]],LocationsKey[Site Name],LocationsKey[Town])</f>
        <v>#VALUE!</v>
      </c>
      <c r="J1766" t="str">
        <f>_xlfn.XLOOKUP(AllData[[#This Row],[Site Name]],LocationsKey[Site Name], LocationsKey[Waterway])</f>
        <v>Fosseway Brook</v>
      </c>
      <c r="K1766" t="s">
        <v>676</v>
      </c>
      <c r="L1766">
        <v>52.094423999999997</v>
      </c>
      <c r="M1766">
        <v>-1.6759090000000001</v>
      </c>
      <c r="N1766" t="s">
        <v>31</v>
      </c>
      <c r="O1766">
        <v>866</v>
      </c>
      <c r="P1766">
        <v>13.3</v>
      </c>
      <c r="Q1766">
        <v>10</v>
      </c>
      <c r="R1766" s="107" t="str">
        <f>IF(AllData[[#This Row],[Nitrate (PPM)]]&gt;2, "Very high", IF(AllData[[#This Row],[Nitrate (PPM)]]&gt;1, "High", IF(AllData[[#This Row],[Nitrate (PPM)]]&gt;0.5, "Some evidence", IF(AllData[[#This Row],[Nitrate (PPM)]]&gt;=0, "No evidence"))))</f>
        <v>Very high</v>
      </c>
      <c r="S1766" s="4">
        <v>2.5</v>
      </c>
      <c r="T1766" s="7" t="str">
        <f>IF(AllData[[#This Row],[Phosphate (PPM)]]&gt;0.5, "Very high", IF(AllData[[#This Row],[Phosphate (PPM)]]&gt;0.1, "High", IF(AllData[[#This Row],[Phosphate (PPM)]]&gt;0.05, "Some evidence", IF(AllData[[#This Row],[Phosphate (PPM)]]&lt;=0.05, "No Evidence", ""))))</f>
        <v>Very high</v>
      </c>
      <c r="V1766" t="s">
        <v>950</v>
      </c>
    </row>
    <row r="1767" spans="1:22" x14ac:dyDescent="0.35">
      <c r="A1767" t="s">
        <v>953</v>
      </c>
      <c r="B1767" s="143">
        <v>45375</v>
      </c>
      <c r="C1767" s="2" t="str" cm="1">
        <f t="array" ref="C17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7">
        <f>YEAR(AllData[[#This Row],[Date]])</f>
        <v>2024</v>
      </c>
      <c r="F1767" t="str">
        <f>IF(AND(AllData[[#This Row],[Time]]&lt;0.5, AllData[[#This Row],[Time]]&gt;0.17)=TRUE, "Morning", IF(AND(AllData[[#This Row],[Time]]&lt;0.75, AllData[[#This Row],[Time]]&gt;=0.5)=TRUE, "Afternoon", IF(AND(AllData[[#This Row],[Time]]&lt;1, AllData[[#This Row],[Time]]&gt;=0.75)=TRUE, "Evening", "Night")))</f>
        <v>Night</v>
      </c>
      <c r="G1767" t="str">
        <f>_xlfn.XLOOKUP(AllData[[#This Row],[Location Name]], Locations[Location Name],Locations[Group As])</f>
        <v>Site 3  :  Severn Trent Water processing plant outflow</v>
      </c>
      <c r="H1767" t="e" vm="1">
        <f>_xlfn.XLOOKUP(AllData[[#This Row],[Site Name]],LocationsKey[Site Name],LocationsKey[District])</f>
        <v>#VALUE!</v>
      </c>
      <c r="I1767" t="e" vm="14">
        <f>_xlfn.XLOOKUP(AllData[[#This Row],[Site Name]],LocationsKey[Site Name],LocationsKey[Town])</f>
        <v>#VALUE!</v>
      </c>
      <c r="J1767" t="str">
        <f>_xlfn.XLOOKUP(AllData[[#This Row],[Site Name]],LocationsKey[Site Name], LocationsKey[Waterway])</f>
        <v>Fosseway Brook</v>
      </c>
      <c r="K1767" t="s">
        <v>673</v>
      </c>
      <c r="L1767">
        <v>52.094423999999997</v>
      </c>
      <c r="M1767">
        <v>-1.6759090000000001</v>
      </c>
      <c r="N1767" t="s">
        <v>31</v>
      </c>
      <c r="O1767">
        <v>866</v>
      </c>
      <c r="P1767">
        <v>13.3</v>
      </c>
      <c r="Q1767">
        <v>10</v>
      </c>
      <c r="R1767" s="107" t="str">
        <f>IF(AllData[[#This Row],[Nitrate (PPM)]]&gt;2, "Very high", IF(AllData[[#This Row],[Nitrate (PPM)]]&gt;1, "High", IF(AllData[[#This Row],[Nitrate (PPM)]]&gt;0.5, "Some evidence", IF(AllData[[#This Row],[Nitrate (PPM)]]&gt;=0, "No evidence"))))</f>
        <v>Very high</v>
      </c>
      <c r="S1767" s="4">
        <v>2.5</v>
      </c>
      <c r="T1767" s="7" t="str">
        <f>IF(AllData[[#This Row],[Phosphate (PPM)]]&gt;0.5, "Very high", IF(AllData[[#This Row],[Phosphate (PPM)]]&gt;0.1, "High", IF(AllData[[#This Row],[Phosphate (PPM)]]&gt;0.05, "Some evidence", IF(AllData[[#This Row],[Phosphate (PPM)]]&lt;=0.05, "No Evidence", ""))))</f>
        <v>Very high</v>
      </c>
      <c r="U1767">
        <v>0</v>
      </c>
      <c r="V1767" t="s">
        <v>954</v>
      </c>
    </row>
    <row r="1768" spans="1:22" x14ac:dyDescent="0.35">
      <c r="A1768" t="s">
        <v>937</v>
      </c>
      <c r="B1768" s="143">
        <v>45375</v>
      </c>
      <c r="C1768" s="2" t="str" cm="1">
        <f t="array" ref="C17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8">
        <f>YEAR(AllData[[#This Row],[Date]])</f>
        <v>2024</v>
      </c>
      <c r="E1768" s="1">
        <v>0.55208333333333337</v>
      </c>
      <c r="F1768" t="str">
        <f>IF(AND(AllData[[#This Row],[Time]]&lt;0.5, AllData[[#This Row],[Time]]&gt;0.17)=TRUE, "Morning", IF(AND(AllData[[#This Row],[Time]]&lt;0.75, AllData[[#This Row],[Time]]&gt;=0.5)=TRUE, "Afternoon", IF(AND(AllData[[#This Row],[Time]]&lt;1, AllData[[#This Row],[Time]]&gt;=0.75)=TRUE, "Evening", "Night")))</f>
        <v>Afternoon</v>
      </c>
      <c r="G1768" t="str">
        <f>_xlfn.XLOOKUP(AllData[[#This Row],[Location Name]], Locations[Location Name],Locations[Group As])</f>
        <v>Pershore Bridges</v>
      </c>
      <c r="H1768" t="e" vm="6">
        <f>_xlfn.XLOOKUP(AllData[[#This Row],[Site Name]],LocationsKey[Site Name],LocationsKey[District])</f>
        <v>#VALUE!</v>
      </c>
      <c r="I1768" t="e" vm="7">
        <f>_xlfn.XLOOKUP(AllData[[#This Row],[Site Name]],LocationsKey[Site Name],LocationsKey[Town])</f>
        <v>#VALUE!</v>
      </c>
      <c r="J1768" t="str">
        <f>_xlfn.XLOOKUP(AllData[[#This Row],[Site Name]],LocationsKey[Site Name], LocationsKey[Waterway])</f>
        <v>Avon</v>
      </c>
      <c r="K1768" t="s">
        <v>938</v>
      </c>
      <c r="L1768">
        <v>52.104187000000003</v>
      </c>
      <c r="M1768">
        <v>-2.0709179999999998</v>
      </c>
      <c r="O1768">
        <v>770</v>
      </c>
      <c r="P1768">
        <v>12</v>
      </c>
      <c r="Q1768">
        <v>10</v>
      </c>
      <c r="R1768" s="107" t="str">
        <f>IF(AllData[[#This Row],[Nitrate (PPM)]]&gt;2, "Very high", IF(AllData[[#This Row],[Nitrate (PPM)]]&gt;1, "High", IF(AllData[[#This Row],[Nitrate (PPM)]]&gt;0.5, "Some evidence", IF(AllData[[#This Row],[Nitrate (PPM)]]&gt;=0, "No evidence"))))</f>
        <v>Very high</v>
      </c>
      <c r="S1768" s="4">
        <v>0.57999999999999996</v>
      </c>
      <c r="T1768" s="7" t="str">
        <f>IF(AllData[[#This Row],[Phosphate (PPM)]]&gt;0.5, "Very high", IF(AllData[[#This Row],[Phosphate (PPM)]]&gt;0.1, "High", IF(AllData[[#This Row],[Phosphate (PPM)]]&gt;0.05, "Some evidence", IF(AllData[[#This Row],[Phosphate (PPM)]]&lt;=0.05, "No Evidence", ""))))</f>
        <v>Very high</v>
      </c>
      <c r="U1768">
        <v>3.42</v>
      </c>
    </row>
    <row r="1769" spans="1:22" x14ac:dyDescent="0.35">
      <c r="A1769" t="s">
        <v>934</v>
      </c>
      <c r="B1769" s="143">
        <v>45375</v>
      </c>
      <c r="C1769" s="2" t="str" cm="1">
        <f t="array" ref="C17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69">
        <f>YEAR(AllData[[#This Row],[Date]])</f>
        <v>2024</v>
      </c>
      <c r="E1769" s="1">
        <v>0.44097222222222221</v>
      </c>
      <c r="F1769" t="str">
        <f>IF(AND(AllData[[#This Row],[Time]]&lt;0.5, AllData[[#This Row],[Time]]&gt;0.17)=TRUE, "Morning", IF(AND(AllData[[#This Row],[Time]]&lt;0.75, AllData[[#This Row],[Time]]&gt;=0.5)=TRUE, "Afternoon", IF(AND(AllData[[#This Row],[Time]]&lt;1, AllData[[#This Row],[Time]]&gt;=0.75)=TRUE, "Evening", "Night")))</f>
        <v>Morning</v>
      </c>
      <c r="G1769" t="str">
        <f>_xlfn.XLOOKUP(AllData[[#This Row],[Location Name]], Locations[Location Name],Locations[Group As])</f>
        <v>Fell Mill Footbridge</v>
      </c>
      <c r="H1769" t="e" vm="1">
        <f>_xlfn.XLOOKUP(AllData[[#This Row],[Site Name]],LocationsKey[Site Name],LocationsKey[District])</f>
        <v>#VALUE!</v>
      </c>
      <c r="I1769" t="e" vm="15">
        <f>_xlfn.XLOOKUP(AllData[[#This Row],[Site Name]],LocationsKey[Site Name],LocationsKey[Town])</f>
        <v>#VALUE!</v>
      </c>
      <c r="J1769" t="str">
        <f>_xlfn.XLOOKUP(AllData[[#This Row],[Site Name]],LocationsKey[Site Name], LocationsKey[Waterway])</f>
        <v>Stour</v>
      </c>
      <c r="K1769" t="s">
        <v>875</v>
      </c>
      <c r="L1769">
        <v>52.068274000000002</v>
      </c>
      <c r="M1769">
        <v>-1.621486</v>
      </c>
      <c r="N1769" t="s">
        <v>31</v>
      </c>
      <c r="O1769">
        <v>592</v>
      </c>
      <c r="P1769">
        <v>10.1</v>
      </c>
      <c r="Q1769">
        <v>10</v>
      </c>
      <c r="R1769" s="107" t="str">
        <f>IF(AllData[[#This Row],[Nitrate (PPM)]]&gt;2, "Very high", IF(AllData[[#This Row],[Nitrate (PPM)]]&gt;1, "High", IF(AllData[[#This Row],[Nitrate (PPM)]]&gt;0.5, "Some evidence", IF(AllData[[#This Row],[Nitrate (PPM)]]&gt;=0, "No evidence"))))</f>
        <v>Very high</v>
      </c>
      <c r="S1769" s="4">
        <v>0.28999999999999998</v>
      </c>
      <c r="T1769" s="7" t="str">
        <f>IF(AllData[[#This Row],[Phosphate (PPM)]]&gt;0.5, "Very high", IF(AllData[[#This Row],[Phosphate (PPM)]]&gt;0.1, "High", IF(AllData[[#This Row],[Phosphate (PPM)]]&gt;0.05, "Some evidence", IF(AllData[[#This Row],[Phosphate (PPM)]]&lt;=0.05, "No Evidence", ""))))</f>
        <v>High</v>
      </c>
      <c r="U1769">
        <v>1.5</v>
      </c>
      <c r="V1769" t="s">
        <v>935</v>
      </c>
    </row>
    <row r="1770" spans="1:22" x14ac:dyDescent="0.35">
      <c r="A1770" t="s">
        <v>939</v>
      </c>
      <c r="B1770" s="143">
        <v>45375</v>
      </c>
      <c r="C1770" s="2" t="str" cm="1">
        <f t="array" ref="C17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0">
        <f>YEAR(AllData[[#This Row],[Date]])</f>
        <v>2024</v>
      </c>
      <c r="E1770" s="1">
        <v>0.5625</v>
      </c>
      <c r="F1770" t="str">
        <f>IF(AND(AllData[[#This Row],[Time]]&lt;0.5, AllData[[#This Row],[Time]]&gt;0.17)=TRUE, "Morning", IF(AND(AllData[[#This Row],[Time]]&lt;0.75, AllData[[#This Row],[Time]]&gt;=0.5)=TRUE, "Afternoon", IF(AND(AllData[[#This Row],[Time]]&lt;1, AllData[[#This Row],[Time]]&gt;=0.75)=TRUE, "Evening", "Night")))</f>
        <v>Afternoon</v>
      </c>
      <c r="G1770" t="str">
        <f>_xlfn.XLOOKUP(AllData[[#This Row],[Location Name]], Locations[Location Name],Locations[Group As])</f>
        <v>Clifford Chambers Mill Bridge</v>
      </c>
      <c r="H1770" t="e" vm="1">
        <f>_xlfn.XLOOKUP(AllData[[#This Row],[Site Name]],LocationsKey[Site Name],LocationsKey[District])</f>
        <v>#VALUE!</v>
      </c>
      <c r="I1770" t="e" vm="22">
        <f>_xlfn.XLOOKUP(AllData[[#This Row],[Site Name]],LocationsKey[Site Name],LocationsKey[Town])</f>
        <v>#VALUE!</v>
      </c>
      <c r="J1770" t="str">
        <f>_xlfn.XLOOKUP(AllData[[#This Row],[Site Name]],LocationsKey[Site Name], LocationsKey[Waterway])</f>
        <v>Stour</v>
      </c>
      <c r="K1770" t="s">
        <v>266</v>
      </c>
      <c r="L1770">
        <v>52.166370000000001</v>
      </c>
      <c r="M1770">
        <v>-1.708032</v>
      </c>
      <c r="N1770" t="s">
        <v>68</v>
      </c>
      <c r="O1770">
        <v>663</v>
      </c>
      <c r="P1770">
        <v>11.1</v>
      </c>
      <c r="Q1770">
        <v>8</v>
      </c>
      <c r="R1770" s="107" t="str">
        <f>IF(AllData[[#This Row],[Nitrate (PPM)]]&gt;2, "Very high", IF(AllData[[#This Row],[Nitrate (PPM)]]&gt;1, "High", IF(AllData[[#This Row],[Nitrate (PPM)]]&gt;0.5, "Some evidence", IF(AllData[[#This Row],[Nitrate (PPM)]]&gt;=0, "No evidence"))))</f>
        <v>Very high</v>
      </c>
      <c r="S1770" s="4">
        <v>0.31</v>
      </c>
      <c r="T1770" s="7" t="str">
        <f>IF(AllData[[#This Row],[Phosphate (PPM)]]&gt;0.5, "Very high", IF(AllData[[#This Row],[Phosphate (PPM)]]&gt;0.1, "High", IF(AllData[[#This Row],[Phosphate (PPM)]]&gt;0.05, "Some evidence", IF(AllData[[#This Row],[Phosphate (PPM)]]&lt;=0.05, "No Evidence", ""))))</f>
        <v>High</v>
      </c>
      <c r="U1770">
        <v>1</v>
      </c>
    </row>
    <row r="1771" spans="1:22" x14ac:dyDescent="0.35">
      <c r="A1771" t="s">
        <v>944</v>
      </c>
      <c r="B1771" s="143">
        <v>45375</v>
      </c>
      <c r="C1771" s="2" t="str" cm="1">
        <f t="array" ref="C17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1">
        <f>YEAR(AllData[[#This Row],[Date]])</f>
        <v>2024</v>
      </c>
      <c r="E1771" s="1">
        <v>0.75486111111111109</v>
      </c>
      <c r="F1771" t="str">
        <f>IF(AND(AllData[[#This Row],[Time]]&lt;0.5, AllData[[#This Row],[Time]]&gt;0.17)=TRUE, "Morning", IF(AND(AllData[[#This Row],[Time]]&lt;0.75, AllData[[#This Row],[Time]]&gt;=0.5)=TRUE, "Afternoon", IF(AND(AllData[[#This Row],[Time]]&lt;1, AllData[[#This Row],[Time]]&gt;=0.75)=TRUE, "Evening", "Night")))</f>
        <v>Evening</v>
      </c>
      <c r="G1771" t="str">
        <f>_xlfn.XLOOKUP(AllData[[#This Row],[Location Name]], Locations[Location Name],Locations[Group As])</f>
        <v>Walcot Lane, Bow Brook Ford</v>
      </c>
      <c r="H1771" t="e" vm="6">
        <f>_xlfn.XLOOKUP(AllData[[#This Row],[Site Name]],LocationsKey[Site Name],LocationsKey[District])</f>
        <v>#VALUE!</v>
      </c>
      <c r="I1771" t="e" vm="7">
        <f>_xlfn.XLOOKUP(AllData[[#This Row],[Site Name]],LocationsKey[Site Name],LocationsKey[Town])</f>
        <v>#VALUE!</v>
      </c>
      <c r="J1771" t="str">
        <f>_xlfn.XLOOKUP(AllData[[#This Row],[Site Name]],LocationsKey[Site Name], LocationsKey[Waterway])</f>
        <v>Bow Brook</v>
      </c>
      <c r="K1771" t="s">
        <v>945</v>
      </c>
      <c r="L1771">
        <v>52.130540000000003</v>
      </c>
      <c r="M1771">
        <v>-2.0785439999999999</v>
      </c>
      <c r="N1771" t="s">
        <v>25</v>
      </c>
      <c r="O1771">
        <v>933</v>
      </c>
      <c r="P1771">
        <v>10.3</v>
      </c>
      <c r="Q1771">
        <v>5</v>
      </c>
      <c r="R1771" s="107" t="str">
        <f>IF(AllData[[#This Row],[Nitrate (PPM)]]&gt;2, "Very high", IF(AllData[[#This Row],[Nitrate (PPM)]]&gt;1, "High", IF(AllData[[#This Row],[Nitrate (PPM)]]&gt;0.5, "Some evidence", IF(AllData[[#This Row],[Nitrate (PPM)]]&gt;=0, "No evidence"))))</f>
        <v>Very high</v>
      </c>
      <c r="S1771" s="4">
        <v>0.9</v>
      </c>
      <c r="T1771" s="7" t="str">
        <f>IF(AllData[[#This Row],[Phosphate (PPM)]]&gt;0.5, "Very high", IF(AllData[[#This Row],[Phosphate (PPM)]]&gt;0.1, "High", IF(AllData[[#This Row],[Phosphate (PPM)]]&gt;0.05, "Some evidence", IF(AllData[[#This Row],[Phosphate (PPM)]]&lt;=0.05, "No Evidence", ""))))</f>
        <v>Very high</v>
      </c>
      <c r="U1771">
        <v>0.5</v>
      </c>
      <c r="V1771" t="s">
        <v>946</v>
      </c>
    </row>
    <row r="1772" spans="1:22" x14ac:dyDescent="0.35">
      <c r="A1772" t="s">
        <v>952</v>
      </c>
      <c r="B1772" s="143">
        <v>45375</v>
      </c>
      <c r="C1772" s="2" t="str" cm="1">
        <f t="array" ref="C17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2">
        <f>YEAR(AllData[[#This Row],[Date]])</f>
        <v>2024</v>
      </c>
      <c r="E1772" s="1"/>
      <c r="F1772" t="str">
        <f>IF(AND(AllData[[#This Row],[Time]]&lt;0.5, AllData[[#This Row],[Time]]&gt;0.17)=TRUE, "Morning", IF(AND(AllData[[#This Row],[Time]]&lt;0.75, AllData[[#This Row],[Time]]&gt;=0.5)=TRUE, "Afternoon", IF(AND(AllData[[#This Row],[Time]]&lt;1, AllData[[#This Row],[Time]]&gt;=0.75)=TRUE, "Evening", "Night")))</f>
        <v>Night</v>
      </c>
      <c r="G1772" t="str">
        <f>_xlfn.XLOOKUP(AllData[[#This Row],[Location Name]], Locations[Location Name],Locations[Group As])</f>
        <v>Site 2  :  Cross Leys culvert</v>
      </c>
      <c r="H1772" t="e" vm="1">
        <f>_xlfn.XLOOKUP(AllData[[#This Row],[Site Name]],LocationsKey[Site Name],LocationsKey[District])</f>
        <v>#VALUE!</v>
      </c>
      <c r="I1772" t="e" vm="14">
        <f>_xlfn.XLOOKUP(AllData[[#This Row],[Site Name]],LocationsKey[Site Name],LocationsKey[Town])</f>
        <v>#VALUE!</v>
      </c>
      <c r="J1772" t="str">
        <f>_xlfn.XLOOKUP(AllData[[#This Row],[Site Name]],LocationsKey[Site Name], LocationsKey[Waterway])</f>
        <v>Fosseway Brook</v>
      </c>
      <c r="K1772" t="s">
        <v>626</v>
      </c>
      <c r="L1772">
        <v>52.092967999999999</v>
      </c>
      <c r="M1772">
        <v>-1.6862710000000001</v>
      </c>
      <c r="N1772" t="s">
        <v>68</v>
      </c>
      <c r="O1772">
        <v>666</v>
      </c>
      <c r="P1772">
        <v>11.5</v>
      </c>
      <c r="Q1772">
        <v>5</v>
      </c>
      <c r="R1772" s="107" t="str">
        <f>IF(AllData[[#This Row],[Nitrate (PPM)]]&gt;2, "Very high", IF(AllData[[#This Row],[Nitrate (PPM)]]&gt;1, "High", IF(AllData[[#This Row],[Nitrate (PPM)]]&gt;0.5, "Some evidence", IF(AllData[[#This Row],[Nitrate (PPM)]]&gt;=0, "No evidence"))))</f>
        <v>Very high</v>
      </c>
      <c r="S1772" s="4">
        <v>0.13</v>
      </c>
      <c r="T1772" s="7" t="str">
        <f>IF(AllData[[#This Row],[Phosphate (PPM)]]&gt;0.5, "Very high", IF(AllData[[#This Row],[Phosphate (PPM)]]&gt;0.1, "High", IF(AllData[[#This Row],[Phosphate (PPM)]]&gt;0.05, "Some evidence", IF(AllData[[#This Row],[Phosphate (PPM)]]&lt;=0.05, "No Evidence", ""))))</f>
        <v>High</v>
      </c>
      <c r="V1772" t="s">
        <v>950</v>
      </c>
    </row>
    <row r="1773" spans="1:22" x14ac:dyDescent="0.35">
      <c r="A1773" t="s">
        <v>951</v>
      </c>
      <c r="B1773" s="143">
        <v>45375</v>
      </c>
      <c r="C1773" s="2" t="str" cm="1">
        <f t="array" ref="C17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3">
        <f>YEAR(AllData[[#This Row],[Date]])</f>
        <v>2024</v>
      </c>
      <c r="F1773" t="str">
        <f>IF(AND(AllData[[#This Row],[Time]]&lt;0.5, AllData[[#This Row],[Time]]&gt;0.17)=TRUE, "Morning", IF(AND(AllData[[#This Row],[Time]]&lt;0.75, AllData[[#This Row],[Time]]&gt;=0.5)=TRUE, "Afternoon", IF(AND(AllData[[#This Row],[Time]]&lt;1, AllData[[#This Row],[Time]]&gt;=0.75)=TRUE, "Evening", "Night")))</f>
        <v>Night</v>
      </c>
      <c r="G1773" t="str">
        <f>_xlfn.XLOOKUP(AllData[[#This Row],[Location Name]], Locations[Location Name],Locations[Group As])</f>
        <v>Site 2  :  Cross Leys culvert</v>
      </c>
      <c r="H1773" t="e" vm="1">
        <f>_xlfn.XLOOKUP(AllData[[#This Row],[Site Name]],LocationsKey[Site Name],LocationsKey[District])</f>
        <v>#VALUE!</v>
      </c>
      <c r="I1773" t="e" vm="14">
        <f>_xlfn.XLOOKUP(AllData[[#This Row],[Site Name]],LocationsKey[Site Name],LocationsKey[Town])</f>
        <v>#VALUE!</v>
      </c>
      <c r="J1773" t="str">
        <f>_xlfn.XLOOKUP(AllData[[#This Row],[Site Name]],LocationsKey[Site Name], LocationsKey[Waterway])</f>
        <v>Fosseway Brook</v>
      </c>
      <c r="K1773" t="s">
        <v>623</v>
      </c>
      <c r="L1773">
        <v>52.092967999999999</v>
      </c>
      <c r="M1773">
        <v>-1.6862710000000001</v>
      </c>
      <c r="N1773" t="s">
        <v>68</v>
      </c>
      <c r="O1773">
        <v>666</v>
      </c>
      <c r="P1773">
        <v>11.5</v>
      </c>
      <c r="Q1773">
        <v>5</v>
      </c>
      <c r="R1773" s="107" t="str">
        <f>IF(AllData[[#This Row],[Nitrate (PPM)]]&gt;2, "Very high", IF(AllData[[#This Row],[Nitrate (PPM)]]&gt;1, "High", IF(AllData[[#This Row],[Nitrate (PPM)]]&gt;0.5, "Some evidence", IF(AllData[[#This Row],[Nitrate (PPM)]]&gt;=0, "No evidence"))))</f>
        <v>Very high</v>
      </c>
      <c r="S1773" s="4">
        <v>0.13</v>
      </c>
      <c r="T1773" s="7" t="str">
        <f>IF(AllData[[#This Row],[Phosphate (PPM)]]&gt;0.5, "Very high", IF(AllData[[#This Row],[Phosphate (PPM)]]&gt;0.1, "High", IF(AllData[[#This Row],[Phosphate (PPM)]]&gt;0.05, "Some evidence", IF(AllData[[#This Row],[Phosphate (PPM)]]&lt;=0.05, "No Evidence", ""))))</f>
        <v>High</v>
      </c>
      <c r="U1773">
        <v>0</v>
      </c>
      <c r="V1773" t="s">
        <v>948</v>
      </c>
    </row>
    <row r="1774" spans="1:22" x14ac:dyDescent="0.35">
      <c r="A1774" t="s">
        <v>942</v>
      </c>
      <c r="B1774" s="143">
        <v>45375</v>
      </c>
      <c r="C1774" s="2" t="str" cm="1">
        <f t="array" ref="C17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4">
        <f>YEAR(AllData[[#This Row],[Date]])</f>
        <v>2024</v>
      </c>
      <c r="E1774" s="1">
        <v>0.63541666666666663</v>
      </c>
      <c r="F1774" t="str">
        <f>IF(AND(AllData[[#This Row],[Time]]&lt;0.5, AllData[[#This Row],[Time]]&gt;0.17)=TRUE, "Morning", IF(AND(AllData[[#This Row],[Time]]&lt;0.75, AllData[[#This Row],[Time]]&gt;=0.5)=TRUE, "Afternoon", IF(AND(AllData[[#This Row],[Time]]&lt;1, AllData[[#This Row],[Time]]&gt;=0.75)=TRUE, "Evening", "Night")))</f>
        <v>Afternoon</v>
      </c>
      <c r="G1774" t="str">
        <f>_xlfn.XLOOKUP(AllData[[#This Row],[Location Name]], Locations[Location Name],Locations[Group As])</f>
        <v>Bell Brook 1</v>
      </c>
      <c r="H1774" t="e" vm="1">
        <f>_xlfn.XLOOKUP(AllData[[#This Row],[Site Name]],LocationsKey[Site Name],LocationsKey[District])</f>
        <v>#VALUE!</v>
      </c>
      <c r="I1774" t="e" vm="19">
        <f>_xlfn.XLOOKUP(AllData[[#This Row],[Site Name]],LocationsKey[Site Name],LocationsKey[Town])</f>
        <v>#VALUE!</v>
      </c>
      <c r="J1774" t="str">
        <f>_xlfn.XLOOKUP(AllData[[#This Row],[Site Name]],LocationsKey[Site Name], LocationsKey[Waterway])</f>
        <v>Bell Brook</v>
      </c>
      <c r="K1774" t="s">
        <v>538</v>
      </c>
      <c r="L1774">
        <v>52.244900000000001</v>
      </c>
      <c r="M1774">
        <v>-1.6617</v>
      </c>
      <c r="N1774" t="s">
        <v>25</v>
      </c>
      <c r="O1774">
        <v>107</v>
      </c>
      <c r="P1774">
        <v>10.3</v>
      </c>
      <c r="Q1774">
        <v>5</v>
      </c>
      <c r="R1774" s="107" t="str">
        <f>IF(AllData[[#This Row],[Nitrate (PPM)]]&gt;2, "Very high", IF(AllData[[#This Row],[Nitrate (PPM)]]&gt;1, "High", IF(AllData[[#This Row],[Nitrate (PPM)]]&gt;0.5, "Some evidence", IF(AllData[[#This Row],[Nitrate (PPM)]]&gt;=0, "No evidence"))))</f>
        <v>Very high</v>
      </c>
      <c r="S1774" s="4">
        <v>0.53</v>
      </c>
      <c r="T1774" s="7" t="str">
        <f>IF(AllData[[#This Row],[Phosphate (PPM)]]&gt;0.5, "Very high", IF(AllData[[#This Row],[Phosphate (PPM)]]&gt;0.1, "High", IF(AllData[[#This Row],[Phosphate (PPM)]]&gt;0.05, "Some evidence", IF(AllData[[#This Row],[Phosphate (PPM)]]&lt;=0.05, "No Evidence", ""))))</f>
        <v>Very high</v>
      </c>
      <c r="U1774">
        <v>0.15</v>
      </c>
      <c r="V1774" t="s">
        <v>798</v>
      </c>
    </row>
    <row r="1775" spans="1:22" x14ac:dyDescent="0.35">
      <c r="A1775" t="s">
        <v>936</v>
      </c>
      <c r="B1775" s="143">
        <v>45375</v>
      </c>
      <c r="C1775" s="2" t="str" cm="1">
        <f t="array" ref="C17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5">
        <f>YEAR(AllData[[#This Row],[Date]])</f>
        <v>2024</v>
      </c>
      <c r="E1775" s="1">
        <v>0.45833333333333331</v>
      </c>
      <c r="F1775" t="str">
        <f>IF(AND(AllData[[#This Row],[Time]]&lt;0.5, AllData[[#This Row],[Time]]&gt;0.17)=TRUE, "Morning", IF(AND(AllData[[#This Row],[Time]]&lt;0.75, AllData[[#This Row],[Time]]&gt;=0.5)=TRUE, "Afternoon", IF(AND(AllData[[#This Row],[Time]]&lt;1, AllData[[#This Row],[Time]]&gt;=0.75)=TRUE, "Evening", "Night")))</f>
        <v>Morning</v>
      </c>
      <c r="G1775" t="str">
        <f>_xlfn.XLOOKUP(AllData[[#This Row],[Location Name]], Locations[Location Name],Locations[Group As])</f>
        <v>Lucy's Mill Bridge</v>
      </c>
      <c r="H1775" t="e" vm="1">
        <f>_xlfn.XLOOKUP(AllData[[#This Row],[Site Name]],LocationsKey[Site Name],LocationsKey[District])</f>
        <v>#VALUE!</v>
      </c>
      <c r="I1775" t="e" vm="12">
        <f>_xlfn.XLOOKUP(AllData[[#This Row],[Site Name]],LocationsKey[Site Name],LocationsKey[Town])</f>
        <v>#VALUE!</v>
      </c>
      <c r="J1775" t="str">
        <f>_xlfn.XLOOKUP(AllData[[#This Row],[Site Name]],LocationsKey[Site Name], LocationsKey[Waterway])</f>
        <v>Avon</v>
      </c>
      <c r="K1775" t="s">
        <v>212</v>
      </c>
      <c r="L1775">
        <v>52.183698999999997</v>
      </c>
      <c r="M1775">
        <v>-1.707816</v>
      </c>
      <c r="N1775" t="s">
        <v>31</v>
      </c>
      <c r="P1775">
        <v>11.5</v>
      </c>
      <c r="Q1775">
        <v>5</v>
      </c>
      <c r="R1775" s="107" t="str">
        <f>IF(AllData[[#This Row],[Nitrate (PPM)]]&gt;2, "Very high", IF(AllData[[#This Row],[Nitrate (PPM)]]&gt;1, "High", IF(AllData[[#This Row],[Nitrate (PPM)]]&gt;0.5, "Some evidence", IF(AllData[[#This Row],[Nitrate (PPM)]]&gt;=0, "No evidence"))))</f>
        <v>Very high</v>
      </c>
      <c r="S1775" s="4">
        <v>0.25</v>
      </c>
      <c r="T1775" s="7" t="str">
        <f>IF(AllData[[#This Row],[Phosphate (PPM)]]&gt;0.5, "Very high", IF(AllData[[#This Row],[Phosphate (PPM)]]&gt;0.1, "High", IF(AllData[[#This Row],[Phosphate (PPM)]]&gt;0.05, "Some evidence", IF(AllData[[#This Row],[Phosphate (PPM)]]&lt;=0.05, "No Evidence", ""))))</f>
        <v>High</v>
      </c>
      <c r="U1775">
        <v>0.7</v>
      </c>
    </row>
    <row r="1776" spans="1:22" x14ac:dyDescent="0.35">
      <c r="A1776" t="s">
        <v>940</v>
      </c>
      <c r="B1776" s="143">
        <v>45375</v>
      </c>
      <c r="C1776" s="2" t="str" cm="1">
        <f t="array" ref="C17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6">
        <f>YEAR(AllData[[#This Row],[Date]])</f>
        <v>2024</v>
      </c>
      <c r="E1776" s="1">
        <v>0.625</v>
      </c>
      <c r="F1776" t="str">
        <f>IF(AND(AllData[[#This Row],[Time]]&lt;0.5, AllData[[#This Row],[Time]]&gt;0.17)=TRUE, "Morning", IF(AND(AllData[[#This Row],[Time]]&lt;0.75, AllData[[#This Row],[Time]]&gt;=0.5)=TRUE, "Afternoon", IF(AND(AllData[[#This Row],[Time]]&lt;1, AllData[[#This Row],[Time]]&gt;=0.75)=TRUE, "Evening", "Night")))</f>
        <v>Afternoon</v>
      </c>
      <c r="G1776" t="str">
        <f>_xlfn.XLOOKUP(AllData[[#This Row],[Location Name]], Locations[Location Name],Locations[Group As])</f>
        <v>Sherbourne Brook 2</v>
      </c>
      <c r="H1776" t="e" vm="1">
        <f>_xlfn.XLOOKUP(AllData[[#This Row],[Site Name]],LocationsKey[Site Name],LocationsKey[District])</f>
        <v>#VALUE!</v>
      </c>
      <c r="I1776" t="str">
        <f>_xlfn.XLOOKUP(AllData[[#This Row],[Site Name]],LocationsKey[Site Name],LocationsKey[Town])</f>
        <v>Unknown</v>
      </c>
      <c r="J1776" t="str">
        <f>_xlfn.XLOOKUP(AllData[[#This Row],[Site Name]],LocationsKey[Site Name], LocationsKey[Waterway])</f>
        <v>Sherbourne Brook</v>
      </c>
      <c r="K1776" t="s">
        <v>941</v>
      </c>
      <c r="N1776" t="s">
        <v>25</v>
      </c>
      <c r="O1776">
        <v>100</v>
      </c>
      <c r="P1776">
        <v>10.8</v>
      </c>
      <c r="Q1776">
        <v>4</v>
      </c>
      <c r="R1776" s="107" t="str">
        <f>IF(AllData[[#This Row],[Nitrate (PPM)]]&gt;2, "Very high", IF(AllData[[#This Row],[Nitrate (PPM)]]&gt;1, "High", IF(AllData[[#This Row],[Nitrate (PPM)]]&gt;0.5, "Some evidence", IF(AllData[[#This Row],[Nitrate (PPM)]]&gt;=0, "No evidence"))))</f>
        <v>Very high</v>
      </c>
      <c r="S1776" s="4">
        <v>0.57999999999999996</v>
      </c>
      <c r="T1776" s="7" t="str">
        <f>IF(AllData[[#This Row],[Phosphate (PPM)]]&gt;0.5, "Very high", IF(AllData[[#This Row],[Phosphate (PPM)]]&gt;0.1, "High", IF(AllData[[#This Row],[Phosphate (PPM)]]&gt;0.05, "Some evidence", IF(AllData[[#This Row],[Phosphate (PPM)]]&lt;=0.05, "No Evidence", ""))))</f>
        <v>Very high</v>
      </c>
      <c r="U1776">
        <v>0.2</v>
      </c>
      <c r="V1776" t="s">
        <v>798</v>
      </c>
    </row>
    <row r="1777" spans="1:22" x14ac:dyDescent="0.35">
      <c r="A1777" t="s">
        <v>943</v>
      </c>
      <c r="B1777" s="143">
        <v>45375</v>
      </c>
      <c r="C1777" s="2" t="str" cm="1">
        <f t="array" ref="C17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7">
        <f>YEAR(AllData[[#This Row],[Date]])</f>
        <v>2024</v>
      </c>
      <c r="E1777" s="1">
        <v>0.66666666666666663</v>
      </c>
      <c r="F1777" t="str">
        <f>IF(AND(AllData[[#This Row],[Time]]&lt;0.5, AllData[[#This Row],[Time]]&gt;0.17)=TRUE, "Morning", IF(AND(AllData[[#This Row],[Time]]&lt;0.75, AllData[[#This Row],[Time]]&gt;=0.5)=TRUE, "Afternoon", IF(AND(AllData[[#This Row],[Time]]&lt;1, AllData[[#This Row],[Time]]&gt;=0.75)=TRUE, "Evening", "Night")))</f>
        <v>Afternoon</v>
      </c>
      <c r="G1777" t="str">
        <f>_xlfn.XLOOKUP(AllData[[#This Row],[Location Name]], Locations[Location Name],Locations[Group As])</f>
        <v>The Ford, Langley</v>
      </c>
      <c r="H1777" t="e" vm="1">
        <f>_xlfn.XLOOKUP(AllData[[#This Row],[Site Name]],LocationsKey[Site Name],LocationsKey[District])</f>
        <v>#VALUE!</v>
      </c>
      <c r="I1777" t="str">
        <f>_xlfn.XLOOKUP(AllData[[#This Row],[Site Name]],LocationsKey[Site Name],LocationsKey[Town])</f>
        <v>Langley</v>
      </c>
      <c r="J1777" t="str">
        <f>_xlfn.XLOOKUP(AllData[[#This Row],[Site Name]],LocationsKey[Site Name], LocationsKey[Waterway])</f>
        <v>Langley Ford</v>
      </c>
      <c r="K1777" t="s">
        <v>561</v>
      </c>
      <c r="L1777">
        <v>52.259639</v>
      </c>
      <c r="M1777">
        <v>-1.7181999999999999</v>
      </c>
      <c r="N1777" t="s">
        <v>31</v>
      </c>
      <c r="O1777">
        <v>634</v>
      </c>
      <c r="P1777">
        <v>9.6</v>
      </c>
      <c r="Q1777">
        <v>2</v>
      </c>
      <c r="R1777" s="107" t="str">
        <f>IF(AllData[[#This Row],[Nitrate (PPM)]]&gt;2, "Very high", IF(AllData[[#This Row],[Nitrate (PPM)]]&gt;1, "High", IF(AllData[[#This Row],[Nitrate (PPM)]]&gt;0.5, "Some evidence", IF(AllData[[#This Row],[Nitrate (PPM)]]&gt;=0, "No evidence"))))</f>
        <v>High</v>
      </c>
      <c r="S1777" s="4">
        <v>0.68</v>
      </c>
      <c r="T1777" s="7" t="str">
        <f>IF(AllData[[#This Row],[Phosphate (PPM)]]&gt;0.5, "Very high", IF(AllData[[#This Row],[Phosphate (PPM)]]&gt;0.1, "High", IF(AllData[[#This Row],[Phosphate (PPM)]]&gt;0.05, "Some evidence", IF(AllData[[#This Row],[Phosphate (PPM)]]&lt;=0.05, "No Evidence", ""))))</f>
        <v>Very high</v>
      </c>
      <c r="U1777">
        <v>0.45</v>
      </c>
    </row>
    <row r="1778" spans="1:22" x14ac:dyDescent="0.35">
      <c r="A1778" t="s">
        <v>949</v>
      </c>
      <c r="B1778" s="143">
        <v>45375</v>
      </c>
      <c r="C1778" s="2" t="str" cm="1">
        <f t="array" ref="C17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8">
        <f>YEAR(AllData[[#This Row],[Date]])</f>
        <v>2024</v>
      </c>
      <c r="E1778" s="1"/>
      <c r="F1778" t="str">
        <f>IF(AND(AllData[[#This Row],[Time]]&lt;0.5, AllData[[#This Row],[Time]]&gt;0.17)=TRUE, "Morning", IF(AND(AllData[[#This Row],[Time]]&lt;0.75, AllData[[#This Row],[Time]]&gt;=0.5)=TRUE, "Afternoon", IF(AND(AllData[[#This Row],[Time]]&lt;1, AllData[[#This Row],[Time]]&gt;=0.75)=TRUE, "Evening", "Night")))</f>
        <v>Night</v>
      </c>
      <c r="G1778" t="str">
        <f>_xlfn.XLOOKUP(AllData[[#This Row],[Location Name]], Locations[Location Name],Locations[Group As])</f>
        <v>Site 1  :  Middle Street</v>
      </c>
      <c r="H1778" t="e" vm="1">
        <f>_xlfn.XLOOKUP(AllData[[#This Row],[Site Name]],LocationsKey[Site Name],LocationsKey[District])</f>
        <v>#VALUE!</v>
      </c>
      <c r="I1778" t="e" vm="14">
        <f>_xlfn.XLOOKUP(AllData[[#This Row],[Site Name]],LocationsKey[Site Name],LocationsKey[Town])</f>
        <v>#VALUE!</v>
      </c>
      <c r="J1778" t="str">
        <f>_xlfn.XLOOKUP(AllData[[#This Row],[Site Name]],LocationsKey[Site Name], LocationsKey[Waterway])</f>
        <v>Fosseway Brook</v>
      </c>
      <c r="K1778" t="s">
        <v>670</v>
      </c>
      <c r="L1778">
        <v>52.090085000000002</v>
      </c>
      <c r="M1778">
        <v>-1.692593</v>
      </c>
      <c r="N1778" t="s">
        <v>68</v>
      </c>
      <c r="O1778">
        <v>588</v>
      </c>
      <c r="P1778">
        <v>12.1</v>
      </c>
      <c r="Q1778">
        <v>2</v>
      </c>
      <c r="R1778" s="107" t="str">
        <f>IF(AllData[[#This Row],[Nitrate (PPM)]]&gt;2, "Very high", IF(AllData[[#This Row],[Nitrate (PPM)]]&gt;1, "High", IF(AllData[[#This Row],[Nitrate (PPM)]]&gt;0.5, "Some evidence", IF(AllData[[#This Row],[Nitrate (PPM)]]&gt;=0, "No evidence"))))</f>
        <v>High</v>
      </c>
      <c r="S1778" s="4">
        <v>0</v>
      </c>
      <c r="T1778" s="7" t="str">
        <f>IF(AllData[[#This Row],[Phosphate (PPM)]]&gt;0.5, "Very high", IF(AllData[[#This Row],[Phosphate (PPM)]]&gt;0.1, "High", IF(AllData[[#This Row],[Phosphate (PPM)]]&gt;0.05, "Some evidence", IF(AllData[[#This Row],[Phosphate (PPM)]]&lt;=0.05, "No Evidence", ""))))</f>
        <v>No Evidence</v>
      </c>
      <c r="V1778" t="s">
        <v>950</v>
      </c>
    </row>
    <row r="1779" spans="1:22" x14ac:dyDescent="0.35">
      <c r="A1779" t="s">
        <v>947</v>
      </c>
      <c r="B1779" s="143">
        <v>45375</v>
      </c>
      <c r="C1779" s="2" t="str" cm="1">
        <f t="array" ref="C17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79">
        <f>YEAR(AllData[[#This Row],[Date]])</f>
        <v>2024</v>
      </c>
      <c r="F1779" t="str">
        <f>IF(AND(AllData[[#This Row],[Time]]&lt;0.5, AllData[[#This Row],[Time]]&gt;0.17)=TRUE, "Morning", IF(AND(AllData[[#This Row],[Time]]&lt;0.75, AllData[[#This Row],[Time]]&gt;=0.5)=TRUE, "Afternoon", IF(AND(AllData[[#This Row],[Time]]&lt;1, AllData[[#This Row],[Time]]&gt;=0.75)=TRUE, "Evening", "Night")))</f>
        <v>Night</v>
      </c>
      <c r="G1779" t="str">
        <f>_xlfn.XLOOKUP(AllData[[#This Row],[Location Name]], Locations[Location Name],Locations[Group As])</f>
        <v>Site 1  :  Middle Street</v>
      </c>
      <c r="H1779" t="e" vm="1">
        <f>_xlfn.XLOOKUP(AllData[[#This Row],[Site Name]],LocationsKey[Site Name],LocationsKey[District])</f>
        <v>#VALUE!</v>
      </c>
      <c r="I1779" t="e" vm="14">
        <f>_xlfn.XLOOKUP(AllData[[#This Row],[Site Name]],LocationsKey[Site Name],LocationsKey[Town])</f>
        <v>#VALUE!</v>
      </c>
      <c r="J1779" t="str">
        <f>_xlfn.XLOOKUP(AllData[[#This Row],[Site Name]],LocationsKey[Site Name], LocationsKey[Waterway])</f>
        <v>Fosseway Brook</v>
      </c>
      <c r="K1779" t="s">
        <v>667</v>
      </c>
      <c r="L1779">
        <v>52.090085000000002</v>
      </c>
      <c r="M1779">
        <v>-1.692593</v>
      </c>
      <c r="N1779" t="s">
        <v>68</v>
      </c>
      <c r="O1779">
        <v>588</v>
      </c>
      <c r="P1779">
        <v>12.1</v>
      </c>
      <c r="Q1779">
        <v>2</v>
      </c>
      <c r="R1779" s="107" t="str">
        <f>IF(AllData[[#This Row],[Nitrate (PPM)]]&gt;2, "Very high", IF(AllData[[#This Row],[Nitrate (PPM)]]&gt;1, "High", IF(AllData[[#This Row],[Nitrate (PPM)]]&gt;0.5, "Some evidence", IF(AllData[[#This Row],[Nitrate (PPM)]]&gt;=0, "No evidence"))))</f>
        <v>High</v>
      </c>
      <c r="S1779" s="4">
        <v>0</v>
      </c>
      <c r="T1779" s="7" t="str">
        <f>IF(AllData[[#This Row],[Phosphate (PPM)]]&gt;0.5, "Very high", IF(AllData[[#This Row],[Phosphate (PPM)]]&gt;0.1, "High", IF(AllData[[#This Row],[Phosphate (PPM)]]&gt;0.05, "Some evidence", IF(AllData[[#This Row],[Phosphate (PPM)]]&lt;=0.05, "No Evidence", ""))))</f>
        <v>No Evidence</v>
      </c>
      <c r="U1779">
        <v>0</v>
      </c>
      <c r="V1779" t="s">
        <v>948</v>
      </c>
    </row>
    <row r="1780" spans="1:22" x14ac:dyDescent="0.35">
      <c r="A1780" t="s">
        <v>956</v>
      </c>
      <c r="B1780" s="143">
        <v>45375</v>
      </c>
      <c r="C1780" s="2" t="str" cm="1">
        <f t="array" ref="C17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0">
        <f>YEAR(AllData[[#This Row],[Date]])</f>
        <v>2024</v>
      </c>
      <c r="E1780" s="1">
        <v>0.45</v>
      </c>
      <c r="F1780" t="str">
        <f>IF(AND(AllData[[#This Row],[Time]]&lt;0.5, AllData[[#This Row],[Time]]&gt;0.17)=TRUE, "Morning", IF(AND(AllData[[#This Row],[Time]]&lt;0.75, AllData[[#This Row],[Time]]&gt;=0.5)=TRUE, "Afternoon", IF(AND(AllData[[#This Row],[Time]]&lt;1, AllData[[#This Row],[Time]]&gt;=0.75)=TRUE, "Evening", "Night")))</f>
        <v>Morning</v>
      </c>
      <c r="G1780" t="str">
        <f>_xlfn.XLOOKUP(AllData[[#This Row],[Location Name]], Locations[Location Name],Locations[Group As])</f>
        <v>Site 1  :  Middle Street</v>
      </c>
      <c r="H1780" t="e" vm="1">
        <f>_xlfn.XLOOKUP(AllData[[#This Row],[Site Name]],LocationsKey[Site Name],LocationsKey[District])</f>
        <v>#VALUE!</v>
      </c>
      <c r="I1780" t="e" vm="14">
        <f>_xlfn.XLOOKUP(AllData[[#This Row],[Site Name]],LocationsKey[Site Name],LocationsKey[Town])</f>
        <v>#VALUE!</v>
      </c>
      <c r="J1780" t="str">
        <f>_xlfn.XLOOKUP(AllData[[#This Row],[Site Name]],LocationsKey[Site Name], LocationsKey[Waterway])</f>
        <v>Fosseway Brook</v>
      </c>
      <c r="K1780" t="s">
        <v>678</v>
      </c>
      <c r="L1780">
        <v>52.090085000000002</v>
      </c>
      <c r="M1780">
        <v>-1.692593</v>
      </c>
      <c r="N1780" t="s">
        <v>68</v>
      </c>
      <c r="O1780">
        <v>588</v>
      </c>
      <c r="P1780">
        <v>12.1</v>
      </c>
      <c r="Q1780">
        <v>2</v>
      </c>
      <c r="R1780" s="107" t="str">
        <f>IF(AllData[[#This Row],[Nitrate (PPM)]]&gt;2, "Very high", IF(AllData[[#This Row],[Nitrate (PPM)]]&gt;1, "High", IF(AllData[[#This Row],[Nitrate (PPM)]]&gt;0.5, "Some evidence", IF(AllData[[#This Row],[Nitrate (PPM)]]&gt;=0, "No evidence"))))</f>
        <v>High</v>
      </c>
      <c r="S1780">
        <v>0</v>
      </c>
      <c r="T1780" s="7" t="str">
        <f>IF(AllData[[#This Row],[Phosphate (PPM)]]&gt;0.5, "Very high", IF(AllData[[#This Row],[Phosphate (PPM)]]&gt;0.1, "High", IF(AllData[[#This Row],[Phosphate (PPM)]]&gt;0.05, "Some evidence", IF(AllData[[#This Row],[Phosphate (PPM)]]&lt;=0.05, "No Evidence", ""))))</f>
        <v>No Evidence</v>
      </c>
      <c r="U1780">
        <v>0.05</v>
      </c>
    </row>
    <row r="1781" spans="1:22" x14ac:dyDescent="0.35">
      <c r="A1781" t="s">
        <v>928</v>
      </c>
      <c r="B1781" s="143">
        <v>45374</v>
      </c>
      <c r="C1781" s="2" t="str" cm="1">
        <f t="array" ref="C17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1">
        <f>YEAR(AllData[[#This Row],[Date]])</f>
        <v>2024</v>
      </c>
      <c r="E1781" s="1">
        <v>0.48958333333333331</v>
      </c>
      <c r="F1781" t="str">
        <f>IF(AND(AllData[[#This Row],[Time]]&lt;0.5, AllData[[#This Row],[Time]]&gt;0.17)=TRUE, "Morning", IF(AND(AllData[[#This Row],[Time]]&lt;0.75, AllData[[#This Row],[Time]]&gt;=0.5)=TRUE, "Afternoon", IF(AND(AllData[[#This Row],[Time]]&lt;1, AllData[[#This Row],[Time]]&gt;=0.75)=TRUE, "Evening", "Night")))</f>
        <v>Morning</v>
      </c>
      <c r="G1781" t="str">
        <f>_xlfn.XLOOKUP(AllData[[#This Row],[Location Name]], Locations[Location Name],Locations[Group As])</f>
        <v>Avon Smiths Meadow Wyre Piddle</v>
      </c>
      <c r="H1781" t="e" vm="6">
        <f>_xlfn.XLOOKUP(AllData[[#This Row],[Site Name]],LocationsKey[Site Name],LocationsKey[District])</f>
        <v>#VALUE!</v>
      </c>
      <c r="I1781" t="e" vm="13">
        <f>_xlfn.XLOOKUP(AllData[[#This Row],[Site Name]],LocationsKey[Site Name],LocationsKey[Town])</f>
        <v>#VALUE!</v>
      </c>
      <c r="J1781" t="str">
        <f>_xlfn.XLOOKUP(AllData[[#This Row],[Site Name]],LocationsKey[Site Name], LocationsKey[Waterway])</f>
        <v>Avon</v>
      </c>
      <c r="K1781" t="s">
        <v>784</v>
      </c>
      <c r="L1781">
        <v>52.122883999999999</v>
      </c>
      <c r="M1781">
        <v>-2.0574859999999999</v>
      </c>
      <c r="N1781" t="s">
        <v>25</v>
      </c>
      <c r="O1781">
        <v>747</v>
      </c>
      <c r="P1781">
        <v>10.4</v>
      </c>
      <c r="Q1781">
        <v>10</v>
      </c>
      <c r="R1781" s="107" t="str">
        <f>IF(AllData[[#This Row],[Nitrate (PPM)]]&gt;2, "Very high", IF(AllData[[#This Row],[Nitrate (PPM)]]&gt;1, "High", IF(AllData[[#This Row],[Nitrate (PPM)]]&gt;0.5, "Some evidence", IF(AllData[[#This Row],[Nitrate (PPM)]]&gt;=0, "No evidence"))))</f>
        <v>Very high</v>
      </c>
      <c r="S1781" s="4">
        <v>0.67</v>
      </c>
      <c r="T1781" s="7" t="str">
        <f>IF(AllData[[#This Row],[Phosphate (PPM)]]&gt;0.5, "Very high", IF(AllData[[#This Row],[Phosphate (PPM)]]&gt;0.1, "High", IF(AllData[[#This Row],[Phosphate (PPM)]]&gt;0.05, "Some evidence", IF(AllData[[#This Row],[Phosphate (PPM)]]&lt;=0.05, "No Evidence", ""))))</f>
        <v>Very high</v>
      </c>
      <c r="U1781">
        <v>0.9</v>
      </c>
      <c r="V1781" t="s">
        <v>929</v>
      </c>
    </row>
    <row r="1782" spans="1:22" x14ac:dyDescent="0.35">
      <c r="A1782" t="s">
        <v>932</v>
      </c>
      <c r="B1782" s="143">
        <v>45374</v>
      </c>
      <c r="C1782" s="2" t="str" cm="1">
        <f t="array" ref="C17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2">
        <f>YEAR(AllData[[#This Row],[Date]])</f>
        <v>2024</v>
      </c>
      <c r="E1782" s="1">
        <v>0.52083333333333337</v>
      </c>
      <c r="F1782" t="str">
        <f>IF(AND(AllData[[#This Row],[Time]]&lt;0.5, AllData[[#This Row],[Time]]&gt;0.17)=TRUE, "Morning", IF(AND(AllData[[#This Row],[Time]]&lt;0.75, AllData[[#This Row],[Time]]&gt;=0.5)=TRUE, "Afternoon", IF(AND(AllData[[#This Row],[Time]]&lt;1, AllData[[#This Row],[Time]]&gt;=0.75)=TRUE, "Evening", "Night")))</f>
        <v>Afternoon</v>
      </c>
      <c r="G1782" t="str">
        <f>_xlfn.XLOOKUP(AllData[[#This Row],[Location Name]], Locations[Location Name],Locations[Group As])</f>
        <v>Piddle Brook Wyre Piddle Bridge</v>
      </c>
      <c r="H1782" t="e" vm="6">
        <f>_xlfn.XLOOKUP(AllData[[#This Row],[Site Name]],LocationsKey[Site Name],LocationsKey[District])</f>
        <v>#VALUE!</v>
      </c>
      <c r="I1782" t="e" vm="13">
        <f>_xlfn.XLOOKUP(AllData[[#This Row],[Site Name]],LocationsKey[Site Name],LocationsKey[Town])</f>
        <v>#VALUE!</v>
      </c>
      <c r="J1782" t="str">
        <f>_xlfn.XLOOKUP(AllData[[#This Row],[Site Name]],LocationsKey[Site Name], LocationsKey[Waterway])</f>
        <v>Piddle Brook</v>
      </c>
      <c r="K1782" t="s">
        <v>787</v>
      </c>
      <c r="L1782">
        <v>52.126390000000001</v>
      </c>
      <c r="M1782">
        <v>-2.0564990000000001</v>
      </c>
      <c r="N1782" t="s">
        <v>25</v>
      </c>
      <c r="O1782">
        <v>1020</v>
      </c>
      <c r="P1782">
        <v>9.4</v>
      </c>
      <c r="Q1782">
        <v>5</v>
      </c>
      <c r="R1782" s="107" t="str">
        <f>IF(AllData[[#This Row],[Nitrate (PPM)]]&gt;2, "Very high", IF(AllData[[#This Row],[Nitrate (PPM)]]&gt;1, "High", IF(AllData[[#This Row],[Nitrate (PPM)]]&gt;0.5, "Some evidence", IF(AllData[[#This Row],[Nitrate (PPM)]]&gt;=0, "No evidence"))))</f>
        <v>Very high</v>
      </c>
      <c r="S1782" s="4">
        <v>0.53</v>
      </c>
      <c r="T1782" s="7" t="str">
        <f>IF(AllData[[#This Row],[Phosphate (PPM)]]&gt;0.5, "Very high", IF(AllData[[#This Row],[Phosphate (PPM)]]&gt;0.1, "High", IF(AllData[[#This Row],[Phosphate (PPM)]]&gt;0.05, "Some evidence", IF(AllData[[#This Row],[Phosphate (PPM)]]&lt;=0.05, "No Evidence", ""))))</f>
        <v>Very high</v>
      </c>
      <c r="U1782">
        <v>0.34</v>
      </c>
      <c r="V1782" t="s">
        <v>933</v>
      </c>
    </row>
    <row r="1783" spans="1:22" x14ac:dyDescent="0.35">
      <c r="A1783" t="s">
        <v>930</v>
      </c>
      <c r="B1783" s="143">
        <v>45374</v>
      </c>
      <c r="C1783" s="2" t="str" cm="1">
        <f t="array" ref="C17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3">
        <f>YEAR(AllData[[#This Row],[Date]])</f>
        <v>2024</v>
      </c>
      <c r="E1783" s="1">
        <v>0.52083333333333337</v>
      </c>
      <c r="F1783" t="str">
        <f>IF(AND(AllData[[#This Row],[Time]]&lt;0.5, AllData[[#This Row],[Time]]&gt;0.17)=TRUE, "Morning", IF(AND(AllData[[#This Row],[Time]]&lt;0.75, AllData[[#This Row],[Time]]&gt;=0.5)=TRUE, "Afternoon", IF(AND(AllData[[#This Row],[Time]]&lt;1, AllData[[#This Row],[Time]]&gt;=0.75)=TRUE, "Evening", "Night")))</f>
        <v>Afternoon</v>
      </c>
      <c r="G1783" t="str">
        <f>_xlfn.XLOOKUP(AllData[[#This Row],[Location Name]], Locations[Location Name],Locations[Group As])</f>
        <v>Carrant Bredon Rd</v>
      </c>
      <c r="H1783" t="e" vm="4">
        <f>_xlfn.XLOOKUP(AllData[[#This Row],[Site Name]],LocationsKey[Site Name],LocationsKey[District])</f>
        <v>#VALUE!</v>
      </c>
      <c r="I1783" t="e" vm="4">
        <f>_xlfn.XLOOKUP(AllData[[#This Row],[Site Name]],LocationsKey[Site Name],LocationsKey[Town])</f>
        <v>#VALUE!</v>
      </c>
      <c r="J1783" t="str">
        <f>_xlfn.XLOOKUP(AllData[[#This Row],[Site Name]],LocationsKey[Site Name], LocationsKey[Waterway])</f>
        <v>Carrant</v>
      </c>
      <c r="K1783" t="s">
        <v>603</v>
      </c>
      <c r="L1783">
        <v>51.996478000000003</v>
      </c>
      <c r="M1783">
        <v>-2.155986</v>
      </c>
      <c r="N1783" t="s">
        <v>25</v>
      </c>
      <c r="O1783">
        <v>780</v>
      </c>
      <c r="P1783">
        <v>9.8000000000000007</v>
      </c>
      <c r="Q1783">
        <v>4</v>
      </c>
      <c r="R1783" s="107" t="str">
        <f>IF(AllData[[#This Row],[Nitrate (PPM)]]&gt;2, "Very high", IF(AllData[[#This Row],[Nitrate (PPM)]]&gt;1, "High", IF(AllData[[#This Row],[Nitrate (PPM)]]&gt;0.5, "Some evidence", IF(AllData[[#This Row],[Nitrate (PPM)]]&gt;=0, "No evidence"))))</f>
        <v>Very high</v>
      </c>
      <c r="S1783" s="4">
        <v>0.25</v>
      </c>
      <c r="T1783" s="7" t="str">
        <f>IF(AllData[[#This Row],[Phosphate (PPM)]]&gt;0.5, "Very high", IF(AllData[[#This Row],[Phosphate (PPM)]]&gt;0.1, "High", IF(AllData[[#This Row],[Phosphate (PPM)]]&gt;0.05, "Some evidence", IF(AllData[[#This Row],[Phosphate (PPM)]]&lt;=0.05, "No Evidence", ""))))</f>
        <v>High</v>
      </c>
      <c r="U1783">
        <v>0.01</v>
      </c>
      <c r="V1783" t="s">
        <v>931</v>
      </c>
    </row>
    <row r="1784" spans="1:22" x14ac:dyDescent="0.35">
      <c r="A1784" t="s">
        <v>924</v>
      </c>
      <c r="B1784" s="143">
        <v>45374</v>
      </c>
      <c r="C1784" s="2" t="str" cm="1">
        <f t="array" ref="C17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4">
        <f>YEAR(AllData[[#This Row],[Date]])</f>
        <v>2024</v>
      </c>
      <c r="E1784" s="1">
        <v>0.42708333333333331</v>
      </c>
      <c r="F1784" t="str">
        <f>IF(AND(AllData[[#This Row],[Time]]&lt;0.5, AllData[[#This Row],[Time]]&gt;0.17)=TRUE, "Morning", IF(AND(AllData[[#This Row],[Time]]&lt;0.75, AllData[[#This Row],[Time]]&gt;=0.5)=TRUE, "Afternoon", IF(AND(AllData[[#This Row],[Time]]&lt;1, AllData[[#This Row],[Time]]&gt;=0.75)=TRUE, "Evening", "Night")))</f>
        <v>Morning</v>
      </c>
      <c r="G1784" t="str">
        <f>_xlfn.XLOOKUP(AllData[[#This Row],[Location Name]], Locations[Location Name],Locations[Group As])</f>
        <v>Stour Whichford</v>
      </c>
      <c r="H1784" t="e" vm="1">
        <f>_xlfn.XLOOKUP(AllData[[#This Row],[Site Name]],LocationsKey[Site Name],LocationsKey[District])</f>
        <v>#VALUE!</v>
      </c>
      <c r="I1784" t="e" vm="24">
        <f>_xlfn.XLOOKUP(AllData[[#This Row],[Site Name]],LocationsKey[Site Name],LocationsKey[Town])</f>
        <v>#VALUE!</v>
      </c>
      <c r="J1784" t="str">
        <f>_xlfn.XLOOKUP(AllData[[#This Row],[Site Name]],LocationsKey[Site Name], LocationsKey[Waterway])</f>
        <v>Stour</v>
      </c>
      <c r="K1784" t="s">
        <v>925</v>
      </c>
      <c r="L1784">
        <v>52.017437000000001</v>
      </c>
      <c r="M1784">
        <v>-1.544745</v>
      </c>
      <c r="N1784" t="s">
        <v>31</v>
      </c>
      <c r="O1784">
        <v>593</v>
      </c>
      <c r="P1784">
        <v>9.5</v>
      </c>
      <c r="Q1784">
        <v>2</v>
      </c>
      <c r="R1784" s="107" t="str">
        <f>IF(AllData[[#This Row],[Nitrate (PPM)]]&gt;2, "Very high", IF(AllData[[#This Row],[Nitrate (PPM)]]&gt;1, "High", IF(AllData[[#This Row],[Nitrate (PPM)]]&gt;0.5, "Some evidence", IF(AllData[[#This Row],[Nitrate (PPM)]]&gt;=0, "No evidence"))))</f>
        <v>High</v>
      </c>
      <c r="S1784" s="4">
        <v>0.35</v>
      </c>
      <c r="T1784" s="7" t="str">
        <f>IF(AllData[[#This Row],[Phosphate (PPM)]]&gt;0.5, "Very high", IF(AllData[[#This Row],[Phosphate (PPM)]]&gt;0.1, "High", IF(AllData[[#This Row],[Phosphate (PPM)]]&gt;0.05, "Some evidence", IF(AllData[[#This Row],[Phosphate (PPM)]]&lt;=0.05, "No Evidence", ""))))</f>
        <v>High</v>
      </c>
      <c r="U1784">
        <v>21.6</v>
      </c>
    </row>
    <row r="1785" spans="1:22" x14ac:dyDescent="0.35">
      <c r="A1785" t="s">
        <v>926</v>
      </c>
      <c r="B1785" s="143">
        <v>45374</v>
      </c>
      <c r="C1785" s="2" t="str" cm="1">
        <f t="array" ref="C17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5">
        <f>YEAR(AllData[[#This Row],[Date]])</f>
        <v>2024</v>
      </c>
      <c r="E1785" s="1">
        <v>0.44444444444444442</v>
      </c>
      <c r="F1785" t="str">
        <f>IF(AND(AllData[[#This Row],[Time]]&lt;0.5, AllData[[#This Row],[Time]]&gt;0.17)=TRUE, "Morning", IF(AND(AllData[[#This Row],[Time]]&lt;0.75, AllData[[#This Row],[Time]]&gt;=0.5)=TRUE, "Afternoon", IF(AND(AllData[[#This Row],[Time]]&lt;1, AllData[[#This Row],[Time]]&gt;=0.75)=TRUE, "Evening", "Night")))</f>
        <v>Morning</v>
      </c>
      <c r="G1785" t="str">
        <f>_xlfn.XLOOKUP(AllData[[#This Row],[Location Name]], Locations[Location Name],Locations[Group As])</f>
        <v>Stour Ascott Village</v>
      </c>
      <c r="H1785" t="e" vm="1">
        <f>_xlfn.XLOOKUP(AllData[[#This Row],[Site Name]],LocationsKey[Site Name],LocationsKey[District])</f>
        <v>#VALUE!</v>
      </c>
      <c r="I1785" t="e" vm="25">
        <f>_xlfn.XLOOKUP(AllData[[#This Row],[Site Name]],LocationsKey[Site Name],LocationsKey[Town])</f>
        <v>#VALUE!</v>
      </c>
      <c r="J1785" t="str">
        <f>_xlfn.XLOOKUP(AllData[[#This Row],[Site Name]],LocationsKey[Site Name], LocationsKey[Waterway])</f>
        <v>Stour</v>
      </c>
      <c r="K1785" t="s">
        <v>927</v>
      </c>
      <c r="L1785">
        <v>52.013255999999998</v>
      </c>
      <c r="M1785">
        <v>-1.5387710000000001</v>
      </c>
      <c r="N1785" t="s">
        <v>68</v>
      </c>
      <c r="O1785">
        <v>558</v>
      </c>
      <c r="P1785">
        <v>8.5</v>
      </c>
      <c r="Q1785">
        <v>2</v>
      </c>
      <c r="R1785" s="107" t="str">
        <f>IF(AllData[[#This Row],[Nitrate (PPM)]]&gt;2, "Very high", IF(AllData[[#This Row],[Nitrate (PPM)]]&gt;1, "High", IF(AllData[[#This Row],[Nitrate (PPM)]]&gt;0.5, "Some evidence", IF(AllData[[#This Row],[Nitrate (PPM)]]&gt;=0, "No evidence"))))</f>
        <v>High</v>
      </c>
      <c r="S1785" s="4">
        <v>7.0000000000000007E-2</v>
      </c>
      <c r="T1785" s="7" t="str">
        <f>IF(AllData[[#This Row],[Phosphate (PPM)]]&gt;0.5, "Very high", IF(AllData[[#This Row],[Phosphate (PPM)]]&gt;0.1, "High", IF(AllData[[#This Row],[Phosphate (PPM)]]&gt;0.05, "Some evidence", IF(AllData[[#This Row],[Phosphate (PPM)]]&lt;=0.05, "No Evidence", ""))))</f>
        <v>Some evidence</v>
      </c>
      <c r="U1785">
        <v>12.7</v>
      </c>
    </row>
    <row r="1786" spans="1:22" x14ac:dyDescent="0.35">
      <c r="A1786" t="s">
        <v>918</v>
      </c>
      <c r="B1786" s="143">
        <v>45373</v>
      </c>
      <c r="C1786" s="2" t="str" cm="1">
        <f t="array" ref="C17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6">
        <f>YEAR(AllData[[#This Row],[Date]])</f>
        <v>2024</v>
      </c>
      <c r="E1786" s="1">
        <v>0.40277777777777779</v>
      </c>
      <c r="F1786" t="str">
        <f>IF(AND(AllData[[#This Row],[Time]]&lt;0.5, AllData[[#This Row],[Time]]&gt;0.17)=TRUE, "Morning", IF(AND(AllData[[#This Row],[Time]]&lt;0.75, AllData[[#This Row],[Time]]&gt;=0.5)=TRUE, "Afternoon", IF(AND(AllData[[#This Row],[Time]]&lt;1, AllData[[#This Row],[Time]]&gt;=0.75)=TRUE, "Evening", "Night")))</f>
        <v>Morning</v>
      </c>
      <c r="G1786" t="str">
        <f>_xlfn.XLOOKUP(AllData[[#This Row],[Location Name]], Locations[Location Name],Locations[Group As])</f>
        <v>Lower Lode</v>
      </c>
      <c r="H1786" t="e" vm="4">
        <f>_xlfn.XLOOKUP(AllData[[#This Row],[Site Name]],LocationsKey[Site Name],LocationsKey[District])</f>
        <v>#VALUE!</v>
      </c>
      <c r="I1786" t="e" vm="4">
        <f>_xlfn.XLOOKUP(AllData[[#This Row],[Site Name]],LocationsKey[Site Name],LocationsKey[Town])</f>
        <v>#VALUE!</v>
      </c>
      <c r="J1786" t="str">
        <f>_xlfn.XLOOKUP(AllData[[#This Row],[Site Name]],LocationsKey[Site Name], LocationsKey[Waterway])</f>
        <v>Avon</v>
      </c>
      <c r="K1786" t="s">
        <v>595</v>
      </c>
      <c r="L1786">
        <v>51.985024000000003</v>
      </c>
      <c r="M1786">
        <v>-2.174172</v>
      </c>
      <c r="N1786" t="s">
        <v>31</v>
      </c>
      <c r="O1786">
        <v>7350</v>
      </c>
      <c r="P1786">
        <v>12.4</v>
      </c>
      <c r="Q1786">
        <v>10</v>
      </c>
      <c r="R1786" s="107" t="str">
        <f>IF(AllData[[#This Row],[Nitrate (PPM)]]&gt;2, "Very high", IF(AllData[[#This Row],[Nitrate (PPM)]]&gt;1, "High", IF(AllData[[#This Row],[Nitrate (PPM)]]&gt;0.5, "Some evidence", IF(AllData[[#This Row],[Nitrate (PPM)]]&gt;=0, "No evidence"))))</f>
        <v>Very high</v>
      </c>
      <c r="S1786" s="4">
        <v>0.43</v>
      </c>
      <c r="T1786" s="7" t="str">
        <f>IF(AllData[[#This Row],[Phosphate (PPM)]]&gt;0.5, "Very high", IF(AllData[[#This Row],[Phosphate (PPM)]]&gt;0.1, "High", IF(AllData[[#This Row],[Phosphate (PPM)]]&gt;0.05, "Some evidence", IF(AllData[[#This Row],[Phosphate (PPM)]]&lt;=0.05, "No Evidence", ""))))</f>
        <v>High</v>
      </c>
      <c r="U1786">
        <v>2</v>
      </c>
      <c r="V1786" t="s">
        <v>919</v>
      </c>
    </row>
    <row r="1787" spans="1:22" x14ac:dyDescent="0.35">
      <c r="A1787" t="s">
        <v>914</v>
      </c>
      <c r="B1787" s="143">
        <v>45373</v>
      </c>
      <c r="C1787" s="2" t="str" cm="1">
        <f t="array" ref="C17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7">
        <f>YEAR(AllData[[#This Row],[Date]])</f>
        <v>2024</v>
      </c>
      <c r="E1787" s="1">
        <v>0.37430555555555556</v>
      </c>
      <c r="F1787" t="str">
        <f>IF(AND(AllData[[#This Row],[Time]]&lt;0.5, AllData[[#This Row],[Time]]&gt;0.17)=TRUE, "Morning", IF(AND(AllData[[#This Row],[Time]]&lt;0.75, AllData[[#This Row],[Time]]&gt;=0.5)=TRUE, "Afternoon", IF(AND(AllData[[#This Row],[Time]]&lt;1, AllData[[#This Row],[Time]]&gt;=0.75)=TRUE, "Evening", "Night")))</f>
        <v>Morning</v>
      </c>
      <c r="G1787" t="str">
        <f>_xlfn.XLOOKUP(AllData[[#This Row],[Location Name]], Locations[Location Name],Locations[Group As])</f>
        <v>Mill Bridge Peopleton</v>
      </c>
      <c r="H1787" t="e" vm="6">
        <f>_xlfn.XLOOKUP(AllData[[#This Row],[Site Name]],LocationsKey[Site Name],LocationsKey[District])</f>
        <v>#VALUE!</v>
      </c>
      <c r="I1787" t="str">
        <f>_xlfn.XLOOKUP(AllData[[#This Row],[Site Name]],LocationsKey[Site Name],LocationsKey[Town])</f>
        <v>Peopleton</v>
      </c>
      <c r="J1787" t="str">
        <f>_xlfn.XLOOKUP(AllData[[#This Row],[Site Name]],LocationsKey[Site Name], LocationsKey[Waterway])</f>
        <v>Bow Brook</v>
      </c>
      <c r="K1787" t="s">
        <v>915</v>
      </c>
      <c r="L1787">
        <v>52.151685999999998</v>
      </c>
      <c r="M1787">
        <v>-2.0963069999999999</v>
      </c>
      <c r="N1787" t="s">
        <v>31</v>
      </c>
      <c r="O1787">
        <v>851</v>
      </c>
      <c r="P1787">
        <v>11.9</v>
      </c>
      <c r="Q1787">
        <v>5</v>
      </c>
      <c r="R1787" s="107" t="str">
        <f>IF(AllData[[#This Row],[Nitrate (PPM)]]&gt;2, "Very high", IF(AllData[[#This Row],[Nitrate (PPM)]]&gt;1, "High", IF(AllData[[#This Row],[Nitrate (PPM)]]&gt;0.5, "Some evidence", IF(AllData[[#This Row],[Nitrate (PPM)]]&gt;=0, "No evidence"))))</f>
        <v>Very high</v>
      </c>
      <c r="S1787" s="4">
        <v>0.32</v>
      </c>
      <c r="T1787" s="7" t="str">
        <f>IF(AllData[[#This Row],[Phosphate (PPM)]]&gt;0.5, "Very high", IF(AllData[[#This Row],[Phosphate (PPM)]]&gt;0.1, "High", IF(AllData[[#This Row],[Phosphate (PPM)]]&gt;0.05, "Some evidence", IF(AllData[[#This Row],[Phosphate (PPM)]]&lt;=0.05, "No Evidence", ""))))</f>
        <v>High</v>
      </c>
      <c r="U1787">
        <v>0.9</v>
      </c>
      <c r="V1787" t="s">
        <v>916</v>
      </c>
    </row>
    <row r="1788" spans="1:22" x14ac:dyDescent="0.35">
      <c r="A1788" t="s">
        <v>922</v>
      </c>
      <c r="B1788" s="143">
        <v>45373</v>
      </c>
      <c r="C1788" s="2" t="str" cm="1">
        <f t="array" ref="C17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8">
        <f>YEAR(AllData[[#This Row],[Date]])</f>
        <v>2024</v>
      </c>
      <c r="E1788" s="1">
        <v>0.67708333333333337</v>
      </c>
      <c r="F1788" t="str">
        <f>IF(AND(AllData[[#This Row],[Time]]&lt;0.5, AllData[[#This Row],[Time]]&gt;0.17)=TRUE, "Morning", IF(AND(AllData[[#This Row],[Time]]&lt;0.75, AllData[[#This Row],[Time]]&gt;=0.5)=TRUE, "Afternoon", IF(AND(AllData[[#This Row],[Time]]&lt;1, AllData[[#This Row],[Time]]&gt;=0.75)=TRUE, "Evening", "Night")))</f>
        <v>Afternoon</v>
      </c>
      <c r="G1788" t="str">
        <f>_xlfn.XLOOKUP(AllData[[#This Row],[Location Name]], Locations[Location Name],Locations[Group As])</f>
        <v>Preston Bagot Brook</v>
      </c>
      <c r="H1788" t="e" vm="1">
        <f>_xlfn.XLOOKUP(AllData[[#This Row],[Site Name]],LocationsKey[Site Name],LocationsKey[District])</f>
        <v>#VALUE!</v>
      </c>
      <c r="I1788" t="e" vm="21">
        <f>_xlfn.XLOOKUP(AllData[[#This Row],[Site Name]],LocationsKey[Site Name],LocationsKey[Town])</f>
        <v>#VALUE!</v>
      </c>
      <c r="J1788" t="str">
        <f>_xlfn.XLOOKUP(AllData[[#This Row],[Site Name]],LocationsKey[Site Name], LocationsKey[Waterway])</f>
        <v>Preston Bagot Brook</v>
      </c>
      <c r="K1788" t="s">
        <v>621</v>
      </c>
      <c r="L1788">
        <v>52.28633</v>
      </c>
      <c r="M1788">
        <v>-1.7478499999999999</v>
      </c>
      <c r="N1788" t="s">
        <v>25</v>
      </c>
      <c r="O1788">
        <v>694</v>
      </c>
      <c r="P1788">
        <v>12.7</v>
      </c>
      <c r="Q1788">
        <v>5</v>
      </c>
      <c r="R1788" s="107" t="str">
        <f>IF(AllData[[#This Row],[Nitrate (PPM)]]&gt;2, "Very high", IF(AllData[[#This Row],[Nitrate (PPM)]]&gt;1, "High", IF(AllData[[#This Row],[Nitrate (PPM)]]&gt;0.5, "Some evidence", IF(AllData[[#This Row],[Nitrate (PPM)]]&gt;=0, "No evidence"))))</f>
        <v>Very high</v>
      </c>
      <c r="S1788">
        <v>0.6</v>
      </c>
      <c r="T1788" s="7" t="str">
        <f>IF(AllData[[#This Row],[Phosphate (PPM)]]&gt;0.5, "Very high", IF(AllData[[#This Row],[Phosphate (PPM)]]&gt;0.1, "High", IF(AllData[[#This Row],[Phosphate (PPM)]]&gt;0.05, "Some evidence", IF(AllData[[#This Row],[Phosphate (PPM)]]&lt;=0.05, "No Evidence", ""))))</f>
        <v>Very high</v>
      </c>
      <c r="U1788">
        <v>1</v>
      </c>
      <c r="V1788" t="s">
        <v>923</v>
      </c>
    </row>
    <row r="1789" spans="1:22" x14ac:dyDescent="0.35">
      <c r="A1789" t="s">
        <v>917</v>
      </c>
      <c r="B1789" s="143">
        <v>45373</v>
      </c>
      <c r="C1789" s="2" t="str" cm="1">
        <f t="array" ref="C17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89">
        <f>YEAR(AllData[[#This Row],[Date]])</f>
        <v>2024</v>
      </c>
      <c r="E1789" s="1">
        <v>0.38611111111111113</v>
      </c>
      <c r="F1789" t="str">
        <f>IF(AND(AllData[[#This Row],[Time]]&lt;0.5, AllData[[#This Row],[Time]]&gt;0.17)=TRUE, "Morning", IF(AND(AllData[[#This Row],[Time]]&lt;0.75, AllData[[#This Row],[Time]]&gt;=0.5)=TRUE, "Afternoon", IF(AND(AllData[[#This Row],[Time]]&lt;1, AllData[[#This Row],[Time]]&gt;=0.75)=TRUE, "Evening", "Night")))</f>
        <v>Morning</v>
      </c>
      <c r="G1789" t="str">
        <f>_xlfn.XLOOKUP(AllData[[#This Row],[Location Name]], Locations[Location Name],Locations[Group As])</f>
        <v>Black Bear</v>
      </c>
      <c r="H1789" t="e" vm="4">
        <f>_xlfn.XLOOKUP(AllData[[#This Row],[Site Name]],LocationsKey[Site Name],LocationsKey[District])</f>
        <v>#VALUE!</v>
      </c>
      <c r="I1789" t="e" vm="4">
        <f>_xlfn.XLOOKUP(AllData[[#This Row],[Site Name]],LocationsKey[Site Name],LocationsKey[Town])</f>
        <v>#VALUE!</v>
      </c>
      <c r="J1789" t="str">
        <f>_xlfn.XLOOKUP(AllData[[#This Row],[Site Name]],LocationsKey[Site Name], LocationsKey[Waterway])</f>
        <v>Avon</v>
      </c>
      <c r="K1789" t="s">
        <v>572</v>
      </c>
      <c r="L1789">
        <v>51.997236000000001</v>
      </c>
      <c r="M1789">
        <v>-2.1562730000000001</v>
      </c>
      <c r="N1789" t="s">
        <v>25</v>
      </c>
      <c r="O1789">
        <v>675</v>
      </c>
      <c r="P1789">
        <v>13.7</v>
      </c>
      <c r="Q1789">
        <v>5</v>
      </c>
      <c r="R1789" s="107" t="str">
        <f>IF(AllData[[#This Row],[Nitrate (PPM)]]&gt;2, "Very high", IF(AllData[[#This Row],[Nitrate (PPM)]]&gt;1, "High", IF(AllData[[#This Row],[Nitrate (PPM)]]&gt;0.5, "Some evidence", IF(AllData[[#This Row],[Nitrate (PPM)]]&gt;=0, "No evidence"))))</f>
        <v>Very high</v>
      </c>
      <c r="S1789" s="4">
        <v>0.82</v>
      </c>
      <c r="T1789" s="7" t="str">
        <f>IF(AllData[[#This Row],[Phosphate (PPM)]]&gt;0.5, "Very high", IF(AllData[[#This Row],[Phosphate (PPM)]]&gt;0.1, "High", IF(AllData[[#This Row],[Phosphate (PPM)]]&gt;0.05, "Some evidence", IF(AllData[[#This Row],[Phosphate (PPM)]]&lt;=0.05, "No Evidence", ""))))</f>
        <v>Very high</v>
      </c>
      <c r="U1789">
        <v>0</v>
      </c>
    </row>
    <row r="1790" spans="1:22" x14ac:dyDescent="0.35">
      <c r="A1790" t="s">
        <v>920</v>
      </c>
      <c r="B1790" s="143">
        <v>45373</v>
      </c>
      <c r="C1790" s="2" t="str" cm="1">
        <f t="array" ref="C17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0">
        <f>YEAR(AllData[[#This Row],[Date]])</f>
        <v>2024</v>
      </c>
      <c r="E1790" s="1">
        <v>0.67361111111111116</v>
      </c>
      <c r="F1790" t="str">
        <f>IF(AND(AllData[[#This Row],[Time]]&lt;0.5, AllData[[#This Row],[Time]]&gt;0.17)=TRUE, "Morning", IF(AND(AllData[[#This Row],[Time]]&lt;0.75, AllData[[#This Row],[Time]]&gt;=0.5)=TRUE, "Afternoon", IF(AND(AllData[[#This Row],[Time]]&lt;1, AllData[[#This Row],[Time]]&gt;=0.75)=TRUE, "Evening", "Night")))</f>
        <v>Afternoon</v>
      </c>
      <c r="G1790" t="str">
        <f>_xlfn.XLOOKUP(AllData[[#This Row],[Location Name]], Locations[Location Name],Locations[Group As])</f>
        <v>Preston Bagot Canal</v>
      </c>
      <c r="H1790" t="e" vm="1">
        <f>_xlfn.XLOOKUP(AllData[[#This Row],[Site Name]],LocationsKey[Site Name],LocationsKey[District])</f>
        <v>#VALUE!</v>
      </c>
      <c r="I1790" t="e" vm="21">
        <f>_xlfn.XLOOKUP(AllData[[#This Row],[Site Name]],LocationsKey[Site Name],LocationsKey[Town])</f>
        <v>#VALUE!</v>
      </c>
      <c r="J1790" t="str">
        <f>_xlfn.XLOOKUP(AllData[[#This Row],[Site Name]],LocationsKey[Site Name], LocationsKey[Waterway])</f>
        <v>Preston Bagot Canal</v>
      </c>
      <c r="K1790" t="s">
        <v>618</v>
      </c>
      <c r="L1790">
        <v>52.286540000000002</v>
      </c>
      <c r="M1790">
        <v>-1.74576</v>
      </c>
      <c r="N1790" t="s">
        <v>25</v>
      </c>
      <c r="O1790">
        <v>410</v>
      </c>
      <c r="P1790">
        <v>12.6</v>
      </c>
      <c r="Q1790">
        <v>2</v>
      </c>
      <c r="R1790" s="107" t="str">
        <f>IF(AllData[[#This Row],[Nitrate (PPM)]]&gt;2, "Very high", IF(AllData[[#This Row],[Nitrate (PPM)]]&gt;1, "High", IF(AllData[[#This Row],[Nitrate (PPM)]]&gt;0.5, "Some evidence", IF(AllData[[#This Row],[Nitrate (PPM)]]&gt;=0, "No evidence"))))</f>
        <v>High</v>
      </c>
      <c r="S1790" s="4">
        <v>0.26</v>
      </c>
      <c r="T1790" s="7" t="str">
        <f>IF(AllData[[#This Row],[Phosphate (PPM)]]&gt;0.5, "Very high", IF(AllData[[#This Row],[Phosphate (PPM)]]&gt;0.1, "High", IF(AllData[[#This Row],[Phosphate (PPM)]]&gt;0.05, "Some evidence", IF(AllData[[#This Row],[Phosphate (PPM)]]&lt;=0.05, "No Evidence", ""))))</f>
        <v>High</v>
      </c>
      <c r="U1790">
        <v>0</v>
      </c>
      <c r="V1790" t="s">
        <v>921</v>
      </c>
    </row>
    <row r="1791" spans="1:22" x14ac:dyDescent="0.35">
      <c r="A1791" t="s">
        <v>913</v>
      </c>
      <c r="B1791" s="143">
        <v>45372</v>
      </c>
      <c r="C1791" s="2" t="str" cm="1">
        <f t="array" ref="C17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1">
        <f>YEAR(AllData[[#This Row],[Date]])</f>
        <v>2024</v>
      </c>
      <c r="E1791" s="1">
        <v>0.64583333333333337</v>
      </c>
      <c r="F1791" t="str">
        <f>IF(AND(AllData[[#This Row],[Time]]&lt;0.5, AllData[[#This Row],[Time]]&gt;0.17)=TRUE, "Morning", IF(AND(AllData[[#This Row],[Time]]&lt;0.75, AllData[[#This Row],[Time]]&gt;=0.5)=TRUE, "Afternoon", IF(AND(AllData[[#This Row],[Time]]&lt;1, AllData[[#This Row],[Time]]&gt;=0.75)=TRUE, "Evening", "Night")))</f>
        <v>Afternoon</v>
      </c>
      <c r="G1791" t="str">
        <f>_xlfn.XLOOKUP(AllData[[#This Row],[Location Name]], Locations[Location Name],Locations[Group As])</f>
        <v>Preston-on-Stour River Bridge</v>
      </c>
      <c r="H1791" t="e" vm="1">
        <f>_xlfn.XLOOKUP(AllData[[#This Row],[Site Name]],LocationsKey[Site Name],LocationsKey[District])</f>
        <v>#VALUE!</v>
      </c>
      <c r="I1791" t="e" vm="20">
        <f>_xlfn.XLOOKUP(AllData[[#This Row],[Site Name]],LocationsKey[Site Name],LocationsKey[Town])</f>
        <v>#VALUE!</v>
      </c>
      <c r="J1791" t="str">
        <f>_xlfn.XLOOKUP(AllData[[#This Row],[Site Name]],LocationsKey[Site Name], LocationsKey[Waterway])</f>
        <v>Stour</v>
      </c>
      <c r="K1791" t="s">
        <v>164</v>
      </c>
      <c r="L1791">
        <v>52.146538</v>
      </c>
      <c r="M1791">
        <v>-1.699924</v>
      </c>
      <c r="N1791" t="s">
        <v>31</v>
      </c>
      <c r="O1791">
        <v>610</v>
      </c>
      <c r="P1791">
        <v>11.3</v>
      </c>
      <c r="Q1791">
        <v>6</v>
      </c>
      <c r="R1791" s="107" t="str">
        <f>IF(AllData[[#This Row],[Nitrate (PPM)]]&gt;2, "Very high", IF(AllData[[#This Row],[Nitrate (PPM)]]&gt;1, "High", IF(AllData[[#This Row],[Nitrate (PPM)]]&gt;0.5, "Some evidence", IF(AllData[[#This Row],[Nitrate (PPM)]]&gt;=0, "No evidence"))))</f>
        <v>Very high</v>
      </c>
      <c r="S1791" s="4">
        <v>0.31</v>
      </c>
      <c r="T1791" s="7" t="str">
        <f>IF(AllData[[#This Row],[Phosphate (PPM)]]&gt;0.5, "Very high", IF(AllData[[#This Row],[Phosphate (PPM)]]&gt;0.1, "High", IF(AllData[[#This Row],[Phosphate (PPM)]]&gt;0.05, "Some evidence", IF(AllData[[#This Row],[Phosphate (PPM)]]&lt;=0.05, "No Evidence", ""))))</f>
        <v>High</v>
      </c>
      <c r="U1791">
        <v>1.5</v>
      </c>
    </row>
    <row r="1792" spans="1:22" x14ac:dyDescent="0.35">
      <c r="A1792" t="s">
        <v>912</v>
      </c>
      <c r="B1792" s="143">
        <v>45372</v>
      </c>
      <c r="C1792" s="2" t="str" cm="1">
        <f t="array" ref="C17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2">
        <f>YEAR(AllData[[#This Row],[Date]])</f>
        <v>2024</v>
      </c>
      <c r="E1792" s="1">
        <v>0.47916666666666669</v>
      </c>
      <c r="F1792" t="str">
        <f>IF(AND(AllData[[#This Row],[Time]]&lt;0.5, AllData[[#This Row],[Time]]&gt;0.17)=TRUE, "Morning", IF(AND(AllData[[#This Row],[Time]]&lt;0.75, AllData[[#This Row],[Time]]&gt;=0.5)=TRUE, "Afternoon", IF(AND(AllData[[#This Row],[Time]]&lt;1, AllData[[#This Row],[Time]]&gt;=0.75)=TRUE, "Evening", "Night")))</f>
        <v>Morning</v>
      </c>
      <c r="G1792" t="str">
        <f>_xlfn.XLOOKUP(AllData[[#This Row],[Location Name]], Locations[Location Name],Locations[Group As])</f>
        <v>Swilgate</v>
      </c>
      <c r="H1792" t="e" vm="4">
        <f>_xlfn.XLOOKUP(AllData[[#This Row],[Site Name]],LocationsKey[Site Name],LocationsKey[District])</f>
        <v>#VALUE!</v>
      </c>
      <c r="I1792" t="e" vm="4">
        <f>_xlfn.XLOOKUP(AllData[[#This Row],[Site Name]],LocationsKey[Site Name],LocationsKey[Town])</f>
        <v>#VALUE!</v>
      </c>
      <c r="J1792" t="str">
        <f>_xlfn.XLOOKUP(AllData[[#This Row],[Site Name]],LocationsKey[Site Name], LocationsKey[Waterway])</f>
        <v>Swilgate</v>
      </c>
      <c r="K1792" t="s">
        <v>85</v>
      </c>
      <c r="N1792" t="s">
        <v>25</v>
      </c>
      <c r="O1792">
        <v>858</v>
      </c>
      <c r="P1792">
        <v>12.6</v>
      </c>
      <c r="Q1792">
        <v>3</v>
      </c>
      <c r="R1792" s="107" t="str">
        <f>IF(AllData[[#This Row],[Nitrate (PPM)]]&gt;2, "Very high", IF(AllData[[#This Row],[Nitrate (PPM)]]&gt;1, "High", IF(AllData[[#This Row],[Nitrate (PPM)]]&gt;0.5, "Some evidence", IF(AllData[[#This Row],[Nitrate (PPM)]]&gt;=0, "No evidence"))))</f>
        <v>Very high</v>
      </c>
      <c r="S1792" s="4">
        <v>0.41</v>
      </c>
      <c r="T1792" s="107" t="str">
        <f>IF(AllData[[#This Row],[Phosphate (PPM)]]&gt;0.5, "Very high", IF(AllData[[#This Row],[Phosphate (PPM)]]&gt;0.1, "High", IF(AllData[[#This Row],[Phosphate (PPM)]]&gt;0.05, "Some evidence", IF(AllData[[#This Row],[Phosphate (PPM)]]&lt;=0.05, "No Evidence", ""))))</f>
        <v>High</v>
      </c>
      <c r="U1792">
        <v>0</v>
      </c>
    </row>
    <row r="1793" spans="1:22" x14ac:dyDescent="0.35">
      <c r="A1793" t="s">
        <v>911</v>
      </c>
      <c r="B1793" s="143">
        <v>45372</v>
      </c>
      <c r="C1793" s="2" t="str" cm="1">
        <f t="array" ref="C17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3">
        <f>YEAR(AllData[[#This Row],[Date]])</f>
        <v>2024</v>
      </c>
      <c r="E1793" s="1">
        <v>0.4375</v>
      </c>
      <c r="F1793" t="str">
        <f>IF(AND(AllData[[#This Row],[Time]]&lt;0.5, AllData[[#This Row],[Time]]&gt;0.17)=TRUE, "Morning", IF(AND(AllData[[#This Row],[Time]]&lt;0.75, AllData[[#This Row],[Time]]&gt;=0.5)=TRUE, "Afternoon", IF(AND(AllData[[#This Row],[Time]]&lt;1, AllData[[#This Row],[Time]]&gt;=0.75)=TRUE, "Evening", "Night")))</f>
        <v>Morning</v>
      </c>
      <c r="G1793" t="str">
        <f>_xlfn.XLOOKUP(AllData[[#This Row],[Location Name]], Locations[Location Name],Locations[Group As])</f>
        <v>Stour Willington</v>
      </c>
      <c r="H1793" t="e" vm="1">
        <f>_xlfn.XLOOKUP(AllData[[#This Row],[Site Name]],LocationsKey[Site Name],LocationsKey[District])</f>
        <v>#VALUE!</v>
      </c>
      <c r="I1793" t="str">
        <f>_xlfn.XLOOKUP(AllData[[#This Row],[Site Name]],LocationsKey[Site Name],LocationsKey[Town])</f>
        <v>Willington</v>
      </c>
      <c r="J1793" t="str">
        <f>_xlfn.XLOOKUP(AllData[[#This Row],[Site Name]],LocationsKey[Site Name], LocationsKey[Waterway])</f>
        <v>Stour</v>
      </c>
      <c r="K1793" t="s">
        <v>521</v>
      </c>
      <c r="L1793">
        <v>52.053576999999997</v>
      </c>
      <c r="M1793">
        <v>-1.620171</v>
      </c>
      <c r="N1793" t="s">
        <v>25</v>
      </c>
      <c r="O1793">
        <v>556</v>
      </c>
      <c r="P1793">
        <v>12.5</v>
      </c>
      <c r="Q1793">
        <v>2</v>
      </c>
      <c r="R1793" s="107" t="str">
        <f>IF(AllData[[#This Row],[Nitrate (PPM)]]&gt;2, "Very high", IF(AllData[[#This Row],[Nitrate (PPM)]]&gt;1, "High", IF(AllData[[#This Row],[Nitrate (PPM)]]&gt;0.5, "Some evidence", IF(AllData[[#This Row],[Nitrate (PPM)]]&gt;=0, "No evidence"))))</f>
        <v>High</v>
      </c>
      <c r="S1793" s="4">
        <v>0.25</v>
      </c>
      <c r="T1793" s="7" t="str">
        <f>IF(AllData[[#This Row],[Phosphate (PPM)]]&gt;0.5, "Very high", IF(AllData[[#This Row],[Phosphate (PPM)]]&gt;0.1, "High", IF(AllData[[#This Row],[Phosphate (PPM)]]&gt;0.05, "Some evidence", IF(AllData[[#This Row],[Phosphate (PPM)]]&lt;=0.05, "No Evidence", ""))))</f>
        <v>High</v>
      </c>
      <c r="U1793">
        <v>0.5</v>
      </c>
    </row>
    <row r="1794" spans="1:22" x14ac:dyDescent="0.35">
      <c r="A1794" t="s">
        <v>905</v>
      </c>
      <c r="B1794" s="143">
        <v>45371</v>
      </c>
      <c r="C1794" s="2" t="str" cm="1">
        <f t="array" ref="C17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4">
        <f>YEAR(AllData[[#This Row],[Date]])</f>
        <v>2024</v>
      </c>
      <c r="E1794" s="1">
        <v>9.7222222222222224E-2</v>
      </c>
      <c r="F1794" t="str">
        <f>IF(AND(AllData[[#This Row],[Time]]&lt;0.5, AllData[[#This Row],[Time]]&gt;0.17)=TRUE, "Morning", IF(AND(AllData[[#This Row],[Time]]&lt;0.75, AllData[[#This Row],[Time]]&gt;=0.5)=TRUE, "Afternoon", IF(AND(AllData[[#This Row],[Time]]&lt;1, AllData[[#This Row],[Time]]&gt;=0.75)=TRUE, "Evening", "Night")))</f>
        <v>Night</v>
      </c>
      <c r="G1794" t="str">
        <f>_xlfn.XLOOKUP(AllData[[#This Row],[Location Name]], Locations[Location Name],Locations[Group As])</f>
        <v>Swiffen Bank</v>
      </c>
      <c r="H1794" t="e" vm="1">
        <f>_xlfn.XLOOKUP(AllData[[#This Row],[Site Name]],LocationsKey[Site Name],LocationsKey[District])</f>
        <v>#VALUE!</v>
      </c>
      <c r="I1794" t="e" vm="2">
        <f>_xlfn.XLOOKUP(AllData[[#This Row],[Site Name]],LocationsKey[Site Name],LocationsKey[Town])</f>
        <v>#VALUE!</v>
      </c>
      <c r="J1794" t="str">
        <f>_xlfn.XLOOKUP(AllData[[#This Row],[Site Name]],LocationsKey[Site Name], LocationsKey[Waterway])</f>
        <v>Avon</v>
      </c>
      <c r="K1794" t="s">
        <v>286</v>
      </c>
      <c r="L1794">
        <v>52.206477999999997</v>
      </c>
      <c r="M1794">
        <v>-1.653894</v>
      </c>
      <c r="N1794" t="s">
        <v>31</v>
      </c>
      <c r="O1794">
        <v>542</v>
      </c>
      <c r="P1794">
        <v>13</v>
      </c>
      <c r="Q1794">
        <v>5</v>
      </c>
      <c r="R1794" s="107" t="str">
        <f>IF(AllData[[#This Row],[Nitrate (PPM)]]&gt;2, "Very high", IF(AllData[[#This Row],[Nitrate (PPM)]]&gt;1, "High", IF(AllData[[#This Row],[Nitrate (PPM)]]&gt;0.5, "Some evidence", IF(AllData[[#This Row],[Nitrate (PPM)]]&gt;=0, "No evidence"))))</f>
        <v>Very high</v>
      </c>
      <c r="S1794" s="4">
        <v>0.47</v>
      </c>
      <c r="T1794" s="7" t="str">
        <f>IF(AllData[[#This Row],[Phosphate (PPM)]]&gt;0.5, "Very high", IF(AllData[[#This Row],[Phosphate (PPM)]]&gt;0.1, "High", IF(AllData[[#This Row],[Phosphate (PPM)]]&gt;0.05, "Some evidence", IF(AllData[[#This Row],[Phosphate (PPM)]]&lt;=0.05, "No Evidence", ""))))</f>
        <v>High</v>
      </c>
      <c r="U1794">
        <v>1</v>
      </c>
      <c r="V1794" t="s">
        <v>906</v>
      </c>
    </row>
    <row r="1795" spans="1:22" x14ac:dyDescent="0.35">
      <c r="A1795" t="s">
        <v>909</v>
      </c>
      <c r="B1795" s="143">
        <v>45371</v>
      </c>
      <c r="C1795" s="2" t="str" cm="1">
        <f t="array" ref="C17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5">
        <f>YEAR(AllData[[#This Row],[Date]])</f>
        <v>2024</v>
      </c>
      <c r="E1795" s="1">
        <v>0.63402777777777775</v>
      </c>
      <c r="F1795" t="str">
        <f>IF(AND(AllData[[#This Row],[Time]]&lt;0.5, AllData[[#This Row],[Time]]&gt;0.17)=TRUE, "Morning", IF(AND(AllData[[#This Row],[Time]]&lt;0.75, AllData[[#This Row],[Time]]&gt;=0.5)=TRUE, "Afternoon", IF(AND(AllData[[#This Row],[Time]]&lt;1, AllData[[#This Row],[Time]]&gt;=0.75)=TRUE, "Evening", "Night")))</f>
        <v>Afternoon</v>
      </c>
      <c r="G1795" t="str">
        <f>_xlfn.XLOOKUP(AllData[[#This Row],[Location Name]], Locations[Location Name],Locations[Group As])</f>
        <v>Alveston Weir</v>
      </c>
      <c r="H1795" t="e" vm="1">
        <f>_xlfn.XLOOKUP(AllData[[#This Row],[Site Name]],LocationsKey[Site Name],LocationsKey[District])</f>
        <v>#VALUE!</v>
      </c>
      <c r="I1795" t="e" vm="2">
        <f>_xlfn.XLOOKUP(AllData[[#This Row],[Site Name]],LocationsKey[Site Name],LocationsKey[Town])</f>
        <v>#VALUE!</v>
      </c>
      <c r="J1795" t="str">
        <f>_xlfn.XLOOKUP(AllData[[#This Row],[Site Name]],LocationsKey[Site Name], LocationsKey[Waterway])</f>
        <v>Avon</v>
      </c>
      <c r="K1795" t="s">
        <v>288</v>
      </c>
      <c r="L1795">
        <v>52.212288999999998</v>
      </c>
      <c r="M1795">
        <v>-1.660452</v>
      </c>
      <c r="N1795" t="s">
        <v>31</v>
      </c>
      <c r="O1795">
        <v>538</v>
      </c>
      <c r="P1795">
        <v>17.399999999999999</v>
      </c>
      <c r="Q1795">
        <v>5</v>
      </c>
      <c r="R1795" s="107" t="str">
        <f>IF(AllData[[#This Row],[Nitrate (PPM)]]&gt;2, "Very high", IF(AllData[[#This Row],[Nitrate (PPM)]]&gt;1, "High", IF(AllData[[#This Row],[Nitrate (PPM)]]&gt;0.5, "Some evidence", IF(AllData[[#This Row],[Nitrate (PPM)]]&gt;=0, "No evidence"))))</f>
        <v>Very high</v>
      </c>
      <c r="S1795" s="4">
        <v>0.44</v>
      </c>
      <c r="T1795" s="7" t="str">
        <f>IF(AllData[[#This Row],[Phosphate (PPM)]]&gt;0.5, "Very high", IF(AllData[[#This Row],[Phosphate (PPM)]]&gt;0.1, "High", IF(AllData[[#This Row],[Phosphate (PPM)]]&gt;0.05, "Some evidence", IF(AllData[[#This Row],[Phosphate (PPM)]]&lt;=0.05, "No Evidence", ""))))</f>
        <v>High</v>
      </c>
      <c r="U1795">
        <v>1</v>
      </c>
      <c r="V1795" t="s">
        <v>910</v>
      </c>
    </row>
    <row r="1796" spans="1:22" x14ac:dyDescent="0.35">
      <c r="A1796" t="s">
        <v>907</v>
      </c>
      <c r="B1796" s="143">
        <v>45371</v>
      </c>
      <c r="C1796" s="2" t="str" cm="1">
        <f t="array" ref="C17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6">
        <f>YEAR(AllData[[#This Row],[Date]])</f>
        <v>2024</v>
      </c>
      <c r="E1796" s="1">
        <v>0.625</v>
      </c>
      <c r="F1796" t="str">
        <f>IF(AND(AllData[[#This Row],[Time]]&lt;0.5, AllData[[#This Row],[Time]]&gt;0.17)=TRUE, "Morning", IF(AND(AllData[[#This Row],[Time]]&lt;0.75, AllData[[#This Row],[Time]]&gt;=0.5)=TRUE, "Afternoon", IF(AND(AllData[[#This Row],[Time]]&lt;1, AllData[[#This Row],[Time]]&gt;=0.75)=TRUE, "Evening", "Night")))</f>
        <v>Afternoon</v>
      </c>
      <c r="G1796" t="str">
        <f>_xlfn.XLOOKUP(AllData[[#This Row],[Location Name]], Locations[Location Name],Locations[Group As])</f>
        <v>Stour Newbold Mill</v>
      </c>
      <c r="H1796" t="e" vm="1">
        <f>_xlfn.XLOOKUP(AllData[[#This Row],[Site Name]],LocationsKey[Site Name],LocationsKey[District])</f>
        <v>#VALUE!</v>
      </c>
      <c r="I1796" t="e" vm="27">
        <f>_xlfn.XLOOKUP(AllData[[#This Row],[Site Name]],LocationsKey[Site Name],LocationsKey[Town])</f>
        <v>#VALUE!</v>
      </c>
      <c r="J1796" t="str">
        <f>_xlfn.XLOOKUP(AllData[[#This Row],[Site Name]],LocationsKey[Site Name], LocationsKey[Waterway])</f>
        <v>Stour</v>
      </c>
      <c r="K1796" t="s">
        <v>141</v>
      </c>
      <c r="L1796">
        <v>52.112879</v>
      </c>
      <c r="M1796">
        <v>-1.6331500000000001</v>
      </c>
      <c r="N1796" t="s">
        <v>31</v>
      </c>
      <c r="O1796">
        <v>560</v>
      </c>
      <c r="P1796">
        <v>14.2</v>
      </c>
      <c r="Q1796">
        <v>2</v>
      </c>
      <c r="R1796" s="107" t="str">
        <f>IF(AllData[[#This Row],[Nitrate (PPM)]]&gt;2, "Very high", IF(AllData[[#This Row],[Nitrate (PPM)]]&gt;1, "High", IF(AllData[[#This Row],[Nitrate (PPM)]]&gt;0.5, "Some evidence", IF(AllData[[#This Row],[Nitrate (PPM)]]&gt;=0, "No evidence"))))</f>
        <v>High</v>
      </c>
      <c r="S1796" s="4">
        <v>0.28999999999999998</v>
      </c>
      <c r="T1796" s="7" t="str">
        <f>IF(AllData[[#This Row],[Phosphate (PPM)]]&gt;0.5, "Very high", IF(AllData[[#This Row],[Phosphate (PPM)]]&gt;0.1, "High", IF(AllData[[#This Row],[Phosphate (PPM)]]&gt;0.05, "Some evidence", IF(AllData[[#This Row],[Phosphate (PPM)]]&lt;=0.05, "No Evidence", ""))))</f>
        <v>High</v>
      </c>
      <c r="U1796">
        <v>3</v>
      </c>
      <c r="V1796" t="s">
        <v>908</v>
      </c>
    </row>
    <row r="1797" spans="1:22" x14ac:dyDescent="0.35">
      <c r="A1797" t="s">
        <v>903</v>
      </c>
      <c r="B1797" s="143">
        <v>45369</v>
      </c>
      <c r="C1797" s="2" t="str" cm="1">
        <f t="array" ref="C17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7">
        <f>YEAR(AllData[[#This Row],[Date]])</f>
        <v>2024</v>
      </c>
      <c r="E1797" s="1">
        <v>0.50208333333333333</v>
      </c>
      <c r="F1797" t="str">
        <f>IF(AND(AllData[[#This Row],[Time]]&lt;0.5, AllData[[#This Row],[Time]]&gt;0.17)=TRUE, "Morning", IF(AND(AllData[[#This Row],[Time]]&lt;0.75, AllData[[#This Row],[Time]]&gt;=0.5)=TRUE, "Afternoon", IF(AND(AllData[[#This Row],[Time]]&lt;1, AllData[[#This Row],[Time]]&gt;=0.75)=TRUE, "Evening", "Night")))</f>
        <v>Afternoon</v>
      </c>
      <c r="G1797" t="str">
        <f>_xlfn.XLOOKUP(AllData[[#This Row],[Location Name]], Locations[Location Name],Locations[Group As])</f>
        <v>Abbey Mill</v>
      </c>
      <c r="H1797" t="e" vm="4">
        <f>_xlfn.XLOOKUP(AllData[[#This Row],[Site Name]],LocationsKey[Site Name],LocationsKey[District])</f>
        <v>#VALUE!</v>
      </c>
      <c r="I1797" t="e" vm="4">
        <f>_xlfn.XLOOKUP(AllData[[#This Row],[Site Name]],LocationsKey[Site Name],LocationsKey[Town])</f>
        <v>#VALUE!</v>
      </c>
      <c r="J1797" t="str">
        <f>_xlfn.XLOOKUP(AllData[[#This Row],[Site Name]],LocationsKey[Site Name], LocationsKey[Waterway])</f>
        <v>Avon</v>
      </c>
      <c r="K1797" t="s">
        <v>27</v>
      </c>
      <c r="L1797">
        <v>51.991112000000001</v>
      </c>
      <c r="M1797">
        <v>-2.1623899999999998</v>
      </c>
      <c r="N1797" t="s">
        <v>25</v>
      </c>
      <c r="O1797">
        <v>547</v>
      </c>
      <c r="P1797">
        <v>12.1</v>
      </c>
      <c r="Q1797">
        <v>6</v>
      </c>
      <c r="R1797" s="107" t="str">
        <f>IF(AllData[[#This Row],[Nitrate (PPM)]]&gt;2, "Very high", IF(AllData[[#This Row],[Nitrate (PPM)]]&gt;1, "High", IF(AllData[[#This Row],[Nitrate (PPM)]]&gt;0.5, "Some evidence", IF(AllData[[#This Row],[Nitrate (PPM)]]&gt;=0, "No evidence"))))</f>
        <v>Very high</v>
      </c>
      <c r="S1797" s="4">
        <v>0.63</v>
      </c>
      <c r="T1797" s="7" t="str">
        <f>IF(AllData[[#This Row],[Phosphate (PPM)]]&gt;0.5, "Very high", IF(AllData[[#This Row],[Phosphate (PPM)]]&gt;0.1, "High", IF(AllData[[#This Row],[Phosphate (PPM)]]&gt;0.05, "Some evidence", IF(AllData[[#This Row],[Phosphate (PPM)]]&lt;=0.05, "No Evidence", ""))))</f>
        <v>Very high</v>
      </c>
      <c r="U1797">
        <v>2.5</v>
      </c>
      <c r="V1797" t="s">
        <v>904</v>
      </c>
    </row>
    <row r="1798" spans="1:22" x14ac:dyDescent="0.35">
      <c r="A1798" t="s">
        <v>899</v>
      </c>
      <c r="B1798" s="143">
        <v>45369</v>
      </c>
      <c r="C1798" s="2" t="str" cm="1">
        <f t="array" ref="C17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8">
        <f>YEAR(AllData[[#This Row],[Date]])</f>
        <v>2024</v>
      </c>
      <c r="E1798" s="1">
        <v>0.33888888888888891</v>
      </c>
      <c r="F1798" t="str">
        <f>IF(AND(AllData[[#This Row],[Time]]&lt;0.5, AllData[[#This Row],[Time]]&gt;0.17)=TRUE, "Morning", IF(AND(AllData[[#This Row],[Time]]&lt;0.75, AllData[[#This Row],[Time]]&gt;=0.5)=TRUE, "Afternoon", IF(AND(AllData[[#This Row],[Time]]&lt;1, AllData[[#This Row],[Time]]&gt;=0.75)=TRUE, "Evening", "Night")))</f>
        <v>Morning</v>
      </c>
      <c r="G1798" t="str">
        <f>_xlfn.XLOOKUP(AllData[[#This Row],[Location Name]], Locations[Location Name],Locations[Group As])</f>
        <v>Pershore Bridges</v>
      </c>
      <c r="H1798" t="e" vm="6">
        <f>_xlfn.XLOOKUP(AllData[[#This Row],[Site Name]],LocationsKey[Site Name],LocationsKey[District])</f>
        <v>#VALUE!</v>
      </c>
      <c r="I1798" t="e" vm="7">
        <f>_xlfn.XLOOKUP(AllData[[#This Row],[Site Name]],LocationsKey[Site Name],LocationsKey[Town])</f>
        <v>#VALUE!</v>
      </c>
      <c r="J1798" t="str">
        <f>_xlfn.XLOOKUP(AllData[[#This Row],[Site Name]],LocationsKey[Site Name], LocationsKey[Waterway])</f>
        <v>Avon</v>
      </c>
      <c r="K1798" t="s">
        <v>584</v>
      </c>
      <c r="L1798">
        <v>52.104187000000003</v>
      </c>
      <c r="M1798">
        <v>-2.0709179999999998</v>
      </c>
      <c r="O1798">
        <v>607</v>
      </c>
      <c r="P1798">
        <v>14.1</v>
      </c>
      <c r="Q1798">
        <v>5</v>
      </c>
      <c r="R1798" s="107" t="str">
        <f>IF(AllData[[#This Row],[Nitrate (PPM)]]&gt;2, "Very high", IF(AllData[[#This Row],[Nitrate (PPM)]]&gt;1, "High", IF(AllData[[#This Row],[Nitrate (PPM)]]&gt;0.5, "Some evidence", IF(AllData[[#This Row],[Nitrate (PPM)]]&gt;=0, "No evidence"))))</f>
        <v>Very high</v>
      </c>
      <c r="S1798" s="4">
        <v>0.5</v>
      </c>
      <c r="T1798" s="7" t="str">
        <f>IF(AllData[[#This Row],[Phosphate (PPM)]]&gt;0.5, "Very high", IF(AllData[[#This Row],[Phosphate (PPM)]]&gt;0.1, "High", IF(AllData[[#This Row],[Phosphate (PPM)]]&gt;0.05, "Some evidence", IF(AllData[[#This Row],[Phosphate (PPM)]]&lt;=0.05, "No Evidence", ""))))</f>
        <v>High</v>
      </c>
      <c r="U1798">
        <v>3.48</v>
      </c>
    </row>
    <row r="1799" spans="1:22" x14ac:dyDescent="0.35">
      <c r="A1799" t="s">
        <v>902</v>
      </c>
      <c r="B1799" s="143">
        <v>45369</v>
      </c>
      <c r="C1799" s="2" t="str" cm="1">
        <f t="array" ref="C17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799">
        <f>YEAR(AllData[[#This Row],[Date]])</f>
        <v>2024</v>
      </c>
      <c r="E1799" s="1">
        <v>0.40694444444444444</v>
      </c>
      <c r="F1799" t="str">
        <f>IF(AND(AllData[[#This Row],[Time]]&lt;0.5, AllData[[#This Row],[Time]]&gt;0.17)=TRUE, "Morning", IF(AND(AllData[[#This Row],[Time]]&lt;0.75, AllData[[#This Row],[Time]]&gt;=0.5)=TRUE, "Afternoon", IF(AND(AllData[[#This Row],[Time]]&lt;1, AllData[[#This Row],[Time]]&gt;=0.75)=TRUE, "Evening", "Night")))</f>
        <v>Morning</v>
      </c>
      <c r="G1799" t="str">
        <f>_xlfn.XLOOKUP(AllData[[#This Row],[Location Name]], Locations[Location Name],Locations[Group As])</f>
        <v>Stour Stretton-on-Fosse Sewage Works</v>
      </c>
      <c r="H1799" t="e" vm="1">
        <f>_xlfn.XLOOKUP(AllData[[#This Row],[Site Name]],LocationsKey[Site Name],LocationsKey[District])</f>
        <v>#VALUE!</v>
      </c>
      <c r="I1799" t="e" vm="30">
        <f>_xlfn.XLOOKUP(AllData[[#This Row],[Site Name]],LocationsKey[Site Name],LocationsKey[Town])</f>
        <v>#VALUE!</v>
      </c>
      <c r="J1799" t="str">
        <f>_xlfn.XLOOKUP(AllData[[#This Row],[Site Name]],LocationsKey[Site Name], LocationsKey[Waterway])</f>
        <v>Stour</v>
      </c>
      <c r="K1799" t="s">
        <v>337</v>
      </c>
      <c r="L1799">
        <v>52.045670000000001</v>
      </c>
      <c r="M1799">
        <v>-1.6719189999999999</v>
      </c>
      <c r="N1799" t="s">
        <v>31</v>
      </c>
      <c r="O1799">
        <v>529</v>
      </c>
      <c r="P1799">
        <v>9.8000000000000007</v>
      </c>
      <c r="Q1799">
        <v>1</v>
      </c>
      <c r="R1799" s="107" t="str">
        <f>IF(AllData[[#This Row],[Nitrate (PPM)]]&gt;2, "Very high", IF(AllData[[#This Row],[Nitrate (PPM)]]&gt;1, "High", IF(AllData[[#This Row],[Nitrate (PPM)]]&gt;0.5, "Some evidence", IF(AllData[[#This Row],[Nitrate (PPM)]]&gt;=0, "No evidence"))))</f>
        <v>Some evidence</v>
      </c>
      <c r="S1799" s="4">
        <v>0.95</v>
      </c>
      <c r="T1799" s="7" t="str">
        <f>IF(AllData[[#This Row],[Phosphate (PPM)]]&gt;0.5, "Very high", IF(AllData[[#This Row],[Phosphate (PPM)]]&gt;0.1, "High", IF(AllData[[#This Row],[Phosphate (PPM)]]&gt;0.05, "Some evidence", IF(AllData[[#This Row],[Phosphate (PPM)]]&lt;=0.05, "No Evidence", ""))))</f>
        <v>Very high</v>
      </c>
      <c r="U1799">
        <v>0.4</v>
      </c>
    </row>
    <row r="1800" spans="1:22" x14ac:dyDescent="0.35">
      <c r="A1800" t="s">
        <v>900</v>
      </c>
      <c r="B1800" s="143">
        <v>45369</v>
      </c>
      <c r="C1800" s="2" t="str" cm="1">
        <f t="array" ref="C18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0">
        <f>YEAR(AllData[[#This Row],[Date]])</f>
        <v>2024</v>
      </c>
      <c r="E1800" s="1">
        <v>0.39374999999999999</v>
      </c>
      <c r="F1800" t="str">
        <f>IF(AND(AllData[[#This Row],[Time]]&lt;0.5, AllData[[#This Row],[Time]]&gt;0.17)=TRUE, "Morning", IF(AND(AllData[[#This Row],[Time]]&lt;0.75, AllData[[#This Row],[Time]]&gt;=0.5)=TRUE, "Afternoon", IF(AND(AllData[[#This Row],[Time]]&lt;1, AllData[[#This Row],[Time]]&gt;=0.75)=TRUE, "Evening", "Night")))</f>
        <v>Morning</v>
      </c>
      <c r="G1800" t="str">
        <f>_xlfn.XLOOKUP(AllData[[#This Row],[Location Name]], Locations[Location Name],Locations[Group As])</f>
        <v>Stour Stretton-on-Fosse Village</v>
      </c>
      <c r="H1800" t="e" vm="1">
        <f>_xlfn.XLOOKUP(AllData[[#This Row],[Site Name]],LocationsKey[Site Name],LocationsKey[District])</f>
        <v>#VALUE!</v>
      </c>
      <c r="I1800" t="e" vm="30">
        <f>_xlfn.XLOOKUP(AllData[[#This Row],[Site Name]],LocationsKey[Site Name],LocationsKey[Town])</f>
        <v>#VALUE!</v>
      </c>
      <c r="J1800" t="str">
        <f>_xlfn.XLOOKUP(AllData[[#This Row],[Site Name]],LocationsKey[Site Name], LocationsKey[Waterway])</f>
        <v>Stour</v>
      </c>
      <c r="K1800" t="s">
        <v>548</v>
      </c>
      <c r="L1800">
        <v>52.046512</v>
      </c>
      <c r="M1800">
        <v>-1.6733560000000001</v>
      </c>
      <c r="N1800" t="s">
        <v>68</v>
      </c>
      <c r="O1800">
        <v>489</v>
      </c>
      <c r="P1800">
        <v>10.1</v>
      </c>
      <c r="Q1800">
        <v>1</v>
      </c>
      <c r="R1800" s="107" t="str">
        <f>IF(AllData[[#This Row],[Nitrate (PPM)]]&gt;2, "Very high", IF(AllData[[#This Row],[Nitrate (PPM)]]&gt;1, "High", IF(AllData[[#This Row],[Nitrate (PPM)]]&gt;0.5, "Some evidence", IF(AllData[[#This Row],[Nitrate (PPM)]]&gt;=0, "No evidence"))))</f>
        <v>Some evidence</v>
      </c>
      <c r="S1800" s="4">
        <v>0.72</v>
      </c>
      <c r="T1800" s="7" t="str">
        <f>IF(AllData[[#This Row],[Phosphate (PPM)]]&gt;0.5, "Very high", IF(AllData[[#This Row],[Phosphate (PPM)]]&gt;0.1, "High", IF(AllData[[#This Row],[Phosphate (PPM)]]&gt;0.05, "Some evidence", IF(AllData[[#This Row],[Phosphate (PPM)]]&lt;=0.05, "No Evidence", ""))))</f>
        <v>Very high</v>
      </c>
      <c r="U1800">
        <v>0.3</v>
      </c>
      <c r="V1800" t="s">
        <v>901</v>
      </c>
    </row>
    <row r="1801" spans="1:22" x14ac:dyDescent="0.35">
      <c r="A1801" t="s">
        <v>880</v>
      </c>
      <c r="B1801" s="143">
        <v>45368</v>
      </c>
      <c r="C1801" s="2" t="str" cm="1">
        <f t="array" ref="C18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1">
        <f>YEAR(AllData[[#This Row],[Date]])</f>
        <v>2024</v>
      </c>
      <c r="E1801" s="1">
        <v>0.59375</v>
      </c>
      <c r="F1801" t="str">
        <f>IF(AND(AllData[[#This Row],[Time]]&lt;0.5, AllData[[#This Row],[Time]]&gt;0.17)=TRUE, "Morning", IF(AND(AllData[[#This Row],[Time]]&lt;0.75, AllData[[#This Row],[Time]]&gt;=0.5)=TRUE, "Afternoon", IF(AND(AllData[[#This Row],[Time]]&lt;1, AllData[[#This Row],[Time]]&gt;=0.75)=TRUE, "Evening", "Night")))</f>
        <v>Afternoon</v>
      </c>
      <c r="G1801" t="str">
        <f>_xlfn.XLOOKUP(AllData[[#This Row],[Location Name]], Locations[Location Name],Locations[Group As])</f>
        <v>Clifford Chambers Mill Bridge</v>
      </c>
      <c r="H1801" t="e" vm="1">
        <f>_xlfn.XLOOKUP(AllData[[#This Row],[Site Name]],LocationsKey[Site Name],LocationsKey[District])</f>
        <v>#VALUE!</v>
      </c>
      <c r="I1801" t="e" vm="22">
        <f>_xlfn.XLOOKUP(AllData[[#This Row],[Site Name]],LocationsKey[Site Name],LocationsKey[Town])</f>
        <v>#VALUE!</v>
      </c>
      <c r="J1801" t="str">
        <f>_xlfn.XLOOKUP(AllData[[#This Row],[Site Name]],LocationsKey[Site Name], LocationsKey[Waterway])</f>
        <v>Stour</v>
      </c>
      <c r="K1801" t="s">
        <v>266</v>
      </c>
      <c r="L1801">
        <v>52.166370000000001</v>
      </c>
      <c r="M1801">
        <v>-1.708032</v>
      </c>
      <c r="N1801" t="s">
        <v>68</v>
      </c>
      <c r="O1801">
        <v>538</v>
      </c>
      <c r="P1801">
        <v>16.5</v>
      </c>
      <c r="Q1801">
        <v>5</v>
      </c>
      <c r="R1801" s="107" t="str">
        <f>IF(AllData[[#This Row],[Nitrate (PPM)]]&gt;2, "Very high", IF(AllData[[#This Row],[Nitrate (PPM)]]&gt;1, "High", IF(AllData[[#This Row],[Nitrate (PPM)]]&gt;0.5, "Some evidence", IF(AllData[[#This Row],[Nitrate (PPM)]]&gt;=0, "No evidence"))))</f>
        <v>Very high</v>
      </c>
      <c r="S1801" s="4">
        <v>0.3</v>
      </c>
      <c r="T1801" s="7" t="str">
        <f>IF(AllData[[#This Row],[Phosphate (PPM)]]&gt;0.5, "Very high", IF(AllData[[#This Row],[Phosphate (PPM)]]&gt;0.1, "High", IF(AllData[[#This Row],[Phosphate (PPM)]]&gt;0.05, "Some evidence", IF(AllData[[#This Row],[Phosphate (PPM)]]&lt;=0.05, "No Evidence", ""))))</f>
        <v>High</v>
      </c>
      <c r="U1801">
        <v>1.7</v>
      </c>
    </row>
    <row r="1802" spans="1:22" x14ac:dyDescent="0.35">
      <c r="A1802" t="s">
        <v>878</v>
      </c>
      <c r="B1802" s="143">
        <v>45368</v>
      </c>
      <c r="C1802" s="2" t="str" cm="1">
        <f t="array" ref="C18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2">
        <f>YEAR(AllData[[#This Row],[Date]])</f>
        <v>2024</v>
      </c>
      <c r="E1802" s="1">
        <v>0.48958333333333331</v>
      </c>
      <c r="F1802" t="str">
        <f>IF(AND(AllData[[#This Row],[Time]]&lt;0.5, AllData[[#This Row],[Time]]&gt;0.17)=TRUE, "Morning", IF(AND(AllData[[#This Row],[Time]]&lt;0.75, AllData[[#This Row],[Time]]&gt;=0.5)=TRUE, "Afternoon", IF(AND(AllData[[#This Row],[Time]]&lt;1, AllData[[#This Row],[Time]]&gt;=0.75)=TRUE, "Evening", "Night")))</f>
        <v>Morning</v>
      </c>
      <c r="G1802" t="str">
        <f>_xlfn.XLOOKUP(AllData[[#This Row],[Location Name]], Locations[Location Name],Locations[Group As])</f>
        <v>Carrant Bredon Rd</v>
      </c>
      <c r="H1802" t="e" vm="4">
        <f>_xlfn.XLOOKUP(AllData[[#This Row],[Site Name]],LocationsKey[Site Name],LocationsKey[District])</f>
        <v>#VALUE!</v>
      </c>
      <c r="I1802" t="e" vm="4">
        <f>_xlfn.XLOOKUP(AllData[[#This Row],[Site Name]],LocationsKey[Site Name],LocationsKey[Town])</f>
        <v>#VALUE!</v>
      </c>
      <c r="J1802" t="str">
        <f>_xlfn.XLOOKUP(AllData[[#This Row],[Site Name]],LocationsKey[Site Name], LocationsKey[Waterway])</f>
        <v>Carrant</v>
      </c>
      <c r="K1802" t="s">
        <v>603</v>
      </c>
      <c r="L1802">
        <v>51.996478000000003</v>
      </c>
      <c r="M1802">
        <v>-2.155986</v>
      </c>
      <c r="N1802" t="s">
        <v>25</v>
      </c>
      <c r="O1802">
        <v>535</v>
      </c>
      <c r="P1802">
        <v>12.4</v>
      </c>
      <c r="Q1802">
        <v>5</v>
      </c>
      <c r="R1802" s="107" t="str">
        <f>IF(AllData[[#This Row],[Nitrate (PPM)]]&gt;2, "Very high", IF(AllData[[#This Row],[Nitrate (PPM)]]&gt;1, "High", IF(AllData[[#This Row],[Nitrate (PPM)]]&gt;0.5, "Some evidence", IF(AllData[[#This Row],[Nitrate (PPM)]]&gt;=0, "No evidence"))))</f>
        <v>Very high</v>
      </c>
      <c r="S1802" s="4">
        <v>0.19</v>
      </c>
      <c r="T1802" s="7" t="str">
        <f>IF(AllData[[#This Row],[Phosphate (PPM)]]&gt;0.5, "Very high", IF(AllData[[#This Row],[Phosphate (PPM)]]&gt;0.1, "High", IF(AllData[[#This Row],[Phosphate (PPM)]]&gt;0.05, "Some evidence", IF(AllData[[#This Row],[Phosphate (PPM)]]&lt;=0.05, "No Evidence", ""))))</f>
        <v>High</v>
      </c>
      <c r="U1802">
        <v>0.32</v>
      </c>
      <c r="V1802" t="s">
        <v>879</v>
      </c>
    </row>
    <row r="1803" spans="1:22" x14ac:dyDescent="0.35">
      <c r="A1803" t="s">
        <v>877</v>
      </c>
      <c r="B1803" s="143">
        <v>45368</v>
      </c>
      <c r="C1803" s="2" t="str" cm="1">
        <f t="array" ref="C18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3">
        <f>YEAR(AllData[[#This Row],[Date]])</f>
        <v>2024</v>
      </c>
      <c r="E1803" s="1">
        <v>0.4375</v>
      </c>
      <c r="F1803" t="str">
        <f>IF(AND(AllData[[#This Row],[Time]]&lt;0.5, AllData[[#This Row],[Time]]&gt;0.17)=TRUE, "Morning", IF(AND(AllData[[#This Row],[Time]]&lt;0.75, AllData[[#This Row],[Time]]&gt;=0.5)=TRUE, "Afternoon", IF(AND(AllData[[#This Row],[Time]]&lt;1, AllData[[#This Row],[Time]]&gt;=0.75)=TRUE, "Evening", "Night")))</f>
        <v>Morning</v>
      </c>
      <c r="G1803" t="str">
        <f>_xlfn.XLOOKUP(AllData[[#This Row],[Location Name]], Locations[Location Name],Locations[Group As])</f>
        <v>Lucy's Mill Bridge</v>
      </c>
      <c r="H1803" t="e" vm="1">
        <f>_xlfn.XLOOKUP(AllData[[#This Row],[Site Name]],LocationsKey[Site Name],LocationsKey[District])</f>
        <v>#VALUE!</v>
      </c>
      <c r="I1803" t="e" vm="12">
        <f>_xlfn.XLOOKUP(AllData[[#This Row],[Site Name]],LocationsKey[Site Name],LocationsKey[Town])</f>
        <v>#VALUE!</v>
      </c>
      <c r="J1803" t="str">
        <f>_xlfn.XLOOKUP(AllData[[#This Row],[Site Name]],LocationsKey[Site Name], LocationsKey[Waterway])</f>
        <v>Avon</v>
      </c>
      <c r="K1803" t="s">
        <v>212</v>
      </c>
      <c r="L1803">
        <v>52.183698999999997</v>
      </c>
      <c r="M1803">
        <v>-1.707816</v>
      </c>
      <c r="N1803" t="s">
        <v>31</v>
      </c>
      <c r="P1803">
        <v>11.2</v>
      </c>
      <c r="Q1803">
        <v>5</v>
      </c>
      <c r="R1803" s="107" t="str">
        <f>IF(AllData[[#This Row],[Nitrate (PPM)]]&gt;2, "Very high", IF(AllData[[#This Row],[Nitrate (PPM)]]&gt;1, "High", IF(AllData[[#This Row],[Nitrate (PPM)]]&gt;0.5, "Some evidence", IF(AllData[[#This Row],[Nitrate (PPM)]]&gt;=0, "No evidence"))))</f>
        <v>Very high</v>
      </c>
      <c r="S1803" s="4">
        <v>0.25</v>
      </c>
      <c r="T1803" s="7" t="str">
        <f>IF(AllData[[#This Row],[Phosphate (PPM)]]&gt;0.5, "Very high", IF(AllData[[#This Row],[Phosphate (PPM)]]&gt;0.1, "High", IF(AllData[[#This Row],[Phosphate (PPM)]]&gt;0.05, "Some evidence", IF(AllData[[#This Row],[Phosphate (PPM)]]&lt;=0.05, "No Evidence", ""))))</f>
        <v>High</v>
      </c>
      <c r="U1803">
        <v>0.7</v>
      </c>
    </row>
    <row r="1804" spans="1:22" x14ac:dyDescent="0.35">
      <c r="A1804" t="s">
        <v>883</v>
      </c>
      <c r="B1804" s="143">
        <v>45368</v>
      </c>
      <c r="C1804" s="2" t="str" cm="1">
        <f t="array" ref="C18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4">
        <f>YEAR(AllData[[#This Row],[Date]])</f>
        <v>2024</v>
      </c>
      <c r="E1804" s="1">
        <v>0.62708333333333333</v>
      </c>
      <c r="F1804" t="str">
        <f>IF(AND(AllData[[#This Row],[Time]]&lt;0.5, AllData[[#This Row],[Time]]&gt;0.17)=TRUE, "Morning", IF(AND(AllData[[#This Row],[Time]]&lt;0.75, AllData[[#This Row],[Time]]&gt;=0.5)=TRUE, "Afternoon", IF(AND(AllData[[#This Row],[Time]]&lt;1, AllData[[#This Row],[Time]]&gt;=0.75)=TRUE, "Evening", "Night")))</f>
        <v>Afternoon</v>
      </c>
      <c r="G1804" t="str">
        <f>_xlfn.XLOOKUP(AllData[[#This Row],[Location Name]], Locations[Location Name],Locations[Group As])</f>
        <v>Sherbourne Brook 1</v>
      </c>
      <c r="H1804" t="e" vm="1">
        <f>_xlfn.XLOOKUP(AllData[[#This Row],[Site Name]],LocationsKey[Site Name],LocationsKey[District])</f>
        <v>#VALUE!</v>
      </c>
      <c r="I1804" t="e" vm="23">
        <f>_xlfn.XLOOKUP(AllData[[#This Row],[Site Name]],LocationsKey[Site Name],LocationsKey[Town])</f>
        <v>#VALUE!</v>
      </c>
      <c r="J1804" t="str">
        <f>_xlfn.XLOOKUP(AllData[[#This Row],[Site Name]],LocationsKey[Site Name], LocationsKey[Waterway])</f>
        <v>Sherbourne Brook</v>
      </c>
      <c r="K1804" t="s">
        <v>541</v>
      </c>
      <c r="L1804">
        <v>52.252499999999998</v>
      </c>
      <c r="M1804">
        <v>-1.6685000000000001</v>
      </c>
      <c r="N1804" t="s">
        <v>25</v>
      </c>
      <c r="O1804">
        <v>193</v>
      </c>
      <c r="P1804">
        <v>11.7</v>
      </c>
      <c r="Q1804">
        <v>3</v>
      </c>
      <c r="R1804" s="107" t="str">
        <f>IF(AllData[[#This Row],[Nitrate (PPM)]]&gt;2, "Very high", IF(AllData[[#This Row],[Nitrate (PPM)]]&gt;1, "High", IF(AllData[[#This Row],[Nitrate (PPM)]]&gt;0.5, "Some evidence", IF(AllData[[#This Row],[Nitrate (PPM)]]&gt;=0, "No evidence"))))</f>
        <v>Very high</v>
      </c>
      <c r="S1804" s="4">
        <v>0.68</v>
      </c>
      <c r="T1804" s="7" t="str">
        <f>IF(AllData[[#This Row],[Phosphate (PPM)]]&gt;0.5, "Very high", IF(AllData[[#This Row],[Phosphate (PPM)]]&gt;0.1, "High", IF(AllData[[#This Row],[Phosphate (PPM)]]&gt;0.05, "Some evidence", IF(AllData[[#This Row],[Phosphate (PPM)]]&lt;=0.05, "No Evidence", ""))))</f>
        <v>Very high</v>
      </c>
      <c r="U1804">
        <v>1</v>
      </c>
      <c r="V1804" t="s">
        <v>884</v>
      </c>
    </row>
    <row r="1805" spans="1:22" x14ac:dyDescent="0.35">
      <c r="A1805" t="s">
        <v>896</v>
      </c>
      <c r="B1805" s="143">
        <v>45368</v>
      </c>
      <c r="C1805" s="2" t="str" cm="1">
        <f t="array" ref="C18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5">
        <f>YEAR(AllData[[#This Row],[Date]])</f>
        <v>2024</v>
      </c>
      <c r="E1805" s="1"/>
      <c r="F1805" t="str">
        <f>IF(AND(AllData[[#This Row],[Time]]&lt;0.5, AllData[[#This Row],[Time]]&gt;0.17)=TRUE, "Morning", IF(AND(AllData[[#This Row],[Time]]&lt;0.75, AllData[[#This Row],[Time]]&gt;=0.5)=TRUE, "Afternoon", IF(AND(AllData[[#This Row],[Time]]&lt;1, AllData[[#This Row],[Time]]&gt;=0.75)=TRUE, "Evening", "Night")))</f>
        <v>Night</v>
      </c>
      <c r="G1805" t="str">
        <f>_xlfn.XLOOKUP(AllData[[#This Row],[Location Name]], Locations[Location Name],Locations[Group As])</f>
        <v>Site 3  :  Severn Trent Water processing plant outflow</v>
      </c>
      <c r="H1805" t="e" vm="1">
        <f>_xlfn.XLOOKUP(AllData[[#This Row],[Site Name]],LocationsKey[Site Name],LocationsKey[District])</f>
        <v>#VALUE!</v>
      </c>
      <c r="I1805" t="e" vm="14">
        <f>_xlfn.XLOOKUP(AllData[[#This Row],[Site Name]],LocationsKey[Site Name],LocationsKey[Town])</f>
        <v>#VALUE!</v>
      </c>
      <c r="J1805" t="str">
        <f>_xlfn.XLOOKUP(AllData[[#This Row],[Site Name]],LocationsKey[Site Name], LocationsKey[Waterway])</f>
        <v>Fosseway Brook</v>
      </c>
      <c r="K1805" t="s">
        <v>676</v>
      </c>
      <c r="L1805">
        <v>52.094423999999997</v>
      </c>
      <c r="M1805">
        <v>-1.6759090000000001</v>
      </c>
      <c r="N1805" t="s">
        <v>31</v>
      </c>
      <c r="O1805">
        <v>484</v>
      </c>
      <c r="P1805">
        <v>11</v>
      </c>
      <c r="Q1805">
        <v>2</v>
      </c>
      <c r="R1805" s="107" t="str">
        <f>IF(AllData[[#This Row],[Nitrate (PPM)]]&gt;2, "Very high", IF(AllData[[#This Row],[Nitrate (PPM)]]&gt;1, "High", IF(AllData[[#This Row],[Nitrate (PPM)]]&gt;0.5, "Some evidence", IF(AllData[[#This Row],[Nitrate (PPM)]]&gt;=0, "No evidence"))))</f>
        <v>High</v>
      </c>
      <c r="S1805" s="4">
        <v>0.79</v>
      </c>
      <c r="T1805" s="7" t="str">
        <f>IF(AllData[[#This Row],[Phosphate (PPM)]]&gt;0.5, "Very high", IF(AllData[[#This Row],[Phosphate (PPM)]]&gt;0.1, "High", IF(AllData[[#This Row],[Phosphate (PPM)]]&gt;0.05, "Some evidence", IF(AllData[[#This Row],[Phosphate (PPM)]]&lt;=0.05, "No Evidence", ""))))</f>
        <v>Very high</v>
      </c>
      <c r="V1805" t="s">
        <v>897</v>
      </c>
    </row>
    <row r="1806" spans="1:22" x14ac:dyDescent="0.35">
      <c r="A1806" t="s">
        <v>894</v>
      </c>
      <c r="B1806" s="143">
        <v>45368</v>
      </c>
      <c r="C1806" s="2" t="str" cm="1">
        <f t="array" ref="C18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6">
        <f>YEAR(AllData[[#This Row],[Date]])</f>
        <v>2024</v>
      </c>
      <c r="F1806" t="str">
        <f>IF(AND(AllData[[#This Row],[Time]]&lt;0.5, AllData[[#This Row],[Time]]&gt;0.17)=TRUE, "Morning", IF(AND(AllData[[#This Row],[Time]]&lt;0.75, AllData[[#This Row],[Time]]&gt;=0.5)=TRUE, "Afternoon", IF(AND(AllData[[#This Row],[Time]]&lt;1, AllData[[#This Row],[Time]]&gt;=0.75)=TRUE, "Evening", "Night")))</f>
        <v>Night</v>
      </c>
      <c r="G1806" t="str">
        <f>_xlfn.XLOOKUP(AllData[[#This Row],[Location Name]], Locations[Location Name],Locations[Group As])</f>
        <v>Site 3  :  Severn Trent Water processing plant outflow</v>
      </c>
      <c r="H1806" t="e" vm="1">
        <f>_xlfn.XLOOKUP(AllData[[#This Row],[Site Name]],LocationsKey[Site Name],LocationsKey[District])</f>
        <v>#VALUE!</v>
      </c>
      <c r="I1806" t="e" vm="14">
        <f>_xlfn.XLOOKUP(AllData[[#This Row],[Site Name]],LocationsKey[Site Name],LocationsKey[Town])</f>
        <v>#VALUE!</v>
      </c>
      <c r="J1806" t="str">
        <f>_xlfn.XLOOKUP(AllData[[#This Row],[Site Name]],LocationsKey[Site Name], LocationsKey[Waterway])</f>
        <v>Fosseway Brook</v>
      </c>
      <c r="K1806" t="s">
        <v>673</v>
      </c>
      <c r="L1806">
        <v>52.094423999999997</v>
      </c>
      <c r="M1806">
        <v>-1.6759090000000001</v>
      </c>
      <c r="N1806" t="s">
        <v>31</v>
      </c>
      <c r="O1806">
        <v>484</v>
      </c>
      <c r="P1806">
        <v>11</v>
      </c>
      <c r="Q1806">
        <v>2</v>
      </c>
      <c r="R1806" s="107" t="str">
        <f>IF(AllData[[#This Row],[Nitrate (PPM)]]&gt;2, "Very high", IF(AllData[[#This Row],[Nitrate (PPM)]]&gt;1, "High", IF(AllData[[#This Row],[Nitrate (PPM)]]&gt;0.5, "Some evidence", IF(AllData[[#This Row],[Nitrate (PPM)]]&gt;=0, "No evidence"))))</f>
        <v>High</v>
      </c>
      <c r="S1806" s="4">
        <v>0.79</v>
      </c>
      <c r="T1806" s="7" t="str">
        <f>IF(AllData[[#This Row],[Phosphate (PPM)]]&gt;0.5, "Very high", IF(AllData[[#This Row],[Phosphate (PPM)]]&gt;0.1, "High", IF(AllData[[#This Row],[Phosphate (PPM)]]&gt;0.05, "Some evidence", IF(AllData[[#This Row],[Phosphate (PPM)]]&lt;=0.05, "No Evidence", ""))))</f>
        <v>Very high</v>
      </c>
      <c r="U1806">
        <v>0</v>
      </c>
      <c r="V1806" t="s">
        <v>895</v>
      </c>
    </row>
    <row r="1807" spans="1:22" x14ac:dyDescent="0.35">
      <c r="A1807" t="s">
        <v>888</v>
      </c>
      <c r="B1807" s="143">
        <v>45368</v>
      </c>
      <c r="C1807" s="2" t="str" cm="1">
        <f t="array" ref="C18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7">
        <f>YEAR(AllData[[#This Row],[Date]])</f>
        <v>2024</v>
      </c>
      <c r="E1807" s="1"/>
      <c r="F1807" t="str">
        <f>IF(AND(AllData[[#This Row],[Time]]&lt;0.5, AllData[[#This Row],[Time]]&gt;0.17)=TRUE, "Morning", IF(AND(AllData[[#This Row],[Time]]&lt;0.75, AllData[[#This Row],[Time]]&gt;=0.5)=TRUE, "Afternoon", IF(AND(AllData[[#This Row],[Time]]&lt;1, AllData[[#This Row],[Time]]&gt;=0.75)=TRUE, "Evening", "Night")))</f>
        <v>Night</v>
      </c>
      <c r="G1807" t="str">
        <f>_xlfn.XLOOKUP(AllData[[#This Row],[Location Name]], Locations[Location Name],Locations[Group As])</f>
        <v>Site 1  :  Middle Street</v>
      </c>
      <c r="H1807" t="e" vm="1">
        <f>_xlfn.XLOOKUP(AllData[[#This Row],[Site Name]],LocationsKey[Site Name],LocationsKey[District])</f>
        <v>#VALUE!</v>
      </c>
      <c r="I1807" t="e" vm="14">
        <f>_xlfn.XLOOKUP(AllData[[#This Row],[Site Name]],LocationsKey[Site Name],LocationsKey[Town])</f>
        <v>#VALUE!</v>
      </c>
      <c r="J1807" t="str">
        <f>_xlfn.XLOOKUP(AllData[[#This Row],[Site Name]],LocationsKey[Site Name], LocationsKey[Waterway])</f>
        <v>Fosseway Brook</v>
      </c>
      <c r="K1807" t="s">
        <v>670</v>
      </c>
      <c r="L1807">
        <v>52.090085000000002</v>
      </c>
      <c r="M1807">
        <v>-1.692593</v>
      </c>
      <c r="N1807" t="s">
        <v>68</v>
      </c>
      <c r="O1807">
        <v>470</v>
      </c>
      <c r="P1807">
        <v>11.6</v>
      </c>
      <c r="Q1807">
        <v>2</v>
      </c>
      <c r="R1807" s="107" t="str">
        <f>IF(AllData[[#This Row],[Nitrate (PPM)]]&gt;2, "Very high", IF(AllData[[#This Row],[Nitrate (PPM)]]&gt;1, "High", IF(AllData[[#This Row],[Nitrate (PPM)]]&gt;0.5, "Some evidence", IF(AllData[[#This Row],[Nitrate (PPM)]]&gt;=0, "No evidence"))))</f>
        <v>High</v>
      </c>
      <c r="S1807" s="4">
        <v>0.06</v>
      </c>
      <c r="T1807" s="7" t="str">
        <f>IF(AllData[[#This Row],[Phosphate (PPM)]]&gt;0.5, "Very high", IF(AllData[[#This Row],[Phosphate (PPM)]]&gt;0.1, "High", IF(AllData[[#This Row],[Phosphate (PPM)]]&gt;0.05, "Some evidence", IF(AllData[[#This Row],[Phosphate (PPM)]]&lt;=0.05, "No Evidence", ""))))</f>
        <v>Some evidence</v>
      </c>
      <c r="V1807" t="s">
        <v>889</v>
      </c>
    </row>
    <row r="1808" spans="1:22" x14ac:dyDescent="0.35">
      <c r="A1808" t="s">
        <v>886</v>
      </c>
      <c r="B1808" s="143">
        <v>45368</v>
      </c>
      <c r="C1808" s="2" t="str" cm="1">
        <f t="array" ref="C18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8">
        <f>YEAR(AllData[[#This Row],[Date]])</f>
        <v>2024</v>
      </c>
      <c r="F1808" t="str">
        <f>IF(AND(AllData[[#This Row],[Time]]&lt;0.5, AllData[[#This Row],[Time]]&gt;0.17)=TRUE, "Morning", IF(AND(AllData[[#This Row],[Time]]&lt;0.75, AllData[[#This Row],[Time]]&gt;=0.5)=TRUE, "Afternoon", IF(AND(AllData[[#This Row],[Time]]&lt;1, AllData[[#This Row],[Time]]&gt;=0.75)=TRUE, "Evening", "Night")))</f>
        <v>Night</v>
      </c>
      <c r="G1808" t="str">
        <f>_xlfn.XLOOKUP(AllData[[#This Row],[Location Name]], Locations[Location Name],Locations[Group As])</f>
        <v>Site 1  :  Middle Street</v>
      </c>
      <c r="H1808" t="e" vm="1">
        <f>_xlfn.XLOOKUP(AllData[[#This Row],[Site Name]],LocationsKey[Site Name],LocationsKey[District])</f>
        <v>#VALUE!</v>
      </c>
      <c r="I1808" t="e" vm="14">
        <f>_xlfn.XLOOKUP(AllData[[#This Row],[Site Name]],LocationsKey[Site Name],LocationsKey[Town])</f>
        <v>#VALUE!</v>
      </c>
      <c r="J1808" t="str">
        <f>_xlfn.XLOOKUP(AllData[[#This Row],[Site Name]],LocationsKey[Site Name], LocationsKey[Waterway])</f>
        <v>Fosseway Brook</v>
      </c>
      <c r="K1808" t="s">
        <v>667</v>
      </c>
      <c r="L1808">
        <v>52.090085000000002</v>
      </c>
      <c r="M1808">
        <v>-1.692593</v>
      </c>
      <c r="N1808" t="s">
        <v>68</v>
      </c>
      <c r="O1808">
        <v>470</v>
      </c>
      <c r="P1808">
        <v>11.6</v>
      </c>
      <c r="Q1808">
        <v>2</v>
      </c>
      <c r="R1808" s="107" t="str">
        <f>IF(AllData[[#This Row],[Nitrate (PPM)]]&gt;2, "Very high", IF(AllData[[#This Row],[Nitrate (PPM)]]&gt;1, "High", IF(AllData[[#This Row],[Nitrate (PPM)]]&gt;0.5, "Some evidence", IF(AllData[[#This Row],[Nitrate (PPM)]]&gt;=0, "No evidence"))))</f>
        <v>High</v>
      </c>
      <c r="S1808" s="4">
        <v>0.06</v>
      </c>
      <c r="T1808" s="7" t="str">
        <f>IF(AllData[[#This Row],[Phosphate (PPM)]]&gt;0.5, "Very high", IF(AllData[[#This Row],[Phosphate (PPM)]]&gt;0.1, "High", IF(AllData[[#This Row],[Phosphate (PPM)]]&gt;0.05, "Some evidence", IF(AllData[[#This Row],[Phosphate (PPM)]]&lt;=0.05, "No Evidence", ""))))</f>
        <v>Some evidence</v>
      </c>
      <c r="U1808">
        <v>0</v>
      </c>
      <c r="V1808" t="s">
        <v>887</v>
      </c>
    </row>
    <row r="1809" spans="1:22" x14ac:dyDescent="0.35">
      <c r="A1809" t="s">
        <v>898</v>
      </c>
      <c r="B1809" s="143">
        <v>45368</v>
      </c>
      <c r="C1809" s="2" t="str" cm="1">
        <f t="array" ref="C18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09">
        <f>YEAR(AllData[[#This Row],[Date]])</f>
        <v>2024</v>
      </c>
      <c r="E1809" s="1">
        <v>0.44236111111111109</v>
      </c>
      <c r="F1809" t="str">
        <f>IF(AND(AllData[[#This Row],[Time]]&lt;0.5, AllData[[#This Row],[Time]]&gt;0.17)=TRUE, "Morning", IF(AND(AllData[[#This Row],[Time]]&lt;0.75, AllData[[#This Row],[Time]]&gt;=0.5)=TRUE, "Afternoon", IF(AND(AllData[[#This Row],[Time]]&lt;1, AllData[[#This Row],[Time]]&gt;=0.75)=TRUE, "Evening", "Night")))</f>
        <v>Morning</v>
      </c>
      <c r="G1809" t="str">
        <f>_xlfn.XLOOKUP(AllData[[#This Row],[Location Name]], Locations[Location Name],Locations[Group As])</f>
        <v>Site 1  :  Middle Street</v>
      </c>
      <c r="H1809" t="e" vm="1">
        <f>_xlfn.XLOOKUP(AllData[[#This Row],[Site Name]],LocationsKey[Site Name],LocationsKey[District])</f>
        <v>#VALUE!</v>
      </c>
      <c r="I1809" t="e" vm="14">
        <f>_xlfn.XLOOKUP(AllData[[#This Row],[Site Name]],LocationsKey[Site Name],LocationsKey[Town])</f>
        <v>#VALUE!</v>
      </c>
      <c r="J1809" t="str">
        <f>_xlfn.XLOOKUP(AllData[[#This Row],[Site Name]],LocationsKey[Site Name], LocationsKey[Waterway])</f>
        <v>Fosseway Brook</v>
      </c>
      <c r="K1809" t="s">
        <v>678</v>
      </c>
      <c r="L1809">
        <v>52.090085000000002</v>
      </c>
      <c r="M1809">
        <v>-1.692593</v>
      </c>
      <c r="N1809" t="s">
        <v>68</v>
      </c>
      <c r="O1809">
        <v>470</v>
      </c>
      <c r="P1809">
        <v>11.6</v>
      </c>
      <c r="Q1809">
        <v>2</v>
      </c>
      <c r="R1809" s="107" t="str">
        <f>IF(AllData[[#This Row],[Nitrate (PPM)]]&gt;2, "Very high", IF(AllData[[#This Row],[Nitrate (PPM)]]&gt;1, "High", IF(AllData[[#This Row],[Nitrate (PPM)]]&gt;0.5, "Some evidence", IF(AllData[[#This Row],[Nitrate (PPM)]]&gt;=0, "No evidence"))))</f>
        <v>High</v>
      </c>
      <c r="S1809">
        <v>0.06</v>
      </c>
      <c r="T1809" s="7" t="str">
        <f>IF(AllData[[#This Row],[Phosphate (PPM)]]&gt;0.5, "Very high", IF(AllData[[#This Row],[Phosphate (PPM)]]&gt;0.1, "High", IF(AllData[[#This Row],[Phosphate (PPM)]]&gt;0.05, "Some evidence", IF(AllData[[#This Row],[Phosphate (PPM)]]&lt;=0.05, "No Evidence", ""))))</f>
        <v>Some evidence</v>
      </c>
      <c r="U1809">
        <v>0.05</v>
      </c>
    </row>
    <row r="1810" spans="1:22" x14ac:dyDescent="0.35">
      <c r="A1810" t="s">
        <v>892</v>
      </c>
      <c r="B1810" s="143">
        <v>45368</v>
      </c>
      <c r="C1810" s="2" t="str" cm="1">
        <f t="array" ref="C18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0">
        <f>YEAR(AllData[[#This Row],[Date]])</f>
        <v>2024</v>
      </c>
      <c r="E1810" s="1"/>
      <c r="F1810" t="str">
        <f>IF(AND(AllData[[#This Row],[Time]]&lt;0.5, AllData[[#This Row],[Time]]&gt;0.17)=TRUE, "Morning", IF(AND(AllData[[#This Row],[Time]]&lt;0.75, AllData[[#This Row],[Time]]&gt;=0.5)=TRUE, "Afternoon", IF(AND(AllData[[#This Row],[Time]]&lt;1, AllData[[#This Row],[Time]]&gt;=0.75)=TRUE, "Evening", "Night")))</f>
        <v>Night</v>
      </c>
      <c r="G1810" t="str">
        <f>_xlfn.XLOOKUP(AllData[[#This Row],[Location Name]], Locations[Location Name],Locations[Group As])</f>
        <v>Site 2  :  Cross Leys culvert</v>
      </c>
      <c r="H1810" t="e" vm="1">
        <f>_xlfn.XLOOKUP(AllData[[#This Row],[Site Name]],LocationsKey[Site Name],LocationsKey[District])</f>
        <v>#VALUE!</v>
      </c>
      <c r="I1810" t="e" vm="14">
        <f>_xlfn.XLOOKUP(AllData[[#This Row],[Site Name]],LocationsKey[Site Name],LocationsKey[Town])</f>
        <v>#VALUE!</v>
      </c>
      <c r="J1810" t="str">
        <f>_xlfn.XLOOKUP(AllData[[#This Row],[Site Name]],LocationsKey[Site Name], LocationsKey[Waterway])</f>
        <v>Fosseway Brook</v>
      </c>
      <c r="K1810" t="s">
        <v>626</v>
      </c>
      <c r="L1810">
        <v>52.092967999999999</v>
      </c>
      <c r="M1810">
        <v>-1.6862710000000001</v>
      </c>
      <c r="N1810" t="s">
        <v>68</v>
      </c>
      <c r="O1810">
        <v>456</v>
      </c>
      <c r="P1810">
        <v>11.3</v>
      </c>
      <c r="Q1810">
        <v>2</v>
      </c>
      <c r="R1810" s="107" t="str">
        <f>IF(AllData[[#This Row],[Nitrate (PPM)]]&gt;2, "Very high", IF(AllData[[#This Row],[Nitrate (PPM)]]&gt;1, "High", IF(AllData[[#This Row],[Nitrate (PPM)]]&gt;0.5, "Some evidence", IF(AllData[[#This Row],[Nitrate (PPM)]]&gt;=0, "No evidence"))))</f>
        <v>High</v>
      </c>
      <c r="S1810" s="4">
        <v>0.4</v>
      </c>
      <c r="T1810" s="7" t="str">
        <f>IF(AllData[[#This Row],[Phosphate (PPM)]]&gt;0.5, "Very high", IF(AllData[[#This Row],[Phosphate (PPM)]]&gt;0.1, "High", IF(AllData[[#This Row],[Phosphate (PPM)]]&gt;0.05, "Some evidence", IF(AllData[[#This Row],[Phosphate (PPM)]]&lt;=0.05, "No Evidence", ""))))</f>
        <v>High</v>
      </c>
      <c r="V1810" t="s">
        <v>893</v>
      </c>
    </row>
    <row r="1811" spans="1:22" x14ac:dyDescent="0.35">
      <c r="A1811" t="s">
        <v>890</v>
      </c>
      <c r="B1811" s="143">
        <v>45368</v>
      </c>
      <c r="C1811" s="2" t="str" cm="1">
        <f t="array" ref="C18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1">
        <f>YEAR(AllData[[#This Row],[Date]])</f>
        <v>2024</v>
      </c>
      <c r="F1811" t="str">
        <f>IF(AND(AllData[[#This Row],[Time]]&lt;0.5, AllData[[#This Row],[Time]]&gt;0.17)=TRUE, "Morning", IF(AND(AllData[[#This Row],[Time]]&lt;0.75, AllData[[#This Row],[Time]]&gt;=0.5)=TRUE, "Afternoon", IF(AND(AllData[[#This Row],[Time]]&lt;1, AllData[[#This Row],[Time]]&gt;=0.75)=TRUE, "Evening", "Night")))</f>
        <v>Night</v>
      </c>
      <c r="G1811" t="str">
        <f>_xlfn.XLOOKUP(AllData[[#This Row],[Location Name]], Locations[Location Name],Locations[Group As])</f>
        <v>Site 2  :  Cross Leys culvert</v>
      </c>
      <c r="H1811" t="e" vm="1">
        <f>_xlfn.XLOOKUP(AllData[[#This Row],[Site Name]],LocationsKey[Site Name],LocationsKey[District])</f>
        <v>#VALUE!</v>
      </c>
      <c r="I1811" t="e" vm="14">
        <f>_xlfn.XLOOKUP(AllData[[#This Row],[Site Name]],LocationsKey[Site Name],LocationsKey[Town])</f>
        <v>#VALUE!</v>
      </c>
      <c r="J1811" t="str">
        <f>_xlfn.XLOOKUP(AllData[[#This Row],[Site Name]],LocationsKey[Site Name], LocationsKey[Waterway])</f>
        <v>Fosseway Brook</v>
      </c>
      <c r="K1811" t="s">
        <v>623</v>
      </c>
      <c r="L1811">
        <v>52.092967999999999</v>
      </c>
      <c r="M1811">
        <v>-1.6862710000000001</v>
      </c>
      <c r="N1811" t="s">
        <v>68</v>
      </c>
      <c r="O1811">
        <v>456</v>
      </c>
      <c r="P1811">
        <v>11.3</v>
      </c>
      <c r="Q1811">
        <v>2</v>
      </c>
      <c r="R1811" s="107" t="str">
        <f>IF(AllData[[#This Row],[Nitrate (PPM)]]&gt;2, "Very high", IF(AllData[[#This Row],[Nitrate (PPM)]]&gt;1, "High", IF(AllData[[#This Row],[Nitrate (PPM)]]&gt;0.5, "Some evidence", IF(AllData[[#This Row],[Nitrate (PPM)]]&gt;=0, "No evidence"))))</f>
        <v>High</v>
      </c>
      <c r="S1811" s="4">
        <v>0.4</v>
      </c>
      <c r="T1811" s="7" t="str">
        <f>IF(AllData[[#This Row],[Phosphate (PPM)]]&gt;0.5, "Very high", IF(AllData[[#This Row],[Phosphate (PPM)]]&gt;0.1, "High", IF(AllData[[#This Row],[Phosphate (PPM)]]&gt;0.05, "Some evidence", IF(AllData[[#This Row],[Phosphate (PPM)]]&lt;=0.05, "No Evidence", ""))))</f>
        <v>High</v>
      </c>
      <c r="U1811">
        <v>0</v>
      </c>
      <c r="V1811" t="s">
        <v>891</v>
      </c>
    </row>
    <row r="1812" spans="1:22" x14ac:dyDescent="0.35">
      <c r="A1812" t="s">
        <v>885</v>
      </c>
      <c r="B1812" s="143">
        <v>45368</v>
      </c>
      <c r="C1812" s="2" t="str" cm="1">
        <f t="array" ref="C18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2">
        <f>YEAR(AllData[[#This Row],[Date]])</f>
        <v>2024</v>
      </c>
      <c r="E1812" s="1">
        <v>0.63541666666666663</v>
      </c>
      <c r="F1812" t="str">
        <f>IF(AND(AllData[[#This Row],[Time]]&lt;0.5, AllData[[#This Row],[Time]]&gt;0.17)=TRUE, "Morning", IF(AND(AllData[[#This Row],[Time]]&lt;0.75, AllData[[#This Row],[Time]]&gt;=0.5)=TRUE, "Afternoon", IF(AND(AllData[[#This Row],[Time]]&lt;1, AllData[[#This Row],[Time]]&gt;=0.75)=TRUE, "Evening", "Night")))</f>
        <v>Afternoon</v>
      </c>
      <c r="G1812" t="str">
        <f>_xlfn.XLOOKUP(AllData[[#This Row],[Location Name]], Locations[Location Name],Locations[Group As])</f>
        <v>Bell Brook 1</v>
      </c>
      <c r="H1812" t="e" vm="1">
        <f>_xlfn.XLOOKUP(AllData[[#This Row],[Site Name]],LocationsKey[Site Name],LocationsKey[District])</f>
        <v>#VALUE!</v>
      </c>
      <c r="I1812" t="e" vm="19">
        <f>_xlfn.XLOOKUP(AllData[[#This Row],[Site Name]],LocationsKey[Site Name],LocationsKey[Town])</f>
        <v>#VALUE!</v>
      </c>
      <c r="J1812" t="str">
        <f>_xlfn.XLOOKUP(AllData[[#This Row],[Site Name]],LocationsKey[Site Name], LocationsKey[Waterway])</f>
        <v>Bell Brook</v>
      </c>
      <c r="K1812" t="s">
        <v>538</v>
      </c>
      <c r="L1812">
        <v>52.244900000000001</v>
      </c>
      <c r="M1812">
        <v>-1.6617</v>
      </c>
      <c r="N1812" t="s">
        <v>25</v>
      </c>
      <c r="O1812">
        <v>222</v>
      </c>
      <c r="P1812">
        <v>12.1</v>
      </c>
      <c r="Q1812">
        <v>2</v>
      </c>
      <c r="R1812" s="107" t="str">
        <f>IF(AllData[[#This Row],[Nitrate (PPM)]]&gt;2, "Very high", IF(AllData[[#This Row],[Nitrate (PPM)]]&gt;1, "High", IF(AllData[[#This Row],[Nitrate (PPM)]]&gt;0.5, "Some evidence", IF(AllData[[#This Row],[Nitrate (PPM)]]&gt;=0, "No evidence"))))</f>
        <v>High</v>
      </c>
      <c r="S1812" s="4">
        <v>0.41</v>
      </c>
      <c r="T1812" s="7" t="str">
        <f>IF(AllData[[#This Row],[Phosphate (PPM)]]&gt;0.5, "Very high", IF(AllData[[#This Row],[Phosphate (PPM)]]&gt;0.1, "High", IF(AllData[[#This Row],[Phosphate (PPM)]]&gt;0.05, "Some evidence", IF(AllData[[#This Row],[Phosphate (PPM)]]&lt;=0.05, "No Evidence", ""))))</f>
        <v>High</v>
      </c>
      <c r="U1812">
        <v>1</v>
      </c>
      <c r="V1812" t="s">
        <v>884</v>
      </c>
    </row>
    <row r="1813" spans="1:22" x14ac:dyDescent="0.35">
      <c r="A1813" t="s">
        <v>881</v>
      </c>
      <c r="B1813" s="143">
        <v>45368</v>
      </c>
      <c r="C1813" s="2" t="str" cm="1">
        <f t="array" ref="C18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3">
        <f>YEAR(AllData[[#This Row],[Date]])</f>
        <v>2024</v>
      </c>
      <c r="E1813" s="1">
        <v>0.59722222222222221</v>
      </c>
      <c r="F1813" t="str">
        <f>IF(AND(AllData[[#This Row],[Time]]&lt;0.5, AllData[[#This Row],[Time]]&gt;0.17)=TRUE, "Morning", IF(AND(AllData[[#This Row],[Time]]&lt;0.75, AllData[[#This Row],[Time]]&gt;=0.5)=TRUE, "Afternoon", IF(AND(AllData[[#This Row],[Time]]&lt;1, AllData[[#This Row],[Time]]&gt;=0.75)=TRUE, "Evening", "Night")))</f>
        <v>Afternoon</v>
      </c>
      <c r="G1813" t="str">
        <f>_xlfn.XLOOKUP(AllData[[#This Row],[Location Name]], Locations[Location Name],Locations[Group As])</f>
        <v>The Ford, Langley</v>
      </c>
      <c r="H1813" t="e" vm="1">
        <f>_xlfn.XLOOKUP(AllData[[#This Row],[Site Name]],LocationsKey[Site Name],LocationsKey[District])</f>
        <v>#VALUE!</v>
      </c>
      <c r="I1813" t="str">
        <f>_xlfn.XLOOKUP(AllData[[#This Row],[Site Name]],LocationsKey[Site Name],LocationsKey[Town])</f>
        <v>Langley</v>
      </c>
      <c r="J1813" t="str">
        <f>_xlfn.XLOOKUP(AllData[[#This Row],[Site Name]],LocationsKey[Site Name], LocationsKey[Waterway])</f>
        <v>Langley Ford</v>
      </c>
      <c r="K1813" t="s">
        <v>561</v>
      </c>
      <c r="L1813">
        <v>52.259639</v>
      </c>
      <c r="M1813">
        <v>-1.7181999999999999</v>
      </c>
      <c r="N1813" t="s">
        <v>31</v>
      </c>
      <c r="O1813">
        <v>223</v>
      </c>
      <c r="P1813">
        <v>12.7</v>
      </c>
      <c r="Q1813">
        <v>0.5</v>
      </c>
      <c r="R1813" s="107" t="str">
        <f>IF(AllData[[#This Row],[Nitrate (PPM)]]&gt;2, "Very high", IF(AllData[[#This Row],[Nitrate (PPM)]]&gt;1, "High", IF(AllData[[#This Row],[Nitrate (PPM)]]&gt;0.5, "Some evidence", IF(AllData[[#This Row],[Nitrate (PPM)]]&gt;=0, "No evidence"))))</f>
        <v>No evidence</v>
      </c>
      <c r="S1813" s="4">
        <v>0.73</v>
      </c>
      <c r="T1813" s="7" t="str">
        <f>IF(AllData[[#This Row],[Phosphate (PPM)]]&gt;0.5, "Very high", IF(AllData[[#This Row],[Phosphate (PPM)]]&gt;0.1, "High", IF(AllData[[#This Row],[Phosphate (PPM)]]&gt;0.05, "Some evidence", IF(AllData[[#This Row],[Phosphate (PPM)]]&lt;=0.05, "No Evidence", ""))))</f>
        <v>Very high</v>
      </c>
      <c r="U1813">
        <v>0.65</v>
      </c>
      <c r="V1813" t="s">
        <v>882</v>
      </c>
    </row>
    <row r="1814" spans="1:22" x14ac:dyDescent="0.35">
      <c r="A1814" t="s">
        <v>867</v>
      </c>
      <c r="B1814" s="143">
        <v>45367</v>
      </c>
      <c r="C1814" s="2" t="str" cm="1">
        <f t="array" ref="C18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4">
        <f>YEAR(AllData[[#This Row],[Date]])</f>
        <v>2024</v>
      </c>
      <c r="E1814" s="1">
        <v>0.41249999999999998</v>
      </c>
      <c r="F1814" t="str">
        <f>IF(AND(AllData[[#This Row],[Time]]&lt;0.5, AllData[[#This Row],[Time]]&gt;0.17)=TRUE, "Morning", IF(AND(AllData[[#This Row],[Time]]&lt;0.75, AllData[[#This Row],[Time]]&gt;=0.5)=TRUE, "Afternoon", IF(AND(AllData[[#This Row],[Time]]&lt;1, AllData[[#This Row],[Time]]&gt;=0.75)=TRUE, "Evening", "Night")))</f>
        <v>Morning</v>
      </c>
      <c r="G1814" t="str">
        <f>_xlfn.XLOOKUP(AllData[[#This Row],[Location Name]], Locations[Location Name],Locations[Group As])</f>
        <v>Lower Lode</v>
      </c>
      <c r="H1814" t="e" vm="4">
        <f>_xlfn.XLOOKUP(AllData[[#This Row],[Site Name]],LocationsKey[Site Name],LocationsKey[District])</f>
        <v>#VALUE!</v>
      </c>
      <c r="I1814" t="e" vm="4">
        <f>_xlfn.XLOOKUP(AllData[[#This Row],[Site Name]],LocationsKey[Site Name],LocationsKey[Town])</f>
        <v>#VALUE!</v>
      </c>
      <c r="J1814" t="str">
        <f>_xlfn.XLOOKUP(AllData[[#This Row],[Site Name]],LocationsKey[Site Name], LocationsKey[Waterway])</f>
        <v>Avon</v>
      </c>
      <c r="K1814" t="s">
        <v>595</v>
      </c>
      <c r="L1814">
        <v>51.985084999999998</v>
      </c>
      <c r="M1814">
        <v>-2.1741769999999998</v>
      </c>
      <c r="N1814" t="s">
        <v>31</v>
      </c>
      <c r="O1814">
        <v>6390.1</v>
      </c>
      <c r="P1814">
        <v>11.5</v>
      </c>
      <c r="Q1814">
        <v>20</v>
      </c>
      <c r="R1814" s="107" t="str">
        <f>IF(AllData[[#This Row],[Nitrate (PPM)]]&gt;2, "Very high", IF(AllData[[#This Row],[Nitrate (PPM)]]&gt;1, "High", IF(AllData[[#This Row],[Nitrate (PPM)]]&gt;0.5, "Some evidence", IF(AllData[[#This Row],[Nitrate (PPM)]]&gt;=0, "No evidence"))))</f>
        <v>Very high</v>
      </c>
      <c r="S1814" s="4">
        <v>0.55000000000000004</v>
      </c>
      <c r="T1814" s="7" t="str">
        <f>IF(AllData[[#This Row],[Phosphate (PPM)]]&gt;0.5, "Very high", IF(AllData[[#This Row],[Phosphate (PPM)]]&gt;0.1, "High", IF(AllData[[#This Row],[Phosphate (PPM)]]&gt;0.05, "Some evidence", IF(AllData[[#This Row],[Phosphate (PPM)]]&lt;=0.05, "No Evidence", ""))))</f>
        <v>Very high</v>
      </c>
      <c r="U1814">
        <v>3</v>
      </c>
    </row>
    <row r="1815" spans="1:22" x14ac:dyDescent="0.35">
      <c r="A1815" t="s">
        <v>874</v>
      </c>
      <c r="B1815" s="143">
        <v>45367</v>
      </c>
      <c r="C1815" s="2" t="str" cm="1">
        <f t="array" ref="C18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5">
        <f>YEAR(AllData[[#This Row],[Date]])</f>
        <v>2024</v>
      </c>
      <c r="E1815" s="1">
        <v>0.60069444444444442</v>
      </c>
      <c r="F1815" t="str">
        <f>IF(AND(AllData[[#This Row],[Time]]&lt;0.5, AllData[[#This Row],[Time]]&gt;0.17)=TRUE, "Morning", IF(AND(AllData[[#This Row],[Time]]&lt;0.75, AllData[[#This Row],[Time]]&gt;=0.5)=TRUE, "Afternoon", IF(AND(AllData[[#This Row],[Time]]&lt;1, AllData[[#This Row],[Time]]&gt;=0.75)=TRUE, "Evening", "Night")))</f>
        <v>Afternoon</v>
      </c>
      <c r="G1815" t="str">
        <f>_xlfn.XLOOKUP(AllData[[#This Row],[Location Name]], Locations[Location Name],Locations[Group As])</f>
        <v>Fell Mill Footbridge</v>
      </c>
      <c r="H1815" t="e" vm="1">
        <f>_xlfn.XLOOKUP(AllData[[#This Row],[Site Name]],LocationsKey[Site Name],LocationsKey[District])</f>
        <v>#VALUE!</v>
      </c>
      <c r="I1815" t="e" vm="15">
        <f>_xlfn.XLOOKUP(AllData[[#This Row],[Site Name]],LocationsKey[Site Name],LocationsKey[Town])</f>
        <v>#VALUE!</v>
      </c>
      <c r="J1815" t="str">
        <f>_xlfn.XLOOKUP(AllData[[#This Row],[Site Name]],LocationsKey[Site Name], LocationsKey[Waterway])</f>
        <v>Stour</v>
      </c>
      <c r="K1815" t="s">
        <v>875</v>
      </c>
      <c r="L1815">
        <v>52.070086000000003</v>
      </c>
      <c r="M1815">
        <v>-1.61145</v>
      </c>
      <c r="N1815" t="s">
        <v>31</v>
      </c>
      <c r="O1815">
        <v>599</v>
      </c>
      <c r="P1815">
        <v>10.1</v>
      </c>
      <c r="Q1815">
        <v>10</v>
      </c>
      <c r="R1815" s="107" t="str">
        <f>IF(AllData[[#This Row],[Nitrate (PPM)]]&gt;2, "Very high", IF(AllData[[#This Row],[Nitrate (PPM)]]&gt;1, "High", IF(AllData[[#This Row],[Nitrate (PPM)]]&gt;0.5, "Some evidence", IF(AllData[[#This Row],[Nitrate (PPM)]]&gt;=0, "No evidence"))))</f>
        <v>Very high</v>
      </c>
      <c r="S1815" s="4">
        <v>0.27</v>
      </c>
      <c r="T1815" s="7" t="str">
        <f>IF(AllData[[#This Row],[Phosphate (PPM)]]&gt;0.5, "Very high", IF(AllData[[#This Row],[Phosphate (PPM)]]&gt;0.1, "High", IF(AllData[[#This Row],[Phosphate (PPM)]]&gt;0.05, "Some evidence", IF(AllData[[#This Row],[Phosphate (PPM)]]&lt;=0.05, "No Evidence", ""))))</f>
        <v>High</v>
      </c>
      <c r="U1815">
        <v>2</v>
      </c>
      <c r="V1815" t="s">
        <v>876</v>
      </c>
    </row>
    <row r="1816" spans="1:22" x14ac:dyDescent="0.35">
      <c r="A1816" t="s">
        <v>868</v>
      </c>
      <c r="B1816" s="143">
        <v>45367</v>
      </c>
      <c r="C1816" s="2" t="str" cm="1">
        <f t="array" ref="C18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6">
        <f>YEAR(AllData[[#This Row],[Date]])</f>
        <v>2024</v>
      </c>
      <c r="E1816" s="1">
        <v>0.44444444444444442</v>
      </c>
      <c r="F1816" t="str">
        <f>IF(AND(AllData[[#This Row],[Time]]&lt;0.5, AllData[[#This Row],[Time]]&gt;0.17)=TRUE, "Morning", IF(AND(AllData[[#This Row],[Time]]&lt;0.75, AllData[[#This Row],[Time]]&gt;=0.5)=TRUE, "Afternoon", IF(AND(AllData[[#This Row],[Time]]&lt;1, AllData[[#This Row],[Time]]&gt;=0.75)=TRUE, "Evening", "Night")))</f>
        <v>Morning</v>
      </c>
      <c r="G1816" t="str">
        <f>_xlfn.XLOOKUP(AllData[[#This Row],[Location Name]], Locations[Location Name],Locations[Group As])</f>
        <v>Swilgate</v>
      </c>
      <c r="H1816" t="e" vm="4">
        <f>_xlfn.XLOOKUP(AllData[[#This Row],[Site Name]],LocationsKey[Site Name],LocationsKey[District])</f>
        <v>#VALUE!</v>
      </c>
      <c r="I1816" t="e" vm="4">
        <f>_xlfn.XLOOKUP(AllData[[#This Row],[Site Name]],LocationsKey[Site Name],LocationsKey[Town])</f>
        <v>#VALUE!</v>
      </c>
      <c r="J1816" t="str">
        <f>_xlfn.XLOOKUP(AllData[[#This Row],[Site Name]],LocationsKey[Site Name], LocationsKey[Waterway])</f>
        <v>Swilgate</v>
      </c>
      <c r="K1816" t="s">
        <v>85</v>
      </c>
      <c r="N1816" t="s">
        <v>25</v>
      </c>
      <c r="O1816">
        <v>764</v>
      </c>
      <c r="P1816">
        <v>11.4</v>
      </c>
      <c r="Q1816">
        <v>5</v>
      </c>
      <c r="R1816" s="107" t="str">
        <f>IF(AllData[[#This Row],[Nitrate (PPM)]]&gt;2, "Very high", IF(AllData[[#This Row],[Nitrate (PPM)]]&gt;1, "High", IF(AllData[[#This Row],[Nitrate (PPM)]]&gt;0.5, "Some evidence", IF(AllData[[#This Row],[Nitrate (PPM)]]&gt;=0, "No evidence"))))</f>
        <v>Very high</v>
      </c>
      <c r="S1816" s="4">
        <v>0.61</v>
      </c>
      <c r="T1816" s="7" t="str">
        <f>IF(AllData[[#This Row],[Phosphate (PPM)]]&gt;0.5, "Very high", IF(AllData[[#This Row],[Phosphate (PPM)]]&gt;0.1, "High", IF(AllData[[#This Row],[Phosphate (PPM)]]&gt;0.05, "Some evidence", IF(AllData[[#This Row],[Phosphate (PPM)]]&lt;=0.05, "No Evidence", ""))))</f>
        <v>Very high</v>
      </c>
      <c r="U1816">
        <v>2</v>
      </c>
    </row>
    <row r="1817" spans="1:22" x14ac:dyDescent="0.35">
      <c r="A1817" t="s">
        <v>870</v>
      </c>
      <c r="B1817" s="143">
        <v>45367</v>
      </c>
      <c r="C1817" s="2" t="str" cm="1">
        <f t="array" ref="C18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7">
        <f>YEAR(AllData[[#This Row],[Date]])</f>
        <v>2024</v>
      </c>
      <c r="E1817" s="1">
        <v>0.48958333333333331</v>
      </c>
      <c r="F1817" t="str">
        <f>IF(AND(AllData[[#This Row],[Time]]&lt;0.5, AllData[[#This Row],[Time]]&gt;0.17)=TRUE, "Morning", IF(AND(AllData[[#This Row],[Time]]&lt;0.75, AllData[[#This Row],[Time]]&gt;=0.5)=TRUE, "Afternoon", IF(AND(AllData[[#This Row],[Time]]&lt;1, AllData[[#This Row],[Time]]&gt;=0.75)=TRUE, "Evening", "Night")))</f>
        <v>Morning</v>
      </c>
      <c r="G1817" t="str">
        <f>_xlfn.XLOOKUP(AllData[[#This Row],[Location Name]], Locations[Location Name],Locations[Group As])</f>
        <v>Avon Smiths Meadow Wyre Piddle</v>
      </c>
      <c r="H1817" t="e" vm="6">
        <f>_xlfn.XLOOKUP(AllData[[#This Row],[Site Name]],LocationsKey[Site Name],LocationsKey[District])</f>
        <v>#VALUE!</v>
      </c>
      <c r="I1817" t="e" vm="13">
        <f>_xlfn.XLOOKUP(AllData[[#This Row],[Site Name]],LocationsKey[Site Name],LocationsKey[Town])</f>
        <v>#VALUE!</v>
      </c>
      <c r="J1817" t="str">
        <f>_xlfn.XLOOKUP(AllData[[#This Row],[Site Name]],LocationsKey[Site Name], LocationsKey[Waterway])</f>
        <v>Avon</v>
      </c>
      <c r="K1817" t="s">
        <v>784</v>
      </c>
      <c r="L1817">
        <v>52.122912999999997</v>
      </c>
      <c r="M1817">
        <v>-2.0574750000000002</v>
      </c>
      <c r="N1817" t="s">
        <v>25</v>
      </c>
      <c r="O1817">
        <v>676</v>
      </c>
      <c r="P1817">
        <v>11.3</v>
      </c>
      <c r="Q1817">
        <v>5</v>
      </c>
      <c r="R1817" s="107" t="str">
        <f>IF(AllData[[#This Row],[Nitrate (PPM)]]&gt;2, "Very high", IF(AllData[[#This Row],[Nitrate (PPM)]]&gt;1, "High", IF(AllData[[#This Row],[Nitrate (PPM)]]&gt;0.5, "Some evidence", IF(AllData[[#This Row],[Nitrate (PPM)]]&gt;=0, "No evidence"))))</f>
        <v>Very high</v>
      </c>
      <c r="S1817" s="4">
        <v>0.6</v>
      </c>
      <c r="T1817" s="7" t="str">
        <f>IF(AllData[[#This Row],[Phosphate (PPM)]]&gt;0.5, "Very high", IF(AllData[[#This Row],[Phosphate (PPM)]]&gt;0.1, "High", IF(AllData[[#This Row],[Phosphate (PPM)]]&gt;0.05, "Some evidence", IF(AllData[[#This Row],[Phosphate (PPM)]]&lt;=0.05, "No Evidence", ""))))</f>
        <v>Very high</v>
      </c>
      <c r="U1817">
        <v>1.1000000000000001</v>
      </c>
      <c r="V1817" t="s">
        <v>871</v>
      </c>
    </row>
    <row r="1818" spans="1:22" x14ac:dyDescent="0.35">
      <c r="A1818" t="s">
        <v>872</v>
      </c>
      <c r="B1818" s="143">
        <v>45367</v>
      </c>
      <c r="C1818" s="2" t="str" cm="1">
        <f t="array" ref="C18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8">
        <f>YEAR(AllData[[#This Row],[Date]])</f>
        <v>2024</v>
      </c>
      <c r="E1818" s="1">
        <v>0.51041666666666663</v>
      </c>
      <c r="F1818" t="str">
        <f>IF(AND(AllData[[#This Row],[Time]]&lt;0.5, AllData[[#This Row],[Time]]&gt;0.17)=TRUE, "Morning", IF(AND(AllData[[#This Row],[Time]]&lt;0.75, AllData[[#This Row],[Time]]&gt;=0.5)=TRUE, "Afternoon", IF(AND(AllData[[#This Row],[Time]]&lt;1, AllData[[#This Row],[Time]]&gt;=0.75)=TRUE, "Evening", "Night")))</f>
        <v>Afternoon</v>
      </c>
      <c r="G1818" t="str">
        <f>_xlfn.XLOOKUP(AllData[[#This Row],[Location Name]], Locations[Location Name],Locations[Group As])</f>
        <v>Piddle Brook Wyre Piddle Bridge</v>
      </c>
      <c r="H1818" t="e" vm="6">
        <f>_xlfn.XLOOKUP(AllData[[#This Row],[Site Name]],LocationsKey[Site Name],LocationsKey[District])</f>
        <v>#VALUE!</v>
      </c>
      <c r="I1818" t="e" vm="13">
        <f>_xlfn.XLOOKUP(AllData[[#This Row],[Site Name]],LocationsKey[Site Name],LocationsKey[Town])</f>
        <v>#VALUE!</v>
      </c>
      <c r="J1818" t="str">
        <f>_xlfn.XLOOKUP(AllData[[#This Row],[Site Name]],LocationsKey[Site Name], LocationsKey[Waterway])</f>
        <v>Piddle Brook</v>
      </c>
      <c r="K1818" t="s">
        <v>787</v>
      </c>
      <c r="L1818">
        <v>52.126412000000002</v>
      </c>
      <c r="M1818">
        <v>-2.0565509999999998</v>
      </c>
      <c r="N1818" t="s">
        <v>25</v>
      </c>
      <c r="O1818">
        <v>672</v>
      </c>
      <c r="P1818">
        <v>10.3</v>
      </c>
      <c r="Q1818">
        <v>5</v>
      </c>
      <c r="R1818" s="107" t="str">
        <f>IF(AllData[[#This Row],[Nitrate (PPM)]]&gt;2, "Very high", IF(AllData[[#This Row],[Nitrate (PPM)]]&gt;1, "High", IF(AllData[[#This Row],[Nitrate (PPM)]]&gt;0.5, "Some evidence", IF(AllData[[#This Row],[Nitrate (PPM)]]&gt;=0, "No evidence"))))</f>
        <v>Very high</v>
      </c>
      <c r="S1818" s="4">
        <v>0.53</v>
      </c>
      <c r="T1818" s="7" t="str">
        <f>IF(AllData[[#This Row],[Phosphate (PPM)]]&gt;0.5, "Very high", IF(AllData[[#This Row],[Phosphate (PPM)]]&gt;0.1, "High", IF(AllData[[#This Row],[Phosphate (PPM)]]&gt;0.05, "Some evidence", IF(AllData[[#This Row],[Phosphate (PPM)]]&lt;=0.05, "No Evidence", ""))))</f>
        <v>Very high</v>
      </c>
      <c r="U1818">
        <v>0.4</v>
      </c>
      <c r="V1818" t="s">
        <v>873</v>
      </c>
    </row>
    <row r="1819" spans="1:22" x14ac:dyDescent="0.35">
      <c r="A1819" t="s">
        <v>869</v>
      </c>
      <c r="B1819" s="143">
        <v>45367</v>
      </c>
      <c r="C1819" s="2" t="str" cm="1">
        <f t="array" ref="C18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19">
        <f>YEAR(AllData[[#This Row],[Date]])</f>
        <v>2024</v>
      </c>
      <c r="E1819" s="1">
        <v>0.46180555555555558</v>
      </c>
      <c r="F1819" t="str">
        <f>IF(AND(AllData[[#This Row],[Time]]&lt;0.5, AllData[[#This Row],[Time]]&gt;0.17)=TRUE, "Morning", IF(AND(AllData[[#This Row],[Time]]&lt;0.75, AllData[[#This Row],[Time]]&gt;=0.5)=TRUE, "Afternoon", IF(AND(AllData[[#This Row],[Time]]&lt;1, AllData[[#This Row],[Time]]&gt;=0.75)=TRUE, "Evening", "Night")))</f>
        <v>Morning</v>
      </c>
      <c r="G1819" t="str">
        <f>_xlfn.XLOOKUP(AllData[[#This Row],[Location Name]], Locations[Location Name],Locations[Group As])</f>
        <v>Black Bear</v>
      </c>
      <c r="H1819" t="e" vm="4">
        <f>_xlfn.XLOOKUP(AllData[[#This Row],[Site Name]],LocationsKey[Site Name],LocationsKey[District])</f>
        <v>#VALUE!</v>
      </c>
      <c r="I1819" t="e" vm="4">
        <f>_xlfn.XLOOKUP(AllData[[#This Row],[Site Name]],LocationsKey[Site Name],LocationsKey[Town])</f>
        <v>#VALUE!</v>
      </c>
      <c r="J1819" t="str">
        <f>_xlfn.XLOOKUP(AllData[[#This Row],[Site Name]],LocationsKey[Site Name], LocationsKey[Waterway])</f>
        <v>Avon</v>
      </c>
      <c r="K1819" t="s">
        <v>572</v>
      </c>
      <c r="N1819" t="s">
        <v>25</v>
      </c>
      <c r="O1819">
        <v>645</v>
      </c>
      <c r="P1819">
        <v>12.7</v>
      </c>
      <c r="Q1819">
        <v>5</v>
      </c>
      <c r="R1819" s="107" t="str">
        <f>IF(AllData[[#This Row],[Nitrate (PPM)]]&gt;2, "Very high", IF(AllData[[#This Row],[Nitrate (PPM)]]&gt;1, "High", IF(AllData[[#This Row],[Nitrate (PPM)]]&gt;0.5, "Some evidence", IF(AllData[[#This Row],[Nitrate (PPM)]]&gt;=0, "No evidence"))))</f>
        <v>Very high</v>
      </c>
      <c r="S1819" s="4">
        <v>0.77</v>
      </c>
      <c r="T1819" s="7" t="str">
        <f>IF(AllData[[#This Row],[Phosphate (PPM)]]&gt;0.5, "Very high", IF(AllData[[#This Row],[Phosphate (PPM)]]&gt;0.1, "High", IF(AllData[[#This Row],[Phosphate (PPM)]]&gt;0.05, "Some evidence", IF(AllData[[#This Row],[Phosphate (PPM)]]&lt;=0.05, "No Evidence", ""))))</f>
        <v>Very high</v>
      </c>
      <c r="U1819">
        <v>2</v>
      </c>
    </row>
    <row r="1820" spans="1:22" x14ac:dyDescent="0.35">
      <c r="A1820" t="s">
        <v>863</v>
      </c>
      <c r="B1820" s="143">
        <v>45366</v>
      </c>
      <c r="C1820" s="2" t="str" cm="1">
        <f t="array" ref="C18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0">
        <f>YEAR(AllData[[#This Row],[Date]])</f>
        <v>2024</v>
      </c>
      <c r="E1820" s="1">
        <v>0.48958333333333331</v>
      </c>
      <c r="F1820" t="str">
        <f>IF(AND(AllData[[#This Row],[Time]]&lt;0.5, AllData[[#This Row],[Time]]&gt;0.17)=TRUE, "Morning", IF(AND(AllData[[#This Row],[Time]]&lt;0.75, AllData[[#This Row],[Time]]&gt;=0.5)=TRUE, "Afternoon", IF(AND(AllData[[#This Row],[Time]]&lt;1, AllData[[#This Row],[Time]]&gt;=0.75)=TRUE, "Evening", "Night")))</f>
        <v>Morning</v>
      </c>
      <c r="G1820" t="str">
        <f>_xlfn.XLOOKUP(AllData[[#This Row],[Location Name]], Locations[Location Name],Locations[Group As])</f>
        <v>Walcot Lane, Bow Brook Ford</v>
      </c>
      <c r="H1820" t="e" vm="6">
        <f>_xlfn.XLOOKUP(AllData[[#This Row],[Site Name]],LocationsKey[Site Name],LocationsKey[District])</f>
        <v>#VALUE!</v>
      </c>
      <c r="I1820" t="e" vm="7">
        <f>_xlfn.XLOOKUP(AllData[[#This Row],[Site Name]],LocationsKey[Site Name],LocationsKey[Town])</f>
        <v>#VALUE!</v>
      </c>
      <c r="J1820" t="str">
        <f>_xlfn.XLOOKUP(AllData[[#This Row],[Site Name]],LocationsKey[Site Name], LocationsKey[Waterway])</f>
        <v>Bow Brook</v>
      </c>
      <c r="K1820" t="s">
        <v>775</v>
      </c>
      <c r="L1820">
        <v>52.130482000000001</v>
      </c>
      <c r="M1820">
        <v>-2.0784669999999998</v>
      </c>
      <c r="N1820" t="s">
        <v>25</v>
      </c>
      <c r="O1820">
        <v>808</v>
      </c>
      <c r="P1820">
        <v>13.7</v>
      </c>
      <c r="Q1820">
        <v>5</v>
      </c>
      <c r="R1820" s="107" t="str">
        <f>IF(AllData[[#This Row],[Nitrate (PPM)]]&gt;2, "Very high", IF(AllData[[#This Row],[Nitrate (PPM)]]&gt;1, "High", IF(AllData[[#This Row],[Nitrate (PPM)]]&gt;0.5, "Some evidence", IF(AllData[[#This Row],[Nitrate (PPM)]]&gt;=0, "No evidence"))))</f>
        <v>Very high</v>
      </c>
      <c r="S1820" s="4">
        <v>0.82</v>
      </c>
      <c r="T1820" s="7" t="str">
        <f>IF(AllData[[#This Row],[Phosphate (PPM)]]&gt;0.5, "Very high", IF(AllData[[#This Row],[Phosphate (PPM)]]&gt;0.1, "High", IF(AllData[[#This Row],[Phosphate (PPM)]]&gt;0.05, "Some evidence", IF(AllData[[#This Row],[Phosphate (PPM)]]&lt;=0.05, "No Evidence", ""))))</f>
        <v>Very high</v>
      </c>
      <c r="U1820">
        <v>0.6</v>
      </c>
      <c r="V1820" t="s">
        <v>864</v>
      </c>
    </row>
    <row r="1821" spans="1:22" x14ac:dyDescent="0.35">
      <c r="A1821" t="s">
        <v>866</v>
      </c>
      <c r="B1821" s="143">
        <v>45366</v>
      </c>
      <c r="C1821" s="2" t="str" cm="1">
        <f t="array" ref="C18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1">
        <f>YEAR(AllData[[#This Row],[Date]])</f>
        <v>2024</v>
      </c>
      <c r="E1821" s="1">
        <v>0.66666666666666663</v>
      </c>
      <c r="F1821" t="str">
        <f>IF(AND(AllData[[#This Row],[Time]]&lt;0.5, AllData[[#This Row],[Time]]&gt;0.17)=TRUE, "Morning", IF(AND(AllData[[#This Row],[Time]]&lt;0.75, AllData[[#This Row],[Time]]&gt;=0.5)=TRUE, "Afternoon", IF(AND(AllData[[#This Row],[Time]]&lt;1, AllData[[#This Row],[Time]]&gt;=0.75)=TRUE, "Evening", "Night")))</f>
        <v>Afternoon</v>
      </c>
      <c r="G1821" t="str">
        <f>_xlfn.XLOOKUP(AllData[[#This Row],[Location Name]], Locations[Location Name],Locations[Group As])</f>
        <v>Preston Bagot Brook</v>
      </c>
      <c r="H1821" t="e" vm="1">
        <f>_xlfn.XLOOKUP(AllData[[#This Row],[Site Name]],LocationsKey[Site Name],LocationsKey[District])</f>
        <v>#VALUE!</v>
      </c>
      <c r="I1821" t="e" vm="21">
        <f>_xlfn.XLOOKUP(AllData[[#This Row],[Site Name]],LocationsKey[Site Name],LocationsKey[Town])</f>
        <v>#VALUE!</v>
      </c>
      <c r="J1821" t="str">
        <f>_xlfn.XLOOKUP(AllData[[#This Row],[Site Name]],LocationsKey[Site Name], LocationsKey[Waterway])</f>
        <v>Preston Bagot Brook</v>
      </c>
      <c r="K1821" t="s">
        <v>621</v>
      </c>
      <c r="L1821">
        <v>52.286200000000001</v>
      </c>
      <c r="M1821">
        <v>-1.7478</v>
      </c>
      <c r="N1821" t="s">
        <v>25</v>
      </c>
      <c r="O1821">
        <v>597</v>
      </c>
      <c r="P1821">
        <v>13</v>
      </c>
      <c r="Q1821">
        <v>2.5</v>
      </c>
      <c r="R1821" s="107" t="str">
        <f>IF(AllData[[#This Row],[Nitrate (PPM)]]&gt;2, "Very high", IF(AllData[[#This Row],[Nitrate (PPM)]]&gt;1, "High", IF(AllData[[#This Row],[Nitrate (PPM)]]&gt;0.5, "Some evidence", IF(AllData[[#This Row],[Nitrate (PPM)]]&gt;=0, "No evidence"))))</f>
        <v>Very high</v>
      </c>
      <c r="S1821" s="4">
        <v>1</v>
      </c>
      <c r="T1821" s="7" t="str">
        <f>IF(AllData[[#This Row],[Phosphate (PPM)]]&gt;0.5, "Very high", IF(AllData[[#This Row],[Phosphate (PPM)]]&gt;0.1, "High", IF(AllData[[#This Row],[Phosphate (PPM)]]&gt;0.05, "Some evidence", IF(AllData[[#This Row],[Phosphate (PPM)]]&lt;=0.05, "No Evidence", ""))))</f>
        <v>Very high</v>
      </c>
      <c r="U1821">
        <v>0</v>
      </c>
    </row>
    <row r="1822" spans="1:22" x14ac:dyDescent="0.35">
      <c r="A1822" t="s">
        <v>865</v>
      </c>
      <c r="B1822" s="143">
        <v>45366</v>
      </c>
      <c r="C1822" s="2" t="str" cm="1">
        <f t="array" ref="C18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2">
        <f>YEAR(AllData[[#This Row],[Date]])</f>
        <v>2024</v>
      </c>
      <c r="E1822" s="1">
        <v>0.65972222222222221</v>
      </c>
      <c r="F1822" t="str">
        <f>IF(AND(AllData[[#This Row],[Time]]&lt;0.5, AllData[[#This Row],[Time]]&gt;0.17)=TRUE, "Morning", IF(AND(AllData[[#This Row],[Time]]&lt;0.75, AllData[[#This Row],[Time]]&gt;=0.5)=TRUE, "Afternoon", IF(AND(AllData[[#This Row],[Time]]&lt;1, AllData[[#This Row],[Time]]&gt;=0.75)=TRUE, "Evening", "Night")))</f>
        <v>Afternoon</v>
      </c>
      <c r="G1822" t="str">
        <f>_xlfn.XLOOKUP(AllData[[#This Row],[Location Name]], Locations[Location Name],Locations[Group As])</f>
        <v>Preston Bagot Canal</v>
      </c>
      <c r="H1822" t="e" vm="1">
        <f>_xlfn.XLOOKUP(AllData[[#This Row],[Site Name]],LocationsKey[Site Name],LocationsKey[District])</f>
        <v>#VALUE!</v>
      </c>
      <c r="I1822" t="e" vm="21">
        <f>_xlfn.XLOOKUP(AllData[[#This Row],[Site Name]],LocationsKey[Site Name],LocationsKey[Town])</f>
        <v>#VALUE!</v>
      </c>
      <c r="J1822" t="str">
        <f>_xlfn.XLOOKUP(AllData[[#This Row],[Site Name]],LocationsKey[Site Name], LocationsKey[Waterway])</f>
        <v>Preston Bagot Canal</v>
      </c>
      <c r="K1822" t="s">
        <v>618</v>
      </c>
      <c r="N1822" t="s">
        <v>25</v>
      </c>
      <c r="O1822">
        <v>312</v>
      </c>
      <c r="P1822">
        <v>12.7</v>
      </c>
      <c r="Q1822">
        <v>2</v>
      </c>
      <c r="R1822" s="107" t="str">
        <f>IF(AllData[[#This Row],[Nitrate (PPM)]]&gt;2, "Very high", IF(AllData[[#This Row],[Nitrate (PPM)]]&gt;1, "High", IF(AllData[[#This Row],[Nitrate (PPM)]]&gt;0.5, "Some evidence", IF(AllData[[#This Row],[Nitrate (PPM)]]&gt;=0, "No evidence"))))</f>
        <v>High</v>
      </c>
      <c r="S1822" s="4">
        <v>0.13</v>
      </c>
      <c r="T1822" s="7" t="str">
        <f>IF(AllData[[#This Row],[Phosphate (PPM)]]&gt;0.5, "Very high", IF(AllData[[#This Row],[Phosphate (PPM)]]&gt;0.1, "High", IF(AllData[[#This Row],[Phosphate (PPM)]]&gt;0.05, "Some evidence", IF(AllData[[#This Row],[Phosphate (PPM)]]&lt;=0.05, "No Evidence", ""))))</f>
        <v>High</v>
      </c>
      <c r="U1822">
        <v>0</v>
      </c>
    </row>
    <row r="1823" spans="1:22" x14ac:dyDescent="0.35">
      <c r="A1823" t="s">
        <v>861</v>
      </c>
      <c r="B1823" s="143">
        <v>45365</v>
      </c>
      <c r="C1823" s="2" t="str" cm="1">
        <f t="array" ref="C18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3">
        <f>YEAR(AllData[[#This Row],[Date]])</f>
        <v>2024</v>
      </c>
      <c r="E1823" s="1">
        <v>0.70833333333333337</v>
      </c>
      <c r="F1823" t="str">
        <f>IF(AND(AllData[[#This Row],[Time]]&lt;0.5, AllData[[#This Row],[Time]]&gt;0.17)=TRUE, "Morning", IF(AND(AllData[[#This Row],[Time]]&lt;0.75, AllData[[#This Row],[Time]]&gt;=0.5)=TRUE, "Afternoon", IF(AND(AllData[[#This Row],[Time]]&lt;1, AllData[[#This Row],[Time]]&gt;=0.75)=TRUE, "Evening", "Night")))</f>
        <v>Afternoon</v>
      </c>
      <c r="G1823" t="str">
        <f>_xlfn.XLOOKUP(AllData[[#This Row],[Location Name]], Locations[Location Name],Locations[Group As])</f>
        <v>Stour Newbold Mill</v>
      </c>
      <c r="H1823" t="e" vm="1">
        <f>_xlfn.XLOOKUP(AllData[[#This Row],[Site Name]],LocationsKey[Site Name],LocationsKey[District])</f>
        <v>#VALUE!</v>
      </c>
      <c r="I1823" t="e" vm="27">
        <f>_xlfn.XLOOKUP(AllData[[#This Row],[Site Name]],LocationsKey[Site Name],LocationsKey[Town])</f>
        <v>#VALUE!</v>
      </c>
      <c r="J1823" t="str">
        <f>_xlfn.XLOOKUP(AllData[[#This Row],[Site Name]],LocationsKey[Site Name], LocationsKey[Waterway])</f>
        <v>Stour</v>
      </c>
      <c r="K1823" t="s">
        <v>141</v>
      </c>
      <c r="L1823">
        <v>52.112876999999997</v>
      </c>
      <c r="M1823">
        <v>-1.6332990000000001</v>
      </c>
      <c r="N1823" t="s">
        <v>31</v>
      </c>
      <c r="O1823">
        <v>602</v>
      </c>
      <c r="P1823">
        <v>13.8</v>
      </c>
      <c r="Q1823">
        <v>2</v>
      </c>
      <c r="R1823" s="107" t="str">
        <f>IF(AllData[[#This Row],[Nitrate (PPM)]]&gt;2, "Very high", IF(AllData[[#This Row],[Nitrate (PPM)]]&gt;1, "High", IF(AllData[[#This Row],[Nitrate (PPM)]]&gt;0.5, "Some evidence", IF(AllData[[#This Row],[Nitrate (PPM)]]&gt;=0, "No evidence"))))</f>
        <v>High</v>
      </c>
      <c r="S1823" s="4">
        <v>0.13</v>
      </c>
      <c r="T1823" s="7" t="str">
        <f>IF(AllData[[#This Row],[Phosphate (PPM)]]&gt;0.5, "Very high", IF(AllData[[#This Row],[Phosphate (PPM)]]&gt;0.1, "High", IF(AllData[[#This Row],[Phosphate (PPM)]]&gt;0.05, "Some evidence", IF(AllData[[#This Row],[Phosphate (PPM)]]&lt;=0.05, "No Evidence", ""))))</f>
        <v>High</v>
      </c>
      <c r="U1823">
        <v>2.5</v>
      </c>
      <c r="V1823" t="s">
        <v>862</v>
      </c>
    </row>
    <row r="1824" spans="1:22" x14ac:dyDescent="0.35">
      <c r="A1824" t="s">
        <v>860</v>
      </c>
      <c r="B1824" s="143">
        <v>45365</v>
      </c>
      <c r="C1824" s="2" t="str" cm="1">
        <f t="array" ref="C18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4">
        <f>YEAR(AllData[[#This Row],[Date]])</f>
        <v>2024</v>
      </c>
      <c r="E1824" s="1">
        <v>0.47222222222222221</v>
      </c>
      <c r="F1824" t="str">
        <f>IF(AND(AllData[[#This Row],[Time]]&lt;0.5, AllData[[#This Row],[Time]]&gt;0.17)=TRUE, "Morning", IF(AND(AllData[[#This Row],[Time]]&lt;0.75, AllData[[#This Row],[Time]]&gt;=0.5)=TRUE, "Afternoon", IF(AND(AllData[[#This Row],[Time]]&lt;1, AllData[[#This Row],[Time]]&gt;=0.75)=TRUE, "Evening", "Night")))</f>
        <v>Morning</v>
      </c>
      <c r="G1824" t="str">
        <f>_xlfn.XLOOKUP(AllData[[#This Row],[Location Name]], Locations[Location Name],Locations[Group As])</f>
        <v>Stour Willington</v>
      </c>
      <c r="H1824" t="e" vm="1">
        <f>_xlfn.XLOOKUP(AllData[[#This Row],[Site Name]],LocationsKey[Site Name],LocationsKey[District])</f>
        <v>#VALUE!</v>
      </c>
      <c r="I1824" t="str">
        <f>_xlfn.XLOOKUP(AllData[[#This Row],[Site Name]],LocationsKey[Site Name],LocationsKey[Town])</f>
        <v>Willington</v>
      </c>
      <c r="J1824" t="str">
        <f>_xlfn.XLOOKUP(AllData[[#This Row],[Site Name]],LocationsKey[Site Name], LocationsKey[Waterway])</f>
        <v>Stour</v>
      </c>
      <c r="K1824" t="s">
        <v>521</v>
      </c>
      <c r="L1824">
        <v>52.053604</v>
      </c>
      <c r="M1824">
        <v>-1.6202430000000001</v>
      </c>
      <c r="N1824" t="s">
        <v>25</v>
      </c>
      <c r="O1824">
        <v>563</v>
      </c>
      <c r="P1824">
        <v>12.8</v>
      </c>
      <c r="Q1824">
        <v>2</v>
      </c>
      <c r="R1824" s="107" t="str">
        <f>IF(AllData[[#This Row],[Nitrate (PPM)]]&gt;2, "Very high", IF(AllData[[#This Row],[Nitrate (PPM)]]&gt;1, "High", IF(AllData[[#This Row],[Nitrate (PPM)]]&gt;0.5, "Some evidence", IF(AllData[[#This Row],[Nitrate (PPM)]]&gt;=0, "No evidence"))))</f>
        <v>High</v>
      </c>
      <c r="S1824" s="4">
        <v>0.21</v>
      </c>
      <c r="T1824" s="7" t="str">
        <f>IF(AllData[[#This Row],[Phosphate (PPM)]]&gt;0.5, "Very high", IF(AllData[[#This Row],[Phosphate (PPM)]]&gt;0.1, "High", IF(AllData[[#This Row],[Phosphate (PPM)]]&gt;0.05, "Some evidence", IF(AllData[[#This Row],[Phosphate (PPM)]]&lt;=0.05, "No Evidence", ""))))</f>
        <v>High</v>
      </c>
      <c r="U1824">
        <v>0.5</v>
      </c>
    </row>
    <row r="1825" spans="1:22" x14ac:dyDescent="0.35">
      <c r="A1825" t="s">
        <v>854</v>
      </c>
      <c r="B1825" s="143">
        <v>45364</v>
      </c>
      <c r="C1825" s="2" t="str" cm="1">
        <f t="array" ref="C18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5">
        <f>YEAR(AllData[[#This Row],[Date]])</f>
        <v>2024</v>
      </c>
      <c r="E1825" s="1">
        <v>0.52916666666666667</v>
      </c>
      <c r="F1825" t="str">
        <f>IF(AND(AllData[[#This Row],[Time]]&lt;0.5, AllData[[#This Row],[Time]]&gt;0.17)=TRUE, "Morning", IF(AND(AllData[[#This Row],[Time]]&lt;0.75, AllData[[#This Row],[Time]]&gt;=0.5)=TRUE, "Afternoon", IF(AND(AllData[[#This Row],[Time]]&lt;1, AllData[[#This Row],[Time]]&gt;=0.75)=TRUE, "Evening", "Night")))</f>
        <v>Afternoon</v>
      </c>
      <c r="G1825" t="str">
        <f>_xlfn.XLOOKUP(AllData[[#This Row],[Location Name]], Locations[Location Name],Locations[Group As])</f>
        <v>Preston-on-Stour River Bridge</v>
      </c>
      <c r="H1825" t="e" vm="1">
        <f>_xlfn.XLOOKUP(AllData[[#This Row],[Site Name]],LocationsKey[Site Name],LocationsKey[District])</f>
        <v>#VALUE!</v>
      </c>
      <c r="I1825" t="e" vm="20">
        <f>_xlfn.XLOOKUP(AllData[[#This Row],[Site Name]],LocationsKey[Site Name],LocationsKey[Town])</f>
        <v>#VALUE!</v>
      </c>
      <c r="J1825" t="str">
        <f>_xlfn.XLOOKUP(AllData[[#This Row],[Site Name]],LocationsKey[Site Name], LocationsKey[Waterway])</f>
        <v>Stour</v>
      </c>
      <c r="K1825" t="s">
        <v>164</v>
      </c>
      <c r="L1825">
        <v>52.146500000000003</v>
      </c>
      <c r="M1825">
        <v>-1.6992780000000001</v>
      </c>
      <c r="N1825" t="s">
        <v>31</v>
      </c>
      <c r="O1825">
        <v>508</v>
      </c>
      <c r="P1825">
        <v>10.9</v>
      </c>
      <c r="Q1825">
        <v>6</v>
      </c>
      <c r="R1825" s="107" t="str">
        <f>IF(AllData[[#This Row],[Nitrate (PPM)]]&gt;2, "Very high", IF(AllData[[#This Row],[Nitrate (PPM)]]&gt;1, "High", IF(AllData[[#This Row],[Nitrate (PPM)]]&gt;0.5, "Some evidence", IF(AllData[[#This Row],[Nitrate (PPM)]]&gt;=0, "No evidence"))))</f>
        <v>Very high</v>
      </c>
      <c r="S1825" s="4">
        <v>0.32</v>
      </c>
      <c r="T1825" s="7" t="str">
        <f>IF(AllData[[#This Row],[Phosphate (PPM)]]&gt;0.5, "Very high", IF(AllData[[#This Row],[Phosphate (PPM)]]&gt;0.1, "High", IF(AllData[[#This Row],[Phosphate (PPM)]]&gt;0.05, "Some evidence", IF(AllData[[#This Row],[Phosphate (PPM)]]&lt;=0.05, "No Evidence", ""))))</f>
        <v>High</v>
      </c>
      <c r="U1825">
        <v>2</v>
      </c>
      <c r="V1825" t="s">
        <v>855</v>
      </c>
    </row>
    <row r="1826" spans="1:22" x14ac:dyDescent="0.35">
      <c r="A1826" t="s">
        <v>856</v>
      </c>
      <c r="B1826" s="143">
        <v>45364</v>
      </c>
      <c r="C1826" s="2" t="str" cm="1">
        <f t="array" ref="C18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6">
        <f>YEAR(AllData[[#This Row],[Date]])</f>
        <v>2024</v>
      </c>
      <c r="E1826" s="1">
        <v>0.61111111111111116</v>
      </c>
      <c r="F1826" t="str">
        <f>IF(AND(AllData[[#This Row],[Time]]&lt;0.5, AllData[[#This Row],[Time]]&gt;0.17)=TRUE, "Morning", IF(AND(AllData[[#This Row],[Time]]&lt;0.75, AllData[[#This Row],[Time]]&gt;=0.5)=TRUE, "Afternoon", IF(AND(AllData[[#This Row],[Time]]&lt;1, AllData[[#This Row],[Time]]&gt;=0.75)=TRUE, "Evening", "Night")))</f>
        <v>Afternoon</v>
      </c>
      <c r="G1826" t="str">
        <f>_xlfn.XLOOKUP(AllData[[#This Row],[Location Name]], Locations[Location Name],Locations[Group As])</f>
        <v>Alveston Weir</v>
      </c>
      <c r="H1826" t="e" vm="1">
        <f>_xlfn.XLOOKUP(AllData[[#This Row],[Site Name]],LocationsKey[Site Name],LocationsKey[District])</f>
        <v>#VALUE!</v>
      </c>
      <c r="I1826" t="e" vm="2">
        <f>_xlfn.XLOOKUP(AllData[[#This Row],[Site Name]],LocationsKey[Site Name],LocationsKey[Town])</f>
        <v>#VALUE!</v>
      </c>
      <c r="J1826" t="str">
        <f>_xlfn.XLOOKUP(AllData[[#This Row],[Site Name]],LocationsKey[Site Name], LocationsKey[Waterway])</f>
        <v>Avon</v>
      </c>
      <c r="K1826" t="s">
        <v>288</v>
      </c>
      <c r="L1826">
        <v>52.212288999999998</v>
      </c>
      <c r="M1826">
        <v>-1.660452</v>
      </c>
      <c r="N1826" t="s">
        <v>31</v>
      </c>
      <c r="O1826">
        <v>464</v>
      </c>
      <c r="P1826">
        <v>13.7</v>
      </c>
      <c r="Q1826">
        <v>5</v>
      </c>
      <c r="R1826" s="107" t="str">
        <f>IF(AllData[[#This Row],[Nitrate (PPM)]]&gt;2, "Very high", IF(AllData[[#This Row],[Nitrate (PPM)]]&gt;1, "High", IF(AllData[[#This Row],[Nitrate (PPM)]]&gt;0.5, "Some evidence", IF(AllData[[#This Row],[Nitrate (PPM)]]&gt;=0, "No evidence"))))</f>
        <v>Very high</v>
      </c>
      <c r="S1826" s="4">
        <v>0.52</v>
      </c>
      <c r="T1826" s="7" t="str">
        <f>IF(AllData[[#This Row],[Phosphate (PPM)]]&gt;0.5, "Very high", IF(AllData[[#This Row],[Phosphate (PPM)]]&gt;0.1, "High", IF(AllData[[#This Row],[Phosphate (PPM)]]&gt;0.05, "Some evidence", IF(AllData[[#This Row],[Phosphate (PPM)]]&lt;=0.05, "No Evidence", ""))))</f>
        <v>Very high</v>
      </c>
      <c r="U1826">
        <v>1.5</v>
      </c>
      <c r="V1826" t="s">
        <v>857</v>
      </c>
    </row>
    <row r="1827" spans="1:22" x14ac:dyDescent="0.35">
      <c r="A1827" t="s">
        <v>858</v>
      </c>
      <c r="B1827" s="143">
        <v>45364</v>
      </c>
      <c r="C1827" s="2" t="str" cm="1">
        <f t="array" ref="C18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7">
        <f>YEAR(AllData[[#This Row],[Date]])</f>
        <v>2024</v>
      </c>
      <c r="E1827" s="1">
        <v>0.63541666666666663</v>
      </c>
      <c r="F1827" t="str">
        <f>IF(AND(AllData[[#This Row],[Time]]&lt;0.5, AllData[[#This Row],[Time]]&gt;0.17)=TRUE, "Morning", IF(AND(AllData[[#This Row],[Time]]&lt;0.75, AllData[[#This Row],[Time]]&gt;=0.5)=TRUE, "Afternoon", IF(AND(AllData[[#This Row],[Time]]&lt;1, AllData[[#This Row],[Time]]&gt;=0.75)=TRUE, "Evening", "Night")))</f>
        <v>Afternoon</v>
      </c>
      <c r="G1827" t="str">
        <f>_xlfn.XLOOKUP(AllData[[#This Row],[Location Name]], Locations[Location Name],Locations[Group As])</f>
        <v>Swiffen Bank</v>
      </c>
      <c r="H1827" t="e" vm="1">
        <f>_xlfn.XLOOKUP(AllData[[#This Row],[Site Name]],LocationsKey[Site Name],LocationsKey[District])</f>
        <v>#VALUE!</v>
      </c>
      <c r="I1827" t="e" vm="2">
        <f>_xlfn.XLOOKUP(AllData[[#This Row],[Site Name]],LocationsKey[Site Name],LocationsKey[Town])</f>
        <v>#VALUE!</v>
      </c>
      <c r="J1827" t="str">
        <f>_xlfn.XLOOKUP(AllData[[#This Row],[Site Name]],LocationsKey[Site Name], LocationsKey[Waterway])</f>
        <v>Avon</v>
      </c>
      <c r="K1827" t="s">
        <v>286</v>
      </c>
      <c r="L1827">
        <v>52.206623999999998</v>
      </c>
      <c r="M1827">
        <v>-1.654525</v>
      </c>
      <c r="N1827" t="s">
        <v>31</v>
      </c>
      <c r="O1827">
        <v>464</v>
      </c>
      <c r="P1827">
        <v>12.4</v>
      </c>
      <c r="Q1827">
        <v>5</v>
      </c>
      <c r="R1827" s="107" t="str">
        <f>IF(AllData[[#This Row],[Nitrate (PPM)]]&gt;2, "Very high", IF(AllData[[#This Row],[Nitrate (PPM)]]&gt;1, "High", IF(AllData[[#This Row],[Nitrate (PPM)]]&gt;0.5, "Some evidence", IF(AllData[[#This Row],[Nitrate (PPM)]]&gt;=0, "No evidence"))))</f>
        <v>Very high</v>
      </c>
      <c r="S1827" s="4">
        <v>0.25</v>
      </c>
      <c r="T1827" s="7" t="str">
        <f>IF(AllData[[#This Row],[Phosphate (PPM)]]&gt;0.5, "Very high", IF(AllData[[#This Row],[Phosphate (PPM)]]&gt;0.1, "High", IF(AllData[[#This Row],[Phosphate (PPM)]]&gt;0.05, "Some evidence", IF(AllData[[#This Row],[Phosphate (PPM)]]&lt;=0.05, "No Evidence", ""))))</f>
        <v>High</v>
      </c>
      <c r="U1827">
        <v>1.5</v>
      </c>
      <c r="V1827" t="s">
        <v>859</v>
      </c>
    </row>
    <row r="1828" spans="1:22" x14ac:dyDescent="0.35">
      <c r="A1828" t="s">
        <v>853</v>
      </c>
      <c r="B1828" s="143">
        <v>45362</v>
      </c>
      <c r="C1828" s="2" t="str" cm="1">
        <f t="array" ref="C18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8">
        <f>YEAR(AllData[[#This Row],[Date]])</f>
        <v>2024</v>
      </c>
      <c r="E1828" s="1">
        <v>0.6694444444444444</v>
      </c>
      <c r="F1828" t="str">
        <f>IF(AND(AllData[[#This Row],[Time]]&lt;0.5, AllData[[#This Row],[Time]]&gt;0.17)=TRUE, "Morning", IF(AND(AllData[[#This Row],[Time]]&lt;0.75, AllData[[#This Row],[Time]]&gt;=0.5)=TRUE, "Afternoon", IF(AND(AllData[[#This Row],[Time]]&lt;1, AllData[[#This Row],[Time]]&gt;=0.75)=TRUE, "Evening", "Night")))</f>
        <v>Afternoon</v>
      </c>
      <c r="G1828" t="str">
        <f>_xlfn.XLOOKUP(AllData[[#This Row],[Location Name]], Locations[Location Name],Locations[Group As])</f>
        <v>Abbey Mill</v>
      </c>
      <c r="H1828" t="e" vm="4">
        <f>_xlfn.XLOOKUP(AllData[[#This Row],[Site Name]],LocationsKey[Site Name],LocationsKey[District])</f>
        <v>#VALUE!</v>
      </c>
      <c r="I1828" t="e" vm="4">
        <f>_xlfn.XLOOKUP(AllData[[#This Row],[Site Name]],LocationsKey[Site Name],LocationsKey[Town])</f>
        <v>#VALUE!</v>
      </c>
      <c r="J1828" t="str">
        <f>_xlfn.XLOOKUP(AllData[[#This Row],[Site Name]],LocationsKey[Site Name], LocationsKey[Waterway])</f>
        <v>Avon</v>
      </c>
      <c r="K1828" t="s">
        <v>27</v>
      </c>
      <c r="L1828">
        <v>51.991295000000001</v>
      </c>
      <c r="M1828">
        <v>-2.162458</v>
      </c>
      <c r="N1828" t="s">
        <v>25</v>
      </c>
      <c r="O1828">
        <v>863</v>
      </c>
      <c r="P1828">
        <v>9.4</v>
      </c>
      <c r="Q1828">
        <v>7</v>
      </c>
      <c r="R1828" s="107" t="str">
        <f>IF(AllData[[#This Row],[Nitrate (PPM)]]&gt;2, "Very high", IF(AllData[[#This Row],[Nitrate (PPM)]]&gt;1, "High", IF(AllData[[#This Row],[Nitrate (PPM)]]&gt;0.5, "Some evidence", IF(AllData[[#This Row],[Nitrate (PPM)]]&gt;=0, "No evidence"))))</f>
        <v>Very high</v>
      </c>
      <c r="S1828" s="4">
        <v>0.5</v>
      </c>
      <c r="T1828" s="7" t="str">
        <f>IF(AllData[[#This Row],[Phosphate (PPM)]]&gt;0.5, "Very high", IF(AllData[[#This Row],[Phosphate (PPM)]]&gt;0.1, "High", IF(AllData[[#This Row],[Phosphate (PPM)]]&gt;0.05, "Some evidence", IF(AllData[[#This Row],[Phosphate (PPM)]]&lt;=0.05, "No Evidence", ""))))</f>
        <v>High</v>
      </c>
      <c r="U1828">
        <v>0.6</v>
      </c>
    </row>
    <row r="1829" spans="1:22" x14ac:dyDescent="0.35">
      <c r="A1829" t="s">
        <v>852</v>
      </c>
      <c r="B1829" s="143">
        <v>45362</v>
      </c>
      <c r="C1829" s="2" t="str" cm="1">
        <f t="array" ref="C18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29">
        <f>YEAR(AllData[[#This Row],[Date]])</f>
        <v>2024</v>
      </c>
      <c r="E1829" s="1">
        <v>0.39305555555555555</v>
      </c>
      <c r="F1829" t="str">
        <f>IF(AND(AllData[[#This Row],[Time]]&lt;0.5, AllData[[#This Row],[Time]]&gt;0.17)=TRUE, "Morning", IF(AND(AllData[[#This Row],[Time]]&lt;0.75, AllData[[#This Row],[Time]]&gt;=0.5)=TRUE, "Afternoon", IF(AND(AllData[[#This Row],[Time]]&lt;1, AllData[[#This Row],[Time]]&gt;=0.75)=TRUE, "Evening", "Night")))</f>
        <v>Morning</v>
      </c>
      <c r="G1829" t="str">
        <f>_xlfn.XLOOKUP(AllData[[#This Row],[Location Name]], Locations[Location Name],Locations[Group As])</f>
        <v>Stour Stretton-on-Fosse Sewage Works</v>
      </c>
      <c r="H1829" t="e" vm="1">
        <f>_xlfn.XLOOKUP(AllData[[#This Row],[Site Name]],LocationsKey[Site Name],LocationsKey[District])</f>
        <v>#VALUE!</v>
      </c>
      <c r="I1829" t="e" vm="30">
        <f>_xlfn.XLOOKUP(AllData[[#This Row],[Site Name]],LocationsKey[Site Name],LocationsKey[Town])</f>
        <v>#VALUE!</v>
      </c>
      <c r="J1829" t="str">
        <f>_xlfn.XLOOKUP(AllData[[#This Row],[Site Name]],LocationsKey[Site Name], LocationsKey[Waterway])</f>
        <v>Stour</v>
      </c>
      <c r="K1829" t="s">
        <v>337</v>
      </c>
      <c r="L1829">
        <v>52.045644000000003</v>
      </c>
      <c r="M1829">
        <v>-1.671867</v>
      </c>
      <c r="N1829" t="s">
        <v>31</v>
      </c>
      <c r="O1829">
        <v>425</v>
      </c>
      <c r="P1829">
        <v>7.1</v>
      </c>
      <c r="Q1829">
        <v>2</v>
      </c>
      <c r="R1829" s="107" t="str">
        <f>IF(AllData[[#This Row],[Nitrate (PPM)]]&gt;2, "Very high", IF(AllData[[#This Row],[Nitrate (PPM)]]&gt;1, "High", IF(AllData[[#This Row],[Nitrate (PPM)]]&gt;0.5, "Some evidence", IF(AllData[[#This Row],[Nitrate (PPM)]]&gt;=0, "No evidence"))))</f>
        <v>High</v>
      </c>
      <c r="S1829" s="4">
        <v>0.31</v>
      </c>
      <c r="T1829" s="7" t="str">
        <f>IF(AllData[[#This Row],[Phosphate (PPM)]]&gt;0.5, "Very high", IF(AllData[[#This Row],[Phosphate (PPM)]]&gt;0.1, "High", IF(AllData[[#This Row],[Phosphate (PPM)]]&gt;0.05, "Some evidence", IF(AllData[[#This Row],[Phosphate (PPM)]]&lt;=0.05, "No Evidence", ""))))</f>
        <v>High</v>
      </c>
      <c r="U1829">
        <v>0.4</v>
      </c>
    </row>
    <row r="1830" spans="1:22" x14ac:dyDescent="0.35">
      <c r="A1830" t="s">
        <v>851</v>
      </c>
      <c r="B1830" s="143">
        <v>45362</v>
      </c>
      <c r="C1830" s="2" t="str" cm="1">
        <f t="array" ref="C18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0">
        <f>YEAR(AllData[[#This Row],[Date]])</f>
        <v>2024</v>
      </c>
      <c r="E1830" s="1">
        <v>0.37569444444444444</v>
      </c>
      <c r="F1830" t="str">
        <f>IF(AND(AllData[[#This Row],[Time]]&lt;0.5, AllData[[#This Row],[Time]]&gt;0.17)=TRUE, "Morning", IF(AND(AllData[[#This Row],[Time]]&lt;0.75, AllData[[#This Row],[Time]]&gt;=0.5)=TRUE, "Afternoon", IF(AND(AllData[[#This Row],[Time]]&lt;1, AllData[[#This Row],[Time]]&gt;=0.75)=TRUE, "Evening", "Night")))</f>
        <v>Morning</v>
      </c>
      <c r="G1830" t="str">
        <f>_xlfn.XLOOKUP(AllData[[#This Row],[Location Name]], Locations[Location Name],Locations[Group As])</f>
        <v>Stour Stretton-on-Fosse Village</v>
      </c>
      <c r="H1830" t="e" vm="1">
        <f>_xlfn.XLOOKUP(AllData[[#This Row],[Site Name]],LocationsKey[Site Name],LocationsKey[District])</f>
        <v>#VALUE!</v>
      </c>
      <c r="I1830" t="e" vm="30">
        <f>_xlfn.XLOOKUP(AllData[[#This Row],[Site Name]],LocationsKey[Site Name],LocationsKey[Town])</f>
        <v>#VALUE!</v>
      </c>
      <c r="J1830" t="str">
        <f>_xlfn.XLOOKUP(AllData[[#This Row],[Site Name]],LocationsKey[Site Name], LocationsKey[Waterway])</f>
        <v>Stour</v>
      </c>
      <c r="K1830" t="s">
        <v>548</v>
      </c>
      <c r="L1830">
        <v>52.04654</v>
      </c>
      <c r="M1830">
        <v>-1.6734340000000001</v>
      </c>
      <c r="N1830" t="s">
        <v>68</v>
      </c>
      <c r="O1830">
        <v>420</v>
      </c>
      <c r="P1830">
        <v>8.1</v>
      </c>
      <c r="Q1830">
        <v>0.5</v>
      </c>
      <c r="R1830" s="107" t="str">
        <f>IF(AllData[[#This Row],[Nitrate (PPM)]]&gt;2, "Very high", IF(AllData[[#This Row],[Nitrate (PPM)]]&gt;1, "High", IF(AllData[[#This Row],[Nitrate (PPM)]]&gt;0.5, "Some evidence", IF(AllData[[#This Row],[Nitrate (PPM)]]&gt;=0, "No evidence"))))</f>
        <v>No evidence</v>
      </c>
      <c r="S1830" s="4">
        <v>0.35</v>
      </c>
      <c r="T1830" s="7" t="str">
        <f>IF(AllData[[#This Row],[Phosphate (PPM)]]&gt;0.5, "Very high", IF(AllData[[#This Row],[Phosphate (PPM)]]&gt;0.1, "High", IF(AllData[[#This Row],[Phosphate (PPM)]]&gt;0.05, "Some evidence", IF(AllData[[#This Row],[Phosphate (PPM)]]&lt;=0.05, "No Evidence", ""))))</f>
        <v>High</v>
      </c>
      <c r="U1830">
        <v>0.3</v>
      </c>
    </row>
    <row r="1831" spans="1:22" x14ac:dyDescent="0.35">
      <c r="A1831" t="s">
        <v>846</v>
      </c>
      <c r="B1831" s="143">
        <v>45361</v>
      </c>
      <c r="C1831" s="2" t="str" cm="1">
        <f t="array" ref="C18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1">
        <f>YEAR(AllData[[#This Row],[Date]])</f>
        <v>2024</v>
      </c>
      <c r="E1831" s="1">
        <v>0.58333333333333337</v>
      </c>
      <c r="F1831" t="str">
        <f>IF(AND(AllData[[#This Row],[Time]]&lt;0.5, AllData[[#This Row],[Time]]&gt;0.17)=TRUE, "Morning", IF(AND(AllData[[#This Row],[Time]]&lt;0.75, AllData[[#This Row],[Time]]&gt;=0.5)=TRUE, "Afternoon", IF(AND(AllData[[#This Row],[Time]]&lt;1, AllData[[#This Row],[Time]]&gt;=0.75)=TRUE, "Evening", "Night")))</f>
        <v>Afternoon</v>
      </c>
      <c r="G1831" t="str">
        <f>_xlfn.XLOOKUP(AllData[[#This Row],[Location Name]], Locations[Location Name],Locations[Group As])</f>
        <v>Avonbank Drive</v>
      </c>
      <c r="H1831" t="e" vm="1">
        <f>_xlfn.XLOOKUP(AllData[[#This Row],[Site Name]],LocationsKey[Site Name],LocationsKey[District])</f>
        <v>#VALUE!</v>
      </c>
      <c r="I1831" t="e" vm="12">
        <f>_xlfn.XLOOKUP(AllData[[#This Row],[Site Name]],LocationsKey[Site Name],LocationsKey[Town])</f>
        <v>#VALUE!</v>
      </c>
      <c r="J1831" t="str">
        <f>_xlfn.XLOOKUP(AllData[[#This Row],[Site Name]],LocationsKey[Site Name], LocationsKey[Waterway])</f>
        <v>Avon</v>
      </c>
      <c r="K1831" t="s">
        <v>104</v>
      </c>
      <c r="L1831">
        <v>52.177</v>
      </c>
      <c r="M1831">
        <v>-1.736</v>
      </c>
      <c r="N1831" t="s">
        <v>68</v>
      </c>
      <c r="O1831">
        <v>897</v>
      </c>
      <c r="P1831">
        <v>14.8</v>
      </c>
      <c r="Q1831">
        <v>10</v>
      </c>
      <c r="R1831" s="107" t="str">
        <f>IF(AllData[[#This Row],[Nitrate (PPM)]]&gt;2, "Very high", IF(AllData[[#This Row],[Nitrate (PPM)]]&gt;1, "High", IF(AllData[[#This Row],[Nitrate (PPM)]]&gt;0.5, "Some evidence", IF(AllData[[#This Row],[Nitrate (PPM)]]&gt;=0, "No evidence"))))</f>
        <v>Very high</v>
      </c>
      <c r="S1831" s="112">
        <v>0.47</v>
      </c>
      <c r="T1831" s="7" t="str">
        <f>IF(AllData[[#This Row],[Phosphate (PPM)]]&gt;0.5, "Very high", IF(AllData[[#This Row],[Phosphate (PPM)]]&gt;0.1, "High", IF(AllData[[#This Row],[Phosphate (PPM)]]&gt;0.05, "Some evidence", IF(AllData[[#This Row],[Phosphate (PPM)]]&lt;=0.05, "No Evidence", ""))))</f>
        <v>High</v>
      </c>
      <c r="U1831">
        <v>1</v>
      </c>
    </row>
    <row r="1832" spans="1:22" x14ac:dyDescent="0.35">
      <c r="A1832" t="s">
        <v>847</v>
      </c>
      <c r="B1832" s="143">
        <v>45361</v>
      </c>
      <c r="C1832" s="2" t="str" cm="1">
        <f t="array" ref="C18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2">
        <f>YEAR(AllData[[#This Row],[Date]])</f>
        <v>2024</v>
      </c>
      <c r="E1832" s="1">
        <v>0.58333333333333337</v>
      </c>
      <c r="F1832" t="str">
        <f>IF(AND(AllData[[#This Row],[Time]]&lt;0.5, AllData[[#This Row],[Time]]&gt;0.17)=TRUE, "Morning", IF(AND(AllData[[#This Row],[Time]]&lt;0.75, AllData[[#This Row],[Time]]&gt;=0.5)=TRUE, "Afternoon", IF(AND(AllData[[#This Row],[Time]]&lt;1, AllData[[#This Row],[Time]]&gt;=0.75)=TRUE, "Evening", "Night")))</f>
        <v>Afternoon</v>
      </c>
      <c r="G1832" t="str">
        <f>_xlfn.XLOOKUP(AllData[[#This Row],[Location Name]], Locations[Location Name],Locations[Group As])</f>
        <v>Pitch 16</v>
      </c>
      <c r="H1832" t="e" vm="1">
        <f>_xlfn.XLOOKUP(AllData[[#This Row],[Site Name]],LocationsKey[Site Name],LocationsKey[District])</f>
        <v>#VALUE!</v>
      </c>
      <c r="I1832" t="e" vm="12">
        <f>_xlfn.XLOOKUP(AllData[[#This Row],[Site Name]],LocationsKey[Site Name],LocationsKey[Town])</f>
        <v>#VALUE!</v>
      </c>
      <c r="J1832" t="str">
        <f>_xlfn.XLOOKUP(AllData[[#This Row],[Site Name]],LocationsKey[Site Name], LocationsKey[Waterway])</f>
        <v>Avon</v>
      </c>
      <c r="K1832" t="s">
        <v>71</v>
      </c>
      <c r="N1832" t="s">
        <v>31</v>
      </c>
      <c r="O1832">
        <v>873</v>
      </c>
      <c r="P1832">
        <v>12.8</v>
      </c>
      <c r="Q1832">
        <v>10</v>
      </c>
      <c r="R1832" s="107" t="str">
        <f>IF(AllData[[#This Row],[Nitrate (PPM)]]&gt;2, "Very high", IF(AllData[[#This Row],[Nitrate (PPM)]]&gt;1, "High", IF(AllData[[#This Row],[Nitrate (PPM)]]&gt;0.5, "Some evidence", IF(AllData[[#This Row],[Nitrate (PPM)]]&gt;=0, "No evidence"))))</f>
        <v>Very high</v>
      </c>
      <c r="S1832" s="112">
        <v>0.43</v>
      </c>
      <c r="T1832" s="7" t="str">
        <f>IF(AllData[[#This Row],[Phosphate (PPM)]]&gt;0.5, "Very high", IF(AllData[[#This Row],[Phosphate (PPM)]]&gt;0.1, "High", IF(AllData[[#This Row],[Phosphate (PPM)]]&gt;0.05, "Some evidence", IF(AllData[[#This Row],[Phosphate (PPM)]]&lt;=0.05, "No Evidence", ""))))</f>
        <v>High</v>
      </c>
      <c r="U1832">
        <v>1</v>
      </c>
    </row>
    <row r="1833" spans="1:22" x14ac:dyDescent="0.35">
      <c r="A1833" t="s">
        <v>844</v>
      </c>
      <c r="B1833" s="143">
        <v>45361</v>
      </c>
      <c r="C1833" s="2" t="str" cm="1">
        <f t="array" ref="C18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3">
        <f>YEAR(AllData[[#This Row],[Date]])</f>
        <v>2024</v>
      </c>
      <c r="E1833" s="1">
        <v>0.5625</v>
      </c>
      <c r="F1833" t="str">
        <f>IF(AND(AllData[[#This Row],[Time]]&lt;0.5, AllData[[#This Row],[Time]]&gt;0.17)=TRUE, "Morning", IF(AND(AllData[[#This Row],[Time]]&lt;0.75, AllData[[#This Row],[Time]]&gt;=0.5)=TRUE, "Afternoon", IF(AND(AllData[[#This Row],[Time]]&lt;1, AllData[[#This Row],[Time]]&gt;=0.75)=TRUE, "Evening", "Night")))</f>
        <v>Afternoon</v>
      </c>
      <c r="G1833" t="str">
        <f>_xlfn.XLOOKUP(AllData[[#This Row],[Location Name]], Locations[Location Name],Locations[Group As])</f>
        <v>Clifford Chambers Mill Bridge</v>
      </c>
      <c r="H1833" t="e" vm="1">
        <f>_xlfn.XLOOKUP(AllData[[#This Row],[Site Name]],LocationsKey[Site Name],LocationsKey[District])</f>
        <v>#VALUE!</v>
      </c>
      <c r="I1833" t="e" vm="22">
        <f>_xlfn.XLOOKUP(AllData[[#This Row],[Site Name]],LocationsKey[Site Name],LocationsKey[Town])</f>
        <v>#VALUE!</v>
      </c>
      <c r="J1833" t="str">
        <f>_xlfn.XLOOKUP(AllData[[#This Row],[Site Name]],LocationsKey[Site Name], LocationsKey[Waterway])</f>
        <v>Stour</v>
      </c>
      <c r="K1833" t="s">
        <v>266</v>
      </c>
      <c r="L1833">
        <v>52.166370000000001</v>
      </c>
      <c r="M1833">
        <v>-1.708032</v>
      </c>
      <c r="N1833" t="s">
        <v>68</v>
      </c>
      <c r="O1833">
        <v>665</v>
      </c>
      <c r="P1833">
        <v>9.1999999999999993</v>
      </c>
      <c r="Q1833">
        <v>10</v>
      </c>
      <c r="R1833" s="107" t="str">
        <f>IF(AllData[[#This Row],[Nitrate (PPM)]]&gt;2, "Very high", IF(AllData[[#This Row],[Nitrate (PPM)]]&gt;1, "High", IF(AllData[[#This Row],[Nitrate (PPM)]]&gt;0.5, "Some evidence", IF(AllData[[#This Row],[Nitrate (PPM)]]&gt;=0, "No evidence"))))</f>
        <v>Very high</v>
      </c>
      <c r="S1833" s="4">
        <v>0.22</v>
      </c>
      <c r="T1833" s="7" t="str">
        <f>IF(AllData[[#This Row],[Phosphate (PPM)]]&gt;0.5, "Very high", IF(AllData[[#This Row],[Phosphate (PPM)]]&gt;0.1, "High", IF(AllData[[#This Row],[Phosphate (PPM)]]&gt;0.05, "Some evidence", IF(AllData[[#This Row],[Phosphate (PPM)]]&lt;=0.05, "No Evidence", ""))))</f>
        <v>High</v>
      </c>
      <c r="U1833">
        <v>1.2</v>
      </c>
      <c r="V1833" t="s">
        <v>845</v>
      </c>
    </row>
    <row r="1834" spans="1:22" x14ac:dyDescent="0.35">
      <c r="A1834" t="s">
        <v>850</v>
      </c>
      <c r="B1834" s="143">
        <v>45361</v>
      </c>
      <c r="C1834" s="2" t="str" cm="1">
        <f t="array" ref="C18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4">
        <f>YEAR(AllData[[#This Row],[Date]])</f>
        <v>2024</v>
      </c>
      <c r="E1834" s="1">
        <v>0.63541666666666663</v>
      </c>
      <c r="F1834" t="str">
        <f>IF(AND(AllData[[#This Row],[Time]]&lt;0.5, AllData[[#This Row],[Time]]&gt;0.17)=TRUE, "Morning", IF(AND(AllData[[#This Row],[Time]]&lt;0.75, AllData[[#This Row],[Time]]&gt;=0.5)=TRUE, "Afternoon", IF(AND(AllData[[#This Row],[Time]]&lt;1, AllData[[#This Row],[Time]]&gt;=0.75)=TRUE, "Evening", "Night")))</f>
        <v>Afternoon</v>
      </c>
      <c r="G1834" t="str">
        <f>_xlfn.XLOOKUP(AllData[[#This Row],[Location Name]], Locations[Location Name],Locations[Group As])</f>
        <v>Bell Brook 1</v>
      </c>
      <c r="H1834" t="e" vm="1">
        <f>_xlfn.XLOOKUP(AllData[[#This Row],[Site Name]],LocationsKey[Site Name],LocationsKey[District])</f>
        <v>#VALUE!</v>
      </c>
      <c r="I1834" t="e" vm="19">
        <f>_xlfn.XLOOKUP(AllData[[#This Row],[Site Name]],LocationsKey[Site Name],LocationsKey[Town])</f>
        <v>#VALUE!</v>
      </c>
      <c r="J1834" t="str">
        <f>_xlfn.XLOOKUP(AllData[[#This Row],[Site Name]],LocationsKey[Site Name], LocationsKey[Waterway])</f>
        <v>Bell Brook</v>
      </c>
      <c r="K1834" t="s">
        <v>538</v>
      </c>
      <c r="L1834">
        <v>52.244900000000001</v>
      </c>
      <c r="M1834">
        <v>-1.6617</v>
      </c>
      <c r="N1834" t="s">
        <v>25</v>
      </c>
      <c r="O1834">
        <v>602</v>
      </c>
      <c r="P1834">
        <v>9.6999999999999993</v>
      </c>
      <c r="Q1834">
        <v>4</v>
      </c>
      <c r="R1834" s="107" t="str">
        <f>IF(AllData[[#This Row],[Nitrate (PPM)]]&gt;2, "Very high", IF(AllData[[#This Row],[Nitrate (PPM)]]&gt;1, "High", IF(AllData[[#This Row],[Nitrate (PPM)]]&gt;0.5, "Some evidence", IF(AllData[[#This Row],[Nitrate (PPM)]]&gt;=0, "No evidence"))))</f>
        <v>Very high</v>
      </c>
      <c r="S1834" s="4">
        <v>0.67</v>
      </c>
      <c r="T1834" s="7" t="str">
        <f>IF(AllData[[#This Row],[Phosphate (PPM)]]&gt;0.5, "Very high", IF(AllData[[#This Row],[Phosphate (PPM)]]&gt;0.1, "High", IF(AllData[[#This Row],[Phosphate (PPM)]]&gt;0.05, "Some evidence", IF(AllData[[#This Row],[Phosphate (PPM)]]&lt;=0.05, "No Evidence", ""))))</f>
        <v>Very high</v>
      </c>
      <c r="U1834">
        <v>1</v>
      </c>
      <c r="V1834" t="s">
        <v>849</v>
      </c>
    </row>
    <row r="1835" spans="1:22" x14ac:dyDescent="0.35">
      <c r="A1835" t="s">
        <v>848</v>
      </c>
      <c r="B1835" s="143">
        <v>45361</v>
      </c>
      <c r="C1835" s="2" t="str" cm="1">
        <f t="array" ref="C18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5">
        <f>YEAR(AllData[[#This Row],[Date]])</f>
        <v>2024</v>
      </c>
      <c r="E1835" s="1">
        <v>0.625</v>
      </c>
      <c r="F1835" t="str">
        <f>IF(AND(AllData[[#This Row],[Time]]&lt;0.5, AllData[[#This Row],[Time]]&gt;0.17)=TRUE, "Morning", IF(AND(AllData[[#This Row],[Time]]&lt;0.75, AllData[[#This Row],[Time]]&gt;=0.5)=TRUE, "Afternoon", IF(AND(AllData[[#This Row],[Time]]&lt;1, AllData[[#This Row],[Time]]&gt;=0.75)=TRUE, "Evening", "Night")))</f>
        <v>Afternoon</v>
      </c>
      <c r="G1835" t="str">
        <f>_xlfn.XLOOKUP(AllData[[#This Row],[Location Name]], Locations[Location Name],Locations[Group As])</f>
        <v>Sherbourne Brook 1</v>
      </c>
      <c r="H1835" t="e" vm="1">
        <f>_xlfn.XLOOKUP(AllData[[#This Row],[Site Name]],LocationsKey[Site Name],LocationsKey[District])</f>
        <v>#VALUE!</v>
      </c>
      <c r="I1835" t="e" vm="23">
        <f>_xlfn.XLOOKUP(AllData[[#This Row],[Site Name]],LocationsKey[Site Name],LocationsKey[Town])</f>
        <v>#VALUE!</v>
      </c>
      <c r="J1835" t="str">
        <f>_xlfn.XLOOKUP(AllData[[#This Row],[Site Name]],LocationsKey[Site Name], LocationsKey[Waterway])</f>
        <v>Sherbourne Brook</v>
      </c>
      <c r="K1835" t="s">
        <v>541</v>
      </c>
      <c r="L1835">
        <v>52.252499999999998</v>
      </c>
      <c r="M1835">
        <v>-1.6685000000000001</v>
      </c>
      <c r="N1835" t="s">
        <v>25</v>
      </c>
      <c r="O1835">
        <v>456</v>
      </c>
      <c r="P1835">
        <v>8.8000000000000007</v>
      </c>
      <c r="Q1835">
        <v>4</v>
      </c>
      <c r="R1835" s="107" t="str">
        <f>IF(AllData[[#This Row],[Nitrate (PPM)]]&gt;2, "Very high", IF(AllData[[#This Row],[Nitrate (PPM)]]&gt;1, "High", IF(AllData[[#This Row],[Nitrate (PPM)]]&gt;0.5, "Some evidence", IF(AllData[[#This Row],[Nitrate (PPM)]]&gt;=0, "No evidence"))))</f>
        <v>Very high</v>
      </c>
      <c r="S1835" s="4">
        <v>0.84</v>
      </c>
      <c r="T1835" s="7" t="str">
        <f>IF(AllData[[#This Row],[Phosphate (PPM)]]&gt;0.5, "Very high", IF(AllData[[#This Row],[Phosphate (PPM)]]&gt;0.1, "High", IF(AllData[[#This Row],[Phosphate (PPM)]]&gt;0.05, "Some evidence", IF(AllData[[#This Row],[Phosphate (PPM)]]&lt;=0.05, "No Evidence", ""))))</f>
        <v>Very high</v>
      </c>
      <c r="U1835">
        <v>1</v>
      </c>
      <c r="V1835" t="s">
        <v>849</v>
      </c>
    </row>
    <row r="1836" spans="1:22" x14ac:dyDescent="0.35">
      <c r="A1836" t="s">
        <v>843</v>
      </c>
      <c r="B1836" s="143">
        <v>45361</v>
      </c>
      <c r="C1836" s="2" t="str" cm="1">
        <f t="array" ref="C18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6">
        <f>YEAR(AllData[[#This Row],[Date]])</f>
        <v>2024</v>
      </c>
      <c r="E1836" s="1">
        <v>0.4375</v>
      </c>
      <c r="F1836" t="str">
        <f>IF(AND(AllData[[#This Row],[Time]]&lt;0.5, AllData[[#This Row],[Time]]&gt;0.17)=TRUE, "Morning", IF(AND(AllData[[#This Row],[Time]]&lt;0.75, AllData[[#This Row],[Time]]&gt;=0.5)=TRUE, "Afternoon", IF(AND(AllData[[#This Row],[Time]]&lt;1, AllData[[#This Row],[Time]]&gt;=0.75)=TRUE, "Evening", "Night")))</f>
        <v>Morning</v>
      </c>
      <c r="G1836" t="str">
        <f>_xlfn.XLOOKUP(AllData[[#This Row],[Location Name]], Locations[Location Name],Locations[Group As])</f>
        <v>Lucy's Mill Bridge</v>
      </c>
      <c r="H1836" t="e" vm="1">
        <f>_xlfn.XLOOKUP(AllData[[#This Row],[Site Name]],LocationsKey[Site Name],LocationsKey[District])</f>
        <v>#VALUE!</v>
      </c>
      <c r="I1836" t="e" vm="12">
        <f>_xlfn.XLOOKUP(AllData[[#This Row],[Site Name]],LocationsKey[Site Name],LocationsKey[Town])</f>
        <v>#VALUE!</v>
      </c>
      <c r="J1836" t="str">
        <f>_xlfn.XLOOKUP(AllData[[#This Row],[Site Name]],LocationsKey[Site Name], LocationsKey[Waterway])</f>
        <v>Avon</v>
      </c>
      <c r="K1836" t="s">
        <v>212</v>
      </c>
      <c r="L1836">
        <v>52.183698999999997</v>
      </c>
      <c r="M1836">
        <v>-1.707816</v>
      </c>
      <c r="N1836" t="s">
        <v>31</v>
      </c>
      <c r="P1836">
        <v>10</v>
      </c>
      <c r="Q1836">
        <v>3</v>
      </c>
      <c r="R1836" s="107" t="str">
        <f>IF(AllData[[#This Row],[Nitrate (PPM)]]&gt;2, "Very high", IF(AllData[[#This Row],[Nitrate (PPM)]]&gt;1, "High", IF(AllData[[#This Row],[Nitrate (PPM)]]&gt;0.5, "Some evidence", IF(AllData[[#This Row],[Nitrate (PPM)]]&gt;=0, "No evidence"))))</f>
        <v>Very high</v>
      </c>
      <c r="S1836" s="4">
        <v>0.4</v>
      </c>
      <c r="T1836" s="7" t="str">
        <f>IF(AllData[[#This Row],[Phosphate (PPM)]]&gt;0.5, "Very high", IF(AllData[[#This Row],[Phosphate (PPM)]]&gt;0.1, "High", IF(AllData[[#This Row],[Phosphate (PPM)]]&gt;0.05, "Some evidence", IF(AllData[[#This Row],[Phosphate (PPM)]]&lt;=0.05, "No Evidence", ""))))</f>
        <v>High</v>
      </c>
      <c r="U1836">
        <v>0.7</v>
      </c>
    </row>
    <row r="1837" spans="1:22" x14ac:dyDescent="0.35">
      <c r="A1837" t="s">
        <v>841</v>
      </c>
      <c r="B1837" s="143">
        <v>45360</v>
      </c>
      <c r="C1837" s="2" t="str" cm="1">
        <f t="array" ref="C18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7">
        <f>YEAR(AllData[[#This Row],[Date]])</f>
        <v>2024</v>
      </c>
      <c r="E1837" s="1"/>
      <c r="F1837" t="str">
        <f>IF(AND(AllData[[#This Row],[Time]]&lt;0.5, AllData[[#This Row],[Time]]&gt;0.17)=TRUE, "Morning", IF(AND(AllData[[#This Row],[Time]]&lt;0.75, AllData[[#This Row],[Time]]&gt;=0.5)=TRUE, "Afternoon", IF(AND(AllData[[#This Row],[Time]]&lt;1, AllData[[#This Row],[Time]]&gt;=0.75)=TRUE, "Evening", "Night")))</f>
        <v>Night</v>
      </c>
      <c r="G1837" t="str">
        <f>_xlfn.XLOOKUP(AllData[[#This Row],[Location Name]], Locations[Location Name],Locations[Group As])</f>
        <v>Site 3  :  Severn Trent Water processing plant outflow</v>
      </c>
      <c r="H1837" t="e" vm="1">
        <f>_xlfn.XLOOKUP(AllData[[#This Row],[Site Name]],LocationsKey[Site Name],LocationsKey[District])</f>
        <v>#VALUE!</v>
      </c>
      <c r="I1837" t="e" vm="14">
        <f>_xlfn.XLOOKUP(AllData[[#This Row],[Site Name]],LocationsKey[Site Name],LocationsKey[Town])</f>
        <v>#VALUE!</v>
      </c>
      <c r="J1837" t="str">
        <f>_xlfn.XLOOKUP(AllData[[#This Row],[Site Name]],LocationsKey[Site Name], LocationsKey[Waterway])</f>
        <v>Fosseway Brook</v>
      </c>
      <c r="K1837" t="s">
        <v>676</v>
      </c>
      <c r="N1837" t="s">
        <v>31</v>
      </c>
      <c r="O1837">
        <v>614</v>
      </c>
      <c r="P1837">
        <v>10.039999999999999</v>
      </c>
      <c r="Q1837">
        <v>10</v>
      </c>
      <c r="R1837" s="107" t="str">
        <f>IF(AllData[[#This Row],[Nitrate (PPM)]]&gt;2, "Very high", IF(AllData[[#This Row],[Nitrate (PPM)]]&gt;1, "High", IF(AllData[[#This Row],[Nitrate (PPM)]]&gt;0.5, "Some evidence", IF(AllData[[#This Row],[Nitrate (PPM)]]&gt;=0, "No evidence"))))</f>
        <v>Very high</v>
      </c>
      <c r="S1837" s="4">
        <v>2.5</v>
      </c>
      <c r="T1837" s="7" t="str">
        <f>IF(AllData[[#This Row],[Phosphate (PPM)]]&gt;0.5, "Very high", IF(AllData[[#This Row],[Phosphate (PPM)]]&gt;0.1, "High", IF(AllData[[#This Row],[Phosphate (PPM)]]&gt;0.05, "Some evidence", IF(AllData[[#This Row],[Phosphate (PPM)]]&lt;=0.05, "No Evidence", ""))))</f>
        <v>Very high</v>
      </c>
    </row>
    <row r="1838" spans="1:22" x14ac:dyDescent="0.35">
      <c r="A1838" t="s">
        <v>839</v>
      </c>
      <c r="B1838" s="143">
        <v>45360</v>
      </c>
      <c r="C1838" s="2" t="str" cm="1">
        <f t="array" ref="C18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8">
        <f>YEAR(AllData[[#This Row],[Date]])</f>
        <v>2024</v>
      </c>
      <c r="F1838" t="str">
        <f>IF(AND(AllData[[#This Row],[Time]]&lt;0.5, AllData[[#This Row],[Time]]&gt;0.17)=TRUE, "Morning", IF(AND(AllData[[#This Row],[Time]]&lt;0.75, AllData[[#This Row],[Time]]&gt;=0.5)=TRUE, "Afternoon", IF(AND(AllData[[#This Row],[Time]]&lt;1, AllData[[#This Row],[Time]]&gt;=0.75)=TRUE, "Evening", "Night")))</f>
        <v>Night</v>
      </c>
      <c r="G1838" t="str">
        <f>_xlfn.XLOOKUP(AllData[[#This Row],[Location Name]], Locations[Location Name],Locations[Group As])</f>
        <v>Site 3  :  Severn Trent Water processing plant outflow</v>
      </c>
      <c r="H1838" t="e" vm="1">
        <f>_xlfn.XLOOKUP(AllData[[#This Row],[Site Name]],LocationsKey[Site Name],LocationsKey[District])</f>
        <v>#VALUE!</v>
      </c>
      <c r="I1838" t="e" vm="14">
        <f>_xlfn.XLOOKUP(AllData[[#This Row],[Site Name]],LocationsKey[Site Name],LocationsKey[Town])</f>
        <v>#VALUE!</v>
      </c>
      <c r="J1838" t="str">
        <f>_xlfn.XLOOKUP(AllData[[#This Row],[Site Name]],LocationsKey[Site Name], LocationsKey[Waterway])</f>
        <v>Fosseway Brook</v>
      </c>
      <c r="K1838" t="s">
        <v>673</v>
      </c>
      <c r="N1838" t="s">
        <v>31</v>
      </c>
      <c r="O1838">
        <v>614</v>
      </c>
      <c r="P1838">
        <v>10.039999999999999</v>
      </c>
      <c r="Q1838">
        <v>10</v>
      </c>
      <c r="R1838" s="107" t="str">
        <f>IF(AllData[[#This Row],[Nitrate (PPM)]]&gt;2, "Very high", IF(AllData[[#This Row],[Nitrate (PPM)]]&gt;1, "High", IF(AllData[[#This Row],[Nitrate (PPM)]]&gt;0.5, "Some evidence", IF(AllData[[#This Row],[Nitrate (PPM)]]&gt;=0, "No evidence"))))</f>
        <v>Very high</v>
      </c>
      <c r="S1838" s="4">
        <v>2.5</v>
      </c>
      <c r="T1838" s="7" t="str">
        <f>IF(AllData[[#This Row],[Phosphate (PPM)]]&gt;0.5, "Very high", IF(AllData[[#This Row],[Phosphate (PPM)]]&gt;0.1, "High", IF(AllData[[#This Row],[Phosphate (PPM)]]&gt;0.05, "Some evidence", IF(AllData[[#This Row],[Phosphate (PPM)]]&lt;=0.05, "No Evidence", ""))))</f>
        <v>Very high</v>
      </c>
      <c r="U1838">
        <v>0</v>
      </c>
      <c r="V1838" t="s">
        <v>840</v>
      </c>
    </row>
    <row r="1839" spans="1:22" x14ac:dyDescent="0.35">
      <c r="A1839" t="s">
        <v>831</v>
      </c>
      <c r="B1839" s="143">
        <v>45360</v>
      </c>
      <c r="C1839" s="2" t="str" cm="1">
        <f t="array" ref="C18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39">
        <f>YEAR(AllData[[#This Row],[Date]])</f>
        <v>2024</v>
      </c>
      <c r="E1839" s="1">
        <v>0.5444444444444444</v>
      </c>
      <c r="F1839" t="str">
        <f>IF(AND(AllData[[#This Row],[Time]]&lt;0.5, AllData[[#This Row],[Time]]&gt;0.17)=TRUE, "Morning", IF(AND(AllData[[#This Row],[Time]]&lt;0.75, AllData[[#This Row],[Time]]&gt;=0.5)=TRUE, "Afternoon", IF(AND(AllData[[#This Row],[Time]]&lt;1, AllData[[#This Row],[Time]]&gt;=0.75)=TRUE, "Evening", "Night")))</f>
        <v>Afternoon</v>
      </c>
      <c r="G1839" t="str">
        <f>_xlfn.XLOOKUP(AllData[[#This Row],[Location Name]], Locations[Location Name],Locations[Group As])</f>
        <v>Avon Smiths Meadow Wyre Piddle</v>
      </c>
      <c r="H1839" t="e" vm="6">
        <f>_xlfn.XLOOKUP(AllData[[#This Row],[Site Name]],LocationsKey[Site Name],LocationsKey[District])</f>
        <v>#VALUE!</v>
      </c>
      <c r="I1839" t="e" vm="13">
        <f>_xlfn.XLOOKUP(AllData[[#This Row],[Site Name]],LocationsKey[Site Name],LocationsKey[Town])</f>
        <v>#VALUE!</v>
      </c>
      <c r="J1839" t="str">
        <f>_xlfn.XLOOKUP(AllData[[#This Row],[Site Name]],LocationsKey[Site Name], LocationsKey[Waterway])</f>
        <v>Avon</v>
      </c>
      <c r="K1839" t="s">
        <v>784</v>
      </c>
      <c r="L1839">
        <v>52.122912999999997</v>
      </c>
      <c r="M1839">
        <v>-2.0574750000000002</v>
      </c>
      <c r="N1839" t="s">
        <v>25</v>
      </c>
      <c r="O1839">
        <v>313</v>
      </c>
      <c r="P1839">
        <v>9.4</v>
      </c>
      <c r="Q1839">
        <v>10</v>
      </c>
      <c r="R1839" s="107" t="str">
        <f>IF(AllData[[#This Row],[Nitrate (PPM)]]&gt;2, "Very high", IF(AllData[[#This Row],[Nitrate (PPM)]]&gt;1, "High", IF(AllData[[#This Row],[Nitrate (PPM)]]&gt;0.5, "Some evidence", IF(AllData[[#This Row],[Nitrate (PPM)]]&gt;=0, "No evidence"))))</f>
        <v>Very high</v>
      </c>
      <c r="S1839" s="4">
        <v>0.56999999999999995</v>
      </c>
      <c r="T1839" s="7" t="str">
        <f>IF(AllData[[#This Row],[Phosphate (PPM)]]&gt;0.5, "Very high", IF(AllData[[#This Row],[Phosphate (PPM)]]&gt;0.1, "High", IF(AllData[[#This Row],[Phosphate (PPM)]]&gt;0.05, "Some evidence", IF(AllData[[#This Row],[Phosphate (PPM)]]&lt;=0.05, "No Evidence", ""))))</f>
        <v>Very high</v>
      </c>
      <c r="U1839">
        <v>0.78</v>
      </c>
      <c r="V1839" t="s">
        <v>832</v>
      </c>
    </row>
    <row r="1840" spans="1:22" x14ac:dyDescent="0.35">
      <c r="A1840" t="s">
        <v>826</v>
      </c>
      <c r="B1840" s="143">
        <v>45360</v>
      </c>
      <c r="C1840" s="2" t="str" cm="1">
        <f t="array" ref="C18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0">
        <f>YEAR(AllData[[#This Row],[Date]])</f>
        <v>2024</v>
      </c>
      <c r="E1840" s="1">
        <v>0.37569444444444444</v>
      </c>
      <c r="F1840" t="str">
        <f>IF(AND(AllData[[#This Row],[Time]]&lt;0.5, AllData[[#This Row],[Time]]&gt;0.17)=TRUE, "Morning", IF(AND(AllData[[#This Row],[Time]]&lt;0.75, AllData[[#This Row],[Time]]&gt;=0.5)=TRUE, "Afternoon", IF(AND(AllData[[#This Row],[Time]]&lt;1, AllData[[#This Row],[Time]]&gt;=0.75)=TRUE, "Evening", "Night")))</f>
        <v>Morning</v>
      </c>
      <c r="G1840" t="str">
        <f>_xlfn.XLOOKUP(AllData[[#This Row],[Location Name]], Locations[Location Name],Locations[Group As])</f>
        <v>Swilgate</v>
      </c>
      <c r="H1840" t="e" vm="4">
        <f>_xlfn.XLOOKUP(AllData[[#This Row],[Site Name]],LocationsKey[Site Name],LocationsKey[District])</f>
        <v>#VALUE!</v>
      </c>
      <c r="I1840" t="e" vm="4">
        <f>_xlfn.XLOOKUP(AllData[[#This Row],[Site Name]],LocationsKey[Site Name],LocationsKey[Town])</f>
        <v>#VALUE!</v>
      </c>
      <c r="J1840" t="str">
        <f>_xlfn.XLOOKUP(AllData[[#This Row],[Site Name]],LocationsKey[Site Name], LocationsKey[Waterway])</f>
        <v>Swilgate</v>
      </c>
      <c r="K1840" t="s">
        <v>486</v>
      </c>
      <c r="L1840">
        <v>51.988512</v>
      </c>
      <c r="M1840">
        <v>-2.1639599999999999</v>
      </c>
      <c r="N1840" t="s">
        <v>25</v>
      </c>
      <c r="O1840">
        <v>861</v>
      </c>
      <c r="P1840">
        <v>9.5</v>
      </c>
      <c r="Q1840">
        <v>7</v>
      </c>
      <c r="R1840" s="107" t="str">
        <f>IF(AllData[[#This Row],[Nitrate (PPM)]]&gt;2, "Very high", IF(AllData[[#This Row],[Nitrate (PPM)]]&gt;1, "High", IF(AllData[[#This Row],[Nitrate (PPM)]]&gt;0.5, "Some evidence", IF(AllData[[#This Row],[Nitrate (PPM)]]&gt;=0, "No evidence"))))</f>
        <v>Very high</v>
      </c>
      <c r="S1840" s="4">
        <v>0.6</v>
      </c>
      <c r="T1840" s="7" t="str">
        <f>IF(AllData[[#This Row],[Phosphate (PPM)]]&gt;0.5, "Very high", IF(AllData[[#This Row],[Phosphate (PPM)]]&gt;0.1, "High", IF(AllData[[#This Row],[Phosphate (PPM)]]&gt;0.05, "Some evidence", IF(AllData[[#This Row],[Phosphate (PPM)]]&lt;=0.05, "No Evidence", ""))))</f>
        <v>Very high</v>
      </c>
      <c r="U1840">
        <v>0</v>
      </c>
    </row>
    <row r="1841" spans="1:22" x14ac:dyDescent="0.35">
      <c r="A1841" t="s">
        <v>827</v>
      </c>
      <c r="B1841" s="143">
        <v>45360</v>
      </c>
      <c r="C1841" s="2" t="str" cm="1">
        <f t="array" ref="C18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1">
        <f>YEAR(AllData[[#This Row],[Date]])</f>
        <v>2024</v>
      </c>
      <c r="E1841" s="1">
        <v>0.5</v>
      </c>
      <c r="F1841" t="str">
        <f>IF(AND(AllData[[#This Row],[Time]]&lt;0.5, AllData[[#This Row],[Time]]&gt;0.17)=TRUE, "Morning", IF(AND(AllData[[#This Row],[Time]]&lt;0.75, AllData[[#This Row],[Time]]&gt;=0.5)=TRUE, "Afternoon", IF(AND(AllData[[#This Row],[Time]]&lt;1, AllData[[#This Row],[Time]]&gt;=0.75)=TRUE, "Evening", "Night")))</f>
        <v>Afternoon</v>
      </c>
      <c r="G1841" t="str">
        <f>_xlfn.XLOOKUP(AllData[[#This Row],[Location Name]], Locations[Location Name],Locations[Group As])</f>
        <v>Carrant Bredon Rd</v>
      </c>
      <c r="H1841" t="e" vm="4">
        <f>_xlfn.XLOOKUP(AllData[[#This Row],[Site Name]],LocationsKey[Site Name],LocationsKey[District])</f>
        <v>#VALUE!</v>
      </c>
      <c r="I1841" t="e" vm="4">
        <f>_xlfn.XLOOKUP(AllData[[#This Row],[Site Name]],LocationsKey[Site Name],LocationsKey[Town])</f>
        <v>#VALUE!</v>
      </c>
      <c r="J1841" t="str">
        <f>_xlfn.XLOOKUP(AllData[[#This Row],[Site Name]],LocationsKey[Site Name], LocationsKey[Waterway])</f>
        <v>Carrant</v>
      </c>
      <c r="K1841" t="s">
        <v>603</v>
      </c>
      <c r="L1841">
        <v>51.996478000000003</v>
      </c>
      <c r="M1841">
        <v>-2.155986</v>
      </c>
      <c r="N1841" t="s">
        <v>25</v>
      </c>
      <c r="O1841">
        <v>736</v>
      </c>
      <c r="P1841">
        <v>9.6</v>
      </c>
      <c r="Q1841">
        <v>7</v>
      </c>
      <c r="R1841" s="107" t="str">
        <f>IF(AllData[[#This Row],[Nitrate (PPM)]]&gt;2, "Very high", IF(AllData[[#This Row],[Nitrate (PPM)]]&gt;1, "High", IF(AllData[[#This Row],[Nitrate (PPM)]]&gt;0.5, "Some evidence", IF(AllData[[#This Row],[Nitrate (PPM)]]&gt;=0, "No evidence"))))</f>
        <v>Very high</v>
      </c>
      <c r="S1841" s="4">
        <v>0.28000000000000003</v>
      </c>
      <c r="T1841" s="7" t="str">
        <f>IF(AllData[[#This Row],[Phosphate (PPM)]]&gt;0.5, "Very high", IF(AllData[[#This Row],[Phosphate (PPM)]]&gt;0.1, "High", IF(AllData[[#This Row],[Phosphate (PPM)]]&gt;0.05, "Some evidence", IF(AllData[[#This Row],[Phosphate (PPM)]]&lt;=0.05, "No Evidence", ""))))</f>
        <v>High</v>
      </c>
      <c r="U1841">
        <v>7.4999999999999997E-2</v>
      </c>
      <c r="V1841" t="s">
        <v>828</v>
      </c>
    </row>
    <row r="1842" spans="1:22" x14ac:dyDescent="0.35">
      <c r="A1842" t="s">
        <v>829</v>
      </c>
      <c r="B1842" s="143">
        <v>45360</v>
      </c>
      <c r="C1842" s="2" t="str" cm="1">
        <f t="array" ref="C18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2">
        <f>YEAR(AllData[[#This Row],[Date]])</f>
        <v>2024</v>
      </c>
      <c r="E1842" s="1">
        <v>0.51597222222222228</v>
      </c>
      <c r="F1842" t="str">
        <f>IF(AND(AllData[[#This Row],[Time]]&lt;0.5, AllData[[#This Row],[Time]]&gt;0.17)=TRUE, "Morning", IF(AND(AllData[[#This Row],[Time]]&lt;0.75, AllData[[#This Row],[Time]]&gt;=0.5)=TRUE, "Afternoon", IF(AND(AllData[[#This Row],[Time]]&lt;1, AllData[[#This Row],[Time]]&gt;=0.75)=TRUE, "Evening", "Night")))</f>
        <v>Afternoon</v>
      </c>
      <c r="G1842" t="str">
        <f>_xlfn.XLOOKUP(AllData[[#This Row],[Location Name]], Locations[Location Name],Locations[Group As])</f>
        <v>Piddle Brook Wyre Piddle Bridge</v>
      </c>
      <c r="H1842" t="e" vm="6">
        <f>_xlfn.XLOOKUP(AllData[[#This Row],[Site Name]],LocationsKey[Site Name],LocationsKey[District])</f>
        <v>#VALUE!</v>
      </c>
      <c r="I1842" t="e" vm="13">
        <f>_xlfn.XLOOKUP(AllData[[#This Row],[Site Name]],LocationsKey[Site Name],LocationsKey[Town])</f>
        <v>#VALUE!</v>
      </c>
      <c r="J1842" t="str">
        <f>_xlfn.XLOOKUP(AllData[[#This Row],[Site Name]],LocationsKey[Site Name], LocationsKey[Waterway])</f>
        <v>Piddle Brook</v>
      </c>
      <c r="K1842" t="s">
        <v>787</v>
      </c>
      <c r="N1842" t="s">
        <v>25</v>
      </c>
      <c r="O1842">
        <v>1060</v>
      </c>
      <c r="P1842">
        <v>8.6</v>
      </c>
      <c r="Q1842">
        <v>5</v>
      </c>
      <c r="R1842" s="107" t="str">
        <f>IF(AllData[[#This Row],[Nitrate (PPM)]]&gt;2, "Very high", IF(AllData[[#This Row],[Nitrate (PPM)]]&gt;1, "High", IF(AllData[[#This Row],[Nitrate (PPM)]]&gt;0.5, "Some evidence", IF(AllData[[#This Row],[Nitrate (PPM)]]&gt;=0, "No evidence"))))</f>
        <v>Very high</v>
      </c>
      <c r="S1842" s="4">
        <v>0.51</v>
      </c>
      <c r="T1842" s="7" t="str">
        <f>IF(AllData[[#This Row],[Phosphate (PPM)]]&gt;0.5, "Very high", IF(AllData[[#This Row],[Phosphate (PPM)]]&gt;0.1, "High", IF(AllData[[#This Row],[Phosphate (PPM)]]&gt;0.05, "Some evidence", IF(AllData[[#This Row],[Phosphate (PPM)]]&lt;=0.05, "No Evidence", ""))))</f>
        <v>Very high</v>
      </c>
      <c r="U1842">
        <v>0.28999999999999998</v>
      </c>
      <c r="V1842" t="s">
        <v>830</v>
      </c>
    </row>
    <row r="1843" spans="1:22" x14ac:dyDescent="0.35">
      <c r="A1843" t="s">
        <v>833</v>
      </c>
      <c r="B1843" s="143">
        <v>45360</v>
      </c>
      <c r="C1843" s="2" t="str" cm="1">
        <f t="array" ref="C18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3">
        <f>YEAR(AllData[[#This Row],[Date]])</f>
        <v>2024</v>
      </c>
      <c r="E1843" s="1">
        <v>0.65902777777777777</v>
      </c>
      <c r="F1843" t="str">
        <f>IF(AND(AllData[[#This Row],[Time]]&lt;0.5, AllData[[#This Row],[Time]]&gt;0.17)=TRUE, "Morning", IF(AND(AllData[[#This Row],[Time]]&lt;0.75, AllData[[#This Row],[Time]]&gt;=0.5)=TRUE, "Afternoon", IF(AND(AllData[[#This Row],[Time]]&lt;1, AllData[[#This Row],[Time]]&gt;=0.75)=TRUE, "Evening", "Night")))</f>
        <v>Afternoon</v>
      </c>
      <c r="G1843" t="str">
        <f>_xlfn.XLOOKUP(AllData[[#This Row],[Location Name]], Locations[Location Name],Locations[Group As])</f>
        <v>Black Bear</v>
      </c>
      <c r="H1843" t="e" vm="4">
        <f>_xlfn.XLOOKUP(AllData[[#This Row],[Site Name]],LocationsKey[Site Name],LocationsKey[District])</f>
        <v>#VALUE!</v>
      </c>
      <c r="I1843" t="e" vm="4">
        <f>_xlfn.XLOOKUP(AllData[[#This Row],[Site Name]],LocationsKey[Site Name],LocationsKey[Town])</f>
        <v>#VALUE!</v>
      </c>
      <c r="J1843" t="str">
        <f>_xlfn.XLOOKUP(AllData[[#This Row],[Site Name]],LocationsKey[Site Name], LocationsKey[Waterway])</f>
        <v>Avon</v>
      </c>
      <c r="K1843" t="s">
        <v>572</v>
      </c>
      <c r="L1843">
        <v>51.997199999999999</v>
      </c>
      <c r="M1843">
        <v>-2.1560839999999999</v>
      </c>
      <c r="N1843" t="s">
        <v>25</v>
      </c>
      <c r="O1843">
        <v>780</v>
      </c>
      <c r="P1843">
        <v>9.8000000000000007</v>
      </c>
      <c r="Q1843">
        <v>5</v>
      </c>
      <c r="R1843" s="107" t="str">
        <f>IF(AllData[[#This Row],[Nitrate (PPM)]]&gt;2, "Very high", IF(AllData[[#This Row],[Nitrate (PPM)]]&gt;1, "High", IF(AllData[[#This Row],[Nitrate (PPM)]]&gt;0.5, "Some evidence", IF(AllData[[#This Row],[Nitrate (PPM)]]&gt;=0, "No evidence"))))</f>
        <v>Very high</v>
      </c>
      <c r="S1843" s="4">
        <v>0.48</v>
      </c>
      <c r="T1843" s="7" t="str">
        <f>IF(AllData[[#This Row],[Phosphate (PPM)]]&gt;0.5, "Very high", IF(AllData[[#This Row],[Phosphate (PPM)]]&gt;0.1, "High", IF(AllData[[#This Row],[Phosphate (PPM)]]&gt;0.05, "Some evidence", IF(AllData[[#This Row],[Phosphate (PPM)]]&lt;=0.05, "No Evidence", ""))))</f>
        <v>High</v>
      </c>
      <c r="U1843">
        <v>0</v>
      </c>
    </row>
    <row r="1844" spans="1:22" x14ac:dyDescent="0.35">
      <c r="A1844" t="s">
        <v>838</v>
      </c>
      <c r="B1844" s="143">
        <v>45360</v>
      </c>
      <c r="C1844" s="2" t="str" cm="1">
        <f t="array" ref="C18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4">
        <f>YEAR(AllData[[#This Row],[Date]])</f>
        <v>2024</v>
      </c>
      <c r="E1844" s="1"/>
      <c r="F1844" t="str">
        <f>IF(AND(AllData[[#This Row],[Time]]&lt;0.5, AllData[[#This Row],[Time]]&gt;0.17)=TRUE, "Morning", IF(AND(AllData[[#This Row],[Time]]&lt;0.75, AllData[[#This Row],[Time]]&gt;=0.5)=TRUE, "Afternoon", IF(AND(AllData[[#This Row],[Time]]&lt;1, AllData[[#This Row],[Time]]&gt;=0.75)=TRUE, "Evening", "Night")))</f>
        <v>Night</v>
      </c>
      <c r="G1844" t="str">
        <f>_xlfn.XLOOKUP(AllData[[#This Row],[Location Name]], Locations[Location Name],Locations[Group As])</f>
        <v>Site 2  :  Cross Leys culvert</v>
      </c>
      <c r="H1844" t="e" vm="1">
        <f>_xlfn.XLOOKUP(AllData[[#This Row],[Site Name]],LocationsKey[Site Name],LocationsKey[District])</f>
        <v>#VALUE!</v>
      </c>
      <c r="I1844" t="e" vm="14">
        <f>_xlfn.XLOOKUP(AllData[[#This Row],[Site Name]],LocationsKey[Site Name],LocationsKey[Town])</f>
        <v>#VALUE!</v>
      </c>
      <c r="J1844" t="str">
        <f>_xlfn.XLOOKUP(AllData[[#This Row],[Site Name]],LocationsKey[Site Name], LocationsKey[Waterway])</f>
        <v>Fosseway Brook</v>
      </c>
      <c r="K1844" t="s">
        <v>626</v>
      </c>
      <c r="N1844" t="s">
        <v>68</v>
      </c>
      <c r="O1844">
        <v>600</v>
      </c>
      <c r="P1844">
        <v>9.6999999999999993</v>
      </c>
      <c r="Q1844">
        <v>2</v>
      </c>
      <c r="R1844" s="107" t="str">
        <f>IF(AllData[[#This Row],[Nitrate (PPM)]]&gt;2, "Very high", IF(AllData[[#This Row],[Nitrate (PPM)]]&gt;1, "High", IF(AllData[[#This Row],[Nitrate (PPM)]]&gt;0.5, "Some evidence", IF(AllData[[#This Row],[Nitrate (PPM)]]&gt;=0, "No evidence"))))</f>
        <v>High</v>
      </c>
      <c r="S1844" s="4">
        <v>0.17</v>
      </c>
      <c r="T1844" s="7" t="str">
        <f>IF(AllData[[#This Row],[Phosphate (PPM)]]&gt;0.5, "Very high", IF(AllData[[#This Row],[Phosphate (PPM)]]&gt;0.1, "High", IF(AllData[[#This Row],[Phosphate (PPM)]]&gt;0.05, "Some evidence", IF(AllData[[#This Row],[Phosphate (PPM)]]&lt;=0.05, "No Evidence", ""))))</f>
        <v>High</v>
      </c>
    </row>
    <row r="1845" spans="1:22" x14ac:dyDescent="0.35">
      <c r="A1845" t="s">
        <v>837</v>
      </c>
      <c r="B1845" s="143">
        <v>45360</v>
      </c>
      <c r="C1845" s="2" t="str" cm="1">
        <f t="array" ref="C18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5">
        <f>YEAR(AllData[[#This Row],[Date]])</f>
        <v>2024</v>
      </c>
      <c r="F1845" t="str">
        <f>IF(AND(AllData[[#This Row],[Time]]&lt;0.5, AllData[[#This Row],[Time]]&gt;0.17)=TRUE, "Morning", IF(AND(AllData[[#This Row],[Time]]&lt;0.75, AllData[[#This Row],[Time]]&gt;=0.5)=TRUE, "Afternoon", IF(AND(AllData[[#This Row],[Time]]&lt;1, AllData[[#This Row],[Time]]&gt;=0.75)=TRUE, "Evening", "Night")))</f>
        <v>Night</v>
      </c>
      <c r="G1845" t="str">
        <f>_xlfn.XLOOKUP(AllData[[#This Row],[Location Name]], Locations[Location Name],Locations[Group As])</f>
        <v>Site 2  :  Cross Leys culvert</v>
      </c>
      <c r="H1845" t="e" vm="1">
        <f>_xlfn.XLOOKUP(AllData[[#This Row],[Site Name]],LocationsKey[Site Name],LocationsKey[District])</f>
        <v>#VALUE!</v>
      </c>
      <c r="I1845" t="e" vm="14">
        <f>_xlfn.XLOOKUP(AllData[[#This Row],[Site Name]],LocationsKey[Site Name],LocationsKey[Town])</f>
        <v>#VALUE!</v>
      </c>
      <c r="J1845" t="str">
        <f>_xlfn.XLOOKUP(AllData[[#This Row],[Site Name]],LocationsKey[Site Name], LocationsKey[Waterway])</f>
        <v>Fosseway Brook</v>
      </c>
      <c r="K1845" t="s">
        <v>623</v>
      </c>
      <c r="N1845" t="s">
        <v>68</v>
      </c>
      <c r="O1845">
        <v>600</v>
      </c>
      <c r="P1845">
        <v>9.6999999999999993</v>
      </c>
      <c r="Q1845">
        <v>2</v>
      </c>
      <c r="R1845" s="107" t="str">
        <f>IF(AllData[[#This Row],[Nitrate (PPM)]]&gt;2, "Very high", IF(AllData[[#This Row],[Nitrate (PPM)]]&gt;1, "High", IF(AllData[[#This Row],[Nitrate (PPM)]]&gt;0.5, "Some evidence", IF(AllData[[#This Row],[Nitrate (PPM)]]&gt;=0, "No evidence"))))</f>
        <v>High</v>
      </c>
      <c r="S1845" s="4">
        <v>0.17</v>
      </c>
      <c r="T1845" s="7" t="str">
        <f>IF(AllData[[#This Row],[Phosphate (PPM)]]&gt;0.5, "Very high", IF(AllData[[#This Row],[Phosphate (PPM)]]&gt;0.1, "High", IF(AllData[[#This Row],[Phosphate (PPM)]]&gt;0.05, "Some evidence", IF(AllData[[#This Row],[Phosphate (PPM)]]&lt;=0.05, "No Evidence", ""))))</f>
        <v>High</v>
      </c>
      <c r="U1845">
        <v>0</v>
      </c>
      <c r="V1845" t="s">
        <v>835</v>
      </c>
    </row>
    <row r="1846" spans="1:22" x14ac:dyDescent="0.35">
      <c r="A1846" t="s">
        <v>836</v>
      </c>
      <c r="B1846" s="143">
        <v>45360</v>
      </c>
      <c r="C1846" s="2" t="str" cm="1">
        <f t="array" ref="C18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6">
        <f>YEAR(AllData[[#This Row],[Date]])</f>
        <v>2024</v>
      </c>
      <c r="E1846" s="1"/>
      <c r="F1846" t="str">
        <f>IF(AND(AllData[[#This Row],[Time]]&lt;0.5, AllData[[#This Row],[Time]]&gt;0.17)=TRUE, "Morning", IF(AND(AllData[[#This Row],[Time]]&lt;0.75, AllData[[#This Row],[Time]]&gt;=0.5)=TRUE, "Afternoon", IF(AND(AllData[[#This Row],[Time]]&lt;1, AllData[[#This Row],[Time]]&gt;=0.75)=TRUE, "Evening", "Night")))</f>
        <v>Night</v>
      </c>
      <c r="G1846" t="str">
        <f>_xlfn.XLOOKUP(AllData[[#This Row],[Location Name]], Locations[Location Name],Locations[Group As])</f>
        <v>Site 1  :  Middle Street</v>
      </c>
      <c r="H1846" t="e" vm="1">
        <f>_xlfn.XLOOKUP(AllData[[#This Row],[Site Name]],LocationsKey[Site Name],LocationsKey[District])</f>
        <v>#VALUE!</v>
      </c>
      <c r="I1846" t="e" vm="14">
        <f>_xlfn.XLOOKUP(AllData[[#This Row],[Site Name]],LocationsKey[Site Name],LocationsKey[Town])</f>
        <v>#VALUE!</v>
      </c>
      <c r="J1846" t="str">
        <f>_xlfn.XLOOKUP(AllData[[#This Row],[Site Name]],LocationsKey[Site Name], LocationsKey[Waterway])</f>
        <v>Fosseway Brook</v>
      </c>
      <c r="K1846" t="s">
        <v>670</v>
      </c>
      <c r="N1846" t="s">
        <v>68</v>
      </c>
      <c r="O1846">
        <v>548</v>
      </c>
      <c r="P1846">
        <v>11.3</v>
      </c>
      <c r="Q1846">
        <v>2</v>
      </c>
      <c r="R1846" s="107" t="str">
        <f>IF(AllData[[#This Row],[Nitrate (PPM)]]&gt;2, "Very high", IF(AllData[[#This Row],[Nitrate (PPM)]]&gt;1, "High", IF(AllData[[#This Row],[Nitrate (PPM)]]&gt;0.5, "Some evidence", IF(AllData[[#This Row],[Nitrate (PPM)]]&gt;=0, "No evidence"))))</f>
        <v>High</v>
      </c>
      <c r="S1846" s="4">
        <v>0</v>
      </c>
      <c r="T1846" s="7" t="str">
        <f>IF(AllData[[#This Row],[Phosphate (PPM)]]&gt;0.5, "Very high", IF(AllData[[#This Row],[Phosphate (PPM)]]&gt;0.1, "High", IF(AllData[[#This Row],[Phosphate (PPM)]]&gt;0.05, "Some evidence", IF(AllData[[#This Row],[Phosphate (PPM)]]&lt;=0.05, "No Evidence", ""))))</f>
        <v>No Evidence</v>
      </c>
    </row>
    <row r="1847" spans="1:22" x14ac:dyDescent="0.35">
      <c r="A1847" t="s">
        <v>834</v>
      </c>
      <c r="B1847" s="143">
        <v>45360</v>
      </c>
      <c r="C1847" s="2" t="str" cm="1">
        <f t="array" ref="C18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7">
        <f>YEAR(AllData[[#This Row],[Date]])</f>
        <v>2024</v>
      </c>
      <c r="F1847" t="str">
        <f>IF(AND(AllData[[#This Row],[Time]]&lt;0.5, AllData[[#This Row],[Time]]&gt;0.17)=TRUE, "Morning", IF(AND(AllData[[#This Row],[Time]]&lt;0.75, AllData[[#This Row],[Time]]&gt;=0.5)=TRUE, "Afternoon", IF(AND(AllData[[#This Row],[Time]]&lt;1, AllData[[#This Row],[Time]]&gt;=0.75)=TRUE, "Evening", "Night")))</f>
        <v>Night</v>
      </c>
      <c r="G1847" t="str">
        <f>_xlfn.XLOOKUP(AllData[[#This Row],[Location Name]], Locations[Location Name],Locations[Group As])</f>
        <v>Site 1  :  Middle Street</v>
      </c>
      <c r="H1847" t="e" vm="1">
        <f>_xlfn.XLOOKUP(AllData[[#This Row],[Site Name]],LocationsKey[Site Name],LocationsKey[District])</f>
        <v>#VALUE!</v>
      </c>
      <c r="I1847" t="e" vm="14">
        <f>_xlfn.XLOOKUP(AllData[[#This Row],[Site Name]],LocationsKey[Site Name],LocationsKey[Town])</f>
        <v>#VALUE!</v>
      </c>
      <c r="J1847" t="str">
        <f>_xlfn.XLOOKUP(AllData[[#This Row],[Site Name]],LocationsKey[Site Name], LocationsKey[Waterway])</f>
        <v>Fosseway Brook</v>
      </c>
      <c r="K1847" t="s">
        <v>667</v>
      </c>
      <c r="N1847" t="s">
        <v>68</v>
      </c>
      <c r="O1847">
        <v>548</v>
      </c>
      <c r="P1847">
        <v>11.3</v>
      </c>
      <c r="Q1847">
        <v>2</v>
      </c>
      <c r="R1847" s="107" t="str">
        <f>IF(AllData[[#This Row],[Nitrate (PPM)]]&gt;2, "Very high", IF(AllData[[#This Row],[Nitrate (PPM)]]&gt;1, "High", IF(AllData[[#This Row],[Nitrate (PPM)]]&gt;0.5, "Some evidence", IF(AllData[[#This Row],[Nitrate (PPM)]]&gt;=0, "No evidence"))))</f>
        <v>High</v>
      </c>
      <c r="S1847" s="4">
        <v>0</v>
      </c>
      <c r="T1847" s="7" t="str">
        <f>IF(AllData[[#This Row],[Phosphate (PPM)]]&gt;0.5, "Very high", IF(AllData[[#This Row],[Phosphate (PPM)]]&gt;0.1, "High", IF(AllData[[#This Row],[Phosphate (PPM)]]&gt;0.05, "Some evidence", IF(AllData[[#This Row],[Phosphate (PPM)]]&lt;=0.05, "No Evidence", ""))))</f>
        <v>No Evidence</v>
      </c>
      <c r="U1847">
        <v>0</v>
      </c>
      <c r="V1847" t="s">
        <v>835</v>
      </c>
    </row>
    <row r="1848" spans="1:22" x14ac:dyDescent="0.35">
      <c r="A1848" t="s">
        <v>842</v>
      </c>
      <c r="B1848" s="143">
        <v>45360</v>
      </c>
      <c r="C1848" s="2" t="str" cm="1">
        <f t="array" ref="C18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8">
        <f>YEAR(AllData[[#This Row],[Date]])</f>
        <v>2024</v>
      </c>
      <c r="E1848" s="1">
        <v>0.44791666666666669</v>
      </c>
      <c r="F1848" t="str">
        <f>IF(AND(AllData[[#This Row],[Time]]&lt;0.5, AllData[[#This Row],[Time]]&gt;0.17)=TRUE, "Morning", IF(AND(AllData[[#This Row],[Time]]&lt;0.75, AllData[[#This Row],[Time]]&gt;=0.5)=TRUE, "Afternoon", IF(AND(AllData[[#This Row],[Time]]&lt;1, AllData[[#This Row],[Time]]&gt;=0.75)=TRUE, "Evening", "Night")))</f>
        <v>Morning</v>
      </c>
      <c r="G1848" t="str">
        <f>_xlfn.XLOOKUP(AllData[[#This Row],[Location Name]], Locations[Location Name],Locations[Group As])</f>
        <v>Site 1  :  Middle Street</v>
      </c>
      <c r="H1848" t="e" vm="1">
        <f>_xlfn.XLOOKUP(AllData[[#This Row],[Site Name]],LocationsKey[Site Name],LocationsKey[District])</f>
        <v>#VALUE!</v>
      </c>
      <c r="I1848" t="e" vm="14">
        <f>_xlfn.XLOOKUP(AllData[[#This Row],[Site Name]],LocationsKey[Site Name],LocationsKey[Town])</f>
        <v>#VALUE!</v>
      </c>
      <c r="J1848" t="str">
        <f>_xlfn.XLOOKUP(AllData[[#This Row],[Site Name]],LocationsKey[Site Name], LocationsKey[Waterway])</f>
        <v>Fosseway Brook</v>
      </c>
      <c r="K1848" t="s">
        <v>678</v>
      </c>
      <c r="L1848">
        <v>52.090085000000002</v>
      </c>
      <c r="M1848">
        <v>-1.692593</v>
      </c>
      <c r="N1848" t="s">
        <v>68</v>
      </c>
      <c r="O1848">
        <v>548</v>
      </c>
      <c r="P1848">
        <v>11.3</v>
      </c>
      <c r="Q1848">
        <v>2</v>
      </c>
      <c r="R1848" s="107" t="str">
        <f>IF(AllData[[#This Row],[Nitrate (PPM)]]&gt;2, "Very high", IF(AllData[[#This Row],[Nitrate (PPM)]]&gt;1, "High", IF(AllData[[#This Row],[Nitrate (PPM)]]&gt;0.5, "Some evidence", IF(AllData[[#This Row],[Nitrate (PPM)]]&gt;=0, "No evidence"))))</f>
        <v>High</v>
      </c>
      <c r="S1848">
        <v>0</v>
      </c>
      <c r="T1848" s="7" t="str">
        <f>IF(AllData[[#This Row],[Phosphate (PPM)]]&gt;0.5, "Very high", IF(AllData[[#This Row],[Phosphate (PPM)]]&gt;0.1, "High", IF(AllData[[#This Row],[Phosphate (PPM)]]&gt;0.05, "Some evidence", IF(AllData[[#This Row],[Phosphate (PPM)]]&lt;=0.05, "No Evidence", ""))))</f>
        <v>No Evidence</v>
      </c>
      <c r="U1848">
        <v>0.05</v>
      </c>
    </row>
    <row r="1849" spans="1:22" x14ac:dyDescent="0.35">
      <c r="A1849" t="s">
        <v>821</v>
      </c>
      <c r="B1849" s="143">
        <v>45359</v>
      </c>
      <c r="C1849" s="2" t="str" cm="1">
        <f t="array" ref="C18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49">
        <f>YEAR(AllData[[#This Row],[Date]])</f>
        <v>2024</v>
      </c>
      <c r="E1849" s="1">
        <v>0.57361111111111107</v>
      </c>
      <c r="F1849" t="str">
        <f>IF(AND(AllData[[#This Row],[Time]]&lt;0.5, AllData[[#This Row],[Time]]&gt;0.17)=TRUE, "Morning", IF(AND(AllData[[#This Row],[Time]]&lt;0.75, AllData[[#This Row],[Time]]&gt;=0.5)=TRUE, "Afternoon", IF(AND(AllData[[#This Row],[Time]]&lt;1, AllData[[#This Row],[Time]]&gt;=0.75)=TRUE, "Evening", "Night")))</f>
        <v>Afternoon</v>
      </c>
      <c r="G1849" t="str">
        <f>_xlfn.XLOOKUP(AllData[[#This Row],[Location Name]], Locations[Location Name],Locations[Group As])</f>
        <v>Preston-on-Stour River Bridge</v>
      </c>
      <c r="H1849" t="e" vm="1">
        <f>_xlfn.XLOOKUP(AllData[[#This Row],[Site Name]],LocationsKey[Site Name],LocationsKey[District])</f>
        <v>#VALUE!</v>
      </c>
      <c r="I1849" t="e" vm="20">
        <f>_xlfn.XLOOKUP(AllData[[#This Row],[Site Name]],LocationsKey[Site Name],LocationsKey[Town])</f>
        <v>#VALUE!</v>
      </c>
      <c r="J1849" t="str">
        <f>_xlfn.XLOOKUP(AllData[[#This Row],[Site Name]],LocationsKey[Site Name], LocationsKey[Waterway])</f>
        <v>Stour</v>
      </c>
      <c r="K1849" t="s">
        <v>164</v>
      </c>
      <c r="L1849">
        <v>52.146436000000001</v>
      </c>
      <c r="M1849">
        <v>-1.699813</v>
      </c>
      <c r="N1849" t="s">
        <v>31</v>
      </c>
      <c r="O1849">
        <v>647</v>
      </c>
      <c r="P1849">
        <v>8.4</v>
      </c>
      <c r="Q1849">
        <v>7</v>
      </c>
      <c r="R1849" s="107" t="str">
        <f>IF(AllData[[#This Row],[Nitrate (PPM)]]&gt;2, "Very high", IF(AllData[[#This Row],[Nitrate (PPM)]]&gt;1, "High", IF(AllData[[#This Row],[Nitrate (PPM)]]&gt;0.5, "Some evidence", IF(AllData[[#This Row],[Nitrate (PPM)]]&gt;=0, "No evidence"))))</f>
        <v>Very high</v>
      </c>
      <c r="S1849" s="4">
        <v>0.22</v>
      </c>
      <c r="T1849" s="7" t="str">
        <f>IF(AllData[[#This Row],[Phosphate (PPM)]]&gt;0.5, "Very high", IF(AllData[[#This Row],[Phosphate (PPM)]]&gt;0.1, "High", IF(AllData[[#This Row],[Phosphate (PPM)]]&gt;0.05, "Some evidence", IF(AllData[[#This Row],[Phosphate (PPM)]]&lt;=0.05, "No Evidence", ""))))</f>
        <v>High</v>
      </c>
      <c r="U1849">
        <v>1.5</v>
      </c>
    </row>
    <row r="1850" spans="1:22" x14ac:dyDescent="0.35">
      <c r="A1850" t="s">
        <v>816</v>
      </c>
      <c r="B1850" s="143">
        <v>45359</v>
      </c>
      <c r="C1850" s="2" t="str" cm="1">
        <f t="array" ref="C18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0">
        <f>YEAR(AllData[[#This Row],[Date]])</f>
        <v>2024</v>
      </c>
      <c r="E1850" s="1">
        <v>0.36388888888888887</v>
      </c>
      <c r="F1850" t="str">
        <f>IF(AND(AllData[[#This Row],[Time]]&lt;0.5, AllData[[#This Row],[Time]]&gt;0.17)=TRUE, "Morning", IF(AND(AllData[[#This Row],[Time]]&lt;0.75, AllData[[#This Row],[Time]]&gt;=0.5)=TRUE, "Afternoon", IF(AND(AllData[[#This Row],[Time]]&lt;1, AllData[[#This Row],[Time]]&gt;=0.75)=TRUE, "Evening", "Night")))</f>
        <v>Morning</v>
      </c>
      <c r="G1850" t="str">
        <f>_xlfn.XLOOKUP(AllData[[#This Row],[Location Name]], Locations[Location Name],Locations[Group As])</f>
        <v>Mill Bridge Peopleton</v>
      </c>
      <c r="H1850" t="e" vm="6">
        <f>_xlfn.XLOOKUP(AllData[[#This Row],[Site Name]],LocationsKey[Site Name],LocationsKey[District])</f>
        <v>#VALUE!</v>
      </c>
      <c r="I1850" t="str">
        <f>_xlfn.XLOOKUP(AllData[[#This Row],[Site Name]],LocationsKey[Site Name],LocationsKey[Town])</f>
        <v>Peopleton</v>
      </c>
      <c r="J1850" t="str">
        <f>_xlfn.XLOOKUP(AllData[[#This Row],[Site Name]],LocationsKey[Site Name], LocationsKey[Waterway])</f>
        <v>Bow Brook</v>
      </c>
      <c r="K1850" t="s">
        <v>817</v>
      </c>
      <c r="L1850">
        <v>52.151504000000003</v>
      </c>
      <c r="M1850">
        <v>-2.0960640000000001</v>
      </c>
      <c r="N1850" t="s">
        <v>31</v>
      </c>
      <c r="O1850">
        <v>975</v>
      </c>
      <c r="P1850">
        <v>9.3000000000000007</v>
      </c>
      <c r="Q1850">
        <v>5</v>
      </c>
      <c r="R1850" s="107" t="str">
        <f>IF(AllData[[#This Row],[Nitrate (PPM)]]&gt;2, "Very high", IF(AllData[[#This Row],[Nitrate (PPM)]]&gt;1, "High", IF(AllData[[#This Row],[Nitrate (PPM)]]&gt;0.5, "Some evidence", IF(AllData[[#This Row],[Nitrate (PPM)]]&gt;=0, "No evidence"))))</f>
        <v>Very high</v>
      </c>
      <c r="S1850" s="4">
        <v>0.8</v>
      </c>
      <c r="T1850" s="7" t="str">
        <f>IF(AllData[[#This Row],[Phosphate (PPM)]]&gt;0.5, "Very high", IF(AllData[[#This Row],[Phosphate (PPM)]]&gt;0.1, "High", IF(AllData[[#This Row],[Phosphate (PPM)]]&gt;0.05, "Some evidence", IF(AllData[[#This Row],[Phosphate (PPM)]]&lt;=0.05, "No Evidence", ""))))</f>
        <v>Very high</v>
      </c>
      <c r="U1850">
        <v>0.75</v>
      </c>
      <c r="V1850" t="s">
        <v>818</v>
      </c>
    </row>
    <row r="1851" spans="1:22" x14ac:dyDescent="0.35">
      <c r="A1851" t="s">
        <v>824</v>
      </c>
      <c r="B1851" s="143">
        <v>45359</v>
      </c>
      <c r="C1851" s="2" t="str" cm="1">
        <f t="array" ref="C18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1">
        <f>YEAR(AllData[[#This Row],[Date]])</f>
        <v>2024</v>
      </c>
      <c r="E1851" s="1">
        <v>0.67986111111111114</v>
      </c>
      <c r="F1851" t="str">
        <f>IF(AND(AllData[[#This Row],[Time]]&lt;0.5, AllData[[#This Row],[Time]]&gt;0.17)=TRUE, "Morning", IF(AND(AllData[[#This Row],[Time]]&lt;0.75, AllData[[#This Row],[Time]]&gt;=0.5)=TRUE, "Afternoon", IF(AND(AllData[[#This Row],[Time]]&lt;1, AllData[[#This Row],[Time]]&gt;=0.75)=TRUE, "Evening", "Night")))</f>
        <v>Afternoon</v>
      </c>
      <c r="G1851" t="str">
        <f>_xlfn.XLOOKUP(AllData[[#This Row],[Location Name]], Locations[Location Name],Locations[Group As])</f>
        <v>Walcot Lane, Bow Brook Ford</v>
      </c>
      <c r="H1851" t="e" vm="6">
        <f>_xlfn.XLOOKUP(AllData[[#This Row],[Site Name]],LocationsKey[Site Name],LocationsKey[District])</f>
        <v>#VALUE!</v>
      </c>
      <c r="I1851" t="e" vm="7">
        <f>_xlfn.XLOOKUP(AllData[[#This Row],[Site Name]],LocationsKey[Site Name],LocationsKey[Town])</f>
        <v>#VALUE!</v>
      </c>
      <c r="J1851" t="str">
        <f>_xlfn.XLOOKUP(AllData[[#This Row],[Site Name]],LocationsKey[Site Name], LocationsKey[Waterway])</f>
        <v>Bow Brook</v>
      </c>
      <c r="K1851" t="s">
        <v>775</v>
      </c>
      <c r="L1851">
        <v>52.130406999999998</v>
      </c>
      <c r="M1851">
        <v>-2.0783399999999999</v>
      </c>
      <c r="N1851" t="s">
        <v>25</v>
      </c>
      <c r="O1851">
        <v>848</v>
      </c>
      <c r="P1851">
        <v>8.8000000000000007</v>
      </c>
      <c r="Q1851">
        <v>5</v>
      </c>
      <c r="R1851" s="107" t="str">
        <f>IF(AllData[[#This Row],[Nitrate (PPM)]]&gt;2, "Very high", IF(AllData[[#This Row],[Nitrate (PPM)]]&gt;1, "High", IF(AllData[[#This Row],[Nitrate (PPM)]]&gt;0.5, "Some evidence", IF(AllData[[#This Row],[Nitrate (PPM)]]&gt;=0, "No evidence"))))</f>
        <v>Very high</v>
      </c>
      <c r="S1851" s="4">
        <v>0.77</v>
      </c>
      <c r="T1851" s="7" t="str">
        <f>IF(AllData[[#This Row],[Phosphate (PPM)]]&gt;0.5, "Very high", IF(AllData[[#This Row],[Phosphate (PPM)]]&gt;0.1, "High", IF(AllData[[#This Row],[Phosphate (PPM)]]&gt;0.05, "Some evidence", IF(AllData[[#This Row],[Phosphate (PPM)]]&lt;=0.05, "No Evidence", ""))))</f>
        <v>Very high</v>
      </c>
      <c r="U1851">
        <v>0.4</v>
      </c>
      <c r="V1851" t="s">
        <v>825</v>
      </c>
    </row>
    <row r="1852" spans="1:22" x14ac:dyDescent="0.35">
      <c r="A1852" t="s">
        <v>819</v>
      </c>
      <c r="B1852" s="143">
        <v>45359</v>
      </c>
      <c r="C1852" s="2" t="str" cm="1">
        <f t="array" ref="C18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2">
        <f>YEAR(AllData[[#This Row],[Date]])</f>
        <v>2024</v>
      </c>
      <c r="E1852" s="1">
        <v>0.39930555555555558</v>
      </c>
      <c r="F1852" t="str">
        <f>IF(AND(AllData[[#This Row],[Time]]&lt;0.5, AllData[[#This Row],[Time]]&gt;0.17)=TRUE, "Morning", IF(AND(AllData[[#This Row],[Time]]&lt;0.75, AllData[[#This Row],[Time]]&gt;=0.5)=TRUE, "Afternoon", IF(AND(AllData[[#This Row],[Time]]&lt;1, AllData[[#This Row],[Time]]&gt;=0.75)=TRUE, "Evening", "Night")))</f>
        <v>Morning</v>
      </c>
      <c r="G1852" t="str">
        <f>_xlfn.XLOOKUP(AllData[[#This Row],[Location Name]], Locations[Location Name],Locations[Group As])</f>
        <v>The Ford, Langley</v>
      </c>
      <c r="H1852" t="e" vm="1">
        <f>_xlfn.XLOOKUP(AllData[[#This Row],[Site Name]],LocationsKey[Site Name],LocationsKey[District])</f>
        <v>#VALUE!</v>
      </c>
      <c r="I1852" t="str">
        <f>_xlfn.XLOOKUP(AllData[[#This Row],[Site Name]],LocationsKey[Site Name],LocationsKey[Town])</f>
        <v>Langley</v>
      </c>
      <c r="J1852" t="str">
        <f>_xlfn.XLOOKUP(AllData[[#This Row],[Site Name]],LocationsKey[Site Name], LocationsKey[Waterway])</f>
        <v>Langley Ford</v>
      </c>
      <c r="K1852" t="s">
        <v>530</v>
      </c>
      <c r="L1852">
        <v>52.259639</v>
      </c>
      <c r="M1852">
        <v>-1.7181999999999999</v>
      </c>
      <c r="N1852" t="s">
        <v>31</v>
      </c>
      <c r="O1852">
        <v>661</v>
      </c>
      <c r="P1852">
        <v>8</v>
      </c>
      <c r="Q1852">
        <v>5</v>
      </c>
      <c r="R1852" s="107" t="str">
        <f>IF(AllData[[#This Row],[Nitrate (PPM)]]&gt;2, "Very high", IF(AllData[[#This Row],[Nitrate (PPM)]]&gt;1, "High", IF(AllData[[#This Row],[Nitrate (PPM)]]&gt;0.5, "Some evidence", IF(AllData[[#This Row],[Nitrate (PPM)]]&gt;=0, "No evidence"))))</f>
        <v>Very high</v>
      </c>
      <c r="S1852" s="4">
        <v>0.6</v>
      </c>
      <c r="T1852" s="7" t="str">
        <f>IF(AllData[[#This Row],[Phosphate (PPM)]]&gt;0.5, "Very high", IF(AllData[[#This Row],[Phosphate (PPM)]]&gt;0.1, "High", IF(AllData[[#This Row],[Phosphate (PPM)]]&gt;0.05, "Some evidence", IF(AllData[[#This Row],[Phosphate (PPM)]]&lt;=0.05, "No Evidence", ""))))</f>
        <v>Very high</v>
      </c>
      <c r="U1852">
        <v>0.25</v>
      </c>
      <c r="V1852" t="s">
        <v>820</v>
      </c>
    </row>
    <row r="1853" spans="1:22" x14ac:dyDescent="0.35">
      <c r="A1853" t="s">
        <v>823</v>
      </c>
      <c r="B1853" s="143">
        <v>45359</v>
      </c>
      <c r="C1853" s="2" t="str" cm="1">
        <f t="array" ref="C18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3">
        <f>YEAR(AllData[[#This Row],[Date]])</f>
        <v>2024</v>
      </c>
      <c r="E1853" s="1">
        <v>0.67708333333333337</v>
      </c>
      <c r="F1853" t="str">
        <f>IF(AND(AllData[[#This Row],[Time]]&lt;0.5, AllData[[#This Row],[Time]]&gt;0.17)=TRUE, "Morning", IF(AND(AllData[[#This Row],[Time]]&lt;0.75, AllData[[#This Row],[Time]]&gt;=0.5)=TRUE, "Afternoon", IF(AND(AllData[[#This Row],[Time]]&lt;1, AllData[[#This Row],[Time]]&gt;=0.75)=TRUE, "Evening", "Night")))</f>
        <v>Afternoon</v>
      </c>
      <c r="G1853" t="str">
        <f>_xlfn.XLOOKUP(AllData[[#This Row],[Location Name]], Locations[Location Name],Locations[Group As])</f>
        <v>Preston Bagot Brook</v>
      </c>
      <c r="H1853" t="e" vm="1">
        <f>_xlfn.XLOOKUP(AllData[[#This Row],[Site Name]],LocationsKey[Site Name],LocationsKey[District])</f>
        <v>#VALUE!</v>
      </c>
      <c r="I1853" t="e" vm="21">
        <f>_xlfn.XLOOKUP(AllData[[#This Row],[Site Name]],LocationsKey[Site Name],LocationsKey[Town])</f>
        <v>#VALUE!</v>
      </c>
      <c r="J1853" t="str">
        <f>_xlfn.XLOOKUP(AllData[[#This Row],[Site Name]],LocationsKey[Site Name], LocationsKey[Waterway])</f>
        <v>Preston Bagot Brook</v>
      </c>
      <c r="K1853" t="s">
        <v>621</v>
      </c>
      <c r="L1853">
        <v>52.286200000000001</v>
      </c>
      <c r="M1853">
        <v>-1.7478</v>
      </c>
      <c r="N1853" t="s">
        <v>25</v>
      </c>
      <c r="O1853">
        <v>745</v>
      </c>
      <c r="P1853">
        <v>10.1</v>
      </c>
      <c r="Q1853">
        <v>2.5</v>
      </c>
      <c r="R1853" s="107" t="str">
        <f>IF(AllData[[#This Row],[Nitrate (PPM)]]&gt;2, "Very high", IF(AllData[[#This Row],[Nitrate (PPM)]]&gt;1, "High", IF(AllData[[#This Row],[Nitrate (PPM)]]&gt;0.5, "Some evidence", IF(AllData[[#This Row],[Nitrate (PPM)]]&gt;=0, "No evidence"))))</f>
        <v>Very high</v>
      </c>
      <c r="S1853" s="4">
        <v>0.57999999999999996</v>
      </c>
      <c r="T1853" s="7" t="str">
        <f>IF(AllData[[#This Row],[Phosphate (PPM)]]&gt;0.5, "Very high", IF(AllData[[#This Row],[Phosphate (PPM)]]&gt;0.1, "High", IF(AllData[[#This Row],[Phosphate (PPM)]]&gt;0.05, "Some evidence", IF(AllData[[#This Row],[Phosphate (PPM)]]&lt;=0.05, "No Evidence", ""))))</f>
        <v>Very high</v>
      </c>
      <c r="U1853">
        <v>0</v>
      </c>
    </row>
    <row r="1854" spans="1:22" x14ac:dyDescent="0.35">
      <c r="A1854" t="s">
        <v>822</v>
      </c>
      <c r="B1854" s="143">
        <v>45359</v>
      </c>
      <c r="C1854" s="2" t="str" cm="1">
        <f t="array" ref="C18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4">
        <f>YEAR(AllData[[#This Row],[Date]])</f>
        <v>2024</v>
      </c>
      <c r="E1854" s="1">
        <v>0.66666666666666663</v>
      </c>
      <c r="F1854" t="str">
        <f>IF(AND(AllData[[#This Row],[Time]]&lt;0.5, AllData[[#This Row],[Time]]&gt;0.17)=TRUE, "Morning", IF(AND(AllData[[#This Row],[Time]]&lt;0.75, AllData[[#This Row],[Time]]&gt;=0.5)=TRUE, "Afternoon", IF(AND(AllData[[#This Row],[Time]]&lt;1, AllData[[#This Row],[Time]]&gt;=0.75)=TRUE, "Evening", "Night")))</f>
        <v>Afternoon</v>
      </c>
      <c r="G1854" t="str">
        <f>_xlfn.XLOOKUP(AllData[[#This Row],[Location Name]], Locations[Location Name],Locations[Group As])</f>
        <v>Preston Bagot Canal</v>
      </c>
      <c r="H1854" t="e" vm="1">
        <f>_xlfn.XLOOKUP(AllData[[#This Row],[Site Name]],LocationsKey[Site Name],LocationsKey[District])</f>
        <v>#VALUE!</v>
      </c>
      <c r="I1854" t="e" vm="21">
        <f>_xlfn.XLOOKUP(AllData[[#This Row],[Site Name]],LocationsKey[Site Name],LocationsKey[Town])</f>
        <v>#VALUE!</v>
      </c>
      <c r="J1854" t="str">
        <f>_xlfn.XLOOKUP(AllData[[#This Row],[Site Name]],LocationsKey[Site Name], LocationsKey[Waterway])</f>
        <v>Preston Bagot Canal</v>
      </c>
      <c r="K1854" t="s">
        <v>618</v>
      </c>
      <c r="N1854" t="s">
        <v>25</v>
      </c>
      <c r="O1854">
        <v>338</v>
      </c>
      <c r="P1854">
        <v>9.5</v>
      </c>
      <c r="Q1854">
        <v>2.5</v>
      </c>
      <c r="R1854" s="107" t="str">
        <f>IF(AllData[[#This Row],[Nitrate (PPM)]]&gt;2, "Very high", IF(AllData[[#This Row],[Nitrate (PPM)]]&gt;1, "High", IF(AllData[[#This Row],[Nitrate (PPM)]]&gt;0.5, "Some evidence", IF(AllData[[#This Row],[Nitrate (PPM)]]&gt;=0, "No evidence"))))</f>
        <v>Very high</v>
      </c>
      <c r="S1854" s="4">
        <v>0.34</v>
      </c>
      <c r="T1854" s="7" t="str">
        <f>IF(AllData[[#This Row],[Phosphate (PPM)]]&gt;0.5, "Very high", IF(AllData[[#This Row],[Phosphate (PPM)]]&gt;0.1, "High", IF(AllData[[#This Row],[Phosphate (PPM)]]&gt;0.05, "Some evidence", IF(AllData[[#This Row],[Phosphate (PPM)]]&lt;=0.05, "No Evidence", ""))))</f>
        <v>High</v>
      </c>
      <c r="U1854">
        <v>0</v>
      </c>
    </row>
    <row r="1855" spans="1:22" x14ac:dyDescent="0.35">
      <c r="A1855" t="s">
        <v>815</v>
      </c>
      <c r="B1855" s="143">
        <v>45358</v>
      </c>
      <c r="C1855" s="2" t="str" cm="1">
        <f t="array" ref="C18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5">
        <f>YEAR(AllData[[#This Row],[Date]])</f>
        <v>2024</v>
      </c>
      <c r="E1855" s="1">
        <v>0.47847222222222224</v>
      </c>
      <c r="F1855" t="str">
        <f>IF(AND(AllData[[#This Row],[Time]]&lt;0.5, AllData[[#This Row],[Time]]&gt;0.17)=TRUE, "Morning", IF(AND(AllData[[#This Row],[Time]]&lt;0.75, AllData[[#This Row],[Time]]&gt;=0.5)=TRUE, "Afternoon", IF(AND(AllData[[#This Row],[Time]]&lt;1, AllData[[#This Row],[Time]]&gt;=0.75)=TRUE, "Evening", "Night")))</f>
        <v>Morning</v>
      </c>
      <c r="G1855" t="str">
        <f>_xlfn.XLOOKUP(AllData[[#This Row],[Location Name]], Locations[Location Name],Locations[Group As])</f>
        <v>Stour Willington</v>
      </c>
      <c r="H1855" t="e" vm="1">
        <f>_xlfn.XLOOKUP(AllData[[#This Row],[Site Name]],LocationsKey[Site Name],LocationsKey[District])</f>
        <v>#VALUE!</v>
      </c>
      <c r="I1855" t="str">
        <f>_xlfn.XLOOKUP(AllData[[#This Row],[Site Name]],LocationsKey[Site Name],LocationsKey[Town])</f>
        <v>Willington</v>
      </c>
      <c r="J1855" t="str">
        <f>_xlfn.XLOOKUP(AllData[[#This Row],[Site Name]],LocationsKey[Site Name], LocationsKey[Waterway])</f>
        <v>Stour</v>
      </c>
      <c r="K1855" t="s">
        <v>521</v>
      </c>
      <c r="L1855">
        <v>52.053597000000003</v>
      </c>
      <c r="M1855">
        <v>-1.620241</v>
      </c>
      <c r="N1855" t="s">
        <v>25</v>
      </c>
      <c r="O1855">
        <v>590</v>
      </c>
      <c r="P1855">
        <v>9</v>
      </c>
      <c r="Q1855">
        <v>5</v>
      </c>
      <c r="R1855" s="107" t="str">
        <f>IF(AllData[[#This Row],[Nitrate (PPM)]]&gt;2, "Very high", IF(AllData[[#This Row],[Nitrate (PPM)]]&gt;1, "High", IF(AllData[[#This Row],[Nitrate (PPM)]]&gt;0.5, "Some evidence", IF(AllData[[#This Row],[Nitrate (PPM)]]&gt;=0, "No evidence"))))</f>
        <v>Very high</v>
      </c>
      <c r="S1855" s="4">
        <v>0.14000000000000001</v>
      </c>
      <c r="T1855" s="7" t="str">
        <f>IF(AllData[[#This Row],[Phosphate (PPM)]]&gt;0.5, "Very high", IF(AllData[[#This Row],[Phosphate (PPM)]]&gt;0.1, "High", IF(AllData[[#This Row],[Phosphate (PPM)]]&gt;0.05, "Some evidence", IF(AllData[[#This Row],[Phosphate (PPM)]]&lt;=0.05, "No Evidence", ""))))</f>
        <v>High</v>
      </c>
      <c r="U1855">
        <v>0.5</v>
      </c>
    </row>
    <row r="1856" spans="1:22" x14ac:dyDescent="0.35">
      <c r="A1856" t="s">
        <v>813</v>
      </c>
      <c r="B1856" s="143">
        <v>45357</v>
      </c>
      <c r="C1856" s="2" t="str" cm="1">
        <f t="array" ref="C18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6">
        <f>YEAR(AllData[[#This Row],[Date]])</f>
        <v>2024</v>
      </c>
      <c r="E1856" s="1">
        <v>0.68055555555555558</v>
      </c>
      <c r="F1856" t="str">
        <f>IF(AND(AllData[[#This Row],[Time]]&lt;0.5, AllData[[#This Row],[Time]]&gt;0.17)=TRUE, "Morning", IF(AND(AllData[[#This Row],[Time]]&lt;0.75, AllData[[#This Row],[Time]]&gt;=0.5)=TRUE, "Afternoon", IF(AND(AllData[[#This Row],[Time]]&lt;1, AllData[[#This Row],[Time]]&gt;=0.75)=TRUE, "Evening", "Night")))</f>
        <v>Afternoon</v>
      </c>
      <c r="G1856" t="str">
        <f>_xlfn.XLOOKUP(AllData[[#This Row],[Location Name]], Locations[Location Name],Locations[Group As])</f>
        <v>Stour Newbold Mill</v>
      </c>
      <c r="H1856" t="e" vm="1">
        <f>_xlfn.XLOOKUP(AllData[[#This Row],[Site Name]],LocationsKey[Site Name],LocationsKey[District])</f>
        <v>#VALUE!</v>
      </c>
      <c r="I1856" t="e" vm="27">
        <f>_xlfn.XLOOKUP(AllData[[#This Row],[Site Name]],LocationsKey[Site Name],LocationsKey[Town])</f>
        <v>#VALUE!</v>
      </c>
      <c r="J1856" t="str">
        <f>_xlfn.XLOOKUP(AllData[[#This Row],[Site Name]],LocationsKey[Site Name], LocationsKey[Waterway])</f>
        <v>Stour</v>
      </c>
      <c r="K1856" t="s">
        <v>141</v>
      </c>
      <c r="L1856">
        <v>52.112834999999997</v>
      </c>
      <c r="M1856">
        <v>-1.633446</v>
      </c>
      <c r="N1856" t="s">
        <v>31</v>
      </c>
      <c r="O1856">
        <v>607</v>
      </c>
      <c r="P1856">
        <v>10.199999999999999</v>
      </c>
      <c r="Q1856">
        <v>2</v>
      </c>
      <c r="R1856" s="107" t="str">
        <f>IF(AllData[[#This Row],[Nitrate (PPM)]]&gt;2, "Very high", IF(AllData[[#This Row],[Nitrate (PPM)]]&gt;1, "High", IF(AllData[[#This Row],[Nitrate (PPM)]]&gt;0.5, "Some evidence", IF(AllData[[#This Row],[Nitrate (PPM)]]&gt;=0, "No evidence"))))</f>
        <v>High</v>
      </c>
      <c r="S1856" s="4">
        <v>0.27</v>
      </c>
      <c r="T1856" s="7" t="str">
        <f>IF(AllData[[#This Row],[Phosphate (PPM)]]&gt;0.5, "Very high", IF(AllData[[#This Row],[Phosphate (PPM)]]&gt;0.1, "High", IF(AllData[[#This Row],[Phosphate (PPM)]]&gt;0.05, "Some evidence", IF(AllData[[#This Row],[Phosphate (PPM)]]&lt;=0.05, "No Evidence", ""))))</f>
        <v>High</v>
      </c>
      <c r="U1856">
        <v>2.5</v>
      </c>
      <c r="V1856" t="s">
        <v>814</v>
      </c>
    </row>
    <row r="1857" spans="1:22" x14ac:dyDescent="0.35">
      <c r="A1857" t="s">
        <v>812</v>
      </c>
      <c r="B1857" s="143">
        <v>45356</v>
      </c>
      <c r="C1857" s="2" t="str" cm="1">
        <f t="array" ref="C18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7">
        <f>YEAR(AllData[[#This Row],[Date]])</f>
        <v>2024</v>
      </c>
      <c r="E1857" s="1">
        <v>0.76736111111111116</v>
      </c>
      <c r="F1857" t="str">
        <f>IF(AND(AllData[[#This Row],[Time]]&lt;0.5, AllData[[#This Row],[Time]]&gt;0.17)=TRUE, "Morning", IF(AND(AllData[[#This Row],[Time]]&lt;0.75, AllData[[#This Row],[Time]]&gt;=0.5)=TRUE, "Afternoon", IF(AND(AllData[[#This Row],[Time]]&lt;1, AllData[[#This Row],[Time]]&gt;=0.75)=TRUE, "Evening", "Night")))</f>
        <v>Evening</v>
      </c>
      <c r="G1857" t="str">
        <f>_xlfn.XLOOKUP(AllData[[#This Row],[Location Name]], Locations[Location Name],Locations[Group As])</f>
        <v>Abbey Mill</v>
      </c>
      <c r="H1857" t="e" vm="4">
        <f>_xlfn.XLOOKUP(AllData[[#This Row],[Site Name]],LocationsKey[Site Name],LocationsKey[District])</f>
        <v>#VALUE!</v>
      </c>
      <c r="I1857" t="e" vm="4">
        <f>_xlfn.XLOOKUP(AllData[[#This Row],[Site Name]],LocationsKey[Site Name],LocationsKey[Town])</f>
        <v>#VALUE!</v>
      </c>
      <c r="J1857" t="str">
        <f>_xlfn.XLOOKUP(AllData[[#This Row],[Site Name]],LocationsKey[Site Name], LocationsKey[Waterway])</f>
        <v>Avon</v>
      </c>
      <c r="K1857" t="s">
        <v>27</v>
      </c>
      <c r="L1857">
        <v>51.991326000000001</v>
      </c>
      <c r="M1857">
        <v>-2.1621950000000001</v>
      </c>
      <c r="N1857" t="s">
        <v>25</v>
      </c>
      <c r="O1857">
        <v>709</v>
      </c>
      <c r="P1857">
        <v>8.4</v>
      </c>
      <c r="Q1857">
        <v>5</v>
      </c>
      <c r="R1857" s="107" t="str">
        <f>IF(AllData[[#This Row],[Nitrate (PPM)]]&gt;2, "Very high", IF(AllData[[#This Row],[Nitrate (PPM)]]&gt;1, "High", IF(AllData[[#This Row],[Nitrate (PPM)]]&gt;0.5, "Some evidence", IF(AllData[[#This Row],[Nitrate (PPM)]]&gt;=0, "No evidence"))))</f>
        <v>Very high</v>
      </c>
      <c r="S1857" s="4">
        <v>0.5</v>
      </c>
      <c r="T1857" s="7" t="str">
        <f>IF(AllData[[#This Row],[Phosphate (PPM)]]&gt;0.5, "Very high", IF(AllData[[#This Row],[Phosphate (PPM)]]&gt;0.1, "High", IF(AllData[[#This Row],[Phosphate (PPM)]]&gt;0.05, "Some evidence", IF(AllData[[#This Row],[Phosphate (PPM)]]&lt;=0.05, "No Evidence", ""))))</f>
        <v>High</v>
      </c>
      <c r="U1857">
        <v>0.3</v>
      </c>
    </row>
    <row r="1858" spans="1:22" x14ac:dyDescent="0.35">
      <c r="A1858" t="s">
        <v>809</v>
      </c>
      <c r="B1858" s="143">
        <v>45355</v>
      </c>
      <c r="C1858" s="2" t="str" cm="1">
        <f t="array" ref="C18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8">
        <f>YEAR(AllData[[#This Row],[Date]])</f>
        <v>2024</v>
      </c>
      <c r="E1858" s="1">
        <v>0.59375</v>
      </c>
      <c r="F1858" t="str">
        <f>IF(AND(AllData[[#This Row],[Time]]&lt;0.5, AllData[[#This Row],[Time]]&gt;0.17)=TRUE, "Morning", IF(AND(AllData[[#This Row],[Time]]&lt;0.75, AllData[[#This Row],[Time]]&gt;=0.5)=TRUE, "Afternoon", IF(AND(AllData[[#This Row],[Time]]&lt;1, AllData[[#This Row],[Time]]&gt;=0.75)=TRUE, "Evening", "Night")))</f>
        <v>Afternoon</v>
      </c>
      <c r="G1858" t="str">
        <f>_xlfn.XLOOKUP(AllData[[#This Row],[Location Name]], Locations[Location Name],Locations[Group As])</f>
        <v>Swiffen Bank</v>
      </c>
      <c r="H1858" t="e" vm="1">
        <f>_xlfn.XLOOKUP(AllData[[#This Row],[Site Name]],LocationsKey[Site Name],LocationsKey[District])</f>
        <v>#VALUE!</v>
      </c>
      <c r="I1858" t="e" vm="2">
        <f>_xlfn.XLOOKUP(AllData[[#This Row],[Site Name]],LocationsKey[Site Name],LocationsKey[Town])</f>
        <v>#VALUE!</v>
      </c>
      <c r="J1858" t="str">
        <f>_xlfn.XLOOKUP(AllData[[#This Row],[Site Name]],LocationsKey[Site Name], LocationsKey[Waterway])</f>
        <v>Avon</v>
      </c>
      <c r="K1858" t="s">
        <v>286</v>
      </c>
      <c r="L1858">
        <v>52.206477999999997</v>
      </c>
      <c r="M1858">
        <v>-1.653894</v>
      </c>
      <c r="N1858" t="s">
        <v>31</v>
      </c>
      <c r="O1858">
        <v>568</v>
      </c>
      <c r="P1858">
        <v>8.8000000000000007</v>
      </c>
      <c r="Q1858">
        <v>5</v>
      </c>
      <c r="R1858" s="107" t="str">
        <f>IF(AllData[[#This Row],[Nitrate (PPM)]]&gt;2, "Very high", IF(AllData[[#This Row],[Nitrate (PPM)]]&gt;1, "High", IF(AllData[[#This Row],[Nitrate (PPM)]]&gt;0.5, "Some evidence", IF(AllData[[#This Row],[Nitrate (PPM)]]&gt;=0, "No evidence"))))</f>
        <v>Very high</v>
      </c>
      <c r="S1858" s="4">
        <v>0.32</v>
      </c>
      <c r="T1858" s="7" t="str">
        <f>IF(AllData[[#This Row],[Phosphate (PPM)]]&gt;0.5, "Very high", IF(AllData[[#This Row],[Phosphate (PPM)]]&gt;0.1, "High", IF(AllData[[#This Row],[Phosphate (PPM)]]&gt;0.05, "Some evidence", IF(AllData[[#This Row],[Phosphate (PPM)]]&lt;=0.05, "No Evidence", ""))))</f>
        <v>High</v>
      </c>
      <c r="U1858">
        <v>0.75</v>
      </c>
      <c r="V1858" t="s">
        <v>810</v>
      </c>
    </row>
    <row r="1859" spans="1:22" x14ac:dyDescent="0.35">
      <c r="A1859" t="s">
        <v>811</v>
      </c>
      <c r="B1859" s="143">
        <v>45355</v>
      </c>
      <c r="C1859" s="2" t="str" cm="1">
        <f t="array" ref="C18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59">
        <f>YEAR(AllData[[#This Row],[Date]])</f>
        <v>2024</v>
      </c>
      <c r="E1859" s="1">
        <v>0.59513888888888888</v>
      </c>
      <c r="F1859" t="str">
        <f>IF(AND(AllData[[#This Row],[Time]]&lt;0.5, AllData[[#This Row],[Time]]&gt;0.17)=TRUE, "Morning", IF(AND(AllData[[#This Row],[Time]]&lt;0.75, AllData[[#This Row],[Time]]&gt;=0.5)=TRUE, "Afternoon", IF(AND(AllData[[#This Row],[Time]]&lt;1, AllData[[#This Row],[Time]]&gt;=0.75)=TRUE, "Evening", "Night")))</f>
        <v>Afternoon</v>
      </c>
      <c r="G1859" t="str">
        <f>_xlfn.XLOOKUP(AllData[[#This Row],[Location Name]], Locations[Location Name],Locations[Group As])</f>
        <v>Alveston Weir</v>
      </c>
      <c r="H1859" t="e" vm="1">
        <f>_xlfn.XLOOKUP(AllData[[#This Row],[Site Name]],LocationsKey[Site Name],LocationsKey[District])</f>
        <v>#VALUE!</v>
      </c>
      <c r="I1859" t="e" vm="2">
        <f>_xlfn.XLOOKUP(AllData[[#This Row],[Site Name]],LocationsKey[Site Name],LocationsKey[Town])</f>
        <v>#VALUE!</v>
      </c>
      <c r="J1859" t="str">
        <f>_xlfn.XLOOKUP(AllData[[#This Row],[Site Name]],LocationsKey[Site Name], LocationsKey[Waterway])</f>
        <v>Avon</v>
      </c>
      <c r="K1859" t="s">
        <v>288</v>
      </c>
      <c r="L1859">
        <v>52.214320000000001</v>
      </c>
      <c r="M1859">
        <v>-1.6599330000000001</v>
      </c>
      <c r="N1859" t="s">
        <v>31</v>
      </c>
      <c r="O1859">
        <v>561</v>
      </c>
      <c r="P1859">
        <v>8.8000000000000007</v>
      </c>
      <c r="Q1859">
        <v>5</v>
      </c>
      <c r="R1859" s="107" t="str">
        <f>IF(AllData[[#This Row],[Nitrate (PPM)]]&gt;2, "Very high", IF(AllData[[#This Row],[Nitrate (PPM)]]&gt;1, "High", IF(AllData[[#This Row],[Nitrate (PPM)]]&gt;0.5, "Some evidence", IF(AllData[[#This Row],[Nitrate (PPM)]]&gt;=0, "No evidence"))))</f>
        <v>Very high</v>
      </c>
      <c r="S1859" s="4">
        <v>0.42</v>
      </c>
      <c r="T1859" s="7" t="str">
        <f>IF(AllData[[#This Row],[Phosphate (PPM)]]&gt;0.5, "Very high", IF(AllData[[#This Row],[Phosphate (PPM)]]&gt;0.1, "High", IF(AllData[[#This Row],[Phosphate (PPM)]]&gt;0.05, "Some evidence", IF(AllData[[#This Row],[Phosphate (PPM)]]&lt;=0.05, "No Evidence", ""))))</f>
        <v>High</v>
      </c>
      <c r="U1859">
        <v>0.75</v>
      </c>
    </row>
    <row r="1860" spans="1:22" x14ac:dyDescent="0.35">
      <c r="A1860" t="s">
        <v>808</v>
      </c>
      <c r="B1860" s="143">
        <v>45355</v>
      </c>
      <c r="C1860" s="2" t="str" cm="1">
        <f t="array" ref="C18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0">
        <f>YEAR(AllData[[#This Row],[Date]])</f>
        <v>2024</v>
      </c>
      <c r="E1860" s="1">
        <v>0.38819444444444445</v>
      </c>
      <c r="F1860" t="str">
        <f>IF(AND(AllData[[#This Row],[Time]]&lt;0.5, AllData[[#This Row],[Time]]&gt;0.17)=TRUE, "Morning", IF(AND(AllData[[#This Row],[Time]]&lt;0.75, AllData[[#This Row],[Time]]&gt;=0.5)=TRUE, "Afternoon", IF(AND(AllData[[#This Row],[Time]]&lt;1, AllData[[#This Row],[Time]]&gt;=0.75)=TRUE, "Evening", "Night")))</f>
        <v>Morning</v>
      </c>
      <c r="G1860" t="str">
        <f>_xlfn.XLOOKUP(AllData[[#This Row],[Location Name]], Locations[Location Name],Locations[Group As])</f>
        <v>Stour Stretton-on-Fosse Sewage Works</v>
      </c>
      <c r="H1860" t="e" vm="1">
        <f>_xlfn.XLOOKUP(AllData[[#This Row],[Site Name]],LocationsKey[Site Name],LocationsKey[District])</f>
        <v>#VALUE!</v>
      </c>
      <c r="I1860" t="e" vm="30">
        <f>_xlfn.XLOOKUP(AllData[[#This Row],[Site Name]],LocationsKey[Site Name],LocationsKey[Town])</f>
        <v>#VALUE!</v>
      </c>
      <c r="J1860" t="str">
        <f>_xlfn.XLOOKUP(AllData[[#This Row],[Site Name]],LocationsKey[Site Name], LocationsKey[Waterway])</f>
        <v>Stour</v>
      </c>
      <c r="K1860" t="s">
        <v>337</v>
      </c>
      <c r="L1860">
        <v>52.045676999999998</v>
      </c>
      <c r="M1860">
        <v>-1.671869</v>
      </c>
      <c r="N1860" t="s">
        <v>31</v>
      </c>
      <c r="O1860">
        <v>599</v>
      </c>
      <c r="P1860">
        <v>5.0999999999999996</v>
      </c>
      <c r="Q1860">
        <v>2</v>
      </c>
      <c r="R1860" s="107" t="str">
        <f>IF(AllData[[#This Row],[Nitrate (PPM)]]&gt;2, "Very high", IF(AllData[[#This Row],[Nitrate (PPM)]]&gt;1, "High", IF(AllData[[#This Row],[Nitrate (PPM)]]&gt;0.5, "Some evidence", IF(AllData[[#This Row],[Nitrate (PPM)]]&gt;=0, "No evidence"))))</f>
        <v>High</v>
      </c>
      <c r="S1860" s="4">
        <v>1.5</v>
      </c>
      <c r="T1860" s="7" t="str">
        <f>IF(AllData[[#This Row],[Phosphate (PPM)]]&gt;0.5, "Very high", IF(AllData[[#This Row],[Phosphate (PPM)]]&gt;0.1, "High", IF(AllData[[#This Row],[Phosphate (PPM)]]&gt;0.05, "Some evidence", IF(AllData[[#This Row],[Phosphate (PPM)]]&lt;=0.05, "No Evidence", ""))))</f>
        <v>Very high</v>
      </c>
      <c r="U1860">
        <v>0.3</v>
      </c>
    </row>
    <row r="1861" spans="1:22" x14ac:dyDescent="0.35">
      <c r="A1861" t="s">
        <v>807</v>
      </c>
      <c r="B1861" s="143">
        <v>45355</v>
      </c>
      <c r="C1861" s="2" t="str" cm="1">
        <f t="array" ref="C18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1">
        <f>YEAR(AllData[[#This Row],[Date]])</f>
        <v>2024</v>
      </c>
      <c r="E1861" s="1">
        <v>0.37569444444444444</v>
      </c>
      <c r="F1861" t="str">
        <f>IF(AND(AllData[[#This Row],[Time]]&lt;0.5, AllData[[#This Row],[Time]]&gt;0.17)=TRUE, "Morning", IF(AND(AllData[[#This Row],[Time]]&lt;0.75, AllData[[#This Row],[Time]]&gt;=0.5)=TRUE, "Afternoon", IF(AND(AllData[[#This Row],[Time]]&lt;1, AllData[[#This Row],[Time]]&gt;=0.75)=TRUE, "Evening", "Night")))</f>
        <v>Morning</v>
      </c>
      <c r="G1861" t="str">
        <f>_xlfn.XLOOKUP(AllData[[#This Row],[Location Name]], Locations[Location Name],Locations[Group As])</f>
        <v>Stour Stretton-on-Fosse Village</v>
      </c>
      <c r="H1861" t="e" vm="1">
        <f>_xlfn.XLOOKUP(AllData[[#This Row],[Site Name]],LocationsKey[Site Name],LocationsKey[District])</f>
        <v>#VALUE!</v>
      </c>
      <c r="I1861" t="e" vm="30">
        <f>_xlfn.XLOOKUP(AllData[[#This Row],[Site Name]],LocationsKey[Site Name],LocationsKey[Town])</f>
        <v>#VALUE!</v>
      </c>
      <c r="J1861" t="str">
        <f>_xlfn.XLOOKUP(AllData[[#This Row],[Site Name]],LocationsKey[Site Name], LocationsKey[Waterway])</f>
        <v>Stour</v>
      </c>
      <c r="K1861" t="s">
        <v>548</v>
      </c>
      <c r="L1861">
        <v>52.046526999999998</v>
      </c>
      <c r="M1861">
        <v>-1.673324</v>
      </c>
      <c r="N1861" t="s">
        <v>68</v>
      </c>
      <c r="O1861">
        <v>551</v>
      </c>
      <c r="P1861">
        <v>5.5</v>
      </c>
      <c r="Q1861">
        <v>1</v>
      </c>
      <c r="R1861" s="107" t="str">
        <f>IF(AllData[[#This Row],[Nitrate (PPM)]]&gt;2, "Very high", IF(AllData[[#This Row],[Nitrate (PPM)]]&gt;1, "High", IF(AllData[[#This Row],[Nitrate (PPM)]]&gt;0.5, "Some evidence", IF(AllData[[#This Row],[Nitrate (PPM)]]&gt;=0, "No evidence"))))</f>
        <v>Some evidence</v>
      </c>
      <c r="S1861" s="4">
        <v>1.0900000000000001</v>
      </c>
      <c r="T1861" s="7" t="str">
        <f>IF(AllData[[#This Row],[Phosphate (PPM)]]&gt;0.5, "Very high", IF(AllData[[#This Row],[Phosphate (PPM)]]&gt;0.1, "High", IF(AllData[[#This Row],[Phosphate (PPM)]]&gt;0.05, "Some evidence", IF(AllData[[#This Row],[Phosphate (PPM)]]&lt;=0.05, "No Evidence", ""))))</f>
        <v>Very high</v>
      </c>
      <c r="U1861">
        <v>0.2</v>
      </c>
    </row>
    <row r="1862" spans="1:22" x14ac:dyDescent="0.35">
      <c r="A1862" t="s">
        <v>797</v>
      </c>
      <c r="B1862" s="143">
        <v>45354</v>
      </c>
      <c r="C1862" s="2" t="str" cm="1">
        <f t="array" ref="C18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2">
        <f>YEAR(AllData[[#This Row],[Date]])</f>
        <v>2024</v>
      </c>
      <c r="E1862" s="1">
        <v>0.625</v>
      </c>
      <c r="F1862" t="str">
        <f>IF(AND(AllData[[#This Row],[Time]]&lt;0.5, AllData[[#This Row],[Time]]&gt;0.17)=TRUE, "Morning", IF(AND(AllData[[#This Row],[Time]]&lt;0.75, AllData[[#This Row],[Time]]&gt;=0.5)=TRUE, "Afternoon", IF(AND(AllData[[#This Row],[Time]]&lt;1, AllData[[#This Row],[Time]]&gt;=0.75)=TRUE, "Evening", "Night")))</f>
        <v>Afternoon</v>
      </c>
      <c r="G1862" t="str">
        <f>_xlfn.XLOOKUP(AllData[[#This Row],[Location Name]], Locations[Location Name],Locations[Group As])</f>
        <v>Sherbourne Brook 1</v>
      </c>
      <c r="H1862" t="e" vm="1">
        <f>_xlfn.XLOOKUP(AllData[[#This Row],[Site Name]],LocationsKey[Site Name],LocationsKey[District])</f>
        <v>#VALUE!</v>
      </c>
      <c r="I1862" t="e" vm="23">
        <f>_xlfn.XLOOKUP(AllData[[#This Row],[Site Name]],LocationsKey[Site Name],LocationsKey[Town])</f>
        <v>#VALUE!</v>
      </c>
      <c r="J1862" t="str">
        <f>_xlfn.XLOOKUP(AllData[[#This Row],[Site Name]],LocationsKey[Site Name], LocationsKey[Waterway])</f>
        <v>Sherbourne Brook</v>
      </c>
      <c r="K1862" t="s">
        <v>541</v>
      </c>
      <c r="L1862">
        <v>52.252499999999998</v>
      </c>
      <c r="M1862">
        <v>-1.6685000000000001</v>
      </c>
      <c r="N1862" t="s">
        <v>25</v>
      </c>
      <c r="O1862">
        <v>759</v>
      </c>
      <c r="P1862">
        <v>8.6999999999999993</v>
      </c>
      <c r="Q1862">
        <v>5</v>
      </c>
      <c r="R1862" s="107" t="str">
        <f>IF(AllData[[#This Row],[Nitrate (PPM)]]&gt;2, "Very high", IF(AllData[[#This Row],[Nitrate (PPM)]]&gt;1, "High", IF(AllData[[#This Row],[Nitrate (PPM)]]&gt;0.5, "Some evidence", IF(AllData[[#This Row],[Nitrate (PPM)]]&gt;=0, "No evidence"))))</f>
        <v>Very high</v>
      </c>
      <c r="S1862" s="4">
        <v>0.57999999999999996</v>
      </c>
      <c r="T1862" s="7" t="str">
        <f>IF(AllData[[#This Row],[Phosphate (PPM)]]&gt;0.5, "Very high", IF(AllData[[#This Row],[Phosphate (PPM)]]&gt;0.1, "High", IF(AllData[[#This Row],[Phosphate (PPM)]]&gt;0.05, "Some evidence", IF(AllData[[#This Row],[Phosphate (PPM)]]&lt;=0.05, "No Evidence", ""))))</f>
        <v>Very high</v>
      </c>
      <c r="U1862">
        <v>0.5</v>
      </c>
      <c r="V1862" t="s">
        <v>798</v>
      </c>
    </row>
    <row r="1863" spans="1:22" x14ac:dyDescent="0.35">
      <c r="A1863" t="s">
        <v>805</v>
      </c>
      <c r="B1863" s="143">
        <v>45354</v>
      </c>
      <c r="C1863" s="2" t="str" cm="1">
        <f t="array" ref="C18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3">
        <f>YEAR(AllData[[#This Row],[Date]])</f>
        <v>2024</v>
      </c>
      <c r="E1863" s="1"/>
      <c r="F1863" t="str">
        <f>IF(AND(AllData[[#This Row],[Time]]&lt;0.5, AllData[[#This Row],[Time]]&gt;0.17)=TRUE, "Morning", IF(AND(AllData[[#This Row],[Time]]&lt;0.75, AllData[[#This Row],[Time]]&gt;=0.5)=TRUE, "Afternoon", IF(AND(AllData[[#This Row],[Time]]&lt;1, AllData[[#This Row],[Time]]&gt;=0.75)=TRUE, "Evening", "Night")))</f>
        <v>Night</v>
      </c>
      <c r="G1863" t="str">
        <f>_xlfn.XLOOKUP(AllData[[#This Row],[Location Name]], Locations[Location Name],Locations[Group As])</f>
        <v>Site 3  :  Severn Trent Water processing plant outflow</v>
      </c>
      <c r="H1863" t="e" vm="1">
        <f>_xlfn.XLOOKUP(AllData[[#This Row],[Site Name]],LocationsKey[Site Name],LocationsKey[District])</f>
        <v>#VALUE!</v>
      </c>
      <c r="I1863" t="e" vm="14">
        <f>_xlfn.XLOOKUP(AllData[[#This Row],[Site Name]],LocationsKey[Site Name],LocationsKey[Town])</f>
        <v>#VALUE!</v>
      </c>
      <c r="J1863" t="str">
        <f>_xlfn.XLOOKUP(AllData[[#This Row],[Site Name]],LocationsKey[Site Name], LocationsKey[Waterway])</f>
        <v>Fosseway Brook</v>
      </c>
      <c r="K1863" t="s">
        <v>676</v>
      </c>
      <c r="L1863">
        <v>52.094423999999997</v>
      </c>
      <c r="M1863">
        <v>-1.6759090000000001</v>
      </c>
      <c r="N1863" t="s">
        <v>31</v>
      </c>
      <c r="O1863">
        <v>723</v>
      </c>
      <c r="P1863">
        <v>8.8000000000000007</v>
      </c>
      <c r="Q1863">
        <v>5</v>
      </c>
      <c r="R1863" s="107" t="str">
        <f>IF(AllData[[#This Row],[Nitrate (PPM)]]&gt;2, "Very high", IF(AllData[[#This Row],[Nitrate (PPM)]]&gt;1, "High", IF(AllData[[#This Row],[Nitrate (PPM)]]&gt;0.5, "Some evidence", IF(AllData[[#This Row],[Nitrate (PPM)]]&gt;=0, "No evidence"))))</f>
        <v>Very high</v>
      </c>
      <c r="S1863" s="4">
        <v>2.5</v>
      </c>
      <c r="T1863" s="7" t="str">
        <f>IF(AllData[[#This Row],[Phosphate (PPM)]]&gt;0.5, "Very high", IF(AllData[[#This Row],[Phosphate (PPM)]]&gt;0.1, "High", IF(AllData[[#This Row],[Phosphate (PPM)]]&gt;0.05, "Some evidence", IF(AllData[[#This Row],[Phosphate (PPM)]]&lt;=0.05, "No Evidence", ""))))</f>
        <v>Very high</v>
      </c>
      <c r="V1863" t="s">
        <v>703</v>
      </c>
    </row>
    <row r="1864" spans="1:22" x14ac:dyDescent="0.35">
      <c r="A1864" t="s">
        <v>804</v>
      </c>
      <c r="B1864" s="143">
        <v>45354</v>
      </c>
      <c r="C1864" s="2" t="str" cm="1">
        <f t="array" ref="C18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4">
        <f>YEAR(AllData[[#This Row],[Date]])</f>
        <v>2024</v>
      </c>
      <c r="F1864" t="str">
        <f>IF(AND(AllData[[#This Row],[Time]]&lt;0.5, AllData[[#This Row],[Time]]&gt;0.17)=TRUE, "Morning", IF(AND(AllData[[#This Row],[Time]]&lt;0.75, AllData[[#This Row],[Time]]&gt;=0.5)=TRUE, "Afternoon", IF(AND(AllData[[#This Row],[Time]]&lt;1, AllData[[#This Row],[Time]]&gt;=0.75)=TRUE, "Evening", "Night")))</f>
        <v>Night</v>
      </c>
      <c r="G1864" t="str">
        <f>_xlfn.XLOOKUP(AllData[[#This Row],[Location Name]], Locations[Location Name],Locations[Group As])</f>
        <v>Site 3  :  Severn Trent Water processing plant outflow</v>
      </c>
      <c r="H1864" t="e" vm="1">
        <f>_xlfn.XLOOKUP(AllData[[#This Row],[Site Name]],LocationsKey[Site Name],LocationsKey[District])</f>
        <v>#VALUE!</v>
      </c>
      <c r="I1864" t="e" vm="14">
        <f>_xlfn.XLOOKUP(AllData[[#This Row],[Site Name]],LocationsKey[Site Name],LocationsKey[Town])</f>
        <v>#VALUE!</v>
      </c>
      <c r="J1864" t="str">
        <f>_xlfn.XLOOKUP(AllData[[#This Row],[Site Name]],LocationsKey[Site Name], LocationsKey[Waterway])</f>
        <v>Fosseway Brook</v>
      </c>
      <c r="K1864" t="s">
        <v>673</v>
      </c>
      <c r="L1864">
        <v>52.094423999999997</v>
      </c>
      <c r="M1864">
        <v>-1.6759090000000001</v>
      </c>
      <c r="N1864" t="s">
        <v>31</v>
      </c>
      <c r="O1864">
        <v>723</v>
      </c>
      <c r="P1864">
        <v>8.8000000000000007</v>
      </c>
      <c r="Q1864">
        <v>5</v>
      </c>
      <c r="R1864" s="107" t="str">
        <f>IF(AllData[[#This Row],[Nitrate (PPM)]]&gt;2, "Very high", IF(AllData[[#This Row],[Nitrate (PPM)]]&gt;1, "High", IF(AllData[[#This Row],[Nitrate (PPM)]]&gt;0.5, "Some evidence", IF(AllData[[#This Row],[Nitrate (PPM)]]&gt;=0, "No evidence"))))</f>
        <v>Very high</v>
      </c>
      <c r="S1864" s="4">
        <v>2.5</v>
      </c>
      <c r="T1864" s="7" t="str">
        <f>IF(AllData[[#This Row],[Phosphate (PPM)]]&gt;0.5, "Very high", IF(AllData[[#This Row],[Phosphate (PPM)]]&gt;0.1, "High", IF(AllData[[#This Row],[Phosphate (PPM)]]&gt;0.05, "Some evidence", IF(AllData[[#This Row],[Phosphate (PPM)]]&lt;=0.05, "No Evidence", ""))))</f>
        <v>Very high</v>
      </c>
      <c r="U1864">
        <v>0</v>
      </c>
      <c r="V1864" t="s">
        <v>705</v>
      </c>
    </row>
    <row r="1865" spans="1:22" x14ac:dyDescent="0.35">
      <c r="A1865" t="s">
        <v>792</v>
      </c>
      <c r="B1865" s="143">
        <v>45354</v>
      </c>
      <c r="C1865" s="2" t="str" cm="1">
        <f t="array" ref="C18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5">
        <f>YEAR(AllData[[#This Row],[Date]])</f>
        <v>2024</v>
      </c>
      <c r="E1865" s="1">
        <v>0.49305555555555558</v>
      </c>
      <c r="F1865" t="str">
        <f>IF(AND(AllData[[#This Row],[Time]]&lt;0.5, AllData[[#This Row],[Time]]&gt;0.17)=TRUE, "Morning", IF(AND(AllData[[#This Row],[Time]]&lt;0.75, AllData[[#This Row],[Time]]&gt;=0.5)=TRUE, "Afternoon", IF(AND(AllData[[#This Row],[Time]]&lt;1, AllData[[#This Row],[Time]]&gt;=0.75)=TRUE, "Evening", "Night")))</f>
        <v>Morning</v>
      </c>
      <c r="G1865" t="str">
        <f>_xlfn.XLOOKUP(AllData[[#This Row],[Location Name]], Locations[Location Name],Locations[Group As])</f>
        <v>Avonbank Drive</v>
      </c>
      <c r="H1865" t="e" vm="1">
        <f>_xlfn.XLOOKUP(AllData[[#This Row],[Site Name]],LocationsKey[Site Name],LocationsKey[District])</f>
        <v>#VALUE!</v>
      </c>
      <c r="I1865" t="e" vm="12">
        <f>_xlfn.XLOOKUP(AllData[[#This Row],[Site Name]],LocationsKey[Site Name],LocationsKey[Town])</f>
        <v>#VALUE!</v>
      </c>
      <c r="J1865" t="str">
        <f>_xlfn.XLOOKUP(AllData[[#This Row],[Site Name]],LocationsKey[Site Name], LocationsKey[Waterway])</f>
        <v>Avon</v>
      </c>
      <c r="K1865" t="s">
        <v>104</v>
      </c>
      <c r="L1865">
        <v>52.177</v>
      </c>
      <c r="M1865">
        <v>-1.736</v>
      </c>
      <c r="N1865" t="s">
        <v>68</v>
      </c>
      <c r="O1865">
        <v>675</v>
      </c>
      <c r="P1865">
        <v>15.7</v>
      </c>
      <c r="Q1865">
        <v>5</v>
      </c>
      <c r="R1865" s="107" t="str">
        <f>IF(AllData[[#This Row],[Nitrate (PPM)]]&gt;2, "Very high", IF(AllData[[#This Row],[Nitrate (PPM)]]&gt;1, "High", IF(AllData[[#This Row],[Nitrate (PPM)]]&gt;0.5, "Some evidence", IF(AllData[[#This Row],[Nitrate (PPM)]]&gt;=0, "No evidence"))))</f>
        <v>Very high</v>
      </c>
      <c r="S1865" s="4">
        <v>0.48</v>
      </c>
      <c r="T1865" s="7" t="str">
        <f>IF(AllData[[#This Row],[Phosphate (PPM)]]&gt;0.5, "Very high", IF(AllData[[#This Row],[Phosphate (PPM)]]&gt;0.1, "High", IF(AllData[[#This Row],[Phosphate (PPM)]]&gt;0.05, "Some evidence", IF(AllData[[#This Row],[Phosphate (PPM)]]&lt;=0.05, "No Evidence", ""))))</f>
        <v>High</v>
      </c>
      <c r="U1865">
        <v>0.8</v>
      </c>
    </row>
    <row r="1866" spans="1:22" x14ac:dyDescent="0.35">
      <c r="A1866" t="s">
        <v>794</v>
      </c>
      <c r="B1866" s="143">
        <v>45354</v>
      </c>
      <c r="C1866" s="2" t="str" cm="1">
        <f t="array" ref="C18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6">
        <f>YEAR(AllData[[#This Row],[Date]])</f>
        <v>2024</v>
      </c>
      <c r="E1866" s="1">
        <v>0.58958333333333335</v>
      </c>
      <c r="F1866" t="str">
        <f>IF(AND(AllData[[#This Row],[Time]]&lt;0.5, AllData[[#This Row],[Time]]&gt;0.17)=TRUE, "Morning", IF(AND(AllData[[#This Row],[Time]]&lt;0.75, AllData[[#This Row],[Time]]&gt;=0.5)=TRUE, "Afternoon", IF(AND(AllData[[#This Row],[Time]]&lt;1, AllData[[#This Row],[Time]]&gt;=0.75)=TRUE, "Evening", "Night")))</f>
        <v>Afternoon</v>
      </c>
      <c r="G1866" t="str">
        <f>_xlfn.XLOOKUP(AllData[[#This Row],[Location Name]], Locations[Location Name],Locations[Group As])</f>
        <v>Black Bear</v>
      </c>
      <c r="H1866" t="e" vm="4">
        <f>_xlfn.XLOOKUP(AllData[[#This Row],[Site Name]],LocationsKey[Site Name],LocationsKey[District])</f>
        <v>#VALUE!</v>
      </c>
      <c r="I1866" t="e" vm="4">
        <f>_xlfn.XLOOKUP(AllData[[#This Row],[Site Name]],LocationsKey[Site Name],LocationsKey[Town])</f>
        <v>#VALUE!</v>
      </c>
      <c r="J1866" t="str">
        <f>_xlfn.XLOOKUP(AllData[[#This Row],[Site Name]],LocationsKey[Site Name], LocationsKey[Waterway])</f>
        <v>Avon</v>
      </c>
      <c r="K1866" t="s">
        <v>572</v>
      </c>
      <c r="L1866">
        <v>51.997301</v>
      </c>
      <c r="M1866">
        <v>-2.1562589999999999</v>
      </c>
      <c r="N1866" t="s">
        <v>25</v>
      </c>
      <c r="O1866">
        <v>642</v>
      </c>
      <c r="P1866">
        <v>9.4</v>
      </c>
      <c r="Q1866">
        <v>5</v>
      </c>
      <c r="R1866" s="107" t="str">
        <f>IF(AllData[[#This Row],[Nitrate (PPM)]]&gt;2, "Very high", IF(AllData[[#This Row],[Nitrate (PPM)]]&gt;1, "High", IF(AllData[[#This Row],[Nitrate (PPM)]]&gt;0.5, "Some evidence", IF(AllData[[#This Row],[Nitrate (PPM)]]&gt;=0, "No evidence"))))</f>
        <v>Very high</v>
      </c>
      <c r="S1866" s="4">
        <v>0.59</v>
      </c>
      <c r="T1866" s="7" t="str">
        <f>IF(AllData[[#This Row],[Phosphate (PPM)]]&gt;0.5, "Very high", IF(AllData[[#This Row],[Phosphate (PPM)]]&gt;0.1, "High", IF(AllData[[#This Row],[Phosphate (PPM)]]&gt;0.05, "Some evidence", IF(AllData[[#This Row],[Phosphate (PPM)]]&lt;=0.05, "No Evidence", ""))))</f>
        <v>Very high</v>
      </c>
      <c r="U1866">
        <v>1.5</v>
      </c>
    </row>
    <row r="1867" spans="1:22" x14ac:dyDescent="0.35">
      <c r="A1867" t="s">
        <v>793</v>
      </c>
      <c r="B1867" s="143">
        <v>45354</v>
      </c>
      <c r="C1867" s="2" t="str" cm="1">
        <f t="array" ref="C18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7">
        <f>YEAR(AllData[[#This Row],[Date]])</f>
        <v>2024</v>
      </c>
      <c r="E1867" s="1">
        <v>0.49305555555555558</v>
      </c>
      <c r="F1867" t="str">
        <f>IF(AND(AllData[[#This Row],[Time]]&lt;0.5, AllData[[#This Row],[Time]]&gt;0.17)=TRUE, "Morning", IF(AND(AllData[[#This Row],[Time]]&lt;0.75, AllData[[#This Row],[Time]]&gt;=0.5)=TRUE, "Afternoon", IF(AND(AllData[[#This Row],[Time]]&lt;1, AllData[[#This Row],[Time]]&gt;=0.75)=TRUE, "Evening", "Night")))</f>
        <v>Morning</v>
      </c>
      <c r="G1867" t="str">
        <f>_xlfn.XLOOKUP(AllData[[#This Row],[Location Name]], Locations[Location Name],Locations[Group As])</f>
        <v>Pitch 16</v>
      </c>
      <c r="H1867" t="e" vm="1">
        <f>_xlfn.XLOOKUP(AllData[[#This Row],[Site Name]],LocationsKey[Site Name],LocationsKey[District])</f>
        <v>#VALUE!</v>
      </c>
      <c r="I1867" t="e" vm="12">
        <f>_xlfn.XLOOKUP(AllData[[#This Row],[Site Name]],LocationsKey[Site Name],LocationsKey[Town])</f>
        <v>#VALUE!</v>
      </c>
      <c r="J1867" t="str">
        <f>_xlfn.XLOOKUP(AllData[[#This Row],[Site Name]],LocationsKey[Site Name], LocationsKey[Waterway])</f>
        <v>Avon</v>
      </c>
      <c r="K1867" t="s">
        <v>71</v>
      </c>
      <c r="N1867" t="s">
        <v>31</v>
      </c>
      <c r="O1867">
        <v>635</v>
      </c>
      <c r="P1867">
        <v>15.8</v>
      </c>
      <c r="Q1867">
        <v>5</v>
      </c>
      <c r="R1867" s="107" t="str">
        <f>IF(AllData[[#This Row],[Nitrate (PPM)]]&gt;2, "Very high", IF(AllData[[#This Row],[Nitrate (PPM)]]&gt;1, "High", IF(AllData[[#This Row],[Nitrate (PPM)]]&gt;0.5, "Some evidence", IF(AllData[[#This Row],[Nitrate (PPM)]]&gt;=0, "No evidence"))))</f>
        <v>Very high</v>
      </c>
      <c r="S1867" s="4">
        <v>0.35</v>
      </c>
      <c r="T1867" s="7" t="str">
        <f>IF(AllData[[#This Row],[Phosphate (PPM)]]&gt;0.5, "Very high", IF(AllData[[#This Row],[Phosphate (PPM)]]&gt;0.1, "High", IF(AllData[[#This Row],[Phosphate (PPM)]]&gt;0.05, "Some evidence", IF(AllData[[#This Row],[Phosphate (PPM)]]&lt;=0.05, "No Evidence", ""))))</f>
        <v>High</v>
      </c>
      <c r="U1867">
        <v>0.8</v>
      </c>
    </row>
    <row r="1868" spans="1:22" x14ac:dyDescent="0.35">
      <c r="A1868" t="s">
        <v>799</v>
      </c>
      <c r="B1868" s="143">
        <v>45354</v>
      </c>
      <c r="C1868" s="2" t="str" cm="1">
        <f t="array" ref="C18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8">
        <f>YEAR(AllData[[#This Row],[Date]])</f>
        <v>2024</v>
      </c>
      <c r="E1868" s="1">
        <v>0.63541666666666663</v>
      </c>
      <c r="F1868" t="str">
        <f>IF(AND(AllData[[#This Row],[Time]]&lt;0.5, AllData[[#This Row],[Time]]&gt;0.17)=TRUE, "Morning", IF(AND(AllData[[#This Row],[Time]]&lt;0.75, AllData[[#This Row],[Time]]&gt;=0.5)=TRUE, "Afternoon", IF(AND(AllData[[#This Row],[Time]]&lt;1, AllData[[#This Row],[Time]]&gt;=0.75)=TRUE, "Evening", "Night")))</f>
        <v>Afternoon</v>
      </c>
      <c r="G1868" t="str">
        <f>_xlfn.XLOOKUP(AllData[[#This Row],[Location Name]], Locations[Location Name],Locations[Group As])</f>
        <v>Bell Brook 1</v>
      </c>
      <c r="H1868" t="e" vm="1">
        <f>_xlfn.XLOOKUP(AllData[[#This Row],[Site Name]],LocationsKey[Site Name],LocationsKey[District])</f>
        <v>#VALUE!</v>
      </c>
      <c r="I1868" t="e" vm="19">
        <f>_xlfn.XLOOKUP(AllData[[#This Row],[Site Name]],LocationsKey[Site Name],LocationsKey[Town])</f>
        <v>#VALUE!</v>
      </c>
      <c r="J1868" t="str">
        <f>_xlfn.XLOOKUP(AllData[[#This Row],[Site Name]],LocationsKey[Site Name], LocationsKey[Waterway])</f>
        <v>Bell Brook</v>
      </c>
      <c r="K1868" t="s">
        <v>538</v>
      </c>
      <c r="L1868">
        <v>52.244900000000001</v>
      </c>
      <c r="M1868">
        <v>-1.6617</v>
      </c>
      <c r="N1868" t="s">
        <v>25</v>
      </c>
      <c r="O1868">
        <v>490</v>
      </c>
      <c r="P1868">
        <v>8.8000000000000007</v>
      </c>
      <c r="Q1868">
        <v>5</v>
      </c>
      <c r="R1868" s="107" t="str">
        <f>IF(AllData[[#This Row],[Nitrate (PPM)]]&gt;2, "Very high", IF(AllData[[#This Row],[Nitrate (PPM)]]&gt;1, "High", IF(AllData[[#This Row],[Nitrate (PPM)]]&gt;0.5, "Some evidence", IF(AllData[[#This Row],[Nitrate (PPM)]]&gt;=0, "No evidence"))))</f>
        <v>Very high</v>
      </c>
      <c r="S1868" s="4">
        <v>0.44</v>
      </c>
      <c r="T1868" s="7" t="str">
        <f>IF(AllData[[#This Row],[Phosphate (PPM)]]&gt;0.5, "Very high", IF(AllData[[#This Row],[Phosphate (PPM)]]&gt;0.1, "High", IF(AllData[[#This Row],[Phosphate (PPM)]]&gt;0.05, "Some evidence", IF(AllData[[#This Row],[Phosphate (PPM)]]&lt;=0.05, "No Evidence", ""))))</f>
        <v>High</v>
      </c>
      <c r="U1868">
        <v>0.5</v>
      </c>
      <c r="V1868" t="s">
        <v>798</v>
      </c>
    </row>
    <row r="1869" spans="1:22" x14ac:dyDescent="0.35">
      <c r="A1869" t="s">
        <v>790</v>
      </c>
      <c r="B1869" s="143">
        <v>45354</v>
      </c>
      <c r="C1869" s="2" t="str" cm="1">
        <f t="array" ref="C18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69">
        <f>YEAR(AllData[[#This Row],[Date]])</f>
        <v>2024</v>
      </c>
      <c r="E1869" s="1">
        <v>0.47916666666666669</v>
      </c>
      <c r="F1869" t="str">
        <f>IF(AND(AllData[[#This Row],[Time]]&lt;0.5, AllData[[#This Row],[Time]]&gt;0.17)=TRUE, "Morning", IF(AND(AllData[[#This Row],[Time]]&lt;0.75, AllData[[#This Row],[Time]]&gt;=0.5)=TRUE, "Afternoon", IF(AND(AllData[[#This Row],[Time]]&lt;1, AllData[[#This Row],[Time]]&gt;=0.75)=TRUE, "Evening", "Night")))</f>
        <v>Morning</v>
      </c>
      <c r="G1869" t="str">
        <f>_xlfn.XLOOKUP(AllData[[#This Row],[Location Name]], Locations[Location Name],Locations[Group As])</f>
        <v>Carrant Bredon Rd</v>
      </c>
      <c r="H1869" t="e" vm="4">
        <f>_xlfn.XLOOKUP(AllData[[#This Row],[Site Name]],LocationsKey[Site Name],LocationsKey[District])</f>
        <v>#VALUE!</v>
      </c>
      <c r="I1869" t="e" vm="4">
        <f>_xlfn.XLOOKUP(AllData[[#This Row],[Site Name]],LocationsKey[Site Name],LocationsKey[Town])</f>
        <v>#VALUE!</v>
      </c>
      <c r="J1869" t="str">
        <f>_xlfn.XLOOKUP(AllData[[#This Row],[Site Name]],LocationsKey[Site Name], LocationsKey[Waterway])</f>
        <v>Carrant</v>
      </c>
      <c r="K1869" t="s">
        <v>603</v>
      </c>
      <c r="L1869">
        <v>51.996478000000003</v>
      </c>
      <c r="M1869">
        <v>-2.155986</v>
      </c>
      <c r="N1869" t="s">
        <v>25</v>
      </c>
      <c r="O1869">
        <v>629</v>
      </c>
      <c r="P1869">
        <v>7.8</v>
      </c>
      <c r="Q1869">
        <v>4</v>
      </c>
      <c r="R1869" s="107" t="str">
        <f>IF(AllData[[#This Row],[Nitrate (PPM)]]&gt;2, "Very high", IF(AllData[[#This Row],[Nitrate (PPM)]]&gt;1, "High", IF(AllData[[#This Row],[Nitrate (PPM)]]&gt;0.5, "Some evidence", IF(AllData[[#This Row],[Nitrate (PPM)]]&gt;=0, "No evidence"))))</f>
        <v>Very high</v>
      </c>
      <c r="S1869" s="4">
        <v>0.31</v>
      </c>
      <c r="T1869" s="7" t="str">
        <f>IF(AllData[[#This Row],[Phosphate (PPM)]]&gt;0.5, "Very high", IF(AllData[[#This Row],[Phosphate (PPM)]]&gt;0.1, "High", IF(AllData[[#This Row],[Phosphate (PPM)]]&gt;0.05, "Some evidence", IF(AllData[[#This Row],[Phosphate (PPM)]]&lt;=0.05, "No Evidence", ""))))</f>
        <v>High</v>
      </c>
      <c r="U1869">
        <v>1.07</v>
      </c>
      <c r="V1869" t="s">
        <v>791</v>
      </c>
    </row>
    <row r="1870" spans="1:22" x14ac:dyDescent="0.35">
      <c r="A1870" t="s">
        <v>789</v>
      </c>
      <c r="B1870" s="143">
        <v>45354</v>
      </c>
      <c r="C1870" s="2" t="str" cm="1">
        <f t="array" ref="C18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0">
        <f>YEAR(AllData[[#This Row],[Date]])</f>
        <v>2024</v>
      </c>
      <c r="E1870" s="1">
        <v>0.46180555555555558</v>
      </c>
      <c r="F1870" t="str">
        <f>IF(AND(AllData[[#This Row],[Time]]&lt;0.5, AllData[[#This Row],[Time]]&gt;0.17)=TRUE, "Morning", IF(AND(AllData[[#This Row],[Time]]&lt;0.75, AllData[[#This Row],[Time]]&gt;=0.5)=TRUE, "Afternoon", IF(AND(AllData[[#This Row],[Time]]&lt;1, AllData[[#This Row],[Time]]&gt;=0.75)=TRUE, "Evening", "Night")))</f>
        <v>Morning</v>
      </c>
      <c r="G1870" t="str">
        <f>_xlfn.XLOOKUP(AllData[[#This Row],[Location Name]], Locations[Location Name],Locations[Group As])</f>
        <v>The Ford, Langley</v>
      </c>
      <c r="H1870" t="e" vm="1">
        <f>_xlfn.XLOOKUP(AllData[[#This Row],[Site Name]],LocationsKey[Site Name],LocationsKey[District])</f>
        <v>#VALUE!</v>
      </c>
      <c r="I1870" t="str">
        <f>_xlfn.XLOOKUP(AllData[[#This Row],[Site Name]],LocationsKey[Site Name],LocationsKey[Town])</f>
        <v>Langley</v>
      </c>
      <c r="J1870" t="str">
        <f>_xlfn.XLOOKUP(AllData[[#This Row],[Site Name]],LocationsKey[Site Name], LocationsKey[Waterway])</f>
        <v>Langley Ford</v>
      </c>
      <c r="K1870" t="s">
        <v>561</v>
      </c>
      <c r="L1870">
        <v>52.259639</v>
      </c>
      <c r="M1870">
        <v>-1.7181999999999999</v>
      </c>
      <c r="N1870" t="s">
        <v>31</v>
      </c>
      <c r="O1870">
        <v>445</v>
      </c>
      <c r="P1870">
        <v>8.1</v>
      </c>
      <c r="Q1870">
        <v>4</v>
      </c>
      <c r="R1870" s="107" t="str">
        <f>IF(AllData[[#This Row],[Nitrate (PPM)]]&gt;2, "Very high", IF(AllData[[#This Row],[Nitrate (PPM)]]&gt;1, "High", IF(AllData[[#This Row],[Nitrate (PPM)]]&gt;0.5, "Some evidence", IF(AllData[[#This Row],[Nitrate (PPM)]]&gt;=0, "No evidence"))))</f>
        <v>Very high</v>
      </c>
      <c r="S1870" s="4">
        <v>0.55000000000000004</v>
      </c>
      <c r="T1870" s="7" t="str">
        <f>IF(AllData[[#This Row],[Phosphate (PPM)]]&gt;0.5, "Very high", IF(AllData[[#This Row],[Phosphate (PPM)]]&gt;0.1, "High", IF(AllData[[#This Row],[Phosphate (PPM)]]&gt;0.05, "Some evidence", IF(AllData[[#This Row],[Phosphate (PPM)]]&lt;=0.05, "No Evidence", ""))))</f>
        <v>Very high</v>
      </c>
      <c r="U1870">
        <v>0.46</v>
      </c>
    </row>
    <row r="1871" spans="1:22" x14ac:dyDescent="0.35">
      <c r="A1871" t="s">
        <v>795</v>
      </c>
      <c r="B1871" s="143">
        <v>45354</v>
      </c>
      <c r="C1871" s="2" t="str" cm="1">
        <f t="array" ref="C18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1">
        <f>YEAR(AllData[[#This Row],[Date]])</f>
        <v>2024</v>
      </c>
      <c r="E1871" s="1">
        <v>0.60416666666666663</v>
      </c>
      <c r="F1871" t="str">
        <f>IF(AND(AllData[[#This Row],[Time]]&lt;0.5, AllData[[#This Row],[Time]]&gt;0.17)=TRUE, "Morning", IF(AND(AllData[[#This Row],[Time]]&lt;0.75, AllData[[#This Row],[Time]]&gt;=0.5)=TRUE, "Afternoon", IF(AND(AllData[[#This Row],[Time]]&lt;1, AllData[[#This Row],[Time]]&gt;=0.75)=TRUE, "Evening", "Night")))</f>
        <v>Afternoon</v>
      </c>
      <c r="G1871" t="str">
        <f>_xlfn.XLOOKUP(AllData[[#This Row],[Location Name]], Locations[Location Name],Locations[Group As])</f>
        <v>Clifford Chambers Mill Bridge</v>
      </c>
      <c r="H1871" t="e" vm="1">
        <f>_xlfn.XLOOKUP(AllData[[#This Row],[Site Name]],LocationsKey[Site Name],LocationsKey[District])</f>
        <v>#VALUE!</v>
      </c>
      <c r="I1871" t="e" vm="22">
        <f>_xlfn.XLOOKUP(AllData[[#This Row],[Site Name]],LocationsKey[Site Name],LocationsKey[Town])</f>
        <v>#VALUE!</v>
      </c>
      <c r="J1871" t="str">
        <f>_xlfn.XLOOKUP(AllData[[#This Row],[Site Name]],LocationsKey[Site Name], LocationsKey[Waterway])</f>
        <v>Stour</v>
      </c>
      <c r="K1871" t="s">
        <v>266</v>
      </c>
      <c r="L1871">
        <v>52.166370000000001</v>
      </c>
      <c r="M1871">
        <v>-1.708032</v>
      </c>
      <c r="N1871" t="s">
        <v>68</v>
      </c>
      <c r="O1871">
        <v>460</v>
      </c>
      <c r="P1871">
        <v>12.8</v>
      </c>
      <c r="Q1871">
        <v>3</v>
      </c>
      <c r="R1871" s="107" t="str">
        <f>IF(AllData[[#This Row],[Nitrate (PPM)]]&gt;2, "Very high", IF(AllData[[#This Row],[Nitrate (PPM)]]&gt;1, "High", IF(AllData[[#This Row],[Nitrate (PPM)]]&gt;0.5, "Some evidence", IF(AllData[[#This Row],[Nitrate (PPM)]]&gt;=0, "No evidence"))))</f>
        <v>Very high</v>
      </c>
      <c r="S1871" s="4">
        <v>0.27</v>
      </c>
      <c r="T1871" s="7" t="str">
        <f>IF(AllData[[#This Row],[Phosphate (PPM)]]&gt;0.5, "Very high", IF(AllData[[#This Row],[Phosphate (PPM)]]&gt;0.1, "High", IF(AllData[[#This Row],[Phosphate (PPM)]]&gt;0.05, "Some evidence", IF(AllData[[#This Row],[Phosphate (PPM)]]&lt;=0.05, "No Evidence", ""))))</f>
        <v>High</v>
      </c>
      <c r="U1871">
        <v>1.4</v>
      </c>
      <c r="V1871" t="s">
        <v>796</v>
      </c>
    </row>
    <row r="1872" spans="1:22" x14ac:dyDescent="0.35">
      <c r="A1872" t="s">
        <v>801</v>
      </c>
      <c r="B1872" s="143">
        <v>45354</v>
      </c>
      <c r="C1872" s="2" t="str" cm="1">
        <f t="array" ref="C18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2">
        <f>YEAR(AllData[[#This Row],[Date]])</f>
        <v>2024</v>
      </c>
      <c r="E1872" s="1"/>
      <c r="F1872" t="str">
        <f>IF(AND(AllData[[#This Row],[Time]]&lt;0.5, AllData[[#This Row],[Time]]&gt;0.17)=TRUE, "Morning", IF(AND(AllData[[#This Row],[Time]]&lt;0.75, AllData[[#This Row],[Time]]&gt;=0.5)=TRUE, "Afternoon", IF(AND(AllData[[#This Row],[Time]]&lt;1, AllData[[#This Row],[Time]]&gt;=0.75)=TRUE, "Evening", "Night")))</f>
        <v>Night</v>
      </c>
      <c r="G1872" t="str">
        <f>_xlfn.XLOOKUP(AllData[[#This Row],[Location Name]], Locations[Location Name],Locations[Group As])</f>
        <v>Site 1  :  Middle Street</v>
      </c>
      <c r="H1872" t="e" vm="1">
        <f>_xlfn.XLOOKUP(AllData[[#This Row],[Site Name]],LocationsKey[Site Name],LocationsKey[District])</f>
        <v>#VALUE!</v>
      </c>
      <c r="I1872" t="e" vm="14">
        <f>_xlfn.XLOOKUP(AllData[[#This Row],[Site Name]],LocationsKey[Site Name],LocationsKey[Town])</f>
        <v>#VALUE!</v>
      </c>
      <c r="J1872" t="str">
        <f>_xlfn.XLOOKUP(AllData[[#This Row],[Site Name]],LocationsKey[Site Name], LocationsKey[Waterway])</f>
        <v>Fosseway Brook</v>
      </c>
      <c r="K1872" t="s">
        <v>670</v>
      </c>
      <c r="L1872">
        <v>52.090085000000002</v>
      </c>
      <c r="M1872">
        <v>-1.692593</v>
      </c>
      <c r="N1872" t="s">
        <v>68</v>
      </c>
      <c r="O1872">
        <v>626</v>
      </c>
      <c r="P1872">
        <v>7.8</v>
      </c>
      <c r="Q1872">
        <v>2</v>
      </c>
      <c r="R1872" s="107" t="str">
        <f>IF(AllData[[#This Row],[Nitrate (PPM)]]&gt;2, "Very high", IF(AllData[[#This Row],[Nitrate (PPM)]]&gt;1, "High", IF(AllData[[#This Row],[Nitrate (PPM)]]&gt;0.5, "Some evidence", IF(AllData[[#This Row],[Nitrate (PPM)]]&gt;=0, "No evidence"))))</f>
        <v>High</v>
      </c>
      <c r="S1872" s="4">
        <v>7.0000000000000007E-2</v>
      </c>
      <c r="T1872" s="7" t="str">
        <f>IF(AllData[[#This Row],[Phosphate (PPM)]]&gt;0.5, "Very high", IF(AllData[[#This Row],[Phosphate (PPM)]]&gt;0.1, "High", IF(AllData[[#This Row],[Phosphate (PPM)]]&gt;0.05, "Some evidence", IF(AllData[[#This Row],[Phosphate (PPM)]]&lt;=0.05, "No Evidence", ""))))</f>
        <v>Some evidence</v>
      </c>
      <c r="V1872" t="s">
        <v>699</v>
      </c>
    </row>
    <row r="1873" spans="1:22" x14ac:dyDescent="0.35">
      <c r="A1873" t="s">
        <v>800</v>
      </c>
      <c r="B1873" s="143">
        <v>45354</v>
      </c>
      <c r="C1873" s="2" t="str" cm="1">
        <f t="array" ref="C18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3">
        <f>YEAR(AllData[[#This Row],[Date]])</f>
        <v>2024</v>
      </c>
      <c r="F1873" t="str">
        <f>IF(AND(AllData[[#This Row],[Time]]&lt;0.5, AllData[[#This Row],[Time]]&gt;0.17)=TRUE, "Morning", IF(AND(AllData[[#This Row],[Time]]&lt;0.75, AllData[[#This Row],[Time]]&gt;=0.5)=TRUE, "Afternoon", IF(AND(AllData[[#This Row],[Time]]&lt;1, AllData[[#This Row],[Time]]&gt;=0.75)=TRUE, "Evening", "Night")))</f>
        <v>Night</v>
      </c>
      <c r="G1873" t="str">
        <f>_xlfn.XLOOKUP(AllData[[#This Row],[Location Name]], Locations[Location Name],Locations[Group As])</f>
        <v>Site 1  :  Middle Street</v>
      </c>
      <c r="H1873" t="e" vm="1">
        <f>_xlfn.XLOOKUP(AllData[[#This Row],[Site Name]],LocationsKey[Site Name],LocationsKey[District])</f>
        <v>#VALUE!</v>
      </c>
      <c r="I1873" t="e" vm="14">
        <f>_xlfn.XLOOKUP(AllData[[#This Row],[Site Name]],LocationsKey[Site Name],LocationsKey[Town])</f>
        <v>#VALUE!</v>
      </c>
      <c r="J1873" t="str">
        <f>_xlfn.XLOOKUP(AllData[[#This Row],[Site Name]],LocationsKey[Site Name], LocationsKey[Waterway])</f>
        <v>Fosseway Brook</v>
      </c>
      <c r="K1873" t="s">
        <v>667</v>
      </c>
      <c r="L1873">
        <v>52.090085000000002</v>
      </c>
      <c r="M1873">
        <v>-1.692593</v>
      </c>
      <c r="N1873" t="s">
        <v>68</v>
      </c>
      <c r="O1873">
        <v>626</v>
      </c>
      <c r="P1873">
        <v>7.8</v>
      </c>
      <c r="Q1873">
        <v>2</v>
      </c>
      <c r="R1873" s="107" t="str">
        <f>IF(AllData[[#This Row],[Nitrate (PPM)]]&gt;2, "Very high", IF(AllData[[#This Row],[Nitrate (PPM)]]&gt;1, "High", IF(AllData[[#This Row],[Nitrate (PPM)]]&gt;0.5, "Some evidence", IF(AllData[[#This Row],[Nitrate (PPM)]]&gt;=0, "No evidence"))))</f>
        <v>High</v>
      </c>
      <c r="S1873" s="4">
        <v>7.0000000000000007E-2</v>
      </c>
      <c r="T1873" s="7" t="str">
        <f>IF(AllData[[#This Row],[Phosphate (PPM)]]&gt;0.5, "Very high", IF(AllData[[#This Row],[Phosphate (PPM)]]&gt;0.1, "High", IF(AllData[[#This Row],[Phosphate (PPM)]]&gt;0.05, "Some evidence", IF(AllData[[#This Row],[Phosphate (PPM)]]&lt;=0.05, "No Evidence", ""))))</f>
        <v>Some evidence</v>
      </c>
      <c r="U1873">
        <v>0</v>
      </c>
      <c r="V1873" t="s">
        <v>697</v>
      </c>
    </row>
    <row r="1874" spans="1:22" x14ac:dyDescent="0.35">
      <c r="A1874" t="s">
        <v>806</v>
      </c>
      <c r="B1874" s="143">
        <v>45354</v>
      </c>
      <c r="C1874" s="2" t="str" cm="1">
        <f t="array" ref="C18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4">
        <f>YEAR(AllData[[#This Row],[Date]])</f>
        <v>2024</v>
      </c>
      <c r="E1874" s="1">
        <v>0.4375</v>
      </c>
      <c r="F1874" t="str">
        <f>IF(AND(AllData[[#This Row],[Time]]&lt;0.5, AllData[[#This Row],[Time]]&gt;0.17)=TRUE, "Morning", IF(AND(AllData[[#This Row],[Time]]&lt;0.75, AllData[[#This Row],[Time]]&gt;=0.5)=TRUE, "Afternoon", IF(AND(AllData[[#This Row],[Time]]&lt;1, AllData[[#This Row],[Time]]&gt;=0.75)=TRUE, "Evening", "Night")))</f>
        <v>Morning</v>
      </c>
      <c r="G1874" t="str">
        <f>_xlfn.XLOOKUP(AllData[[#This Row],[Location Name]], Locations[Location Name],Locations[Group As])</f>
        <v>Site 1  :  Middle Street</v>
      </c>
      <c r="H1874" t="e" vm="1">
        <f>_xlfn.XLOOKUP(AllData[[#This Row],[Site Name]],LocationsKey[Site Name],LocationsKey[District])</f>
        <v>#VALUE!</v>
      </c>
      <c r="I1874" t="e" vm="14">
        <f>_xlfn.XLOOKUP(AllData[[#This Row],[Site Name]],LocationsKey[Site Name],LocationsKey[Town])</f>
        <v>#VALUE!</v>
      </c>
      <c r="J1874" t="str">
        <f>_xlfn.XLOOKUP(AllData[[#This Row],[Site Name]],LocationsKey[Site Name], LocationsKey[Waterway])</f>
        <v>Fosseway Brook</v>
      </c>
      <c r="K1874" t="s">
        <v>678</v>
      </c>
      <c r="L1874">
        <v>52.090085000000002</v>
      </c>
      <c r="M1874">
        <v>-1.692593</v>
      </c>
      <c r="N1874" t="s">
        <v>68</v>
      </c>
      <c r="O1874">
        <v>626</v>
      </c>
      <c r="P1874">
        <v>7.8</v>
      </c>
      <c r="Q1874">
        <v>2</v>
      </c>
      <c r="R1874" s="107" t="str">
        <f>IF(AllData[[#This Row],[Nitrate (PPM)]]&gt;2, "Very high", IF(AllData[[#This Row],[Nitrate (PPM)]]&gt;1, "High", IF(AllData[[#This Row],[Nitrate (PPM)]]&gt;0.5, "Some evidence", IF(AllData[[#This Row],[Nitrate (PPM)]]&gt;=0, "No evidence"))))</f>
        <v>High</v>
      </c>
      <c r="S1874">
        <v>7.0000000000000007E-2</v>
      </c>
      <c r="T1874" s="7" t="str">
        <f>IF(AllData[[#This Row],[Phosphate (PPM)]]&gt;0.5, "Very high", IF(AllData[[#This Row],[Phosphate (PPM)]]&gt;0.1, "High", IF(AllData[[#This Row],[Phosphate (PPM)]]&gt;0.05, "Some evidence", IF(AllData[[#This Row],[Phosphate (PPM)]]&lt;=0.05, "No Evidence", ""))))</f>
        <v>Some evidence</v>
      </c>
      <c r="U1874">
        <v>0.05</v>
      </c>
    </row>
    <row r="1875" spans="1:22" x14ac:dyDescent="0.35">
      <c r="A1875" t="s">
        <v>803</v>
      </c>
      <c r="B1875" s="143">
        <v>45354</v>
      </c>
      <c r="C1875" s="2" t="str" cm="1">
        <f t="array" ref="C18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5">
        <f>YEAR(AllData[[#This Row],[Date]])</f>
        <v>2024</v>
      </c>
      <c r="E1875" s="1"/>
      <c r="F1875" t="str">
        <f>IF(AND(AllData[[#This Row],[Time]]&lt;0.5, AllData[[#This Row],[Time]]&gt;0.17)=TRUE, "Morning", IF(AND(AllData[[#This Row],[Time]]&lt;0.75, AllData[[#This Row],[Time]]&gt;=0.5)=TRUE, "Afternoon", IF(AND(AllData[[#This Row],[Time]]&lt;1, AllData[[#This Row],[Time]]&gt;=0.75)=TRUE, "Evening", "Night")))</f>
        <v>Night</v>
      </c>
      <c r="G1875" t="str">
        <f>_xlfn.XLOOKUP(AllData[[#This Row],[Location Name]], Locations[Location Name],Locations[Group As])</f>
        <v>Site 2  :  Cross Leys culvert</v>
      </c>
      <c r="H1875" t="e" vm="1">
        <f>_xlfn.XLOOKUP(AllData[[#This Row],[Site Name]],LocationsKey[Site Name],LocationsKey[District])</f>
        <v>#VALUE!</v>
      </c>
      <c r="I1875" t="e" vm="14">
        <f>_xlfn.XLOOKUP(AllData[[#This Row],[Site Name]],LocationsKey[Site Name],LocationsKey[Town])</f>
        <v>#VALUE!</v>
      </c>
      <c r="J1875" t="str">
        <f>_xlfn.XLOOKUP(AllData[[#This Row],[Site Name]],LocationsKey[Site Name], LocationsKey[Waterway])</f>
        <v>Fosseway Brook</v>
      </c>
      <c r="K1875" t="s">
        <v>626</v>
      </c>
      <c r="L1875">
        <v>52.092967999999999</v>
      </c>
      <c r="M1875">
        <v>-1.6862710000000001</v>
      </c>
      <c r="N1875" t="s">
        <v>68</v>
      </c>
      <c r="O1875">
        <v>619</v>
      </c>
      <c r="P1875">
        <v>7.7</v>
      </c>
      <c r="Q1875">
        <v>2</v>
      </c>
      <c r="R1875" s="107" t="str">
        <f>IF(AllData[[#This Row],[Nitrate (PPM)]]&gt;2, "Very high", IF(AllData[[#This Row],[Nitrate (PPM)]]&gt;1, "High", IF(AllData[[#This Row],[Nitrate (PPM)]]&gt;0.5, "Some evidence", IF(AllData[[#This Row],[Nitrate (PPM)]]&gt;=0, "No evidence"))))</f>
        <v>High</v>
      </c>
      <c r="S1875" s="4">
        <v>0.35</v>
      </c>
      <c r="T1875" s="7" t="str">
        <f>IF(AllData[[#This Row],[Phosphate (PPM)]]&gt;0.5, "Very high", IF(AllData[[#This Row],[Phosphate (PPM)]]&gt;0.1, "High", IF(AllData[[#This Row],[Phosphate (PPM)]]&gt;0.05, "Some evidence", IF(AllData[[#This Row],[Phosphate (PPM)]]&lt;=0.05, "No Evidence", ""))))</f>
        <v>High</v>
      </c>
      <c r="V1875" t="s">
        <v>703</v>
      </c>
    </row>
    <row r="1876" spans="1:22" x14ac:dyDescent="0.35">
      <c r="A1876" t="s">
        <v>802</v>
      </c>
      <c r="B1876" s="143">
        <v>45354</v>
      </c>
      <c r="C1876" s="2" t="str" cm="1">
        <f t="array" ref="C18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6">
        <f>YEAR(AllData[[#This Row],[Date]])</f>
        <v>2024</v>
      </c>
      <c r="F1876" t="str">
        <f>IF(AND(AllData[[#This Row],[Time]]&lt;0.5, AllData[[#This Row],[Time]]&gt;0.17)=TRUE, "Morning", IF(AND(AllData[[#This Row],[Time]]&lt;0.75, AllData[[#This Row],[Time]]&gt;=0.5)=TRUE, "Afternoon", IF(AND(AllData[[#This Row],[Time]]&lt;1, AllData[[#This Row],[Time]]&gt;=0.75)=TRUE, "Evening", "Night")))</f>
        <v>Night</v>
      </c>
      <c r="G1876" t="str">
        <f>_xlfn.XLOOKUP(AllData[[#This Row],[Location Name]], Locations[Location Name],Locations[Group As])</f>
        <v>Site 2  :  Cross Leys culvert</v>
      </c>
      <c r="H1876" t="e" vm="1">
        <f>_xlfn.XLOOKUP(AllData[[#This Row],[Site Name]],LocationsKey[Site Name],LocationsKey[District])</f>
        <v>#VALUE!</v>
      </c>
      <c r="I1876" t="e" vm="14">
        <f>_xlfn.XLOOKUP(AllData[[#This Row],[Site Name]],LocationsKey[Site Name],LocationsKey[Town])</f>
        <v>#VALUE!</v>
      </c>
      <c r="J1876" t="str">
        <f>_xlfn.XLOOKUP(AllData[[#This Row],[Site Name]],LocationsKey[Site Name], LocationsKey[Waterway])</f>
        <v>Fosseway Brook</v>
      </c>
      <c r="K1876" t="s">
        <v>623</v>
      </c>
      <c r="L1876">
        <v>52.092967999999999</v>
      </c>
      <c r="M1876">
        <v>-1.6862710000000001</v>
      </c>
      <c r="N1876" t="s">
        <v>68</v>
      </c>
      <c r="O1876">
        <v>619</v>
      </c>
      <c r="P1876">
        <v>7.7</v>
      </c>
      <c r="Q1876">
        <v>2</v>
      </c>
      <c r="R1876" s="107" t="str">
        <f>IF(AllData[[#This Row],[Nitrate (PPM)]]&gt;2, "Very high", IF(AllData[[#This Row],[Nitrate (PPM)]]&gt;1, "High", IF(AllData[[#This Row],[Nitrate (PPM)]]&gt;0.5, "Some evidence", IF(AllData[[#This Row],[Nitrate (PPM)]]&gt;=0, "No evidence"))))</f>
        <v>High</v>
      </c>
      <c r="S1876" s="4">
        <v>0.35</v>
      </c>
      <c r="T1876" s="7" t="str">
        <f>IF(AllData[[#This Row],[Phosphate (PPM)]]&gt;0.5, "Very high", IF(AllData[[#This Row],[Phosphate (PPM)]]&gt;0.1, "High", IF(AllData[[#This Row],[Phosphate (PPM)]]&gt;0.05, "Some evidence", IF(AllData[[#This Row],[Phosphate (PPM)]]&lt;=0.05, "No Evidence", ""))))</f>
        <v>High</v>
      </c>
      <c r="U1876">
        <v>0</v>
      </c>
      <c r="V1876" t="s">
        <v>701</v>
      </c>
    </row>
    <row r="1877" spans="1:22" x14ac:dyDescent="0.35">
      <c r="A1877" t="s">
        <v>783</v>
      </c>
      <c r="B1877" s="143">
        <v>45353</v>
      </c>
      <c r="C1877" s="2" t="str" cm="1">
        <f t="array" ref="C18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7">
        <f>YEAR(AllData[[#This Row],[Date]])</f>
        <v>2024</v>
      </c>
      <c r="E1877" s="1">
        <v>0.69930555555555551</v>
      </c>
      <c r="F1877" t="str">
        <f>IF(AND(AllData[[#This Row],[Time]]&lt;0.5, AllData[[#This Row],[Time]]&gt;0.17)=TRUE, "Morning", IF(AND(AllData[[#This Row],[Time]]&lt;0.75, AllData[[#This Row],[Time]]&gt;=0.5)=TRUE, "Afternoon", IF(AND(AllData[[#This Row],[Time]]&lt;1, AllData[[#This Row],[Time]]&gt;=0.75)=TRUE, "Evening", "Night")))</f>
        <v>Afternoon</v>
      </c>
      <c r="G1877" t="str">
        <f>_xlfn.XLOOKUP(AllData[[#This Row],[Location Name]], Locations[Location Name],Locations[Group As])</f>
        <v>Avon Smiths Meadow Wyre Piddle</v>
      </c>
      <c r="H1877" t="e" vm="6">
        <f>_xlfn.XLOOKUP(AllData[[#This Row],[Site Name]],LocationsKey[Site Name],LocationsKey[District])</f>
        <v>#VALUE!</v>
      </c>
      <c r="I1877" t="e" vm="13">
        <f>_xlfn.XLOOKUP(AllData[[#This Row],[Site Name]],LocationsKey[Site Name],LocationsKey[Town])</f>
        <v>#VALUE!</v>
      </c>
      <c r="J1877" t="str">
        <f>_xlfn.XLOOKUP(AllData[[#This Row],[Site Name]],LocationsKey[Site Name], LocationsKey[Waterway])</f>
        <v>Avon</v>
      </c>
      <c r="K1877" t="s">
        <v>784</v>
      </c>
      <c r="L1877">
        <v>52.122912999999997</v>
      </c>
      <c r="M1877">
        <v>-2.0574750000000002</v>
      </c>
      <c r="N1877" t="s">
        <v>25</v>
      </c>
      <c r="O1877">
        <v>704</v>
      </c>
      <c r="P1877">
        <v>7.4</v>
      </c>
      <c r="Q1877">
        <v>5</v>
      </c>
      <c r="R1877" s="107" t="str">
        <f>IF(AllData[[#This Row],[Nitrate (PPM)]]&gt;2, "Very high", IF(AllData[[#This Row],[Nitrate (PPM)]]&gt;1, "High", IF(AllData[[#This Row],[Nitrate (PPM)]]&gt;0.5, "Some evidence", IF(AllData[[#This Row],[Nitrate (PPM)]]&gt;=0, "No evidence"))))</f>
        <v>Very high</v>
      </c>
      <c r="S1877" s="4">
        <v>0.44</v>
      </c>
      <c r="T1877" s="7" t="str">
        <f>IF(AllData[[#This Row],[Phosphate (PPM)]]&gt;0.5, "Very high", IF(AllData[[#This Row],[Phosphate (PPM)]]&gt;0.1, "High", IF(AllData[[#This Row],[Phosphate (PPM)]]&gt;0.05, "Some evidence", IF(AllData[[#This Row],[Phosphate (PPM)]]&lt;=0.05, "No Evidence", ""))))</f>
        <v>High</v>
      </c>
      <c r="U1877">
        <v>2</v>
      </c>
      <c r="V1877" t="s">
        <v>785</v>
      </c>
    </row>
    <row r="1878" spans="1:22" x14ac:dyDescent="0.35">
      <c r="A1878" t="s">
        <v>780</v>
      </c>
      <c r="B1878" s="143">
        <v>45353</v>
      </c>
      <c r="C1878" s="2" t="str" cm="1">
        <f t="array" ref="C18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8">
        <f>YEAR(AllData[[#This Row],[Date]])</f>
        <v>2024</v>
      </c>
      <c r="E1878" s="1">
        <v>0.44097222222222221</v>
      </c>
      <c r="F1878" t="str">
        <f>IF(AND(AllData[[#This Row],[Time]]&lt;0.5, AllData[[#This Row],[Time]]&gt;0.17)=TRUE, "Morning", IF(AND(AllData[[#This Row],[Time]]&lt;0.75, AllData[[#This Row],[Time]]&gt;=0.5)=TRUE, "Afternoon", IF(AND(AllData[[#This Row],[Time]]&lt;1, AllData[[#This Row],[Time]]&gt;=0.75)=TRUE, "Evening", "Night")))</f>
        <v>Morning</v>
      </c>
      <c r="G1878" t="str">
        <f>_xlfn.XLOOKUP(AllData[[#This Row],[Location Name]], Locations[Location Name],Locations[Group As])</f>
        <v>Lucy's Mill Bridge</v>
      </c>
      <c r="H1878" t="e" vm="1">
        <f>_xlfn.XLOOKUP(AllData[[#This Row],[Site Name]],LocationsKey[Site Name],LocationsKey[District])</f>
        <v>#VALUE!</v>
      </c>
      <c r="I1878" t="e" vm="12">
        <f>_xlfn.XLOOKUP(AllData[[#This Row],[Site Name]],LocationsKey[Site Name],LocationsKey[Town])</f>
        <v>#VALUE!</v>
      </c>
      <c r="J1878" t="str">
        <f>_xlfn.XLOOKUP(AllData[[#This Row],[Site Name]],LocationsKey[Site Name], LocationsKey[Waterway])</f>
        <v>Avon</v>
      </c>
      <c r="K1878" t="s">
        <v>212</v>
      </c>
      <c r="L1878">
        <v>52.183698999999997</v>
      </c>
      <c r="M1878">
        <v>-1.707816</v>
      </c>
      <c r="N1878" t="s">
        <v>31</v>
      </c>
      <c r="P1878">
        <v>8</v>
      </c>
      <c r="Q1878">
        <v>5</v>
      </c>
      <c r="R1878" s="107" t="str">
        <f>IF(AllData[[#This Row],[Nitrate (PPM)]]&gt;2, "Very high", IF(AllData[[#This Row],[Nitrate (PPM)]]&gt;1, "High", IF(AllData[[#This Row],[Nitrate (PPM)]]&gt;0.5, "Some evidence", IF(AllData[[#This Row],[Nitrate (PPM)]]&gt;=0, "No evidence"))))</f>
        <v>Very high</v>
      </c>
      <c r="S1878" s="4">
        <v>0.06</v>
      </c>
      <c r="T1878" s="7" t="str">
        <f>IF(AllData[[#This Row],[Phosphate (PPM)]]&gt;0.5, "Very high", IF(AllData[[#This Row],[Phosphate (PPM)]]&gt;0.1, "High", IF(AllData[[#This Row],[Phosphate (PPM)]]&gt;0.05, "Some evidence", IF(AllData[[#This Row],[Phosphate (PPM)]]&lt;=0.05, "No Evidence", ""))))</f>
        <v>Some evidence</v>
      </c>
      <c r="U1878">
        <v>0.7</v>
      </c>
    </row>
    <row r="1879" spans="1:22" x14ac:dyDescent="0.35">
      <c r="A1879" t="s">
        <v>786</v>
      </c>
      <c r="B1879" s="143">
        <v>45353</v>
      </c>
      <c r="C1879" s="2" t="str" cm="1">
        <f t="array" ref="C18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79">
        <f>YEAR(AllData[[#This Row],[Date]])</f>
        <v>2024</v>
      </c>
      <c r="E1879" s="1">
        <v>0.73888888888888893</v>
      </c>
      <c r="F1879" t="str">
        <f>IF(AND(AllData[[#This Row],[Time]]&lt;0.5, AllData[[#This Row],[Time]]&gt;0.17)=TRUE, "Morning", IF(AND(AllData[[#This Row],[Time]]&lt;0.75, AllData[[#This Row],[Time]]&gt;=0.5)=TRUE, "Afternoon", IF(AND(AllData[[#This Row],[Time]]&lt;1, AllData[[#This Row],[Time]]&gt;=0.75)=TRUE, "Evening", "Night")))</f>
        <v>Afternoon</v>
      </c>
      <c r="G1879" t="str">
        <f>_xlfn.XLOOKUP(AllData[[#This Row],[Location Name]], Locations[Location Name],Locations[Group As])</f>
        <v>Piddle Brook Wyre Piddle Bridge</v>
      </c>
      <c r="H1879" t="e" vm="6">
        <f>_xlfn.XLOOKUP(AllData[[#This Row],[Site Name]],LocationsKey[Site Name],LocationsKey[District])</f>
        <v>#VALUE!</v>
      </c>
      <c r="I1879" t="e" vm="13">
        <f>_xlfn.XLOOKUP(AllData[[#This Row],[Site Name]],LocationsKey[Site Name],LocationsKey[Town])</f>
        <v>#VALUE!</v>
      </c>
      <c r="J1879" t="str">
        <f>_xlfn.XLOOKUP(AllData[[#This Row],[Site Name]],LocationsKey[Site Name], LocationsKey[Waterway])</f>
        <v>Piddle Brook</v>
      </c>
      <c r="K1879" t="s">
        <v>787</v>
      </c>
      <c r="L1879">
        <v>52.126317</v>
      </c>
      <c r="M1879">
        <v>-2.0561219999999998</v>
      </c>
      <c r="N1879" t="s">
        <v>25</v>
      </c>
      <c r="O1879">
        <v>572</v>
      </c>
      <c r="P1879">
        <v>5.9</v>
      </c>
      <c r="Q1879">
        <v>2</v>
      </c>
      <c r="R1879" s="107" t="str">
        <f>IF(AllData[[#This Row],[Nitrate (PPM)]]&gt;2, "Very high", IF(AllData[[#This Row],[Nitrate (PPM)]]&gt;1, "High", IF(AllData[[#This Row],[Nitrate (PPM)]]&gt;0.5, "Some evidence", IF(AllData[[#This Row],[Nitrate (PPM)]]&gt;=0, "No evidence"))))</f>
        <v>High</v>
      </c>
      <c r="S1879" s="4">
        <v>1.36</v>
      </c>
      <c r="T1879" s="7" t="str">
        <f>IF(AllData[[#This Row],[Phosphate (PPM)]]&gt;0.5, "Very high", IF(AllData[[#This Row],[Phosphate (PPM)]]&gt;0.1, "High", IF(AllData[[#This Row],[Phosphate (PPM)]]&gt;0.05, "Some evidence", IF(AllData[[#This Row],[Phosphate (PPM)]]&lt;=0.05, "No Evidence", ""))))</f>
        <v>Very high</v>
      </c>
      <c r="U1879">
        <v>0.95</v>
      </c>
      <c r="V1879" t="s">
        <v>788</v>
      </c>
    </row>
    <row r="1880" spans="1:22" x14ac:dyDescent="0.35">
      <c r="A1880" t="s">
        <v>781</v>
      </c>
      <c r="B1880" s="143">
        <v>45353</v>
      </c>
      <c r="C1880" s="2" t="str" cm="1">
        <f t="array" ref="C18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0">
        <f>YEAR(AllData[[#This Row],[Date]])</f>
        <v>2024</v>
      </c>
      <c r="E1880" s="1">
        <v>0.53888888888888886</v>
      </c>
      <c r="F1880" t="str">
        <f>IF(AND(AllData[[#This Row],[Time]]&lt;0.5, AllData[[#This Row],[Time]]&gt;0.17)=TRUE, "Morning", IF(AND(AllData[[#This Row],[Time]]&lt;0.75, AllData[[#This Row],[Time]]&gt;=0.5)=TRUE, "Afternoon", IF(AND(AllData[[#This Row],[Time]]&lt;1, AllData[[#This Row],[Time]]&gt;=0.75)=TRUE, "Evening", "Night")))</f>
        <v>Afternoon</v>
      </c>
      <c r="G1880" t="str">
        <f>_xlfn.XLOOKUP(AllData[[#This Row],[Location Name]], Locations[Location Name],Locations[Group As])</f>
        <v>Stour Willington</v>
      </c>
      <c r="H1880" t="e" vm="1">
        <f>_xlfn.XLOOKUP(AllData[[#This Row],[Site Name]],LocationsKey[Site Name],LocationsKey[District])</f>
        <v>#VALUE!</v>
      </c>
      <c r="I1880" t="str">
        <f>_xlfn.XLOOKUP(AllData[[#This Row],[Site Name]],LocationsKey[Site Name],LocationsKey[Town])</f>
        <v>Willington</v>
      </c>
      <c r="J1880" t="str">
        <f>_xlfn.XLOOKUP(AllData[[#This Row],[Site Name]],LocationsKey[Site Name], LocationsKey[Waterway])</f>
        <v>Stour</v>
      </c>
      <c r="K1880" t="s">
        <v>521</v>
      </c>
      <c r="L1880">
        <v>52.053559999999997</v>
      </c>
      <c r="M1880">
        <v>-1.620152</v>
      </c>
      <c r="N1880" t="s">
        <v>25</v>
      </c>
      <c r="O1880">
        <v>383</v>
      </c>
      <c r="P1880">
        <v>8.6999999999999993</v>
      </c>
      <c r="Q1880">
        <v>2</v>
      </c>
      <c r="R1880" s="107" t="str">
        <f>IF(AllData[[#This Row],[Nitrate (PPM)]]&gt;2, "Very high", IF(AllData[[#This Row],[Nitrate (PPM)]]&gt;1, "High", IF(AllData[[#This Row],[Nitrate (PPM)]]&gt;0.5, "Some evidence", IF(AllData[[#This Row],[Nitrate (PPM)]]&gt;=0, "No evidence"))))</f>
        <v>High</v>
      </c>
      <c r="S1880" s="4">
        <v>0.22</v>
      </c>
      <c r="T1880" s="7" t="str">
        <f>IF(AllData[[#This Row],[Phosphate (PPM)]]&gt;0.5, "Very high", IF(AllData[[#This Row],[Phosphate (PPM)]]&gt;0.1, "High", IF(AllData[[#This Row],[Phosphate (PPM)]]&gt;0.05, "Some evidence", IF(AllData[[#This Row],[Phosphate (PPM)]]&lt;=0.05, "No Evidence", ""))))</f>
        <v>High</v>
      </c>
      <c r="U1880">
        <v>1.5</v>
      </c>
      <c r="V1880" t="s">
        <v>782</v>
      </c>
    </row>
    <row r="1881" spans="1:22" x14ac:dyDescent="0.35">
      <c r="A1881" t="s">
        <v>774</v>
      </c>
      <c r="B1881" s="143">
        <v>45352</v>
      </c>
      <c r="C1881" s="2" t="str" cm="1">
        <f t="array" ref="C18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1">
        <f>YEAR(AllData[[#This Row],[Date]])</f>
        <v>2024</v>
      </c>
      <c r="E1881" s="1">
        <v>0.50277777777777777</v>
      </c>
      <c r="F1881" t="str">
        <f>IF(AND(AllData[[#This Row],[Time]]&lt;0.5, AllData[[#This Row],[Time]]&gt;0.17)=TRUE, "Morning", IF(AND(AllData[[#This Row],[Time]]&lt;0.75, AllData[[#This Row],[Time]]&gt;=0.5)=TRUE, "Afternoon", IF(AND(AllData[[#This Row],[Time]]&lt;1, AllData[[#This Row],[Time]]&gt;=0.75)=TRUE, "Evening", "Night")))</f>
        <v>Afternoon</v>
      </c>
      <c r="G1881" t="str">
        <f>_xlfn.XLOOKUP(AllData[[#This Row],[Location Name]], Locations[Location Name],Locations[Group As])</f>
        <v>Walcot Lane, Bow Brook Ford</v>
      </c>
      <c r="H1881" t="e" vm="6">
        <f>_xlfn.XLOOKUP(AllData[[#This Row],[Site Name]],LocationsKey[Site Name],LocationsKey[District])</f>
        <v>#VALUE!</v>
      </c>
      <c r="I1881" t="e" vm="7">
        <f>_xlfn.XLOOKUP(AllData[[#This Row],[Site Name]],LocationsKey[Site Name],LocationsKey[Town])</f>
        <v>#VALUE!</v>
      </c>
      <c r="J1881" t="str">
        <f>_xlfn.XLOOKUP(AllData[[#This Row],[Site Name]],LocationsKey[Site Name], LocationsKey[Waterway])</f>
        <v>Bow Brook</v>
      </c>
      <c r="K1881" t="s">
        <v>775</v>
      </c>
      <c r="L1881">
        <v>52.130479999999999</v>
      </c>
      <c r="M1881">
        <v>-2.0785809999999998</v>
      </c>
      <c r="N1881" t="s">
        <v>25</v>
      </c>
      <c r="O1881">
        <v>693</v>
      </c>
      <c r="P1881">
        <v>9.1</v>
      </c>
      <c r="Q1881">
        <v>5</v>
      </c>
      <c r="R1881" s="107" t="str">
        <f>IF(AllData[[#This Row],[Nitrate (PPM)]]&gt;2, "Very high", IF(AllData[[#This Row],[Nitrate (PPM)]]&gt;1, "High", IF(AllData[[#This Row],[Nitrate (PPM)]]&gt;0.5, "Some evidence", IF(AllData[[#This Row],[Nitrate (PPM)]]&gt;=0, "No evidence"))))</f>
        <v>Very high</v>
      </c>
      <c r="S1881" s="4">
        <v>0.7</v>
      </c>
      <c r="T1881" s="7" t="str">
        <f>IF(AllData[[#This Row],[Phosphate (PPM)]]&gt;0.5, "Very high", IF(AllData[[#This Row],[Phosphate (PPM)]]&gt;0.1, "High", IF(AllData[[#This Row],[Phosphate (PPM)]]&gt;0.05, "Some evidence", IF(AllData[[#This Row],[Phosphate (PPM)]]&lt;=0.05, "No Evidence", ""))))</f>
        <v>Very high</v>
      </c>
      <c r="U1881">
        <v>0.9</v>
      </c>
      <c r="V1881" t="s">
        <v>776</v>
      </c>
    </row>
    <row r="1882" spans="1:22" x14ac:dyDescent="0.35">
      <c r="A1882" t="s">
        <v>777</v>
      </c>
      <c r="B1882" s="143">
        <v>45352</v>
      </c>
      <c r="C1882" s="2" t="str" cm="1">
        <f t="array" ref="C18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2">
        <f>YEAR(AllData[[#This Row],[Date]])</f>
        <v>2024</v>
      </c>
      <c r="E1882" s="1">
        <v>0.52569444444444446</v>
      </c>
      <c r="F1882" t="str">
        <f>IF(AND(AllData[[#This Row],[Time]]&lt;0.5, AllData[[#This Row],[Time]]&gt;0.17)=TRUE, "Morning", IF(AND(AllData[[#This Row],[Time]]&lt;0.75, AllData[[#This Row],[Time]]&gt;=0.5)=TRUE, "Afternoon", IF(AND(AllData[[#This Row],[Time]]&lt;1, AllData[[#This Row],[Time]]&gt;=0.75)=TRUE, "Evening", "Night")))</f>
        <v>Afternoon</v>
      </c>
      <c r="G1882" t="str">
        <f>_xlfn.XLOOKUP(AllData[[#This Row],[Location Name]], Locations[Location Name],Locations[Group As])</f>
        <v>Preston-on-Stour River Bridge</v>
      </c>
      <c r="H1882" t="e" vm="1">
        <f>_xlfn.XLOOKUP(AllData[[#This Row],[Site Name]],LocationsKey[Site Name],LocationsKey[District])</f>
        <v>#VALUE!</v>
      </c>
      <c r="I1882" t="e" vm="20">
        <f>_xlfn.XLOOKUP(AllData[[#This Row],[Site Name]],LocationsKey[Site Name],LocationsKey[Town])</f>
        <v>#VALUE!</v>
      </c>
      <c r="J1882" t="str">
        <f>_xlfn.XLOOKUP(AllData[[#This Row],[Site Name]],LocationsKey[Site Name], LocationsKey[Waterway])</f>
        <v>Stour</v>
      </c>
      <c r="K1882" t="s">
        <v>164</v>
      </c>
      <c r="L1882">
        <v>52.146528000000004</v>
      </c>
      <c r="M1882">
        <v>-1.699854</v>
      </c>
      <c r="N1882" t="s">
        <v>31</v>
      </c>
      <c r="O1882">
        <v>623</v>
      </c>
      <c r="P1882">
        <v>7.8</v>
      </c>
      <c r="Q1882">
        <v>5</v>
      </c>
      <c r="R1882" s="107" t="str">
        <f>IF(AllData[[#This Row],[Nitrate (PPM)]]&gt;2, "Very high", IF(AllData[[#This Row],[Nitrate (PPM)]]&gt;1, "High", IF(AllData[[#This Row],[Nitrate (PPM)]]&gt;0.5, "Some evidence", IF(AllData[[#This Row],[Nitrate (PPM)]]&gt;=0, "No evidence"))))</f>
        <v>Very high</v>
      </c>
      <c r="S1882" s="4">
        <v>0.32</v>
      </c>
      <c r="T1882" s="7" t="str">
        <f>IF(AllData[[#This Row],[Phosphate (PPM)]]&gt;0.5, "Very high", IF(AllData[[#This Row],[Phosphate (PPM)]]&gt;0.1, "High", IF(AllData[[#This Row],[Phosphate (PPM)]]&gt;0.05, "Some evidence", IF(AllData[[#This Row],[Phosphate (PPM)]]&lt;=0.05, "No Evidence", ""))))</f>
        <v>High</v>
      </c>
      <c r="U1882">
        <v>1.5</v>
      </c>
    </row>
    <row r="1883" spans="1:22" x14ac:dyDescent="0.35">
      <c r="A1883" t="s">
        <v>779</v>
      </c>
      <c r="B1883" s="143">
        <v>45352</v>
      </c>
      <c r="C1883" s="2" t="str" cm="1">
        <f t="array" ref="C18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3">
        <f>YEAR(AllData[[#This Row],[Date]])</f>
        <v>2024</v>
      </c>
      <c r="E1883" s="1">
        <v>0.65972222222222221</v>
      </c>
      <c r="F1883" t="str">
        <f>IF(AND(AllData[[#This Row],[Time]]&lt;0.5, AllData[[#This Row],[Time]]&gt;0.17)=TRUE, "Morning", IF(AND(AllData[[#This Row],[Time]]&lt;0.75, AllData[[#This Row],[Time]]&gt;=0.5)=TRUE, "Afternoon", IF(AND(AllData[[#This Row],[Time]]&lt;1, AllData[[#This Row],[Time]]&gt;=0.75)=TRUE, "Evening", "Night")))</f>
        <v>Afternoon</v>
      </c>
      <c r="G1883" t="str">
        <f>_xlfn.XLOOKUP(AllData[[#This Row],[Location Name]], Locations[Location Name],Locations[Group As])</f>
        <v>Preston Bagot Brook</v>
      </c>
      <c r="H1883" t="e" vm="1">
        <f>_xlfn.XLOOKUP(AllData[[#This Row],[Site Name]],LocationsKey[Site Name],LocationsKey[District])</f>
        <v>#VALUE!</v>
      </c>
      <c r="I1883" t="e" vm="21">
        <f>_xlfn.XLOOKUP(AllData[[#This Row],[Site Name]],LocationsKey[Site Name],LocationsKey[Town])</f>
        <v>#VALUE!</v>
      </c>
      <c r="J1883" t="str">
        <f>_xlfn.XLOOKUP(AllData[[#This Row],[Site Name]],LocationsKey[Site Name], LocationsKey[Waterway])</f>
        <v>Preston Bagot Brook</v>
      </c>
      <c r="K1883" t="s">
        <v>621</v>
      </c>
      <c r="L1883">
        <v>52.286200000000001</v>
      </c>
      <c r="M1883">
        <v>-1.7478</v>
      </c>
      <c r="N1883" t="s">
        <v>25</v>
      </c>
      <c r="O1883">
        <v>457</v>
      </c>
      <c r="P1883">
        <v>10.1</v>
      </c>
      <c r="Q1883">
        <v>2</v>
      </c>
      <c r="R1883" s="107" t="str">
        <f>IF(AllData[[#This Row],[Nitrate (PPM)]]&gt;2, "Very high", IF(AllData[[#This Row],[Nitrate (PPM)]]&gt;1, "High", IF(AllData[[#This Row],[Nitrate (PPM)]]&gt;0.5, "Some evidence", IF(AllData[[#This Row],[Nitrate (PPM)]]&gt;=0, "No evidence"))))</f>
        <v>High</v>
      </c>
      <c r="S1883" s="4">
        <v>0.61</v>
      </c>
      <c r="T1883" s="7" t="str">
        <f>IF(AllData[[#This Row],[Phosphate (PPM)]]&gt;0.5, "Very high", IF(AllData[[#This Row],[Phosphate (PPM)]]&gt;0.1, "High", IF(AllData[[#This Row],[Phosphate (PPM)]]&gt;0.05, "Some evidence", IF(AllData[[#This Row],[Phosphate (PPM)]]&lt;=0.05, "No Evidence", ""))))</f>
        <v>Very high</v>
      </c>
      <c r="U1883">
        <v>0</v>
      </c>
      <c r="V1883" t="s">
        <v>739</v>
      </c>
    </row>
    <row r="1884" spans="1:22" x14ac:dyDescent="0.35">
      <c r="A1884" t="s">
        <v>778</v>
      </c>
      <c r="B1884" s="143">
        <v>45352</v>
      </c>
      <c r="C1884" s="2" t="str" cm="1">
        <f t="array" ref="C18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1884">
        <f>YEAR(AllData[[#This Row],[Date]])</f>
        <v>2024</v>
      </c>
      <c r="E1884" s="1">
        <v>0.65277777777777779</v>
      </c>
      <c r="F1884" t="str">
        <f>IF(AND(AllData[[#This Row],[Time]]&lt;0.5, AllData[[#This Row],[Time]]&gt;0.17)=TRUE, "Morning", IF(AND(AllData[[#This Row],[Time]]&lt;0.75, AllData[[#This Row],[Time]]&gt;=0.5)=TRUE, "Afternoon", IF(AND(AllData[[#This Row],[Time]]&lt;1, AllData[[#This Row],[Time]]&gt;=0.75)=TRUE, "Evening", "Night")))</f>
        <v>Afternoon</v>
      </c>
      <c r="G1884" t="str">
        <f>_xlfn.XLOOKUP(AllData[[#This Row],[Location Name]], Locations[Location Name],Locations[Group As])</f>
        <v>Preston Bagot Canal</v>
      </c>
      <c r="H1884" t="e" vm="1">
        <f>_xlfn.XLOOKUP(AllData[[#This Row],[Site Name]],LocationsKey[Site Name],LocationsKey[District])</f>
        <v>#VALUE!</v>
      </c>
      <c r="I1884" t="e" vm="21">
        <f>_xlfn.XLOOKUP(AllData[[#This Row],[Site Name]],LocationsKey[Site Name],LocationsKey[Town])</f>
        <v>#VALUE!</v>
      </c>
      <c r="J1884" t="str">
        <f>_xlfn.XLOOKUP(AllData[[#This Row],[Site Name]],LocationsKey[Site Name], LocationsKey[Waterway])</f>
        <v>Preston Bagot Canal</v>
      </c>
      <c r="K1884" t="s">
        <v>618</v>
      </c>
      <c r="N1884" t="s">
        <v>25</v>
      </c>
      <c r="O1884">
        <v>295</v>
      </c>
      <c r="P1884">
        <v>9.1</v>
      </c>
      <c r="Q1884">
        <v>1.5</v>
      </c>
      <c r="R1884" s="107" t="str">
        <f>IF(AllData[[#This Row],[Nitrate (PPM)]]&gt;2, "Very high", IF(AllData[[#This Row],[Nitrate (PPM)]]&gt;1, "High", IF(AllData[[#This Row],[Nitrate (PPM)]]&gt;0.5, "Some evidence", IF(AllData[[#This Row],[Nitrate (PPM)]]&gt;=0, "No evidence"))))</f>
        <v>High</v>
      </c>
      <c r="S1884" s="4">
        <v>0.51</v>
      </c>
      <c r="T1884" s="7" t="str">
        <f>IF(AllData[[#This Row],[Phosphate (PPM)]]&gt;0.5, "Very high", IF(AllData[[#This Row],[Phosphate (PPM)]]&gt;0.1, "High", IF(AllData[[#This Row],[Phosphate (PPM)]]&gt;0.05, "Some evidence", IF(AllData[[#This Row],[Phosphate (PPM)]]&lt;=0.05, "No Evidence", ""))))</f>
        <v>Very high</v>
      </c>
      <c r="U1884">
        <v>0</v>
      </c>
      <c r="V1884" t="s">
        <v>739</v>
      </c>
    </row>
    <row r="1885" spans="1:22" x14ac:dyDescent="0.35">
      <c r="A1885" t="s">
        <v>773</v>
      </c>
      <c r="B1885" s="143">
        <v>45351</v>
      </c>
      <c r="C1885" s="2" t="str" cm="1">
        <f t="array" ref="C18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85">
        <v>2023</v>
      </c>
      <c r="E1885" s="1">
        <v>0.4375</v>
      </c>
      <c r="F1885" t="str">
        <f>IF(AND(AllData[[#This Row],[Time]]&lt;0.5, AllData[[#This Row],[Time]]&gt;0.17)=TRUE, "Morning", IF(AND(AllData[[#This Row],[Time]]&lt;0.75, AllData[[#This Row],[Time]]&gt;=0.5)=TRUE, "Afternoon", IF(AND(AllData[[#This Row],[Time]]&lt;1, AllData[[#This Row],[Time]]&gt;=0.75)=TRUE, "Evening", "Night")))</f>
        <v>Morning</v>
      </c>
      <c r="G1885" t="str">
        <f>_xlfn.XLOOKUP(AllData[[#This Row],[Location Name]], Locations[Location Name],Locations[Group As])</f>
        <v>Swilgate</v>
      </c>
      <c r="H1885" t="e" vm="4">
        <f>_xlfn.XLOOKUP(AllData[[#This Row],[Site Name]],LocationsKey[Site Name],LocationsKey[District])</f>
        <v>#VALUE!</v>
      </c>
      <c r="I1885" t="e" vm="4">
        <f>_xlfn.XLOOKUP(AllData[[#This Row],[Site Name]],LocationsKey[Site Name],LocationsKey[Town])</f>
        <v>#VALUE!</v>
      </c>
      <c r="J1885" t="str">
        <f>_xlfn.XLOOKUP(AllData[[#This Row],[Site Name]],LocationsKey[Site Name], LocationsKey[Waterway])</f>
        <v>Swilgate</v>
      </c>
      <c r="K1885" t="s">
        <v>85</v>
      </c>
      <c r="N1885" t="s">
        <v>25</v>
      </c>
      <c r="O1885">
        <v>709</v>
      </c>
      <c r="P1885">
        <v>10.1</v>
      </c>
      <c r="Q1885">
        <v>3</v>
      </c>
      <c r="R1885" s="107" t="str">
        <f>IF(AllData[[#This Row],[Nitrate (PPM)]]&gt;2, "Very high", IF(AllData[[#This Row],[Nitrate (PPM)]]&gt;1, "High", IF(AllData[[#This Row],[Nitrate (PPM)]]&gt;0.5, "Some evidence", IF(AllData[[#This Row],[Nitrate (PPM)]]&gt;=0, "No evidence"))))</f>
        <v>Very high</v>
      </c>
      <c r="S1885" s="4">
        <v>0.47</v>
      </c>
      <c r="T1885" s="7" t="str">
        <f>IF(AllData[[#This Row],[Phosphate (PPM)]]&gt;0.5, "Very high", IF(AllData[[#This Row],[Phosphate (PPM)]]&gt;0.1, "High", IF(AllData[[#This Row],[Phosphate (PPM)]]&gt;0.05, "Some evidence", IF(AllData[[#This Row],[Phosphate (PPM)]]&lt;=0.05, "No Evidence", ""))))</f>
        <v>High</v>
      </c>
      <c r="U1885">
        <v>2</v>
      </c>
    </row>
    <row r="1886" spans="1:22" x14ac:dyDescent="0.35">
      <c r="A1886" t="s">
        <v>771</v>
      </c>
      <c r="B1886" s="143">
        <v>45350</v>
      </c>
      <c r="C1886" s="2" t="str" cm="1">
        <f t="array" ref="C18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86">
        <v>2023</v>
      </c>
      <c r="E1886" s="1">
        <v>0.70833333333333337</v>
      </c>
      <c r="F1886" t="str">
        <f>IF(AND(AllData[[#This Row],[Time]]&lt;0.5, AllData[[#This Row],[Time]]&gt;0.17)=TRUE, "Morning", IF(AND(AllData[[#This Row],[Time]]&lt;0.75, AllData[[#This Row],[Time]]&gt;=0.5)=TRUE, "Afternoon", IF(AND(AllData[[#This Row],[Time]]&lt;1, AllData[[#This Row],[Time]]&gt;=0.75)=TRUE, "Evening", "Night")))</f>
        <v>Afternoon</v>
      </c>
      <c r="G1886" t="str">
        <f>_xlfn.XLOOKUP(AllData[[#This Row],[Location Name]], Locations[Location Name],Locations[Group As])</f>
        <v>Stour Newbold Mill</v>
      </c>
      <c r="H1886" t="e" vm="1">
        <f>_xlfn.XLOOKUP(AllData[[#This Row],[Site Name]],LocationsKey[Site Name],LocationsKey[District])</f>
        <v>#VALUE!</v>
      </c>
      <c r="I1886" t="e" vm="27">
        <f>_xlfn.XLOOKUP(AllData[[#This Row],[Site Name]],LocationsKey[Site Name],LocationsKey[Town])</f>
        <v>#VALUE!</v>
      </c>
      <c r="J1886" t="str">
        <f>_xlfn.XLOOKUP(AllData[[#This Row],[Site Name]],LocationsKey[Site Name], LocationsKey[Waterway])</f>
        <v>Stour</v>
      </c>
      <c r="K1886" t="s">
        <v>141</v>
      </c>
      <c r="L1886">
        <v>52.112834999999997</v>
      </c>
      <c r="M1886">
        <v>-1.633446</v>
      </c>
      <c r="N1886" t="s">
        <v>31</v>
      </c>
      <c r="O1886">
        <v>643</v>
      </c>
      <c r="P1886">
        <v>13</v>
      </c>
      <c r="Q1886">
        <v>5</v>
      </c>
      <c r="R1886" s="107" t="str">
        <f>IF(AllData[[#This Row],[Nitrate (PPM)]]&gt;2, "Very high", IF(AllData[[#This Row],[Nitrate (PPM)]]&gt;1, "High", IF(AllData[[#This Row],[Nitrate (PPM)]]&gt;0.5, "Some evidence", IF(AllData[[#This Row],[Nitrate (PPM)]]&gt;=0, "No evidence"))))</f>
        <v>Very high</v>
      </c>
      <c r="S1886" s="4">
        <v>0.36</v>
      </c>
      <c r="T1886" s="7" t="str">
        <f>IF(AllData[[#This Row],[Phosphate (PPM)]]&gt;0.5, "Very high", IF(AllData[[#This Row],[Phosphate (PPM)]]&gt;0.1, "High", IF(AllData[[#This Row],[Phosphate (PPM)]]&gt;0.05, "Some evidence", IF(AllData[[#This Row],[Phosphate (PPM)]]&lt;=0.05, "No Evidence", ""))))</f>
        <v>High</v>
      </c>
      <c r="U1886">
        <v>2.5</v>
      </c>
      <c r="V1886" t="s">
        <v>772</v>
      </c>
    </row>
    <row r="1887" spans="1:22" x14ac:dyDescent="0.35">
      <c r="A1887" t="s">
        <v>770</v>
      </c>
      <c r="B1887" s="143">
        <v>45350</v>
      </c>
      <c r="C1887" s="2" t="str" cm="1">
        <f t="array" ref="C18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87">
        <v>2023</v>
      </c>
      <c r="E1887" s="1">
        <v>0.60972222222222228</v>
      </c>
      <c r="F1887" t="str">
        <f>IF(AND(AllData[[#This Row],[Time]]&lt;0.5, AllData[[#This Row],[Time]]&gt;0.17)=TRUE, "Morning", IF(AND(AllData[[#This Row],[Time]]&lt;0.75, AllData[[#This Row],[Time]]&gt;=0.5)=TRUE, "Afternoon", IF(AND(AllData[[#This Row],[Time]]&lt;1, AllData[[#This Row],[Time]]&gt;=0.75)=TRUE, "Evening", "Night")))</f>
        <v>Afternoon</v>
      </c>
      <c r="G1887" t="str">
        <f>_xlfn.XLOOKUP(AllData[[#This Row],[Location Name]], Locations[Location Name],Locations[Group As])</f>
        <v>Swiffen Bank</v>
      </c>
      <c r="H1887" t="e" vm="1">
        <f>_xlfn.XLOOKUP(AllData[[#This Row],[Site Name]],LocationsKey[Site Name],LocationsKey[District])</f>
        <v>#VALUE!</v>
      </c>
      <c r="I1887" t="e" vm="2">
        <f>_xlfn.XLOOKUP(AllData[[#This Row],[Site Name]],LocationsKey[Site Name],LocationsKey[Town])</f>
        <v>#VALUE!</v>
      </c>
      <c r="J1887" t="str">
        <f>_xlfn.XLOOKUP(AllData[[#This Row],[Site Name]],LocationsKey[Site Name], LocationsKey[Waterway])</f>
        <v>Avon</v>
      </c>
      <c r="K1887" t="s">
        <v>286</v>
      </c>
      <c r="L1887">
        <v>52.206477999999997</v>
      </c>
      <c r="M1887">
        <v>-1.653894</v>
      </c>
      <c r="N1887" t="s">
        <v>31</v>
      </c>
      <c r="O1887">
        <v>613</v>
      </c>
      <c r="P1887">
        <v>10.4</v>
      </c>
      <c r="Q1887">
        <v>5</v>
      </c>
      <c r="R1887" s="107" t="str">
        <f>IF(AllData[[#This Row],[Nitrate (PPM)]]&gt;2, "Very high", IF(AllData[[#This Row],[Nitrate (PPM)]]&gt;1, "High", IF(AllData[[#This Row],[Nitrate (PPM)]]&gt;0.5, "Some evidence", IF(AllData[[#This Row],[Nitrate (PPM)]]&gt;=0, "No evidence"))))</f>
        <v>Very high</v>
      </c>
      <c r="S1887" s="4">
        <v>0.44</v>
      </c>
      <c r="T1887" s="7" t="str">
        <f>IF(AllData[[#This Row],[Phosphate (PPM)]]&gt;0.5, "Very high", IF(AllData[[#This Row],[Phosphate (PPM)]]&gt;0.1, "High", IF(AllData[[#This Row],[Phosphate (PPM)]]&gt;0.05, "Some evidence", IF(AllData[[#This Row],[Phosphate (PPM)]]&lt;=0.05, "No Evidence", ""))))</f>
        <v>High</v>
      </c>
      <c r="U1887">
        <v>0.5</v>
      </c>
    </row>
    <row r="1888" spans="1:22" x14ac:dyDescent="0.35">
      <c r="A1888" t="s">
        <v>768</v>
      </c>
      <c r="B1888" s="143">
        <v>45350</v>
      </c>
      <c r="C1888" s="2" t="str" cm="1">
        <f t="array" ref="C18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88">
        <v>2023</v>
      </c>
      <c r="E1888" s="1">
        <v>0.6</v>
      </c>
      <c r="F1888" t="str">
        <f>IF(AND(AllData[[#This Row],[Time]]&lt;0.5, AllData[[#This Row],[Time]]&gt;0.17)=TRUE, "Morning", IF(AND(AllData[[#This Row],[Time]]&lt;0.75, AllData[[#This Row],[Time]]&gt;=0.5)=TRUE, "Afternoon", IF(AND(AllData[[#This Row],[Time]]&lt;1, AllData[[#This Row],[Time]]&gt;=0.75)=TRUE, "Evening", "Night")))</f>
        <v>Afternoon</v>
      </c>
      <c r="G1888" t="str">
        <f>_xlfn.XLOOKUP(AllData[[#This Row],[Location Name]], Locations[Location Name],Locations[Group As])</f>
        <v>Alveston Weir</v>
      </c>
      <c r="H1888" t="e" vm="1">
        <f>_xlfn.XLOOKUP(AllData[[#This Row],[Site Name]],LocationsKey[Site Name],LocationsKey[District])</f>
        <v>#VALUE!</v>
      </c>
      <c r="I1888" t="e" vm="2">
        <f>_xlfn.XLOOKUP(AllData[[#This Row],[Site Name]],LocationsKey[Site Name],LocationsKey[Town])</f>
        <v>#VALUE!</v>
      </c>
      <c r="J1888" t="str">
        <f>_xlfn.XLOOKUP(AllData[[#This Row],[Site Name]],LocationsKey[Site Name], LocationsKey[Waterway])</f>
        <v>Avon</v>
      </c>
      <c r="K1888" t="s">
        <v>288</v>
      </c>
      <c r="L1888">
        <v>52.214297999999999</v>
      </c>
      <c r="M1888">
        <v>-1.660155</v>
      </c>
      <c r="N1888" t="s">
        <v>31</v>
      </c>
      <c r="O1888">
        <v>616</v>
      </c>
      <c r="P1888">
        <v>9.1999999999999993</v>
      </c>
      <c r="Q1888">
        <v>2</v>
      </c>
      <c r="R1888" s="107" t="str">
        <f>IF(AllData[[#This Row],[Nitrate (PPM)]]&gt;2, "Very high", IF(AllData[[#This Row],[Nitrate (PPM)]]&gt;1, "High", IF(AllData[[#This Row],[Nitrate (PPM)]]&gt;0.5, "Some evidence", IF(AllData[[#This Row],[Nitrate (PPM)]]&gt;=0, "No evidence"))))</f>
        <v>High</v>
      </c>
      <c r="S1888" s="4">
        <v>0.4</v>
      </c>
      <c r="T1888" s="7" t="str">
        <f>IF(AllData[[#This Row],[Phosphate (PPM)]]&gt;0.5, "Very high", IF(AllData[[#This Row],[Phosphate (PPM)]]&gt;0.1, "High", IF(AllData[[#This Row],[Phosphate (PPM)]]&gt;0.05, "Some evidence", IF(AllData[[#This Row],[Phosphate (PPM)]]&lt;=0.05, "No Evidence", ""))))</f>
        <v>High</v>
      </c>
      <c r="U1888">
        <v>0</v>
      </c>
      <c r="V1888" t="s">
        <v>769</v>
      </c>
    </row>
    <row r="1889" spans="1:22" x14ac:dyDescent="0.35">
      <c r="A1889" t="s">
        <v>765</v>
      </c>
      <c r="B1889" s="143">
        <v>45348</v>
      </c>
      <c r="C1889" s="2" t="str" cm="1">
        <f t="array" ref="C18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89">
        <v>2023</v>
      </c>
      <c r="E1889" s="1">
        <v>0.69791666666666663</v>
      </c>
      <c r="F1889" t="str">
        <f>IF(AND(AllData[[#This Row],[Time]]&lt;0.5, AllData[[#This Row],[Time]]&gt;0.17)=TRUE, "Morning", IF(AND(AllData[[#This Row],[Time]]&lt;0.75, AllData[[#This Row],[Time]]&gt;=0.5)=TRUE, "Afternoon", IF(AND(AllData[[#This Row],[Time]]&lt;1, AllData[[#This Row],[Time]]&gt;=0.75)=TRUE, "Evening", "Night")))</f>
        <v>Afternoon</v>
      </c>
      <c r="G1889" t="str">
        <f>_xlfn.XLOOKUP(AllData[[#This Row],[Location Name]], Locations[Location Name],Locations[Group As])</f>
        <v>Clifford Chambers Mill Bridge</v>
      </c>
      <c r="H1889" t="e" vm="1">
        <f>_xlfn.XLOOKUP(AllData[[#This Row],[Site Name]],LocationsKey[Site Name],LocationsKey[District])</f>
        <v>#VALUE!</v>
      </c>
      <c r="I1889" t="e" vm="22">
        <f>_xlfn.XLOOKUP(AllData[[#This Row],[Site Name]],LocationsKey[Site Name],LocationsKey[Town])</f>
        <v>#VALUE!</v>
      </c>
      <c r="J1889" t="str">
        <f>_xlfn.XLOOKUP(AllData[[#This Row],[Site Name]],LocationsKey[Site Name], LocationsKey[Waterway])</f>
        <v>Stour</v>
      </c>
      <c r="K1889" t="s">
        <v>766</v>
      </c>
      <c r="L1889">
        <v>52.166370000000001</v>
      </c>
      <c r="M1889">
        <v>-1.708032</v>
      </c>
      <c r="N1889" t="s">
        <v>68</v>
      </c>
      <c r="O1889">
        <v>615</v>
      </c>
      <c r="P1889">
        <v>8.6999999999999993</v>
      </c>
      <c r="Q1889">
        <v>5</v>
      </c>
      <c r="R1889" s="107" t="str">
        <f>IF(AllData[[#This Row],[Nitrate (PPM)]]&gt;2, "Very high", IF(AllData[[#This Row],[Nitrate (PPM)]]&gt;1, "High", IF(AllData[[#This Row],[Nitrate (PPM)]]&gt;0.5, "Some evidence", IF(AllData[[#This Row],[Nitrate (PPM)]]&gt;=0, "No evidence"))))</f>
        <v>Very high</v>
      </c>
      <c r="S1889" s="4">
        <v>0.21</v>
      </c>
      <c r="T1889" s="7" t="str">
        <f>IF(AllData[[#This Row],[Phosphate (PPM)]]&gt;0.5, "Very high", IF(AllData[[#This Row],[Phosphate (PPM)]]&gt;0.1, "High", IF(AllData[[#This Row],[Phosphate (PPM)]]&gt;0.05, "Some evidence", IF(AllData[[#This Row],[Phosphate (PPM)]]&lt;=0.05, "No Evidence", ""))))</f>
        <v>High</v>
      </c>
      <c r="U1889">
        <v>1.25</v>
      </c>
      <c r="V1889" t="s">
        <v>767</v>
      </c>
    </row>
    <row r="1890" spans="1:22" x14ac:dyDescent="0.35">
      <c r="A1890" t="s">
        <v>764</v>
      </c>
      <c r="B1890" s="143">
        <v>45348</v>
      </c>
      <c r="C1890" s="2" t="str" cm="1">
        <f t="array" ref="C18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0">
        <v>2023</v>
      </c>
      <c r="E1890" s="1">
        <v>0.39166666666666666</v>
      </c>
      <c r="F1890" t="str">
        <f>IF(AND(AllData[[#This Row],[Time]]&lt;0.5, AllData[[#This Row],[Time]]&gt;0.17)=TRUE, "Morning", IF(AND(AllData[[#This Row],[Time]]&lt;0.75, AllData[[#This Row],[Time]]&gt;=0.5)=TRUE, "Afternoon", IF(AND(AllData[[#This Row],[Time]]&lt;1, AllData[[#This Row],[Time]]&gt;=0.75)=TRUE, "Evening", "Night")))</f>
        <v>Morning</v>
      </c>
      <c r="G1890" t="str">
        <f>_xlfn.XLOOKUP(AllData[[#This Row],[Location Name]], Locations[Location Name],Locations[Group As])</f>
        <v>Stour Stretton-on-Fosse Sewage Works</v>
      </c>
      <c r="H1890" t="e" vm="1">
        <f>_xlfn.XLOOKUP(AllData[[#This Row],[Site Name]],LocationsKey[Site Name],LocationsKey[District])</f>
        <v>#VALUE!</v>
      </c>
      <c r="I1890" t="e" vm="30">
        <f>_xlfn.XLOOKUP(AllData[[#This Row],[Site Name]],LocationsKey[Site Name],LocationsKey[Town])</f>
        <v>#VALUE!</v>
      </c>
      <c r="J1890" t="str">
        <f>_xlfn.XLOOKUP(AllData[[#This Row],[Site Name]],LocationsKey[Site Name], LocationsKey[Waterway])</f>
        <v>Stour</v>
      </c>
      <c r="K1890" t="s">
        <v>337</v>
      </c>
      <c r="L1890">
        <v>52.045724</v>
      </c>
      <c r="M1890">
        <v>-1.6718580000000001</v>
      </c>
      <c r="N1890" t="s">
        <v>31</v>
      </c>
      <c r="O1890">
        <v>628</v>
      </c>
      <c r="P1890">
        <v>6.5</v>
      </c>
      <c r="Q1890">
        <v>3.5</v>
      </c>
      <c r="R1890" s="107" t="str">
        <f>IF(AllData[[#This Row],[Nitrate (PPM)]]&gt;2, "Very high", IF(AllData[[#This Row],[Nitrate (PPM)]]&gt;1, "High", IF(AllData[[#This Row],[Nitrate (PPM)]]&gt;0.5, "Some evidence", IF(AllData[[#This Row],[Nitrate (PPM)]]&gt;=0, "No evidence"))))</f>
        <v>Very high</v>
      </c>
      <c r="S1890" s="4">
        <v>2.04</v>
      </c>
      <c r="T1890" s="7" t="str">
        <f>IF(AllData[[#This Row],[Phosphate (PPM)]]&gt;0.5, "Very high", IF(AllData[[#This Row],[Phosphate (PPM)]]&gt;0.1, "High", IF(AllData[[#This Row],[Phosphate (PPM)]]&gt;0.05, "Some evidence", IF(AllData[[#This Row],[Phosphate (PPM)]]&lt;=0.05, "No Evidence", ""))))</f>
        <v>Very high</v>
      </c>
      <c r="U1890">
        <v>0.25</v>
      </c>
    </row>
    <row r="1891" spans="1:22" x14ac:dyDescent="0.35">
      <c r="A1891" t="s">
        <v>763</v>
      </c>
      <c r="B1891" s="143">
        <v>45348</v>
      </c>
      <c r="C1891" s="2" t="str" cm="1">
        <f t="array" ref="C18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1">
        <v>2023</v>
      </c>
      <c r="E1891" s="1">
        <v>0.36458333333333331</v>
      </c>
      <c r="F1891" t="str">
        <f>IF(AND(AllData[[#This Row],[Time]]&lt;0.5, AllData[[#This Row],[Time]]&gt;0.17)=TRUE, "Morning", IF(AND(AllData[[#This Row],[Time]]&lt;0.75, AllData[[#This Row],[Time]]&gt;=0.5)=TRUE, "Afternoon", IF(AND(AllData[[#This Row],[Time]]&lt;1, AllData[[#This Row],[Time]]&gt;=0.75)=TRUE, "Evening", "Night")))</f>
        <v>Morning</v>
      </c>
      <c r="G1891" t="str">
        <f>_xlfn.XLOOKUP(AllData[[#This Row],[Location Name]], Locations[Location Name],Locations[Group As])</f>
        <v>Stour Stretton-on-Fosse Village</v>
      </c>
      <c r="H1891" t="e" vm="1">
        <f>_xlfn.XLOOKUP(AllData[[#This Row],[Site Name]],LocationsKey[Site Name],LocationsKey[District])</f>
        <v>#VALUE!</v>
      </c>
      <c r="I1891" t="e" vm="30">
        <f>_xlfn.XLOOKUP(AllData[[#This Row],[Site Name]],LocationsKey[Site Name],LocationsKey[Town])</f>
        <v>#VALUE!</v>
      </c>
      <c r="J1891" t="str">
        <f>_xlfn.XLOOKUP(AllData[[#This Row],[Site Name]],LocationsKey[Site Name], LocationsKey[Waterway])</f>
        <v>Stour</v>
      </c>
      <c r="K1891" t="s">
        <v>548</v>
      </c>
      <c r="L1891">
        <v>52.046529</v>
      </c>
      <c r="M1891">
        <v>-1.6734070000000001</v>
      </c>
      <c r="N1891" t="s">
        <v>68</v>
      </c>
      <c r="O1891">
        <v>564</v>
      </c>
      <c r="P1891">
        <v>6</v>
      </c>
      <c r="Q1891">
        <v>2</v>
      </c>
      <c r="R1891" s="107" t="str">
        <f>IF(AllData[[#This Row],[Nitrate (PPM)]]&gt;2, "Very high", IF(AllData[[#This Row],[Nitrate (PPM)]]&gt;1, "High", IF(AllData[[#This Row],[Nitrate (PPM)]]&gt;0.5, "Some evidence", IF(AllData[[#This Row],[Nitrate (PPM)]]&gt;=0, "No evidence"))))</f>
        <v>High</v>
      </c>
      <c r="S1891" s="4">
        <v>1.0900000000000001</v>
      </c>
      <c r="T1891" s="7" t="str">
        <f>IF(AllData[[#This Row],[Phosphate (PPM)]]&gt;0.5, "Very high", IF(AllData[[#This Row],[Phosphate (PPM)]]&gt;0.1, "High", IF(AllData[[#This Row],[Phosphate (PPM)]]&gt;0.05, "Some evidence", IF(AllData[[#This Row],[Phosphate (PPM)]]&lt;=0.05, "No Evidence", ""))))</f>
        <v>Very high</v>
      </c>
      <c r="U1891">
        <v>0.15</v>
      </c>
    </row>
    <row r="1892" spans="1:22" x14ac:dyDescent="0.35">
      <c r="A1892" t="s">
        <v>746</v>
      </c>
      <c r="B1892" s="143">
        <v>45347</v>
      </c>
      <c r="C1892" s="2" t="str" cm="1">
        <f t="array" ref="C18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2">
        <v>2023</v>
      </c>
      <c r="E1892" s="1">
        <v>0.47569444444444442</v>
      </c>
      <c r="F1892" t="str">
        <f>IF(AND(AllData[[#This Row],[Time]]&lt;0.5, AllData[[#This Row],[Time]]&gt;0.17)=TRUE, "Morning", IF(AND(AllData[[#This Row],[Time]]&lt;0.75, AllData[[#This Row],[Time]]&gt;=0.5)=TRUE, "Afternoon", IF(AND(AllData[[#This Row],[Time]]&lt;1, AllData[[#This Row],[Time]]&gt;=0.75)=TRUE, "Evening", "Night")))</f>
        <v>Morning</v>
      </c>
      <c r="G1892" t="str">
        <f>_xlfn.XLOOKUP(AllData[[#This Row],[Location Name]], Locations[Location Name],Locations[Group As])</f>
        <v>The Ford, Langley</v>
      </c>
      <c r="H1892" t="e" vm="1">
        <f>_xlfn.XLOOKUP(AllData[[#This Row],[Site Name]],LocationsKey[Site Name],LocationsKey[District])</f>
        <v>#VALUE!</v>
      </c>
      <c r="I1892" t="str">
        <f>_xlfn.XLOOKUP(AllData[[#This Row],[Site Name]],LocationsKey[Site Name],LocationsKey[Town])</f>
        <v>Langley</v>
      </c>
      <c r="J1892" t="str">
        <f>_xlfn.XLOOKUP(AllData[[#This Row],[Site Name]],LocationsKey[Site Name], LocationsKey[Waterway])</f>
        <v>Langley Ford</v>
      </c>
      <c r="K1892" t="s">
        <v>561</v>
      </c>
      <c r="L1892">
        <v>52.259639</v>
      </c>
      <c r="M1892">
        <v>-1.7181999999999999</v>
      </c>
      <c r="N1892" t="s">
        <v>31</v>
      </c>
      <c r="O1892">
        <v>520</v>
      </c>
      <c r="P1892">
        <v>7.5</v>
      </c>
      <c r="Q1892">
        <v>6</v>
      </c>
      <c r="R1892" s="107" t="str">
        <f>IF(AllData[[#This Row],[Nitrate (PPM)]]&gt;2, "Very high", IF(AllData[[#This Row],[Nitrate (PPM)]]&gt;1, "High", IF(AllData[[#This Row],[Nitrate (PPM)]]&gt;0.5, "Some evidence", IF(AllData[[#This Row],[Nitrate (PPM)]]&gt;=0, "No evidence"))))</f>
        <v>Very high</v>
      </c>
      <c r="S1892" s="4">
        <v>0.63</v>
      </c>
      <c r="T1892" s="7" t="str">
        <f>IF(AllData[[#This Row],[Phosphate (PPM)]]&gt;0.5, "Very high", IF(AllData[[#This Row],[Phosphate (PPM)]]&gt;0.1, "High", IF(AllData[[#This Row],[Phosphate (PPM)]]&gt;0.05, "Some evidence", IF(AllData[[#This Row],[Phosphate (PPM)]]&lt;=0.05, "No Evidence", ""))))</f>
        <v>Very high</v>
      </c>
      <c r="U1892">
        <v>35</v>
      </c>
      <c r="V1892" t="s">
        <v>747</v>
      </c>
    </row>
    <row r="1893" spans="1:22" x14ac:dyDescent="0.35">
      <c r="A1893" t="s">
        <v>751</v>
      </c>
      <c r="B1893" s="143">
        <v>45347</v>
      </c>
      <c r="C1893" s="2" t="str" cm="1">
        <f t="array" ref="C18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3">
        <v>2023</v>
      </c>
      <c r="E1893" s="1">
        <v>0.70833333333333337</v>
      </c>
      <c r="F1893" t="str">
        <f>IF(AND(AllData[[#This Row],[Time]]&lt;0.5, AllData[[#This Row],[Time]]&gt;0.17)=TRUE, "Morning", IF(AND(AllData[[#This Row],[Time]]&lt;0.75, AllData[[#This Row],[Time]]&gt;=0.5)=TRUE, "Afternoon", IF(AND(AllData[[#This Row],[Time]]&lt;1, AllData[[#This Row],[Time]]&gt;=0.75)=TRUE, "Evening", "Night")))</f>
        <v>Afternoon</v>
      </c>
      <c r="G1893" t="str">
        <f>_xlfn.XLOOKUP(AllData[[#This Row],[Location Name]], Locations[Location Name],Locations[Group As])</f>
        <v>Sherbourne Brook 1</v>
      </c>
      <c r="H1893" t="e" vm="1">
        <f>_xlfn.XLOOKUP(AllData[[#This Row],[Site Name]],LocationsKey[Site Name],LocationsKey[District])</f>
        <v>#VALUE!</v>
      </c>
      <c r="I1893" t="e" vm="23">
        <f>_xlfn.XLOOKUP(AllData[[#This Row],[Site Name]],LocationsKey[Site Name],LocationsKey[Town])</f>
        <v>#VALUE!</v>
      </c>
      <c r="J1893" t="str">
        <f>_xlfn.XLOOKUP(AllData[[#This Row],[Site Name]],LocationsKey[Site Name], LocationsKey[Waterway])</f>
        <v>Sherbourne Brook</v>
      </c>
      <c r="K1893" t="s">
        <v>541</v>
      </c>
      <c r="L1893">
        <v>52.252499999999998</v>
      </c>
      <c r="M1893">
        <v>-1.6685000000000001</v>
      </c>
      <c r="N1893" t="s">
        <v>25</v>
      </c>
      <c r="O1893">
        <v>911</v>
      </c>
      <c r="P1893">
        <v>7.8</v>
      </c>
      <c r="Q1893">
        <v>5</v>
      </c>
      <c r="R1893" s="107" t="str">
        <f>IF(AllData[[#This Row],[Nitrate (PPM)]]&gt;2, "Very high", IF(AllData[[#This Row],[Nitrate (PPM)]]&gt;1, "High", IF(AllData[[#This Row],[Nitrate (PPM)]]&gt;0.5, "Some evidence", IF(AllData[[#This Row],[Nitrate (PPM)]]&gt;=0, "No evidence"))))</f>
        <v>Very high</v>
      </c>
      <c r="S1893" s="4">
        <v>0.68</v>
      </c>
      <c r="T1893" s="7" t="str">
        <f>IF(AllData[[#This Row],[Phosphate (PPM)]]&gt;0.5, "Very high", IF(AllData[[#This Row],[Phosphate (PPM)]]&gt;0.1, "High", IF(AllData[[#This Row],[Phosphate (PPM)]]&gt;0.05, "Some evidence", IF(AllData[[#This Row],[Phosphate (PPM)]]&lt;=0.05, "No Evidence", ""))))</f>
        <v>Very high</v>
      </c>
      <c r="U1893">
        <v>0.5</v>
      </c>
    </row>
    <row r="1894" spans="1:22" x14ac:dyDescent="0.35">
      <c r="A1894" t="s">
        <v>761</v>
      </c>
      <c r="B1894" s="143">
        <v>45347</v>
      </c>
      <c r="C1894" s="2" t="str" cm="1">
        <f t="array" ref="C18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4">
        <v>2023</v>
      </c>
      <c r="E1894" s="1"/>
      <c r="F1894" t="str">
        <f>IF(AND(AllData[[#This Row],[Time]]&lt;0.5, AllData[[#This Row],[Time]]&gt;0.17)=TRUE, "Morning", IF(AND(AllData[[#This Row],[Time]]&lt;0.75, AllData[[#This Row],[Time]]&gt;=0.5)=TRUE, "Afternoon", IF(AND(AllData[[#This Row],[Time]]&lt;1, AllData[[#This Row],[Time]]&gt;=0.75)=TRUE, "Evening", "Night")))</f>
        <v>Night</v>
      </c>
      <c r="G1894" t="str">
        <f>_xlfn.XLOOKUP(AllData[[#This Row],[Location Name]], Locations[Location Name],Locations[Group As])</f>
        <v>Site 3  :  Severn Trent Water processing plant outflow</v>
      </c>
      <c r="H1894" t="e" vm="1">
        <f>_xlfn.XLOOKUP(AllData[[#This Row],[Site Name]],LocationsKey[Site Name],LocationsKey[District])</f>
        <v>#VALUE!</v>
      </c>
      <c r="I1894" t="e" vm="14">
        <f>_xlfn.XLOOKUP(AllData[[#This Row],[Site Name]],LocationsKey[Site Name],LocationsKey[Town])</f>
        <v>#VALUE!</v>
      </c>
      <c r="J1894" t="str">
        <f>_xlfn.XLOOKUP(AllData[[#This Row],[Site Name]],LocationsKey[Site Name], LocationsKey[Waterway])</f>
        <v>Fosseway Brook</v>
      </c>
      <c r="K1894" t="s">
        <v>676</v>
      </c>
      <c r="L1894">
        <v>52.094423999999997</v>
      </c>
      <c r="M1894">
        <v>-1.6759090000000001</v>
      </c>
      <c r="N1894" t="s">
        <v>31</v>
      </c>
      <c r="O1894">
        <v>775</v>
      </c>
      <c r="P1894">
        <v>8.5</v>
      </c>
      <c r="Q1894">
        <v>5</v>
      </c>
      <c r="R1894" s="107" t="str">
        <f>IF(AllData[[#This Row],[Nitrate (PPM)]]&gt;2, "Very high", IF(AllData[[#This Row],[Nitrate (PPM)]]&gt;1, "High", IF(AllData[[#This Row],[Nitrate (PPM)]]&gt;0.5, "Some evidence", IF(AllData[[#This Row],[Nitrate (PPM)]]&gt;=0, "No evidence"))))</f>
        <v>Very high</v>
      </c>
      <c r="S1894" s="4">
        <v>2.5</v>
      </c>
      <c r="T1894" s="107" t="str">
        <f>IF(AllData[[#This Row],[Phosphate (PPM)]]&gt;0.5, "Very high", IF(AllData[[#This Row],[Phosphate (PPM)]]&gt;0.1, "High", IF(AllData[[#This Row],[Phosphate (PPM)]]&gt;0.05, "Some evidence", IF(AllData[[#This Row],[Phosphate (PPM)]]&lt;=0.05, "No Evidence", ""))))</f>
        <v>Very high</v>
      </c>
      <c r="V1894" t="s">
        <v>627</v>
      </c>
    </row>
    <row r="1895" spans="1:22" x14ac:dyDescent="0.35">
      <c r="A1895" t="s">
        <v>760</v>
      </c>
      <c r="B1895" s="143">
        <v>45347</v>
      </c>
      <c r="C1895" s="2" t="str" cm="1">
        <f t="array" ref="C18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5">
        <v>2023</v>
      </c>
      <c r="F1895" t="str">
        <f>IF(AND(AllData[[#This Row],[Time]]&lt;0.5, AllData[[#This Row],[Time]]&gt;0.17)=TRUE, "Morning", IF(AND(AllData[[#This Row],[Time]]&lt;0.75, AllData[[#This Row],[Time]]&gt;=0.5)=TRUE, "Afternoon", IF(AND(AllData[[#This Row],[Time]]&lt;1, AllData[[#This Row],[Time]]&gt;=0.75)=TRUE, "Evening", "Night")))</f>
        <v>Night</v>
      </c>
      <c r="G1895" t="str">
        <f>_xlfn.XLOOKUP(AllData[[#This Row],[Location Name]], Locations[Location Name],Locations[Group As])</f>
        <v>Site 3  :  Severn Trent Water processing plant outflow</v>
      </c>
      <c r="H1895" t="e" vm="1">
        <f>_xlfn.XLOOKUP(AllData[[#This Row],[Site Name]],LocationsKey[Site Name],LocationsKey[District])</f>
        <v>#VALUE!</v>
      </c>
      <c r="I1895" t="e" vm="14">
        <f>_xlfn.XLOOKUP(AllData[[#This Row],[Site Name]],LocationsKey[Site Name],LocationsKey[Town])</f>
        <v>#VALUE!</v>
      </c>
      <c r="J1895" t="str">
        <f>_xlfn.XLOOKUP(AllData[[#This Row],[Site Name]],LocationsKey[Site Name], LocationsKey[Waterway])</f>
        <v>Fosseway Brook</v>
      </c>
      <c r="K1895" t="s">
        <v>673</v>
      </c>
      <c r="L1895">
        <v>52.094423999999997</v>
      </c>
      <c r="M1895" s="108">
        <v>-1.6759090000000001</v>
      </c>
      <c r="N1895" t="s">
        <v>31</v>
      </c>
      <c r="O1895">
        <v>775</v>
      </c>
      <c r="P1895">
        <v>8.5</v>
      </c>
      <c r="Q1895">
        <v>5</v>
      </c>
      <c r="R1895" s="107" t="str">
        <f>IF(AllData[[#This Row],[Nitrate (PPM)]]&gt;2, "Very high", IF(AllData[[#This Row],[Nitrate (PPM)]]&gt;1, "High", IF(AllData[[#This Row],[Nitrate (PPM)]]&gt;0.5, "Some evidence", IF(AllData[[#This Row],[Nitrate (PPM)]]&gt;=0, "No evidence"))))</f>
        <v>Very high</v>
      </c>
      <c r="S1895" s="4">
        <v>2.5</v>
      </c>
      <c r="T1895" s="7" t="str">
        <f>IF(AllData[[#This Row],[Phosphate (PPM)]]&gt;0.5, "Very high", IF(AllData[[#This Row],[Phosphate (PPM)]]&gt;0.1, "High", IF(AllData[[#This Row],[Phosphate (PPM)]]&gt;0.05, "Some evidence", IF(AllData[[#This Row],[Phosphate (PPM)]]&lt;=0.05, "No Evidence", ""))))</f>
        <v>Very high</v>
      </c>
      <c r="U1895">
        <v>0</v>
      </c>
      <c r="V1895" t="s">
        <v>674</v>
      </c>
    </row>
    <row r="1896" spans="1:22" x14ac:dyDescent="0.35">
      <c r="A1896" t="s">
        <v>752</v>
      </c>
      <c r="B1896" s="143">
        <v>45347</v>
      </c>
      <c r="C1896" s="2" t="str" cm="1">
        <f t="array" ref="C18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6">
        <v>2023</v>
      </c>
      <c r="E1896" s="1">
        <v>0.71527777777777779</v>
      </c>
      <c r="F1896" t="str">
        <f>IF(AND(AllData[[#This Row],[Time]]&lt;0.5, AllData[[#This Row],[Time]]&gt;0.17)=TRUE, "Morning", IF(AND(AllData[[#This Row],[Time]]&lt;0.75, AllData[[#This Row],[Time]]&gt;=0.5)=TRUE, "Afternoon", IF(AND(AllData[[#This Row],[Time]]&lt;1, AllData[[#This Row],[Time]]&gt;=0.75)=TRUE, "Evening", "Night")))</f>
        <v>Afternoon</v>
      </c>
      <c r="G1896" t="str">
        <f>_xlfn.XLOOKUP(AllData[[#This Row],[Location Name]], Locations[Location Name],Locations[Group As])</f>
        <v>Bell Brook 1</v>
      </c>
      <c r="H1896" t="e" vm="1">
        <f>_xlfn.XLOOKUP(AllData[[#This Row],[Site Name]],LocationsKey[Site Name],LocationsKey[District])</f>
        <v>#VALUE!</v>
      </c>
      <c r="I1896" t="e" vm="19">
        <f>_xlfn.XLOOKUP(AllData[[#This Row],[Site Name]],LocationsKey[Site Name],LocationsKey[Town])</f>
        <v>#VALUE!</v>
      </c>
      <c r="J1896" t="str">
        <f>_xlfn.XLOOKUP(AllData[[#This Row],[Site Name]],LocationsKey[Site Name], LocationsKey[Waterway])</f>
        <v>Bell Brook</v>
      </c>
      <c r="K1896" t="s">
        <v>538</v>
      </c>
      <c r="L1896">
        <v>52.244900000000001</v>
      </c>
      <c r="M1896" s="108">
        <v>-1.6617</v>
      </c>
      <c r="N1896" t="s">
        <v>25</v>
      </c>
      <c r="O1896">
        <v>595</v>
      </c>
      <c r="P1896">
        <v>7.6</v>
      </c>
      <c r="Q1896">
        <v>5</v>
      </c>
      <c r="R1896" s="141" t="str">
        <f>IF(AllData[[#This Row],[Nitrate (PPM)]]&gt;2, "Very high", IF(AllData[[#This Row],[Nitrate (PPM)]]&gt;1, "High", IF(AllData[[#This Row],[Nitrate (PPM)]]&gt;0.5, "Some evidence", IF(AllData[[#This Row],[Nitrate (PPM)]]&gt;=0, "No evidence"))))</f>
        <v>Very high</v>
      </c>
      <c r="S1896" s="4">
        <v>1.07</v>
      </c>
      <c r="T1896" s="7" t="str">
        <f>IF(AllData[[#This Row],[Phosphate (PPM)]]&gt;0.5, "Very high", IF(AllData[[#This Row],[Phosphate (PPM)]]&gt;0.1, "High", IF(AllData[[#This Row],[Phosphate (PPM)]]&gt;0.05, "Some evidence", IF(AllData[[#This Row],[Phosphate (PPM)]]&lt;=0.05, "No Evidence", ""))))</f>
        <v>Very high</v>
      </c>
      <c r="U1896">
        <v>0.5</v>
      </c>
    </row>
    <row r="1897" spans="1:22" x14ac:dyDescent="0.35">
      <c r="A1897" t="s">
        <v>756</v>
      </c>
      <c r="B1897" s="143">
        <v>45347</v>
      </c>
      <c r="C1897" s="2" t="str" cm="1">
        <f t="array" ref="C18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7">
        <v>2023</v>
      </c>
      <c r="E1897" s="1"/>
      <c r="F1897" t="str">
        <f>IF(AND(AllData[[#This Row],[Time]]&lt;0.5, AllData[[#This Row],[Time]]&gt;0.17)=TRUE, "Morning", IF(AND(AllData[[#This Row],[Time]]&lt;0.75, AllData[[#This Row],[Time]]&gt;=0.5)=TRUE, "Afternoon", IF(AND(AllData[[#This Row],[Time]]&lt;1, AllData[[#This Row],[Time]]&gt;=0.75)=TRUE, "Evening", "Night")))</f>
        <v>Night</v>
      </c>
      <c r="G1897" t="str">
        <f>_xlfn.XLOOKUP(AllData[[#This Row],[Location Name]], Locations[Location Name],Locations[Group As])</f>
        <v>Site 1  :  Middle Street</v>
      </c>
      <c r="H1897" t="e" vm="1">
        <f>_xlfn.XLOOKUP(AllData[[#This Row],[Site Name]],LocationsKey[Site Name],LocationsKey[District])</f>
        <v>#VALUE!</v>
      </c>
      <c r="I1897" t="e" vm="14">
        <f>_xlfn.XLOOKUP(AllData[[#This Row],[Site Name]],LocationsKey[Site Name],LocationsKey[Town])</f>
        <v>#VALUE!</v>
      </c>
      <c r="J1897" t="str">
        <f>_xlfn.XLOOKUP(AllData[[#This Row],[Site Name]],LocationsKey[Site Name], LocationsKey[Waterway])</f>
        <v>Fosseway Brook</v>
      </c>
      <c r="K1897" t="s">
        <v>670</v>
      </c>
      <c r="L1897">
        <v>52.090085000000002</v>
      </c>
      <c r="M1897" s="108">
        <v>-1.692593</v>
      </c>
      <c r="N1897" t="s">
        <v>68</v>
      </c>
      <c r="O1897">
        <v>561</v>
      </c>
      <c r="P1897">
        <v>8.4</v>
      </c>
      <c r="Q1897">
        <v>5</v>
      </c>
      <c r="R1897" s="141" t="str">
        <f>IF(AllData[[#This Row],[Nitrate (PPM)]]&gt;2, "Very high", IF(AllData[[#This Row],[Nitrate (PPM)]]&gt;1, "High", IF(AllData[[#This Row],[Nitrate (PPM)]]&gt;0.5, "Some evidence", IF(AllData[[#This Row],[Nitrate (PPM)]]&gt;=0, "No evidence"))))</f>
        <v>Very high</v>
      </c>
      <c r="S1897" s="4">
        <v>0.37</v>
      </c>
      <c r="T1897" s="7" t="str">
        <f>IF(AllData[[#This Row],[Phosphate (PPM)]]&gt;0.5, "Very high", IF(AllData[[#This Row],[Phosphate (PPM)]]&gt;0.1, "High", IF(AllData[[#This Row],[Phosphate (PPM)]]&gt;0.05, "Some evidence", IF(AllData[[#This Row],[Phosphate (PPM)]]&lt;=0.05, "No Evidence", ""))))</f>
        <v>High</v>
      </c>
      <c r="V1897" t="s">
        <v>757</v>
      </c>
    </row>
    <row r="1898" spans="1:22" x14ac:dyDescent="0.35">
      <c r="A1898" t="s">
        <v>754</v>
      </c>
      <c r="B1898" s="143">
        <v>45347</v>
      </c>
      <c r="C1898" s="2" t="str" cm="1">
        <f t="array" ref="C18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8">
        <v>2023</v>
      </c>
      <c r="F1898" t="str">
        <f>IF(AND(AllData[[#This Row],[Time]]&lt;0.5, AllData[[#This Row],[Time]]&gt;0.17)=TRUE, "Morning", IF(AND(AllData[[#This Row],[Time]]&lt;0.75, AllData[[#This Row],[Time]]&gt;=0.5)=TRUE, "Afternoon", IF(AND(AllData[[#This Row],[Time]]&lt;1, AllData[[#This Row],[Time]]&gt;=0.75)=TRUE, "Evening", "Night")))</f>
        <v>Night</v>
      </c>
      <c r="G1898" t="str">
        <f>_xlfn.XLOOKUP(AllData[[#This Row],[Location Name]], Locations[Location Name],Locations[Group As])</f>
        <v>Site 1  :  Middle Street</v>
      </c>
      <c r="H1898" t="e" vm="1">
        <f>_xlfn.XLOOKUP(AllData[[#This Row],[Site Name]],LocationsKey[Site Name],LocationsKey[District])</f>
        <v>#VALUE!</v>
      </c>
      <c r="I1898" t="e" vm="14">
        <f>_xlfn.XLOOKUP(AllData[[#This Row],[Site Name]],LocationsKey[Site Name],LocationsKey[Town])</f>
        <v>#VALUE!</v>
      </c>
      <c r="J1898" t="str">
        <f>_xlfn.XLOOKUP(AllData[[#This Row],[Site Name]],LocationsKey[Site Name], LocationsKey[Waterway])</f>
        <v>Fosseway Brook</v>
      </c>
      <c r="K1898" t="s">
        <v>667</v>
      </c>
      <c r="L1898">
        <v>52.090085000000002</v>
      </c>
      <c r="M1898" s="108">
        <v>-1.692593</v>
      </c>
      <c r="N1898" t="s">
        <v>68</v>
      </c>
      <c r="O1898">
        <v>561</v>
      </c>
      <c r="P1898">
        <v>8.4</v>
      </c>
      <c r="Q1898">
        <v>5</v>
      </c>
      <c r="R1898" s="141" t="str">
        <f>IF(AllData[[#This Row],[Nitrate (PPM)]]&gt;2, "Very high", IF(AllData[[#This Row],[Nitrate (PPM)]]&gt;1, "High", IF(AllData[[#This Row],[Nitrate (PPM)]]&gt;0.5, "Some evidence", IF(AllData[[#This Row],[Nitrate (PPM)]]&gt;=0, "No evidence"))))</f>
        <v>Very high</v>
      </c>
      <c r="S1898" s="4">
        <v>0.37</v>
      </c>
      <c r="T1898" s="7" t="str">
        <f>IF(AllData[[#This Row],[Phosphate (PPM)]]&gt;0.5, "Very high", IF(AllData[[#This Row],[Phosphate (PPM)]]&gt;0.1, "High", IF(AllData[[#This Row],[Phosphate (PPM)]]&gt;0.05, "Some evidence", IF(AllData[[#This Row],[Phosphate (PPM)]]&lt;=0.05, "No Evidence", ""))))</f>
        <v>High</v>
      </c>
      <c r="U1898">
        <v>0</v>
      </c>
      <c r="V1898" t="s">
        <v>755</v>
      </c>
    </row>
    <row r="1899" spans="1:22" x14ac:dyDescent="0.35">
      <c r="A1899" t="s">
        <v>762</v>
      </c>
      <c r="B1899" s="143">
        <v>45347</v>
      </c>
      <c r="C1899" s="2" t="str" cm="1">
        <f t="array" ref="C18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899">
        <v>2023</v>
      </c>
      <c r="E1899" s="1">
        <v>0.4513888888888889</v>
      </c>
      <c r="F1899" t="str">
        <f>IF(AND(AllData[[#This Row],[Time]]&lt;0.5, AllData[[#This Row],[Time]]&gt;0.17)=TRUE, "Morning", IF(AND(AllData[[#This Row],[Time]]&lt;0.75, AllData[[#This Row],[Time]]&gt;=0.5)=TRUE, "Afternoon", IF(AND(AllData[[#This Row],[Time]]&lt;1, AllData[[#This Row],[Time]]&gt;=0.75)=TRUE, "Evening", "Night")))</f>
        <v>Morning</v>
      </c>
      <c r="G1899" t="str">
        <f>_xlfn.XLOOKUP(AllData[[#This Row],[Location Name]], Locations[Location Name],Locations[Group As])</f>
        <v>Site 1  :  Middle Street</v>
      </c>
      <c r="H1899" t="e" vm="1">
        <f>_xlfn.XLOOKUP(AllData[[#This Row],[Site Name]],LocationsKey[Site Name],LocationsKey[District])</f>
        <v>#VALUE!</v>
      </c>
      <c r="I1899" t="e" vm="14">
        <f>_xlfn.XLOOKUP(AllData[[#This Row],[Site Name]],LocationsKey[Site Name],LocationsKey[Town])</f>
        <v>#VALUE!</v>
      </c>
      <c r="J1899" t="str">
        <f>_xlfn.XLOOKUP(AllData[[#This Row],[Site Name]],LocationsKey[Site Name], LocationsKey[Waterway])</f>
        <v>Fosseway Brook</v>
      </c>
      <c r="K1899" t="s">
        <v>678</v>
      </c>
      <c r="L1899">
        <v>52.090085000000002</v>
      </c>
      <c r="M1899" s="108">
        <v>-1.692593</v>
      </c>
      <c r="N1899" t="s">
        <v>68</v>
      </c>
      <c r="O1899">
        <v>561</v>
      </c>
      <c r="P1899">
        <v>8.4</v>
      </c>
      <c r="Q1899">
        <v>5</v>
      </c>
      <c r="R1899" s="141" t="str">
        <f>IF(AllData[[#This Row],[Nitrate (PPM)]]&gt;2, "Very high", IF(AllData[[#This Row],[Nitrate (PPM)]]&gt;1, "High", IF(AllData[[#This Row],[Nitrate (PPM)]]&gt;0.5, "Some evidence", IF(AllData[[#This Row],[Nitrate (PPM)]]&gt;=0, "No evidence"))))</f>
        <v>Very high</v>
      </c>
      <c r="S1899">
        <v>0.37</v>
      </c>
      <c r="T1899" s="7" t="str">
        <f>IF(AllData[[#This Row],[Phosphate (PPM)]]&gt;0.5, "Very high", IF(AllData[[#This Row],[Phosphate (PPM)]]&gt;0.1, "High", IF(AllData[[#This Row],[Phosphate (PPM)]]&gt;0.05, "Some evidence", IF(AllData[[#This Row],[Phosphate (PPM)]]&lt;=0.05, "No Evidence", ""))))</f>
        <v>High</v>
      </c>
      <c r="U1899">
        <v>0.05</v>
      </c>
    </row>
    <row r="1900" spans="1:22" x14ac:dyDescent="0.35">
      <c r="A1900" t="s">
        <v>748</v>
      </c>
      <c r="B1900" s="143">
        <v>45347</v>
      </c>
      <c r="C1900" s="2" t="str" cm="1">
        <f t="array" ref="C19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0">
        <v>2023</v>
      </c>
      <c r="E1900" s="1">
        <v>0.64583333333333337</v>
      </c>
      <c r="F1900" t="str">
        <f>IF(AND(AllData[[#This Row],[Time]]&lt;0.5, AllData[[#This Row],[Time]]&gt;0.17)=TRUE, "Morning", IF(AND(AllData[[#This Row],[Time]]&lt;0.75, AllData[[#This Row],[Time]]&gt;=0.5)=TRUE, "Afternoon", IF(AND(AllData[[#This Row],[Time]]&lt;1, AllData[[#This Row],[Time]]&gt;=0.75)=TRUE, "Evening", "Night")))</f>
        <v>Afternoon</v>
      </c>
      <c r="G1900" t="str">
        <f>_xlfn.XLOOKUP(AllData[[#This Row],[Location Name]], Locations[Location Name],Locations[Group As])</f>
        <v>Fell Mill Footbridge</v>
      </c>
      <c r="H1900" t="e" vm="1">
        <f>_xlfn.XLOOKUP(AllData[[#This Row],[Site Name]],LocationsKey[Site Name],LocationsKey[District])</f>
        <v>#VALUE!</v>
      </c>
      <c r="I1900" t="e" vm="15">
        <f>_xlfn.XLOOKUP(AllData[[#This Row],[Site Name]],LocationsKey[Site Name],LocationsKey[Town])</f>
        <v>#VALUE!</v>
      </c>
      <c r="J1900" t="str">
        <f>_xlfn.XLOOKUP(AllData[[#This Row],[Site Name]],LocationsKey[Site Name], LocationsKey[Waterway])</f>
        <v>Stour</v>
      </c>
      <c r="K1900" t="s">
        <v>500</v>
      </c>
      <c r="L1900">
        <v>52.070131000000003</v>
      </c>
      <c r="M1900" s="108">
        <v>-1.6114869999999999</v>
      </c>
      <c r="N1900" t="s">
        <v>31</v>
      </c>
      <c r="O1900">
        <v>560</v>
      </c>
      <c r="P1900">
        <v>8.1</v>
      </c>
      <c r="Q1900">
        <v>5</v>
      </c>
      <c r="R1900" s="141" t="str">
        <f>IF(AllData[[#This Row],[Nitrate (PPM)]]&gt;2, "Very high", IF(AllData[[#This Row],[Nitrate (PPM)]]&gt;1, "High", IF(AllData[[#This Row],[Nitrate (PPM)]]&gt;0.5, "Some evidence", IF(AllData[[#This Row],[Nitrate (PPM)]]&gt;=0, "No evidence"))))</f>
        <v>Very high</v>
      </c>
      <c r="S1900" s="4">
        <v>0.33</v>
      </c>
      <c r="T1900" s="7" t="str">
        <f>IF(AllData[[#This Row],[Phosphate (PPM)]]&gt;0.5, "Very high", IF(AllData[[#This Row],[Phosphate (PPM)]]&gt;0.1, "High", IF(AllData[[#This Row],[Phosphate (PPM)]]&gt;0.05, "Some evidence", IF(AllData[[#This Row],[Phosphate (PPM)]]&lt;=0.05, "No Evidence", ""))))</f>
        <v>High</v>
      </c>
      <c r="U1900">
        <v>1.5</v>
      </c>
    </row>
    <row r="1901" spans="1:22" x14ac:dyDescent="0.35">
      <c r="A1901" t="s">
        <v>749</v>
      </c>
      <c r="B1901" s="143">
        <v>45347</v>
      </c>
      <c r="C1901" s="2" t="str" cm="1">
        <f t="array" ref="C19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1">
        <v>2023</v>
      </c>
      <c r="E1901" s="1">
        <v>0.70763888888888893</v>
      </c>
      <c r="F1901" t="str">
        <f>IF(AND(AllData[[#This Row],[Time]]&lt;0.5, AllData[[#This Row],[Time]]&gt;0.17)=TRUE, "Morning", IF(AND(AllData[[#This Row],[Time]]&lt;0.75, AllData[[#This Row],[Time]]&gt;=0.5)=TRUE, "Afternoon", IF(AND(AllData[[#This Row],[Time]]&lt;1, AllData[[#This Row],[Time]]&gt;=0.75)=TRUE, "Evening", "Night")))</f>
        <v>Afternoon</v>
      </c>
      <c r="G1901" t="str">
        <f>_xlfn.XLOOKUP(AllData[[#This Row],[Location Name]], Locations[Location Name],Locations[Group As])</f>
        <v>Abbey Mill</v>
      </c>
      <c r="H1901" t="e" vm="4">
        <f>_xlfn.XLOOKUP(AllData[[#This Row],[Site Name]],LocationsKey[Site Name],LocationsKey[District])</f>
        <v>#VALUE!</v>
      </c>
      <c r="I1901" t="e" vm="4">
        <f>_xlfn.XLOOKUP(AllData[[#This Row],[Site Name]],LocationsKey[Site Name],LocationsKey[Town])</f>
        <v>#VALUE!</v>
      </c>
      <c r="J1901" t="str">
        <f>_xlfn.XLOOKUP(AllData[[#This Row],[Site Name]],LocationsKey[Site Name], LocationsKey[Waterway])</f>
        <v>Avon</v>
      </c>
      <c r="K1901" t="s">
        <v>27</v>
      </c>
      <c r="L1901">
        <v>51.991146000000001</v>
      </c>
      <c r="M1901" s="108">
        <v>-2.1623779999999999</v>
      </c>
      <c r="N1901" t="s">
        <v>25</v>
      </c>
      <c r="O1901">
        <v>511</v>
      </c>
      <c r="P1901">
        <v>7.2</v>
      </c>
      <c r="Q1901">
        <v>5</v>
      </c>
      <c r="R1901" s="141" t="str">
        <f>IF(AllData[[#This Row],[Nitrate (PPM)]]&gt;2, "Very high", IF(AllData[[#This Row],[Nitrate (PPM)]]&gt;1, "High", IF(AllData[[#This Row],[Nitrate (PPM)]]&gt;0.5, "Some evidence", IF(AllData[[#This Row],[Nitrate (PPM)]]&gt;=0, "No evidence"))))</f>
        <v>Very high</v>
      </c>
      <c r="S1901" s="4">
        <v>0.51</v>
      </c>
      <c r="T1901" s="7" t="str">
        <f>IF(AllData[[#This Row],[Phosphate (PPM)]]&gt;0.5, "Very high", IF(AllData[[#This Row],[Phosphate (PPM)]]&gt;0.1, "High", IF(AllData[[#This Row],[Phosphate (PPM)]]&gt;0.05, "Some evidence", IF(AllData[[#This Row],[Phosphate (PPM)]]&lt;=0.05, "No Evidence", ""))))</f>
        <v>Very high</v>
      </c>
      <c r="U1901">
        <v>2.4</v>
      </c>
      <c r="V1901" t="s">
        <v>750</v>
      </c>
    </row>
    <row r="1902" spans="1:22" x14ac:dyDescent="0.35">
      <c r="A1902" t="s">
        <v>759</v>
      </c>
      <c r="B1902" s="143">
        <v>45347</v>
      </c>
      <c r="C1902" s="2" t="str" cm="1">
        <f t="array" ref="C19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2">
        <v>2023</v>
      </c>
      <c r="E1902" s="1"/>
      <c r="F1902" t="str">
        <f>IF(AND(AllData[[#This Row],[Time]]&lt;0.5, AllData[[#This Row],[Time]]&gt;0.17)=TRUE, "Morning", IF(AND(AllData[[#This Row],[Time]]&lt;0.75, AllData[[#This Row],[Time]]&gt;=0.5)=TRUE, "Afternoon", IF(AND(AllData[[#This Row],[Time]]&lt;1, AllData[[#This Row],[Time]]&gt;=0.75)=TRUE, "Evening", "Night")))</f>
        <v>Night</v>
      </c>
      <c r="G1902" t="str">
        <f>_xlfn.XLOOKUP(AllData[[#This Row],[Location Name]], Locations[Location Name],Locations[Group As])</f>
        <v>Site 2  :  Cross Leys culvert</v>
      </c>
      <c r="H1902" t="e" vm="1">
        <f>_xlfn.XLOOKUP(AllData[[#This Row],[Site Name]],LocationsKey[Site Name],LocationsKey[District])</f>
        <v>#VALUE!</v>
      </c>
      <c r="I1902" t="e" vm="14">
        <f>_xlfn.XLOOKUP(AllData[[#This Row],[Site Name]],LocationsKey[Site Name],LocationsKey[Town])</f>
        <v>#VALUE!</v>
      </c>
      <c r="J1902" t="str">
        <f>_xlfn.XLOOKUP(AllData[[#This Row],[Site Name]],LocationsKey[Site Name], LocationsKey[Waterway])</f>
        <v>Fosseway Brook</v>
      </c>
      <c r="K1902" t="s">
        <v>626</v>
      </c>
      <c r="L1902">
        <v>52.092967999999999</v>
      </c>
      <c r="M1902" s="108">
        <v>-1.6862710000000001</v>
      </c>
      <c r="N1902" t="s">
        <v>68</v>
      </c>
      <c r="O1902">
        <v>625</v>
      </c>
      <c r="P1902">
        <v>7.8</v>
      </c>
      <c r="Q1902">
        <v>2</v>
      </c>
      <c r="R1902" s="141" t="str">
        <f>IF(AllData[[#This Row],[Nitrate (PPM)]]&gt;2, "Very high", IF(AllData[[#This Row],[Nitrate (PPM)]]&gt;1, "High", IF(AllData[[#This Row],[Nitrate (PPM)]]&gt;0.5, "Some evidence", IF(AllData[[#This Row],[Nitrate (PPM)]]&gt;=0, "No evidence"))))</f>
        <v>High</v>
      </c>
      <c r="S1902" s="4">
        <v>0.52</v>
      </c>
      <c r="T1902" s="7" t="str">
        <f>IF(AllData[[#This Row],[Phosphate (PPM)]]&gt;0.5, "Very high", IF(AllData[[#This Row],[Phosphate (PPM)]]&gt;0.1, "High", IF(AllData[[#This Row],[Phosphate (PPM)]]&gt;0.05, "Some evidence", IF(AllData[[#This Row],[Phosphate (PPM)]]&lt;=0.05, "No Evidence", ""))))</f>
        <v>Very high</v>
      </c>
      <c r="V1902" t="s">
        <v>627</v>
      </c>
    </row>
    <row r="1903" spans="1:22" x14ac:dyDescent="0.35">
      <c r="A1903" t="s">
        <v>758</v>
      </c>
      <c r="B1903" s="143">
        <v>45347</v>
      </c>
      <c r="C1903" s="2" t="str" cm="1">
        <f t="array" ref="C19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3">
        <v>2023</v>
      </c>
      <c r="F1903" t="str">
        <f>IF(AND(AllData[[#This Row],[Time]]&lt;0.5, AllData[[#This Row],[Time]]&gt;0.17)=TRUE, "Morning", IF(AND(AllData[[#This Row],[Time]]&lt;0.75, AllData[[#This Row],[Time]]&gt;=0.5)=TRUE, "Afternoon", IF(AND(AllData[[#This Row],[Time]]&lt;1, AllData[[#This Row],[Time]]&gt;=0.75)=TRUE, "Evening", "Night")))</f>
        <v>Night</v>
      </c>
      <c r="G1903" t="str">
        <f>_xlfn.XLOOKUP(AllData[[#This Row],[Location Name]], Locations[Location Name],Locations[Group As])</f>
        <v>Site 2  :  Cross Leys culvert</v>
      </c>
      <c r="H1903" t="e" vm="1">
        <f>_xlfn.XLOOKUP(AllData[[#This Row],[Site Name]],LocationsKey[Site Name],LocationsKey[District])</f>
        <v>#VALUE!</v>
      </c>
      <c r="I1903" t="e" vm="14">
        <f>_xlfn.XLOOKUP(AllData[[#This Row],[Site Name]],LocationsKey[Site Name],LocationsKey[Town])</f>
        <v>#VALUE!</v>
      </c>
      <c r="J1903" t="str">
        <f>_xlfn.XLOOKUP(AllData[[#This Row],[Site Name]],LocationsKey[Site Name], LocationsKey[Waterway])</f>
        <v>Fosseway Brook</v>
      </c>
      <c r="K1903" t="s">
        <v>623</v>
      </c>
      <c r="L1903">
        <v>52.092967999999999</v>
      </c>
      <c r="M1903" s="108">
        <v>-1.6862710000000001</v>
      </c>
      <c r="N1903" t="s">
        <v>68</v>
      </c>
      <c r="O1903">
        <v>625</v>
      </c>
      <c r="P1903">
        <v>7.8</v>
      </c>
      <c r="Q1903">
        <v>2</v>
      </c>
      <c r="R1903" s="141" t="str">
        <f>IF(AllData[[#This Row],[Nitrate (PPM)]]&gt;2, "Very high", IF(AllData[[#This Row],[Nitrate (PPM)]]&gt;1, "High", IF(AllData[[#This Row],[Nitrate (PPM)]]&gt;0.5, "Some evidence", IF(AllData[[#This Row],[Nitrate (PPM)]]&gt;=0, "No evidence"))))</f>
        <v>High</v>
      </c>
      <c r="S1903" s="4">
        <v>0.52</v>
      </c>
      <c r="T1903" s="7" t="str">
        <f>IF(AllData[[#This Row],[Phosphate (PPM)]]&gt;0.5, "Very high", IF(AllData[[#This Row],[Phosphate (PPM)]]&gt;0.1, "High", IF(AllData[[#This Row],[Phosphate (PPM)]]&gt;0.05, "Some evidence", IF(AllData[[#This Row],[Phosphate (PPM)]]&lt;=0.05, "No Evidence", ""))))</f>
        <v>Very high</v>
      </c>
      <c r="U1903">
        <v>0</v>
      </c>
      <c r="V1903" t="s">
        <v>624</v>
      </c>
    </row>
    <row r="1904" spans="1:22" x14ac:dyDescent="0.35">
      <c r="A1904" t="s">
        <v>753</v>
      </c>
      <c r="B1904" s="143">
        <v>45347</v>
      </c>
      <c r="C1904" s="2" t="str" cm="1">
        <f t="array" ref="C19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4">
        <v>2023</v>
      </c>
      <c r="E1904" s="1">
        <v>0.78125</v>
      </c>
      <c r="F1904" t="str">
        <f>IF(AND(AllData[[#This Row],[Time]]&lt;0.5, AllData[[#This Row],[Time]]&gt;0.17)=TRUE, "Morning", IF(AND(AllData[[#This Row],[Time]]&lt;0.75, AllData[[#This Row],[Time]]&gt;=0.5)=TRUE, "Afternoon", IF(AND(AllData[[#This Row],[Time]]&lt;1, AllData[[#This Row],[Time]]&gt;=0.75)=TRUE, "Evening", "Night")))</f>
        <v>Evening</v>
      </c>
      <c r="G1904" t="str">
        <f>_xlfn.XLOOKUP(AllData[[#This Row],[Location Name]], Locations[Location Name],Locations[Group As])</f>
        <v>Stour Shipston Mill Bridge</v>
      </c>
      <c r="H1904" t="e" vm="1">
        <f>_xlfn.XLOOKUP(AllData[[#This Row],[Site Name]],LocationsKey[Site Name],LocationsKey[District])</f>
        <v>#VALUE!</v>
      </c>
      <c r="I1904" t="e" vm="15">
        <f>_xlfn.XLOOKUP(AllData[[#This Row],[Site Name]],LocationsKey[Site Name],LocationsKey[Town])</f>
        <v>#VALUE!</v>
      </c>
      <c r="J1904" t="str">
        <f>_xlfn.XLOOKUP(AllData[[#This Row],[Site Name]],LocationsKey[Site Name], LocationsKey[Waterway])</f>
        <v>Stour</v>
      </c>
      <c r="K1904" t="s">
        <v>435</v>
      </c>
      <c r="L1904">
        <v>52.061956000000002</v>
      </c>
      <c r="M1904" s="108">
        <v>-1.621896</v>
      </c>
      <c r="N1904" t="s">
        <v>25</v>
      </c>
      <c r="O1904">
        <v>586</v>
      </c>
      <c r="P1904">
        <v>7.7</v>
      </c>
      <c r="Q1904">
        <v>2</v>
      </c>
      <c r="R1904" s="141" t="str">
        <f>IF(AllData[[#This Row],[Nitrate (PPM)]]&gt;2, "Very high", IF(AllData[[#This Row],[Nitrate (PPM)]]&gt;1, "High", IF(AllData[[#This Row],[Nitrate (PPM)]]&gt;0.5, "Some evidence", IF(AllData[[#This Row],[Nitrate (PPM)]]&gt;=0, "No evidence"))))</f>
        <v>High</v>
      </c>
      <c r="S1904" s="4">
        <v>0.24</v>
      </c>
      <c r="T1904" s="7" t="str">
        <f>IF(AllData[[#This Row],[Phosphate (PPM)]]&gt;0.5, "Very high", IF(AllData[[#This Row],[Phosphate (PPM)]]&gt;0.1, "High", IF(AllData[[#This Row],[Phosphate (PPM)]]&gt;0.05, "Some evidence", IF(AllData[[#This Row],[Phosphate (PPM)]]&lt;=0.05, "No Evidence", ""))))</f>
        <v>High</v>
      </c>
      <c r="U1904">
        <v>1.5</v>
      </c>
    </row>
    <row r="1905" spans="1:22" x14ac:dyDescent="0.35">
      <c r="A1905" t="s">
        <v>743</v>
      </c>
      <c r="B1905" s="143">
        <v>45346</v>
      </c>
      <c r="C1905" s="2" t="str" cm="1">
        <f t="array" ref="C19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5">
        <v>2023</v>
      </c>
      <c r="E1905" s="1">
        <v>0.46180555555555558</v>
      </c>
      <c r="F1905" t="str">
        <f>IF(AND(AllData[[#This Row],[Time]]&lt;0.5, AllData[[#This Row],[Time]]&gt;0.17)=TRUE, "Morning", IF(AND(AllData[[#This Row],[Time]]&lt;0.75, AllData[[#This Row],[Time]]&gt;=0.5)=TRUE, "Afternoon", IF(AND(AllData[[#This Row],[Time]]&lt;1, AllData[[#This Row],[Time]]&gt;=0.75)=TRUE, "Evening", "Night")))</f>
        <v>Morning</v>
      </c>
      <c r="G1905" t="str">
        <f>_xlfn.XLOOKUP(AllData[[#This Row],[Location Name]], Locations[Location Name],Locations[Group As])</f>
        <v>Black Bear</v>
      </c>
      <c r="H1905" t="e" vm="4">
        <f>_xlfn.XLOOKUP(AllData[[#This Row],[Site Name]],LocationsKey[Site Name],LocationsKey[District])</f>
        <v>#VALUE!</v>
      </c>
      <c r="I1905" t="e" vm="4">
        <f>_xlfn.XLOOKUP(AllData[[#This Row],[Site Name]],LocationsKey[Site Name],LocationsKey[Town])</f>
        <v>#VALUE!</v>
      </c>
      <c r="J1905" t="str">
        <f>_xlfn.XLOOKUP(AllData[[#This Row],[Site Name]],LocationsKey[Site Name], LocationsKey[Waterway])</f>
        <v>Avon</v>
      </c>
      <c r="K1905" t="s">
        <v>572</v>
      </c>
      <c r="L1905">
        <v>51.997377</v>
      </c>
      <c r="M1905" s="108">
        <v>-2.1561089999999998</v>
      </c>
      <c r="N1905" t="s">
        <v>25</v>
      </c>
      <c r="O1905">
        <v>408</v>
      </c>
      <c r="P1905">
        <v>8.1999999999999993</v>
      </c>
      <c r="Q1905">
        <v>4</v>
      </c>
      <c r="R1905" s="141" t="str">
        <f>IF(AllData[[#This Row],[Nitrate (PPM)]]&gt;2, "Very high", IF(AllData[[#This Row],[Nitrate (PPM)]]&gt;1, "High", IF(AllData[[#This Row],[Nitrate (PPM)]]&gt;0.5, "Some evidence", IF(AllData[[#This Row],[Nitrate (PPM)]]&gt;=0, "No evidence"))))</f>
        <v>Very high</v>
      </c>
      <c r="S1905" s="4">
        <v>0.64</v>
      </c>
      <c r="T1905" s="7" t="str">
        <f>IF(AllData[[#This Row],[Phosphate (PPM)]]&gt;0.5, "Very high", IF(AllData[[#This Row],[Phosphate (PPM)]]&gt;0.1, "High", IF(AllData[[#This Row],[Phosphate (PPM)]]&gt;0.05, "Some evidence", IF(AllData[[#This Row],[Phosphate (PPM)]]&lt;=0.05, "No Evidence", ""))))</f>
        <v>Very high</v>
      </c>
      <c r="U1905">
        <v>3</v>
      </c>
    </row>
    <row r="1906" spans="1:22" x14ac:dyDescent="0.35">
      <c r="A1906" t="s">
        <v>744</v>
      </c>
      <c r="B1906" s="143">
        <v>45346</v>
      </c>
      <c r="C1906" s="2" t="str" cm="1">
        <f t="array" ref="C19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6">
        <v>2023</v>
      </c>
      <c r="E1906" s="1">
        <v>0.47916666666666669</v>
      </c>
      <c r="F1906" t="str">
        <f>IF(AND(AllData[[#This Row],[Time]]&lt;0.5, AllData[[#This Row],[Time]]&gt;0.17)=TRUE, "Morning", IF(AND(AllData[[#This Row],[Time]]&lt;0.75, AllData[[#This Row],[Time]]&gt;=0.5)=TRUE, "Afternoon", IF(AND(AllData[[#This Row],[Time]]&lt;1, AllData[[#This Row],[Time]]&gt;=0.75)=TRUE, "Evening", "Night")))</f>
        <v>Morning</v>
      </c>
      <c r="G1906" t="str">
        <f>_xlfn.XLOOKUP(AllData[[#This Row],[Location Name]], Locations[Location Name],Locations[Group As])</f>
        <v>Carrant Bredon Rd</v>
      </c>
      <c r="H1906" t="e" vm="4">
        <f>_xlfn.XLOOKUP(AllData[[#This Row],[Site Name]],LocationsKey[Site Name],LocationsKey[District])</f>
        <v>#VALUE!</v>
      </c>
      <c r="I1906" t="e" vm="4">
        <f>_xlfn.XLOOKUP(AllData[[#This Row],[Site Name]],LocationsKey[Site Name],LocationsKey[Town])</f>
        <v>#VALUE!</v>
      </c>
      <c r="J1906" t="str">
        <f>_xlfn.XLOOKUP(AllData[[#This Row],[Site Name]],LocationsKey[Site Name], LocationsKey[Waterway])</f>
        <v>Carrant</v>
      </c>
      <c r="K1906" t="s">
        <v>603</v>
      </c>
      <c r="L1906">
        <v>51.998399999999997</v>
      </c>
      <c r="M1906" s="108">
        <v>-2.1528</v>
      </c>
      <c r="N1906" t="s">
        <v>25</v>
      </c>
      <c r="O1906">
        <v>446</v>
      </c>
      <c r="P1906">
        <v>8</v>
      </c>
      <c r="Q1906">
        <v>3</v>
      </c>
      <c r="R1906" s="141" t="str">
        <f>IF(AllData[[#This Row],[Nitrate (PPM)]]&gt;2, "Very high", IF(AllData[[#This Row],[Nitrate (PPM)]]&gt;1, "High", IF(AllData[[#This Row],[Nitrate (PPM)]]&gt;0.5, "Some evidence", IF(AllData[[#This Row],[Nitrate (PPM)]]&gt;=0, "No evidence"))))</f>
        <v>Very high</v>
      </c>
      <c r="S1906" s="4">
        <v>0.62</v>
      </c>
      <c r="T1906" s="7" t="str">
        <f>IF(AllData[[#This Row],[Phosphate (PPM)]]&gt;0.5, "Very high", IF(AllData[[#This Row],[Phosphate (PPM)]]&gt;0.1, "High", IF(AllData[[#This Row],[Phosphate (PPM)]]&gt;0.05, "Some evidence", IF(AllData[[#This Row],[Phosphate (PPM)]]&lt;=0.05, "No Evidence", ""))))</f>
        <v>Very high</v>
      </c>
      <c r="U1906">
        <v>2.11</v>
      </c>
      <c r="V1906" t="s">
        <v>745</v>
      </c>
    </row>
    <row r="1907" spans="1:22" x14ac:dyDescent="0.35">
      <c r="A1907" t="s">
        <v>741</v>
      </c>
      <c r="B1907" s="143">
        <v>45345</v>
      </c>
      <c r="C1907" s="2" t="str" cm="1">
        <f t="array" ref="C19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7">
        <v>2023</v>
      </c>
      <c r="E1907" s="1">
        <v>0.7006944444444444</v>
      </c>
      <c r="F1907" t="str">
        <f>IF(AND(AllData[[#This Row],[Time]]&lt;0.5, AllData[[#This Row],[Time]]&gt;0.17)=TRUE, "Morning", IF(AND(AllData[[#This Row],[Time]]&lt;0.75, AllData[[#This Row],[Time]]&gt;=0.5)=TRUE, "Afternoon", IF(AND(AllData[[#This Row],[Time]]&lt;1, AllData[[#This Row],[Time]]&gt;=0.75)=TRUE, "Evening", "Night")))</f>
        <v>Afternoon</v>
      </c>
      <c r="G1907" t="str">
        <f>_xlfn.XLOOKUP(AllData[[#This Row],[Location Name]], Locations[Location Name],Locations[Group As])</f>
        <v>Preston-on-Stour River Bridge</v>
      </c>
      <c r="H1907" t="e" vm="1">
        <f>_xlfn.XLOOKUP(AllData[[#This Row],[Site Name]],LocationsKey[Site Name],LocationsKey[District])</f>
        <v>#VALUE!</v>
      </c>
      <c r="I1907" t="e" vm="20">
        <f>_xlfn.XLOOKUP(AllData[[#This Row],[Site Name]],LocationsKey[Site Name],LocationsKey[Town])</f>
        <v>#VALUE!</v>
      </c>
      <c r="J1907" t="str">
        <f>_xlfn.XLOOKUP(AllData[[#This Row],[Site Name]],LocationsKey[Site Name], LocationsKey[Waterway])</f>
        <v>Stour</v>
      </c>
      <c r="K1907" t="s">
        <v>164</v>
      </c>
      <c r="L1907">
        <v>52.146557000000001</v>
      </c>
      <c r="M1907" s="108">
        <v>-1.6997789999999999</v>
      </c>
      <c r="N1907" t="s">
        <v>31</v>
      </c>
      <c r="O1907">
        <v>436</v>
      </c>
      <c r="P1907">
        <v>7.6</v>
      </c>
      <c r="Q1907">
        <v>5</v>
      </c>
      <c r="R1907" s="141" t="str">
        <f>IF(AllData[[#This Row],[Nitrate (PPM)]]&gt;2, "Very high", IF(AllData[[#This Row],[Nitrate (PPM)]]&gt;1, "High", IF(AllData[[#This Row],[Nitrate (PPM)]]&gt;0.5, "Some evidence", IF(AllData[[#This Row],[Nitrate (PPM)]]&gt;=0, "No evidence"))))</f>
        <v>Very high</v>
      </c>
      <c r="S1907" s="4">
        <v>0.28000000000000003</v>
      </c>
      <c r="T1907" s="7" t="str">
        <f>IF(AllData[[#This Row],[Phosphate (PPM)]]&gt;0.5, "Very high", IF(AllData[[#This Row],[Phosphate (PPM)]]&gt;0.1, "High", IF(AllData[[#This Row],[Phosphate (PPM)]]&gt;0.05, "Some evidence", IF(AllData[[#This Row],[Phosphate (PPM)]]&lt;=0.05, "No Evidence", ""))))</f>
        <v>High</v>
      </c>
      <c r="U1907">
        <v>2</v>
      </c>
      <c r="V1907" t="s">
        <v>742</v>
      </c>
    </row>
    <row r="1908" spans="1:22" x14ac:dyDescent="0.35">
      <c r="A1908" t="s">
        <v>740</v>
      </c>
      <c r="B1908" s="143">
        <v>45345</v>
      </c>
      <c r="C1908" s="2" t="str" cm="1">
        <f t="array" ref="C19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8">
        <v>2023</v>
      </c>
      <c r="E1908" s="1">
        <v>0.61111111111111116</v>
      </c>
      <c r="F1908" t="str">
        <f>IF(AND(AllData[[#This Row],[Time]]&lt;0.5, AllData[[#This Row],[Time]]&gt;0.17)=TRUE, "Morning", IF(AND(AllData[[#This Row],[Time]]&lt;0.75, AllData[[#This Row],[Time]]&gt;=0.5)=TRUE, "Afternoon", IF(AND(AllData[[#This Row],[Time]]&lt;1, AllData[[#This Row],[Time]]&gt;=0.75)=TRUE, "Evening", "Night")))</f>
        <v>Afternoon</v>
      </c>
      <c r="G1908" t="str">
        <f>_xlfn.XLOOKUP(AllData[[#This Row],[Location Name]], Locations[Location Name],Locations[Group As])</f>
        <v>Preston Bagot Brook</v>
      </c>
      <c r="H1908" t="e" vm="1">
        <f>_xlfn.XLOOKUP(AllData[[#This Row],[Site Name]],LocationsKey[Site Name],LocationsKey[District])</f>
        <v>#VALUE!</v>
      </c>
      <c r="I1908" t="e" vm="21">
        <f>_xlfn.XLOOKUP(AllData[[#This Row],[Site Name]],LocationsKey[Site Name],LocationsKey[Town])</f>
        <v>#VALUE!</v>
      </c>
      <c r="J1908" t="str">
        <f>_xlfn.XLOOKUP(AllData[[#This Row],[Site Name]],LocationsKey[Site Name], LocationsKey[Waterway])</f>
        <v>Preston Bagot Brook</v>
      </c>
      <c r="K1908" t="s">
        <v>621</v>
      </c>
      <c r="L1908">
        <v>52.286200000000001</v>
      </c>
      <c r="M1908" s="108">
        <v>-1.7478</v>
      </c>
      <c r="N1908" t="s">
        <v>25</v>
      </c>
      <c r="O1908">
        <v>390</v>
      </c>
      <c r="P1908">
        <v>11.2</v>
      </c>
      <c r="Q1908">
        <v>2</v>
      </c>
      <c r="R1908" s="141" t="str">
        <f>IF(AllData[[#This Row],[Nitrate (PPM)]]&gt;2, "Very high", IF(AllData[[#This Row],[Nitrate (PPM)]]&gt;1, "High", IF(AllData[[#This Row],[Nitrate (PPM)]]&gt;0.5, "Some evidence", IF(AllData[[#This Row],[Nitrate (PPM)]]&gt;=0, "No evidence"))))</f>
        <v>High</v>
      </c>
      <c r="S1908" s="4">
        <v>0.56000000000000005</v>
      </c>
      <c r="T1908" s="7" t="str">
        <f>IF(AllData[[#This Row],[Phosphate (PPM)]]&gt;0.5, "Very high", IF(AllData[[#This Row],[Phosphate (PPM)]]&gt;0.1, "High", IF(AllData[[#This Row],[Phosphate (PPM)]]&gt;0.05, "Some evidence", IF(AllData[[#This Row],[Phosphate (PPM)]]&lt;=0.05, "No Evidence", ""))))</f>
        <v>Very high</v>
      </c>
      <c r="U1908">
        <v>0</v>
      </c>
      <c r="V1908" t="s">
        <v>739</v>
      </c>
    </row>
    <row r="1909" spans="1:22" x14ac:dyDescent="0.35">
      <c r="A1909" t="s">
        <v>738</v>
      </c>
      <c r="B1909" s="143">
        <v>45345</v>
      </c>
      <c r="C1909" s="2" t="str" cm="1">
        <f t="array" ref="C19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09">
        <v>2023</v>
      </c>
      <c r="E1909" s="1">
        <v>0.60416666666666663</v>
      </c>
      <c r="F1909" t="str">
        <f>IF(AND(AllData[[#This Row],[Time]]&lt;0.5, AllData[[#This Row],[Time]]&gt;0.17)=TRUE, "Morning", IF(AND(AllData[[#This Row],[Time]]&lt;0.75, AllData[[#This Row],[Time]]&gt;=0.5)=TRUE, "Afternoon", IF(AND(AllData[[#This Row],[Time]]&lt;1, AllData[[#This Row],[Time]]&gt;=0.75)=TRUE, "Evening", "Night")))</f>
        <v>Afternoon</v>
      </c>
      <c r="G1909" t="str">
        <f>_xlfn.XLOOKUP(AllData[[#This Row],[Location Name]], Locations[Location Name],Locations[Group As])</f>
        <v>Preston Bagot Canal</v>
      </c>
      <c r="H1909" t="e" vm="1">
        <f>_xlfn.XLOOKUP(AllData[[#This Row],[Site Name]],LocationsKey[Site Name],LocationsKey[District])</f>
        <v>#VALUE!</v>
      </c>
      <c r="I1909" t="e" vm="21">
        <f>_xlfn.XLOOKUP(AllData[[#This Row],[Site Name]],LocationsKey[Site Name],LocationsKey[Town])</f>
        <v>#VALUE!</v>
      </c>
      <c r="J1909" t="str">
        <f>_xlfn.XLOOKUP(AllData[[#This Row],[Site Name]],LocationsKey[Site Name], LocationsKey[Waterway])</f>
        <v>Preston Bagot Canal</v>
      </c>
      <c r="K1909" t="s">
        <v>618</v>
      </c>
      <c r="M1909" s="108"/>
      <c r="N1909" t="s">
        <v>25</v>
      </c>
      <c r="O1909">
        <v>22</v>
      </c>
      <c r="P1909">
        <v>10.1</v>
      </c>
      <c r="Q1909">
        <v>2</v>
      </c>
      <c r="R1909" s="141" t="str">
        <f>IF(AllData[[#This Row],[Nitrate (PPM)]]&gt;2, "Very high", IF(AllData[[#This Row],[Nitrate (PPM)]]&gt;1, "High", IF(AllData[[#This Row],[Nitrate (PPM)]]&gt;0.5, "Some evidence", IF(AllData[[#This Row],[Nitrate (PPM)]]&gt;=0, "No evidence"))))</f>
        <v>High</v>
      </c>
      <c r="S1909" s="4">
        <v>0.3</v>
      </c>
      <c r="T1909" s="7" t="str">
        <f>IF(AllData[[#This Row],[Phosphate (PPM)]]&gt;0.5, "Very high", IF(AllData[[#This Row],[Phosphate (PPM)]]&gt;0.1, "High", IF(AllData[[#This Row],[Phosphate (PPM)]]&gt;0.05, "Some evidence", IF(AllData[[#This Row],[Phosphate (PPM)]]&lt;=0.05, "No Evidence", ""))))</f>
        <v>High</v>
      </c>
      <c r="U1909">
        <v>0</v>
      </c>
      <c r="V1909" t="s">
        <v>739</v>
      </c>
    </row>
    <row r="1910" spans="1:22" x14ac:dyDescent="0.35">
      <c r="A1910" t="s">
        <v>735</v>
      </c>
      <c r="B1910" s="143">
        <v>45345</v>
      </c>
      <c r="C1910" s="2" t="str" cm="1">
        <f t="array" ref="C19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0">
        <v>2023</v>
      </c>
      <c r="E1910" s="1">
        <v>0.4375</v>
      </c>
      <c r="F1910" t="str">
        <f>IF(AND(AllData[[#This Row],[Time]]&lt;0.5, AllData[[#This Row],[Time]]&gt;0.17)=TRUE, "Morning", IF(AND(AllData[[#This Row],[Time]]&lt;0.75, AllData[[#This Row],[Time]]&gt;=0.5)=TRUE, "Afternoon", IF(AND(AllData[[#This Row],[Time]]&lt;1, AllData[[#This Row],[Time]]&gt;=0.75)=TRUE, "Evening", "Night")))</f>
        <v>Morning</v>
      </c>
      <c r="G1910" t="str">
        <f>_xlfn.XLOOKUP(AllData[[#This Row],[Location Name]], Locations[Location Name],Locations[Group As])</f>
        <v>Mill Bridge Peopleton</v>
      </c>
      <c r="H1910" t="e" vm="6">
        <f>_xlfn.XLOOKUP(AllData[[#This Row],[Site Name]],LocationsKey[Site Name],LocationsKey[District])</f>
        <v>#VALUE!</v>
      </c>
      <c r="I1910" t="str">
        <f>_xlfn.XLOOKUP(AllData[[#This Row],[Site Name]],LocationsKey[Site Name],LocationsKey[Town])</f>
        <v>Peopleton</v>
      </c>
      <c r="J1910" t="str">
        <f>_xlfn.XLOOKUP(AllData[[#This Row],[Site Name]],LocationsKey[Site Name], LocationsKey[Waterway])</f>
        <v>Bow Brook</v>
      </c>
      <c r="K1910" t="s">
        <v>736</v>
      </c>
      <c r="L1910">
        <v>52.151693999999999</v>
      </c>
      <c r="M1910" s="108">
        <v>-2.0962040000000002</v>
      </c>
      <c r="N1910" t="s">
        <v>31</v>
      </c>
      <c r="O1910">
        <v>305</v>
      </c>
      <c r="P1910">
        <v>6.9</v>
      </c>
      <c r="R1910" s="141"/>
      <c r="S1910" s="4">
        <v>0.21</v>
      </c>
      <c r="T1910" s="7" t="str">
        <f>IF(AllData[[#This Row],[Phosphate (PPM)]]&gt;0.5, "Very high", IF(AllData[[#This Row],[Phosphate (PPM)]]&gt;0.1, "High", IF(AllData[[#This Row],[Phosphate (PPM)]]&gt;0.05, "Some evidence", IF(AllData[[#This Row],[Phosphate (PPM)]]&lt;=0.05, "No Evidence", ""))))</f>
        <v>High</v>
      </c>
      <c r="U1910">
        <v>2</v>
      </c>
      <c r="V1910" t="s">
        <v>737</v>
      </c>
    </row>
    <row r="1911" spans="1:22" x14ac:dyDescent="0.35">
      <c r="A1911" t="s">
        <v>734</v>
      </c>
      <c r="B1911" s="143">
        <v>45344</v>
      </c>
      <c r="C1911" s="2" t="str" cm="1">
        <f t="array" ref="C19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1">
        <v>2023</v>
      </c>
      <c r="E1911" s="1">
        <v>0.5625</v>
      </c>
      <c r="F1911" t="str">
        <f>IF(AND(AllData[[#This Row],[Time]]&lt;0.5, AllData[[#This Row],[Time]]&gt;0.17)=TRUE, "Morning", IF(AND(AllData[[#This Row],[Time]]&lt;0.75, AllData[[#This Row],[Time]]&gt;=0.5)=TRUE, "Afternoon", IF(AND(AllData[[#This Row],[Time]]&lt;1, AllData[[#This Row],[Time]]&gt;=0.75)=TRUE, "Evening", "Night")))</f>
        <v>Afternoon</v>
      </c>
      <c r="G1911" t="str">
        <f>_xlfn.XLOOKUP(AllData[[#This Row],[Location Name]], Locations[Location Name],Locations[Group As])</f>
        <v>Swilgate</v>
      </c>
      <c r="H1911" t="e" vm="4">
        <f>_xlfn.XLOOKUP(AllData[[#This Row],[Site Name]],LocationsKey[Site Name],LocationsKey[District])</f>
        <v>#VALUE!</v>
      </c>
      <c r="I1911" t="e" vm="4">
        <f>_xlfn.XLOOKUP(AllData[[#This Row],[Site Name]],LocationsKey[Site Name],LocationsKey[Town])</f>
        <v>#VALUE!</v>
      </c>
      <c r="J1911" t="str">
        <f>_xlfn.XLOOKUP(AllData[[#This Row],[Site Name]],LocationsKey[Site Name], LocationsKey[Waterway])</f>
        <v>Swilgate</v>
      </c>
      <c r="K1911" t="s">
        <v>85</v>
      </c>
      <c r="M1911" s="108"/>
      <c r="N1911" t="s">
        <v>25</v>
      </c>
      <c r="O1911">
        <v>709</v>
      </c>
      <c r="P1911">
        <v>9.5</v>
      </c>
      <c r="Q1911">
        <v>3</v>
      </c>
      <c r="R1911" s="141" t="str">
        <f>IF(AllData[[#This Row],[Nitrate (PPM)]]&gt;2, "Very high", IF(AllData[[#This Row],[Nitrate (PPM)]]&gt;1, "High", IF(AllData[[#This Row],[Nitrate (PPM)]]&gt;0.5, "Some evidence", IF(AllData[[#This Row],[Nitrate (PPM)]]&gt;=0, "No evidence"))))</f>
        <v>Very high</v>
      </c>
      <c r="S1911" s="4">
        <v>0.47</v>
      </c>
      <c r="T1911" s="7" t="str">
        <f>IF(AllData[[#This Row],[Phosphate (PPM)]]&gt;0.5, "Very high", IF(AllData[[#This Row],[Phosphate (PPM)]]&gt;0.1, "High", IF(AllData[[#This Row],[Phosphate (PPM)]]&gt;0.05, "Some evidence", IF(AllData[[#This Row],[Phosphate (PPM)]]&lt;=0.05, "No Evidence", ""))))</f>
        <v>High</v>
      </c>
      <c r="U1911">
        <v>2.5</v>
      </c>
      <c r="V1911" t="s">
        <v>293</v>
      </c>
    </row>
    <row r="1912" spans="1:22" x14ac:dyDescent="0.35">
      <c r="A1912" t="s">
        <v>733</v>
      </c>
      <c r="B1912" s="143">
        <v>45344</v>
      </c>
      <c r="C1912" s="2" t="str" cm="1">
        <f t="array" ref="C19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2">
        <v>2023</v>
      </c>
      <c r="E1912" s="1">
        <v>0.49444444444444446</v>
      </c>
      <c r="F1912" t="str">
        <f>IF(AND(AllData[[#This Row],[Time]]&lt;0.5, AllData[[#This Row],[Time]]&gt;0.17)=TRUE, "Morning", IF(AND(AllData[[#This Row],[Time]]&lt;0.75, AllData[[#This Row],[Time]]&gt;=0.5)=TRUE, "Afternoon", IF(AND(AllData[[#This Row],[Time]]&lt;1, AllData[[#This Row],[Time]]&gt;=0.75)=TRUE, "Evening", "Night")))</f>
        <v>Morning</v>
      </c>
      <c r="G1912" t="str">
        <f>_xlfn.XLOOKUP(AllData[[#This Row],[Location Name]], Locations[Location Name],Locations[Group As])</f>
        <v>Stour Willington</v>
      </c>
      <c r="H1912" t="e" vm="1">
        <f>_xlfn.XLOOKUP(AllData[[#This Row],[Site Name]],LocationsKey[Site Name],LocationsKey[District])</f>
        <v>#VALUE!</v>
      </c>
      <c r="I1912" t="str">
        <f>_xlfn.XLOOKUP(AllData[[#This Row],[Site Name]],LocationsKey[Site Name],LocationsKey[Town])</f>
        <v>Willington</v>
      </c>
      <c r="J1912" t="str">
        <f>_xlfn.XLOOKUP(AllData[[#This Row],[Site Name]],LocationsKey[Site Name], LocationsKey[Waterway])</f>
        <v>Stour</v>
      </c>
      <c r="K1912" t="s">
        <v>521</v>
      </c>
      <c r="L1912">
        <v>52.053592000000002</v>
      </c>
      <c r="M1912" s="108">
        <v>-1.620263</v>
      </c>
      <c r="N1912" t="s">
        <v>25</v>
      </c>
      <c r="O1912">
        <v>427</v>
      </c>
      <c r="P1912">
        <v>10.4</v>
      </c>
      <c r="Q1912">
        <v>0.2</v>
      </c>
      <c r="R1912" s="141" t="str">
        <f>IF(AllData[[#This Row],[Nitrate (PPM)]]&gt;2, "Very high", IF(AllData[[#This Row],[Nitrate (PPM)]]&gt;1, "High", IF(AllData[[#This Row],[Nitrate (PPM)]]&gt;0.5, "Some evidence", IF(AllData[[#This Row],[Nitrate (PPM)]]&gt;=0, "No evidence"))))</f>
        <v>No evidence</v>
      </c>
      <c r="S1912" s="4">
        <v>0.16</v>
      </c>
      <c r="T1912" s="7" t="str">
        <f>IF(AllData[[#This Row],[Phosphate (PPM)]]&gt;0.5, "Very high", IF(AllData[[#This Row],[Phosphate (PPM)]]&gt;0.1, "High", IF(AllData[[#This Row],[Phosphate (PPM)]]&gt;0.05, "Some evidence", IF(AllData[[#This Row],[Phosphate (PPM)]]&lt;=0.05, "No Evidence", ""))))</f>
        <v>High</v>
      </c>
      <c r="U1912">
        <v>1.25</v>
      </c>
      <c r="V1912" t="s">
        <v>688</v>
      </c>
    </row>
    <row r="1913" spans="1:22" x14ac:dyDescent="0.35">
      <c r="A1913" t="s">
        <v>729</v>
      </c>
      <c r="B1913" s="143">
        <v>45343</v>
      </c>
      <c r="C1913" s="2" t="str" cm="1">
        <f t="array" ref="C19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3">
        <v>2023</v>
      </c>
      <c r="E1913" s="1">
        <v>0.64583333333333337</v>
      </c>
      <c r="F1913" t="str">
        <f>IF(AND(AllData[[#This Row],[Time]]&lt;0.5, AllData[[#This Row],[Time]]&gt;0.17)=TRUE, "Morning", IF(AND(AllData[[#This Row],[Time]]&lt;0.75, AllData[[#This Row],[Time]]&gt;=0.5)=TRUE, "Afternoon", IF(AND(AllData[[#This Row],[Time]]&lt;1, AllData[[#This Row],[Time]]&gt;=0.75)=TRUE, "Evening", "Night")))</f>
        <v>Afternoon</v>
      </c>
      <c r="G1913" t="str">
        <f>_xlfn.XLOOKUP(AllData[[#This Row],[Location Name]], Locations[Location Name],Locations[Group As])</f>
        <v>Alveston Weir</v>
      </c>
      <c r="H1913" t="e" vm="1">
        <f>_xlfn.XLOOKUP(AllData[[#This Row],[Site Name]],LocationsKey[Site Name],LocationsKey[District])</f>
        <v>#VALUE!</v>
      </c>
      <c r="I1913" t="e" vm="2">
        <f>_xlfn.XLOOKUP(AllData[[#This Row],[Site Name]],LocationsKey[Site Name],LocationsKey[Town])</f>
        <v>#VALUE!</v>
      </c>
      <c r="J1913" t="str">
        <f>_xlfn.XLOOKUP(AllData[[#This Row],[Site Name]],LocationsKey[Site Name], LocationsKey[Waterway])</f>
        <v>Avon</v>
      </c>
      <c r="K1913" t="s">
        <v>288</v>
      </c>
      <c r="L1913">
        <v>52.212288999999998</v>
      </c>
      <c r="M1913" s="108">
        <v>-1.660452</v>
      </c>
      <c r="N1913" t="s">
        <v>31</v>
      </c>
      <c r="O1913">
        <v>498</v>
      </c>
      <c r="P1913">
        <v>11.4</v>
      </c>
      <c r="Q1913">
        <v>5</v>
      </c>
      <c r="R1913" s="141" t="str">
        <f>IF(AllData[[#This Row],[Nitrate (PPM)]]&gt;2, "Very high", IF(AllData[[#This Row],[Nitrate (PPM)]]&gt;1, "High", IF(AllData[[#This Row],[Nitrate (PPM)]]&gt;0.5, "Some evidence", IF(AllData[[#This Row],[Nitrate (PPM)]]&gt;=0, "No evidence"))))</f>
        <v>Very high</v>
      </c>
      <c r="S1913" s="4">
        <v>0.48</v>
      </c>
      <c r="T1913" s="7" t="str">
        <f>IF(AllData[[#This Row],[Phosphate (PPM)]]&gt;0.5, "Very high", IF(AllData[[#This Row],[Phosphate (PPM)]]&gt;0.1, "High", IF(AllData[[#This Row],[Phosphate (PPM)]]&gt;0.05, "Some evidence", IF(AllData[[#This Row],[Phosphate (PPM)]]&lt;=0.05, "No Evidence", ""))))</f>
        <v>High</v>
      </c>
      <c r="U1913">
        <v>1.8</v>
      </c>
      <c r="V1913" t="s">
        <v>730</v>
      </c>
    </row>
    <row r="1914" spans="1:22" x14ac:dyDescent="0.35">
      <c r="A1914" t="s">
        <v>727</v>
      </c>
      <c r="B1914" s="143">
        <v>45343</v>
      </c>
      <c r="C1914" s="2" t="str" cm="1">
        <f t="array" ref="C19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4">
        <v>2023</v>
      </c>
      <c r="E1914" s="1">
        <v>0.625</v>
      </c>
      <c r="F1914" t="str">
        <f>IF(AND(AllData[[#This Row],[Time]]&lt;0.5, AllData[[#This Row],[Time]]&gt;0.17)=TRUE, "Morning", IF(AND(AllData[[#This Row],[Time]]&lt;0.75, AllData[[#This Row],[Time]]&gt;=0.5)=TRUE, "Afternoon", IF(AND(AllData[[#This Row],[Time]]&lt;1, AllData[[#This Row],[Time]]&gt;=0.75)=TRUE, "Evening", "Night")))</f>
        <v>Afternoon</v>
      </c>
      <c r="G1914" t="str">
        <f>_xlfn.XLOOKUP(AllData[[#This Row],[Location Name]], Locations[Location Name],Locations[Group As])</f>
        <v>Swiffen Bank</v>
      </c>
      <c r="H1914" t="e" vm="1">
        <f>_xlfn.XLOOKUP(AllData[[#This Row],[Site Name]],LocationsKey[Site Name],LocationsKey[District])</f>
        <v>#VALUE!</v>
      </c>
      <c r="I1914" t="e" vm="2">
        <f>_xlfn.XLOOKUP(AllData[[#This Row],[Site Name]],LocationsKey[Site Name],LocationsKey[Town])</f>
        <v>#VALUE!</v>
      </c>
      <c r="J1914" t="str">
        <f>_xlfn.XLOOKUP(AllData[[#This Row],[Site Name]],LocationsKey[Site Name], LocationsKey[Waterway])</f>
        <v>Avon</v>
      </c>
      <c r="K1914" t="s">
        <v>286</v>
      </c>
      <c r="L1914">
        <v>52.206477999999997</v>
      </c>
      <c r="M1914" s="108">
        <v>-1.653894</v>
      </c>
      <c r="N1914" t="s">
        <v>31</v>
      </c>
      <c r="O1914">
        <v>496</v>
      </c>
      <c r="P1914">
        <v>12.6</v>
      </c>
      <c r="Q1914">
        <v>5</v>
      </c>
      <c r="R1914" s="141" t="str">
        <f>IF(AllData[[#This Row],[Nitrate (PPM)]]&gt;2, "Very high", IF(AllData[[#This Row],[Nitrate (PPM)]]&gt;1, "High", IF(AllData[[#This Row],[Nitrate (PPM)]]&gt;0.5, "Some evidence", IF(AllData[[#This Row],[Nitrate (PPM)]]&gt;=0, "No evidence"))))</f>
        <v>Very high</v>
      </c>
      <c r="S1914" s="4">
        <v>0.56000000000000005</v>
      </c>
      <c r="T1914" s="7" t="str">
        <f>IF(AllData[[#This Row],[Phosphate (PPM)]]&gt;0.5, "Very high", IF(AllData[[#This Row],[Phosphate (PPM)]]&gt;0.1, "High", IF(AllData[[#This Row],[Phosphate (PPM)]]&gt;0.05, "Some evidence", IF(AllData[[#This Row],[Phosphate (PPM)]]&lt;=0.05, "No Evidence", ""))))</f>
        <v>Very high</v>
      </c>
      <c r="U1914">
        <v>1.8</v>
      </c>
      <c r="V1914" t="s">
        <v>728</v>
      </c>
    </row>
    <row r="1915" spans="1:22" x14ac:dyDescent="0.35">
      <c r="A1915" t="s">
        <v>731</v>
      </c>
      <c r="B1915" s="143">
        <v>45343</v>
      </c>
      <c r="C1915" s="2" t="str" cm="1">
        <f t="array" ref="C19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5">
        <v>2023</v>
      </c>
      <c r="E1915" s="1">
        <v>0.66666666666666663</v>
      </c>
      <c r="F1915" t="str">
        <f>IF(AND(AllData[[#This Row],[Time]]&lt;0.5, AllData[[#This Row],[Time]]&gt;0.17)=TRUE, "Morning", IF(AND(AllData[[#This Row],[Time]]&lt;0.75, AllData[[#This Row],[Time]]&gt;=0.5)=TRUE, "Afternoon", IF(AND(AllData[[#This Row],[Time]]&lt;1, AllData[[#This Row],[Time]]&gt;=0.75)=TRUE, "Evening", "Night")))</f>
        <v>Afternoon</v>
      </c>
      <c r="G1915" t="str">
        <f>_xlfn.XLOOKUP(AllData[[#This Row],[Location Name]], Locations[Location Name],Locations[Group As])</f>
        <v>Stour Newbold Mill</v>
      </c>
      <c r="H1915" t="e" vm="1">
        <f>_xlfn.XLOOKUP(AllData[[#This Row],[Site Name]],LocationsKey[Site Name],LocationsKey[District])</f>
        <v>#VALUE!</v>
      </c>
      <c r="I1915" t="e" vm="27">
        <f>_xlfn.XLOOKUP(AllData[[#This Row],[Site Name]],LocationsKey[Site Name],LocationsKey[Town])</f>
        <v>#VALUE!</v>
      </c>
      <c r="J1915" t="str">
        <f>_xlfn.XLOOKUP(AllData[[#This Row],[Site Name]],LocationsKey[Site Name], LocationsKey[Waterway])</f>
        <v>Stour</v>
      </c>
      <c r="K1915" t="s">
        <v>141</v>
      </c>
      <c r="L1915">
        <v>52.112822000000001</v>
      </c>
      <c r="M1915" s="108">
        <v>-1.6334850000000001</v>
      </c>
      <c r="N1915" t="s">
        <v>68</v>
      </c>
      <c r="O1915">
        <v>483</v>
      </c>
      <c r="P1915">
        <v>12.1</v>
      </c>
      <c r="Q1915">
        <v>2</v>
      </c>
      <c r="R1915" s="141" t="str">
        <f>IF(AllData[[#This Row],[Nitrate (PPM)]]&gt;2, "Very high", IF(AllData[[#This Row],[Nitrate (PPM)]]&gt;1, "High", IF(AllData[[#This Row],[Nitrate (PPM)]]&gt;0.5, "Some evidence", IF(AllData[[#This Row],[Nitrate (PPM)]]&gt;=0, "No evidence"))))</f>
        <v>High</v>
      </c>
      <c r="S1915" s="4">
        <v>0.22</v>
      </c>
      <c r="T1915" s="7" t="str">
        <f>IF(AllData[[#This Row],[Phosphate (PPM)]]&gt;0.5, "Very high", IF(AllData[[#This Row],[Phosphate (PPM)]]&gt;0.1, "High", IF(AllData[[#This Row],[Phosphate (PPM)]]&gt;0.05, "Some evidence", IF(AllData[[#This Row],[Phosphate (PPM)]]&lt;=0.05, "No Evidence", ""))))</f>
        <v>High</v>
      </c>
      <c r="U1915">
        <v>3.5</v>
      </c>
      <c r="V1915" t="s">
        <v>732</v>
      </c>
    </row>
    <row r="1916" spans="1:22" x14ac:dyDescent="0.35">
      <c r="A1916" t="s">
        <v>725</v>
      </c>
      <c r="B1916" s="143">
        <v>45341</v>
      </c>
      <c r="C1916" s="2" t="str" cm="1">
        <f t="array" ref="C19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6">
        <v>2023</v>
      </c>
      <c r="E1916" s="1">
        <v>0.6694444444444444</v>
      </c>
      <c r="F1916" t="str">
        <f>IF(AND(AllData[[#This Row],[Time]]&lt;0.5, AllData[[#This Row],[Time]]&gt;0.17)=TRUE, "Morning", IF(AND(AllData[[#This Row],[Time]]&lt;0.75, AllData[[#This Row],[Time]]&gt;=0.5)=TRUE, "Afternoon", IF(AND(AllData[[#This Row],[Time]]&lt;1, AllData[[#This Row],[Time]]&gt;=0.75)=TRUE, "Evening", "Night")))</f>
        <v>Afternoon</v>
      </c>
      <c r="G1916" t="str">
        <f>_xlfn.XLOOKUP(AllData[[#This Row],[Location Name]], Locations[Location Name],Locations[Group As])</f>
        <v>Abbey Mill</v>
      </c>
      <c r="H1916" t="e" vm="4">
        <f>_xlfn.XLOOKUP(AllData[[#This Row],[Site Name]],LocationsKey[Site Name],LocationsKey[District])</f>
        <v>#VALUE!</v>
      </c>
      <c r="I1916" t="e" vm="4">
        <f>_xlfn.XLOOKUP(AllData[[#This Row],[Site Name]],LocationsKey[Site Name],LocationsKey[Town])</f>
        <v>#VALUE!</v>
      </c>
      <c r="J1916" t="str">
        <f>_xlfn.XLOOKUP(AllData[[#This Row],[Site Name]],LocationsKey[Site Name], LocationsKey[Waterway])</f>
        <v>Avon</v>
      </c>
      <c r="K1916" t="s">
        <v>27</v>
      </c>
      <c r="L1916">
        <v>51.990988000000002</v>
      </c>
      <c r="M1916" s="108">
        <v>-2.162048</v>
      </c>
      <c r="N1916" t="s">
        <v>25</v>
      </c>
      <c r="O1916">
        <v>469</v>
      </c>
      <c r="P1916">
        <v>11.6</v>
      </c>
      <c r="Q1916">
        <v>4</v>
      </c>
      <c r="R1916" s="141" t="str">
        <f>IF(AllData[[#This Row],[Nitrate (PPM)]]&gt;2, "Very high", IF(AllData[[#This Row],[Nitrate (PPM)]]&gt;1, "High", IF(AllData[[#This Row],[Nitrate (PPM)]]&gt;0.5, "Some evidence", IF(AllData[[#This Row],[Nitrate (PPM)]]&gt;=0, "No evidence"))))</f>
        <v>Very high</v>
      </c>
      <c r="S1916" s="4">
        <v>0.6</v>
      </c>
      <c r="T1916" s="7" t="str">
        <f>IF(AllData[[#This Row],[Phosphate (PPM)]]&gt;0.5, "Very high", IF(AllData[[#This Row],[Phosphate (PPM)]]&gt;0.1, "High", IF(AllData[[#This Row],[Phosphate (PPM)]]&gt;0.05, "Some evidence", IF(AllData[[#This Row],[Phosphate (PPM)]]&lt;=0.05, "No Evidence", ""))))</f>
        <v>Very high</v>
      </c>
      <c r="U1916">
        <v>2.2999999999999998</v>
      </c>
      <c r="V1916" t="s">
        <v>726</v>
      </c>
    </row>
    <row r="1917" spans="1:22" x14ac:dyDescent="0.35">
      <c r="A1917" t="s">
        <v>724</v>
      </c>
      <c r="B1917" s="143">
        <v>45341</v>
      </c>
      <c r="C1917" s="2" t="str" cm="1">
        <f t="array" ref="C19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7">
        <v>2023</v>
      </c>
      <c r="E1917" s="1">
        <v>0.38750000000000001</v>
      </c>
      <c r="F1917" t="str">
        <f>IF(AND(AllData[[#This Row],[Time]]&lt;0.5, AllData[[#This Row],[Time]]&gt;0.17)=TRUE, "Morning", IF(AND(AllData[[#This Row],[Time]]&lt;0.75, AllData[[#This Row],[Time]]&gt;=0.5)=TRUE, "Afternoon", IF(AND(AllData[[#This Row],[Time]]&lt;1, AllData[[#This Row],[Time]]&gt;=0.75)=TRUE, "Evening", "Night")))</f>
        <v>Morning</v>
      </c>
      <c r="G1917" t="str">
        <f>_xlfn.XLOOKUP(AllData[[#This Row],[Location Name]], Locations[Location Name],Locations[Group As])</f>
        <v>Stour Stretton-on-Fosse Sewage Works</v>
      </c>
      <c r="H1917" t="e" vm="1">
        <f>_xlfn.XLOOKUP(AllData[[#This Row],[Site Name]],LocationsKey[Site Name],LocationsKey[District])</f>
        <v>#VALUE!</v>
      </c>
      <c r="I1917" t="e" vm="30">
        <f>_xlfn.XLOOKUP(AllData[[#This Row],[Site Name]],LocationsKey[Site Name],LocationsKey[Town])</f>
        <v>#VALUE!</v>
      </c>
      <c r="J1917" t="str">
        <f>_xlfn.XLOOKUP(AllData[[#This Row],[Site Name]],LocationsKey[Site Name], LocationsKey[Waterway])</f>
        <v>Stour</v>
      </c>
      <c r="K1917" t="s">
        <v>337</v>
      </c>
      <c r="L1917">
        <v>52.045682999999997</v>
      </c>
      <c r="M1917" s="108">
        <v>-1.6719710000000001</v>
      </c>
      <c r="N1917" t="s">
        <v>31</v>
      </c>
      <c r="O1917">
        <v>513</v>
      </c>
      <c r="P1917">
        <v>9.1999999999999993</v>
      </c>
      <c r="Q1917">
        <v>2</v>
      </c>
      <c r="R1917" s="141" t="str">
        <f>IF(AllData[[#This Row],[Nitrate (PPM)]]&gt;2, "Very high", IF(AllData[[#This Row],[Nitrate (PPM)]]&gt;1, "High", IF(AllData[[#This Row],[Nitrate (PPM)]]&gt;0.5, "Some evidence", IF(AllData[[#This Row],[Nitrate (PPM)]]&gt;=0, "No evidence"))))</f>
        <v>High</v>
      </c>
      <c r="S1917" s="4">
        <v>0.85</v>
      </c>
      <c r="T1917" s="7" t="str">
        <f>IF(AllData[[#This Row],[Phosphate (PPM)]]&gt;0.5, "Very high", IF(AllData[[#This Row],[Phosphate (PPM)]]&gt;0.1, "High", IF(AllData[[#This Row],[Phosphate (PPM)]]&gt;0.05, "Some evidence", IF(AllData[[#This Row],[Phosphate (PPM)]]&lt;=0.05, "No Evidence", ""))))</f>
        <v>Very high</v>
      </c>
      <c r="U1917">
        <v>0.3</v>
      </c>
    </row>
    <row r="1918" spans="1:22" x14ac:dyDescent="0.35">
      <c r="A1918" t="s">
        <v>723</v>
      </c>
      <c r="B1918" s="143">
        <v>45341</v>
      </c>
      <c r="C1918" s="2" t="str" cm="1">
        <f t="array" ref="C19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8">
        <v>2023</v>
      </c>
      <c r="E1918" s="1">
        <v>0.37430555555555556</v>
      </c>
      <c r="F1918" t="str">
        <f>IF(AND(AllData[[#This Row],[Time]]&lt;0.5, AllData[[#This Row],[Time]]&gt;0.17)=TRUE, "Morning", IF(AND(AllData[[#This Row],[Time]]&lt;0.75, AllData[[#This Row],[Time]]&gt;=0.5)=TRUE, "Afternoon", IF(AND(AllData[[#This Row],[Time]]&lt;1, AllData[[#This Row],[Time]]&gt;=0.75)=TRUE, "Evening", "Night")))</f>
        <v>Morning</v>
      </c>
      <c r="G1918" t="str">
        <f>_xlfn.XLOOKUP(AllData[[#This Row],[Location Name]], Locations[Location Name],Locations[Group As])</f>
        <v>Stour Stretton-on-Fosse Village</v>
      </c>
      <c r="H1918" t="e" vm="1">
        <f>_xlfn.XLOOKUP(AllData[[#This Row],[Site Name]],LocationsKey[Site Name],LocationsKey[District])</f>
        <v>#VALUE!</v>
      </c>
      <c r="I1918" t="e" vm="30">
        <f>_xlfn.XLOOKUP(AllData[[#This Row],[Site Name]],LocationsKey[Site Name],LocationsKey[Town])</f>
        <v>#VALUE!</v>
      </c>
      <c r="J1918" t="str">
        <f>_xlfn.XLOOKUP(AllData[[#This Row],[Site Name]],LocationsKey[Site Name], LocationsKey[Waterway])</f>
        <v>Stour</v>
      </c>
      <c r="K1918" t="s">
        <v>548</v>
      </c>
      <c r="L1918">
        <v>52.046523000000001</v>
      </c>
      <c r="M1918" s="108">
        <v>-1.6734359999999999</v>
      </c>
      <c r="N1918" t="s">
        <v>68</v>
      </c>
      <c r="O1918">
        <v>483</v>
      </c>
      <c r="P1918">
        <v>10</v>
      </c>
      <c r="Q1918">
        <v>2</v>
      </c>
      <c r="R1918" s="141" t="str">
        <f>IF(AllData[[#This Row],[Nitrate (PPM)]]&gt;2, "Very high", IF(AllData[[#This Row],[Nitrate (PPM)]]&gt;1, "High", IF(AllData[[#This Row],[Nitrate (PPM)]]&gt;0.5, "Some evidence", IF(AllData[[#This Row],[Nitrate (PPM)]]&gt;=0, "No evidence"))))</f>
        <v>High</v>
      </c>
      <c r="S1918" s="4">
        <v>0.73</v>
      </c>
      <c r="T1918" s="7" t="str">
        <f>IF(AllData[[#This Row],[Phosphate (PPM)]]&gt;0.5, "Very high", IF(AllData[[#This Row],[Phosphate (PPM)]]&gt;0.1, "High", IF(AllData[[#This Row],[Phosphate (PPM)]]&gt;0.05, "Some evidence", IF(AllData[[#This Row],[Phosphate (PPM)]]&lt;=0.05, "No Evidence", ""))))</f>
        <v>Very high</v>
      </c>
      <c r="U1918">
        <v>0.25</v>
      </c>
    </row>
    <row r="1919" spans="1:22" x14ac:dyDescent="0.35">
      <c r="A1919" t="s">
        <v>717</v>
      </c>
      <c r="B1919" s="143">
        <v>45340</v>
      </c>
      <c r="C1919" s="2" t="str" cm="1">
        <f t="array" ref="C19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19">
        <v>2023</v>
      </c>
      <c r="E1919" s="1">
        <v>0.47916666666666669</v>
      </c>
      <c r="F1919" t="str">
        <f>IF(AND(AllData[[#This Row],[Time]]&lt;0.5, AllData[[#This Row],[Time]]&gt;0.17)=TRUE, "Morning", IF(AND(AllData[[#This Row],[Time]]&lt;0.75, AllData[[#This Row],[Time]]&gt;=0.5)=TRUE, "Afternoon", IF(AND(AllData[[#This Row],[Time]]&lt;1, AllData[[#This Row],[Time]]&gt;=0.75)=TRUE, "Evening", "Night")))</f>
        <v>Morning</v>
      </c>
      <c r="G1919" t="str">
        <f>_xlfn.XLOOKUP(AllData[[#This Row],[Location Name]], Locations[Location Name],Locations[Group As])</f>
        <v>Carrant Bredon Rd</v>
      </c>
      <c r="H1919" t="e" vm="4">
        <f>_xlfn.XLOOKUP(AllData[[#This Row],[Site Name]],LocationsKey[Site Name],LocationsKey[District])</f>
        <v>#VALUE!</v>
      </c>
      <c r="I1919" t="e" vm="4">
        <f>_xlfn.XLOOKUP(AllData[[#This Row],[Site Name]],LocationsKey[Site Name],LocationsKey[Town])</f>
        <v>#VALUE!</v>
      </c>
      <c r="J1919" t="str">
        <f>_xlfn.XLOOKUP(AllData[[#This Row],[Site Name]],LocationsKey[Site Name], LocationsKey[Waterway])</f>
        <v>Carrant</v>
      </c>
      <c r="K1919" t="s">
        <v>603</v>
      </c>
      <c r="L1919">
        <v>51.996437999999998</v>
      </c>
      <c r="M1919" s="108">
        <v>-2.1560069999999998</v>
      </c>
      <c r="N1919" t="s">
        <v>25</v>
      </c>
      <c r="O1919">
        <v>519</v>
      </c>
      <c r="P1919">
        <v>13.4</v>
      </c>
      <c r="Q1919">
        <v>4</v>
      </c>
      <c r="R1919" s="141" t="str">
        <f>IF(AllData[[#This Row],[Nitrate (PPM)]]&gt;2, "Very high", IF(AllData[[#This Row],[Nitrate (PPM)]]&gt;1, "High", IF(AllData[[#This Row],[Nitrate (PPM)]]&gt;0.5, "Some evidence", IF(AllData[[#This Row],[Nitrate (PPM)]]&gt;=0, "No evidence"))))</f>
        <v>Very high</v>
      </c>
      <c r="S1919" s="4">
        <v>0.37</v>
      </c>
      <c r="T1919" s="7" t="str">
        <f>IF(AllData[[#This Row],[Phosphate (PPM)]]&gt;0.5, "Very high", IF(AllData[[#This Row],[Phosphate (PPM)]]&gt;0.1, "High", IF(AllData[[#This Row],[Phosphate (PPM)]]&gt;0.05, "Some evidence", IF(AllData[[#This Row],[Phosphate (PPM)]]&lt;=0.05, "No Evidence", ""))))</f>
        <v>High</v>
      </c>
      <c r="U1919">
        <v>1.42</v>
      </c>
      <c r="V1919" t="s">
        <v>718</v>
      </c>
    </row>
    <row r="1920" spans="1:22" x14ac:dyDescent="0.35">
      <c r="A1920" t="s">
        <v>722</v>
      </c>
      <c r="B1920" s="143">
        <v>45340</v>
      </c>
      <c r="C1920" s="2" t="str" cm="1">
        <f t="array" ref="C19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0">
        <v>2023</v>
      </c>
      <c r="E1920" s="1">
        <v>0.73958333333333337</v>
      </c>
      <c r="F1920" t="str">
        <f>IF(AND(AllData[[#This Row],[Time]]&lt;0.5, AllData[[#This Row],[Time]]&gt;0.17)=TRUE, "Morning", IF(AND(AllData[[#This Row],[Time]]&lt;0.75, AllData[[#This Row],[Time]]&gt;=0.5)=TRUE, "Afternoon", IF(AND(AllData[[#This Row],[Time]]&lt;1, AllData[[#This Row],[Time]]&gt;=0.75)=TRUE, "Evening", "Night")))</f>
        <v>Afternoon</v>
      </c>
      <c r="G1920" t="str">
        <f>_xlfn.XLOOKUP(AllData[[#This Row],[Location Name]], Locations[Location Name],Locations[Group As])</f>
        <v>Stour Shipston Mill Bridge</v>
      </c>
      <c r="H1920" t="e" vm="1">
        <f>_xlfn.XLOOKUP(AllData[[#This Row],[Site Name]],LocationsKey[Site Name],LocationsKey[District])</f>
        <v>#VALUE!</v>
      </c>
      <c r="I1920" t="e" vm="15">
        <f>_xlfn.XLOOKUP(AllData[[#This Row],[Site Name]],LocationsKey[Site Name],LocationsKey[Town])</f>
        <v>#VALUE!</v>
      </c>
      <c r="J1920" t="str">
        <f>_xlfn.XLOOKUP(AllData[[#This Row],[Site Name]],LocationsKey[Site Name], LocationsKey[Waterway])</f>
        <v>Stour</v>
      </c>
      <c r="K1920" t="s">
        <v>435</v>
      </c>
      <c r="L1920">
        <v>52.061956000000002</v>
      </c>
      <c r="M1920" s="108">
        <v>-1.621896</v>
      </c>
      <c r="N1920" t="s">
        <v>25</v>
      </c>
      <c r="O1920">
        <v>384</v>
      </c>
      <c r="P1920">
        <v>9.1999999999999993</v>
      </c>
      <c r="Q1920">
        <v>4</v>
      </c>
      <c r="R1920" s="141" t="str">
        <f>IF(AllData[[#This Row],[Nitrate (PPM)]]&gt;2, "Very high", IF(AllData[[#This Row],[Nitrate (PPM)]]&gt;1, "High", IF(AllData[[#This Row],[Nitrate (PPM)]]&gt;0.5, "Some evidence", IF(AllData[[#This Row],[Nitrate (PPM)]]&gt;=0, "No evidence"))))</f>
        <v>Very high</v>
      </c>
      <c r="S1920" s="4">
        <v>0.18</v>
      </c>
      <c r="T1920" s="7" t="str">
        <f>IF(AllData[[#This Row],[Phosphate (PPM)]]&gt;0.5, "Very high", IF(AllData[[#This Row],[Phosphate (PPM)]]&gt;0.1, "High", IF(AllData[[#This Row],[Phosphate (PPM)]]&gt;0.05, "Some evidence", IF(AllData[[#This Row],[Phosphate (PPM)]]&lt;=0.05, "No Evidence", ""))))</f>
        <v>High</v>
      </c>
      <c r="U1920">
        <v>2.5</v>
      </c>
    </row>
    <row r="1921" spans="1:22" x14ac:dyDescent="0.35">
      <c r="A1921" t="s">
        <v>721</v>
      </c>
      <c r="B1921" s="143">
        <v>45340</v>
      </c>
      <c r="C1921" s="2" t="str" cm="1">
        <f t="array" ref="C19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1">
        <v>2023</v>
      </c>
      <c r="E1921" s="1">
        <v>0.65972222222222221</v>
      </c>
      <c r="F1921" t="str">
        <f>IF(AND(AllData[[#This Row],[Time]]&lt;0.5, AllData[[#This Row],[Time]]&gt;0.17)=TRUE, "Morning", IF(AND(AllData[[#This Row],[Time]]&lt;0.75, AllData[[#This Row],[Time]]&gt;=0.5)=TRUE, "Afternoon", IF(AND(AllData[[#This Row],[Time]]&lt;1, AllData[[#This Row],[Time]]&gt;=0.75)=TRUE, "Evening", "Night")))</f>
        <v>Afternoon</v>
      </c>
      <c r="G1921" t="str">
        <f>_xlfn.XLOOKUP(AllData[[#This Row],[Location Name]], Locations[Location Name],Locations[Group As])</f>
        <v>Fell Mill Footbridge</v>
      </c>
      <c r="H1921" t="e" vm="1">
        <f>_xlfn.XLOOKUP(AllData[[#This Row],[Site Name]],LocationsKey[Site Name],LocationsKey[District])</f>
        <v>#VALUE!</v>
      </c>
      <c r="I1921" t="e" vm="15">
        <f>_xlfn.XLOOKUP(AllData[[#This Row],[Site Name]],LocationsKey[Site Name],LocationsKey[Town])</f>
        <v>#VALUE!</v>
      </c>
      <c r="J1921" t="str">
        <f>_xlfn.XLOOKUP(AllData[[#This Row],[Site Name]],LocationsKey[Site Name], LocationsKey[Waterway])</f>
        <v>Stour</v>
      </c>
      <c r="K1921" t="s">
        <v>500</v>
      </c>
      <c r="L1921">
        <v>52.070131000000003</v>
      </c>
      <c r="M1921" s="108">
        <v>-1.6114869999999999</v>
      </c>
      <c r="N1921" t="s">
        <v>31</v>
      </c>
      <c r="O1921">
        <v>272</v>
      </c>
      <c r="P1921">
        <v>12</v>
      </c>
      <c r="Q1921">
        <v>2</v>
      </c>
      <c r="R1921" s="141" t="str">
        <f>IF(AllData[[#This Row],[Nitrate (PPM)]]&gt;2, "Very high", IF(AllData[[#This Row],[Nitrate (PPM)]]&gt;1, "High", IF(AllData[[#This Row],[Nitrate (PPM)]]&gt;0.5, "Some evidence", IF(AllData[[#This Row],[Nitrate (PPM)]]&gt;=0, "No evidence"))))</f>
        <v>High</v>
      </c>
      <c r="S1921" s="4">
        <v>0.11</v>
      </c>
      <c r="T1921" s="7" t="str">
        <f>IF(AllData[[#This Row],[Phosphate (PPM)]]&gt;0.5, "Very high", IF(AllData[[#This Row],[Phosphate (PPM)]]&gt;0.1, "High", IF(AllData[[#This Row],[Phosphate (PPM)]]&gt;0.05, "Some evidence", IF(AllData[[#This Row],[Phosphate (PPM)]]&lt;=0.05, "No Evidence", ""))))</f>
        <v>High</v>
      </c>
      <c r="U1921">
        <v>3</v>
      </c>
    </row>
    <row r="1922" spans="1:22" x14ac:dyDescent="0.35">
      <c r="A1922" t="s">
        <v>719</v>
      </c>
      <c r="B1922" s="143">
        <v>45340</v>
      </c>
      <c r="C1922" s="2" t="str" cm="1">
        <f t="array" ref="C19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2">
        <v>2023</v>
      </c>
      <c r="E1922" s="1">
        <v>0.54861111111111116</v>
      </c>
      <c r="F1922" t="str">
        <f>IF(AND(AllData[[#This Row],[Time]]&lt;0.5, AllData[[#This Row],[Time]]&gt;0.17)=TRUE, "Morning", IF(AND(AllData[[#This Row],[Time]]&lt;0.75, AllData[[#This Row],[Time]]&gt;=0.5)=TRUE, "Afternoon", IF(AND(AllData[[#This Row],[Time]]&lt;1, AllData[[#This Row],[Time]]&gt;=0.75)=TRUE, "Evening", "Night")))</f>
        <v>Afternoon</v>
      </c>
      <c r="G1922" t="str">
        <f>_xlfn.XLOOKUP(AllData[[#This Row],[Location Name]], Locations[Location Name],Locations[Group As])</f>
        <v>The Ford, Langley</v>
      </c>
      <c r="H1922" t="e" vm="1">
        <f>_xlfn.XLOOKUP(AllData[[#This Row],[Site Name]],LocationsKey[Site Name],LocationsKey[District])</f>
        <v>#VALUE!</v>
      </c>
      <c r="I1922" t="str">
        <f>_xlfn.XLOOKUP(AllData[[#This Row],[Site Name]],LocationsKey[Site Name],LocationsKey[Town])</f>
        <v>Langley</v>
      </c>
      <c r="J1922" t="str">
        <f>_xlfn.XLOOKUP(AllData[[#This Row],[Site Name]],LocationsKey[Site Name], LocationsKey[Waterway])</f>
        <v>Langley Ford</v>
      </c>
      <c r="K1922" t="s">
        <v>561</v>
      </c>
      <c r="L1922">
        <v>52.269078999999998</v>
      </c>
      <c r="M1922" s="108">
        <v>-1.7232719999999999</v>
      </c>
      <c r="N1922" t="s">
        <v>31</v>
      </c>
      <c r="O1922">
        <v>199</v>
      </c>
      <c r="P1922">
        <v>12.3</v>
      </c>
      <c r="Q1922">
        <v>2</v>
      </c>
      <c r="R1922" s="141" t="str">
        <f>IF(AllData[[#This Row],[Nitrate (PPM)]]&gt;2, "Very high", IF(AllData[[#This Row],[Nitrate (PPM)]]&gt;1, "High", IF(AllData[[#This Row],[Nitrate (PPM)]]&gt;0.5, "Some evidence", IF(AllData[[#This Row],[Nitrate (PPM)]]&gt;=0, "No evidence"))))</f>
        <v>High</v>
      </c>
      <c r="S1922" s="4">
        <v>1.06</v>
      </c>
      <c r="T1922" s="7" t="str">
        <f>IF(AllData[[#This Row],[Phosphate (PPM)]]&gt;0.5, "Very high", IF(AllData[[#This Row],[Phosphate (PPM)]]&gt;0.1, "High", IF(AllData[[#This Row],[Phosphate (PPM)]]&gt;0.05, "Some evidence", IF(AllData[[#This Row],[Phosphate (PPM)]]&lt;=0.05, "No Evidence", ""))))</f>
        <v>Very high</v>
      </c>
      <c r="U1922">
        <v>0.91400000000000003</v>
      </c>
      <c r="V1922" t="s">
        <v>720</v>
      </c>
    </row>
    <row r="1923" spans="1:22" x14ac:dyDescent="0.35">
      <c r="A1923" t="s">
        <v>713</v>
      </c>
      <c r="B1923" s="143">
        <v>45339</v>
      </c>
      <c r="C1923" s="2" t="str" cm="1">
        <f t="array" ref="C19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3">
        <v>2023</v>
      </c>
      <c r="E1923" s="1">
        <v>0.70138888888888884</v>
      </c>
      <c r="F1923" t="str">
        <f>IF(AND(AllData[[#This Row],[Time]]&lt;0.5, AllData[[#This Row],[Time]]&gt;0.17)=TRUE, "Morning", IF(AND(AllData[[#This Row],[Time]]&lt;0.75, AllData[[#This Row],[Time]]&gt;=0.5)=TRUE, "Afternoon", IF(AND(AllData[[#This Row],[Time]]&lt;1, AllData[[#This Row],[Time]]&gt;=0.75)=TRUE, "Evening", "Night")))</f>
        <v>Afternoon</v>
      </c>
      <c r="G1923" t="str">
        <f>_xlfn.XLOOKUP(AllData[[#This Row],[Location Name]], Locations[Location Name],Locations[Group As])</f>
        <v>Pershore Leisure Centre</v>
      </c>
      <c r="H1923" t="e" vm="6">
        <f>_xlfn.XLOOKUP(AllData[[#This Row],[Site Name]],LocationsKey[Site Name],LocationsKey[District])</f>
        <v>#VALUE!</v>
      </c>
      <c r="I1923" t="e" vm="7">
        <f>_xlfn.XLOOKUP(AllData[[#This Row],[Site Name]],LocationsKey[Site Name],LocationsKey[Town])</f>
        <v>#VALUE!</v>
      </c>
      <c r="J1923" t="str">
        <f>_xlfn.XLOOKUP(AllData[[#This Row],[Site Name]],LocationsKey[Site Name], LocationsKey[Waterway])</f>
        <v>Avon</v>
      </c>
      <c r="K1923" t="s">
        <v>586</v>
      </c>
      <c r="L1923">
        <v>52.112295000000003</v>
      </c>
      <c r="M1923" s="108">
        <v>-2.072295</v>
      </c>
      <c r="O1923">
        <v>634</v>
      </c>
      <c r="P1923">
        <v>12.5</v>
      </c>
      <c r="Q1923">
        <v>5</v>
      </c>
      <c r="R1923" s="141" t="str">
        <f>IF(AllData[[#This Row],[Nitrate (PPM)]]&gt;2, "Very high", IF(AllData[[#This Row],[Nitrate (PPM)]]&gt;1, "High", IF(AllData[[#This Row],[Nitrate (PPM)]]&gt;0.5, "Some evidence", IF(AllData[[#This Row],[Nitrate (PPM)]]&gt;=0, "No evidence"))))</f>
        <v>Very high</v>
      </c>
      <c r="S1923" s="4">
        <v>0.5</v>
      </c>
      <c r="T1923" s="7" t="str">
        <f>IF(AllData[[#This Row],[Phosphate (PPM)]]&gt;0.5, "Very high", IF(AllData[[#This Row],[Phosphate (PPM)]]&gt;0.1, "High", IF(AllData[[#This Row],[Phosphate (PPM)]]&gt;0.05, "Some evidence", IF(AllData[[#This Row],[Phosphate (PPM)]]&lt;=0.05, "No Evidence", ""))))</f>
        <v>High</v>
      </c>
      <c r="U1923">
        <v>3.48</v>
      </c>
      <c r="V1923" t="s">
        <v>714</v>
      </c>
    </row>
    <row r="1924" spans="1:22" x14ac:dyDescent="0.35">
      <c r="A1924" t="s">
        <v>711</v>
      </c>
      <c r="B1924" s="143">
        <v>45339</v>
      </c>
      <c r="C1924" s="2" t="str" cm="1">
        <f t="array" ref="C19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4">
        <v>2023</v>
      </c>
      <c r="E1924" s="1">
        <v>0.54166666666666663</v>
      </c>
      <c r="F1924" t="str">
        <f>IF(AND(AllData[[#This Row],[Time]]&lt;0.5, AllData[[#This Row],[Time]]&gt;0.17)=TRUE, "Morning", IF(AND(AllData[[#This Row],[Time]]&lt;0.75, AllData[[#This Row],[Time]]&gt;=0.5)=TRUE, "Afternoon", IF(AND(AllData[[#This Row],[Time]]&lt;1, AllData[[#This Row],[Time]]&gt;=0.75)=TRUE, "Evening", "Night")))</f>
        <v>Afternoon</v>
      </c>
      <c r="G1924" t="str">
        <f>_xlfn.XLOOKUP(AllData[[#This Row],[Location Name]], Locations[Location Name],Locations[Group As])</f>
        <v>Clifford Chambers Mill Bridge</v>
      </c>
      <c r="H1924" t="e" vm="1">
        <f>_xlfn.XLOOKUP(AllData[[#This Row],[Site Name]],LocationsKey[Site Name],LocationsKey[District])</f>
        <v>#VALUE!</v>
      </c>
      <c r="I1924" t="e" vm="22">
        <f>_xlfn.XLOOKUP(AllData[[#This Row],[Site Name]],LocationsKey[Site Name],LocationsKey[Town])</f>
        <v>#VALUE!</v>
      </c>
      <c r="J1924" t="str">
        <f>_xlfn.XLOOKUP(AllData[[#This Row],[Site Name]],LocationsKey[Site Name], LocationsKey[Waterway])</f>
        <v>Stour</v>
      </c>
      <c r="K1924" t="s">
        <v>266</v>
      </c>
      <c r="L1924">
        <v>52.166370000000001</v>
      </c>
      <c r="M1924" s="108">
        <v>-1.708032</v>
      </c>
      <c r="N1924" t="s">
        <v>68</v>
      </c>
      <c r="O1924">
        <v>551</v>
      </c>
      <c r="P1924">
        <v>14.9</v>
      </c>
      <c r="Q1924">
        <v>5</v>
      </c>
      <c r="R1924" s="141" t="str">
        <f>IF(AllData[[#This Row],[Nitrate (PPM)]]&gt;2, "Very high", IF(AllData[[#This Row],[Nitrate (PPM)]]&gt;1, "High", IF(AllData[[#This Row],[Nitrate (PPM)]]&gt;0.5, "Some evidence", IF(AllData[[#This Row],[Nitrate (PPM)]]&gt;=0, "No evidence"))))</f>
        <v>Very high</v>
      </c>
      <c r="S1924" s="4">
        <v>0.33</v>
      </c>
      <c r="T1924" s="7" t="str">
        <f>IF(AllData[[#This Row],[Phosphate (PPM)]]&gt;0.5, "Very high", IF(AllData[[#This Row],[Phosphate (PPM)]]&gt;0.1, "High", IF(AllData[[#This Row],[Phosphate (PPM)]]&gt;0.05, "Some evidence", IF(AllData[[#This Row],[Phosphate (PPM)]]&lt;=0.05, "No Evidence", ""))))</f>
        <v>High</v>
      </c>
      <c r="U1924">
        <v>1.3</v>
      </c>
    </row>
    <row r="1925" spans="1:22" x14ac:dyDescent="0.35">
      <c r="A1925" t="s">
        <v>715</v>
      </c>
      <c r="B1925" s="143">
        <v>45339</v>
      </c>
      <c r="C1925" s="2" t="str" cm="1">
        <f t="array" ref="C19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5">
        <v>2023</v>
      </c>
      <c r="E1925" s="1">
        <v>0.71458333333333335</v>
      </c>
      <c r="F1925" t="str">
        <f>IF(AND(AllData[[#This Row],[Time]]&lt;0.5, AllData[[#This Row],[Time]]&gt;0.17)=TRUE, "Morning", IF(AND(AllData[[#This Row],[Time]]&lt;0.75, AllData[[#This Row],[Time]]&gt;=0.5)=TRUE, "Afternoon", IF(AND(AllData[[#This Row],[Time]]&lt;1, AllData[[#This Row],[Time]]&gt;=0.75)=TRUE, "Evening", "Night")))</f>
        <v>Afternoon</v>
      </c>
      <c r="G1925" t="str">
        <f>_xlfn.XLOOKUP(AllData[[#This Row],[Location Name]], Locations[Location Name],Locations[Group As])</f>
        <v>Pershore Bridges</v>
      </c>
      <c r="H1925" t="e" vm="6">
        <f>_xlfn.XLOOKUP(AllData[[#This Row],[Site Name]],LocationsKey[Site Name],LocationsKey[District])</f>
        <v>#VALUE!</v>
      </c>
      <c r="I1925" t="e" vm="7">
        <f>_xlfn.XLOOKUP(AllData[[#This Row],[Site Name]],LocationsKey[Site Name],LocationsKey[Town])</f>
        <v>#VALUE!</v>
      </c>
      <c r="J1925" t="str">
        <f>_xlfn.XLOOKUP(AllData[[#This Row],[Site Name]],LocationsKey[Site Name], LocationsKey[Waterway])</f>
        <v>Avon</v>
      </c>
      <c r="K1925" t="s">
        <v>584</v>
      </c>
      <c r="L1925">
        <v>52.104179999999999</v>
      </c>
      <c r="M1925" s="108">
        <v>-2.0709089999999999</v>
      </c>
      <c r="O1925">
        <v>533</v>
      </c>
      <c r="P1925">
        <v>12.5</v>
      </c>
      <c r="Q1925">
        <v>5</v>
      </c>
      <c r="R1925" s="141" t="str">
        <f>IF(AllData[[#This Row],[Nitrate (PPM)]]&gt;2, "Very high", IF(AllData[[#This Row],[Nitrate (PPM)]]&gt;1, "High", IF(AllData[[#This Row],[Nitrate (PPM)]]&gt;0.5, "Some evidence", IF(AllData[[#This Row],[Nitrate (PPM)]]&gt;=0, "No evidence"))))</f>
        <v>Very high</v>
      </c>
      <c r="S1925" s="4">
        <v>0.48</v>
      </c>
      <c r="T1925" s="7" t="str">
        <f>IF(AllData[[#This Row],[Phosphate (PPM)]]&gt;0.5, "Very high", IF(AllData[[#This Row],[Phosphate (PPM)]]&gt;0.1, "High", IF(AllData[[#This Row],[Phosphate (PPM)]]&gt;0.05, "Some evidence", IF(AllData[[#This Row],[Phosphate (PPM)]]&lt;=0.05, "No Evidence", ""))))</f>
        <v>High</v>
      </c>
      <c r="U1925">
        <v>3.48</v>
      </c>
      <c r="V1925" t="s">
        <v>716</v>
      </c>
    </row>
    <row r="1926" spans="1:22" x14ac:dyDescent="0.35">
      <c r="A1926" t="s">
        <v>712</v>
      </c>
      <c r="B1926" s="143">
        <v>45339</v>
      </c>
      <c r="C1926" s="2" t="str" cm="1">
        <f t="array" ref="C19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6">
        <v>2023</v>
      </c>
      <c r="E1926" s="1">
        <v>0.65555555555555556</v>
      </c>
      <c r="F1926" t="str">
        <f>IF(AND(AllData[[#This Row],[Time]]&lt;0.5, AllData[[#This Row],[Time]]&gt;0.17)=TRUE, "Morning", IF(AND(AllData[[#This Row],[Time]]&lt;0.75, AllData[[#This Row],[Time]]&gt;=0.5)=TRUE, "Afternoon", IF(AND(AllData[[#This Row],[Time]]&lt;1, AllData[[#This Row],[Time]]&gt;=0.75)=TRUE, "Evening", "Night")))</f>
        <v>Afternoon</v>
      </c>
      <c r="G1926" t="str">
        <f>_xlfn.XLOOKUP(AllData[[#This Row],[Location Name]], Locations[Location Name],Locations[Group As])</f>
        <v>Black Bear</v>
      </c>
      <c r="H1926" t="e" vm="4">
        <f>_xlfn.XLOOKUP(AllData[[#This Row],[Site Name]],LocationsKey[Site Name],LocationsKey[District])</f>
        <v>#VALUE!</v>
      </c>
      <c r="I1926" t="e" vm="4">
        <f>_xlfn.XLOOKUP(AllData[[#This Row],[Site Name]],LocationsKey[Site Name],LocationsKey[Town])</f>
        <v>#VALUE!</v>
      </c>
      <c r="J1926" t="str">
        <f>_xlfn.XLOOKUP(AllData[[#This Row],[Site Name]],LocationsKey[Site Name], LocationsKey[Waterway])</f>
        <v>Avon</v>
      </c>
      <c r="K1926" t="s">
        <v>572</v>
      </c>
      <c r="L1926">
        <v>51.997287999999998</v>
      </c>
      <c r="M1926" s="108">
        <v>-2.156129</v>
      </c>
      <c r="N1926" t="s">
        <v>25</v>
      </c>
      <c r="O1926">
        <v>504</v>
      </c>
      <c r="P1926">
        <v>12.7</v>
      </c>
      <c r="Q1926">
        <v>5</v>
      </c>
      <c r="R1926" s="141" t="str">
        <f>IF(AllData[[#This Row],[Nitrate (PPM)]]&gt;2, "Very high", IF(AllData[[#This Row],[Nitrate (PPM)]]&gt;1, "High", IF(AllData[[#This Row],[Nitrate (PPM)]]&gt;0.5, "Some evidence", IF(AllData[[#This Row],[Nitrate (PPM)]]&gt;=0, "No evidence"))))</f>
        <v>Very high</v>
      </c>
      <c r="S1926" s="4">
        <v>0.89</v>
      </c>
      <c r="T1926" s="7" t="str">
        <f>IF(AllData[[#This Row],[Phosphate (PPM)]]&gt;0.5, "Very high", IF(AllData[[#This Row],[Phosphate (PPM)]]&gt;0.1, "High", IF(AllData[[#This Row],[Phosphate (PPM)]]&gt;0.05, "Some evidence", IF(AllData[[#This Row],[Phosphate (PPM)]]&lt;=0.05, "No Evidence", ""))))</f>
        <v>Very high</v>
      </c>
      <c r="U1926">
        <v>2.5</v>
      </c>
      <c r="V1926" t="s">
        <v>272</v>
      </c>
    </row>
    <row r="1927" spans="1:22" x14ac:dyDescent="0.35">
      <c r="A1927" t="s">
        <v>708</v>
      </c>
      <c r="B1927" s="143">
        <v>45339</v>
      </c>
      <c r="C1927" s="2" t="str" cm="1">
        <f t="array" ref="C19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7">
        <v>2023</v>
      </c>
      <c r="E1927" s="1">
        <v>0.47013888888888888</v>
      </c>
      <c r="F1927" t="str">
        <f>IF(AND(AllData[[#This Row],[Time]]&lt;0.5, AllData[[#This Row],[Time]]&gt;0.17)=TRUE, "Morning", IF(AND(AllData[[#This Row],[Time]]&lt;0.75, AllData[[#This Row],[Time]]&gt;=0.5)=TRUE, "Afternoon", IF(AND(AllData[[#This Row],[Time]]&lt;1, AllData[[#This Row],[Time]]&gt;=0.75)=TRUE, "Evening", "Night")))</f>
        <v>Morning</v>
      </c>
      <c r="G1927" t="str">
        <f>_xlfn.XLOOKUP(AllData[[#This Row],[Location Name]], Locations[Location Name],Locations[Group As])</f>
        <v>Stour Cherington Sewage Works</v>
      </c>
      <c r="H1927" t="e" vm="1">
        <f>_xlfn.XLOOKUP(AllData[[#This Row],[Site Name]],LocationsKey[Site Name],LocationsKey[District])</f>
        <v>#VALUE!</v>
      </c>
      <c r="I1927" t="str">
        <f>_xlfn.XLOOKUP(AllData[[#This Row],[Site Name]],LocationsKey[Site Name],LocationsKey[Town])</f>
        <v>Cherington</v>
      </c>
      <c r="J1927" t="str">
        <f>_xlfn.XLOOKUP(AllData[[#This Row],[Site Name]],LocationsKey[Site Name], LocationsKey[Waterway])</f>
        <v>Stour</v>
      </c>
      <c r="K1927" t="s">
        <v>709</v>
      </c>
      <c r="L1927">
        <v>52.029713999999998</v>
      </c>
      <c r="M1927" s="108">
        <v>-1.58226</v>
      </c>
      <c r="N1927" t="s">
        <v>31</v>
      </c>
      <c r="O1927">
        <v>574</v>
      </c>
      <c r="P1927">
        <v>11.1</v>
      </c>
      <c r="Q1927">
        <v>0.5</v>
      </c>
      <c r="R1927" s="141" t="str">
        <f>IF(AllData[[#This Row],[Nitrate (PPM)]]&gt;2, "Very high", IF(AllData[[#This Row],[Nitrate (PPM)]]&gt;1, "High", IF(AllData[[#This Row],[Nitrate (PPM)]]&gt;0.5, "Some evidence", IF(AllData[[#This Row],[Nitrate (PPM)]]&gt;=0, "No evidence"))))</f>
        <v>No evidence</v>
      </c>
      <c r="S1927" s="4">
        <v>0.33</v>
      </c>
      <c r="T1927" s="7" t="str">
        <f>IF(AllData[[#This Row],[Phosphate (PPM)]]&gt;0.5, "Very high", IF(AllData[[#This Row],[Phosphate (PPM)]]&gt;0.1, "High", IF(AllData[[#This Row],[Phosphate (PPM)]]&gt;0.05, "Some evidence", IF(AllData[[#This Row],[Phosphate (PPM)]]&lt;=0.05, "No Evidence", ""))))</f>
        <v>High</v>
      </c>
      <c r="U1927">
        <v>0.5</v>
      </c>
      <c r="V1927" t="s">
        <v>710</v>
      </c>
    </row>
    <row r="1928" spans="1:22" x14ac:dyDescent="0.35">
      <c r="A1928" t="s">
        <v>693</v>
      </c>
      <c r="B1928" s="143">
        <v>45338</v>
      </c>
      <c r="C1928" s="2" t="str" cm="1">
        <f t="array" ref="C19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8">
        <v>2023</v>
      </c>
      <c r="E1928" s="1">
        <v>0.625</v>
      </c>
      <c r="F1928" t="str">
        <f>IF(AND(AllData[[#This Row],[Time]]&lt;0.5, AllData[[#This Row],[Time]]&gt;0.17)=TRUE, "Morning", IF(AND(AllData[[#This Row],[Time]]&lt;0.75, AllData[[#This Row],[Time]]&gt;=0.5)=TRUE, "Afternoon", IF(AND(AllData[[#This Row],[Time]]&lt;1, AllData[[#This Row],[Time]]&gt;=0.75)=TRUE, "Evening", "Night")))</f>
        <v>Afternoon</v>
      </c>
      <c r="G1928" t="str">
        <f>_xlfn.XLOOKUP(AllData[[#This Row],[Location Name]], Locations[Location Name],Locations[Group As])</f>
        <v>Sherbourne Brook 1</v>
      </c>
      <c r="H1928" t="e" vm="1">
        <f>_xlfn.XLOOKUP(AllData[[#This Row],[Site Name]],LocationsKey[Site Name],LocationsKey[District])</f>
        <v>#VALUE!</v>
      </c>
      <c r="I1928" t="e" vm="23">
        <f>_xlfn.XLOOKUP(AllData[[#This Row],[Site Name]],LocationsKey[Site Name],LocationsKey[Town])</f>
        <v>#VALUE!</v>
      </c>
      <c r="J1928" t="str">
        <f>_xlfn.XLOOKUP(AllData[[#This Row],[Site Name]],LocationsKey[Site Name], LocationsKey[Waterway])</f>
        <v>Sherbourne Brook</v>
      </c>
      <c r="K1928" t="s">
        <v>541</v>
      </c>
      <c r="L1928">
        <v>52.252499999999998</v>
      </c>
      <c r="M1928" s="108">
        <v>-1.6685000000000001</v>
      </c>
      <c r="N1928" t="s">
        <v>25</v>
      </c>
      <c r="O1928">
        <v>776</v>
      </c>
      <c r="P1928">
        <v>11.4</v>
      </c>
      <c r="Q1928">
        <v>5</v>
      </c>
      <c r="R1928" s="141" t="str">
        <f>IF(AllData[[#This Row],[Nitrate (PPM)]]&gt;2, "Very high", IF(AllData[[#This Row],[Nitrate (PPM)]]&gt;1, "High", IF(AllData[[#This Row],[Nitrate (PPM)]]&gt;0.5, "Some evidence", IF(AllData[[#This Row],[Nitrate (PPM)]]&gt;=0, "No evidence"))))</f>
        <v>Very high</v>
      </c>
      <c r="S1928" s="4">
        <v>0.73</v>
      </c>
      <c r="T1928" s="7" t="str">
        <f>IF(AllData[[#This Row],[Phosphate (PPM)]]&gt;0.5, "Very high", IF(AllData[[#This Row],[Phosphate (PPM)]]&gt;0.1, "High", IF(AllData[[#This Row],[Phosphate (PPM)]]&gt;0.05, "Some evidence", IF(AllData[[#This Row],[Phosphate (PPM)]]&lt;=0.05, "No Evidence", ""))))</f>
        <v>Very high</v>
      </c>
      <c r="U1928">
        <v>0.5</v>
      </c>
    </row>
    <row r="1929" spans="1:22" x14ac:dyDescent="0.35">
      <c r="A1929" t="s">
        <v>706</v>
      </c>
      <c r="B1929" s="143">
        <v>45338</v>
      </c>
      <c r="C1929" s="2" t="str" cm="1">
        <f t="array" ref="C19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29">
        <v>2023</v>
      </c>
      <c r="E1929" s="1"/>
      <c r="F1929" t="str">
        <f>IF(AND(AllData[[#This Row],[Time]]&lt;0.5, AllData[[#This Row],[Time]]&gt;0.17)=TRUE, "Morning", IF(AND(AllData[[#This Row],[Time]]&lt;0.75, AllData[[#This Row],[Time]]&gt;=0.5)=TRUE, "Afternoon", IF(AND(AllData[[#This Row],[Time]]&lt;1, AllData[[#This Row],[Time]]&gt;=0.75)=TRUE, "Evening", "Night")))</f>
        <v>Night</v>
      </c>
      <c r="G1929" t="str">
        <f>_xlfn.XLOOKUP(AllData[[#This Row],[Location Name]], Locations[Location Name],Locations[Group As])</f>
        <v>Site 3  :  Severn Trent Water processing plant outflow</v>
      </c>
      <c r="H1929" t="e" vm="1">
        <f>_xlfn.XLOOKUP(AllData[[#This Row],[Site Name]],LocationsKey[Site Name],LocationsKey[District])</f>
        <v>#VALUE!</v>
      </c>
      <c r="I1929" t="e" vm="14">
        <f>_xlfn.XLOOKUP(AllData[[#This Row],[Site Name]],LocationsKey[Site Name],LocationsKey[Town])</f>
        <v>#VALUE!</v>
      </c>
      <c r="J1929" t="str">
        <f>_xlfn.XLOOKUP(AllData[[#This Row],[Site Name]],LocationsKey[Site Name], LocationsKey[Waterway])</f>
        <v>Fosseway Brook</v>
      </c>
      <c r="K1929" t="s">
        <v>676</v>
      </c>
      <c r="L1929">
        <v>52.094423999999997</v>
      </c>
      <c r="M1929" s="108">
        <v>-1.6759090000000001</v>
      </c>
      <c r="N1929" t="s">
        <v>31</v>
      </c>
      <c r="O1929">
        <v>640</v>
      </c>
      <c r="P1929">
        <v>10.9</v>
      </c>
      <c r="Q1929">
        <v>5</v>
      </c>
      <c r="R1929" s="141" t="str">
        <f>IF(AllData[[#This Row],[Nitrate (PPM)]]&gt;2, "Very high", IF(AllData[[#This Row],[Nitrate (PPM)]]&gt;1, "High", IF(AllData[[#This Row],[Nitrate (PPM)]]&gt;0.5, "Some evidence", IF(AllData[[#This Row],[Nitrate (PPM)]]&gt;=0, "No evidence"))))</f>
        <v>Very high</v>
      </c>
      <c r="S1929" s="4">
        <v>2.2599999999999998</v>
      </c>
      <c r="T1929" s="7" t="str">
        <f>IF(AllData[[#This Row],[Phosphate (PPM)]]&gt;0.5, "Very high", IF(AllData[[#This Row],[Phosphate (PPM)]]&gt;0.1, "High", IF(AllData[[#This Row],[Phosphate (PPM)]]&gt;0.05, "Some evidence", IF(AllData[[#This Row],[Phosphate (PPM)]]&lt;=0.05, "No Evidence", ""))))</f>
        <v>Very high</v>
      </c>
      <c r="V1929" t="s">
        <v>703</v>
      </c>
    </row>
    <row r="1930" spans="1:22" x14ac:dyDescent="0.35">
      <c r="A1930" t="s">
        <v>704</v>
      </c>
      <c r="B1930" s="143">
        <v>45338</v>
      </c>
      <c r="C1930" s="2" t="str" cm="1">
        <f t="array" ref="C19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0">
        <v>2023</v>
      </c>
      <c r="F1930" t="str">
        <f>IF(AND(AllData[[#This Row],[Time]]&lt;0.5, AllData[[#This Row],[Time]]&gt;0.17)=TRUE, "Morning", IF(AND(AllData[[#This Row],[Time]]&lt;0.75, AllData[[#This Row],[Time]]&gt;=0.5)=TRUE, "Afternoon", IF(AND(AllData[[#This Row],[Time]]&lt;1, AllData[[#This Row],[Time]]&gt;=0.75)=TRUE, "Evening", "Night")))</f>
        <v>Night</v>
      </c>
      <c r="G1930" t="str">
        <f>_xlfn.XLOOKUP(AllData[[#This Row],[Location Name]], Locations[Location Name],Locations[Group As])</f>
        <v>Site 3  :  Severn Trent Water processing plant outflow</v>
      </c>
      <c r="H1930" t="e" vm="1">
        <f>_xlfn.XLOOKUP(AllData[[#This Row],[Site Name]],LocationsKey[Site Name],LocationsKey[District])</f>
        <v>#VALUE!</v>
      </c>
      <c r="I1930" t="e" vm="14">
        <f>_xlfn.XLOOKUP(AllData[[#This Row],[Site Name]],LocationsKey[Site Name],LocationsKey[Town])</f>
        <v>#VALUE!</v>
      </c>
      <c r="J1930" t="str">
        <f>_xlfn.XLOOKUP(AllData[[#This Row],[Site Name]],LocationsKey[Site Name], LocationsKey[Waterway])</f>
        <v>Fosseway Brook</v>
      </c>
      <c r="K1930" t="s">
        <v>673</v>
      </c>
      <c r="L1930">
        <v>52.094423999999997</v>
      </c>
      <c r="M1930" s="108">
        <v>-1.6759090000000001</v>
      </c>
      <c r="N1930" t="s">
        <v>31</v>
      </c>
      <c r="O1930">
        <v>640</v>
      </c>
      <c r="P1930">
        <v>10.9</v>
      </c>
      <c r="Q1930">
        <v>5</v>
      </c>
      <c r="R1930" s="141" t="str">
        <f>IF(AllData[[#This Row],[Nitrate (PPM)]]&gt;2, "Very high", IF(AllData[[#This Row],[Nitrate (PPM)]]&gt;1, "High", IF(AllData[[#This Row],[Nitrate (PPM)]]&gt;0.5, "Some evidence", IF(AllData[[#This Row],[Nitrate (PPM)]]&gt;=0, "No evidence"))))</f>
        <v>Very high</v>
      </c>
      <c r="S1930" s="4">
        <v>2.2599999999999998</v>
      </c>
      <c r="T1930" s="7" t="str">
        <f>IF(AllData[[#This Row],[Phosphate (PPM)]]&gt;0.5, "Very high", IF(AllData[[#This Row],[Phosphate (PPM)]]&gt;0.1, "High", IF(AllData[[#This Row],[Phosphate (PPM)]]&gt;0.05, "Some evidence", IF(AllData[[#This Row],[Phosphate (PPM)]]&lt;=0.05, "No Evidence", ""))))</f>
        <v>Very high</v>
      </c>
      <c r="U1930">
        <v>0</v>
      </c>
      <c r="V1930" t="s">
        <v>705</v>
      </c>
    </row>
    <row r="1931" spans="1:22" x14ac:dyDescent="0.35">
      <c r="A1931" t="s">
        <v>694</v>
      </c>
      <c r="B1931" s="143">
        <v>45338</v>
      </c>
      <c r="C1931" s="2" t="str" cm="1">
        <f t="array" ref="C19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1">
        <v>2023</v>
      </c>
      <c r="E1931" s="1">
        <v>0.63541666666666663</v>
      </c>
      <c r="F1931" t="str">
        <f>IF(AND(AllData[[#This Row],[Time]]&lt;0.5, AllData[[#This Row],[Time]]&gt;0.17)=TRUE, "Morning", IF(AND(AllData[[#This Row],[Time]]&lt;0.75, AllData[[#This Row],[Time]]&gt;=0.5)=TRUE, "Afternoon", IF(AND(AllData[[#This Row],[Time]]&lt;1, AllData[[#This Row],[Time]]&gt;=0.75)=TRUE, "Evening", "Night")))</f>
        <v>Afternoon</v>
      </c>
      <c r="G1931" t="str">
        <f>_xlfn.XLOOKUP(AllData[[#This Row],[Location Name]], Locations[Location Name],Locations[Group As])</f>
        <v>Bell Brook 1</v>
      </c>
      <c r="H1931" t="e" vm="1">
        <f>_xlfn.XLOOKUP(AllData[[#This Row],[Site Name]],LocationsKey[Site Name],LocationsKey[District])</f>
        <v>#VALUE!</v>
      </c>
      <c r="I1931" t="e" vm="19">
        <f>_xlfn.XLOOKUP(AllData[[#This Row],[Site Name]],LocationsKey[Site Name],LocationsKey[Town])</f>
        <v>#VALUE!</v>
      </c>
      <c r="J1931" t="str">
        <f>_xlfn.XLOOKUP(AllData[[#This Row],[Site Name]],LocationsKey[Site Name], LocationsKey[Waterway])</f>
        <v>Bell Brook</v>
      </c>
      <c r="K1931" t="s">
        <v>538</v>
      </c>
      <c r="L1931">
        <v>52.244900000000001</v>
      </c>
      <c r="M1931" s="108">
        <v>-1.6617</v>
      </c>
      <c r="N1931" t="s">
        <v>25</v>
      </c>
      <c r="O1931">
        <v>542</v>
      </c>
      <c r="P1931">
        <v>10.6</v>
      </c>
      <c r="Q1931">
        <v>4</v>
      </c>
      <c r="R1931" s="141" t="str">
        <f>IF(AllData[[#This Row],[Nitrate (PPM)]]&gt;2, "Very high", IF(AllData[[#This Row],[Nitrate (PPM)]]&gt;1, "High", IF(AllData[[#This Row],[Nitrate (PPM)]]&gt;0.5, "Some evidence", IF(AllData[[#This Row],[Nitrate (PPM)]]&gt;=0, "No evidence"))))</f>
        <v>Very high</v>
      </c>
      <c r="S1931" s="4">
        <v>0.16</v>
      </c>
      <c r="T1931" s="7" t="str">
        <f>IF(AllData[[#This Row],[Phosphate (PPM)]]&gt;0.5, "Very high", IF(AllData[[#This Row],[Phosphate (PPM)]]&gt;0.1, "High", IF(AllData[[#This Row],[Phosphate (PPM)]]&gt;0.05, "Some evidence", IF(AllData[[#This Row],[Phosphate (PPM)]]&lt;=0.05, "No Evidence", ""))))</f>
        <v>High</v>
      </c>
      <c r="U1931">
        <v>0.5</v>
      </c>
    </row>
    <row r="1932" spans="1:22" x14ac:dyDescent="0.35">
      <c r="A1932" t="s">
        <v>695</v>
      </c>
      <c r="B1932" s="143">
        <v>45338</v>
      </c>
      <c r="C1932" s="2" t="str" cm="1">
        <f t="array" ref="C19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2">
        <v>2023</v>
      </c>
      <c r="E1932" s="1">
        <v>0.66666666666666663</v>
      </c>
      <c r="F1932" t="str">
        <f>IF(AND(AllData[[#This Row],[Time]]&lt;0.5, AllData[[#This Row],[Time]]&gt;0.17)=TRUE, "Morning", IF(AND(AllData[[#This Row],[Time]]&lt;0.75, AllData[[#This Row],[Time]]&gt;=0.5)=TRUE, "Afternoon", IF(AND(AllData[[#This Row],[Time]]&lt;1, AllData[[#This Row],[Time]]&gt;=0.75)=TRUE, "Evening", "Night")))</f>
        <v>Afternoon</v>
      </c>
      <c r="G1932" t="str">
        <f>_xlfn.XLOOKUP(AllData[[#This Row],[Location Name]], Locations[Location Name],Locations[Group As])</f>
        <v>Swilgate</v>
      </c>
      <c r="H1932" t="e" vm="4">
        <f>_xlfn.XLOOKUP(AllData[[#This Row],[Site Name]],LocationsKey[Site Name],LocationsKey[District])</f>
        <v>#VALUE!</v>
      </c>
      <c r="I1932" t="e" vm="4">
        <f>_xlfn.XLOOKUP(AllData[[#This Row],[Site Name]],LocationsKey[Site Name],LocationsKey[Town])</f>
        <v>#VALUE!</v>
      </c>
      <c r="J1932" t="str">
        <f>_xlfn.XLOOKUP(AllData[[#This Row],[Site Name]],LocationsKey[Site Name], LocationsKey[Waterway])</f>
        <v>Swilgate</v>
      </c>
      <c r="K1932" t="s">
        <v>85</v>
      </c>
      <c r="M1932" s="108"/>
      <c r="N1932" t="s">
        <v>25</v>
      </c>
      <c r="O1932">
        <v>757</v>
      </c>
      <c r="P1932">
        <v>13.6</v>
      </c>
      <c r="Q1932">
        <v>3</v>
      </c>
      <c r="R1932" s="141" t="str">
        <f>IF(AllData[[#This Row],[Nitrate (PPM)]]&gt;2, "Very high", IF(AllData[[#This Row],[Nitrate (PPM)]]&gt;1, "High", IF(AllData[[#This Row],[Nitrate (PPM)]]&gt;0.5, "Some evidence", IF(AllData[[#This Row],[Nitrate (PPM)]]&gt;=0, "No evidence"))))</f>
        <v>Very high</v>
      </c>
      <c r="S1932" s="4">
        <v>0.39</v>
      </c>
      <c r="T1932" s="7" t="str">
        <f>IF(AllData[[#This Row],[Phosphate (PPM)]]&gt;0.5, "Very high", IF(AllData[[#This Row],[Phosphate (PPM)]]&gt;0.1, "High", IF(AllData[[#This Row],[Phosphate (PPM)]]&gt;0.05, "Some evidence", IF(AllData[[#This Row],[Phosphate (PPM)]]&lt;=0.05, "No Evidence", ""))))</f>
        <v>High</v>
      </c>
      <c r="U1932">
        <v>2</v>
      </c>
      <c r="V1932" t="s">
        <v>272</v>
      </c>
    </row>
    <row r="1933" spans="1:22" x14ac:dyDescent="0.35">
      <c r="A1933" t="s">
        <v>698</v>
      </c>
      <c r="B1933" s="143">
        <v>45338</v>
      </c>
      <c r="C1933" s="2" t="str" cm="1">
        <f t="array" ref="C19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3">
        <v>2023</v>
      </c>
      <c r="E1933" s="1"/>
      <c r="F1933" t="str">
        <f>IF(AND(AllData[[#This Row],[Time]]&lt;0.5, AllData[[#This Row],[Time]]&gt;0.17)=TRUE, "Morning", IF(AND(AllData[[#This Row],[Time]]&lt;0.75, AllData[[#This Row],[Time]]&gt;=0.5)=TRUE, "Afternoon", IF(AND(AllData[[#This Row],[Time]]&lt;1, AllData[[#This Row],[Time]]&gt;=0.75)=TRUE, "Evening", "Night")))</f>
        <v>Night</v>
      </c>
      <c r="G1933" t="str">
        <f>_xlfn.XLOOKUP(AllData[[#This Row],[Location Name]], Locations[Location Name],Locations[Group As])</f>
        <v>Site 1  :  Middle Street</v>
      </c>
      <c r="H1933" t="e" vm="1">
        <f>_xlfn.XLOOKUP(AllData[[#This Row],[Site Name]],LocationsKey[Site Name],LocationsKey[District])</f>
        <v>#VALUE!</v>
      </c>
      <c r="I1933" t="e" vm="14">
        <f>_xlfn.XLOOKUP(AllData[[#This Row],[Site Name]],LocationsKey[Site Name],LocationsKey[Town])</f>
        <v>#VALUE!</v>
      </c>
      <c r="J1933" t="str">
        <f>_xlfn.XLOOKUP(AllData[[#This Row],[Site Name]],LocationsKey[Site Name], LocationsKey[Waterway])</f>
        <v>Fosseway Brook</v>
      </c>
      <c r="K1933" t="s">
        <v>670</v>
      </c>
      <c r="L1933">
        <v>52.090085000000002</v>
      </c>
      <c r="M1933" s="108">
        <v>-1.692593</v>
      </c>
      <c r="N1933" t="s">
        <v>68</v>
      </c>
      <c r="O1933">
        <v>584</v>
      </c>
      <c r="P1933">
        <v>12.3</v>
      </c>
      <c r="Q1933">
        <v>3</v>
      </c>
      <c r="R1933" s="141" t="str">
        <f>IF(AllData[[#This Row],[Nitrate (PPM)]]&gt;2, "Very high", IF(AllData[[#This Row],[Nitrate (PPM)]]&gt;1, "High", IF(AllData[[#This Row],[Nitrate (PPM)]]&gt;0.5, "Some evidence", IF(AllData[[#This Row],[Nitrate (PPM)]]&gt;=0, "No evidence"))))</f>
        <v>Very high</v>
      </c>
      <c r="S1933" s="4">
        <v>0.08</v>
      </c>
      <c r="T1933" s="7" t="str">
        <f>IF(AllData[[#This Row],[Phosphate (PPM)]]&gt;0.5, "Very high", IF(AllData[[#This Row],[Phosphate (PPM)]]&gt;0.1, "High", IF(AllData[[#This Row],[Phosphate (PPM)]]&gt;0.05, "Some evidence", IF(AllData[[#This Row],[Phosphate (PPM)]]&lt;=0.05, "No Evidence", ""))))</f>
        <v>Some evidence</v>
      </c>
      <c r="V1933" t="s">
        <v>699</v>
      </c>
    </row>
    <row r="1934" spans="1:22" x14ac:dyDescent="0.35">
      <c r="A1934" t="s">
        <v>696</v>
      </c>
      <c r="B1934" s="143">
        <v>45338</v>
      </c>
      <c r="C1934" s="2" t="str" cm="1">
        <f t="array" ref="C19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4">
        <v>2023</v>
      </c>
      <c r="F1934" t="str">
        <f>IF(AND(AllData[[#This Row],[Time]]&lt;0.5, AllData[[#This Row],[Time]]&gt;0.17)=TRUE, "Morning", IF(AND(AllData[[#This Row],[Time]]&lt;0.75, AllData[[#This Row],[Time]]&gt;=0.5)=TRUE, "Afternoon", IF(AND(AllData[[#This Row],[Time]]&lt;1, AllData[[#This Row],[Time]]&gt;=0.75)=TRUE, "Evening", "Night")))</f>
        <v>Night</v>
      </c>
      <c r="G1934" t="str">
        <f>_xlfn.XLOOKUP(AllData[[#This Row],[Location Name]], Locations[Location Name],Locations[Group As])</f>
        <v>Site 1  :  Middle Street</v>
      </c>
      <c r="H1934" t="e" vm="1">
        <f>_xlfn.XLOOKUP(AllData[[#This Row],[Site Name]],LocationsKey[Site Name],LocationsKey[District])</f>
        <v>#VALUE!</v>
      </c>
      <c r="I1934" t="e" vm="14">
        <f>_xlfn.XLOOKUP(AllData[[#This Row],[Site Name]],LocationsKey[Site Name],LocationsKey[Town])</f>
        <v>#VALUE!</v>
      </c>
      <c r="J1934" t="str">
        <f>_xlfn.XLOOKUP(AllData[[#This Row],[Site Name]],LocationsKey[Site Name], LocationsKey[Waterway])</f>
        <v>Fosseway Brook</v>
      </c>
      <c r="K1934" t="s">
        <v>667</v>
      </c>
      <c r="L1934">
        <v>52.090085000000002</v>
      </c>
      <c r="M1934" s="108">
        <v>-1.692593</v>
      </c>
      <c r="N1934" t="s">
        <v>68</v>
      </c>
      <c r="O1934">
        <v>584</v>
      </c>
      <c r="P1934">
        <v>12.3</v>
      </c>
      <c r="Q1934">
        <v>3</v>
      </c>
      <c r="R1934" s="141" t="str">
        <f>IF(AllData[[#This Row],[Nitrate (PPM)]]&gt;2, "Very high", IF(AllData[[#This Row],[Nitrate (PPM)]]&gt;1, "High", IF(AllData[[#This Row],[Nitrate (PPM)]]&gt;0.5, "Some evidence", IF(AllData[[#This Row],[Nitrate (PPM)]]&gt;=0, "No evidence"))))</f>
        <v>Very high</v>
      </c>
      <c r="S1934" s="4">
        <v>0.08</v>
      </c>
      <c r="T1934" s="7" t="str">
        <f>IF(AllData[[#This Row],[Phosphate (PPM)]]&gt;0.5, "Very high", IF(AllData[[#This Row],[Phosphate (PPM)]]&gt;0.1, "High", IF(AllData[[#This Row],[Phosphate (PPM)]]&gt;0.05, "Some evidence", IF(AllData[[#This Row],[Phosphate (PPM)]]&lt;=0.05, "No Evidence", ""))))</f>
        <v>Some evidence</v>
      </c>
      <c r="U1934">
        <v>0</v>
      </c>
      <c r="V1934" t="s">
        <v>697</v>
      </c>
    </row>
    <row r="1935" spans="1:22" x14ac:dyDescent="0.35">
      <c r="A1935" t="s">
        <v>707</v>
      </c>
      <c r="B1935" s="143">
        <v>45338</v>
      </c>
      <c r="C1935" s="2" t="str" cm="1">
        <f t="array" ref="C19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5">
        <f>YEAR(AllData[[#This Row],[Date]])</f>
        <v>2024</v>
      </c>
      <c r="E1935" s="1">
        <v>0.44444444444444442</v>
      </c>
      <c r="F1935" t="str">
        <f>IF(AND(AllData[[#This Row],[Time]]&lt;0.5, AllData[[#This Row],[Time]]&gt;0.17)=TRUE, "Morning", IF(AND(AllData[[#This Row],[Time]]&lt;0.75, AllData[[#This Row],[Time]]&gt;=0.5)=TRUE, "Afternoon", IF(AND(AllData[[#This Row],[Time]]&lt;1, AllData[[#This Row],[Time]]&gt;=0.75)=TRUE, "Evening", "Night")))</f>
        <v>Morning</v>
      </c>
      <c r="G1935" t="str">
        <f>_xlfn.XLOOKUP(AllData[[#This Row],[Location Name]], Locations[Location Name],Locations[Group As])</f>
        <v>Site 1  :  Middle Street</v>
      </c>
      <c r="H1935" t="e" vm="1">
        <f>_xlfn.XLOOKUP(AllData[[#This Row],[Site Name]],LocationsKey[Site Name],LocationsKey[District])</f>
        <v>#VALUE!</v>
      </c>
      <c r="I1935" t="e" vm="14">
        <f>_xlfn.XLOOKUP(AllData[[#This Row],[Site Name]],LocationsKey[Site Name],LocationsKey[Town])</f>
        <v>#VALUE!</v>
      </c>
      <c r="J1935" t="str">
        <f>_xlfn.XLOOKUP(AllData[[#This Row],[Site Name]],LocationsKey[Site Name], LocationsKey[Waterway])</f>
        <v>Fosseway Brook</v>
      </c>
      <c r="K1935" t="s">
        <v>678</v>
      </c>
      <c r="L1935">
        <v>52.090085000000002</v>
      </c>
      <c r="M1935" s="108">
        <v>-1.692593</v>
      </c>
      <c r="N1935" t="s">
        <v>68</v>
      </c>
      <c r="O1935">
        <v>584</v>
      </c>
      <c r="P1935">
        <v>12.3</v>
      </c>
      <c r="Q1935">
        <v>3</v>
      </c>
      <c r="R1935" s="141" t="str">
        <f>IF(AllData[[#This Row],[Nitrate (PPM)]]&gt;2, "Very high", IF(AllData[[#This Row],[Nitrate (PPM)]]&gt;1, "High", IF(AllData[[#This Row],[Nitrate (PPM)]]&gt;0.5, "Some evidence", IF(AllData[[#This Row],[Nitrate (PPM)]]&gt;=0, "No evidence"))))</f>
        <v>Very high</v>
      </c>
      <c r="S1935">
        <v>0.08</v>
      </c>
      <c r="T1935" s="7" t="str">
        <f>IF(AllData[[#This Row],[Phosphate (PPM)]]&gt;0.5, "Very high", IF(AllData[[#This Row],[Phosphate (PPM)]]&gt;0.1, "High", IF(AllData[[#This Row],[Phosphate (PPM)]]&gt;0.05, "Some evidence", IF(AllData[[#This Row],[Phosphate (PPM)]]&lt;=0.05, "No Evidence", ""))))</f>
        <v>Some evidence</v>
      </c>
      <c r="U1935">
        <v>0.05</v>
      </c>
    </row>
    <row r="1936" spans="1:22" x14ac:dyDescent="0.35">
      <c r="A1936" t="s">
        <v>702</v>
      </c>
      <c r="B1936" s="143">
        <v>45338</v>
      </c>
      <c r="C1936" s="2" t="str" cm="1">
        <f t="array" ref="C19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6">
        <v>2023</v>
      </c>
      <c r="E1936" s="1"/>
      <c r="F1936" t="str">
        <f>IF(AND(AllData[[#This Row],[Time]]&lt;0.5, AllData[[#This Row],[Time]]&gt;0.17)=TRUE, "Morning", IF(AND(AllData[[#This Row],[Time]]&lt;0.75, AllData[[#This Row],[Time]]&gt;=0.5)=TRUE, "Afternoon", IF(AND(AllData[[#This Row],[Time]]&lt;1, AllData[[#This Row],[Time]]&gt;=0.75)=TRUE, "Evening", "Night")))</f>
        <v>Night</v>
      </c>
      <c r="G1936" t="str">
        <f>_xlfn.XLOOKUP(AllData[[#This Row],[Location Name]], Locations[Location Name],Locations[Group As])</f>
        <v>Site 2  :  Cross Leys culvert</v>
      </c>
      <c r="H1936" t="e" vm="1">
        <f>_xlfn.XLOOKUP(AllData[[#This Row],[Site Name]],LocationsKey[Site Name],LocationsKey[District])</f>
        <v>#VALUE!</v>
      </c>
      <c r="I1936" t="e" vm="14">
        <f>_xlfn.XLOOKUP(AllData[[#This Row],[Site Name]],LocationsKey[Site Name],LocationsKey[Town])</f>
        <v>#VALUE!</v>
      </c>
      <c r="J1936" t="str">
        <f>_xlfn.XLOOKUP(AllData[[#This Row],[Site Name]],LocationsKey[Site Name], LocationsKey[Waterway])</f>
        <v>Fosseway Brook</v>
      </c>
      <c r="K1936" t="s">
        <v>626</v>
      </c>
      <c r="L1936">
        <v>52.092967999999999</v>
      </c>
      <c r="M1936" s="108">
        <v>-1.6862710000000001</v>
      </c>
      <c r="N1936" t="s">
        <v>68</v>
      </c>
      <c r="O1936">
        <v>592</v>
      </c>
      <c r="P1936">
        <v>11</v>
      </c>
      <c r="Q1936">
        <v>2</v>
      </c>
      <c r="R1936" s="141" t="str">
        <f>IF(AllData[[#This Row],[Nitrate (PPM)]]&gt;2, "Very high", IF(AllData[[#This Row],[Nitrate (PPM)]]&gt;1, "High", IF(AllData[[#This Row],[Nitrate (PPM)]]&gt;0.5, "Some evidence", IF(AllData[[#This Row],[Nitrate (PPM)]]&gt;=0, "No evidence"))))</f>
        <v>High</v>
      </c>
      <c r="S1936" s="4">
        <v>0.17</v>
      </c>
      <c r="T1936" s="7" t="str">
        <f>IF(AllData[[#This Row],[Phosphate (PPM)]]&gt;0.5, "Very high", IF(AllData[[#This Row],[Phosphate (PPM)]]&gt;0.1, "High", IF(AllData[[#This Row],[Phosphate (PPM)]]&gt;0.05, "Some evidence", IF(AllData[[#This Row],[Phosphate (PPM)]]&lt;=0.05, "No Evidence", ""))))</f>
        <v>High</v>
      </c>
      <c r="V1936" t="s">
        <v>703</v>
      </c>
    </row>
    <row r="1937" spans="1:22" x14ac:dyDescent="0.35">
      <c r="A1937" t="s">
        <v>700</v>
      </c>
      <c r="B1937" s="143">
        <v>45338</v>
      </c>
      <c r="C1937" s="2" t="str" cm="1">
        <f t="array" ref="C19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7">
        <v>2023</v>
      </c>
      <c r="F1937" t="str">
        <f>IF(AND(AllData[[#This Row],[Time]]&lt;0.5, AllData[[#This Row],[Time]]&gt;0.17)=TRUE, "Morning", IF(AND(AllData[[#This Row],[Time]]&lt;0.75, AllData[[#This Row],[Time]]&gt;=0.5)=TRUE, "Afternoon", IF(AND(AllData[[#This Row],[Time]]&lt;1, AllData[[#This Row],[Time]]&gt;=0.75)=TRUE, "Evening", "Night")))</f>
        <v>Night</v>
      </c>
      <c r="G1937" t="str">
        <f>_xlfn.XLOOKUP(AllData[[#This Row],[Location Name]], Locations[Location Name],Locations[Group As])</f>
        <v>Site 2  :  Cross Leys culvert</v>
      </c>
      <c r="H1937" t="e" vm="1">
        <f>_xlfn.XLOOKUP(AllData[[#This Row],[Site Name]],LocationsKey[Site Name],LocationsKey[District])</f>
        <v>#VALUE!</v>
      </c>
      <c r="I1937" t="e" vm="14">
        <f>_xlfn.XLOOKUP(AllData[[#This Row],[Site Name]],LocationsKey[Site Name],LocationsKey[Town])</f>
        <v>#VALUE!</v>
      </c>
      <c r="J1937" t="str">
        <f>_xlfn.XLOOKUP(AllData[[#This Row],[Site Name]],LocationsKey[Site Name], LocationsKey[Waterway])</f>
        <v>Fosseway Brook</v>
      </c>
      <c r="K1937" t="s">
        <v>623</v>
      </c>
      <c r="L1937">
        <v>52.092967999999999</v>
      </c>
      <c r="M1937" s="108">
        <v>-1.6862710000000001</v>
      </c>
      <c r="N1937" t="s">
        <v>68</v>
      </c>
      <c r="O1937">
        <v>592</v>
      </c>
      <c r="P1937">
        <v>11</v>
      </c>
      <c r="Q1937">
        <v>2</v>
      </c>
      <c r="R1937" s="141" t="str">
        <f>IF(AllData[[#This Row],[Nitrate (PPM)]]&gt;2, "Very high", IF(AllData[[#This Row],[Nitrate (PPM)]]&gt;1, "High", IF(AllData[[#This Row],[Nitrate (PPM)]]&gt;0.5, "Some evidence", IF(AllData[[#This Row],[Nitrate (PPM)]]&gt;=0, "No evidence"))))</f>
        <v>High</v>
      </c>
      <c r="S1937" s="4">
        <v>0.17</v>
      </c>
      <c r="T1937" s="7" t="str">
        <f>IF(AllData[[#This Row],[Phosphate (PPM)]]&gt;0.5, "Very high", IF(AllData[[#This Row],[Phosphate (PPM)]]&gt;0.1, "High", IF(AllData[[#This Row],[Phosphate (PPM)]]&gt;0.05, "Some evidence", IF(AllData[[#This Row],[Phosphate (PPM)]]&lt;=0.05, "No Evidence", ""))))</f>
        <v>High</v>
      </c>
      <c r="U1937">
        <v>0</v>
      </c>
      <c r="V1937" t="s">
        <v>701</v>
      </c>
    </row>
    <row r="1938" spans="1:22" x14ac:dyDescent="0.35">
      <c r="A1938" t="s">
        <v>692</v>
      </c>
      <c r="B1938" s="143">
        <v>45338</v>
      </c>
      <c r="C1938" s="2" t="str" cm="1">
        <f t="array" ref="C19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8">
        <v>2023</v>
      </c>
      <c r="E1938" s="1">
        <v>0.61111111111111116</v>
      </c>
      <c r="F1938" t="str">
        <f>IF(AND(AllData[[#This Row],[Time]]&lt;0.5, AllData[[#This Row],[Time]]&gt;0.17)=TRUE, "Morning", IF(AND(AllData[[#This Row],[Time]]&lt;0.75, AllData[[#This Row],[Time]]&gt;=0.5)=TRUE, "Afternoon", IF(AND(AllData[[#This Row],[Time]]&lt;1, AllData[[#This Row],[Time]]&gt;=0.75)=TRUE, "Evening", "Night")))</f>
        <v>Afternoon</v>
      </c>
      <c r="G1938" t="str">
        <f>_xlfn.XLOOKUP(AllData[[#This Row],[Location Name]], Locations[Location Name],Locations[Group As])</f>
        <v>Preston Bagot Brook</v>
      </c>
      <c r="H1938" t="e" vm="1">
        <f>_xlfn.XLOOKUP(AllData[[#This Row],[Site Name]],LocationsKey[Site Name],LocationsKey[District])</f>
        <v>#VALUE!</v>
      </c>
      <c r="I1938" t="e" vm="21">
        <f>_xlfn.XLOOKUP(AllData[[#This Row],[Site Name]],LocationsKey[Site Name],LocationsKey[Town])</f>
        <v>#VALUE!</v>
      </c>
      <c r="J1938" t="str">
        <f>_xlfn.XLOOKUP(AllData[[#This Row],[Site Name]],LocationsKey[Site Name], LocationsKey[Waterway])</f>
        <v>Preston Bagot Brook</v>
      </c>
      <c r="K1938" t="s">
        <v>621</v>
      </c>
      <c r="L1938">
        <v>52.286200000000001</v>
      </c>
      <c r="M1938" s="108">
        <v>-1.7478</v>
      </c>
      <c r="N1938" t="s">
        <v>25</v>
      </c>
      <c r="O1938">
        <v>353</v>
      </c>
      <c r="P1938">
        <v>12.4</v>
      </c>
      <c r="Q1938">
        <v>2</v>
      </c>
      <c r="R1938" s="141" t="str">
        <f>IF(AllData[[#This Row],[Nitrate (PPM)]]&gt;2, "Very high", IF(AllData[[#This Row],[Nitrate (PPM)]]&gt;1, "High", IF(AllData[[#This Row],[Nitrate (PPM)]]&gt;0.5, "Some evidence", IF(AllData[[#This Row],[Nitrate (PPM)]]&gt;=0, "No evidence"))))</f>
        <v>High</v>
      </c>
      <c r="S1938" s="4">
        <v>0.56000000000000005</v>
      </c>
      <c r="T1938" s="7" t="str">
        <f>IF(AllData[[#This Row],[Phosphate (PPM)]]&gt;0.5, "Very high", IF(AllData[[#This Row],[Phosphate (PPM)]]&gt;0.1, "High", IF(AllData[[#This Row],[Phosphate (PPM)]]&gt;0.05, "Some evidence", IF(AllData[[#This Row],[Phosphate (PPM)]]&lt;=0.05, "No Evidence", ""))))</f>
        <v>Very high</v>
      </c>
      <c r="U1938">
        <v>0</v>
      </c>
    </row>
    <row r="1939" spans="1:22" x14ac:dyDescent="0.35">
      <c r="A1939" t="s">
        <v>691</v>
      </c>
      <c r="B1939" s="143">
        <v>45338</v>
      </c>
      <c r="C1939" s="2" t="str" cm="1">
        <f t="array" ref="C19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39">
        <v>2023</v>
      </c>
      <c r="E1939" s="1">
        <v>0.59722222222222221</v>
      </c>
      <c r="F1939" t="str">
        <f>IF(AND(AllData[[#This Row],[Time]]&lt;0.5, AllData[[#This Row],[Time]]&gt;0.17)=TRUE, "Morning", IF(AND(AllData[[#This Row],[Time]]&lt;0.75, AllData[[#This Row],[Time]]&gt;=0.5)=TRUE, "Afternoon", IF(AND(AllData[[#This Row],[Time]]&lt;1, AllData[[#This Row],[Time]]&gt;=0.75)=TRUE, "Evening", "Night")))</f>
        <v>Afternoon</v>
      </c>
      <c r="G1939" t="str">
        <f>_xlfn.XLOOKUP(AllData[[#This Row],[Location Name]], Locations[Location Name],Locations[Group As])</f>
        <v>Preston Bagot Canal</v>
      </c>
      <c r="H1939" t="e" vm="1">
        <f>_xlfn.XLOOKUP(AllData[[#This Row],[Site Name]],LocationsKey[Site Name],LocationsKey[District])</f>
        <v>#VALUE!</v>
      </c>
      <c r="I1939" t="e" vm="21">
        <f>_xlfn.XLOOKUP(AllData[[#This Row],[Site Name]],LocationsKey[Site Name],LocationsKey[Town])</f>
        <v>#VALUE!</v>
      </c>
      <c r="J1939" t="str">
        <f>_xlfn.XLOOKUP(AllData[[#This Row],[Site Name]],LocationsKey[Site Name], LocationsKey[Waterway])</f>
        <v>Preston Bagot Canal</v>
      </c>
      <c r="K1939" t="s">
        <v>618</v>
      </c>
      <c r="M1939" s="108"/>
      <c r="N1939" t="s">
        <v>25</v>
      </c>
      <c r="O1939">
        <v>308</v>
      </c>
      <c r="P1939">
        <v>11.6</v>
      </c>
      <c r="Q1939">
        <v>2</v>
      </c>
      <c r="R1939" s="141" t="str">
        <f>IF(AllData[[#This Row],[Nitrate (PPM)]]&gt;2, "Very high", IF(AllData[[#This Row],[Nitrate (PPM)]]&gt;1, "High", IF(AllData[[#This Row],[Nitrate (PPM)]]&gt;0.5, "Some evidence", IF(AllData[[#This Row],[Nitrate (PPM)]]&gt;=0, "No evidence"))))</f>
        <v>High</v>
      </c>
      <c r="S1939" s="4">
        <v>0.22</v>
      </c>
      <c r="T1939" s="7" t="str">
        <f>IF(AllData[[#This Row],[Phosphate (PPM)]]&gt;0.5, "Very high", IF(AllData[[#This Row],[Phosphate (PPM)]]&gt;0.1, "High", IF(AllData[[#This Row],[Phosphate (PPM)]]&gt;0.05, "Some evidence", IF(AllData[[#This Row],[Phosphate (PPM)]]&lt;=0.05, "No Evidence", ""))))</f>
        <v>High</v>
      </c>
      <c r="U1939">
        <v>0</v>
      </c>
    </row>
    <row r="1940" spans="1:22" x14ac:dyDescent="0.35">
      <c r="A1940" t="s">
        <v>689</v>
      </c>
      <c r="B1940" s="143">
        <v>45337</v>
      </c>
      <c r="C1940" s="2" t="str" cm="1">
        <f t="array" ref="C19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0">
        <v>2023</v>
      </c>
      <c r="E1940" s="1">
        <v>0.52986111111111112</v>
      </c>
      <c r="F1940" t="str">
        <f>IF(AND(AllData[[#This Row],[Time]]&lt;0.5, AllData[[#This Row],[Time]]&gt;0.17)=TRUE, "Morning", IF(AND(AllData[[#This Row],[Time]]&lt;0.75, AllData[[#This Row],[Time]]&gt;=0.5)=TRUE, "Afternoon", IF(AND(AllData[[#This Row],[Time]]&lt;1, AllData[[#This Row],[Time]]&gt;=0.75)=TRUE, "Evening", "Night")))</f>
        <v>Afternoon</v>
      </c>
      <c r="G1940" t="str">
        <f>_xlfn.XLOOKUP(AllData[[#This Row],[Location Name]], Locations[Location Name],Locations[Group As])</f>
        <v>Preston-on-Stour River Bridge</v>
      </c>
      <c r="H1940" t="e" vm="1">
        <f>_xlfn.XLOOKUP(AllData[[#This Row],[Site Name]],LocationsKey[Site Name],LocationsKey[District])</f>
        <v>#VALUE!</v>
      </c>
      <c r="I1940" t="e" vm="20">
        <f>_xlfn.XLOOKUP(AllData[[#This Row],[Site Name]],LocationsKey[Site Name],LocationsKey[Town])</f>
        <v>#VALUE!</v>
      </c>
      <c r="J1940" t="str">
        <f>_xlfn.XLOOKUP(AllData[[#This Row],[Site Name]],LocationsKey[Site Name], LocationsKey[Waterway])</f>
        <v>Stour</v>
      </c>
      <c r="K1940" t="s">
        <v>164</v>
      </c>
      <c r="L1940">
        <v>52.146580999999998</v>
      </c>
      <c r="M1940" s="108">
        <v>-1.6992020000000001</v>
      </c>
      <c r="N1940" t="s">
        <v>31</v>
      </c>
      <c r="O1940">
        <v>548</v>
      </c>
      <c r="P1940">
        <v>11.3</v>
      </c>
      <c r="Q1940">
        <v>7</v>
      </c>
      <c r="R1940" s="141" t="str">
        <f>IF(AllData[[#This Row],[Nitrate (PPM)]]&gt;2, "Very high", IF(AllData[[#This Row],[Nitrate (PPM)]]&gt;1, "High", IF(AllData[[#This Row],[Nitrate (PPM)]]&gt;0.5, "Some evidence", IF(AllData[[#This Row],[Nitrate (PPM)]]&gt;=0, "No evidence"))))</f>
        <v>Very high</v>
      </c>
      <c r="S1940" s="4">
        <v>0.25</v>
      </c>
      <c r="T1940" s="7" t="str">
        <f>IF(AllData[[#This Row],[Phosphate (PPM)]]&gt;0.5, "Very high", IF(AllData[[#This Row],[Phosphate (PPM)]]&gt;0.1, "High", IF(AllData[[#This Row],[Phosphate (PPM)]]&gt;0.05, "Some evidence", IF(AllData[[#This Row],[Phosphate (PPM)]]&lt;=0.05, "No Evidence", ""))))</f>
        <v>High</v>
      </c>
      <c r="U1940">
        <v>2</v>
      </c>
      <c r="V1940" t="s">
        <v>690</v>
      </c>
    </row>
    <row r="1941" spans="1:22" x14ac:dyDescent="0.35">
      <c r="A1941" t="s">
        <v>687</v>
      </c>
      <c r="B1941" s="143">
        <v>45337</v>
      </c>
      <c r="C1941" s="2" t="str" cm="1">
        <f t="array" ref="C19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1">
        <v>2023</v>
      </c>
      <c r="E1941" s="1">
        <v>0.49861111111111112</v>
      </c>
      <c r="F1941" t="str">
        <f>IF(AND(AllData[[#This Row],[Time]]&lt;0.5, AllData[[#This Row],[Time]]&gt;0.17)=TRUE, "Morning", IF(AND(AllData[[#This Row],[Time]]&lt;0.75, AllData[[#This Row],[Time]]&gt;=0.5)=TRUE, "Afternoon", IF(AND(AllData[[#This Row],[Time]]&lt;1, AllData[[#This Row],[Time]]&gt;=0.75)=TRUE, "Evening", "Night")))</f>
        <v>Morning</v>
      </c>
      <c r="G1941" t="str">
        <f>_xlfn.XLOOKUP(AllData[[#This Row],[Location Name]], Locations[Location Name],Locations[Group As])</f>
        <v>Stour Willington</v>
      </c>
      <c r="H1941" t="e" vm="1">
        <f>_xlfn.XLOOKUP(AllData[[#This Row],[Site Name]],LocationsKey[Site Name],LocationsKey[District])</f>
        <v>#VALUE!</v>
      </c>
      <c r="I1941" t="str">
        <f>_xlfn.XLOOKUP(AllData[[#This Row],[Site Name]],LocationsKey[Site Name],LocationsKey[Town])</f>
        <v>Willington</v>
      </c>
      <c r="J1941" t="str">
        <f>_xlfn.XLOOKUP(AllData[[#This Row],[Site Name]],LocationsKey[Site Name], LocationsKey[Waterway])</f>
        <v>Stour</v>
      </c>
      <c r="K1941" t="s">
        <v>521</v>
      </c>
      <c r="L1941">
        <v>52.053606000000002</v>
      </c>
      <c r="M1941" s="108">
        <v>-1.6202080000000001</v>
      </c>
      <c r="N1941" t="s">
        <v>25</v>
      </c>
      <c r="O1941">
        <v>523</v>
      </c>
      <c r="P1941">
        <v>12.4</v>
      </c>
      <c r="Q1941">
        <v>0.5</v>
      </c>
      <c r="R1941" s="141" t="str">
        <f>IF(AllData[[#This Row],[Nitrate (PPM)]]&gt;2, "Very high", IF(AllData[[#This Row],[Nitrate (PPM)]]&gt;1, "High", IF(AllData[[#This Row],[Nitrate (PPM)]]&gt;0.5, "Some evidence", IF(AllData[[#This Row],[Nitrate (PPM)]]&gt;=0, "No evidence"))))</f>
        <v>No evidence</v>
      </c>
      <c r="S1941" s="4">
        <v>0.23</v>
      </c>
      <c r="T1941" s="7" t="str">
        <f>IF(AllData[[#This Row],[Phosphate (PPM)]]&gt;0.5, "Very high", IF(AllData[[#This Row],[Phosphate (PPM)]]&gt;0.1, "High", IF(AllData[[#This Row],[Phosphate (PPM)]]&gt;0.05, "Some evidence", IF(AllData[[#This Row],[Phosphate (PPM)]]&lt;=0.05, "No Evidence", ""))))</f>
        <v>High</v>
      </c>
      <c r="U1941">
        <v>0.75</v>
      </c>
      <c r="V1941" t="s">
        <v>688</v>
      </c>
    </row>
    <row r="1942" spans="1:22" x14ac:dyDescent="0.35">
      <c r="A1942" t="s">
        <v>679</v>
      </c>
      <c r="B1942" s="143">
        <v>45336</v>
      </c>
      <c r="C1942" s="2" t="str" cm="1">
        <f t="array" ref="C19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2">
        <v>2023</v>
      </c>
      <c r="E1942" s="1">
        <v>0.11458333333333333</v>
      </c>
      <c r="F1942" t="str">
        <f>IF(AND(AllData[[#This Row],[Time]]&lt;0.5, AllData[[#This Row],[Time]]&gt;0.17)=TRUE, "Morning", IF(AND(AllData[[#This Row],[Time]]&lt;0.75, AllData[[#This Row],[Time]]&gt;=0.5)=TRUE, "Afternoon", IF(AND(AllData[[#This Row],[Time]]&lt;1, AllData[[#This Row],[Time]]&gt;=0.75)=TRUE, "Evening", "Night")))</f>
        <v>Night</v>
      </c>
      <c r="G1942" t="str">
        <f>_xlfn.XLOOKUP(AllData[[#This Row],[Location Name]], Locations[Location Name],Locations[Group As])</f>
        <v>Swiffen Bank</v>
      </c>
      <c r="H1942" t="e" vm="1">
        <f>_xlfn.XLOOKUP(AllData[[#This Row],[Site Name]],LocationsKey[Site Name],LocationsKey[District])</f>
        <v>#VALUE!</v>
      </c>
      <c r="I1942" t="e" vm="2">
        <f>_xlfn.XLOOKUP(AllData[[#This Row],[Site Name]],LocationsKey[Site Name],LocationsKey[Town])</f>
        <v>#VALUE!</v>
      </c>
      <c r="J1942" t="str">
        <f>_xlfn.XLOOKUP(AllData[[#This Row],[Site Name]],LocationsKey[Site Name], LocationsKey[Waterway])</f>
        <v>Avon</v>
      </c>
      <c r="K1942" t="s">
        <v>286</v>
      </c>
      <c r="L1942">
        <v>52.206477999999997</v>
      </c>
      <c r="M1942" s="108">
        <v>-1.653894</v>
      </c>
      <c r="N1942" t="s">
        <v>31</v>
      </c>
      <c r="O1942">
        <v>535</v>
      </c>
      <c r="P1942">
        <v>13.4</v>
      </c>
      <c r="Q1942">
        <v>5</v>
      </c>
      <c r="R1942" s="141" t="str">
        <f>IF(AllData[[#This Row],[Nitrate (PPM)]]&gt;2, "Very high", IF(AllData[[#This Row],[Nitrate (PPM)]]&gt;1, "High", IF(AllData[[#This Row],[Nitrate (PPM)]]&gt;0.5, "Some evidence", IF(AllData[[#This Row],[Nitrate (PPM)]]&gt;=0, "No evidence"))))</f>
        <v>Very high</v>
      </c>
      <c r="S1942" s="4">
        <v>0.67</v>
      </c>
      <c r="T1942" s="7" t="str">
        <f>IF(AllData[[#This Row],[Phosphate (PPM)]]&gt;0.5, "Very high", IF(AllData[[#This Row],[Phosphate (PPM)]]&gt;0.1, "High", IF(AllData[[#This Row],[Phosphate (PPM)]]&gt;0.05, "Some evidence", IF(AllData[[#This Row],[Phosphate (PPM)]]&lt;=0.05, "No Evidence", ""))))</f>
        <v>Very high</v>
      </c>
      <c r="U1942">
        <v>1.5</v>
      </c>
      <c r="V1942" t="s">
        <v>680</v>
      </c>
    </row>
    <row r="1943" spans="1:22" x14ac:dyDescent="0.35">
      <c r="A1943" t="s">
        <v>683</v>
      </c>
      <c r="B1943" s="143">
        <v>45336</v>
      </c>
      <c r="C1943" s="2" t="str" cm="1">
        <f t="array" ref="C19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3">
        <v>2023</v>
      </c>
      <c r="E1943" s="1">
        <v>0.64722222222222225</v>
      </c>
      <c r="F1943" t="str">
        <f>IF(AND(AllData[[#This Row],[Time]]&lt;0.5, AllData[[#This Row],[Time]]&gt;0.17)=TRUE, "Morning", IF(AND(AllData[[#This Row],[Time]]&lt;0.75, AllData[[#This Row],[Time]]&gt;=0.5)=TRUE, "Afternoon", IF(AND(AllData[[#This Row],[Time]]&lt;1, AllData[[#This Row],[Time]]&gt;=0.75)=TRUE, "Evening", "Night")))</f>
        <v>Afternoon</v>
      </c>
      <c r="G1943" t="str">
        <f>_xlfn.XLOOKUP(AllData[[#This Row],[Location Name]], Locations[Location Name],Locations[Group As])</f>
        <v>Alveston Weir</v>
      </c>
      <c r="H1943" t="e" vm="1">
        <f>_xlfn.XLOOKUP(AllData[[#This Row],[Site Name]],LocationsKey[Site Name],LocationsKey[District])</f>
        <v>#VALUE!</v>
      </c>
      <c r="I1943" t="e" vm="2">
        <f>_xlfn.XLOOKUP(AllData[[#This Row],[Site Name]],LocationsKey[Site Name],LocationsKey[Town])</f>
        <v>#VALUE!</v>
      </c>
      <c r="J1943" t="str">
        <f>_xlfn.XLOOKUP(AllData[[#This Row],[Site Name]],LocationsKey[Site Name], LocationsKey[Waterway])</f>
        <v>Avon</v>
      </c>
      <c r="K1943" t="s">
        <v>288</v>
      </c>
      <c r="L1943">
        <v>52.212288999999998</v>
      </c>
      <c r="M1943" s="108">
        <v>-1.660452</v>
      </c>
      <c r="N1943" t="s">
        <v>31</v>
      </c>
      <c r="O1943">
        <v>469</v>
      </c>
      <c r="P1943">
        <v>10.7</v>
      </c>
      <c r="Q1943">
        <v>5</v>
      </c>
      <c r="R1943" s="141" t="str">
        <f>IF(AllData[[#This Row],[Nitrate (PPM)]]&gt;2, "Very high", IF(AllData[[#This Row],[Nitrate (PPM)]]&gt;1, "High", IF(AllData[[#This Row],[Nitrate (PPM)]]&gt;0.5, "Some evidence", IF(AllData[[#This Row],[Nitrate (PPM)]]&gt;=0, "No evidence"))))</f>
        <v>Very high</v>
      </c>
      <c r="S1943" s="4">
        <v>0.59</v>
      </c>
      <c r="T1943" s="7" t="str">
        <f>IF(AllData[[#This Row],[Phosphate (PPM)]]&gt;0.5, "Very high", IF(AllData[[#This Row],[Phosphate (PPM)]]&gt;0.1, "High", IF(AllData[[#This Row],[Phosphate (PPM)]]&gt;0.05, "Some evidence", IF(AllData[[#This Row],[Phosphate (PPM)]]&lt;=0.05, "No Evidence", ""))))</f>
        <v>Very high</v>
      </c>
      <c r="U1943">
        <v>1.5</v>
      </c>
      <c r="V1943" t="s">
        <v>684</v>
      </c>
    </row>
    <row r="1944" spans="1:22" x14ac:dyDescent="0.35">
      <c r="A1944" t="s">
        <v>682</v>
      </c>
      <c r="B1944" s="143">
        <v>45336</v>
      </c>
      <c r="C1944" s="2" t="str" cm="1">
        <f t="array" ref="C19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4">
        <v>2023</v>
      </c>
      <c r="E1944" s="1">
        <v>0.61319444444444449</v>
      </c>
      <c r="F1944" t="str">
        <f>IF(AND(AllData[[#This Row],[Time]]&lt;0.5, AllData[[#This Row],[Time]]&gt;0.17)=TRUE, "Morning", IF(AND(AllData[[#This Row],[Time]]&lt;0.75, AllData[[#This Row],[Time]]&gt;=0.5)=TRUE, "Afternoon", IF(AND(AllData[[#This Row],[Time]]&lt;1, AllData[[#This Row],[Time]]&gt;=0.75)=TRUE, "Evening", "Night")))</f>
        <v>Afternoon</v>
      </c>
      <c r="G1944" t="str">
        <f>_xlfn.XLOOKUP(AllData[[#This Row],[Location Name]], Locations[Location Name],Locations[Group As])</f>
        <v>Stour Stretton-on-Fosse Sewage Works</v>
      </c>
      <c r="H1944" t="e" vm="1">
        <f>_xlfn.XLOOKUP(AllData[[#This Row],[Site Name]],LocationsKey[Site Name],LocationsKey[District])</f>
        <v>#VALUE!</v>
      </c>
      <c r="I1944" t="e" vm="30">
        <f>_xlfn.XLOOKUP(AllData[[#This Row],[Site Name]],LocationsKey[Site Name],LocationsKey[Town])</f>
        <v>#VALUE!</v>
      </c>
      <c r="J1944" t="str">
        <f>_xlfn.XLOOKUP(AllData[[#This Row],[Site Name]],LocationsKey[Site Name], LocationsKey[Waterway])</f>
        <v>Stour</v>
      </c>
      <c r="K1944" t="s">
        <v>337</v>
      </c>
      <c r="L1944">
        <v>52.045701000000001</v>
      </c>
      <c r="M1944" s="108">
        <v>-1.6718900000000001</v>
      </c>
      <c r="N1944" t="s">
        <v>31</v>
      </c>
      <c r="O1944">
        <v>414</v>
      </c>
      <c r="P1944">
        <v>11.2</v>
      </c>
      <c r="Q1944">
        <v>3</v>
      </c>
      <c r="R1944" s="141" t="str">
        <f>IF(AllData[[#This Row],[Nitrate (PPM)]]&gt;2, "Very high", IF(AllData[[#This Row],[Nitrate (PPM)]]&gt;1, "High", IF(AllData[[#This Row],[Nitrate (PPM)]]&gt;0.5, "Some evidence", IF(AllData[[#This Row],[Nitrate (PPM)]]&gt;=0, "No evidence"))))</f>
        <v>Very high</v>
      </c>
      <c r="S1944" s="4">
        <v>0.13</v>
      </c>
      <c r="T1944" s="7" t="str">
        <f>IF(AllData[[#This Row],[Phosphate (PPM)]]&gt;0.5, "Very high", IF(AllData[[#This Row],[Phosphate (PPM)]]&gt;0.1, "High", IF(AllData[[#This Row],[Phosphate (PPM)]]&gt;0.05, "Some evidence", IF(AllData[[#This Row],[Phosphate (PPM)]]&lt;=0.05, "No Evidence", ""))))</f>
        <v>High</v>
      </c>
      <c r="U1944">
        <v>0.6</v>
      </c>
    </row>
    <row r="1945" spans="1:22" x14ac:dyDescent="0.35">
      <c r="A1945" t="s">
        <v>685</v>
      </c>
      <c r="B1945" s="143">
        <v>45336</v>
      </c>
      <c r="C1945" s="2" t="str" cm="1">
        <f t="array" ref="C19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5">
        <v>2023</v>
      </c>
      <c r="E1945" s="1">
        <v>0.70833333333333337</v>
      </c>
      <c r="F1945" t="str">
        <f>IF(AND(AllData[[#This Row],[Time]]&lt;0.5, AllData[[#This Row],[Time]]&gt;0.17)=TRUE, "Morning", IF(AND(AllData[[#This Row],[Time]]&lt;0.75, AllData[[#This Row],[Time]]&gt;=0.5)=TRUE, "Afternoon", IF(AND(AllData[[#This Row],[Time]]&lt;1, AllData[[#This Row],[Time]]&gt;=0.75)=TRUE, "Evening", "Night")))</f>
        <v>Afternoon</v>
      </c>
      <c r="G1945" t="str">
        <f>_xlfn.XLOOKUP(AllData[[#This Row],[Location Name]], Locations[Location Name],Locations[Group As])</f>
        <v>Stour Newbold Mill</v>
      </c>
      <c r="H1945" t="e" vm="1">
        <f>_xlfn.XLOOKUP(AllData[[#This Row],[Site Name]],LocationsKey[Site Name],LocationsKey[District])</f>
        <v>#VALUE!</v>
      </c>
      <c r="I1945" t="e" vm="27">
        <f>_xlfn.XLOOKUP(AllData[[#This Row],[Site Name]],LocationsKey[Site Name],LocationsKey[Town])</f>
        <v>#VALUE!</v>
      </c>
      <c r="J1945" t="str">
        <f>_xlfn.XLOOKUP(AllData[[#This Row],[Site Name]],LocationsKey[Site Name], LocationsKey[Waterway])</f>
        <v>Stour</v>
      </c>
      <c r="K1945" t="s">
        <v>141</v>
      </c>
      <c r="L1945">
        <v>52.112822999999999</v>
      </c>
      <c r="M1945" s="108">
        <v>-1.633321</v>
      </c>
      <c r="N1945" t="s">
        <v>68</v>
      </c>
      <c r="O1945">
        <v>513</v>
      </c>
      <c r="P1945">
        <v>11.2</v>
      </c>
      <c r="Q1945">
        <v>2</v>
      </c>
      <c r="R1945" s="141" t="str">
        <f>IF(AllData[[#This Row],[Nitrate (PPM)]]&gt;2, "Very high", IF(AllData[[#This Row],[Nitrate (PPM)]]&gt;1, "High", IF(AllData[[#This Row],[Nitrate (PPM)]]&gt;0.5, "Some evidence", IF(AllData[[#This Row],[Nitrate (PPM)]]&gt;=0, "No evidence"))))</f>
        <v>High</v>
      </c>
      <c r="S1945" s="4">
        <v>0.1</v>
      </c>
      <c r="T1945" s="7" t="str">
        <f>IF(AllData[[#This Row],[Phosphate (PPM)]]&gt;0.5, "Very high", IF(AllData[[#This Row],[Phosphate (PPM)]]&gt;0.1, "High", IF(AllData[[#This Row],[Phosphate (PPM)]]&gt;0.05, "Some evidence", IF(AllData[[#This Row],[Phosphate (PPM)]]&lt;=0.05, "No Evidence", ""))))</f>
        <v>Some evidence</v>
      </c>
      <c r="U1945">
        <v>3.5</v>
      </c>
      <c r="V1945" t="s">
        <v>686</v>
      </c>
    </row>
    <row r="1946" spans="1:22" x14ac:dyDescent="0.35">
      <c r="A1946" t="s">
        <v>681</v>
      </c>
      <c r="B1946" s="143">
        <v>45336</v>
      </c>
      <c r="C1946" s="2" t="str" cm="1">
        <f t="array" ref="C19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6">
        <v>2023</v>
      </c>
      <c r="E1946" s="1">
        <v>0.59722222222222221</v>
      </c>
      <c r="F1946" t="str">
        <f>IF(AND(AllData[[#This Row],[Time]]&lt;0.5, AllData[[#This Row],[Time]]&gt;0.17)=TRUE, "Morning", IF(AND(AllData[[#This Row],[Time]]&lt;0.75, AllData[[#This Row],[Time]]&gt;=0.5)=TRUE, "Afternoon", IF(AND(AllData[[#This Row],[Time]]&lt;1, AllData[[#This Row],[Time]]&gt;=0.75)=TRUE, "Evening", "Night")))</f>
        <v>Afternoon</v>
      </c>
      <c r="G1946" t="str">
        <f>_xlfn.XLOOKUP(AllData[[#This Row],[Location Name]], Locations[Location Name],Locations[Group As])</f>
        <v>Stour Stretton-on-Fosse Village</v>
      </c>
      <c r="H1946" t="e" vm="1">
        <f>_xlfn.XLOOKUP(AllData[[#This Row],[Site Name]],LocationsKey[Site Name],LocationsKey[District])</f>
        <v>#VALUE!</v>
      </c>
      <c r="I1946" t="e" vm="30">
        <f>_xlfn.XLOOKUP(AllData[[#This Row],[Site Name]],LocationsKey[Site Name],LocationsKey[Town])</f>
        <v>#VALUE!</v>
      </c>
      <c r="J1946" t="str">
        <f>_xlfn.XLOOKUP(AllData[[#This Row],[Site Name]],LocationsKey[Site Name], LocationsKey[Waterway])</f>
        <v>Stour</v>
      </c>
      <c r="K1946" t="s">
        <v>548</v>
      </c>
      <c r="L1946">
        <v>52.046551999999998</v>
      </c>
      <c r="M1946" s="108">
        <v>-1.673411</v>
      </c>
      <c r="N1946" t="s">
        <v>68</v>
      </c>
      <c r="O1946">
        <v>418</v>
      </c>
      <c r="P1946">
        <v>11.2</v>
      </c>
      <c r="Q1946">
        <v>2</v>
      </c>
      <c r="R1946" s="141" t="str">
        <f>IF(AllData[[#This Row],[Nitrate (PPM)]]&gt;2, "Very high", IF(AllData[[#This Row],[Nitrate (PPM)]]&gt;1, "High", IF(AllData[[#This Row],[Nitrate (PPM)]]&gt;0.5, "Some evidence", IF(AllData[[#This Row],[Nitrate (PPM)]]&gt;=0, "No evidence"))))</f>
        <v>High</v>
      </c>
      <c r="S1946" s="4">
        <v>0.31</v>
      </c>
      <c r="T1946" s="7" t="str">
        <f>IF(AllData[[#This Row],[Phosphate (PPM)]]&gt;0.5, "Very high", IF(AllData[[#This Row],[Phosphate (PPM)]]&gt;0.1, "High", IF(AllData[[#This Row],[Phosphate (PPM)]]&gt;0.05, "Some evidence", IF(AllData[[#This Row],[Phosphate (PPM)]]&lt;=0.05, "No Evidence", ""))))</f>
        <v>High</v>
      </c>
      <c r="U1946">
        <v>0.45</v>
      </c>
    </row>
    <row r="1947" spans="1:22" x14ac:dyDescent="0.35">
      <c r="A1947" t="s">
        <v>655</v>
      </c>
      <c r="B1947" s="143">
        <v>45333</v>
      </c>
      <c r="C1947" s="2" t="str" cm="1">
        <f t="array" ref="C19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7">
        <v>2023</v>
      </c>
      <c r="E1947" s="1">
        <v>0.4236111111111111</v>
      </c>
      <c r="F1947" t="str">
        <f>IF(AND(AllData[[#This Row],[Time]]&lt;0.5, AllData[[#This Row],[Time]]&gt;0.17)=TRUE, "Morning", IF(AND(AllData[[#This Row],[Time]]&lt;0.75, AllData[[#This Row],[Time]]&gt;=0.5)=TRUE, "Afternoon", IF(AND(AllData[[#This Row],[Time]]&lt;1, AllData[[#This Row],[Time]]&gt;=0.75)=TRUE, "Evening", "Night")))</f>
        <v>Morning</v>
      </c>
      <c r="G1947" t="str">
        <f>_xlfn.XLOOKUP(AllData[[#This Row],[Location Name]], Locations[Location Name],Locations[Group As])</f>
        <v>Fell Mill Footbridge</v>
      </c>
      <c r="H1947" t="e" vm="1">
        <f>_xlfn.XLOOKUP(AllData[[#This Row],[Site Name]],LocationsKey[Site Name],LocationsKey[District])</f>
        <v>#VALUE!</v>
      </c>
      <c r="I1947" t="e" vm="15">
        <f>_xlfn.XLOOKUP(AllData[[#This Row],[Site Name]],LocationsKey[Site Name],LocationsKey[Town])</f>
        <v>#VALUE!</v>
      </c>
      <c r="J1947" t="str">
        <f>_xlfn.XLOOKUP(AllData[[#This Row],[Site Name]],LocationsKey[Site Name], LocationsKey[Waterway])</f>
        <v>Stour</v>
      </c>
      <c r="K1947" t="s">
        <v>500</v>
      </c>
      <c r="L1947">
        <v>52.070131000000003</v>
      </c>
      <c r="M1947" s="108">
        <v>-1.6114869999999999</v>
      </c>
      <c r="N1947" t="s">
        <v>31</v>
      </c>
      <c r="O1947">
        <v>559</v>
      </c>
      <c r="P1947">
        <v>8.5</v>
      </c>
      <c r="Q1947">
        <v>10</v>
      </c>
      <c r="R1947" s="141" t="str">
        <f>IF(AllData[[#This Row],[Nitrate (PPM)]]&gt;2, "Very high", IF(AllData[[#This Row],[Nitrate (PPM)]]&gt;1, "High", IF(AllData[[#This Row],[Nitrate (PPM)]]&gt;0.5, "Some evidence", IF(AllData[[#This Row],[Nitrate (PPM)]]&gt;=0, "No evidence"))))</f>
        <v>Very high</v>
      </c>
      <c r="S1947" s="4">
        <v>0.71</v>
      </c>
      <c r="T1947" s="7" t="str">
        <f>IF(AllData[[#This Row],[Phosphate (PPM)]]&gt;0.5, "Very high", IF(AllData[[#This Row],[Phosphate (PPM)]]&gt;0.1, "High", IF(AllData[[#This Row],[Phosphate (PPM)]]&gt;0.05, "Some evidence", IF(AllData[[#This Row],[Phosphate (PPM)]]&lt;=0.05, "No Evidence", ""))))</f>
        <v>Very high</v>
      </c>
      <c r="U1947">
        <v>1.5</v>
      </c>
    </row>
    <row r="1948" spans="1:22" x14ac:dyDescent="0.35">
      <c r="A1948" t="s">
        <v>661</v>
      </c>
      <c r="B1948" s="143">
        <v>45333</v>
      </c>
      <c r="C1948" s="2" t="str" cm="1">
        <f t="array" ref="C19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8">
        <v>2023</v>
      </c>
      <c r="E1948" s="1">
        <v>0.625</v>
      </c>
      <c r="F1948" t="str">
        <f>IF(AND(AllData[[#This Row],[Time]]&lt;0.5, AllData[[#This Row],[Time]]&gt;0.17)=TRUE, "Morning", IF(AND(AllData[[#This Row],[Time]]&lt;0.75, AllData[[#This Row],[Time]]&gt;=0.5)=TRUE, "Afternoon", IF(AND(AllData[[#This Row],[Time]]&lt;1, AllData[[#This Row],[Time]]&gt;=0.75)=TRUE, "Evening", "Night")))</f>
        <v>Afternoon</v>
      </c>
      <c r="G1948" t="str">
        <f>_xlfn.XLOOKUP(AllData[[#This Row],[Location Name]], Locations[Location Name],Locations[Group As])</f>
        <v>Sherbourne Brook 1</v>
      </c>
      <c r="H1948" t="e" vm="1">
        <f>_xlfn.XLOOKUP(AllData[[#This Row],[Site Name]],LocationsKey[Site Name],LocationsKey[District])</f>
        <v>#VALUE!</v>
      </c>
      <c r="I1948" t="e" vm="23">
        <f>_xlfn.XLOOKUP(AllData[[#This Row],[Site Name]],LocationsKey[Site Name],LocationsKey[Town])</f>
        <v>#VALUE!</v>
      </c>
      <c r="J1948" t="str">
        <f>_xlfn.XLOOKUP(AllData[[#This Row],[Site Name]],LocationsKey[Site Name], LocationsKey[Waterway])</f>
        <v>Sherbourne Brook</v>
      </c>
      <c r="K1948" t="s">
        <v>541</v>
      </c>
      <c r="L1948">
        <v>52.252499999999998</v>
      </c>
      <c r="M1948" s="108">
        <v>-1.6685000000000001</v>
      </c>
      <c r="N1948" t="s">
        <v>25</v>
      </c>
      <c r="O1948">
        <v>801</v>
      </c>
      <c r="P1948">
        <v>9.5</v>
      </c>
      <c r="Q1948">
        <v>7</v>
      </c>
      <c r="R1948" s="141" t="str">
        <f>IF(AllData[[#This Row],[Nitrate (PPM)]]&gt;2, "Very high", IF(AllData[[#This Row],[Nitrate (PPM)]]&gt;1, "High", IF(AllData[[#This Row],[Nitrate (PPM)]]&gt;0.5, "Some evidence", IF(AllData[[#This Row],[Nitrate (PPM)]]&gt;=0, "No evidence"))))</f>
        <v>Very high</v>
      </c>
      <c r="S1948" s="4">
        <v>0.72</v>
      </c>
      <c r="T1948" s="7" t="str">
        <f>IF(AllData[[#This Row],[Phosphate (PPM)]]&gt;0.5, "Very high", IF(AllData[[#This Row],[Phosphate (PPM)]]&gt;0.1, "High", IF(AllData[[#This Row],[Phosphate (PPM)]]&gt;0.05, "Some evidence", IF(AllData[[#This Row],[Phosphate (PPM)]]&lt;=0.05, "No Evidence", ""))))</f>
        <v>Very high</v>
      </c>
      <c r="U1948">
        <v>0.5</v>
      </c>
    </row>
    <row r="1949" spans="1:22" x14ac:dyDescent="0.35">
      <c r="A1949" t="s">
        <v>656</v>
      </c>
      <c r="B1949" s="143">
        <v>45333</v>
      </c>
      <c r="C1949" s="2" t="str" cm="1">
        <f t="array" ref="C19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49">
        <v>2023</v>
      </c>
      <c r="E1949" s="1">
        <v>0.47916666666666669</v>
      </c>
      <c r="F1949" t="str">
        <f>IF(AND(AllData[[#This Row],[Time]]&lt;0.5, AllData[[#This Row],[Time]]&gt;0.17)=TRUE, "Morning", IF(AND(AllData[[#This Row],[Time]]&lt;0.75, AllData[[#This Row],[Time]]&gt;=0.5)=TRUE, "Afternoon", IF(AND(AllData[[#This Row],[Time]]&lt;1, AllData[[#This Row],[Time]]&gt;=0.75)=TRUE, "Evening", "Night")))</f>
        <v>Morning</v>
      </c>
      <c r="G1949" t="str">
        <f>_xlfn.XLOOKUP(AllData[[#This Row],[Location Name]], Locations[Location Name],Locations[Group As])</f>
        <v>The Ford, Langley</v>
      </c>
      <c r="H1949" t="e" vm="1">
        <f>_xlfn.XLOOKUP(AllData[[#This Row],[Site Name]],LocationsKey[Site Name],LocationsKey[District])</f>
        <v>#VALUE!</v>
      </c>
      <c r="I1949" t="str">
        <f>_xlfn.XLOOKUP(AllData[[#This Row],[Site Name]],LocationsKey[Site Name],LocationsKey[Town])</f>
        <v>Langley</v>
      </c>
      <c r="J1949" t="str">
        <f>_xlfn.XLOOKUP(AllData[[#This Row],[Site Name]],LocationsKey[Site Name], LocationsKey[Waterway])</f>
        <v>Langley Ford</v>
      </c>
      <c r="K1949" t="s">
        <v>561</v>
      </c>
      <c r="L1949">
        <v>52.259639</v>
      </c>
      <c r="M1949" s="108">
        <v>-1.7181999999999999</v>
      </c>
      <c r="N1949" t="s">
        <v>31</v>
      </c>
      <c r="O1949">
        <v>446</v>
      </c>
      <c r="P1949">
        <v>9.4</v>
      </c>
      <c r="Q1949">
        <v>7</v>
      </c>
      <c r="R1949" s="141" t="str">
        <f>IF(AllData[[#This Row],[Nitrate (PPM)]]&gt;2, "Very high", IF(AllData[[#This Row],[Nitrate (PPM)]]&gt;1, "High", IF(AllData[[#This Row],[Nitrate (PPM)]]&gt;0.5, "Some evidence", IF(AllData[[#This Row],[Nitrate (PPM)]]&gt;=0, "No evidence"))))</f>
        <v>Very high</v>
      </c>
      <c r="S1949" s="4">
        <v>0.78</v>
      </c>
      <c r="T1949" s="7" t="str">
        <f>IF(AllData[[#This Row],[Phosphate (PPM)]]&gt;0.5, "Very high", IF(AllData[[#This Row],[Phosphate (PPM)]]&gt;0.1, "High", IF(AllData[[#This Row],[Phosphate (PPM)]]&gt;0.05, "Some evidence", IF(AllData[[#This Row],[Phosphate (PPM)]]&lt;=0.05, "No Evidence", ""))))</f>
        <v>Very high</v>
      </c>
      <c r="U1949">
        <v>0.4</v>
      </c>
      <c r="V1949" t="s">
        <v>657</v>
      </c>
    </row>
    <row r="1950" spans="1:22" x14ac:dyDescent="0.35">
      <c r="A1950" t="s">
        <v>660</v>
      </c>
      <c r="B1950" s="143">
        <v>45333</v>
      </c>
      <c r="C1950" s="2" t="str" cm="1">
        <f t="array" ref="C19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0">
        <v>2023</v>
      </c>
      <c r="E1950" s="1">
        <v>0.61250000000000004</v>
      </c>
      <c r="F1950" t="str">
        <f>IF(AND(AllData[[#This Row],[Time]]&lt;0.5, AllData[[#This Row],[Time]]&gt;0.17)=TRUE, "Morning", IF(AND(AllData[[#This Row],[Time]]&lt;0.75, AllData[[#This Row],[Time]]&gt;=0.5)=TRUE, "Afternoon", IF(AND(AllData[[#This Row],[Time]]&lt;1, AllData[[#This Row],[Time]]&gt;=0.75)=TRUE, "Evening", "Night")))</f>
        <v>Afternoon</v>
      </c>
      <c r="G1950" t="str">
        <f>_xlfn.XLOOKUP(AllData[[#This Row],[Location Name]], Locations[Location Name],Locations[Group As])</f>
        <v>Black Bear</v>
      </c>
      <c r="H1950" t="e" vm="4">
        <f>_xlfn.XLOOKUP(AllData[[#This Row],[Site Name]],LocationsKey[Site Name],LocationsKey[District])</f>
        <v>#VALUE!</v>
      </c>
      <c r="I1950" t="e" vm="4">
        <f>_xlfn.XLOOKUP(AllData[[#This Row],[Site Name]],LocationsKey[Site Name],LocationsKey[Town])</f>
        <v>#VALUE!</v>
      </c>
      <c r="J1950" t="str">
        <f>_xlfn.XLOOKUP(AllData[[#This Row],[Site Name]],LocationsKey[Site Name], LocationsKey[Waterway])</f>
        <v>Avon</v>
      </c>
      <c r="K1950" t="s">
        <v>572</v>
      </c>
      <c r="L1950">
        <v>51.997478000000001</v>
      </c>
      <c r="M1950" s="108">
        <v>-2.1562610000000002</v>
      </c>
      <c r="N1950" t="s">
        <v>25</v>
      </c>
      <c r="O1950">
        <v>415</v>
      </c>
      <c r="P1950">
        <v>12</v>
      </c>
      <c r="Q1950">
        <v>7</v>
      </c>
      <c r="R1950" s="141" t="str">
        <f>IF(AllData[[#This Row],[Nitrate (PPM)]]&gt;2, "Very high", IF(AllData[[#This Row],[Nitrate (PPM)]]&gt;1, "High", IF(AllData[[#This Row],[Nitrate (PPM)]]&gt;0.5, "Some evidence", IF(AllData[[#This Row],[Nitrate (PPM)]]&gt;=0, "No evidence"))))</f>
        <v>Very high</v>
      </c>
      <c r="S1950" s="4">
        <v>0.91</v>
      </c>
      <c r="T1950" s="7" t="str">
        <f>IF(AllData[[#This Row],[Phosphate (PPM)]]&gt;0.5, "Very high", IF(AllData[[#This Row],[Phosphate (PPM)]]&gt;0.1, "High", IF(AllData[[#This Row],[Phosphate (PPM)]]&gt;0.05, "Some evidence", IF(AllData[[#This Row],[Phosphate (PPM)]]&lt;=0.05, "No Evidence", ""))))</f>
        <v>Very high</v>
      </c>
      <c r="U1950">
        <v>3</v>
      </c>
      <c r="V1950" t="s">
        <v>272</v>
      </c>
    </row>
    <row r="1951" spans="1:22" x14ac:dyDescent="0.35">
      <c r="A1951" t="s">
        <v>675</v>
      </c>
      <c r="B1951" s="143">
        <v>45333</v>
      </c>
      <c r="C1951" s="2" t="str" cm="1">
        <f t="array" ref="C19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1">
        <v>2023</v>
      </c>
      <c r="E1951" s="1"/>
      <c r="F1951" t="str">
        <f>IF(AND(AllData[[#This Row],[Time]]&lt;0.5, AllData[[#This Row],[Time]]&gt;0.17)=TRUE, "Morning", IF(AND(AllData[[#This Row],[Time]]&lt;0.75, AllData[[#This Row],[Time]]&gt;=0.5)=TRUE, "Afternoon", IF(AND(AllData[[#This Row],[Time]]&lt;1, AllData[[#This Row],[Time]]&gt;=0.75)=TRUE, "Evening", "Night")))</f>
        <v>Night</v>
      </c>
      <c r="G1951" t="str">
        <f>_xlfn.XLOOKUP(AllData[[#This Row],[Location Name]], Locations[Location Name],Locations[Group As])</f>
        <v>Site 3  :  Severn Trent Water processing plant outflow</v>
      </c>
      <c r="H1951" t="e" vm="1">
        <f>_xlfn.XLOOKUP(AllData[[#This Row],[Site Name]],LocationsKey[Site Name],LocationsKey[District])</f>
        <v>#VALUE!</v>
      </c>
      <c r="I1951" t="e" vm="14">
        <f>_xlfn.XLOOKUP(AllData[[#This Row],[Site Name]],LocationsKey[Site Name],LocationsKey[Town])</f>
        <v>#VALUE!</v>
      </c>
      <c r="J1951" t="str">
        <f>_xlfn.XLOOKUP(AllData[[#This Row],[Site Name]],LocationsKey[Site Name], LocationsKey[Waterway])</f>
        <v>Fosseway Brook</v>
      </c>
      <c r="K1951" t="s">
        <v>676</v>
      </c>
      <c r="L1951">
        <v>52.094423999999997</v>
      </c>
      <c r="M1951" s="108">
        <v>-1.6759090000000001</v>
      </c>
      <c r="N1951" t="s">
        <v>31</v>
      </c>
      <c r="O1951">
        <v>744</v>
      </c>
      <c r="P1951">
        <v>10.199999999999999</v>
      </c>
      <c r="Q1951">
        <v>5</v>
      </c>
      <c r="R1951" s="141" t="str">
        <f>IF(AllData[[#This Row],[Nitrate (PPM)]]&gt;2, "Very high", IF(AllData[[#This Row],[Nitrate (PPM)]]&gt;1, "High", IF(AllData[[#This Row],[Nitrate (PPM)]]&gt;0.5, "Some evidence", IF(AllData[[#This Row],[Nitrate (PPM)]]&gt;=0, "No evidence"))))</f>
        <v>Very high</v>
      </c>
      <c r="S1951" s="4">
        <v>2.13</v>
      </c>
      <c r="T1951" s="7" t="str">
        <f>IF(AllData[[#This Row],[Phosphate (PPM)]]&gt;0.5, "Very high", IF(AllData[[#This Row],[Phosphate (PPM)]]&gt;0.1, "High", IF(AllData[[#This Row],[Phosphate (PPM)]]&gt;0.05, "Some evidence", IF(AllData[[#This Row],[Phosphate (PPM)]]&lt;=0.05, "No Evidence", ""))))</f>
        <v>Very high</v>
      </c>
      <c r="V1951" t="s">
        <v>627</v>
      </c>
    </row>
    <row r="1952" spans="1:22" x14ac:dyDescent="0.35">
      <c r="A1952" t="s">
        <v>672</v>
      </c>
      <c r="B1952" s="143">
        <v>45333</v>
      </c>
      <c r="C1952" s="2" t="str" cm="1">
        <f t="array" ref="C19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2">
        <v>2023</v>
      </c>
      <c r="F1952" t="str">
        <f>IF(AND(AllData[[#This Row],[Time]]&lt;0.5, AllData[[#This Row],[Time]]&gt;0.17)=TRUE, "Morning", IF(AND(AllData[[#This Row],[Time]]&lt;0.75, AllData[[#This Row],[Time]]&gt;=0.5)=TRUE, "Afternoon", IF(AND(AllData[[#This Row],[Time]]&lt;1, AllData[[#This Row],[Time]]&gt;=0.75)=TRUE, "Evening", "Night")))</f>
        <v>Night</v>
      </c>
      <c r="G1952" t="str">
        <f>_xlfn.XLOOKUP(AllData[[#This Row],[Location Name]], Locations[Location Name],Locations[Group As])</f>
        <v>Site 3  :  Severn Trent Water processing plant outflow</v>
      </c>
      <c r="H1952" t="e" vm="1">
        <f>_xlfn.XLOOKUP(AllData[[#This Row],[Site Name]],LocationsKey[Site Name],LocationsKey[District])</f>
        <v>#VALUE!</v>
      </c>
      <c r="I1952" t="e" vm="14">
        <f>_xlfn.XLOOKUP(AllData[[#This Row],[Site Name]],LocationsKey[Site Name],LocationsKey[Town])</f>
        <v>#VALUE!</v>
      </c>
      <c r="J1952" t="str">
        <f>_xlfn.XLOOKUP(AllData[[#This Row],[Site Name]],LocationsKey[Site Name], LocationsKey[Waterway])</f>
        <v>Fosseway Brook</v>
      </c>
      <c r="K1952" t="s">
        <v>673</v>
      </c>
      <c r="L1952">
        <v>52.094423999999997</v>
      </c>
      <c r="M1952" s="108">
        <v>-1.6759090000000001</v>
      </c>
      <c r="N1952" t="s">
        <v>31</v>
      </c>
      <c r="O1952">
        <v>744</v>
      </c>
      <c r="P1952">
        <v>10.199999999999999</v>
      </c>
      <c r="Q1952">
        <v>5</v>
      </c>
      <c r="R1952" s="141" t="str">
        <f>IF(AllData[[#This Row],[Nitrate (PPM)]]&gt;2, "Very high", IF(AllData[[#This Row],[Nitrate (PPM)]]&gt;1, "High", IF(AllData[[#This Row],[Nitrate (PPM)]]&gt;0.5, "Some evidence", IF(AllData[[#This Row],[Nitrate (PPM)]]&gt;=0, "No evidence"))))</f>
        <v>Very high</v>
      </c>
      <c r="S1952" s="4">
        <v>2.13</v>
      </c>
      <c r="T1952" s="7" t="str">
        <f>IF(AllData[[#This Row],[Phosphate (PPM)]]&gt;0.5, "Very high", IF(AllData[[#This Row],[Phosphate (PPM)]]&gt;0.1, "High", IF(AllData[[#This Row],[Phosphate (PPM)]]&gt;0.05, "Some evidence", IF(AllData[[#This Row],[Phosphate (PPM)]]&lt;=0.05, "No Evidence", ""))))</f>
        <v>Very high</v>
      </c>
      <c r="U1952">
        <v>0</v>
      </c>
      <c r="V1952" t="s">
        <v>674</v>
      </c>
    </row>
    <row r="1953" spans="1:22" x14ac:dyDescent="0.35">
      <c r="A1953" t="s">
        <v>663</v>
      </c>
      <c r="B1953" s="143">
        <v>45333</v>
      </c>
      <c r="C1953" s="2" t="str" cm="1">
        <f t="array" ref="C19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3">
        <v>2023</v>
      </c>
      <c r="E1953" s="1">
        <v>0.63541666666666663</v>
      </c>
      <c r="F1953" t="str">
        <f>IF(AND(AllData[[#This Row],[Time]]&lt;0.5, AllData[[#This Row],[Time]]&gt;0.17)=TRUE, "Morning", IF(AND(AllData[[#This Row],[Time]]&lt;0.75, AllData[[#This Row],[Time]]&gt;=0.5)=TRUE, "Afternoon", IF(AND(AllData[[#This Row],[Time]]&lt;1, AllData[[#This Row],[Time]]&gt;=0.75)=TRUE, "Evening", "Night")))</f>
        <v>Afternoon</v>
      </c>
      <c r="G1953" t="str">
        <f>_xlfn.XLOOKUP(AllData[[#This Row],[Location Name]], Locations[Location Name],Locations[Group As])</f>
        <v>Bell Brook 1</v>
      </c>
      <c r="H1953" t="e" vm="1">
        <f>_xlfn.XLOOKUP(AllData[[#This Row],[Site Name]],LocationsKey[Site Name],LocationsKey[District])</f>
        <v>#VALUE!</v>
      </c>
      <c r="I1953" t="e" vm="19">
        <f>_xlfn.XLOOKUP(AllData[[#This Row],[Site Name]],LocationsKey[Site Name],LocationsKey[Town])</f>
        <v>#VALUE!</v>
      </c>
      <c r="J1953" t="str">
        <f>_xlfn.XLOOKUP(AllData[[#This Row],[Site Name]],LocationsKey[Site Name], LocationsKey[Waterway])</f>
        <v>Bell Brook</v>
      </c>
      <c r="K1953" t="s">
        <v>538</v>
      </c>
      <c r="L1953">
        <v>52.244900000000001</v>
      </c>
      <c r="M1953" s="108">
        <v>-1.6617</v>
      </c>
      <c r="N1953" t="s">
        <v>25</v>
      </c>
      <c r="O1953">
        <v>545</v>
      </c>
      <c r="P1953">
        <v>9</v>
      </c>
      <c r="Q1953">
        <v>5</v>
      </c>
      <c r="R1953" s="141" t="str">
        <f>IF(AllData[[#This Row],[Nitrate (PPM)]]&gt;2, "Very high", IF(AllData[[#This Row],[Nitrate (PPM)]]&gt;1, "High", IF(AllData[[#This Row],[Nitrate (PPM)]]&gt;0.5, "Some evidence", IF(AllData[[#This Row],[Nitrate (PPM)]]&gt;=0, "No evidence"))))</f>
        <v>Very high</v>
      </c>
      <c r="S1953" s="4">
        <v>0.47</v>
      </c>
      <c r="T1953" s="7" t="str">
        <f>IF(AllData[[#This Row],[Phosphate (PPM)]]&gt;0.5, "Very high", IF(AllData[[#This Row],[Phosphate (PPM)]]&gt;0.1, "High", IF(AllData[[#This Row],[Phosphate (PPM)]]&gt;0.05, "Some evidence", IF(AllData[[#This Row],[Phosphate (PPM)]]&lt;=0.05, "No Evidence", ""))))</f>
        <v>High</v>
      </c>
      <c r="U1953">
        <v>0.5</v>
      </c>
    </row>
    <row r="1954" spans="1:22" x14ac:dyDescent="0.35">
      <c r="A1954" t="s">
        <v>662</v>
      </c>
      <c r="B1954" s="143">
        <v>45333</v>
      </c>
      <c r="C1954" s="2" t="str" cm="1">
        <f t="array" ref="C19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4">
        <v>2023</v>
      </c>
      <c r="E1954" s="1">
        <v>0.63194444444444442</v>
      </c>
      <c r="F1954" t="str">
        <f>IF(AND(AllData[[#This Row],[Time]]&lt;0.5, AllData[[#This Row],[Time]]&gt;0.17)=TRUE, "Morning", IF(AND(AllData[[#This Row],[Time]]&lt;0.75, AllData[[#This Row],[Time]]&gt;=0.5)=TRUE, "Afternoon", IF(AND(AllData[[#This Row],[Time]]&lt;1, AllData[[#This Row],[Time]]&gt;=0.75)=TRUE, "Evening", "Night")))</f>
        <v>Afternoon</v>
      </c>
      <c r="G1954" t="str">
        <f>_xlfn.XLOOKUP(AllData[[#This Row],[Location Name]], Locations[Location Name],Locations[Group As])</f>
        <v>Stour Shipston Mill Bridge</v>
      </c>
      <c r="H1954" t="e" vm="1">
        <f>_xlfn.XLOOKUP(AllData[[#This Row],[Site Name]],LocationsKey[Site Name],LocationsKey[District])</f>
        <v>#VALUE!</v>
      </c>
      <c r="I1954" t="e" vm="15">
        <f>_xlfn.XLOOKUP(AllData[[#This Row],[Site Name]],LocationsKey[Site Name],LocationsKey[Town])</f>
        <v>#VALUE!</v>
      </c>
      <c r="J1954" t="str">
        <f>_xlfn.XLOOKUP(AllData[[#This Row],[Site Name]],LocationsKey[Site Name], LocationsKey[Waterway])</f>
        <v>Stour</v>
      </c>
      <c r="K1954" t="s">
        <v>435</v>
      </c>
      <c r="L1954">
        <v>52.061956000000002</v>
      </c>
      <c r="M1954" s="108">
        <v>-1.621896</v>
      </c>
      <c r="N1954" t="s">
        <v>25</v>
      </c>
      <c r="O1954">
        <v>472</v>
      </c>
      <c r="P1954">
        <v>8</v>
      </c>
      <c r="Q1954">
        <v>5</v>
      </c>
      <c r="R1954" s="141" t="str">
        <f>IF(AllData[[#This Row],[Nitrate (PPM)]]&gt;2, "Very high", IF(AllData[[#This Row],[Nitrate (PPM)]]&gt;1, "High", IF(AllData[[#This Row],[Nitrate (PPM)]]&gt;0.5, "Some evidence", IF(AllData[[#This Row],[Nitrate (PPM)]]&gt;=0, "No evidence"))))</f>
        <v>Very high</v>
      </c>
      <c r="S1954" s="4">
        <v>0.46</v>
      </c>
      <c r="T1954" s="7" t="str">
        <f>IF(AllData[[#This Row],[Phosphate (PPM)]]&gt;0.5, "Very high", IF(AllData[[#This Row],[Phosphate (PPM)]]&gt;0.1, "High", IF(AllData[[#This Row],[Phosphate (PPM)]]&gt;0.05, "Some evidence", IF(AllData[[#This Row],[Phosphate (PPM)]]&lt;=0.05, "No Evidence", ""))))</f>
        <v>High</v>
      </c>
      <c r="U1954">
        <v>1</v>
      </c>
    </row>
    <row r="1955" spans="1:22" x14ac:dyDescent="0.35">
      <c r="A1955" t="s">
        <v>658</v>
      </c>
      <c r="B1955" s="143">
        <v>45333</v>
      </c>
      <c r="C1955" s="2" t="str" cm="1">
        <f t="array" ref="C19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5">
        <v>2023</v>
      </c>
      <c r="E1955" s="1">
        <v>0.57986111111111116</v>
      </c>
      <c r="F1955" t="str">
        <f>IF(AND(AllData[[#This Row],[Time]]&lt;0.5, AllData[[#This Row],[Time]]&gt;0.17)=TRUE, "Morning", IF(AND(AllData[[#This Row],[Time]]&lt;0.75, AllData[[#This Row],[Time]]&gt;=0.5)=TRUE, "Afternoon", IF(AND(AllData[[#This Row],[Time]]&lt;1, AllData[[#This Row],[Time]]&gt;=0.75)=TRUE, "Evening", "Night")))</f>
        <v>Afternoon</v>
      </c>
      <c r="G1955" t="str">
        <f>_xlfn.XLOOKUP(AllData[[#This Row],[Location Name]], Locations[Location Name],Locations[Group As])</f>
        <v>Clifford Chambers Mill Bridge</v>
      </c>
      <c r="H1955" t="e" vm="1">
        <f>_xlfn.XLOOKUP(AllData[[#This Row],[Site Name]],LocationsKey[Site Name],LocationsKey[District])</f>
        <v>#VALUE!</v>
      </c>
      <c r="I1955" t="e" vm="22">
        <f>_xlfn.XLOOKUP(AllData[[#This Row],[Site Name]],LocationsKey[Site Name],LocationsKey[Town])</f>
        <v>#VALUE!</v>
      </c>
      <c r="J1955" t="str">
        <f>_xlfn.XLOOKUP(AllData[[#This Row],[Site Name]],LocationsKey[Site Name], LocationsKey[Waterway])</f>
        <v>Stour</v>
      </c>
      <c r="K1955" t="s">
        <v>266</v>
      </c>
      <c r="L1955">
        <v>52.166370000000001</v>
      </c>
      <c r="M1955" s="108">
        <v>-1.708032</v>
      </c>
      <c r="N1955" t="s">
        <v>68</v>
      </c>
      <c r="O1955">
        <v>554</v>
      </c>
      <c r="P1955">
        <v>11.3</v>
      </c>
      <c r="Q1955">
        <v>4</v>
      </c>
      <c r="R1955" s="141" t="str">
        <f>IF(AllData[[#This Row],[Nitrate (PPM)]]&gt;2, "Very high", IF(AllData[[#This Row],[Nitrate (PPM)]]&gt;1, "High", IF(AllData[[#This Row],[Nitrate (PPM)]]&gt;0.5, "Some evidence", IF(AllData[[#This Row],[Nitrate (PPM)]]&gt;=0, "No evidence"))))</f>
        <v>Very high</v>
      </c>
      <c r="S1955" s="4">
        <v>0.4</v>
      </c>
      <c r="T1955" s="7" t="str">
        <f>IF(AllData[[#This Row],[Phosphate (PPM)]]&gt;0.5, "Very high", IF(AllData[[#This Row],[Phosphate (PPM)]]&gt;0.1, "High", IF(AllData[[#This Row],[Phosphate (PPM)]]&gt;0.05, "Some evidence", IF(AllData[[#This Row],[Phosphate (PPM)]]&lt;=0.05, "No Evidence", ""))))</f>
        <v>High</v>
      </c>
      <c r="U1955">
        <v>1.4</v>
      </c>
      <c r="V1955" t="s">
        <v>659</v>
      </c>
    </row>
    <row r="1956" spans="1:22" x14ac:dyDescent="0.35">
      <c r="A1956" t="s">
        <v>664</v>
      </c>
      <c r="B1956" s="143">
        <v>45333</v>
      </c>
      <c r="C1956" s="2" t="str" cm="1">
        <f t="array" ref="C19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6">
        <v>2023</v>
      </c>
      <c r="E1956" s="1">
        <v>0.67083333333333328</v>
      </c>
      <c r="F1956" t="str">
        <f>IF(AND(AllData[[#This Row],[Time]]&lt;0.5, AllData[[#This Row],[Time]]&gt;0.17)=TRUE, "Morning", IF(AND(AllData[[#This Row],[Time]]&lt;0.75, AllData[[#This Row],[Time]]&gt;=0.5)=TRUE, "Afternoon", IF(AND(AllData[[#This Row],[Time]]&lt;1, AllData[[#This Row],[Time]]&gt;=0.75)=TRUE, "Evening", "Night")))</f>
        <v>Afternoon</v>
      </c>
      <c r="G1956" t="str">
        <f>_xlfn.XLOOKUP(AllData[[#This Row],[Location Name]], Locations[Location Name],Locations[Group As])</f>
        <v>Abbey Mill</v>
      </c>
      <c r="H1956" t="e" vm="4">
        <f>_xlfn.XLOOKUP(AllData[[#This Row],[Site Name]],LocationsKey[Site Name],LocationsKey[District])</f>
        <v>#VALUE!</v>
      </c>
      <c r="I1956" t="e" vm="4">
        <f>_xlfn.XLOOKUP(AllData[[#This Row],[Site Name]],LocationsKey[Site Name],LocationsKey[Town])</f>
        <v>#VALUE!</v>
      </c>
      <c r="J1956" t="str">
        <f>_xlfn.XLOOKUP(AllData[[#This Row],[Site Name]],LocationsKey[Site Name], LocationsKey[Waterway])</f>
        <v>Avon</v>
      </c>
      <c r="K1956" t="s">
        <v>27</v>
      </c>
      <c r="L1956">
        <v>51.991112999999999</v>
      </c>
      <c r="M1956" s="108">
        <v>-2.1623269999999999</v>
      </c>
      <c r="N1956" t="s">
        <v>25</v>
      </c>
      <c r="O1956">
        <v>430</v>
      </c>
      <c r="P1956">
        <v>9.8000000000000007</v>
      </c>
      <c r="Q1956">
        <v>4</v>
      </c>
      <c r="R1956" s="141" t="str">
        <f>IF(AllData[[#This Row],[Nitrate (PPM)]]&gt;2, "Very high", IF(AllData[[#This Row],[Nitrate (PPM)]]&gt;1, "High", IF(AllData[[#This Row],[Nitrate (PPM)]]&gt;0.5, "Some evidence", IF(AllData[[#This Row],[Nitrate (PPM)]]&gt;=0, "No evidence"))))</f>
        <v>Very high</v>
      </c>
      <c r="S1956" s="4">
        <v>0.71</v>
      </c>
      <c r="T1956" s="7" t="str">
        <f>IF(AllData[[#This Row],[Phosphate (PPM)]]&gt;0.5, "Very high", IF(AllData[[#This Row],[Phosphate (PPM)]]&gt;0.1, "High", IF(AllData[[#This Row],[Phosphate (PPM)]]&gt;0.05, "Some evidence", IF(AllData[[#This Row],[Phosphate (PPM)]]&lt;=0.05, "No Evidence", ""))))</f>
        <v>Very high</v>
      </c>
      <c r="U1956">
        <v>2.5</v>
      </c>
      <c r="V1956" t="s">
        <v>665</v>
      </c>
    </row>
    <row r="1957" spans="1:22" x14ac:dyDescent="0.35">
      <c r="A1957" t="s">
        <v>669</v>
      </c>
      <c r="B1957" s="143">
        <v>45333</v>
      </c>
      <c r="C1957" s="2" t="str" cm="1">
        <f t="array" ref="C19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7">
        <v>2023</v>
      </c>
      <c r="E1957" s="1"/>
      <c r="F1957" t="str">
        <f>IF(AND(AllData[[#This Row],[Time]]&lt;0.5, AllData[[#This Row],[Time]]&gt;0.17)=TRUE, "Morning", IF(AND(AllData[[#This Row],[Time]]&lt;0.75, AllData[[#This Row],[Time]]&gt;=0.5)=TRUE, "Afternoon", IF(AND(AllData[[#This Row],[Time]]&lt;1, AllData[[#This Row],[Time]]&gt;=0.75)=TRUE, "Evening", "Night")))</f>
        <v>Night</v>
      </c>
      <c r="G1957" t="str">
        <f>_xlfn.XLOOKUP(AllData[[#This Row],[Location Name]], Locations[Location Name],Locations[Group As])</f>
        <v>Site 1  :  Middle Street</v>
      </c>
      <c r="H1957" t="e" vm="1">
        <f>_xlfn.XLOOKUP(AllData[[#This Row],[Site Name]],LocationsKey[Site Name],LocationsKey[District])</f>
        <v>#VALUE!</v>
      </c>
      <c r="I1957" t="e" vm="14">
        <f>_xlfn.XLOOKUP(AllData[[#This Row],[Site Name]],LocationsKey[Site Name],LocationsKey[Town])</f>
        <v>#VALUE!</v>
      </c>
      <c r="J1957" t="str">
        <f>_xlfn.XLOOKUP(AllData[[#This Row],[Site Name]],LocationsKey[Site Name], LocationsKey[Waterway])</f>
        <v>Fosseway Brook</v>
      </c>
      <c r="K1957" t="s">
        <v>670</v>
      </c>
      <c r="L1957">
        <v>52.090085000000002</v>
      </c>
      <c r="M1957" s="108">
        <v>-1.692593</v>
      </c>
      <c r="N1957" t="s">
        <v>68</v>
      </c>
      <c r="O1957">
        <v>607</v>
      </c>
      <c r="P1957">
        <v>10.4</v>
      </c>
      <c r="Q1957">
        <v>2</v>
      </c>
      <c r="R1957" s="141" t="str">
        <f>IF(AllData[[#This Row],[Nitrate (PPM)]]&gt;2, "Very high", IF(AllData[[#This Row],[Nitrate (PPM)]]&gt;1, "High", IF(AllData[[#This Row],[Nitrate (PPM)]]&gt;0.5, "Some evidence", IF(AllData[[#This Row],[Nitrate (PPM)]]&gt;=0, "No evidence"))))</f>
        <v>High</v>
      </c>
      <c r="S1957" s="4">
        <v>0.36</v>
      </c>
      <c r="T1957" s="7" t="str">
        <f>IF(AllData[[#This Row],[Phosphate (PPM)]]&gt;0.5, "Very high", IF(AllData[[#This Row],[Phosphate (PPM)]]&gt;0.1, "High", IF(AllData[[#This Row],[Phosphate (PPM)]]&gt;0.05, "Some evidence", IF(AllData[[#This Row],[Phosphate (PPM)]]&lt;=0.05, "No Evidence", ""))))</f>
        <v>High</v>
      </c>
      <c r="V1957" t="s">
        <v>671</v>
      </c>
    </row>
    <row r="1958" spans="1:22" x14ac:dyDescent="0.35">
      <c r="A1958" t="s">
        <v>666</v>
      </c>
      <c r="B1958" s="143">
        <v>45333</v>
      </c>
      <c r="C1958" s="2" t="str" cm="1">
        <f t="array" ref="C19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8">
        <v>2023</v>
      </c>
      <c r="F1958" t="str">
        <f>IF(AND(AllData[[#This Row],[Time]]&lt;0.5, AllData[[#This Row],[Time]]&gt;0.17)=TRUE, "Morning", IF(AND(AllData[[#This Row],[Time]]&lt;0.75, AllData[[#This Row],[Time]]&gt;=0.5)=TRUE, "Afternoon", IF(AND(AllData[[#This Row],[Time]]&lt;1, AllData[[#This Row],[Time]]&gt;=0.75)=TRUE, "Evening", "Night")))</f>
        <v>Night</v>
      </c>
      <c r="G1958" t="str">
        <f>_xlfn.XLOOKUP(AllData[[#This Row],[Location Name]], Locations[Location Name],Locations[Group As])</f>
        <v>Site 1  :  Middle Street</v>
      </c>
      <c r="H1958" t="e" vm="1">
        <f>_xlfn.XLOOKUP(AllData[[#This Row],[Site Name]],LocationsKey[Site Name],LocationsKey[District])</f>
        <v>#VALUE!</v>
      </c>
      <c r="I1958" t="e" vm="14">
        <f>_xlfn.XLOOKUP(AllData[[#This Row],[Site Name]],LocationsKey[Site Name],LocationsKey[Town])</f>
        <v>#VALUE!</v>
      </c>
      <c r="J1958" t="str">
        <f>_xlfn.XLOOKUP(AllData[[#This Row],[Site Name]],LocationsKey[Site Name], LocationsKey[Waterway])</f>
        <v>Fosseway Brook</v>
      </c>
      <c r="K1958" t="s">
        <v>667</v>
      </c>
      <c r="L1958">
        <v>52.090085000000002</v>
      </c>
      <c r="M1958" s="108">
        <v>-1.692593</v>
      </c>
      <c r="N1958" t="s">
        <v>68</v>
      </c>
      <c r="O1958">
        <v>607</v>
      </c>
      <c r="P1958">
        <v>10.4</v>
      </c>
      <c r="Q1958">
        <v>2</v>
      </c>
      <c r="R1958" s="141" t="str">
        <f>IF(AllData[[#This Row],[Nitrate (PPM)]]&gt;2, "Very high", IF(AllData[[#This Row],[Nitrate (PPM)]]&gt;1, "High", IF(AllData[[#This Row],[Nitrate (PPM)]]&gt;0.5, "Some evidence", IF(AllData[[#This Row],[Nitrate (PPM)]]&gt;=0, "No evidence"))))</f>
        <v>High</v>
      </c>
      <c r="S1958" s="4">
        <v>0.36</v>
      </c>
      <c r="T1958" s="7" t="str">
        <f>IF(AllData[[#This Row],[Phosphate (PPM)]]&gt;0.5, "Very high", IF(AllData[[#This Row],[Phosphate (PPM)]]&gt;0.1, "High", IF(AllData[[#This Row],[Phosphate (PPM)]]&gt;0.05, "Some evidence", IF(AllData[[#This Row],[Phosphate (PPM)]]&lt;=0.05, "No Evidence", ""))))</f>
        <v>High</v>
      </c>
      <c r="U1958">
        <v>0</v>
      </c>
      <c r="V1958" t="s">
        <v>668</v>
      </c>
    </row>
    <row r="1959" spans="1:22" x14ac:dyDescent="0.35">
      <c r="A1959" t="s">
        <v>677</v>
      </c>
      <c r="B1959" s="143">
        <v>45333</v>
      </c>
      <c r="C1959" s="2" t="str" cm="1">
        <f t="array" ref="C19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59">
        <f>YEAR(AllData[[#This Row],[Date]])</f>
        <v>2024</v>
      </c>
      <c r="E1959" s="1">
        <v>0.4375</v>
      </c>
      <c r="F1959" t="str">
        <f>IF(AND(AllData[[#This Row],[Time]]&lt;0.5, AllData[[#This Row],[Time]]&gt;0.17)=TRUE, "Morning", IF(AND(AllData[[#This Row],[Time]]&lt;0.75, AllData[[#This Row],[Time]]&gt;=0.5)=TRUE, "Afternoon", IF(AND(AllData[[#This Row],[Time]]&lt;1, AllData[[#This Row],[Time]]&gt;=0.75)=TRUE, "Evening", "Night")))</f>
        <v>Morning</v>
      </c>
      <c r="G1959" t="str">
        <f>_xlfn.XLOOKUP(AllData[[#This Row],[Location Name]], Locations[Location Name],Locations[Group As])</f>
        <v>Site 1  :  Middle Street</v>
      </c>
      <c r="H1959" t="e" vm="1">
        <f>_xlfn.XLOOKUP(AllData[[#This Row],[Site Name]],LocationsKey[Site Name],LocationsKey[District])</f>
        <v>#VALUE!</v>
      </c>
      <c r="I1959" t="e" vm="14">
        <f>_xlfn.XLOOKUP(AllData[[#This Row],[Site Name]],LocationsKey[Site Name],LocationsKey[Town])</f>
        <v>#VALUE!</v>
      </c>
      <c r="J1959" t="str">
        <f>_xlfn.XLOOKUP(AllData[[#This Row],[Site Name]],LocationsKey[Site Name], LocationsKey[Waterway])</f>
        <v>Fosseway Brook</v>
      </c>
      <c r="K1959" t="s">
        <v>678</v>
      </c>
      <c r="L1959">
        <v>52.090085000000002</v>
      </c>
      <c r="M1959" s="108">
        <v>-1.692593</v>
      </c>
      <c r="N1959" t="s">
        <v>68</v>
      </c>
      <c r="O1959">
        <v>607</v>
      </c>
      <c r="P1959">
        <v>10.4</v>
      </c>
      <c r="Q1959">
        <v>2</v>
      </c>
      <c r="R1959" s="141" t="str">
        <f>IF(AllData[[#This Row],[Nitrate (PPM)]]&gt;2, "Very high", IF(AllData[[#This Row],[Nitrate (PPM)]]&gt;1, "High", IF(AllData[[#This Row],[Nitrate (PPM)]]&gt;0.5, "Some evidence", IF(AllData[[#This Row],[Nitrate (PPM)]]&gt;=0, "No evidence"))))</f>
        <v>High</v>
      </c>
      <c r="S1959">
        <v>0.36</v>
      </c>
      <c r="T1959" s="7" t="str">
        <f>IF(AllData[[#This Row],[Phosphate (PPM)]]&gt;0.5, "Very high", IF(AllData[[#This Row],[Phosphate (PPM)]]&gt;0.1, "High", IF(AllData[[#This Row],[Phosphate (PPM)]]&gt;0.05, "Some evidence", IF(AllData[[#This Row],[Phosphate (PPM)]]&lt;=0.05, "No Evidence", ""))))</f>
        <v>High</v>
      </c>
      <c r="U1959">
        <v>0.05</v>
      </c>
    </row>
    <row r="1960" spans="1:22" x14ac:dyDescent="0.35">
      <c r="A1960" t="s">
        <v>653</v>
      </c>
      <c r="B1960" s="143">
        <v>45332</v>
      </c>
      <c r="C1960" s="2" t="str" cm="1">
        <f t="array" ref="C19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0">
        <v>2023</v>
      </c>
      <c r="E1960" s="1">
        <v>0.5</v>
      </c>
      <c r="F1960" t="str">
        <f>IF(AND(AllData[[#This Row],[Time]]&lt;0.5, AllData[[#This Row],[Time]]&gt;0.17)=TRUE, "Morning", IF(AND(AllData[[#This Row],[Time]]&lt;0.75, AllData[[#This Row],[Time]]&gt;=0.5)=TRUE, "Afternoon", IF(AND(AllData[[#This Row],[Time]]&lt;1, AllData[[#This Row],[Time]]&gt;=0.75)=TRUE, "Evening", "Night")))</f>
        <v>Afternoon</v>
      </c>
      <c r="G1960" t="str">
        <f>_xlfn.XLOOKUP(AllData[[#This Row],[Location Name]], Locations[Location Name],Locations[Group As])</f>
        <v>Carrant Bredon Rd</v>
      </c>
      <c r="H1960" t="e" vm="4">
        <f>_xlfn.XLOOKUP(AllData[[#This Row],[Site Name]],LocationsKey[Site Name],LocationsKey[District])</f>
        <v>#VALUE!</v>
      </c>
      <c r="I1960" t="e" vm="4">
        <f>_xlfn.XLOOKUP(AllData[[#This Row],[Site Name]],LocationsKey[Site Name],LocationsKey[Town])</f>
        <v>#VALUE!</v>
      </c>
      <c r="J1960" t="str">
        <f>_xlfn.XLOOKUP(AllData[[#This Row],[Site Name]],LocationsKey[Site Name], LocationsKey[Waterway])</f>
        <v>Carrant</v>
      </c>
      <c r="K1960" t="s">
        <v>603</v>
      </c>
      <c r="L1960">
        <v>51.996360000000003</v>
      </c>
      <c r="M1960" s="108">
        <v>-2.1560489999999999</v>
      </c>
      <c r="N1960" t="s">
        <v>25</v>
      </c>
      <c r="O1960">
        <v>437</v>
      </c>
      <c r="P1960">
        <v>10</v>
      </c>
      <c r="Q1960">
        <v>3</v>
      </c>
      <c r="R1960" s="141" t="str">
        <f>IF(AllData[[#This Row],[Nitrate (PPM)]]&gt;2, "Very high", IF(AllData[[#This Row],[Nitrate (PPM)]]&gt;1, "High", IF(AllData[[#This Row],[Nitrate (PPM)]]&gt;0.5, "Some evidence", IF(AllData[[#This Row],[Nitrate (PPM)]]&gt;=0, "No evidence"))))</f>
        <v>Very high</v>
      </c>
      <c r="S1960" s="4">
        <v>0.73</v>
      </c>
      <c r="T1960" s="7" t="str">
        <f>IF(AllData[[#This Row],[Phosphate (PPM)]]&gt;0.5, "Very high", IF(AllData[[#This Row],[Phosphate (PPM)]]&gt;0.1, "High", IF(AllData[[#This Row],[Phosphate (PPM)]]&gt;0.05, "Some evidence", IF(AllData[[#This Row],[Phosphate (PPM)]]&lt;=0.05, "No Evidence", ""))))</f>
        <v>Very high</v>
      </c>
      <c r="U1960">
        <v>2.15</v>
      </c>
      <c r="V1960" t="s">
        <v>654</v>
      </c>
    </row>
    <row r="1961" spans="1:22" x14ac:dyDescent="0.35">
      <c r="A1961" t="s">
        <v>651</v>
      </c>
      <c r="B1961" s="143">
        <v>45331</v>
      </c>
      <c r="C1961" s="2" t="str" cm="1">
        <f t="array" ref="C19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1">
        <v>2023</v>
      </c>
      <c r="E1961" s="1">
        <v>0.61458333333333337</v>
      </c>
      <c r="F1961" t="str">
        <f>IF(AND(AllData[[#This Row],[Time]]&lt;0.5, AllData[[#This Row],[Time]]&gt;0.17)=TRUE, "Morning", IF(AND(AllData[[#This Row],[Time]]&lt;0.75, AllData[[#This Row],[Time]]&gt;=0.5)=TRUE, "Afternoon", IF(AND(AllData[[#This Row],[Time]]&lt;1, AllData[[#This Row],[Time]]&gt;=0.75)=TRUE, "Evening", "Night")))</f>
        <v>Afternoon</v>
      </c>
      <c r="G1961" t="str">
        <f>_xlfn.XLOOKUP(AllData[[#This Row],[Location Name]], Locations[Location Name],Locations[Group As])</f>
        <v>Preston Bagot Canal</v>
      </c>
      <c r="H1961" t="e" vm="1">
        <f>_xlfn.XLOOKUP(AllData[[#This Row],[Site Name]],LocationsKey[Site Name],LocationsKey[District])</f>
        <v>#VALUE!</v>
      </c>
      <c r="I1961" t="e" vm="21">
        <f>_xlfn.XLOOKUP(AllData[[#This Row],[Site Name]],LocationsKey[Site Name],LocationsKey[Town])</f>
        <v>#VALUE!</v>
      </c>
      <c r="J1961" t="str">
        <f>_xlfn.XLOOKUP(AllData[[#This Row],[Site Name]],LocationsKey[Site Name], LocationsKey[Waterway])</f>
        <v>Preston Bagot Canal</v>
      </c>
      <c r="K1961" t="s">
        <v>618</v>
      </c>
      <c r="M1961" s="108"/>
      <c r="N1961" t="s">
        <v>25</v>
      </c>
      <c r="O1961">
        <v>328</v>
      </c>
      <c r="P1961">
        <v>11.5</v>
      </c>
      <c r="Q1961">
        <v>2</v>
      </c>
      <c r="R1961" s="141" t="str">
        <f>IF(AllData[[#This Row],[Nitrate (PPM)]]&gt;2, "Very high", IF(AllData[[#This Row],[Nitrate (PPM)]]&gt;1, "High", IF(AllData[[#This Row],[Nitrate (PPM)]]&gt;0.5, "Some evidence", IF(AllData[[#This Row],[Nitrate (PPM)]]&gt;=0, "No evidence"))))</f>
        <v>High</v>
      </c>
      <c r="S1961" s="4">
        <v>0.37</v>
      </c>
      <c r="T1961" s="7" t="str">
        <f>IF(AllData[[#This Row],[Phosphate (PPM)]]&gt;0.5, "Very high", IF(AllData[[#This Row],[Phosphate (PPM)]]&gt;0.1, "High", IF(AllData[[#This Row],[Phosphate (PPM)]]&gt;0.05, "Some evidence", IF(AllData[[#This Row],[Phosphate (PPM)]]&lt;=0.05, "No Evidence", ""))))</f>
        <v>High</v>
      </c>
      <c r="U1961">
        <v>0</v>
      </c>
    </row>
    <row r="1962" spans="1:22" x14ac:dyDescent="0.35">
      <c r="A1962" t="s">
        <v>652</v>
      </c>
      <c r="B1962" s="143">
        <v>45331</v>
      </c>
      <c r="C1962" s="2" t="str" cm="1">
        <f t="array" ref="C19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2">
        <v>2023</v>
      </c>
      <c r="E1962" s="1">
        <v>0.625</v>
      </c>
      <c r="F1962" t="str">
        <f>IF(AND(AllData[[#This Row],[Time]]&lt;0.5, AllData[[#This Row],[Time]]&gt;0.17)=TRUE, "Morning", IF(AND(AllData[[#This Row],[Time]]&lt;0.75, AllData[[#This Row],[Time]]&gt;=0.5)=TRUE, "Afternoon", IF(AND(AllData[[#This Row],[Time]]&lt;1, AllData[[#This Row],[Time]]&gt;=0.75)=TRUE, "Evening", "Night")))</f>
        <v>Afternoon</v>
      </c>
      <c r="G1962" t="str">
        <f>_xlfn.XLOOKUP(AllData[[#This Row],[Location Name]], Locations[Location Name],Locations[Group As])</f>
        <v>Preston Bagot Brook</v>
      </c>
      <c r="H1962" t="e" vm="1">
        <f>_xlfn.XLOOKUP(AllData[[#This Row],[Site Name]],LocationsKey[Site Name],LocationsKey[District])</f>
        <v>#VALUE!</v>
      </c>
      <c r="I1962" t="e" vm="21">
        <f>_xlfn.XLOOKUP(AllData[[#This Row],[Site Name]],LocationsKey[Site Name],LocationsKey[Town])</f>
        <v>#VALUE!</v>
      </c>
      <c r="J1962" t="str">
        <f>_xlfn.XLOOKUP(AllData[[#This Row],[Site Name]],LocationsKey[Site Name], LocationsKey[Waterway])</f>
        <v>Preston Bagot Brook</v>
      </c>
      <c r="K1962" t="s">
        <v>621</v>
      </c>
      <c r="L1962">
        <v>52.286200000000001</v>
      </c>
      <c r="M1962" s="108">
        <v>-1.7478</v>
      </c>
      <c r="N1962" t="s">
        <v>25</v>
      </c>
      <c r="O1962">
        <v>243</v>
      </c>
      <c r="P1962">
        <v>11.9</v>
      </c>
      <c r="Q1962">
        <v>2</v>
      </c>
      <c r="R1962" s="141" t="str">
        <f>IF(AllData[[#This Row],[Nitrate (PPM)]]&gt;2, "Very high", IF(AllData[[#This Row],[Nitrate (PPM)]]&gt;1, "High", IF(AllData[[#This Row],[Nitrate (PPM)]]&gt;0.5, "Some evidence", IF(AllData[[#This Row],[Nitrate (PPM)]]&gt;=0, "No evidence"))))</f>
        <v>High</v>
      </c>
      <c r="S1962" s="4">
        <v>0.59</v>
      </c>
      <c r="T1962" s="7" t="str">
        <f>IF(AllData[[#This Row],[Phosphate (PPM)]]&gt;0.5, "Very high", IF(AllData[[#This Row],[Phosphate (PPM)]]&gt;0.1, "High", IF(AllData[[#This Row],[Phosphate (PPM)]]&gt;0.05, "Some evidence", IF(AllData[[#This Row],[Phosphate (PPM)]]&lt;=0.05, "No Evidence", ""))))</f>
        <v>Very high</v>
      </c>
      <c r="U1962">
        <v>0</v>
      </c>
    </row>
    <row r="1963" spans="1:22" x14ac:dyDescent="0.35">
      <c r="A1963" t="s">
        <v>649</v>
      </c>
      <c r="B1963" s="143">
        <v>45330</v>
      </c>
      <c r="C1963" s="2" t="str" cm="1">
        <f t="array" ref="C19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3">
        <v>2023</v>
      </c>
      <c r="E1963" s="1">
        <v>0.55625000000000002</v>
      </c>
      <c r="F1963" t="str">
        <f>IF(AND(AllData[[#This Row],[Time]]&lt;0.5, AllData[[#This Row],[Time]]&gt;0.17)=TRUE, "Morning", IF(AND(AllData[[#This Row],[Time]]&lt;0.75, AllData[[#This Row],[Time]]&gt;=0.5)=TRUE, "Afternoon", IF(AND(AllData[[#This Row],[Time]]&lt;1, AllData[[#This Row],[Time]]&gt;=0.75)=TRUE, "Evening", "Night")))</f>
        <v>Afternoon</v>
      </c>
      <c r="G1963" t="str">
        <f>_xlfn.XLOOKUP(AllData[[#This Row],[Location Name]], Locations[Location Name],Locations[Group As])</f>
        <v>Preston-on-Stour River Bridge</v>
      </c>
      <c r="H1963" t="e" vm="1">
        <f>_xlfn.XLOOKUP(AllData[[#This Row],[Site Name]],LocationsKey[Site Name],LocationsKey[District])</f>
        <v>#VALUE!</v>
      </c>
      <c r="I1963" t="e" vm="20">
        <f>_xlfn.XLOOKUP(AllData[[#This Row],[Site Name]],LocationsKey[Site Name],LocationsKey[Town])</f>
        <v>#VALUE!</v>
      </c>
      <c r="J1963" t="str">
        <f>_xlfn.XLOOKUP(AllData[[#This Row],[Site Name]],LocationsKey[Site Name], LocationsKey[Waterway])</f>
        <v>Stour</v>
      </c>
      <c r="K1963" t="s">
        <v>164</v>
      </c>
      <c r="L1963">
        <v>52.146526999999999</v>
      </c>
      <c r="M1963" s="108">
        <v>-1.7002550000000001</v>
      </c>
      <c r="N1963" t="s">
        <v>31</v>
      </c>
      <c r="O1963">
        <v>547</v>
      </c>
      <c r="P1963">
        <v>8.1</v>
      </c>
      <c r="Q1963">
        <v>6</v>
      </c>
      <c r="R1963" s="141" t="str">
        <f>IF(AllData[[#This Row],[Nitrate (PPM)]]&gt;2, "Very high", IF(AllData[[#This Row],[Nitrate (PPM)]]&gt;1, "High", IF(AllData[[#This Row],[Nitrate (PPM)]]&gt;0.5, "Some evidence", IF(AllData[[#This Row],[Nitrate (PPM)]]&gt;=0, "No evidence"))))</f>
        <v>Very high</v>
      </c>
      <c r="S1963" s="4">
        <v>0.22</v>
      </c>
      <c r="T1963" s="7" t="str">
        <f>IF(AllData[[#This Row],[Phosphate (PPM)]]&gt;0.5, "Very high", IF(AllData[[#This Row],[Phosphate (PPM)]]&gt;0.1, "High", IF(AllData[[#This Row],[Phosphate (PPM)]]&gt;0.05, "Some evidence", IF(AllData[[#This Row],[Phosphate (PPM)]]&lt;=0.05, "No Evidence", ""))))</f>
        <v>High</v>
      </c>
      <c r="U1963">
        <v>2</v>
      </c>
      <c r="V1963" t="s">
        <v>650</v>
      </c>
    </row>
    <row r="1964" spans="1:22" x14ac:dyDescent="0.35">
      <c r="A1964" t="s">
        <v>648</v>
      </c>
      <c r="B1964" s="143">
        <v>45330</v>
      </c>
      <c r="C1964" s="2" t="str" cm="1">
        <f t="array" ref="C19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4">
        <v>2023</v>
      </c>
      <c r="E1964" s="1">
        <v>0.5</v>
      </c>
      <c r="F1964" t="str">
        <f>IF(AND(AllData[[#This Row],[Time]]&lt;0.5, AllData[[#This Row],[Time]]&gt;0.17)=TRUE, "Morning", IF(AND(AllData[[#This Row],[Time]]&lt;0.75, AllData[[#This Row],[Time]]&gt;=0.5)=TRUE, "Afternoon", IF(AND(AllData[[#This Row],[Time]]&lt;1, AllData[[#This Row],[Time]]&gt;=0.75)=TRUE, "Evening", "Night")))</f>
        <v>Afternoon</v>
      </c>
      <c r="G1964" t="str">
        <f>_xlfn.XLOOKUP(AllData[[#This Row],[Location Name]], Locations[Location Name],Locations[Group As])</f>
        <v>Swilgate</v>
      </c>
      <c r="H1964" t="e" vm="4">
        <f>_xlfn.XLOOKUP(AllData[[#This Row],[Site Name]],LocationsKey[Site Name],LocationsKey[District])</f>
        <v>#VALUE!</v>
      </c>
      <c r="I1964" t="e" vm="4">
        <f>_xlfn.XLOOKUP(AllData[[#This Row],[Site Name]],LocationsKey[Site Name],LocationsKey[Town])</f>
        <v>#VALUE!</v>
      </c>
      <c r="J1964" t="str">
        <f>_xlfn.XLOOKUP(AllData[[#This Row],[Site Name]],LocationsKey[Site Name], LocationsKey[Waterway])</f>
        <v>Swilgate</v>
      </c>
      <c r="K1964" t="s">
        <v>85</v>
      </c>
      <c r="M1964" s="108"/>
      <c r="N1964" t="s">
        <v>25</v>
      </c>
      <c r="O1964">
        <v>830</v>
      </c>
      <c r="P1964">
        <v>9.6</v>
      </c>
      <c r="Q1964">
        <v>3</v>
      </c>
      <c r="R1964" s="141" t="str">
        <f>IF(AllData[[#This Row],[Nitrate (PPM)]]&gt;2, "Very high", IF(AllData[[#This Row],[Nitrate (PPM)]]&gt;1, "High", IF(AllData[[#This Row],[Nitrate (PPM)]]&gt;0.5, "Some evidence", IF(AllData[[#This Row],[Nitrate (PPM)]]&gt;=0, "No evidence"))))</f>
        <v>Very high</v>
      </c>
      <c r="S1964" s="4">
        <v>0.45</v>
      </c>
      <c r="T1964" s="7" t="str">
        <f>IF(AllData[[#This Row],[Phosphate (PPM)]]&gt;0.5, "Very high", IF(AllData[[#This Row],[Phosphate (PPM)]]&gt;0.1, "High", IF(AllData[[#This Row],[Phosphate (PPM)]]&gt;0.05, "Some evidence", IF(AllData[[#This Row],[Phosphate (PPM)]]&lt;=0.05, "No Evidence", ""))))</f>
        <v>High</v>
      </c>
      <c r="U1964">
        <v>2</v>
      </c>
    </row>
    <row r="1965" spans="1:22" x14ac:dyDescent="0.35">
      <c r="A1965" t="s">
        <v>647</v>
      </c>
      <c r="B1965" s="143">
        <v>45330</v>
      </c>
      <c r="C1965" s="2" t="str" cm="1">
        <f t="array" ref="C19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5">
        <v>2023</v>
      </c>
      <c r="E1965" s="1">
        <v>0.47916666666666669</v>
      </c>
      <c r="F1965" t="str">
        <f>IF(AND(AllData[[#This Row],[Time]]&lt;0.5, AllData[[#This Row],[Time]]&gt;0.17)=TRUE, "Morning", IF(AND(AllData[[#This Row],[Time]]&lt;0.75, AllData[[#This Row],[Time]]&gt;=0.5)=TRUE, "Afternoon", IF(AND(AllData[[#This Row],[Time]]&lt;1, AllData[[#This Row],[Time]]&gt;=0.75)=TRUE, "Evening", "Night")))</f>
        <v>Morning</v>
      </c>
      <c r="G1965" t="str">
        <f>_xlfn.XLOOKUP(AllData[[#This Row],[Location Name]], Locations[Location Name],Locations[Group As])</f>
        <v>Stour Willington</v>
      </c>
      <c r="H1965" t="e" vm="1">
        <f>_xlfn.XLOOKUP(AllData[[#This Row],[Site Name]],LocationsKey[Site Name],LocationsKey[District])</f>
        <v>#VALUE!</v>
      </c>
      <c r="I1965" t="str">
        <f>_xlfn.XLOOKUP(AllData[[#This Row],[Site Name]],LocationsKey[Site Name],LocationsKey[Town])</f>
        <v>Willington</v>
      </c>
      <c r="J1965" t="str">
        <f>_xlfn.XLOOKUP(AllData[[#This Row],[Site Name]],LocationsKey[Site Name], LocationsKey[Waterway])</f>
        <v>Stour</v>
      </c>
      <c r="K1965" t="s">
        <v>521</v>
      </c>
      <c r="L1965">
        <v>52.051000000000002</v>
      </c>
      <c r="M1965" s="108">
        <v>-1.6140000000000001</v>
      </c>
      <c r="N1965" t="s">
        <v>25</v>
      </c>
      <c r="O1965">
        <v>465</v>
      </c>
      <c r="P1965">
        <v>8.6999999999999993</v>
      </c>
      <c r="Q1965">
        <v>0.5</v>
      </c>
      <c r="R1965" s="141" t="str">
        <f>IF(AllData[[#This Row],[Nitrate (PPM)]]&gt;2, "Very high", IF(AllData[[#This Row],[Nitrate (PPM)]]&gt;1, "High", IF(AllData[[#This Row],[Nitrate (PPM)]]&gt;0.5, "Some evidence", IF(AllData[[#This Row],[Nitrate (PPM)]]&gt;=0, "No evidence"))))</f>
        <v>No evidence</v>
      </c>
      <c r="S1965" s="4">
        <v>0.28999999999999998</v>
      </c>
      <c r="T1965" s="7" t="str">
        <f>IF(AllData[[#This Row],[Phosphate (PPM)]]&gt;0.5, "Very high", IF(AllData[[#This Row],[Phosphate (PPM)]]&gt;0.1, "High", IF(AllData[[#This Row],[Phosphate (PPM)]]&gt;0.05, "Some evidence", IF(AllData[[#This Row],[Phosphate (PPM)]]&lt;=0.05, "No Evidence", ""))))</f>
        <v>High</v>
      </c>
      <c r="U1965">
        <v>1</v>
      </c>
    </row>
    <row r="1966" spans="1:22" x14ac:dyDescent="0.35">
      <c r="A1966" t="s">
        <v>645</v>
      </c>
      <c r="B1966" s="143">
        <v>45329</v>
      </c>
      <c r="C1966" s="2" t="str" cm="1">
        <f t="array" ref="C19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6">
        <v>2023</v>
      </c>
      <c r="E1966" s="1">
        <v>0.625</v>
      </c>
      <c r="F1966" t="str">
        <f>IF(AND(AllData[[#This Row],[Time]]&lt;0.5, AllData[[#This Row],[Time]]&gt;0.17)=TRUE, "Morning", IF(AND(AllData[[#This Row],[Time]]&lt;0.75, AllData[[#This Row],[Time]]&gt;=0.5)=TRUE, "Afternoon", IF(AND(AllData[[#This Row],[Time]]&lt;1, AllData[[#This Row],[Time]]&gt;=0.75)=TRUE, "Evening", "Night")))</f>
        <v>Afternoon</v>
      </c>
      <c r="G1966" t="str">
        <f>_xlfn.XLOOKUP(AllData[[#This Row],[Location Name]], Locations[Location Name],Locations[Group As])</f>
        <v>Stour Newbold Mill</v>
      </c>
      <c r="H1966" t="e" vm="1">
        <f>_xlfn.XLOOKUP(AllData[[#This Row],[Site Name]],LocationsKey[Site Name],LocationsKey[District])</f>
        <v>#VALUE!</v>
      </c>
      <c r="I1966" t="e" vm="27">
        <f>_xlfn.XLOOKUP(AllData[[#This Row],[Site Name]],LocationsKey[Site Name],LocationsKey[Town])</f>
        <v>#VALUE!</v>
      </c>
      <c r="J1966" t="str">
        <f>_xlfn.XLOOKUP(AllData[[#This Row],[Site Name]],LocationsKey[Site Name], LocationsKey[Waterway])</f>
        <v>Stour</v>
      </c>
      <c r="K1966" t="s">
        <v>141</v>
      </c>
      <c r="L1966">
        <v>52.112793000000003</v>
      </c>
      <c r="M1966" s="108">
        <v>-1.633481</v>
      </c>
      <c r="N1966" t="s">
        <v>68</v>
      </c>
      <c r="O1966">
        <v>606</v>
      </c>
      <c r="P1966">
        <v>8.1</v>
      </c>
      <c r="Q1966">
        <v>2</v>
      </c>
      <c r="R1966" s="141" t="str">
        <f>IF(AllData[[#This Row],[Nitrate (PPM)]]&gt;2, "Very high", IF(AllData[[#This Row],[Nitrate (PPM)]]&gt;1, "High", IF(AllData[[#This Row],[Nitrate (PPM)]]&gt;0.5, "Some evidence", IF(AllData[[#This Row],[Nitrate (PPM)]]&gt;=0, "No evidence"))))</f>
        <v>High</v>
      </c>
      <c r="S1966" s="4">
        <v>0.25</v>
      </c>
      <c r="T1966" s="7" t="str">
        <f>IF(AllData[[#This Row],[Phosphate (PPM)]]&gt;0.5, "Very high", IF(AllData[[#This Row],[Phosphate (PPM)]]&gt;0.1, "High", IF(AllData[[#This Row],[Phosphate (PPM)]]&gt;0.05, "Some evidence", IF(AllData[[#This Row],[Phosphate (PPM)]]&lt;=0.05, "No Evidence", ""))))</f>
        <v>High</v>
      </c>
      <c r="U1966">
        <v>3.5</v>
      </c>
      <c r="V1966" t="s">
        <v>646</v>
      </c>
    </row>
    <row r="1967" spans="1:22" x14ac:dyDescent="0.35">
      <c r="A1967" t="s">
        <v>640</v>
      </c>
      <c r="B1967" s="143">
        <v>45327</v>
      </c>
      <c r="C1967" s="2" t="str" cm="1">
        <f t="array" ref="C19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7">
        <v>2023</v>
      </c>
      <c r="E1967" s="1">
        <v>0.57499999999999996</v>
      </c>
      <c r="F1967" t="str">
        <f>IF(AND(AllData[[#This Row],[Time]]&lt;0.5, AllData[[#This Row],[Time]]&gt;0.17)=TRUE, "Morning", IF(AND(AllData[[#This Row],[Time]]&lt;0.75, AllData[[#This Row],[Time]]&gt;=0.5)=TRUE, "Afternoon", IF(AND(AllData[[#This Row],[Time]]&lt;1, AllData[[#This Row],[Time]]&gt;=0.75)=TRUE, "Evening", "Night")))</f>
        <v>Afternoon</v>
      </c>
      <c r="G1967" t="str">
        <f>_xlfn.XLOOKUP(AllData[[#This Row],[Location Name]], Locations[Location Name],Locations[Group As])</f>
        <v>Swiffen Bank</v>
      </c>
      <c r="H1967" t="e" vm="1">
        <f>_xlfn.XLOOKUP(AllData[[#This Row],[Site Name]],LocationsKey[Site Name],LocationsKey[District])</f>
        <v>#VALUE!</v>
      </c>
      <c r="I1967" t="e" vm="2">
        <f>_xlfn.XLOOKUP(AllData[[#This Row],[Site Name]],LocationsKey[Site Name],LocationsKey[Town])</f>
        <v>#VALUE!</v>
      </c>
      <c r="J1967" t="str">
        <f>_xlfn.XLOOKUP(AllData[[#This Row],[Site Name]],LocationsKey[Site Name], LocationsKey[Waterway])</f>
        <v>Avon</v>
      </c>
      <c r="K1967" t="s">
        <v>445</v>
      </c>
      <c r="L1967">
        <v>52.206367</v>
      </c>
      <c r="M1967" s="108">
        <v>-1.6540980000000001</v>
      </c>
      <c r="N1967" t="s">
        <v>31</v>
      </c>
      <c r="O1967">
        <v>699</v>
      </c>
      <c r="P1967">
        <v>11.2</v>
      </c>
      <c r="Q1967">
        <v>10</v>
      </c>
      <c r="R1967" s="141" t="str">
        <f>IF(AllData[[#This Row],[Nitrate (PPM)]]&gt;2, "Very high", IF(AllData[[#This Row],[Nitrate (PPM)]]&gt;1, "High", IF(AllData[[#This Row],[Nitrate (PPM)]]&gt;0.5, "Some evidence", IF(AllData[[#This Row],[Nitrate (PPM)]]&gt;=0, "No evidence"))))</f>
        <v>Very high</v>
      </c>
      <c r="S1967" s="4">
        <v>0.7</v>
      </c>
      <c r="T1967" s="7" t="str">
        <f>IF(AllData[[#This Row],[Phosphate (PPM)]]&gt;0.5, "Very high", IF(AllData[[#This Row],[Phosphate (PPM)]]&gt;0.1, "High", IF(AllData[[#This Row],[Phosphate (PPM)]]&gt;0.05, "Some evidence", IF(AllData[[#This Row],[Phosphate (PPM)]]&lt;=0.05, "No Evidence", ""))))</f>
        <v>Very high</v>
      </c>
      <c r="U1967">
        <v>0</v>
      </c>
    </row>
    <row r="1968" spans="1:22" x14ac:dyDescent="0.35">
      <c r="A1968" t="s">
        <v>643</v>
      </c>
      <c r="B1968" s="143">
        <v>45327</v>
      </c>
      <c r="C1968" s="2" t="str" cm="1">
        <f t="array" ref="C19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8">
        <v>2023</v>
      </c>
      <c r="E1968" s="1">
        <v>0.61458333333333337</v>
      </c>
      <c r="F1968" t="str">
        <f>IF(AND(AllData[[#This Row],[Time]]&lt;0.5, AllData[[#This Row],[Time]]&gt;0.17)=TRUE, "Morning", IF(AND(AllData[[#This Row],[Time]]&lt;0.75, AllData[[#This Row],[Time]]&gt;=0.5)=TRUE, "Afternoon", IF(AND(AllData[[#This Row],[Time]]&lt;1, AllData[[#This Row],[Time]]&gt;=0.75)=TRUE, "Evening", "Night")))</f>
        <v>Afternoon</v>
      </c>
      <c r="G1968" t="str">
        <f>_xlfn.XLOOKUP(AllData[[#This Row],[Location Name]], Locations[Location Name],Locations[Group As])</f>
        <v>Abbey Mill</v>
      </c>
      <c r="H1968" t="e" vm="4">
        <f>_xlfn.XLOOKUP(AllData[[#This Row],[Site Name]],LocationsKey[Site Name],LocationsKey[District])</f>
        <v>#VALUE!</v>
      </c>
      <c r="I1968" t="e" vm="4">
        <f>_xlfn.XLOOKUP(AllData[[#This Row],[Site Name]],LocationsKey[Site Name],LocationsKey[Town])</f>
        <v>#VALUE!</v>
      </c>
      <c r="J1968" t="str">
        <f>_xlfn.XLOOKUP(AllData[[#This Row],[Site Name]],LocationsKey[Site Name], LocationsKey[Waterway])</f>
        <v>Avon</v>
      </c>
      <c r="K1968" t="s">
        <v>27</v>
      </c>
      <c r="L1968">
        <v>51.991312999999998</v>
      </c>
      <c r="M1968" s="108">
        <v>-2.1626340000000002</v>
      </c>
      <c r="N1968" t="s">
        <v>25</v>
      </c>
      <c r="O1968">
        <v>906</v>
      </c>
      <c r="P1968">
        <v>9.6999999999999993</v>
      </c>
      <c r="Q1968">
        <v>5</v>
      </c>
      <c r="R1968" s="141" t="str">
        <f>IF(AllData[[#This Row],[Nitrate (PPM)]]&gt;2, "Very high", IF(AllData[[#This Row],[Nitrate (PPM)]]&gt;1, "High", IF(AllData[[#This Row],[Nitrate (PPM)]]&gt;0.5, "Some evidence", IF(AllData[[#This Row],[Nitrate (PPM)]]&gt;=0, "No evidence"))))</f>
        <v>Very high</v>
      </c>
      <c r="S1968" s="4">
        <v>0.63</v>
      </c>
      <c r="T1968" s="7" t="str">
        <f>IF(AllData[[#This Row],[Phosphate (PPM)]]&gt;0.5, "Very high", IF(AllData[[#This Row],[Phosphate (PPM)]]&gt;0.1, "High", IF(AllData[[#This Row],[Phosphate (PPM)]]&gt;0.05, "Some evidence", IF(AllData[[#This Row],[Phosphate (PPM)]]&lt;=0.05, "No Evidence", ""))))</f>
        <v>Very high</v>
      </c>
      <c r="U1968">
        <v>0.5</v>
      </c>
      <c r="V1968" t="s">
        <v>644</v>
      </c>
    </row>
    <row r="1969" spans="1:22" x14ac:dyDescent="0.35">
      <c r="A1969" t="s">
        <v>638</v>
      </c>
      <c r="B1969" s="143">
        <v>45327</v>
      </c>
      <c r="C1969" s="2" t="str" cm="1">
        <f t="array" ref="C19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69">
        <v>2023</v>
      </c>
      <c r="E1969" s="1">
        <v>0.375</v>
      </c>
      <c r="F1969" t="str">
        <f>IF(AND(AllData[[#This Row],[Time]]&lt;0.5, AllData[[#This Row],[Time]]&gt;0.17)=TRUE, "Morning", IF(AND(AllData[[#This Row],[Time]]&lt;0.75, AllData[[#This Row],[Time]]&gt;=0.5)=TRUE, "Afternoon", IF(AND(AllData[[#This Row],[Time]]&lt;1, AllData[[#This Row],[Time]]&gt;=0.75)=TRUE, "Evening", "Night")))</f>
        <v>Morning</v>
      </c>
      <c r="G1969" t="str">
        <f>_xlfn.XLOOKUP(AllData[[#This Row],[Location Name]], Locations[Location Name],Locations[Group As])</f>
        <v>Stour Stretton-on-Fosse Sewage Works</v>
      </c>
      <c r="H1969" t="e" vm="1">
        <f>_xlfn.XLOOKUP(AllData[[#This Row],[Site Name]],LocationsKey[Site Name],LocationsKey[District])</f>
        <v>#VALUE!</v>
      </c>
      <c r="I1969" t="e" vm="30">
        <f>_xlfn.XLOOKUP(AllData[[#This Row],[Site Name]],LocationsKey[Site Name],LocationsKey[Town])</f>
        <v>#VALUE!</v>
      </c>
      <c r="J1969" t="str">
        <f>_xlfn.XLOOKUP(AllData[[#This Row],[Site Name]],LocationsKey[Site Name], LocationsKey[Waterway])</f>
        <v>Stour</v>
      </c>
      <c r="K1969" t="s">
        <v>337</v>
      </c>
      <c r="L1969">
        <v>52.045651999999997</v>
      </c>
      <c r="M1969" s="108">
        <v>-1.6719360000000001</v>
      </c>
      <c r="N1969" t="s">
        <v>31</v>
      </c>
      <c r="O1969">
        <v>787</v>
      </c>
      <c r="P1969">
        <v>8.6</v>
      </c>
      <c r="Q1969">
        <v>5</v>
      </c>
      <c r="R1969" s="141" t="str">
        <f>IF(AllData[[#This Row],[Nitrate (PPM)]]&gt;2, "Very high", IF(AllData[[#This Row],[Nitrate (PPM)]]&gt;1, "High", IF(AllData[[#This Row],[Nitrate (PPM)]]&gt;0.5, "Some evidence", IF(AllData[[#This Row],[Nitrate (PPM)]]&gt;=0, "No evidence"))))</f>
        <v>Very high</v>
      </c>
      <c r="S1969" s="4">
        <v>2.5</v>
      </c>
      <c r="T1969" s="7" t="str">
        <f>IF(AllData[[#This Row],[Phosphate (PPM)]]&gt;0.5, "Very high", IF(AllData[[#This Row],[Phosphate (PPM)]]&gt;0.1, "High", IF(AllData[[#This Row],[Phosphate (PPM)]]&gt;0.05, "Some evidence", IF(AllData[[#This Row],[Phosphate (PPM)]]&lt;=0.05, "No Evidence", ""))))</f>
        <v>Very high</v>
      </c>
      <c r="U1969">
        <v>0.3</v>
      </c>
      <c r="V1969" t="s">
        <v>639</v>
      </c>
    </row>
    <row r="1970" spans="1:22" x14ac:dyDescent="0.35">
      <c r="A1970" t="s">
        <v>641</v>
      </c>
      <c r="B1970" s="143">
        <v>45327</v>
      </c>
      <c r="C1970" s="2" t="str" cm="1">
        <f t="array" ref="C19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0">
        <v>2023</v>
      </c>
      <c r="E1970" s="1">
        <v>0.59583333333333333</v>
      </c>
      <c r="F1970" t="str">
        <f>IF(AND(AllData[[#This Row],[Time]]&lt;0.5, AllData[[#This Row],[Time]]&gt;0.17)=TRUE, "Morning", IF(AND(AllData[[#This Row],[Time]]&lt;0.75, AllData[[#This Row],[Time]]&gt;=0.5)=TRUE, "Afternoon", IF(AND(AllData[[#This Row],[Time]]&lt;1, AllData[[#This Row],[Time]]&gt;=0.75)=TRUE, "Evening", "Night")))</f>
        <v>Afternoon</v>
      </c>
      <c r="G1970" t="str">
        <f>_xlfn.XLOOKUP(AllData[[#This Row],[Location Name]], Locations[Location Name],Locations[Group As])</f>
        <v>Alveston Weir</v>
      </c>
      <c r="H1970" t="e" vm="1">
        <f>_xlfn.XLOOKUP(AllData[[#This Row],[Site Name]],LocationsKey[Site Name],LocationsKey[District])</f>
        <v>#VALUE!</v>
      </c>
      <c r="I1970" t="e" vm="2">
        <f>_xlfn.XLOOKUP(AllData[[#This Row],[Site Name]],LocationsKey[Site Name],LocationsKey[Town])</f>
        <v>#VALUE!</v>
      </c>
      <c r="J1970" t="str">
        <f>_xlfn.XLOOKUP(AllData[[#This Row],[Site Name]],LocationsKey[Site Name], LocationsKey[Waterway])</f>
        <v>Avon</v>
      </c>
      <c r="K1970" t="s">
        <v>642</v>
      </c>
      <c r="L1970">
        <v>52.214258000000001</v>
      </c>
      <c r="M1970" s="108">
        <v>-1.6600569999999999</v>
      </c>
      <c r="N1970" t="s">
        <v>31</v>
      </c>
      <c r="O1970">
        <v>704</v>
      </c>
      <c r="P1970">
        <v>10.4</v>
      </c>
      <c r="Q1970">
        <v>5</v>
      </c>
      <c r="R1970" s="141" t="str">
        <f>IF(AllData[[#This Row],[Nitrate (PPM)]]&gt;2, "Very high", IF(AllData[[#This Row],[Nitrate (PPM)]]&gt;1, "High", IF(AllData[[#This Row],[Nitrate (PPM)]]&gt;0.5, "Some evidence", IF(AllData[[#This Row],[Nitrate (PPM)]]&gt;=0, "No evidence"))))</f>
        <v>Very high</v>
      </c>
      <c r="S1970" s="4">
        <v>0.69</v>
      </c>
      <c r="T1970" s="7" t="str">
        <f>IF(AllData[[#This Row],[Phosphate (PPM)]]&gt;0.5, "Very high", IF(AllData[[#This Row],[Phosphate (PPM)]]&gt;0.1, "High", IF(AllData[[#This Row],[Phosphate (PPM)]]&gt;0.05, "Some evidence", IF(AllData[[#This Row],[Phosphate (PPM)]]&lt;=0.05, "No Evidence", ""))))</f>
        <v>Very high</v>
      </c>
      <c r="U1970">
        <v>-0.5</v>
      </c>
    </row>
    <row r="1971" spans="1:22" x14ac:dyDescent="0.35">
      <c r="A1971" t="s">
        <v>637</v>
      </c>
      <c r="B1971" s="143">
        <v>45327</v>
      </c>
      <c r="C1971" s="2" t="str" cm="1">
        <f t="array" ref="C19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1">
        <v>2023</v>
      </c>
      <c r="E1971" s="1">
        <v>0.35694444444444445</v>
      </c>
      <c r="F1971" t="str">
        <f>IF(AND(AllData[[#This Row],[Time]]&lt;0.5, AllData[[#This Row],[Time]]&gt;0.17)=TRUE, "Morning", IF(AND(AllData[[#This Row],[Time]]&lt;0.75, AllData[[#This Row],[Time]]&gt;=0.5)=TRUE, "Afternoon", IF(AND(AllData[[#This Row],[Time]]&lt;1, AllData[[#This Row],[Time]]&gt;=0.75)=TRUE, "Evening", "Night")))</f>
        <v>Morning</v>
      </c>
      <c r="G1971" t="str">
        <f>_xlfn.XLOOKUP(AllData[[#This Row],[Location Name]], Locations[Location Name],Locations[Group As])</f>
        <v>Stour Stretton-on-Fosse Village</v>
      </c>
      <c r="H1971" t="e" vm="1">
        <f>_xlfn.XLOOKUP(AllData[[#This Row],[Site Name]],LocationsKey[Site Name],LocationsKey[District])</f>
        <v>#VALUE!</v>
      </c>
      <c r="I1971" t="e" vm="30">
        <f>_xlfn.XLOOKUP(AllData[[#This Row],[Site Name]],LocationsKey[Site Name],LocationsKey[Town])</f>
        <v>#VALUE!</v>
      </c>
      <c r="J1971" t="str">
        <f>_xlfn.XLOOKUP(AllData[[#This Row],[Site Name]],LocationsKey[Site Name], LocationsKey[Waterway])</f>
        <v>Stour</v>
      </c>
      <c r="K1971" t="s">
        <v>548</v>
      </c>
      <c r="L1971">
        <v>52.046529</v>
      </c>
      <c r="M1971" s="108">
        <v>-1.6734070000000001</v>
      </c>
      <c r="N1971" t="s">
        <v>68</v>
      </c>
      <c r="O1971">
        <v>751</v>
      </c>
      <c r="P1971">
        <v>9.1999999999999993</v>
      </c>
      <c r="Q1971">
        <v>2</v>
      </c>
      <c r="R1971" s="141" t="str">
        <f>IF(AllData[[#This Row],[Nitrate (PPM)]]&gt;2, "Very high", IF(AllData[[#This Row],[Nitrate (PPM)]]&gt;1, "High", IF(AllData[[#This Row],[Nitrate (PPM)]]&gt;0.5, "Some evidence", IF(AllData[[#This Row],[Nitrate (PPM)]]&gt;=0, "No evidence"))))</f>
        <v>High</v>
      </c>
      <c r="S1971" s="4">
        <v>1.45</v>
      </c>
      <c r="T1971" s="7" t="str">
        <f>IF(AllData[[#This Row],[Phosphate (PPM)]]&gt;0.5, "Very high", IF(AllData[[#This Row],[Phosphate (PPM)]]&gt;0.1, "High", IF(AllData[[#This Row],[Phosphate (PPM)]]&gt;0.05, "Some evidence", IF(AllData[[#This Row],[Phosphate (PPM)]]&lt;=0.05, "No Evidence", ""))))</f>
        <v>Very high</v>
      </c>
      <c r="U1971">
        <v>0.2</v>
      </c>
    </row>
    <row r="1972" spans="1:22" x14ac:dyDescent="0.35">
      <c r="A1972" t="s">
        <v>635</v>
      </c>
      <c r="B1972" s="143">
        <v>45326</v>
      </c>
      <c r="C1972" s="2" t="str" cm="1">
        <f t="array" ref="C19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2">
        <v>2023</v>
      </c>
      <c r="E1972" s="1">
        <v>0.625</v>
      </c>
      <c r="F1972" t="str">
        <f>IF(AND(AllData[[#This Row],[Time]]&lt;0.5, AllData[[#This Row],[Time]]&gt;0.17)=TRUE, "Morning", IF(AND(AllData[[#This Row],[Time]]&lt;0.75, AllData[[#This Row],[Time]]&gt;=0.5)=TRUE, "Afternoon", IF(AND(AllData[[#This Row],[Time]]&lt;1, AllData[[#This Row],[Time]]&gt;=0.75)=TRUE, "Evening", "Night")))</f>
        <v>Afternoon</v>
      </c>
      <c r="G1972" t="str">
        <f>_xlfn.XLOOKUP(AllData[[#This Row],[Location Name]], Locations[Location Name],Locations[Group As])</f>
        <v>Sherbourne Brook 1</v>
      </c>
      <c r="H1972" t="e" vm="1">
        <f>_xlfn.XLOOKUP(AllData[[#This Row],[Site Name]],LocationsKey[Site Name],LocationsKey[District])</f>
        <v>#VALUE!</v>
      </c>
      <c r="I1972" t="e" vm="23">
        <f>_xlfn.XLOOKUP(AllData[[#This Row],[Site Name]],LocationsKey[Site Name],LocationsKey[Town])</f>
        <v>#VALUE!</v>
      </c>
      <c r="J1972" t="str">
        <f>_xlfn.XLOOKUP(AllData[[#This Row],[Site Name]],LocationsKey[Site Name], LocationsKey[Waterway])</f>
        <v>Sherbourne Brook</v>
      </c>
      <c r="K1972" t="s">
        <v>541</v>
      </c>
      <c r="L1972">
        <v>52.252499999999998</v>
      </c>
      <c r="M1972" s="108">
        <v>-1.6685000000000001</v>
      </c>
      <c r="N1972" t="s">
        <v>25</v>
      </c>
      <c r="O1972">
        <v>1100</v>
      </c>
      <c r="P1972">
        <v>11.1</v>
      </c>
      <c r="Q1972">
        <v>12</v>
      </c>
      <c r="R1972" s="141" t="str">
        <f>IF(AllData[[#This Row],[Nitrate (PPM)]]&gt;2, "Very high", IF(AllData[[#This Row],[Nitrate (PPM)]]&gt;1, "High", IF(AllData[[#This Row],[Nitrate (PPM)]]&gt;0.5, "Some evidence", IF(AllData[[#This Row],[Nitrate (PPM)]]&gt;=0, "No evidence"))))</f>
        <v>Very high</v>
      </c>
      <c r="S1972" s="4">
        <v>0.45</v>
      </c>
      <c r="T1972" s="7" t="str">
        <f>IF(AllData[[#This Row],[Phosphate (PPM)]]&gt;0.5, "Very high", IF(AllData[[#This Row],[Phosphate (PPM)]]&gt;0.1, "High", IF(AllData[[#This Row],[Phosphate (PPM)]]&gt;0.05, "Some evidence", IF(AllData[[#This Row],[Phosphate (PPM)]]&lt;=0.05, "No Evidence", ""))))</f>
        <v>High</v>
      </c>
      <c r="U1972">
        <v>0.5</v>
      </c>
    </row>
    <row r="1973" spans="1:22" x14ac:dyDescent="0.35">
      <c r="A1973" t="s">
        <v>636</v>
      </c>
      <c r="B1973" s="143">
        <v>45326</v>
      </c>
      <c r="C1973" s="2" t="str" cm="1">
        <f t="array" ref="C19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3">
        <v>2023</v>
      </c>
      <c r="E1973" s="1">
        <v>0.63541666666666663</v>
      </c>
      <c r="F1973" t="str">
        <f>IF(AND(AllData[[#This Row],[Time]]&lt;0.5, AllData[[#This Row],[Time]]&gt;0.17)=TRUE, "Morning", IF(AND(AllData[[#This Row],[Time]]&lt;0.75, AllData[[#This Row],[Time]]&gt;=0.5)=TRUE, "Afternoon", IF(AND(AllData[[#This Row],[Time]]&lt;1, AllData[[#This Row],[Time]]&gt;=0.75)=TRUE, "Evening", "Night")))</f>
        <v>Afternoon</v>
      </c>
      <c r="G1973" t="str">
        <f>_xlfn.XLOOKUP(AllData[[#This Row],[Location Name]], Locations[Location Name],Locations[Group As])</f>
        <v>Bell Brook 1</v>
      </c>
      <c r="H1973" t="e" vm="1">
        <f>_xlfn.XLOOKUP(AllData[[#This Row],[Site Name]],LocationsKey[Site Name],LocationsKey[District])</f>
        <v>#VALUE!</v>
      </c>
      <c r="I1973" t="e" vm="19">
        <f>_xlfn.XLOOKUP(AllData[[#This Row],[Site Name]],LocationsKey[Site Name],LocationsKey[Town])</f>
        <v>#VALUE!</v>
      </c>
      <c r="J1973" t="str">
        <f>_xlfn.XLOOKUP(AllData[[#This Row],[Site Name]],LocationsKey[Site Name], LocationsKey[Waterway])</f>
        <v>Bell Brook</v>
      </c>
      <c r="K1973" t="s">
        <v>538</v>
      </c>
      <c r="L1973">
        <v>52.244900000000001</v>
      </c>
      <c r="M1973" s="108">
        <v>-1.6617</v>
      </c>
      <c r="N1973" t="s">
        <v>25</v>
      </c>
      <c r="O1973">
        <v>725</v>
      </c>
      <c r="P1973">
        <v>11.1</v>
      </c>
      <c r="Q1973">
        <v>10</v>
      </c>
      <c r="R1973" s="141" t="str">
        <f>IF(AllData[[#This Row],[Nitrate (PPM)]]&gt;2, "Very high", IF(AllData[[#This Row],[Nitrate (PPM)]]&gt;1, "High", IF(AllData[[#This Row],[Nitrate (PPM)]]&gt;0.5, "Some evidence", IF(AllData[[#This Row],[Nitrate (PPM)]]&gt;=0, "No evidence"))))</f>
        <v>Very high</v>
      </c>
      <c r="S1973" s="4">
        <v>0.5</v>
      </c>
      <c r="T1973" s="7" t="str">
        <f>IF(AllData[[#This Row],[Phosphate (PPM)]]&gt;0.5, "Very high", IF(AllData[[#This Row],[Phosphate (PPM)]]&gt;0.1, "High", IF(AllData[[#This Row],[Phosphate (PPM)]]&gt;0.05, "Some evidence", IF(AllData[[#This Row],[Phosphate (PPM)]]&lt;=0.05, "No Evidence", ""))))</f>
        <v>High</v>
      </c>
      <c r="U1973">
        <v>0.5</v>
      </c>
    </row>
    <row r="1974" spans="1:22" x14ac:dyDescent="0.35">
      <c r="A1974" t="s">
        <v>634</v>
      </c>
      <c r="B1974" s="143">
        <v>45326</v>
      </c>
      <c r="C1974" s="2" t="str" cm="1">
        <f t="array" ref="C19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4">
        <v>2023</v>
      </c>
      <c r="E1974" s="1">
        <v>0.5625</v>
      </c>
      <c r="F1974" t="str">
        <f>IF(AND(AllData[[#This Row],[Time]]&lt;0.5, AllData[[#This Row],[Time]]&gt;0.17)=TRUE, "Morning", IF(AND(AllData[[#This Row],[Time]]&lt;0.75, AllData[[#This Row],[Time]]&gt;=0.5)=TRUE, "Afternoon", IF(AND(AllData[[#This Row],[Time]]&lt;1, AllData[[#This Row],[Time]]&gt;=0.75)=TRUE, "Evening", "Night")))</f>
        <v>Afternoon</v>
      </c>
      <c r="G1974" t="str">
        <f>_xlfn.XLOOKUP(AllData[[#This Row],[Location Name]], Locations[Location Name],Locations[Group As])</f>
        <v>Clifford Chambers Mill Bridge</v>
      </c>
      <c r="H1974" t="e" vm="1">
        <f>_xlfn.XLOOKUP(AllData[[#This Row],[Site Name]],LocationsKey[Site Name],LocationsKey[District])</f>
        <v>#VALUE!</v>
      </c>
      <c r="I1974" t="e" vm="22">
        <f>_xlfn.XLOOKUP(AllData[[#This Row],[Site Name]],LocationsKey[Site Name],LocationsKey[Town])</f>
        <v>#VALUE!</v>
      </c>
      <c r="J1974" t="str">
        <f>_xlfn.XLOOKUP(AllData[[#This Row],[Site Name]],LocationsKey[Site Name], LocationsKey[Waterway])</f>
        <v>Stour</v>
      </c>
      <c r="K1974" t="s">
        <v>266</v>
      </c>
      <c r="L1974">
        <v>52.166370000000001</v>
      </c>
      <c r="M1974" s="108">
        <v>-1.708032</v>
      </c>
      <c r="N1974" t="s">
        <v>68</v>
      </c>
      <c r="O1974">
        <v>668</v>
      </c>
      <c r="P1974">
        <v>12.3</v>
      </c>
      <c r="Q1974">
        <v>5</v>
      </c>
      <c r="R1974" s="141" t="str">
        <f>IF(AllData[[#This Row],[Nitrate (PPM)]]&gt;2, "Very high", IF(AllData[[#This Row],[Nitrate (PPM)]]&gt;1, "High", IF(AllData[[#This Row],[Nitrate (PPM)]]&gt;0.5, "Some evidence", IF(AllData[[#This Row],[Nitrate (PPM)]]&gt;=0, "No evidence"))))</f>
        <v>Very high</v>
      </c>
      <c r="S1974" s="4">
        <v>0.5</v>
      </c>
      <c r="T1974" s="7" t="str">
        <f>IF(AllData[[#This Row],[Phosphate (PPM)]]&gt;0.5, "Very high", IF(AllData[[#This Row],[Phosphate (PPM)]]&gt;0.1, "High", IF(AllData[[#This Row],[Phosphate (PPM)]]&gt;0.05, "Some evidence", IF(AllData[[#This Row],[Phosphate (PPM)]]&lt;=0.05, "No Evidence", ""))))</f>
        <v>High</v>
      </c>
      <c r="U1974">
        <v>0.7</v>
      </c>
    </row>
    <row r="1975" spans="1:22" x14ac:dyDescent="0.35">
      <c r="A1975" t="s">
        <v>631</v>
      </c>
      <c r="B1975" s="143">
        <v>45325</v>
      </c>
      <c r="C1975" s="2" t="str" cm="1">
        <f t="array" ref="C19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5">
        <v>2023</v>
      </c>
      <c r="E1975" s="1">
        <v>0.47361111111111109</v>
      </c>
      <c r="F1975" t="str">
        <f>IF(AND(AllData[[#This Row],[Time]]&lt;0.5, AllData[[#This Row],[Time]]&gt;0.17)=TRUE, "Morning", IF(AND(AllData[[#This Row],[Time]]&lt;0.75, AllData[[#This Row],[Time]]&gt;=0.5)=TRUE, "Afternoon", IF(AND(AllData[[#This Row],[Time]]&lt;1, AllData[[#This Row],[Time]]&gt;=0.75)=TRUE, "Evening", "Night")))</f>
        <v>Morning</v>
      </c>
      <c r="G1975" t="str">
        <f>_xlfn.XLOOKUP(AllData[[#This Row],[Location Name]], Locations[Location Name],Locations[Group As])</f>
        <v>Avonbank Drive</v>
      </c>
      <c r="H1975" t="e" vm="1">
        <f>_xlfn.XLOOKUP(AllData[[#This Row],[Site Name]],LocationsKey[Site Name],LocationsKey[District])</f>
        <v>#VALUE!</v>
      </c>
      <c r="I1975" t="e" vm="12">
        <f>_xlfn.XLOOKUP(AllData[[#This Row],[Site Name]],LocationsKey[Site Name],LocationsKey[Town])</f>
        <v>#VALUE!</v>
      </c>
      <c r="J1975" t="str">
        <f>_xlfn.XLOOKUP(AllData[[#This Row],[Site Name]],LocationsKey[Site Name], LocationsKey[Waterway])</f>
        <v>Avon</v>
      </c>
      <c r="K1975" t="s">
        <v>67</v>
      </c>
      <c r="L1975">
        <v>52.177281999999998</v>
      </c>
      <c r="M1975" s="108">
        <v>-1.7353700000000001</v>
      </c>
      <c r="N1975" t="s">
        <v>68</v>
      </c>
      <c r="O1975">
        <v>937</v>
      </c>
      <c r="P1975">
        <v>10.8</v>
      </c>
      <c r="Q1975">
        <v>10</v>
      </c>
      <c r="R1975" s="141" t="str">
        <f>IF(AllData[[#This Row],[Nitrate (PPM)]]&gt;2, "Very high", IF(AllData[[#This Row],[Nitrate (PPM)]]&gt;1, "High", IF(AllData[[#This Row],[Nitrate (PPM)]]&gt;0.5, "Some evidence", IF(AllData[[#This Row],[Nitrate (PPM)]]&gt;=0, "No evidence"))))</f>
        <v>Very high</v>
      </c>
      <c r="S1975" s="4">
        <v>0.54</v>
      </c>
      <c r="T1975" s="7" t="str">
        <f>IF(AllData[[#This Row],[Phosphate (PPM)]]&gt;0.5, "Very high", IF(AllData[[#This Row],[Phosphate (PPM)]]&gt;0.1, "High", IF(AllData[[#This Row],[Phosphate (PPM)]]&gt;0.05, "Some evidence", IF(AllData[[#This Row],[Phosphate (PPM)]]&lt;=0.05, "No Evidence", ""))))</f>
        <v>Very high</v>
      </c>
      <c r="U1975">
        <v>0.65</v>
      </c>
    </row>
    <row r="1976" spans="1:22" x14ac:dyDescent="0.35">
      <c r="A1976" t="s">
        <v>633</v>
      </c>
      <c r="B1976" s="143">
        <v>45325</v>
      </c>
      <c r="C1976" s="2" t="str" cm="1">
        <f t="array" ref="C19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6">
        <v>2023</v>
      </c>
      <c r="E1976" s="1">
        <v>0.5</v>
      </c>
      <c r="F1976" t="str">
        <f>IF(AND(AllData[[#This Row],[Time]]&lt;0.5, AllData[[#This Row],[Time]]&gt;0.17)=TRUE, "Morning", IF(AND(AllData[[#This Row],[Time]]&lt;0.75, AllData[[#This Row],[Time]]&gt;=0.5)=TRUE, "Afternoon", IF(AND(AllData[[#This Row],[Time]]&lt;1, AllData[[#This Row],[Time]]&gt;=0.75)=TRUE, "Evening", "Night")))</f>
        <v>Afternoon</v>
      </c>
      <c r="G1976" t="str">
        <f>_xlfn.XLOOKUP(AllData[[#This Row],[Location Name]], Locations[Location Name],Locations[Group As])</f>
        <v>Black Bear</v>
      </c>
      <c r="H1976" t="e" vm="4">
        <f>_xlfn.XLOOKUP(AllData[[#This Row],[Site Name]],LocationsKey[Site Name],LocationsKey[District])</f>
        <v>#VALUE!</v>
      </c>
      <c r="I1976" t="e" vm="4">
        <f>_xlfn.XLOOKUP(AllData[[#This Row],[Site Name]],LocationsKey[Site Name],LocationsKey[Town])</f>
        <v>#VALUE!</v>
      </c>
      <c r="J1976" t="str">
        <f>_xlfn.XLOOKUP(AllData[[#This Row],[Site Name]],LocationsKey[Site Name], LocationsKey[Waterway])</f>
        <v>Avon</v>
      </c>
      <c r="K1976" t="s">
        <v>572</v>
      </c>
      <c r="L1976">
        <v>51.997509000000001</v>
      </c>
      <c r="M1976" s="108">
        <v>-2.1560800000000002</v>
      </c>
      <c r="N1976" t="s">
        <v>25</v>
      </c>
      <c r="O1976">
        <v>840</v>
      </c>
      <c r="P1976">
        <v>10</v>
      </c>
      <c r="Q1976">
        <v>6</v>
      </c>
      <c r="R1976" s="141" t="str">
        <f>IF(AllData[[#This Row],[Nitrate (PPM)]]&gt;2, "Very high", IF(AllData[[#This Row],[Nitrate (PPM)]]&gt;1, "High", IF(AllData[[#This Row],[Nitrate (PPM)]]&gt;0.5, "Some evidence", IF(AllData[[#This Row],[Nitrate (PPM)]]&gt;=0, "No evidence"))))</f>
        <v>Very high</v>
      </c>
      <c r="S1976" s="4">
        <v>0.96</v>
      </c>
      <c r="T1976" s="7" t="str">
        <f>IF(AllData[[#This Row],[Phosphate (PPM)]]&gt;0.5, "Very high", IF(AllData[[#This Row],[Phosphate (PPM)]]&gt;0.1, "High", IF(AllData[[#This Row],[Phosphate (PPM)]]&gt;0.05, "Some evidence", IF(AllData[[#This Row],[Phosphate (PPM)]]&lt;=0.05, "No Evidence", ""))))</f>
        <v>Very high</v>
      </c>
      <c r="U1976">
        <v>0</v>
      </c>
    </row>
    <row r="1977" spans="1:22" x14ac:dyDescent="0.35">
      <c r="A1977" t="s">
        <v>629</v>
      </c>
      <c r="B1977" s="143">
        <v>45325</v>
      </c>
      <c r="C1977" s="2" t="str" cm="1">
        <f t="array" ref="C19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7">
        <v>2023</v>
      </c>
      <c r="E1977" s="1">
        <v>0.45833333333333331</v>
      </c>
      <c r="F1977" t="str">
        <f>IF(AND(AllData[[#This Row],[Time]]&lt;0.5, AllData[[#This Row],[Time]]&gt;0.17)=TRUE, "Morning", IF(AND(AllData[[#This Row],[Time]]&lt;0.75, AllData[[#This Row],[Time]]&gt;=0.5)=TRUE, "Afternoon", IF(AND(AllData[[#This Row],[Time]]&lt;1, AllData[[#This Row],[Time]]&gt;=0.75)=TRUE, "Evening", "Night")))</f>
        <v>Morning</v>
      </c>
      <c r="G1977" t="str">
        <f>_xlfn.XLOOKUP(AllData[[#This Row],[Location Name]], Locations[Location Name],Locations[Group As])</f>
        <v>Pitch 16</v>
      </c>
      <c r="H1977" t="e" vm="1">
        <f>_xlfn.XLOOKUP(AllData[[#This Row],[Site Name]],LocationsKey[Site Name],LocationsKey[District])</f>
        <v>#VALUE!</v>
      </c>
      <c r="I1977" t="e" vm="12">
        <f>_xlfn.XLOOKUP(AllData[[#This Row],[Site Name]],LocationsKey[Site Name],LocationsKey[Town])</f>
        <v>#VALUE!</v>
      </c>
      <c r="J1977" t="str">
        <f>_xlfn.XLOOKUP(AllData[[#This Row],[Site Name]],LocationsKey[Site Name], LocationsKey[Waterway])</f>
        <v>Avon</v>
      </c>
      <c r="K1977" t="s">
        <v>71</v>
      </c>
      <c r="L1977">
        <v>52.179012999999998</v>
      </c>
      <c r="M1977" s="108">
        <v>-1.7339249999999999</v>
      </c>
      <c r="N1977" t="s">
        <v>31</v>
      </c>
      <c r="O1977">
        <v>917</v>
      </c>
      <c r="P1977">
        <v>10.4</v>
      </c>
      <c r="Q1977">
        <v>5</v>
      </c>
      <c r="R1977" s="141" t="str">
        <f>IF(AllData[[#This Row],[Nitrate (PPM)]]&gt;2, "Very high", IF(AllData[[#This Row],[Nitrate (PPM)]]&gt;1, "High", IF(AllData[[#This Row],[Nitrate (PPM)]]&gt;0.5, "Some evidence", IF(AllData[[#This Row],[Nitrate (PPM)]]&gt;=0, "No evidence"))))</f>
        <v>Very high</v>
      </c>
      <c r="S1977" s="4">
        <v>0.92</v>
      </c>
      <c r="T1977" s="7" t="str">
        <f>IF(AllData[[#This Row],[Phosphate (PPM)]]&gt;0.5, "Very high", IF(AllData[[#This Row],[Phosphate (PPM)]]&gt;0.1, "High", IF(AllData[[#This Row],[Phosphate (PPM)]]&gt;0.05, "Some evidence", IF(AllData[[#This Row],[Phosphate (PPM)]]&lt;=0.05, "No Evidence", ""))))</f>
        <v>Very high</v>
      </c>
      <c r="U1977">
        <v>0.65</v>
      </c>
      <c r="V1977" t="s">
        <v>630</v>
      </c>
    </row>
    <row r="1978" spans="1:22" x14ac:dyDescent="0.35">
      <c r="A1978" t="s">
        <v>628</v>
      </c>
      <c r="B1978" s="143">
        <v>45325</v>
      </c>
      <c r="C1978" s="2" t="str" cm="1">
        <f t="array" ref="C19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8">
        <v>2023</v>
      </c>
      <c r="E1978" s="1">
        <v>0.42291666666666666</v>
      </c>
      <c r="F1978" t="str">
        <f>IF(AND(AllData[[#This Row],[Time]]&lt;0.5, AllData[[#This Row],[Time]]&gt;0.17)=TRUE, "Morning", IF(AND(AllData[[#This Row],[Time]]&lt;0.75, AllData[[#This Row],[Time]]&gt;=0.5)=TRUE, "Afternoon", IF(AND(AllData[[#This Row],[Time]]&lt;1, AllData[[#This Row],[Time]]&gt;=0.75)=TRUE, "Evening", "Night")))</f>
        <v>Morning</v>
      </c>
      <c r="G1978" t="str">
        <f>_xlfn.XLOOKUP(AllData[[#This Row],[Location Name]], Locations[Location Name],Locations[Group As])</f>
        <v>The Ford, Langley</v>
      </c>
      <c r="H1978" t="e" vm="1">
        <f>_xlfn.XLOOKUP(AllData[[#This Row],[Site Name]],LocationsKey[Site Name],LocationsKey[District])</f>
        <v>#VALUE!</v>
      </c>
      <c r="I1978" t="str">
        <f>_xlfn.XLOOKUP(AllData[[#This Row],[Site Name]],LocationsKey[Site Name],LocationsKey[Town])</f>
        <v>Langley</v>
      </c>
      <c r="J1978" t="str">
        <f>_xlfn.XLOOKUP(AllData[[#This Row],[Site Name]],LocationsKey[Site Name], LocationsKey[Waterway])</f>
        <v>Langley Ford</v>
      </c>
      <c r="K1978" t="s">
        <v>561</v>
      </c>
      <c r="L1978">
        <v>52.259639</v>
      </c>
      <c r="M1978" s="108">
        <v>-1.7181999999999999</v>
      </c>
      <c r="N1978" t="s">
        <v>31</v>
      </c>
      <c r="O1978">
        <v>762</v>
      </c>
      <c r="P1978">
        <v>9.5</v>
      </c>
      <c r="Q1978">
        <v>5</v>
      </c>
      <c r="R1978" s="141" t="str">
        <f>IF(AllData[[#This Row],[Nitrate (PPM)]]&gt;2, "Very high", IF(AllData[[#This Row],[Nitrate (PPM)]]&gt;1, "High", IF(AllData[[#This Row],[Nitrate (PPM)]]&gt;0.5, "Some evidence", IF(AllData[[#This Row],[Nitrate (PPM)]]&gt;=0, "No evidence"))))</f>
        <v>Very high</v>
      </c>
      <c r="S1978" s="4">
        <v>0.6</v>
      </c>
      <c r="T1978" s="7" t="str">
        <f>IF(AllData[[#This Row],[Phosphate (PPM)]]&gt;0.5, "Very high", IF(AllData[[#This Row],[Phosphate (PPM)]]&gt;0.1, "High", IF(AllData[[#This Row],[Phosphate (PPM)]]&gt;0.05, "Some evidence", IF(AllData[[#This Row],[Phosphate (PPM)]]&lt;=0.05, "No Evidence", ""))))</f>
        <v>Very high</v>
      </c>
      <c r="U1978">
        <v>0.28000000000000003</v>
      </c>
      <c r="V1978" t="s">
        <v>600</v>
      </c>
    </row>
    <row r="1979" spans="1:22" x14ac:dyDescent="0.35">
      <c r="A1979" t="s">
        <v>632</v>
      </c>
      <c r="B1979" s="143">
        <v>45325</v>
      </c>
      <c r="C1979" s="2" t="str" cm="1">
        <f t="array" ref="C19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79">
        <v>2023</v>
      </c>
      <c r="E1979" s="1">
        <v>0.48958333333333331</v>
      </c>
      <c r="F1979" t="str">
        <f>IF(AND(AllData[[#This Row],[Time]]&lt;0.5, AllData[[#This Row],[Time]]&gt;0.17)=TRUE, "Morning", IF(AND(AllData[[#This Row],[Time]]&lt;0.75, AllData[[#This Row],[Time]]&gt;=0.5)=TRUE, "Afternoon", IF(AND(AllData[[#This Row],[Time]]&lt;1, AllData[[#This Row],[Time]]&gt;=0.75)=TRUE, "Evening", "Night")))</f>
        <v>Morning</v>
      </c>
      <c r="G1979" t="str">
        <f>_xlfn.XLOOKUP(AllData[[#This Row],[Location Name]], Locations[Location Name],Locations[Group As])</f>
        <v>Carrant Bredon Rd</v>
      </c>
      <c r="H1979" t="e" vm="4">
        <f>_xlfn.XLOOKUP(AllData[[#This Row],[Site Name]],LocationsKey[Site Name],LocationsKey[District])</f>
        <v>#VALUE!</v>
      </c>
      <c r="I1979" t="e" vm="4">
        <f>_xlfn.XLOOKUP(AllData[[#This Row],[Site Name]],LocationsKey[Site Name],LocationsKey[Town])</f>
        <v>#VALUE!</v>
      </c>
      <c r="J1979" t="str">
        <f>_xlfn.XLOOKUP(AllData[[#This Row],[Site Name]],LocationsKey[Site Name], LocationsKey[Waterway])</f>
        <v>Carrant</v>
      </c>
      <c r="K1979" t="s">
        <v>603</v>
      </c>
      <c r="L1979">
        <v>51.998399999999997</v>
      </c>
      <c r="M1979" s="108">
        <v>-2.1528</v>
      </c>
      <c r="N1979" t="s">
        <v>25</v>
      </c>
      <c r="O1979">
        <v>787</v>
      </c>
      <c r="P1979">
        <v>11.2</v>
      </c>
      <c r="Q1979">
        <v>4</v>
      </c>
      <c r="R1979" s="141" t="str">
        <f>IF(AllData[[#This Row],[Nitrate (PPM)]]&gt;2, "Very high", IF(AllData[[#This Row],[Nitrate (PPM)]]&gt;1, "High", IF(AllData[[#This Row],[Nitrate (PPM)]]&gt;0.5, "Some evidence", IF(AllData[[#This Row],[Nitrate (PPM)]]&gt;=0, "No evidence"))))</f>
        <v>Very high</v>
      </c>
      <c r="S1979" s="4">
        <v>0.24</v>
      </c>
      <c r="T1979" s="7" t="str">
        <f>IF(AllData[[#This Row],[Phosphate (PPM)]]&gt;0.5, "Very high", IF(AllData[[#This Row],[Phosphate (PPM)]]&gt;0.1, "High", IF(AllData[[#This Row],[Phosphate (PPM)]]&gt;0.05, "Some evidence", IF(AllData[[#This Row],[Phosphate (PPM)]]&lt;=0.05, "No Evidence", ""))))</f>
        <v>High</v>
      </c>
      <c r="U1979">
        <v>0.02</v>
      </c>
    </row>
    <row r="1980" spans="1:22" x14ac:dyDescent="0.35">
      <c r="A1980" t="s">
        <v>625</v>
      </c>
      <c r="B1980" s="143">
        <v>45324</v>
      </c>
      <c r="C1980" s="2" t="str" cm="1">
        <f t="array" ref="C19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0">
        <v>2023</v>
      </c>
      <c r="E1980" s="1"/>
      <c r="F1980" t="str">
        <f>IF(AND(AllData[[#This Row],[Time]]&lt;0.5, AllData[[#This Row],[Time]]&gt;0.17)=TRUE, "Morning", IF(AND(AllData[[#This Row],[Time]]&lt;0.75, AllData[[#This Row],[Time]]&gt;=0.5)=TRUE, "Afternoon", IF(AND(AllData[[#This Row],[Time]]&lt;1, AllData[[#This Row],[Time]]&gt;=0.75)=TRUE, "Evening", "Night")))</f>
        <v>Night</v>
      </c>
      <c r="G1980" t="str">
        <f>_xlfn.XLOOKUP(AllData[[#This Row],[Location Name]], Locations[Location Name],Locations[Group As])</f>
        <v>Site 2  :  Cross Leys culvert</v>
      </c>
      <c r="H1980" t="e" vm="1">
        <f>_xlfn.XLOOKUP(AllData[[#This Row],[Site Name]],LocationsKey[Site Name],LocationsKey[District])</f>
        <v>#VALUE!</v>
      </c>
      <c r="I1980" t="e" vm="14">
        <f>_xlfn.XLOOKUP(AllData[[#This Row],[Site Name]],LocationsKey[Site Name],LocationsKey[Town])</f>
        <v>#VALUE!</v>
      </c>
      <c r="J1980" t="str">
        <f>_xlfn.XLOOKUP(AllData[[#This Row],[Site Name]],LocationsKey[Site Name], LocationsKey[Waterway])</f>
        <v>Fosseway Brook</v>
      </c>
      <c r="K1980" t="s">
        <v>626</v>
      </c>
      <c r="L1980">
        <v>52.092967999999999</v>
      </c>
      <c r="M1980" s="108">
        <v>-1.6862710000000001</v>
      </c>
      <c r="N1980" t="s">
        <v>68</v>
      </c>
      <c r="O1980">
        <v>628</v>
      </c>
      <c r="P1980">
        <v>9.3000000000000007</v>
      </c>
      <c r="Q1980">
        <v>2</v>
      </c>
      <c r="R1980" s="141" t="str">
        <f>IF(AllData[[#This Row],[Nitrate (PPM)]]&gt;2, "Very high", IF(AllData[[#This Row],[Nitrate (PPM)]]&gt;1, "High", IF(AllData[[#This Row],[Nitrate (PPM)]]&gt;0.5, "Some evidence", IF(AllData[[#This Row],[Nitrate (PPM)]]&gt;=0, "No evidence"))))</f>
        <v>High</v>
      </c>
      <c r="S1980" s="4">
        <v>0.38</v>
      </c>
      <c r="T1980" s="7" t="str">
        <f>IF(AllData[[#This Row],[Phosphate (PPM)]]&gt;0.5, "Very high", IF(AllData[[#This Row],[Phosphate (PPM)]]&gt;0.1, "High", IF(AllData[[#This Row],[Phosphate (PPM)]]&gt;0.05, "Some evidence", IF(AllData[[#This Row],[Phosphate (PPM)]]&lt;=0.05, "No Evidence", ""))))</f>
        <v>High</v>
      </c>
      <c r="V1980" t="s">
        <v>627</v>
      </c>
    </row>
    <row r="1981" spans="1:22" x14ac:dyDescent="0.35">
      <c r="A1981" t="s">
        <v>622</v>
      </c>
      <c r="B1981" s="143">
        <v>45324</v>
      </c>
      <c r="C1981" s="2" t="str" cm="1">
        <f t="array" ref="C19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1">
        <v>2023</v>
      </c>
      <c r="F1981" t="str">
        <f>IF(AND(AllData[[#This Row],[Time]]&lt;0.5, AllData[[#This Row],[Time]]&gt;0.17)=TRUE, "Morning", IF(AND(AllData[[#This Row],[Time]]&lt;0.75, AllData[[#This Row],[Time]]&gt;=0.5)=TRUE, "Afternoon", IF(AND(AllData[[#This Row],[Time]]&lt;1, AllData[[#This Row],[Time]]&gt;=0.75)=TRUE, "Evening", "Night")))</f>
        <v>Night</v>
      </c>
      <c r="G1981" t="str">
        <f>_xlfn.XLOOKUP(AllData[[#This Row],[Location Name]], Locations[Location Name],Locations[Group As])</f>
        <v>Site 2  :  Cross Leys culvert</v>
      </c>
      <c r="H1981" t="e" vm="1">
        <f>_xlfn.XLOOKUP(AllData[[#This Row],[Site Name]],LocationsKey[Site Name],LocationsKey[District])</f>
        <v>#VALUE!</v>
      </c>
      <c r="I1981" t="e" vm="14">
        <f>_xlfn.XLOOKUP(AllData[[#This Row],[Site Name]],LocationsKey[Site Name],LocationsKey[Town])</f>
        <v>#VALUE!</v>
      </c>
      <c r="J1981" t="str">
        <f>_xlfn.XLOOKUP(AllData[[#This Row],[Site Name]],LocationsKey[Site Name], LocationsKey[Waterway])</f>
        <v>Fosseway Brook</v>
      </c>
      <c r="K1981" t="s">
        <v>623</v>
      </c>
      <c r="L1981">
        <v>52.092967999999999</v>
      </c>
      <c r="M1981" s="108">
        <v>-1.6862710000000001</v>
      </c>
      <c r="N1981" t="s">
        <v>68</v>
      </c>
      <c r="O1981">
        <v>628</v>
      </c>
      <c r="P1981">
        <v>9.3000000000000007</v>
      </c>
      <c r="Q1981">
        <v>2</v>
      </c>
      <c r="R1981" s="141" t="str">
        <f>IF(AllData[[#This Row],[Nitrate (PPM)]]&gt;2, "Very high", IF(AllData[[#This Row],[Nitrate (PPM)]]&gt;1, "High", IF(AllData[[#This Row],[Nitrate (PPM)]]&gt;0.5, "Some evidence", IF(AllData[[#This Row],[Nitrate (PPM)]]&gt;=0, "No evidence"))))</f>
        <v>High</v>
      </c>
      <c r="S1981" s="4">
        <v>0.38</v>
      </c>
      <c r="T1981" s="7" t="str">
        <f>IF(AllData[[#This Row],[Phosphate (PPM)]]&gt;0.5, "Very high", IF(AllData[[#This Row],[Phosphate (PPM)]]&gt;0.1, "High", IF(AllData[[#This Row],[Phosphate (PPM)]]&gt;0.05, "Some evidence", IF(AllData[[#This Row],[Phosphate (PPM)]]&lt;=0.05, "No Evidence", ""))))</f>
        <v>High</v>
      </c>
      <c r="U1981">
        <v>0</v>
      </c>
      <c r="V1981" t="s">
        <v>624</v>
      </c>
    </row>
    <row r="1982" spans="1:22" x14ac:dyDescent="0.35">
      <c r="A1982" t="s">
        <v>619</v>
      </c>
      <c r="B1982" s="143">
        <v>45323</v>
      </c>
      <c r="C1982" s="2" t="str" cm="1">
        <f t="array" ref="C19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2">
        <v>2023</v>
      </c>
      <c r="E1982" s="1">
        <v>0.65277777777777779</v>
      </c>
      <c r="F1982" t="str">
        <f>IF(AND(AllData[[#This Row],[Time]]&lt;0.5, AllData[[#This Row],[Time]]&gt;0.17)=TRUE, "Morning", IF(AND(AllData[[#This Row],[Time]]&lt;0.75, AllData[[#This Row],[Time]]&gt;=0.5)=TRUE, "Afternoon", IF(AND(AllData[[#This Row],[Time]]&lt;1, AllData[[#This Row],[Time]]&gt;=0.75)=TRUE, "Evening", "Night")))</f>
        <v>Afternoon</v>
      </c>
      <c r="G1982" t="str">
        <f>_xlfn.XLOOKUP(AllData[[#This Row],[Location Name]], Locations[Location Name],Locations[Group As])</f>
        <v>Alveston Weir</v>
      </c>
      <c r="H1982" t="e" vm="1">
        <f>_xlfn.XLOOKUP(AllData[[#This Row],[Site Name]],LocationsKey[Site Name],LocationsKey[District])</f>
        <v>#VALUE!</v>
      </c>
      <c r="I1982" t="e" vm="2">
        <f>_xlfn.XLOOKUP(AllData[[#This Row],[Site Name]],LocationsKey[Site Name],LocationsKey[Town])</f>
        <v>#VALUE!</v>
      </c>
      <c r="J1982" t="str">
        <f>_xlfn.XLOOKUP(AllData[[#This Row],[Site Name]],LocationsKey[Site Name], LocationsKey[Waterway])</f>
        <v>Avon</v>
      </c>
      <c r="K1982" t="s">
        <v>288</v>
      </c>
      <c r="L1982">
        <v>52.212288999999998</v>
      </c>
      <c r="M1982" s="108">
        <v>-1.660452</v>
      </c>
      <c r="N1982" t="s">
        <v>31</v>
      </c>
      <c r="O1982">
        <v>689</v>
      </c>
      <c r="P1982">
        <v>8.5</v>
      </c>
      <c r="Q1982">
        <v>5</v>
      </c>
      <c r="R1982" s="141" t="str">
        <f>IF(AllData[[#This Row],[Nitrate (PPM)]]&gt;2, "Very high", IF(AllData[[#This Row],[Nitrate (PPM)]]&gt;1, "High", IF(AllData[[#This Row],[Nitrate (PPM)]]&gt;0.5, "Some evidence", IF(AllData[[#This Row],[Nitrate (PPM)]]&gt;=0, "No evidence"))))</f>
        <v>Very high</v>
      </c>
      <c r="S1982" s="4">
        <v>0.6</v>
      </c>
      <c r="T1982" s="7" t="str">
        <f>IF(AllData[[#This Row],[Phosphate (PPM)]]&gt;0.5, "Very high", IF(AllData[[#This Row],[Phosphate (PPM)]]&gt;0.1, "High", IF(AllData[[#This Row],[Phosphate (PPM)]]&gt;0.05, "Some evidence", IF(AllData[[#This Row],[Phosphate (PPM)]]&lt;=0.05, "No Evidence", ""))))</f>
        <v>Very high</v>
      </c>
      <c r="U1982">
        <v>-0.5</v>
      </c>
    </row>
    <row r="1983" spans="1:22" x14ac:dyDescent="0.35">
      <c r="A1983" t="s">
        <v>615</v>
      </c>
      <c r="B1983" s="143">
        <v>45323</v>
      </c>
      <c r="C1983" s="2" t="str" cm="1">
        <f t="array" ref="C19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3">
        <v>2023</v>
      </c>
      <c r="E1983" s="1">
        <v>0.61597222222222225</v>
      </c>
      <c r="F1983" t="str">
        <f>IF(AND(AllData[[#This Row],[Time]]&lt;0.5, AllData[[#This Row],[Time]]&gt;0.17)=TRUE, "Morning", IF(AND(AllData[[#This Row],[Time]]&lt;0.75, AllData[[#This Row],[Time]]&gt;=0.5)=TRUE, "Afternoon", IF(AND(AllData[[#This Row],[Time]]&lt;1, AllData[[#This Row],[Time]]&gt;=0.75)=TRUE, "Evening", "Night")))</f>
        <v>Afternoon</v>
      </c>
      <c r="G1983" t="str">
        <f>_xlfn.XLOOKUP(AllData[[#This Row],[Location Name]], Locations[Location Name],Locations[Group As])</f>
        <v>Swiffen Bank</v>
      </c>
      <c r="H1983" t="e" vm="1">
        <f>_xlfn.XLOOKUP(AllData[[#This Row],[Site Name]],LocationsKey[Site Name],LocationsKey[District])</f>
        <v>#VALUE!</v>
      </c>
      <c r="I1983" t="e" vm="2">
        <f>_xlfn.XLOOKUP(AllData[[#This Row],[Site Name]],LocationsKey[Site Name],LocationsKey[Town])</f>
        <v>#VALUE!</v>
      </c>
      <c r="J1983" t="str">
        <f>_xlfn.XLOOKUP(AllData[[#This Row],[Site Name]],LocationsKey[Site Name], LocationsKey[Waterway])</f>
        <v>Avon</v>
      </c>
      <c r="K1983" t="s">
        <v>286</v>
      </c>
      <c r="L1983">
        <v>52.206384</v>
      </c>
      <c r="M1983" s="108">
        <v>-1.6540969999999999</v>
      </c>
      <c r="N1983" t="s">
        <v>31</v>
      </c>
      <c r="O1983">
        <v>668</v>
      </c>
      <c r="P1983">
        <v>8.8000000000000007</v>
      </c>
      <c r="Q1983">
        <v>5</v>
      </c>
      <c r="R1983" s="141" t="str">
        <f>IF(AllData[[#This Row],[Nitrate (PPM)]]&gt;2, "Very high", IF(AllData[[#This Row],[Nitrate (PPM)]]&gt;1, "High", IF(AllData[[#This Row],[Nitrate (PPM)]]&gt;0.5, "Some evidence", IF(AllData[[#This Row],[Nitrate (PPM)]]&gt;=0, "No evidence"))))</f>
        <v>Very high</v>
      </c>
      <c r="S1983" s="4">
        <v>0.53</v>
      </c>
      <c r="T1983" s="7" t="str">
        <f>IF(AllData[[#This Row],[Phosphate (PPM)]]&gt;0.5, "Very high", IF(AllData[[#This Row],[Phosphate (PPM)]]&gt;0.1, "High", IF(AllData[[#This Row],[Phosphate (PPM)]]&gt;0.05, "Some evidence", IF(AllData[[#This Row],[Phosphate (PPM)]]&lt;=0.05, "No Evidence", ""))))</f>
        <v>Very high</v>
      </c>
      <c r="U1983">
        <v>0</v>
      </c>
      <c r="V1983" t="s">
        <v>616</v>
      </c>
    </row>
    <row r="1984" spans="1:22" x14ac:dyDescent="0.35">
      <c r="A1984" t="s">
        <v>620</v>
      </c>
      <c r="B1984" s="143">
        <v>45323</v>
      </c>
      <c r="C1984" s="2" t="str" cm="1">
        <f t="array" ref="C19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4">
        <v>2023</v>
      </c>
      <c r="E1984" s="1">
        <v>0.65625</v>
      </c>
      <c r="F1984" t="str">
        <f>IF(AND(AllData[[#This Row],[Time]]&lt;0.5, AllData[[#This Row],[Time]]&gt;0.17)=TRUE, "Morning", IF(AND(AllData[[#This Row],[Time]]&lt;0.75, AllData[[#This Row],[Time]]&gt;=0.5)=TRUE, "Afternoon", IF(AND(AllData[[#This Row],[Time]]&lt;1, AllData[[#This Row],[Time]]&gt;=0.75)=TRUE, "Evening", "Night")))</f>
        <v>Afternoon</v>
      </c>
      <c r="G1984" t="str">
        <f>_xlfn.XLOOKUP(AllData[[#This Row],[Location Name]], Locations[Location Name],Locations[Group As])</f>
        <v>Preston Bagot Brook</v>
      </c>
      <c r="H1984" t="e" vm="1">
        <f>_xlfn.XLOOKUP(AllData[[#This Row],[Site Name]],LocationsKey[Site Name],LocationsKey[District])</f>
        <v>#VALUE!</v>
      </c>
      <c r="I1984" t="e" vm="21">
        <f>_xlfn.XLOOKUP(AllData[[#This Row],[Site Name]],LocationsKey[Site Name],LocationsKey[Town])</f>
        <v>#VALUE!</v>
      </c>
      <c r="J1984" t="str">
        <f>_xlfn.XLOOKUP(AllData[[#This Row],[Site Name]],LocationsKey[Site Name], LocationsKey[Waterway])</f>
        <v>Preston Bagot Brook</v>
      </c>
      <c r="K1984" t="s">
        <v>621</v>
      </c>
      <c r="L1984">
        <v>52.286200000000001</v>
      </c>
      <c r="M1984" s="108">
        <v>-1.7478</v>
      </c>
      <c r="N1984" t="s">
        <v>25</v>
      </c>
      <c r="O1984">
        <v>805</v>
      </c>
      <c r="P1984">
        <v>10.4</v>
      </c>
      <c r="Q1984">
        <v>2.5</v>
      </c>
      <c r="R1984" s="141" t="str">
        <f>IF(AllData[[#This Row],[Nitrate (PPM)]]&gt;2, "Very high", IF(AllData[[#This Row],[Nitrate (PPM)]]&gt;1, "High", IF(AllData[[#This Row],[Nitrate (PPM)]]&gt;0.5, "Some evidence", IF(AllData[[#This Row],[Nitrate (PPM)]]&gt;=0, "No evidence"))))</f>
        <v>Very high</v>
      </c>
      <c r="S1984" s="4">
        <v>0.56999999999999995</v>
      </c>
      <c r="T1984" s="7" t="str">
        <f>IF(AllData[[#This Row],[Phosphate (PPM)]]&gt;0.5, "Very high", IF(AllData[[#This Row],[Phosphate (PPM)]]&gt;0.1, "High", IF(AllData[[#This Row],[Phosphate (PPM)]]&gt;0.05, "Some evidence", IF(AllData[[#This Row],[Phosphate (PPM)]]&lt;=0.05, "No Evidence", ""))))</f>
        <v>Very high</v>
      </c>
      <c r="U1984">
        <v>0</v>
      </c>
    </row>
    <row r="1985" spans="1:22" x14ac:dyDescent="0.35">
      <c r="A1985" t="s">
        <v>617</v>
      </c>
      <c r="B1985" s="143">
        <v>45323</v>
      </c>
      <c r="C1985" s="2" t="str" cm="1">
        <f t="array" ref="C19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5">
        <v>2023</v>
      </c>
      <c r="E1985" s="1">
        <v>0.64583333333333337</v>
      </c>
      <c r="F1985" t="str">
        <f>IF(AND(AllData[[#This Row],[Time]]&lt;0.5, AllData[[#This Row],[Time]]&gt;0.17)=TRUE, "Morning", IF(AND(AllData[[#This Row],[Time]]&lt;0.75, AllData[[#This Row],[Time]]&gt;=0.5)=TRUE, "Afternoon", IF(AND(AllData[[#This Row],[Time]]&lt;1, AllData[[#This Row],[Time]]&gt;=0.75)=TRUE, "Evening", "Night")))</f>
        <v>Afternoon</v>
      </c>
      <c r="G1985" t="str">
        <f>_xlfn.XLOOKUP(AllData[[#This Row],[Location Name]], Locations[Location Name],Locations[Group As])</f>
        <v>Preston Bagot Canal</v>
      </c>
      <c r="H1985" t="e" vm="1">
        <f>_xlfn.XLOOKUP(AllData[[#This Row],[Site Name]],LocationsKey[Site Name],LocationsKey[District])</f>
        <v>#VALUE!</v>
      </c>
      <c r="I1985" t="e" vm="21">
        <f>_xlfn.XLOOKUP(AllData[[#This Row],[Site Name]],LocationsKey[Site Name],LocationsKey[Town])</f>
        <v>#VALUE!</v>
      </c>
      <c r="J1985" t="str">
        <f>_xlfn.XLOOKUP(AllData[[#This Row],[Site Name]],LocationsKey[Site Name], LocationsKey[Waterway])</f>
        <v>Preston Bagot Canal</v>
      </c>
      <c r="K1985" t="s">
        <v>618</v>
      </c>
      <c r="M1985" s="108"/>
      <c r="N1985" t="s">
        <v>25</v>
      </c>
      <c r="O1985">
        <v>351</v>
      </c>
      <c r="P1985">
        <v>9.6999999999999993</v>
      </c>
      <c r="Q1985">
        <v>2.5</v>
      </c>
      <c r="R1985" s="141" t="str">
        <f>IF(AllData[[#This Row],[Nitrate (PPM)]]&gt;2, "Very high", IF(AllData[[#This Row],[Nitrate (PPM)]]&gt;1, "High", IF(AllData[[#This Row],[Nitrate (PPM)]]&gt;0.5, "Some evidence", IF(AllData[[#This Row],[Nitrate (PPM)]]&gt;=0, "No evidence"))))</f>
        <v>Very high</v>
      </c>
      <c r="S1985" s="4">
        <v>0.25</v>
      </c>
      <c r="T1985" s="7" t="str">
        <f>IF(AllData[[#This Row],[Phosphate (PPM)]]&gt;0.5, "Very high", IF(AllData[[#This Row],[Phosphate (PPM)]]&gt;0.1, "High", IF(AllData[[#This Row],[Phosphate (PPM)]]&gt;0.05, "Some evidence", IF(AllData[[#This Row],[Phosphate (PPM)]]&lt;=0.05, "No Evidence", ""))))</f>
        <v>High</v>
      </c>
      <c r="U1985">
        <v>0</v>
      </c>
    </row>
    <row r="1986" spans="1:22" x14ac:dyDescent="0.35">
      <c r="A1986" t="s">
        <v>614</v>
      </c>
      <c r="B1986" s="143">
        <v>45323</v>
      </c>
      <c r="C1986" s="2" t="str" cm="1">
        <f t="array" ref="C19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6">
        <v>2023</v>
      </c>
      <c r="E1986" s="1">
        <v>0.46805555555555556</v>
      </c>
      <c r="F1986" t="str">
        <f>IF(AND(AllData[[#This Row],[Time]]&lt;0.5, AllData[[#This Row],[Time]]&gt;0.17)=TRUE, "Morning", IF(AND(AllData[[#This Row],[Time]]&lt;0.75, AllData[[#This Row],[Time]]&gt;=0.5)=TRUE, "Afternoon", IF(AND(AllData[[#This Row],[Time]]&lt;1, AllData[[#This Row],[Time]]&gt;=0.75)=TRUE, "Evening", "Night")))</f>
        <v>Morning</v>
      </c>
      <c r="G1986" t="str">
        <f>_xlfn.XLOOKUP(AllData[[#This Row],[Location Name]], Locations[Location Name],Locations[Group As])</f>
        <v>Stour Willington</v>
      </c>
      <c r="H1986" t="e" vm="1">
        <f>_xlfn.XLOOKUP(AllData[[#This Row],[Site Name]],LocationsKey[Site Name],LocationsKey[District])</f>
        <v>#VALUE!</v>
      </c>
      <c r="I1986" t="str">
        <f>_xlfn.XLOOKUP(AllData[[#This Row],[Site Name]],LocationsKey[Site Name],LocationsKey[Town])</f>
        <v>Willington</v>
      </c>
      <c r="J1986" t="str">
        <f>_xlfn.XLOOKUP(AllData[[#This Row],[Site Name]],LocationsKey[Site Name], LocationsKey[Waterway])</f>
        <v>Stour</v>
      </c>
      <c r="K1986" t="s">
        <v>521</v>
      </c>
      <c r="L1986">
        <v>52.051000000000002</v>
      </c>
      <c r="M1986" s="108">
        <v>-1.6140000000000001</v>
      </c>
      <c r="N1986" t="s">
        <v>25</v>
      </c>
      <c r="O1986">
        <v>628</v>
      </c>
      <c r="P1986">
        <v>10</v>
      </c>
      <c r="Q1986">
        <v>2</v>
      </c>
      <c r="R1986" s="141" t="str">
        <f>IF(AllData[[#This Row],[Nitrate (PPM)]]&gt;2, "Very high", IF(AllData[[#This Row],[Nitrate (PPM)]]&gt;1, "High", IF(AllData[[#This Row],[Nitrate (PPM)]]&gt;0.5, "Some evidence", IF(AllData[[#This Row],[Nitrate (PPM)]]&gt;=0, "No evidence"))))</f>
        <v>High</v>
      </c>
      <c r="S1986" s="4">
        <v>0.2</v>
      </c>
      <c r="T1986" s="7" t="str">
        <f>IF(AllData[[#This Row],[Phosphate (PPM)]]&gt;0.5, "Very high", IF(AllData[[#This Row],[Phosphate (PPM)]]&gt;0.1, "High", IF(AllData[[#This Row],[Phosphate (PPM)]]&gt;0.05, "Some evidence", IF(AllData[[#This Row],[Phosphate (PPM)]]&lt;=0.05, "No Evidence", ""))))</f>
        <v>High</v>
      </c>
      <c r="U1986">
        <v>0.5</v>
      </c>
    </row>
    <row r="1987" spans="1:22" x14ac:dyDescent="0.35">
      <c r="A1987" t="s">
        <v>612</v>
      </c>
      <c r="B1987" s="143">
        <v>45322</v>
      </c>
      <c r="C1987" s="2" t="str" cm="1">
        <f t="array" ref="C19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7">
        <v>2023</v>
      </c>
      <c r="E1987" s="1">
        <v>0.60416666666666663</v>
      </c>
      <c r="F1987" t="str">
        <f>IF(AND(AllData[[#This Row],[Time]]&lt;0.5, AllData[[#This Row],[Time]]&gt;0.17)=TRUE, "Morning", IF(AND(AllData[[#This Row],[Time]]&lt;0.75, AllData[[#This Row],[Time]]&gt;=0.5)=TRUE, "Afternoon", IF(AND(AllData[[#This Row],[Time]]&lt;1, AllData[[#This Row],[Time]]&gt;=0.75)=TRUE, "Evening", "Night")))</f>
        <v>Afternoon</v>
      </c>
      <c r="G1987" t="str">
        <f>_xlfn.XLOOKUP(AllData[[#This Row],[Location Name]], Locations[Location Name],Locations[Group As])</f>
        <v>Stour Newbold Mill</v>
      </c>
      <c r="H1987" t="e" vm="1">
        <f>_xlfn.XLOOKUP(AllData[[#This Row],[Site Name]],LocationsKey[Site Name],LocationsKey[District])</f>
        <v>#VALUE!</v>
      </c>
      <c r="I1987" t="e" vm="27">
        <f>_xlfn.XLOOKUP(AllData[[#This Row],[Site Name]],LocationsKey[Site Name],LocationsKey[Town])</f>
        <v>#VALUE!</v>
      </c>
      <c r="J1987" t="str">
        <f>_xlfn.XLOOKUP(AllData[[#This Row],[Site Name]],LocationsKey[Site Name], LocationsKey[Waterway])</f>
        <v>Stour</v>
      </c>
      <c r="K1987" t="s">
        <v>141</v>
      </c>
      <c r="L1987">
        <v>52.112769999999998</v>
      </c>
      <c r="M1987" s="108">
        <v>-1.6335170000000001</v>
      </c>
      <c r="N1987" t="s">
        <v>31</v>
      </c>
      <c r="O1987">
        <v>678</v>
      </c>
      <c r="P1987">
        <v>8.3000000000000007</v>
      </c>
      <c r="Q1987">
        <v>5</v>
      </c>
      <c r="R1987" s="141" t="str">
        <f>IF(AllData[[#This Row],[Nitrate (PPM)]]&gt;2, "Very high", IF(AllData[[#This Row],[Nitrate (PPM)]]&gt;1, "High", IF(AllData[[#This Row],[Nitrate (PPM)]]&gt;0.5, "Some evidence", IF(AllData[[#This Row],[Nitrate (PPM)]]&gt;=0, "No evidence"))))</f>
        <v>Very high</v>
      </c>
      <c r="S1987" s="4">
        <v>0.23</v>
      </c>
      <c r="T1987" s="7" t="str">
        <f>IF(AllData[[#This Row],[Phosphate (PPM)]]&gt;0.5, "Very high", IF(AllData[[#This Row],[Phosphate (PPM)]]&gt;0.1, "High", IF(AllData[[#This Row],[Phosphate (PPM)]]&gt;0.05, "Some evidence", IF(AllData[[#This Row],[Phosphate (PPM)]]&lt;=0.05, "No Evidence", ""))))</f>
        <v>High</v>
      </c>
      <c r="U1987">
        <v>2.5</v>
      </c>
      <c r="V1987" t="s">
        <v>613</v>
      </c>
    </row>
    <row r="1988" spans="1:22" x14ac:dyDescent="0.35">
      <c r="A1988" t="s">
        <v>611</v>
      </c>
      <c r="B1988" s="143">
        <v>45322</v>
      </c>
      <c r="C1988" s="2" t="str" cm="1">
        <f t="array" ref="C19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8">
        <v>2023</v>
      </c>
      <c r="E1988" s="1">
        <v>0.48958333333333331</v>
      </c>
      <c r="F1988" t="str">
        <f>IF(AND(AllData[[#This Row],[Time]]&lt;0.5, AllData[[#This Row],[Time]]&gt;0.17)=TRUE, "Morning", IF(AND(AllData[[#This Row],[Time]]&lt;0.75, AllData[[#This Row],[Time]]&gt;=0.5)=TRUE, "Afternoon", IF(AND(AllData[[#This Row],[Time]]&lt;1, AllData[[#This Row],[Time]]&gt;=0.75)=TRUE, "Evening", "Night")))</f>
        <v>Morning</v>
      </c>
      <c r="G1988" t="str">
        <f>_xlfn.XLOOKUP(AllData[[#This Row],[Location Name]], Locations[Location Name],Locations[Group As])</f>
        <v>Swilgate</v>
      </c>
      <c r="H1988" t="e" vm="4">
        <f>_xlfn.XLOOKUP(AllData[[#This Row],[Site Name]],LocationsKey[Site Name],LocationsKey[District])</f>
        <v>#VALUE!</v>
      </c>
      <c r="I1988" t="e" vm="4">
        <f>_xlfn.XLOOKUP(AllData[[#This Row],[Site Name]],LocationsKey[Site Name],LocationsKey[Town])</f>
        <v>#VALUE!</v>
      </c>
      <c r="J1988" t="str">
        <f>_xlfn.XLOOKUP(AllData[[#This Row],[Site Name]],LocationsKey[Site Name], LocationsKey[Waterway])</f>
        <v>Swilgate</v>
      </c>
      <c r="K1988" t="s">
        <v>85</v>
      </c>
      <c r="M1988" s="108"/>
      <c r="N1988" t="s">
        <v>25</v>
      </c>
      <c r="O1988">
        <v>105</v>
      </c>
      <c r="P1988">
        <v>9</v>
      </c>
      <c r="Q1988">
        <v>3</v>
      </c>
      <c r="R1988" s="141" t="str">
        <f>IF(AllData[[#This Row],[Nitrate (PPM)]]&gt;2, "Very high", IF(AllData[[#This Row],[Nitrate (PPM)]]&gt;1, "High", IF(AllData[[#This Row],[Nitrate (PPM)]]&gt;0.5, "Some evidence", IF(AllData[[#This Row],[Nitrate (PPM)]]&gt;=0, "No evidence"))))</f>
        <v>Very high</v>
      </c>
      <c r="S1988" s="4">
        <v>0.49</v>
      </c>
      <c r="T1988" s="7" t="str">
        <f>IF(AllData[[#This Row],[Phosphate (PPM)]]&gt;0.5, "Very high", IF(AllData[[#This Row],[Phosphate (PPM)]]&gt;0.1, "High", IF(AllData[[#This Row],[Phosphate (PPM)]]&gt;0.05, "Some evidence", IF(AllData[[#This Row],[Phosphate (PPM)]]&lt;=0.05, "No Evidence", ""))))</f>
        <v>High</v>
      </c>
      <c r="U1988">
        <v>0</v>
      </c>
    </row>
    <row r="1989" spans="1:22" x14ac:dyDescent="0.35">
      <c r="A1989" t="s">
        <v>610</v>
      </c>
      <c r="B1989" s="143">
        <v>45320</v>
      </c>
      <c r="C1989" s="2" t="str" cm="1">
        <f t="array" ref="C19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89">
        <v>2023</v>
      </c>
      <c r="E1989" s="1">
        <v>0.42291666666666666</v>
      </c>
      <c r="F1989" t="str">
        <f>IF(AND(AllData[[#This Row],[Time]]&lt;0.5, AllData[[#This Row],[Time]]&gt;0.17)=TRUE, "Morning", IF(AND(AllData[[#This Row],[Time]]&lt;0.75, AllData[[#This Row],[Time]]&gt;=0.5)=TRUE, "Afternoon", IF(AND(AllData[[#This Row],[Time]]&lt;1, AllData[[#This Row],[Time]]&gt;=0.75)=TRUE, "Evening", "Night")))</f>
        <v>Morning</v>
      </c>
      <c r="G1989" t="str">
        <f>_xlfn.XLOOKUP(AllData[[#This Row],[Location Name]], Locations[Location Name],Locations[Group As])</f>
        <v>Stour Stretton-on-Fosse Sewage Works</v>
      </c>
      <c r="H1989" t="e" vm="1">
        <f>_xlfn.XLOOKUP(AllData[[#This Row],[Site Name]],LocationsKey[Site Name],LocationsKey[District])</f>
        <v>#VALUE!</v>
      </c>
      <c r="I1989" t="e" vm="30">
        <f>_xlfn.XLOOKUP(AllData[[#This Row],[Site Name]],LocationsKey[Site Name],LocationsKey[Town])</f>
        <v>#VALUE!</v>
      </c>
      <c r="J1989" t="str">
        <f>_xlfn.XLOOKUP(AllData[[#This Row],[Site Name]],LocationsKey[Site Name], LocationsKey[Waterway])</f>
        <v>Stour</v>
      </c>
      <c r="K1989" t="s">
        <v>337</v>
      </c>
      <c r="L1989">
        <v>52.045636000000002</v>
      </c>
      <c r="M1989" s="108">
        <v>-1.6719679999999999</v>
      </c>
      <c r="N1989" t="s">
        <v>31</v>
      </c>
      <c r="O1989">
        <v>741</v>
      </c>
      <c r="P1989">
        <v>9.6999999999999993</v>
      </c>
      <c r="Q1989">
        <v>4</v>
      </c>
      <c r="R1989" s="141" t="str">
        <f>IF(AllData[[#This Row],[Nitrate (PPM)]]&gt;2, "Very high", IF(AllData[[#This Row],[Nitrate (PPM)]]&gt;1, "High", IF(AllData[[#This Row],[Nitrate (PPM)]]&gt;0.5, "Some evidence", IF(AllData[[#This Row],[Nitrate (PPM)]]&gt;=0, "No evidence"))))</f>
        <v>Very high</v>
      </c>
      <c r="S1989" s="4">
        <v>2.5</v>
      </c>
      <c r="T1989" s="7" t="str">
        <f>IF(AllData[[#This Row],[Phosphate (PPM)]]&gt;0.5, "Very high", IF(AllData[[#This Row],[Phosphate (PPM)]]&gt;0.1, "High", IF(AllData[[#This Row],[Phosphate (PPM)]]&gt;0.05, "Some evidence", IF(AllData[[#This Row],[Phosphate (PPM)]]&lt;=0.05, "No Evidence", ""))))</f>
        <v>Very high</v>
      </c>
      <c r="U1989">
        <v>0.25</v>
      </c>
    </row>
    <row r="1990" spans="1:22" x14ac:dyDescent="0.35">
      <c r="A1990" t="s">
        <v>609</v>
      </c>
      <c r="B1990" s="143">
        <v>45320</v>
      </c>
      <c r="C1990" s="2" t="str" cm="1">
        <f t="array" ref="C19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0">
        <v>2023</v>
      </c>
      <c r="E1990" s="1">
        <v>0.40416666666666667</v>
      </c>
      <c r="F1990" t="str">
        <f>IF(AND(AllData[[#This Row],[Time]]&lt;0.5, AllData[[#This Row],[Time]]&gt;0.17)=TRUE, "Morning", IF(AND(AllData[[#This Row],[Time]]&lt;0.75, AllData[[#This Row],[Time]]&gt;=0.5)=TRUE, "Afternoon", IF(AND(AllData[[#This Row],[Time]]&lt;1, AllData[[#This Row],[Time]]&gt;=0.75)=TRUE, "Evening", "Night")))</f>
        <v>Morning</v>
      </c>
      <c r="G1990" t="str">
        <f>_xlfn.XLOOKUP(AllData[[#This Row],[Location Name]], Locations[Location Name],Locations[Group As])</f>
        <v>Stour Stretton-on-Fosse Village</v>
      </c>
      <c r="H1990" t="e" vm="1">
        <f>_xlfn.XLOOKUP(AllData[[#This Row],[Site Name]],LocationsKey[Site Name],LocationsKey[District])</f>
        <v>#VALUE!</v>
      </c>
      <c r="I1990" t="e" vm="30">
        <f>_xlfn.XLOOKUP(AllData[[#This Row],[Site Name]],LocationsKey[Site Name],LocationsKey[Town])</f>
        <v>#VALUE!</v>
      </c>
      <c r="J1990" t="str">
        <f>_xlfn.XLOOKUP(AllData[[#This Row],[Site Name]],LocationsKey[Site Name], LocationsKey[Waterway])</f>
        <v>Stour</v>
      </c>
      <c r="K1990" t="s">
        <v>548</v>
      </c>
      <c r="L1990">
        <v>52.046531000000002</v>
      </c>
      <c r="M1990" s="108">
        <v>-1.673367</v>
      </c>
      <c r="N1990" t="s">
        <v>68</v>
      </c>
      <c r="O1990">
        <v>698</v>
      </c>
      <c r="P1990">
        <v>9.1</v>
      </c>
      <c r="Q1990">
        <v>3</v>
      </c>
      <c r="R1990" s="141" t="str">
        <f>IF(AllData[[#This Row],[Nitrate (PPM)]]&gt;2, "Very high", IF(AllData[[#This Row],[Nitrate (PPM)]]&gt;1, "High", IF(AllData[[#This Row],[Nitrate (PPM)]]&gt;0.5, "Some evidence", IF(AllData[[#This Row],[Nitrate (PPM)]]&gt;=0, "No evidence"))))</f>
        <v>Very high</v>
      </c>
      <c r="S1990" s="4">
        <v>1.1499999999999999</v>
      </c>
      <c r="T1990" s="7" t="str">
        <f>IF(AllData[[#This Row],[Phosphate (PPM)]]&gt;0.5, "Very high", IF(AllData[[#This Row],[Phosphate (PPM)]]&gt;0.1, "High", IF(AllData[[#This Row],[Phosphate (PPM)]]&gt;0.05, "Some evidence", IF(AllData[[#This Row],[Phosphate (PPM)]]&lt;=0.05, "No Evidence", ""))))</f>
        <v>Very high</v>
      </c>
      <c r="U1990">
        <v>0.15</v>
      </c>
    </row>
    <row r="1991" spans="1:22" x14ac:dyDescent="0.35">
      <c r="A1991" t="s">
        <v>608</v>
      </c>
      <c r="B1991" s="143">
        <v>45319</v>
      </c>
      <c r="C1991" s="2" t="str" cm="1">
        <f t="array" ref="C19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1">
        <v>2023</v>
      </c>
      <c r="E1991" s="1">
        <v>0.63541666666666663</v>
      </c>
      <c r="F1991" t="str">
        <f>IF(AND(AllData[[#This Row],[Time]]&lt;0.5, AllData[[#This Row],[Time]]&gt;0.17)=TRUE, "Morning", IF(AND(AllData[[#This Row],[Time]]&lt;0.75, AllData[[#This Row],[Time]]&gt;=0.5)=TRUE, "Afternoon", IF(AND(AllData[[#This Row],[Time]]&lt;1, AllData[[#This Row],[Time]]&gt;=0.75)=TRUE, "Evening", "Night")))</f>
        <v>Afternoon</v>
      </c>
      <c r="G1991" t="str">
        <f>_xlfn.XLOOKUP(AllData[[#This Row],[Location Name]], Locations[Location Name],Locations[Group As])</f>
        <v>Bell Brook 1</v>
      </c>
      <c r="H1991" t="e" vm="1">
        <f>_xlfn.XLOOKUP(AllData[[#This Row],[Site Name]],LocationsKey[Site Name],LocationsKey[District])</f>
        <v>#VALUE!</v>
      </c>
      <c r="I1991" t="e" vm="19">
        <f>_xlfn.XLOOKUP(AllData[[#This Row],[Site Name]],LocationsKey[Site Name],LocationsKey[Town])</f>
        <v>#VALUE!</v>
      </c>
      <c r="J1991" t="str">
        <f>_xlfn.XLOOKUP(AllData[[#This Row],[Site Name]],LocationsKey[Site Name], LocationsKey[Waterway])</f>
        <v>Bell Brook</v>
      </c>
      <c r="K1991" t="s">
        <v>538</v>
      </c>
      <c r="L1991">
        <v>52.244900000000001</v>
      </c>
      <c r="M1991" s="108">
        <v>-1.6617</v>
      </c>
      <c r="N1991" t="s">
        <v>25</v>
      </c>
      <c r="O1991">
        <v>710</v>
      </c>
      <c r="P1991">
        <v>8.8000000000000007</v>
      </c>
      <c r="Q1991">
        <v>8</v>
      </c>
      <c r="R1991" s="141" t="str">
        <f>IF(AllData[[#This Row],[Nitrate (PPM)]]&gt;2, "Very high", IF(AllData[[#This Row],[Nitrate (PPM)]]&gt;1, "High", IF(AllData[[#This Row],[Nitrate (PPM)]]&gt;0.5, "Some evidence", IF(AllData[[#This Row],[Nitrate (PPM)]]&gt;=0, "No evidence"))))</f>
        <v>Very high</v>
      </c>
      <c r="S1991" s="4">
        <v>0.31</v>
      </c>
      <c r="T1991" s="7" t="str">
        <f>IF(AllData[[#This Row],[Phosphate (PPM)]]&gt;0.5, "Very high", IF(AllData[[#This Row],[Phosphate (PPM)]]&gt;0.1, "High", IF(AllData[[#This Row],[Phosphate (PPM)]]&gt;0.05, "Some evidence", IF(AllData[[#This Row],[Phosphate (PPM)]]&lt;=0.05, "No Evidence", ""))))</f>
        <v>High</v>
      </c>
      <c r="U1991">
        <v>0.5</v>
      </c>
    </row>
    <row r="1992" spans="1:22" x14ac:dyDescent="0.35">
      <c r="A1992" t="s">
        <v>606</v>
      </c>
      <c r="B1992" s="143">
        <v>45319</v>
      </c>
      <c r="C1992" s="2" t="str" cm="1">
        <f t="array" ref="C19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2">
        <v>2023</v>
      </c>
      <c r="E1992" s="1">
        <v>0.61805555555555558</v>
      </c>
      <c r="F1992" t="str">
        <f>IF(AND(AllData[[#This Row],[Time]]&lt;0.5, AllData[[#This Row],[Time]]&gt;0.17)=TRUE, "Morning", IF(AND(AllData[[#This Row],[Time]]&lt;0.75, AllData[[#This Row],[Time]]&gt;=0.5)=TRUE, "Afternoon", IF(AND(AllData[[#This Row],[Time]]&lt;1, AllData[[#This Row],[Time]]&gt;=0.75)=TRUE, "Evening", "Night")))</f>
        <v>Afternoon</v>
      </c>
      <c r="G1992" t="str">
        <f>_xlfn.XLOOKUP(AllData[[#This Row],[Location Name]], Locations[Location Name],Locations[Group As])</f>
        <v>Clifford Chambers Mill Bridge</v>
      </c>
      <c r="H1992" t="e" vm="1">
        <f>_xlfn.XLOOKUP(AllData[[#This Row],[Site Name]],LocationsKey[Site Name],LocationsKey[District])</f>
        <v>#VALUE!</v>
      </c>
      <c r="I1992" t="e" vm="22">
        <f>_xlfn.XLOOKUP(AllData[[#This Row],[Site Name]],LocationsKey[Site Name],LocationsKey[Town])</f>
        <v>#VALUE!</v>
      </c>
      <c r="J1992" t="str">
        <f>_xlfn.XLOOKUP(AllData[[#This Row],[Site Name]],LocationsKey[Site Name], LocationsKey[Waterway])</f>
        <v>Stour</v>
      </c>
      <c r="K1992" t="s">
        <v>266</v>
      </c>
      <c r="L1992">
        <v>52.166370000000001</v>
      </c>
      <c r="M1992" s="108">
        <v>-1.708032</v>
      </c>
      <c r="N1992" t="s">
        <v>68</v>
      </c>
      <c r="O1992">
        <v>640</v>
      </c>
      <c r="P1992">
        <v>9.5</v>
      </c>
      <c r="Q1992">
        <v>7</v>
      </c>
      <c r="R1992" s="141" t="str">
        <f>IF(AllData[[#This Row],[Nitrate (PPM)]]&gt;2, "Very high", IF(AllData[[#This Row],[Nitrate (PPM)]]&gt;1, "High", IF(AllData[[#This Row],[Nitrate (PPM)]]&gt;0.5, "Some evidence", IF(AllData[[#This Row],[Nitrate (PPM)]]&gt;=0, "No evidence"))))</f>
        <v>Very high</v>
      </c>
      <c r="S1992" s="4">
        <v>0.65</v>
      </c>
      <c r="T1992" s="7" t="str">
        <f>IF(AllData[[#This Row],[Phosphate (PPM)]]&gt;0.5, "Very high", IF(AllData[[#This Row],[Phosphate (PPM)]]&gt;0.1, "High", IF(AllData[[#This Row],[Phosphate (PPM)]]&gt;0.05, "Some evidence", IF(AllData[[#This Row],[Phosphate (PPM)]]&lt;=0.05, "No Evidence", ""))))</f>
        <v>Very high</v>
      </c>
      <c r="U1992">
        <v>0.8</v>
      </c>
      <c r="V1992" t="s">
        <v>533</v>
      </c>
    </row>
    <row r="1993" spans="1:22" x14ac:dyDescent="0.35">
      <c r="A1993" t="s">
        <v>607</v>
      </c>
      <c r="B1993" s="143">
        <v>45319</v>
      </c>
      <c r="C1993" s="2" t="str" cm="1">
        <f t="array" ref="C19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3">
        <v>2023</v>
      </c>
      <c r="E1993" s="1">
        <v>0.625</v>
      </c>
      <c r="F1993" t="str">
        <f>IF(AND(AllData[[#This Row],[Time]]&lt;0.5, AllData[[#This Row],[Time]]&gt;0.17)=TRUE, "Morning", IF(AND(AllData[[#This Row],[Time]]&lt;0.75, AllData[[#This Row],[Time]]&gt;=0.5)=TRUE, "Afternoon", IF(AND(AllData[[#This Row],[Time]]&lt;1, AllData[[#This Row],[Time]]&gt;=0.75)=TRUE, "Evening", "Night")))</f>
        <v>Afternoon</v>
      </c>
      <c r="G1993" t="str">
        <f>_xlfn.XLOOKUP(AllData[[#This Row],[Location Name]], Locations[Location Name],Locations[Group As])</f>
        <v>Sherbourne Brook 1</v>
      </c>
      <c r="H1993" t="e" vm="1">
        <f>_xlfn.XLOOKUP(AllData[[#This Row],[Site Name]],LocationsKey[Site Name],LocationsKey[District])</f>
        <v>#VALUE!</v>
      </c>
      <c r="I1993" t="e" vm="23">
        <f>_xlfn.XLOOKUP(AllData[[#This Row],[Site Name]],LocationsKey[Site Name],LocationsKey[Town])</f>
        <v>#VALUE!</v>
      </c>
      <c r="J1993" t="str">
        <f>_xlfn.XLOOKUP(AllData[[#This Row],[Site Name]],LocationsKey[Site Name], LocationsKey[Waterway])</f>
        <v>Sherbourne Brook</v>
      </c>
      <c r="K1993" t="s">
        <v>541</v>
      </c>
      <c r="L1993">
        <v>52.252499999999998</v>
      </c>
      <c r="M1993" s="108">
        <v>-1.6685000000000001</v>
      </c>
      <c r="N1993" t="s">
        <v>25</v>
      </c>
      <c r="O1993">
        <v>1060</v>
      </c>
      <c r="P1993">
        <v>8.9</v>
      </c>
      <c r="Q1993">
        <v>6</v>
      </c>
      <c r="R1993" s="141" t="str">
        <f>IF(AllData[[#This Row],[Nitrate (PPM)]]&gt;2, "Very high", IF(AllData[[#This Row],[Nitrate (PPM)]]&gt;1, "High", IF(AllData[[#This Row],[Nitrate (PPM)]]&gt;0.5, "Some evidence", IF(AllData[[#This Row],[Nitrate (PPM)]]&gt;=0, "No evidence"))))</f>
        <v>Very high</v>
      </c>
      <c r="S1993" s="4">
        <v>0.43</v>
      </c>
      <c r="T1993" s="7" t="str">
        <f>IF(AllData[[#This Row],[Phosphate (PPM)]]&gt;0.5, "Very high", IF(AllData[[#This Row],[Phosphate (PPM)]]&gt;0.1, "High", IF(AllData[[#This Row],[Phosphate (PPM)]]&gt;0.05, "Some evidence", IF(AllData[[#This Row],[Phosphate (PPM)]]&lt;=0.05, "No Evidence", ""))))</f>
        <v>High</v>
      </c>
      <c r="U1993">
        <v>0.5</v>
      </c>
    </row>
    <row r="1994" spans="1:22" x14ac:dyDescent="0.35">
      <c r="A1994" t="s">
        <v>605</v>
      </c>
      <c r="B1994" s="143">
        <v>45319</v>
      </c>
      <c r="C1994" s="2" t="str" cm="1">
        <f t="array" ref="C19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4">
        <v>2023</v>
      </c>
      <c r="E1994" s="1">
        <v>0.58402777777777781</v>
      </c>
      <c r="F1994" t="str">
        <f>IF(AND(AllData[[#This Row],[Time]]&lt;0.5, AllData[[#This Row],[Time]]&gt;0.17)=TRUE, "Morning", IF(AND(AllData[[#This Row],[Time]]&lt;0.75, AllData[[#This Row],[Time]]&gt;=0.5)=TRUE, "Afternoon", IF(AND(AllData[[#This Row],[Time]]&lt;1, AllData[[#This Row],[Time]]&gt;=0.75)=TRUE, "Evening", "Night")))</f>
        <v>Afternoon</v>
      </c>
      <c r="G1994" t="str">
        <f>_xlfn.XLOOKUP(AllData[[#This Row],[Location Name]], Locations[Location Name],Locations[Group As])</f>
        <v>Abbey Mill</v>
      </c>
      <c r="H1994" t="e" vm="4">
        <f>_xlfn.XLOOKUP(AllData[[#This Row],[Site Name]],LocationsKey[Site Name],LocationsKey[District])</f>
        <v>#VALUE!</v>
      </c>
      <c r="I1994" t="e" vm="4">
        <f>_xlfn.XLOOKUP(AllData[[#This Row],[Site Name]],LocationsKey[Site Name],LocationsKey[Town])</f>
        <v>#VALUE!</v>
      </c>
      <c r="J1994" t="str">
        <f>_xlfn.XLOOKUP(AllData[[#This Row],[Site Name]],LocationsKey[Site Name], LocationsKey[Waterway])</f>
        <v>Avon</v>
      </c>
      <c r="K1994" t="s">
        <v>27</v>
      </c>
      <c r="L1994">
        <v>51.991171999999999</v>
      </c>
      <c r="M1994" s="108">
        <v>-2.162588</v>
      </c>
      <c r="N1994" t="s">
        <v>25</v>
      </c>
      <c r="O1994">
        <v>793</v>
      </c>
      <c r="P1994">
        <v>8.8000000000000007</v>
      </c>
      <c r="Q1994">
        <v>5</v>
      </c>
      <c r="R1994" s="141" t="str">
        <f>IF(AllData[[#This Row],[Nitrate (PPM)]]&gt;2, "Very high", IF(AllData[[#This Row],[Nitrate (PPM)]]&gt;1, "High", IF(AllData[[#This Row],[Nitrate (PPM)]]&gt;0.5, "Some evidence", IF(AllData[[#This Row],[Nitrate (PPM)]]&gt;=0, "No evidence"))))</f>
        <v>Very high</v>
      </c>
      <c r="S1994" s="4">
        <v>0.69</v>
      </c>
      <c r="T1994" s="7" t="str">
        <f>IF(AllData[[#This Row],[Phosphate (PPM)]]&gt;0.5, "Very high", IF(AllData[[#This Row],[Phosphate (PPM)]]&gt;0.1, "High", IF(AllData[[#This Row],[Phosphate (PPM)]]&gt;0.05, "Some evidence", IF(AllData[[#This Row],[Phosphate (PPM)]]&lt;=0.05, "No Evidence", ""))))</f>
        <v>Very high</v>
      </c>
      <c r="U1994">
        <v>0.5</v>
      </c>
    </row>
    <row r="1995" spans="1:22" x14ac:dyDescent="0.35">
      <c r="A1995" t="s">
        <v>604</v>
      </c>
      <c r="B1995" s="143">
        <v>45319</v>
      </c>
      <c r="C1995" s="2" t="str" cm="1">
        <f t="array" ref="C19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5">
        <v>2023</v>
      </c>
      <c r="E1995" s="1">
        <v>0.4513888888888889</v>
      </c>
      <c r="F1995" t="str">
        <f>IF(AND(AllData[[#This Row],[Time]]&lt;0.5, AllData[[#This Row],[Time]]&gt;0.17)=TRUE, "Morning", IF(AND(AllData[[#This Row],[Time]]&lt;0.75, AllData[[#This Row],[Time]]&gt;=0.5)=TRUE, "Afternoon", IF(AND(AllData[[#This Row],[Time]]&lt;1, AllData[[#This Row],[Time]]&gt;=0.75)=TRUE, "Evening", "Night")))</f>
        <v>Morning</v>
      </c>
      <c r="G1995" t="str">
        <f>_xlfn.XLOOKUP(AllData[[#This Row],[Location Name]], Locations[Location Name],Locations[Group As])</f>
        <v>Fell Mill Footbridge</v>
      </c>
      <c r="H1995" t="e" vm="1">
        <f>_xlfn.XLOOKUP(AllData[[#This Row],[Site Name]],LocationsKey[Site Name],LocationsKey[District])</f>
        <v>#VALUE!</v>
      </c>
      <c r="I1995" t="e" vm="15">
        <f>_xlfn.XLOOKUP(AllData[[#This Row],[Site Name]],LocationsKey[Site Name],LocationsKey[Town])</f>
        <v>#VALUE!</v>
      </c>
      <c r="J1995" t="str">
        <f>_xlfn.XLOOKUP(AllData[[#This Row],[Site Name]],LocationsKey[Site Name], LocationsKey[Waterway])</f>
        <v>Stour</v>
      </c>
      <c r="K1995" t="s">
        <v>500</v>
      </c>
      <c r="L1995">
        <v>52.070131000000003</v>
      </c>
      <c r="M1995" s="108">
        <v>-1.6114869999999999</v>
      </c>
      <c r="N1995" t="s">
        <v>31</v>
      </c>
      <c r="O1995">
        <v>622</v>
      </c>
      <c r="P1995">
        <v>6.9</v>
      </c>
      <c r="Q1995">
        <v>5</v>
      </c>
      <c r="R1995" s="141" t="str">
        <f>IF(AllData[[#This Row],[Nitrate (PPM)]]&gt;2, "Very high", IF(AllData[[#This Row],[Nitrate (PPM)]]&gt;1, "High", IF(AllData[[#This Row],[Nitrate (PPM)]]&gt;0.5, "Some evidence", IF(AllData[[#This Row],[Nitrate (PPM)]]&gt;=0, "No evidence"))))</f>
        <v>Very high</v>
      </c>
      <c r="S1995" s="4">
        <v>0.19</v>
      </c>
      <c r="T1995" s="7" t="str">
        <f>IF(AllData[[#This Row],[Phosphate (PPM)]]&gt;0.5, "Very high", IF(AllData[[#This Row],[Phosphate (PPM)]]&gt;0.1, "High", IF(AllData[[#This Row],[Phosphate (PPM)]]&gt;0.05, "Some evidence", IF(AllData[[#This Row],[Phosphate (PPM)]]&lt;=0.05, "No Evidence", ""))))</f>
        <v>High</v>
      </c>
      <c r="U1995">
        <v>1.22</v>
      </c>
    </row>
    <row r="1996" spans="1:22" x14ac:dyDescent="0.35">
      <c r="A1996" t="s">
        <v>601</v>
      </c>
      <c r="B1996" s="143">
        <v>45318</v>
      </c>
      <c r="C1996" s="2" t="str" cm="1">
        <f t="array" ref="C19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6">
        <v>2023</v>
      </c>
      <c r="E1996" s="1">
        <v>0.46805555555555556</v>
      </c>
      <c r="F1996" t="str">
        <f>IF(AND(AllData[[#This Row],[Time]]&lt;0.5, AllData[[#This Row],[Time]]&gt;0.17)=TRUE, "Morning", IF(AND(AllData[[#This Row],[Time]]&lt;0.75, AllData[[#This Row],[Time]]&gt;=0.5)=TRUE, "Afternoon", IF(AND(AllData[[#This Row],[Time]]&lt;1, AllData[[#This Row],[Time]]&gt;=0.75)=TRUE, "Evening", "Night")))</f>
        <v>Morning</v>
      </c>
      <c r="G1996" t="str">
        <f>_xlfn.XLOOKUP(AllData[[#This Row],[Location Name]], Locations[Location Name],Locations[Group As])</f>
        <v>Black Bear</v>
      </c>
      <c r="H1996" t="e" vm="4">
        <f>_xlfn.XLOOKUP(AllData[[#This Row],[Site Name]],LocationsKey[Site Name],LocationsKey[District])</f>
        <v>#VALUE!</v>
      </c>
      <c r="I1996" t="e" vm="4">
        <f>_xlfn.XLOOKUP(AllData[[#This Row],[Site Name]],LocationsKey[Site Name],LocationsKey[Town])</f>
        <v>#VALUE!</v>
      </c>
      <c r="J1996" t="str">
        <f>_xlfn.XLOOKUP(AllData[[#This Row],[Site Name]],LocationsKey[Site Name], LocationsKey[Waterway])</f>
        <v>Avon</v>
      </c>
      <c r="K1996" t="s">
        <v>572</v>
      </c>
      <c r="L1996">
        <v>51.997509000000001</v>
      </c>
      <c r="M1996" s="108">
        <v>-2.1560800000000002</v>
      </c>
      <c r="N1996" t="s">
        <v>25</v>
      </c>
      <c r="O1996">
        <v>834</v>
      </c>
      <c r="P1996">
        <v>8.3000000000000007</v>
      </c>
      <c r="Q1996">
        <v>9</v>
      </c>
      <c r="R1996" s="141" t="str">
        <f>IF(AllData[[#This Row],[Nitrate (PPM)]]&gt;2, "Very high", IF(AllData[[#This Row],[Nitrate (PPM)]]&gt;1, "High", IF(AllData[[#This Row],[Nitrate (PPM)]]&gt;0.5, "Some evidence", IF(AllData[[#This Row],[Nitrate (PPM)]]&gt;=0, "No evidence"))))</f>
        <v>Very high</v>
      </c>
      <c r="S1996" s="4">
        <v>0.83</v>
      </c>
      <c r="T1996" s="7" t="str">
        <f>IF(AllData[[#This Row],[Phosphate (PPM)]]&gt;0.5, "Very high", IF(AllData[[#This Row],[Phosphate (PPM)]]&gt;0.1, "High", IF(AllData[[#This Row],[Phosphate (PPM)]]&gt;0.05, "Some evidence", IF(AllData[[#This Row],[Phosphate (PPM)]]&lt;=0.05, "No Evidence", ""))))</f>
        <v>Very high</v>
      </c>
      <c r="U1996">
        <v>0</v>
      </c>
    </row>
    <row r="1997" spans="1:22" x14ac:dyDescent="0.35">
      <c r="A1997" t="s">
        <v>599</v>
      </c>
      <c r="B1997" s="143">
        <v>45318</v>
      </c>
      <c r="C1997" s="2" t="str" cm="1">
        <f t="array" ref="C19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7">
        <v>2023</v>
      </c>
      <c r="E1997" s="1">
        <v>0.46458333333333335</v>
      </c>
      <c r="F1997" t="str">
        <f>IF(AND(AllData[[#This Row],[Time]]&lt;0.5, AllData[[#This Row],[Time]]&gt;0.17)=TRUE, "Morning", IF(AND(AllData[[#This Row],[Time]]&lt;0.75, AllData[[#This Row],[Time]]&gt;=0.5)=TRUE, "Afternoon", IF(AND(AllData[[#This Row],[Time]]&lt;1, AllData[[#This Row],[Time]]&gt;=0.75)=TRUE, "Evening", "Night")))</f>
        <v>Morning</v>
      </c>
      <c r="G1997" t="str">
        <f>_xlfn.XLOOKUP(AllData[[#This Row],[Location Name]], Locations[Location Name],Locations[Group As])</f>
        <v>The Ford, Langley</v>
      </c>
      <c r="H1997" t="e" vm="1">
        <f>_xlfn.XLOOKUP(AllData[[#This Row],[Site Name]],LocationsKey[Site Name],LocationsKey[District])</f>
        <v>#VALUE!</v>
      </c>
      <c r="I1997" t="str">
        <f>_xlfn.XLOOKUP(AllData[[#This Row],[Site Name]],LocationsKey[Site Name],LocationsKey[Town])</f>
        <v>Langley</v>
      </c>
      <c r="J1997" t="str">
        <f>_xlfn.XLOOKUP(AllData[[#This Row],[Site Name]],LocationsKey[Site Name], LocationsKey[Waterway])</f>
        <v>Langley Ford</v>
      </c>
      <c r="K1997" t="s">
        <v>561</v>
      </c>
      <c r="L1997">
        <v>52.259639</v>
      </c>
      <c r="M1997" s="108">
        <v>-1.7181999999999999</v>
      </c>
      <c r="N1997" t="s">
        <v>31</v>
      </c>
      <c r="O1997">
        <v>705</v>
      </c>
      <c r="P1997">
        <v>6.9</v>
      </c>
      <c r="Q1997">
        <v>5</v>
      </c>
      <c r="R1997" s="141" t="str">
        <f>IF(AllData[[#This Row],[Nitrate (PPM)]]&gt;2, "Very high", IF(AllData[[#This Row],[Nitrate (PPM)]]&gt;1, "High", IF(AllData[[#This Row],[Nitrate (PPM)]]&gt;0.5, "Some evidence", IF(AllData[[#This Row],[Nitrate (PPM)]]&gt;=0, "No evidence"))))</f>
        <v>Very high</v>
      </c>
      <c r="S1997" s="4">
        <v>0.62</v>
      </c>
      <c r="T1997" s="7" t="str">
        <f>IF(AllData[[#This Row],[Phosphate (PPM)]]&gt;0.5, "Very high", IF(AllData[[#This Row],[Phosphate (PPM)]]&gt;0.1, "High", IF(AllData[[#This Row],[Phosphate (PPM)]]&gt;0.05, "Some evidence", IF(AllData[[#This Row],[Phosphate (PPM)]]&lt;=0.05, "No Evidence", ""))))</f>
        <v>Very high</v>
      </c>
      <c r="U1997">
        <v>0.32</v>
      </c>
      <c r="V1997" t="s">
        <v>600</v>
      </c>
    </row>
    <row r="1998" spans="1:22" x14ac:dyDescent="0.35">
      <c r="A1998" t="s">
        <v>602</v>
      </c>
      <c r="B1998" s="143">
        <v>45318</v>
      </c>
      <c r="C1998" s="2" t="str" cm="1">
        <f t="array" ref="C19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8">
        <v>2023</v>
      </c>
      <c r="E1998" s="1">
        <v>0.5</v>
      </c>
      <c r="F1998" t="str">
        <f>IF(AND(AllData[[#This Row],[Time]]&lt;0.5, AllData[[#This Row],[Time]]&gt;0.17)=TRUE, "Morning", IF(AND(AllData[[#This Row],[Time]]&lt;0.75, AllData[[#This Row],[Time]]&gt;=0.5)=TRUE, "Afternoon", IF(AND(AllData[[#This Row],[Time]]&lt;1, AllData[[#This Row],[Time]]&gt;=0.75)=TRUE, "Evening", "Night")))</f>
        <v>Afternoon</v>
      </c>
      <c r="G1998" t="str">
        <f>_xlfn.XLOOKUP(AllData[[#This Row],[Location Name]], Locations[Location Name],Locations[Group As])</f>
        <v>Carrant Bredon Rd</v>
      </c>
      <c r="H1998" t="e" vm="4">
        <f>_xlfn.XLOOKUP(AllData[[#This Row],[Site Name]],LocationsKey[Site Name],LocationsKey[District])</f>
        <v>#VALUE!</v>
      </c>
      <c r="I1998" t="e" vm="4">
        <f>_xlfn.XLOOKUP(AllData[[#This Row],[Site Name]],LocationsKey[Site Name],LocationsKey[Town])</f>
        <v>#VALUE!</v>
      </c>
      <c r="J1998" t="str">
        <f>_xlfn.XLOOKUP(AllData[[#This Row],[Site Name]],LocationsKey[Site Name], LocationsKey[Waterway])</f>
        <v>Carrant</v>
      </c>
      <c r="K1998" t="s">
        <v>603</v>
      </c>
      <c r="L1998">
        <v>51.996360000000003</v>
      </c>
      <c r="M1998" s="108">
        <v>-2.1560489999999999</v>
      </c>
      <c r="N1998" t="s">
        <v>25</v>
      </c>
      <c r="O1998">
        <v>772</v>
      </c>
      <c r="P1998">
        <v>8.1</v>
      </c>
      <c r="Q1998">
        <v>4</v>
      </c>
      <c r="R1998" s="141" t="str">
        <f>IF(AllData[[#This Row],[Nitrate (PPM)]]&gt;2, "Very high", IF(AllData[[#This Row],[Nitrate (PPM)]]&gt;1, "High", IF(AllData[[#This Row],[Nitrate (PPM)]]&gt;0.5, "Some evidence", IF(AllData[[#This Row],[Nitrate (PPM)]]&gt;=0, "No evidence"))))</f>
        <v>Very high</v>
      </c>
      <c r="S1998" s="4">
        <v>0.2</v>
      </c>
      <c r="T1998" s="7" t="str">
        <f>IF(AllData[[#This Row],[Phosphate (PPM)]]&gt;0.5, "Very high", IF(AllData[[#This Row],[Phosphate (PPM)]]&gt;0.1, "High", IF(AllData[[#This Row],[Phosphate (PPM)]]&gt;0.05, "Some evidence", IF(AllData[[#This Row],[Phosphate (PPM)]]&lt;=0.05, "No Evidence", ""))))</f>
        <v>High</v>
      </c>
      <c r="U1998">
        <v>0.3</v>
      </c>
    </row>
    <row r="1999" spans="1:22" x14ac:dyDescent="0.35">
      <c r="A1999" t="s">
        <v>594</v>
      </c>
      <c r="B1999" s="143">
        <v>45317</v>
      </c>
      <c r="C1999" s="2" t="str" cm="1">
        <f t="array" ref="C19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1999">
        <v>2023</v>
      </c>
      <c r="E1999" s="1">
        <v>0.45902777777777776</v>
      </c>
      <c r="F1999" t="str">
        <f>IF(AND(AllData[[#This Row],[Time]]&lt;0.5, AllData[[#This Row],[Time]]&gt;0.17)=TRUE, "Morning", IF(AND(AllData[[#This Row],[Time]]&lt;0.75, AllData[[#This Row],[Time]]&gt;=0.5)=TRUE, "Afternoon", IF(AND(AllData[[#This Row],[Time]]&lt;1, AllData[[#This Row],[Time]]&gt;=0.75)=TRUE, "Evening", "Night")))</f>
        <v>Morning</v>
      </c>
      <c r="G1999" t="str">
        <f>_xlfn.XLOOKUP(AllData[[#This Row],[Location Name]], Locations[Location Name],Locations[Group As])</f>
        <v>Lower Lode</v>
      </c>
      <c r="H1999" t="e" vm="4">
        <f>_xlfn.XLOOKUP(AllData[[#This Row],[Site Name]],LocationsKey[Site Name],LocationsKey[District])</f>
        <v>#VALUE!</v>
      </c>
      <c r="I1999" t="e" vm="4">
        <f>_xlfn.XLOOKUP(AllData[[#This Row],[Site Name]],LocationsKey[Site Name],LocationsKey[Town])</f>
        <v>#VALUE!</v>
      </c>
      <c r="J1999" t="str">
        <f>_xlfn.XLOOKUP(AllData[[#This Row],[Site Name]],LocationsKey[Site Name], LocationsKey[Waterway])</f>
        <v>Avon</v>
      </c>
      <c r="K1999" t="s">
        <v>595</v>
      </c>
      <c r="L1999">
        <v>51.985100000000003</v>
      </c>
      <c r="M1999" s="108">
        <v>-2.1742699999999999</v>
      </c>
      <c r="N1999" t="s">
        <v>31</v>
      </c>
      <c r="O1999">
        <v>822</v>
      </c>
      <c r="P1999">
        <v>9</v>
      </c>
      <c r="Q1999">
        <v>10</v>
      </c>
      <c r="R1999" s="141" t="str">
        <f>IF(AllData[[#This Row],[Nitrate (PPM)]]&gt;2, "Very high", IF(AllData[[#This Row],[Nitrate (PPM)]]&gt;1, "High", IF(AllData[[#This Row],[Nitrate (PPM)]]&gt;0.5, "Some evidence", IF(AllData[[#This Row],[Nitrate (PPM)]]&gt;=0, "No evidence"))))</f>
        <v>Very high</v>
      </c>
      <c r="S1999" s="4">
        <v>0.28999999999999998</v>
      </c>
      <c r="T1999" s="7" t="str">
        <f>IF(AllData[[#This Row],[Phosphate (PPM)]]&gt;0.5, "Very high", IF(AllData[[#This Row],[Phosphate (PPM)]]&gt;0.1, "High", IF(AllData[[#This Row],[Phosphate (PPM)]]&gt;0.05, "Some evidence", IF(AllData[[#This Row],[Phosphate (PPM)]]&lt;=0.05, "No Evidence", ""))))</f>
        <v>High</v>
      </c>
      <c r="U1999">
        <v>2</v>
      </c>
      <c r="V1999" t="s">
        <v>596</v>
      </c>
    </row>
    <row r="2000" spans="1:22" x14ac:dyDescent="0.35">
      <c r="A2000" t="s">
        <v>597</v>
      </c>
      <c r="B2000" s="143">
        <v>45317</v>
      </c>
      <c r="C2000" s="2" t="str" cm="1">
        <f t="array" ref="C20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0">
        <v>2023</v>
      </c>
      <c r="E2000" s="1">
        <v>0.64236111111111116</v>
      </c>
      <c r="F2000" t="str">
        <f>IF(AND(AllData[[#This Row],[Time]]&lt;0.5, AllData[[#This Row],[Time]]&gt;0.17)=TRUE, "Morning", IF(AND(AllData[[#This Row],[Time]]&lt;0.75, AllData[[#This Row],[Time]]&gt;=0.5)=TRUE, "Afternoon", IF(AND(AllData[[#This Row],[Time]]&lt;1, AllData[[#This Row],[Time]]&gt;=0.75)=TRUE, "Evening", "Night")))</f>
        <v>Afternoon</v>
      </c>
      <c r="G2000" t="str">
        <f>_xlfn.XLOOKUP(AllData[[#This Row],[Location Name]], Locations[Location Name],Locations[Group As])</f>
        <v>Twyning Fleet</v>
      </c>
      <c r="H2000" t="e" vm="4">
        <f>_xlfn.XLOOKUP(AllData[[#This Row],[Site Name]],LocationsKey[Site Name],LocationsKey[District])</f>
        <v>#VALUE!</v>
      </c>
      <c r="I2000" t="str">
        <f>_xlfn.XLOOKUP(AllData[[#This Row],[Site Name]],LocationsKey[Site Name],LocationsKey[Town])</f>
        <v>Twyning Green</v>
      </c>
      <c r="J2000" t="str">
        <f>_xlfn.XLOOKUP(AllData[[#This Row],[Site Name]],LocationsKey[Site Name], LocationsKey[Waterway])</f>
        <v>Avon</v>
      </c>
      <c r="K2000" t="s">
        <v>56</v>
      </c>
      <c r="L2000">
        <v>52.027436999999999</v>
      </c>
      <c r="M2000" s="108">
        <v>-2.1407449999999999</v>
      </c>
      <c r="N2000" t="s">
        <v>31</v>
      </c>
      <c r="O2000">
        <v>1580</v>
      </c>
      <c r="P2000">
        <v>10.4</v>
      </c>
      <c r="Q2000">
        <v>3</v>
      </c>
      <c r="R2000" s="141" t="str">
        <f>IF(AllData[[#This Row],[Nitrate (PPM)]]&gt;2, "Very high", IF(AllData[[#This Row],[Nitrate (PPM)]]&gt;1, "High", IF(AllData[[#This Row],[Nitrate (PPM)]]&gt;0.5, "Some evidence", IF(AllData[[#This Row],[Nitrate (PPM)]]&gt;=0, "No evidence"))))</f>
        <v>Very high</v>
      </c>
      <c r="S2000" s="4">
        <v>0.68</v>
      </c>
      <c r="T2000" s="7" t="str">
        <f>IF(AllData[[#This Row],[Phosphate (PPM)]]&gt;0.5, "Very high", IF(AllData[[#This Row],[Phosphate (PPM)]]&gt;0.1, "High", IF(AllData[[#This Row],[Phosphate (PPM)]]&gt;0.05, "Some evidence", IF(AllData[[#This Row],[Phosphate (PPM)]]&lt;=0.05, "No Evidence", ""))))</f>
        <v>Very high</v>
      </c>
      <c r="U2000">
        <v>0</v>
      </c>
      <c r="V2000" t="s">
        <v>598</v>
      </c>
    </row>
    <row r="2001" spans="1:22" x14ac:dyDescent="0.35">
      <c r="A2001" t="s">
        <v>593</v>
      </c>
      <c r="B2001" s="143">
        <v>45316</v>
      </c>
      <c r="C2001" s="2" t="str" cm="1">
        <f t="array" ref="C20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1">
        <v>2023</v>
      </c>
      <c r="E2001" s="1">
        <v>0.57847222222222228</v>
      </c>
      <c r="F2001" t="str">
        <f>IF(AND(AllData[[#This Row],[Time]]&lt;0.5, AllData[[#This Row],[Time]]&gt;0.17)=TRUE, "Morning", IF(AND(AllData[[#This Row],[Time]]&lt;0.75, AllData[[#This Row],[Time]]&gt;=0.5)=TRUE, "Afternoon", IF(AND(AllData[[#This Row],[Time]]&lt;1, AllData[[#This Row],[Time]]&gt;=0.75)=TRUE, "Evening", "Night")))</f>
        <v>Afternoon</v>
      </c>
      <c r="G2001" t="str">
        <f>_xlfn.XLOOKUP(AllData[[#This Row],[Location Name]], Locations[Location Name],Locations[Group As])</f>
        <v>Preston-on-Stour River Bridge</v>
      </c>
      <c r="H2001" t="e" vm="1">
        <f>_xlfn.XLOOKUP(AllData[[#This Row],[Site Name]],LocationsKey[Site Name],LocationsKey[District])</f>
        <v>#VALUE!</v>
      </c>
      <c r="I2001" t="e" vm="20">
        <f>_xlfn.XLOOKUP(AllData[[#This Row],[Site Name]],LocationsKey[Site Name],LocationsKey[Town])</f>
        <v>#VALUE!</v>
      </c>
      <c r="J2001" t="str">
        <f>_xlfn.XLOOKUP(AllData[[#This Row],[Site Name]],LocationsKey[Site Name], LocationsKey[Waterway])</f>
        <v>Stour</v>
      </c>
      <c r="K2001" t="s">
        <v>164</v>
      </c>
      <c r="L2001">
        <v>52.146572999999997</v>
      </c>
      <c r="M2001" s="108">
        <v>-1.6991149999999999</v>
      </c>
      <c r="N2001" t="s">
        <v>31</v>
      </c>
      <c r="O2001">
        <v>653</v>
      </c>
      <c r="P2001">
        <v>9.5</v>
      </c>
      <c r="Q2001">
        <v>5</v>
      </c>
      <c r="R2001" s="141" t="str">
        <f>IF(AllData[[#This Row],[Nitrate (PPM)]]&gt;2, "Very high", IF(AllData[[#This Row],[Nitrate (PPM)]]&gt;1, "High", IF(AllData[[#This Row],[Nitrate (PPM)]]&gt;0.5, "Some evidence", IF(AllData[[#This Row],[Nitrate (PPM)]]&gt;=0, "No evidence"))))</f>
        <v>Very high</v>
      </c>
      <c r="S2001" s="4">
        <v>0.26</v>
      </c>
      <c r="T2001" s="7" t="str">
        <f>IF(AllData[[#This Row],[Phosphate (PPM)]]&gt;0.5, "Very high", IF(AllData[[#This Row],[Phosphate (PPM)]]&gt;0.1, "High", IF(AllData[[#This Row],[Phosphate (PPM)]]&gt;0.05, "Some evidence", IF(AllData[[#This Row],[Phosphate (PPM)]]&lt;=0.05, "No Evidence", ""))))</f>
        <v>High</v>
      </c>
      <c r="U2001">
        <v>1.5</v>
      </c>
    </row>
    <row r="2002" spans="1:22" x14ac:dyDescent="0.35">
      <c r="A2002" t="s">
        <v>591</v>
      </c>
      <c r="B2002" s="143">
        <v>45316</v>
      </c>
      <c r="C2002" s="2" t="str" cm="1">
        <f t="array" ref="C20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2">
        <v>2023</v>
      </c>
      <c r="E2002" s="1">
        <v>0.4375</v>
      </c>
      <c r="F2002" t="str">
        <f>IF(AND(AllData[[#This Row],[Time]]&lt;0.5, AllData[[#This Row],[Time]]&gt;0.17)=TRUE, "Morning", IF(AND(AllData[[#This Row],[Time]]&lt;0.75, AllData[[#This Row],[Time]]&gt;=0.5)=TRUE, "Afternoon", IF(AND(AllData[[#This Row],[Time]]&lt;1, AllData[[#This Row],[Time]]&gt;=0.75)=TRUE, "Evening", "Night")))</f>
        <v>Morning</v>
      </c>
      <c r="G2002" t="str">
        <f>_xlfn.XLOOKUP(AllData[[#This Row],[Location Name]], Locations[Location Name],Locations[Group As])</f>
        <v>Swilgate</v>
      </c>
      <c r="H2002" t="e" vm="4">
        <f>_xlfn.XLOOKUP(AllData[[#This Row],[Site Name]],LocationsKey[Site Name],LocationsKey[District])</f>
        <v>#VALUE!</v>
      </c>
      <c r="I2002" t="e" vm="4">
        <f>_xlfn.XLOOKUP(AllData[[#This Row],[Site Name]],LocationsKey[Site Name],LocationsKey[Town])</f>
        <v>#VALUE!</v>
      </c>
      <c r="J2002" t="str">
        <f>_xlfn.XLOOKUP(AllData[[#This Row],[Site Name]],LocationsKey[Site Name], LocationsKey[Waterway])</f>
        <v>Swilgate</v>
      </c>
      <c r="K2002" t="s">
        <v>85</v>
      </c>
      <c r="M2002" s="108"/>
      <c r="N2002" t="s">
        <v>25</v>
      </c>
      <c r="O2002">
        <v>999</v>
      </c>
      <c r="P2002">
        <v>9.6999999999999993</v>
      </c>
      <c r="Q2002">
        <v>3</v>
      </c>
      <c r="R2002" s="141" t="str">
        <f>IF(AllData[[#This Row],[Nitrate (PPM)]]&gt;2, "Very high", IF(AllData[[#This Row],[Nitrate (PPM)]]&gt;1, "High", IF(AllData[[#This Row],[Nitrate (PPM)]]&gt;0.5, "Some evidence", IF(AllData[[#This Row],[Nitrate (PPM)]]&gt;=0, "No evidence"))))</f>
        <v>Very high</v>
      </c>
      <c r="S2002" s="4">
        <v>0.42</v>
      </c>
      <c r="T2002" s="7" t="str">
        <f>IF(AllData[[#This Row],[Phosphate (PPM)]]&gt;0.5, "Very high", IF(AllData[[#This Row],[Phosphate (PPM)]]&gt;0.1, "High", IF(AllData[[#This Row],[Phosphate (PPM)]]&gt;0.05, "Some evidence", IF(AllData[[#This Row],[Phosphate (PPM)]]&lt;=0.05, "No Evidence", ""))))</f>
        <v>High</v>
      </c>
      <c r="U2002">
        <v>1</v>
      </c>
      <c r="V2002" t="s">
        <v>592</v>
      </c>
    </row>
    <row r="2003" spans="1:22" x14ac:dyDescent="0.35">
      <c r="A2003" t="s">
        <v>589</v>
      </c>
      <c r="B2003" s="143">
        <v>45316</v>
      </c>
      <c r="C2003" s="2" t="str" cm="1">
        <f t="array" ref="C20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3">
        <v>2023</v>
      </c>
      <c r="E2003" s="1">
        <v>0.4236111111111111</v>
      </c>
      <c r="F2003" t="str">
        <f>IF(AND(AllData[[#This Row],[Time]]&lt;0.5, AllData[[#This Row],[Time]]&gt;0.17)=TRUE, "Morning", IF(AND(AllData[[#This Row],[Time]]&lt;0.75, AllData[[#This Row],[Time]]&gt;=0.5)=TRUE, "Afternoon", IF(AND(AllData[[#This Row],[Time]]&lt;1, AllData[[#This Row],[Time]]&gt;=0.75)=TRUE, "Evening", "Night")))</f>
        <v>Morning</v>
      </c>
      <c r="G2003" t="str">
        <f>_xlfn.XLOOKUP(AllData[[#This Row],[Location Name]], Locations[Location Name],Locations[Group As])</f>
        <v>Stour Willington</v>
      </c>
      <c r="H2003" t="e" vm="1">
        <f>_xlfn.XLOOKUP(AllData[[#This Row],[Site Name]],LocationsKey[Site Name],LocationsKey[District])</f>
        <v>#VALUE!</v>
      </c>
      <c r="I2003" t="str">
        <f>_xlfn.XLOOKUP(AllData[[#This Row],[Site Name]],LocationsKey[Site Name],LocationsKey[Town])</f>
        <v>Willington</v>
      </c>
      <c r="J2003" t="str">
        <f>_xlfn.XLOOKUP(AllData[[#This Row],[Site Name]],LocationsKey[Site Name], LocationsKey[Waterway])</f>
        <v>Stour</v>
      </c>
      <c r="K2003" t="s">
        <v>521</v>
      </c>
      <c r="L2003">
        <v>52.051000000000002</v>
      </c>
      <c r="M2003" s="108">
        <v>-1.6140000000000001</v>
      </c>
      <c r="N2003" t="s">
        <v>25</v>
      </c>
      <c r="O2003">
        <v>620</v>
      </c>
      <c r="P2003">
        <v>11.6</v>
      </c>
      <c r="Q2003">
        <v>2</v>
      </c>
      <c r="R2003" s="141" t="str">
        <f>IF(AllData[[#This Row],[Nitrate (PPM)]]&gt;2, "Very high", IF(AllData[[#This Row],[Nitrate (PPM)]]&gt;1, "High", IF(AllData[[#This Row],[Nitrate (PPM)]]&gt;0.5, "Some evidence", IF(AllData[[#This Row],[Nitrate (PPM)]]&gt;=0, "No evidence"))))</f>
        <v>High</v>
      </c>
      <c r="S2003" s="4">
        <v>0.23</v>
      </c>
      <c r="T2003" s="7" t="str">
        <f>IF(AllData[[#This Row],[Phosphate (PPM)]]&gt;0.5, "Very high", IF(AllData[[#This Row],[Phosphate (PPM)]]&gt;0.1, "High", IF(AllData[[#This Row],[Phosphate (PPM)]]&gt;0.05, "Some evidence", IF(AllData[[#This Row],[Phosphate (PPM)]]&lt;=0.05, "No Evidence", ""))))</f>
        <v>High</v>
      </c>
      <c r="U2003">
        <v>0.5</v>
      </c>
      <c r="V2003" t="s">
        <v>590</v>
      </c>
    </row>
    <row r="2004" spans="1:22" x14ac:dyDescent="0.35">
      <c r="A2004" t="s">
        <v>587</v>
      </c>
      <c r="B2004" s="143">
        <v>45315</v>
      </c>
      <c r="C2004" s="2" t="str" cm="1">
        <f t="array" ref="C20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4">
        <v>2023</v>
      </c>
      <c r="E2004" s="1">
        <v>0.64583333333333337</v>
      </c>
      <c r="F2004" t="str">
        <f>IF(AND(AllData[[#This Row],[Time]]&lt;0.5, AllData[[#This Row],[Time]]&gt;0.17)=TRUE, "Morning", IF(AND(AllData[[#This Row],[Time]]&lt;0.75, AllData[[#This Row],[Time]]&gt;=0.5)=TRUE, "Afternoon", IF(AND(AllData[[#This Row],[Time]]&lt;1, AllData[[#This Row],[Time]]&gt;=0.75)=TRUE, "Evening", "Night")))</f>
        <v>Afternoon</v>
      </c>
      <c r="G2004" t="str">
        <f>_xlfn.XLOOKUP(AllData[[#This Row],[Location Name]], Locations[Location Name],Locations[Group As])</f>
        <v>Stour Newbold Mill</v>
      </c>
      <c r="H2004" t="e" vm="1">
        <f>_xlfn.XLOOKUP(AllData[[#This Row],[Site Name]],LocationsKey[Site Name],LocationsKey[District])</f>
        <v>#VALUE!</v>
      </c>
      <c r="I2004" t="e" vm="27">
        <f>_xlfn.XLOOKUP(AllData[[#This Row],[Site Name]],LocationsKey[Site Name],LocationsKey[Town])</f>
        <v>#VALUE!</v>
      </c>
      <c r="J2004" t="str">
        <f>_xlfn.XLOOKUP(AllData[[#This Row],[Site Name]],LocationsKey[Site Name], LocationsKey[Waterway])</f>
        <v>Stour</v>
      </c>
      <c r="K2004" t="s">
        <v>141</v>
      </c>
      <c r="L2004">
        <v>52.112775999999997</v>
      </c>
      <c r="M2004" s="108">
        <v>-1.6335150000000001</v>
      </c>
      <c r="N2004" t="s">
        <v>31</v>
      </c>
      <c r="O2004">
        <v>621</v>
      </c>
      <c r="P2004">
        <v>9.8000000000000007</v>
      </c>
      <c r="Q2004">
        <v>5</v>
      </c>
      <c r="R2004" s="141" t="str">
        <f>IF(AllData[[#This Row],[Nitrate (PPM)]]&gt;2, "Very high", IF(AllData[[#This Row],[Nitrate (PPM)]]&gt;1, "High", IF(AllData[[#This Row],[Nitrate (PPM)]]&gt;0.5, "Some evidence", IF(AllData[[#This Row],[Nitrate (PPM)]]&gt;=0, "No evidence"))))</f>
        <v>Very high</v>
      </c>
      <c r="S2004" s="4">
        <v>0.38</v>
      </c>
      <c r="T2004" s="7" t="str">
        <f>IF(AllData[[#This Row],[Phosphate (PPM)]]&gt;0.5, "Very high", IF(AllData[[#This Row],[Phosphate (PPM)]]&gt;0.1, "High", IF(AllData[[#This Row],[Phosphate (PPM)]]&gt;0.05, "Some evidence", IF(AllData[[#This Row],[Phosphate (PPM)]]&lt;=0.05, "No Evidence", ""))))</f>
        <v>High</v>
      </c>
      <c r="U2004">
        <v>2.5</v>
      </c>
      <c r="V2004" t="s">
        <v>588</v>
      </c>
    </row>
    <row r="2005" spans="1:22" x14ac:dyDescent="0.35">
      <c r="A2005" t="s">
        <v>585</v>
      </c>
      <c r="B2005" s="143">
        <v>45313</v>
      </c>
      <c r="C2005" s="2" t="str" cm="1">
        <f t="array" ref="C20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5">
        <v>2023</v>
      </c>
      <c r="E2005" s="1">
        <v>0.50069444444444444</v>
      </c>
      <c r="F2005" t="str">
        <f>IF(AND(AllData[[#This Row],[Time]]&lt;0.5, AllData[[#This Row],[Time]]&gt;0.17)=TRUE, "Morning", IF(AND(AllData[[#This Row],[Time]]&lt;0.75, AllData[[#This Row],[Time]]&gt;=0.5)=TRUE, "Afternoon", IF(AND(AllData[[#This Row],[Time]]&lt;1, AllData[[#This Row],[Time]]&gt;=0.75)=TRUE, "Evening", "Night")))</f>
        <v>Afternoon</v>
      </c>
      <c r="G2005" t="str">
        <f>_xlfn.XLOOKUP(AllData[[#This Row],[Location Name]], Locations[Location Name],Locations[Group As])</f>
        <v>Pershore Leisure Centre</v>
      </c>
      <c r="H2005" t="e" vm="6">
        <f>_xlfn.XLOOKUP(AllData[[#This Row],[Site Name]],LocationsKey[Site Name],LocationsKey[District])</f>
        <v>#VALUE!</v>
      </c>
      <c r="I2005" t="e" vm="7">
        <f>_xlfn.XLOOKUP(AllData[[#This Row],[Site Name]],LocationsKey[Site Name],LocationsKey[Town])</f>
        <v>#VALUE!</v>
      </c>
      <c r="J2005" t="str">
        <f>_xlfn.XLOOKUP(AllData[[#This Row],[Site Name]],LocationsKey[Site Name], LocationsKey[Waterway])</f>
        <v>Avon</v>
      </c>
      <c r="K2005" t="s">
        <v>586</v>
      </c>
      <c r="L2005">
        <v>52.104145000000003</v>
      </c>
      <c r="M2005" s="108">
        <v>-2.0707439999999999</v>
      </c>
      <c r="O2005">
        <v>930</v>
      </c>
      <c r="P2005">
        <v>9.9</v>
      </c>
      <c r="Q2005">
        <v>10</v>
      </c>
      <c r="R2005" s="141" t="str">
        <f>IF(AllData[[#This Row],[Nitrate (PPM)]]&gt;2, "Very high", IF(AllData[[#This Row],[Nitrate (PPM)]]&gt;1, "High", IF(AllData[[#This Row],[Nitrate (PPM)]]&gt;0.5, "Some evidence", IF(AllData[[#This Row],[Nitrate (PPM)]]&gt;=0, "No evidence"))))</f>
        <v>Very high</v>
      </c>
      <c r="S2005" s="4">
        <v>0.66</v>
      </c>
      <c r="T2005" s="7" t="str">
        <f>IF(AllData[[#This Row],[Phosphate (PPM)]]&gt;0.5, "Very high", IF(AllData[[#This Row],[Phosphate (PPM)]]&gt;0.1, "High", IF(AllData[[#This Row],[Phosphate (PPM)]]&gt;0.05, "Some evidence", IF(AllData[[#This Row],[Phosphate (PPM)]]&lt;=0.05, "No Evidence", ""))))</f>
        <v>Very high</v>
      </c>
      <c r="U2005">
        <v>3.46</v>
      </c>
    </row>
    <row r="2006" spans="1:22" x14ac:dyDescent="0.35">
      <c r="A2006" t="s">
        <v>583</v>
      </c>
      <c r="B2006" s="143">
        <v>45313</v>
      </c>
      <c r="C2006" s="2" t="str" cm="1">
        <f t="array" ref="C20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6">
        <v>2023</v>
      </c>
      <c r="E2006" s="1">
        <v>0.49236111111111114</v>
      </c>
      <c r="F2006" t="str">
        <f>IF(AND(AllData[[#This Row],[Time]]&lt;0.5, AllData[[#This Row],[Time]]&gt;0.17)=TRUE, "Morning", IF(AND(AllData[[#This Row],[Time]]&lt;0.75, AllData[[#This Row],[Time]]&gt;=0.5)=TRUE, "Afternoon", IF(AND(AllData[[#This Row],[Time]]&lt;1, AllData[[#This Row],[Time]]&gt;=0.75)=TRUE, "Evening", "Night")))</f>
        <v>Morning</v>
      </c>
      <c r="G2006" t="str">
        <f>_xlfn.XLOOKUP(AllData[[#This Row],[Location Name]], Locations[Location Name],Locations[Group As])</f>
        <v>Pershore Bridges</v>
      </c>
      <c r="H2006" t="e" vm="6">
        <f>_xlfn.XLOOKUP(AllData[[#This Row],[Site Name]],LocationsKey[Site Name],LocationsKey[District])</f>
        <v>#VALUE!</v>
      </c>
      <c r="I2006" t="e" vm="7">
        <f>_xlfn.XLOOKUP(AllData[[#This Row],[Site Name]],LocationsKey[Site Name],LocationsKey[Town])</f>
        <v>#VALUE!</v>
      </c>
      <c r="J2006" t="str">
        <f>_xlfn.XLOOKUP(AllData[[#This Row],[Site Name]],LocationsKey[Site Name], LocationsKey[Waterway])</f>
        <v>Avon</v>
      </c>
      <c r="K2006" t="s">
        <v>584</v>
      </c>
      <c r="L2006">
        <v>52.104452999999999</v>
      </c>
      <c r="M2006" s="108">
        <v>-2.071342</v>
      </c>
      <c r="O2006">
        <v>925</v>
      </c>
      <c r="P2006">
        <v>10.9</v>
      </c>
      <c r="Q2006">
        <v>10</v>
      </c>
      <c r="R2006" s="141" t="str">
        <f>IF(AllData[[#This Row],[Nitrate (PPM)]]&gt;2, "Very high", IF(AllData[[#This Row],[Nitrate (PPM)]]&gt;1, "High", IF(AllData[[#This Row],[Nitrate (PPM)]]&gt;0.5, "Some evidence", IF(AllData[[#This Row],[Nitrate (PPM)]]&gt;=0, "No evidence"))))</f>
        <v>Very high</v>
      </c>
      <c r="S2006" s="4">
        <v>0.73</v>
      </c>
      <c r="T2006" s="7" t="str">
        <f>IF(AllData[[#This Row],[Phosphate (PPM)]]&gt;0.5, "Very high", IF(AllData[[#This Row],[Phosphate (PPM)]]&gt;0.1, "High", IF(AllData[[#This Row],[Phosphate (PPM)]]&gt;0.05, "Some evidence", IF(AllData[[#This Row],[Phosphate (PPM)]]&lt;=0.05, "No Evidence", ""))))</f>
        <v>Very high</v>
      </c>
      <c r="U2006">
        <v>3.46</v>
      </c>
    </row>
    <row r="2007" spans="1:22" x14ac:dyDescent="0.35">
      <c r="A2007" t="s">
        <v>577</v>
      </c>
      <c r="B2007" s="143">
        <v>45313</v>
      </c>
      <c r="C2007" s="2" t="str" cm="1">
        <f t="array" ref="C20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7">
        <v>2023</v>
      </c>
      <c r="E2007" s="1">
        <v>0.38194444444444442</v>
      </c>
      <c r="F2007" t="str">
        <f>IF(AND(AllData[[#This Row],[Time]]&lt;0.5, AllData[[#This Row],[Time]]&gt;0.17)=TRUE, "Morning", IF(AND(AllData[[#This Row],[Time]]&lt;0.75, AllData[[#This Row],[Time]]&gt;=0.5)=TRUE, "Afternoon", IF(AND(AllData[[#This Row],[Time]]&lt;1, AllData[[#This Row],[Time]]&gt;=0.75)=TRUE, "Evening", "Night")))</f>
        <v>Morning</v>
      </c>
      <c r="G2007" t="str">
        <f>_xlfn.XLOOKUP(AllData[[#This Row],[Location Name]], Locations[Location Name],Locations[Group As])</f>
        <v>Alveston Weir</v>
      </c>
      <c r="H2007" t="e" vm="1">
        <f>_xlfn.XLOOKUP(AllData[[#This Row],[Site Name]],LocationsKey[Site Name],LocationsKey[District])</f>
        <v>#VALUE!</v>
      </c>
      <c r="I2007" t="e" vm="2">
        <f>_xlfn.XLOOKUP(AllData[[#This Row],[Site Name]],LocationsKey[Site Name],LocationsKey[Town])</f>
        <v>#VALUE!</v>
      </c>
      <c r="J2007" t="str">
        <f>_xlfn.XLOOKUP(AllData[[#This Row],[Site Name]],LocationsKey[Site Name], LocationsKey[Waterway])</f>
        <v>Avon</v>
      </c>
      <c r="K2007" t="s">
        <v>288</v>
      </c>
      <c r="L2007">
        <v>52.212288999999998</v>
      </c>
      <c r="M2007" s="108">
        <v>-1.660452</v>
      </c>
      <c r="N2007" t="s">
        <v>31</v>
      </c>
      <c r="O2007">
        <v>716</v>
      </c>
      <c r="P2007">
        <v>9.8000000000000007</v>
      </c>
      <c r="Q2007">
        <v>5</v>
      </c>
      <c r="R2007" s="141" t="str">
        <f>IF(AllData[[#This Row],[Nitrate (PPM)]]&gt;2, "Very high", IF(AllData[[#This Row],[Nitrate (PPM)]]&gt;1, "High", IF(AllData[[#This Row],[Nitrate (PPM)]]&gt;0.5, "Some evidence", IF(AllData[[#This Row],[Nitrate (PPM)]]&gt;=0, "No evidence"))))</f>
        <v>Very high</v>
      </c>
      <c r="S2007" s="4">
        <v>0.59</v>
      </c>
      <c r="T2007" s="7" t="str">
        <f>IF(AllData[[#This Row],[Phosphate (PPM)]]&gt;0.5, "Very high", IF(AllData[[#This Row],[Phosphate (PPM)]]&gt;0.1, "High", IF(AllData[[#This Row],[Phosphate (PPM)]]&gt;0.05, "Some evidence", IF(AllData[[#This Row],[Phosphate (PPM)]]&lt;=0.05, "No Evidence", ""))))</f>
        <v>Very high</v>
      </c>
      <c r="U2007">
        <v>0</v>
      </c>
    </row>
    <row r="2008" spans="1:22" x14ac:dyDescent="0.35">
      <c r="A2008" t="s">
        <v>578</v>
      </c>
      <c r="B2008" s="143">
        <v>45313</v>
      </c>
      <c r="C2008" s="2" t="str" cm="1">
        <f t="array" ref="C20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8">
        <v>2023</v>
      </c>
      <c r="E2008" s="1">
        <v>0.3923611111111111</v>
      </c>
      <c r="F2008" t="str">
        <f>IF(AND(AllData[[#This Row],[Time]]&lt;0.5, AllData[[#This Row],[Time]]&gt;0.17)=TRUE, "Morning", IF(AND(AllData[[#This Row],[Time]]&lt;0.75, AllData[[#This Row],[Time]]&gt;=0.5)=TRUE, "Afternoon", IF(AND(AllData[[#This Row],[Time]]&lt;1, AllData[[#This Row],[Time]]&gt;=0.75)=TRUE, "Evening", "Night")))</f>
        <v>Morning</v>
      </c>
      <c r="G2008" t="str">
        <f>_xlfn.XLOOKUP(AllData[[#This Row],[Location Name]], Locations[Location Name],Locations[Group As])</f>
        <v>Swiffen Bank</v>
      </c>
      <c r="H2008" t="e" vm="1">
        <f>_xlfn.XLOOKUP(AllData[[#This Row],[Site Name]],LocationsKey[Site Name],LocationsKey[District])</f>
        <v>#VALUE!</v>
      </c>
      <c r="I2008" t="e" vm="2">
        <f>_xlfn.XLOOKUP(AllData[[#This Row],[Site Name]],LocationsKey[Site Name],LocationsKey[Town])</f>
        <v>#VALUE!</v>
      </c>
      <c r="J2008" t="str">
        <f>_xlfn.XLOOKUP(AllData[[#This Row],[Site Name]],LocationsKey[Site Name], LocationsKey[Waterway])</f>
        <v>Avon</v>
      </c>
      <c r="K2008" t="s">
        <v>286</v>
      </c>
      <c r="L2008">
        <v>52.206496000000001</v>
      </c>
      <c r="M2008" s="108">
        <v>-1.65418</v>
      </c>
      <c r="N2008" t="s">
        <v>31</v>
      </c>
      <c r="O2008">
        <v>701</v>
      </c>
      <c r="P2008">
        <v>8</v>
      </c>
      <c r="Q2008">
        <v>5</v>
      </c>
      <c r="R2008" s="141" t="str">
        <f>IF(AllData[[#This Row],[Nitrate (PPM)]]&gt;2, "Very high", IF(AllData[[#This Row],[Nitrate (PPM)]]&gt;1, "High", IF(AllData[[#This Row],[Nitrate (PPM)]]&gt;0.5, "Some evidence", IF(AllData[[#This Row],[Nitrate (PPM)]]&gt;=0, "No evidence"))))</f>
        <v>Very high</v>
      </c>
      <c r="S2008" s="4">
        <v>0.5</v>
      </c>
      <c r="T2008" s="7" t="str">
        <f>IF(AllData[[#This Row],[Phosphate (PPM)]]&gt;0.5, "Very high", IF(AllData[[#This Row],[Phosphate (PPM)]]&gt;0.1, "High", IF(AllData[[#This Row],[Phosphate (PPM)]]&gt;0.05, "Some evidence", IF(AllData[[#This Row],[Phosphate (PPM)]]&lt;=0.05, "No Evidence", ""))))</f>
        <v>High</v>
      </c>
      <c r="U2008">
        <v>0</v>
      </c>
    </row>
    <row r="2009" spans="1:22" x14ac:dyDescent="0.35">
      <c r="A2009" t="s">
        <v>581</v>
      </c>
      <c r="B2009" s="143">
        <v>45313</v>
      </c>
      <c r="C2009" s="2" t="str" cm="1">
        <f t="array" ref="C20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09">
        <v>2023</v>
      </c>
      <c r="E2009" s="1">
        <v>0.41805555555555557</v>
      </c>
      <c r="F2009" t="str">
        <f>IF(AND(AllData[[#This Row],[Time]]&lt;0.5, AllData[[#This Row],[Time]]&gt;0.17)=TRUE, "Morning", IF(AND(AllData[[#This Row],[Time]]&lt;0.75, AllData[[#This Row],[Time]]&gt;=0.5)=TRUE, "Afternoon", IF(AND(AllData[[#This Row],[Time]]&lt;1, AllData[[#This Row],[Time]]&gt;=0.75)=TRUE, "Evening", "Night")))</f>
        <v>Morning</v>
      </c>
      <c r="G2009" t="str">
        <f>_xlfn.XLOOKUP(AllData[[#This Row],[Location Name]], Locations[Location Name],Locations[Group As])</f>
        <v>Stour Stretton-on-Fosse Sewage Works</v>
      </c>
      <c r="H2009" t="e" vm="1">
        <f>_xlfn.XLOOKUP(AllData[[#This Row],[Site Name]],LocationsKey[Site Name],LocationsKey[District])</f>
        <v>#VALUE!</v>
      </c>
      <c r="I2009" t="e" vm="30">
        <f>_xlfn.XLOOKUP(AllData[[#This Row],[Site Name]],LocationsKey[Site Name],LocationsKey[Town])</f>
        <v>#VALUE!</v>
      </c>
      <c r="J2009" t="str">
        <f>_xlfn.XLOOKUP(AllData[[#This Row],[Site Name]],LocationsKey[Site Name], LocationsKey[Waterway])</f>
        <v>Stour</v>
      </c>
      <c r="K2009" t="s">
        <v>337</v>
      </c>
      <c r="L2009">
        <v>52.045608999999999</v>
      </c>
      <c r="M2009" s="108">
        <v>-1.6719980000000001</v>
      </c>
      <c r="N2009" t="s">
        <v>31</v>
      </c>
      <c r="O2009">
        <v>369</v>
      </c>
      <c r="P2009">
        <v>6.5</v>
      </c>
      <c r="Q2009">
        <v>3.5</v>
      </c>
      <c r="R2009" s="141" t="str">
        <f>IF(AllData[[#This Row],[Nitrate (PPM)]]&gt;2, "Very high", IF(AllData[[#This Row],[Nitrate (PPM)]]&gt;1, "High", IF(AllData[[#This Row],[Nitrate (PPM)]]&gt;0.5, "Some evidence", IF(AllData[[#This Row],[Nitrate (PPM)]]&gt;=0, "No evidence"))))</f>
        <v>Very high</v>
      </c>
      <c r="S2009" s="4">
        <v>0.71</v>
      </c>
      <c r="T2009" s="7" t="str">
        <f>IF(AllData[[#This Row],[Phosphate (PPM)]]&gt;0.5, "Very high", IF(AllData[[#This Row],[Phosphate (PPM)]]&gt;0.1, "High", IF(AllData[[#This Row],[Phosphate (PPM)]]&gt;0.05, "Some evidence", IF(AllData[[#This Row],[Phosphate (PPM)]]&lt;=0.05, "No Evidence", ""))))</f>
        <v>Very high</v>
      </c>
      <c r="U2009">
        <v>0.45</v>
      </c>
      <c r="V2009" t="s">
        <v>582</v>
      </c>
    </row>
    <row r="2010" spans="1:22" x14ac:dyDescent="0.35">
      <c r="A2010" t="s">
        <v>579</v>
      </c>
      <c r="B2010" s="143">
        <v>45313</v>
      </c>
      <c r="C2010" s="2" t="str" cm="1">
        <f t="array" ref="C20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0">
        <v>2023</v>
      </c>
      <c r="E2010" s="1">
        <v>0.40347222222222223</v>
      </c>
      <c r="F2010" t="str">
        <f>IF(AND(AllData[[#This Row],[Time]]&lt;0.5, AllData[[#This Row],[Time]]&gt;0.17)=TRUE, "Morning", IF(AND(AllData[[#This Row],[Time]]&lt;0.75, AllData[[#This Row],[Time]]&gt;=0.5)=TRUE, "Afternoon", IF(AND(AllData[[#This Row],[Time]]&lt;1, AllData[[#This Row],[Time]]&gt;=0.75)=TRUE, "Evening", "Night")))</f>
        <v>Morning</v>
      </c>
      <c r="G2010" t="str">
        <f>_xlfn.XLOOKUP(AllData[[#This Row],[Location Name]], Locations[Location Name],Locations[Group As])</f>
        <v>Stour Stretton-on-Fosse Village</v>
      </c>
      <c r="H2010" t="e" vm="1">
        <f>_xlfn.XLOOKUP(AllData[[#This Row],[Site Name]],LocationsKey[Site Name],LocationsKey[District])</f>
        <v>#VALUE!</v>
      </c>
      <c r="I2010" t="e" vm="30">
        <f>_xlfn.XLOOKUP(AllData[[#This Row],[Site Name]],LocationsKey[Site Name],LocationsKey[Town])</f>
        <v>#VALUE!</v>
      </c>
      <c r="J2010" t="str">
        <f>_xlfn.XLOOKUP(AllData[[#This Row],[Site Name]],LocationsKey[Site Name], LocationsKey[Waterway])</f>
        <v>Stour</v>
      </c>
      <c r="K2010" t="s">
        <v>548</v>
      </c>
      <c r="L2010">
        <v>52.046604000000002</v>
      </c>
      <c r="M2010" s="108">
        <v>-1.6733880000000001</v>
      </c>
      <c r="N2010" t="s">
        <v>68</v>
      </c>
      <c r="O2010">
        <v>376</v>
      </c>
      <c r="P2010">
        <v>7.1</v>
      </c>
      <c r="Q2010">
        <v>2</v>
      </c>
      <c r="R2010" s="141" t="str">
        <f>IF(AllData[[#This Row],[Nitrate (PPM)]]&gt;2, "Very high", IF(AllData[[#This Row],[Nitrate (PPM)]]&gt;1, "High", IF(AllData[[#This Row],[Nitrate (PPM)]]&gt;0.5, "Some evidence", IF(AllData[[#This Row],[Nitrate (PPM)]]&gt;=0, "No evidence"))))</f>
        <v>High</v>
      </c>
      <c r="S2010" s="4">
        <v>0.49</v>
      </c>
      <c r="T2010" s="7" t="str">
        <f>IF(AllData[[#This Row],[Phosphate (PPM)]]&gt;0.5, "Very high", IF(AllData[[#This Row],[Phosphate (PPM)]]&gt;0.1, "High", IF(AllData[[#This Row],[Phosphate (PPM)]]&gt;0.05, "Some evidence", IF(AllData[[#This Row],[Phosphate (PPM)]]&lt;=0.05, "No Evidence", ""))))</f>
        <v>High</v>
      </c>
      <c r="U2010">
        <v>0.35</v>
      </c>
      <c r="V2010" t="s">
        <v>580</v>
      </c>
    </row>
    <row r="2011" spans="1:22" x14ac:dyDescent="0.35">
      <c r="A2011" t="s">
        <v>574</v>
      </c>
      <c r="B2011" s="143">
        <v>45312</v>
      </c>
      <c r="C2011" s="2" t="str" cm="1">
        <f t="array" ref="C20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1">
        <v>2023</v>
      </c>
      <c r="E2011" s="1">
        <v>0.625</v>
      </c>
      <c r="F2011" t="str">
        <f>IF(AND(AllData[[#This Row],[Time]]&lt;0.5, AllData[[#This Row],[Time]]&gt;0.17)=TRUE, "Morning", IF(AND(AllData[[#This Row],[Time]]&lt;0.75, AllData[[#This Row],[Time]]&gt;=0.5)=TRUE, "Afternoon", IF(AND(AllData[[#This Row],[Time]]&lt;1, AllData[[#This Row],[Time]]&gt;=0.75)=TRUE, "Evening", "Night")))</f>
        <v>Afternoon</v>
      </c>
      <c r="G2011" t="str">
        <f>_xlfn.XLOOKUP(AllData[[#This Row],[Location Name]], Locations[Location Name],Locations[Group As])</f>
        <v>Sherbourne Brook 1</v>
      </c>
      <c r="H2011" t="e" vm="1">
        <f>_xlfn.XLOOKUP(AllData[[#This Row],[Site Name]],LocationsKey[Site Name],LocationsKey[District])</f>
        <v>#VALUE!</v>
      </c>
      <c r="I2011" t="e" vm="23">
        <f>_xlfn.XLOOKUP(AllData[[#This Row],[Site Name]],LocationsKey[Site Name],LocationsKey[Town])</f>
        <v>#VALUE!</v>
      </c>
      <c r="J2011" t="str">
        <f>_xlfn.XLOOKUP(AllData[[#This Row],[Site Name]],LocationsKey[Site Name], LocationsKey[Waterway])</f>
        <v>Sherbourne Brook</v>
      </c>
      <c r="K2011" t="s">
        <v>541</v>
      </c>
      <c r="L2011">
        <v>52.252499999999998</v>
      </c>
      <c r="M2011" s="108">
        <v>-1.6685000000000001</v>
      </c>
      <c r="N2011" t="s">
        <v>25</v>
      </c>
      <c r="O2011">
        <v>1020</v>
      </c>
      <c r="P2011">
        <v>8.8000000000000007</v>
      </c>
      <c r="Q2011">
        <v>10</v>
      </c>
      <c r="R2011" s="141" t="str">
        <f>IF(AllData[[#This Row],[Nitrate (PPM)]]&gt;2, "Very high", IF(AllData[[#This Row],[Nitrate (PPM)]]&gt;1, "High", IF(AllData[[#This Row],[Nitrate (PPM)]]&gt;0.5, "Some evidence", IF(AllData[[#This Row],[Nitrate (PPM)]]&gt;=0, "No evidence"))))</f>
        <v>Very high</v>
      </c>
      <c r="S2011" s="4">
        <v>0.4</v>
      </c>
      <c r="T2011" s="7" t="str">
        <f>IF(AllData[[#This Row],[Phosphate (PPM)]]&gt;0.5, "Very high", IF(AllData[[#This Row],[Phosphate (PPM)]]&gt;0.1, "High", IF(AllData[[#This Row],[Phosphate (PPM)]]&gt;0.05, "Some evidence", IF(AllData[[#This Row],[Phosphate (PPM)]]&lt;=0.05, "No Evidence", ""))))</f>
        <v>High</v>
      </c>
      <c r="U2011">
        <v>0.5</v>
      </c>
    </row>
    <row r="2012" spans="1:22" x14ac:dyDescent="0.35">
      <c r="A2012" t="s">
        <v>570</v>
      </c>
      <c r="B2012" s="143">
        <v>45312</v>
      </c>
      <c r="C2012" s="2" t="str" cm="1">
        <f t="array" ref="C20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2">
        <v>2023</v>
      </c>
      <c r="E2012" s="1">
        <v>0.54166666666666663</v>
      </c>
      <c r="F2012" t="str">
        <f>IF(AND(AllData[[#This Row],[Time]]&lt;0.5, AllData[[#This Row],[Time]]&gt;0.17)=TRUE, "Morning", IF(AND(AllData[[#This Row],[Time]]&lt;0.75, AllData[[#This Row],[Time]]&gt;=0.5)=TRUE, "Afternoon", IF(AND(AllData[[#This Row],[Time]]&lt;1, AllData[[#This Row],[Time]]&gt;=0.75)=TRUE, "Evening", "Night")))</f>
        <v>Afternoon</v>
      </c>
      <c r="G2012" t="str">
        <f>_xlfn.XLOOKUP(AllData[[#This Row],[Location Name]], Locations[Location Name],Locations[Group As])</f>
        <v>Hampton Lucy</v>
      </c>
      <c r="H2012" t="e" vm="1">
        <f>_xlfn.XLOOKUP(AllData[[#This Row],[Site Name]],LocationsKey[Site Name],LocationsKey[District])</f>
        <v>#VALUE!</v>
      </c>
      <c r="I2012" t="e" vm="33">
        <f>_xlfn.XLOOKUP(AllData[[#This Row],[Site Name]],LocationsKey[Site Name],LocationsKey[Town])</f>
        <v>#VALUE!</v>
      </c>
      <c r="J2012" t="str">
        <f>_xlfn.XLOOKUP(AllData[[#This Row],[Site Name]],LocationsKey[Site Name], LocationsKey[Waterway])</f>
        <v>Avon</v>
      </c>
      <c r="K2012" t="s">
        <v>39</v>
      </c>
      <c r="L2012">
        <v>52.211680000000001</v>
      </c>
      <c r="M2012" s="108">
        <v>-1.6244400000000001</v>
      </c>
      <c r="N2012" t="s">
        <v>25</v>
      </c>
      <c r="O2012">
        <v>876</v>
      </c>
      <c r="P2012">
        <v>7.6</v>
      </c>
      <c r="Q2012">
        <v>10</v>
      </c>
      <c r="R2012" s="141" t="str">
        <f>IF(AllData[[#This Row],[Nitrate (PPM)]]&gt;2, "Very high", IF(AllData[[#This Row],[Nitrate (PPM)]]&gt;1, "High", IF(AllData[[#This Row],[Nitrate (PPM)]]&gt;0.5, "Some evidence", IF(AllData[[#This Row],[Nitrate (PPM)]]&gt;=0, "No evidence"))))</f>
        <v>Very high</v>
      </c>
      <c r="S2012" s="4">
        <v>0.61</v>
      </c>
      <c r="T2012" s="7" t="str">
        <f>IF(AllData[[#This Row],[Phosphate (PPM)]]&gt;0.5, "Very high", IF(AllData[[#This Row],[Phosphate (PPM)]]&gt;0.1, "High", IF(AllData[[#This Row],[Phosphate (PPM)]]&gt;0.05, "Some evidence", IF(AllData[[#This Row],[Phosphate (PPM)]]&lt;=0.05, "No Evidence", ""))))</f>
        <v>Very high</v>
      </c>
      <c r="U2012">
        <v>0</v>
      </c>
    </row>
    <row r="2013" spans="1:22" x14ac:dyDescent="0.35">
      <c r="A2013" t="s">
        <v>571</v>
      </c>
      <c r="B2013" s="143">
        <v>45312</v>
      </c>
      <c r="C2013" s="2" t="str" cm="1">
        <f t="array" ref="C20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3">
        <v>2023</v>
      </c>
      <c r="E2013" s="1">
        <v>0.61736111111111114</v>
      </c>
      <c r="F2013" t="str">
        <f>IF(AND(AllData[[#This Row],[Time]]&lt;0.5, AllData[[#This Row],[Time]]&gt;0.17)=TRUE, "Morning", IF(AND(AllData[[#This Row],[Time]]&lt;0.75, AllData[[#This Row],[Time]]&gt;=0.5)=TRUE, "Afternoon", IF(AND(AllData[[#This Row],[Time]]&lt;1, AllData[[#This Row],[Time]]&gt;=0.75)=TRUE, "Evening", "Night")))</f>
        <v>Afternoon</v>
      </c>
      <c r="G2013" t="str">
        <f>_xlfn.XLOOKUP(AllData[[#This Row],[Location Name]], Locations[Location Name],Locations[Group As])</f>
        <v>Black Bear</v>
      </c>
      <c r="H2013" t="e" vm="4">
        <f>_xlfn.XLOOKUP(AllData[[#This Row],[Site Name]],LocationsKey[Site Name],LocationsKey[District])</f>
        <v>#VALUE!</v>
      </c>
      <c r="I2013" t="e" vm="4">
        <f>_xlfn.XLOOKUP(AllData[[#This Row],[Site Name]],LocationsKey[Site Name],LocationsKey[Town])</f>
        <v>#VALUE!</v>
      </c>
      <c r="J2013" t="str">
        <f>_xlfn.XLOOKUP(AllData[[#This Row],[Site Name]],LocationsKey[Site Name], LocationsKey[Waterway])</f>
        <v>Avon</v>
      </c>
      <c r="K2013" t="s">
        <v>572</v>
      </c>
      <c r="L2013">
        <v>51.997546999999997</v>
      </c>
      <c r="M2013" s="108">
        <v>-2.156412</v>
      </c>
      <c r="N2013" t="s">
        <v>25</v>
      </c>
      <c r="O2013">
        <v>841</v>
      </c>
      <c r="P2013">
        <v>6.8</v>
      </c>
      <c r="Q2013">
        <v>8</v>
      </c>
      <c r="R2013" s="141" t="str">
        <f>IF(AllData[[#This Row],[Nitrate (PPM)]]&gt;2, "Very high", IF(AllData[[#This Row],[Nitrate (PPM)]]&gt;1, "High", IF(AllData[[#This Row],[Nitrate (PPM)]]&gt;0.5, "Some evidence", IF(AllData[[#This Row],[Nitrate (PPM)]]&gt;=0, "No evidence"))))</f>
        <v>Very high</v>
      </c>
      <c r="S2013" s="4">
        <v>1.01</v>
      </c>
      <c r="T2013" s="7" t="str">
        <f>IF(AllData[[#This Row],[Phosphate (PPM)]]&gt;0.5, "Very high", IF(AllData[[#This Row],[Phosphate (PPM)]]&gt;0.1, "High", IF(AllData[[#This Row],[Phosphate (PPM)]]&gt;0.05, "Some evidence", IF(AllData[[#This Row],[Phosphate (PPM)]]&lt;=0.05, "No Evidence", ""))))</f>
        <v>Very high</v>
      </c>
      <c r="U2013">
        <v>0</v>
      </c>
    </row>
    <row r="2014" spans="1:22" x14ac:dyDescent="0.35">
      <c r="A2014" t="s">
        <v>573</v>
      </c>
      <c r="B2014" s="143">
        <v>45312</v>
      </c>
      <c r="C2014" s="2" t="str" cm="1">
        <f t="array" ref="C20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4">
        <v>2023</v>
      </c>
      <c r="E2014" s="1">
        <v>0.625</v>
      </c>
      <c r="F2014" t="str">
        <f>IF(AND(AllData[[#This Row],[Time]]&lt;0.5, AllData[[#This Row],[Time]]&gt;0.17)=TRUE, "Morning", IF(AND(AllData[[#This Row],[Time]]&lt;0.75, AllData[[#This Row],[Time]]&gt;=0.5)=TRUE, "Afternoon", IF(AND(AllData[[#This Row],[Time]]&lt;1, AllData[[#This Row],[Time]]&gt;=0.75)=TRUE, "Evening", "Night")))</f>
        <v>Afternoon</v>
      </c>
      <c r="G2014" t="str">
        <f>_xlfn.XLOOKUP(AllData[[#This Row],[Location Name]], Locations[Location Name],Locations[Group As])</f>
        <v>Bell Brook 1</v>
      </c>
      <c r="H2014" t="e" vm="1">
        <f>_xlfn.XLOOKUP(AllData[[#This Row],[Site Name]],LocationsKey[Site Name],LocationsKey[District])</f>
        <v>#VALUE!</v>
      </c>
      <c r="I2014" t="e" vm="19">
        <f>_xlfn.XLOOKUP(AllData[[#This Row],[Site Name]],LocationsKey[Site Name],LocationsKey[Town])</f>
        <v>#VALUE!</v>
      </c>
      <c r="J2014" t="str">
        <f>_xlfn.XLOOKUP(AllData[[#This Row],[Site Name]],LocationsKey[Site Name], LocationsKey[Waterway])</f>
        <v>Bell Brook</v>
      </c>
      <c r="K2014" t="s">
        <v>538</v>
      </c>
      <c r="L2014">
        <v>52.244900000000001</v>
      </c>
      <c r="M2014" s="108">
        <v>-1.6617</v>
      </c>
      <c r="N2014" t="s">
        <v>25</v>
      </c>
      <c r="O2014">
        <v>736</v>
      </c>
      <c r="P2014">
        <v>8.6999999999999993</v>
      </c>
      <c r="Q2014">
        <v>8</v>
      </c>
      <c r="R2014" s="141" t="str">
        <f>IF(AllData[[#This Row],[Nitrate (PPM)]]&gt;2, "Very high", IF(AllData[[#This Row],[Nitrate (PPM)]]&gt;1, "High", IF(AllData[[#This Row],[Nitrate (PPM)]]&gt;0.5, "Some evidence", IF(AllData[[#This Row],[Nitrate (PPM)]]&gt;=0, "No evidence"))))</f>
        <v>Very high</v>
      </c>
      <c r="S2014" s="4">
        <v>0.45</v>
      </c>
      <c r="T2014" s="7" t="str">
        <f>IF(AllData[[#This Row],[Phosphate (PPM)]]&gt;0.5, "Very high", IF(AllData[[#This Row],[Phosphate (PPM)]]&gt;0.1, "High", IF(AllData[[#This Row],[Phosphate (PPM)]]&gt;0.05, "Some evidence", IF(AllData[[#This Row],[Phosphate (PPM)]]&lt;=0.05, "No Evidence", ""))))</f>
        <v>High</v>
      </c>
      <c r="U2014">
        <v>0.5</v>
      </c>
    </row>
    <row r="2015" spans="1:22" x14ac:dyDescent="0.35">
      <c r="A2015" t="s">
        <v>569</v>
      </c>
      <c r="B2015" s="143">
        <v>45312</v>
      </c>
      <c r="C2015" s="2" t="str" cm="1">
        <f t="array" ref="C20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5">
        <v>2023</v>
      </c>
      <c r="E2015" s="1">
        <v>0.51388888888888884</v>
      </c>
      <c r="F2015" t="str">
        <f>IF(AND(AllData[[#This Row],[Time]]&lt;0.5, AllData[[#This Row],[Time]]&gt;0.17)=TRUE, "Morning", IF(AND(AllData[[#This Row],[Time]]&lt;0.75, AllData[[#This Row],[Time]]&gt;=0.5)=TRUE, "Afternoon", IF(AND(AllData[[#This Row],[Time]]&lt;1, AllData[[#This Row],[Time]]&gt;=0.75)=TRUE, "Evening", "Night")))</f>
        <v>Afternoon</v>
      </c>
      <c r="G2015" t="str">
        <f>_xlfn.XLOOKUP(AllData[[#This Row],[Location Name]], Locations[Location Name],Locations[Group As])</f>
        <v>Hampton Wood</v>
      </c>
      <c r="H2015" t="e" vm="1">
        <f>_xlfn.XLOOKUP(AllData[[#This Row],[Site Name]],LocationsKey[Site Name],LocationsKey[District])</f>
        <v>#VALUE!</v>
      </c>
      <c r="I2015" t="e" vm="34">
        <f>_xlfn.XLOOKUP(AllData[[#This Row],[Site Name]],LocationsKey[Site Name],LocationsKey[Town])</f>
        <v>#VALUE!</v>
      </c>
      <c r="J2015" t="str">
        <f>_xlfn.XLOOKUP(AllData[[#This Row],[Site Name]],LocationsKey[Site Name], LocationsKey[Waterway])</f>
        <v>Avon</v>
      </c>
      <c r="K2015" t="s">
        <v>36</v>
      </c>
      <c r="L2015">
        <v>52.238149999999997</v>
      </c>
      <c r="M2015" s="108">
        <v>-1.6245799999999999</v>
      </c>
      <c r="N2015" t="s">
        <v>31</v>
      </c>
      <c r="O2015">
        <v>852</v>
      </c>
      <c r="P2015">
        <v>8.1</v>
      </c>
      <c r="Q2015">
        <v>7</v>
      </c>
      <c r="R2015" s="141" t="str">
        <f>IF(AllData[[#This Row],[Nitrate (PPM)]]&gt;2, "Very high", IF(AllData[[#This Row],[Nitrate (PPM)]]&gt;1, "High", IF(AllData[[#This Row],[Nitrate (PPM)]]&gt;0.5, "Some evidence", IF(AllData[[#This Row],[Nitrate (PPM)]]&gt;=0, "No evidence"))))</f>
        <v>Very high</v>
      </c>
      <c r="S2015" s="4">
        <v>0.69</v>
      </c>
      <c r="T2015" s="7" t="str">
        <f>IF(AllData[[#This Row],[Phosphate (PPM)]]&gt;0.5, "Very high", IF(AllData[[#This Row],[Phosphate (PPM)]]&gt;0.1, "High", IF(AllData[[#This Row],[Phosphate (PPM)]]&gt;0.05, "Some evidence", IF(AllData[[#This Row],[Phosphate (PPM)]]&lt;=0.05, "No Evidence", ""))))</f>
        <v>Very high</v>
      </c>
      <c r="U2015">
        <v>0</v>
      </c>
    </row>
    <row r="2016" spans="1:22" x14ac:dyDescent="0.35">
      <c r="A2016" t="s">
        <v>575</v>
      </c>
      <c r="B2016" s="143">
        <v>45312</v>
      </c>
      <c r="C2016" s="2" t="str" cm="1">
        <f t="array" ref="C20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6">
        <v>2023</v>
      </c>
      <c r="E2016" s="1">
        <v>0.6875</v>
      </c>
      <c r="F2016" t="str">
        <f>IF(AND(AllData[[#This Row],[Time]]&lt;0.5, AllData[[#This Row],[Time]]&gt;0.17)=TRUE, "Morning", IF(AND(AllData[[#This Row],[Time]]&lt;0.75, AllData[[#This Row],[Time]]&gt;=0.5)=TRUE, "Afternoon", IF(AND(AllData[[#This Row],[Time]]&lt;1, AllData[[#This Row],[Time]]&gt;=0.75)=TRUE, "Evening", "Night")))</f>
        <v>Afternoon</v>
      </c>
      <c r="G2016" t="str">
        <f>_xlfn.XLOOKUP(AllData[[#This Row],[Location Name]], Locations[Location Name],Locations[Group As])</f>
        <v>Avonbank Drive</v>
      </c>
      <c r="H2016" t="e" vm="1">
        <f>_xlfn.XLOOKUP(AllData[[#This Row],[Site Name]],LocationsKey[Site Name],LocationsKey[District])</f>
        <v>#VALUE!</v>
      </c>
      <c r="I2016" t="e" vm="12">
        <f>_xlfn.XLOOKUP(AllData[[#This Row],[Site Name]],LocationsKey[Site Name],LocationsKey[Town])</f>
        <v>#VALUE!</v>
      </c>
      <c r="J2016" t="str">
        <f>_xlfn.XLOOKUP(AllData[[#This Row],[Site Name]],LocationsKey[Site Name], LocationsKey[Waterway])</f>
        <v>Avon</v>
      </c>
      <c r="K2016" t="s">
        <v>104</v>
      </c>
      <c r="L2016">
        <v>52.177</v>
      </c>
      <c r="M2016" s="108">
        <v>-1.736</v>
      </c>
      <c r="N2016" t="s">
        <v>68</v>
      </c>
      <c r="O2016">
        <v>976</v>
      </c>
      <c r="P2016">
        <v>15.2</v>
      </c>
      <c r="Q2016">
        <v>5</v>
      </c>
      <c r="R2016" s="141" t="str">
        <f>IF(AllData[[#This Row],[Nitrate (PPM)]]&gt;2, "Very high", IF(AllData[[#This Row],[Nitrate (PPM)]]&gt;1, "High", IF(AllData[[#This Row],[Nitrate (PPM)]]&gt;0.5, "Some evidence", IF(AllData[[#This Row],[Nitrate (PPM)]]&gt;=0, "No evidence"))))</f>
        <v>Very high</v>
      </c>
      <c r="S2016" s="4">
        <v>0.49</v>
      </c>
      <c r="T2016" s="7" t="str">
        <f>IF(AllData[[#This Row],[Phosphate (PPM)]]&gt;0.5, "Very high", IF(AllData[[#This Row],[Phosphate (PPM)]]&gt;0.1, "High", IF(AllData[[#This Row],[Phosphate (PPM)]]&gt;0.05, "Some evidence", IF(AllData[[#This Row],[Phosphate (PPM)]]&lt;=0.05, "No Evidence", ""))))</f>
        <v>High</v>
      </c>
      <c r="U2016">
        <v>0.66</v>
      </c>
    </row>
    <row r="2017" spans="1:22" x14ac:dyDescent="0.35">
      <c r="A2017" t="s">
        <v>576</v>
      </c>
      <c r="B2017" s="143">
        <v>45312</v>
      </c>
      <c r="C2017" s="2" t="str" cm="1">
        <f t="array" ref="C20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7">
        <v>2023</v>
      </c>
      <c r="E2017" s="1">
        <v>0.6875</v>
      </c>
      <c r="F2017" t="str">
        <f>IF(AND(AllData[[#This Row],[Time]]&lt;0.5, AllData[[#This Row],[Time]]&gt;0.17)=TRUE, "Morning", IF(AND(AllData[[#This Row],[Time]]&lt;0.75, AllData[[#This Row],[Time]]&gt;=0.5)=TRUE, "Afternoon", IF(AND(AllData[[#This Row],[Time]]&lt;1, AllData[[#This Row],[Time]]&gt;=0.75)=TRUE, "Evening", "Night")))</f>
        <v>Afternoon</v>
      </c>
      <c r="G2017" t="str">
        <f>_xlfn.XLOOKUP(AllData[[#This Row],[Location Name]], Locations[Location Name],Locations[Group As])</f>
        <v>Pitch 16</v>
      </c>
      <c r="H2017" t="e" vm="1">
        <f>_xlfn.XLOOKUP(AllData[[#This Row],[Site Name]],LocationsKey[Site Name],LocationsKey[District])</f>
        <v>#VALUE!</v>
      </c>
      <c r="I2017" t="e" vm="12">
        <f>_xlfn.XLOOKUP(AllData[[#This Row],[Site Name]],LocationsKey[Site Name],LocationsKey[Town])</f>
        <v>#VALUE!</v>
      </c>
      <c r="J2017" t="str">
        <f>_xlfn.XLOOKUP(AllData[[#This Row],[Site Name]],LocationsKey[Site Name], LocationsKey[Waterway])</f>
        <v>Avon</v>
      </c>
      <c r="K2017" t="s">
        <v>71</v>
      </c>
      <c r="M2017" s="108"/>
      <c r="N2017" t="s">
        <v>31</v>
      </c>
      <c r="O2017">
        <v>933</v>
      </c>
      <c r="P2017">
        <v>14.6</v>
      </c>
      <c r="Q2017">
        <v>5</v>
      </c>
      <c r="R2017" s="141" t="str">
        <f>IF(AllData[[#This Row],[Nitrate (PPM)]]&gt;2, "Very high", IF(AllData[[#This Row],[Nitrate (PPM)]]&gt;1, "High", IF(AllData[[#This Row],[Nitrate (PPM)]]&gt;0.5, "Some evidence", IF(AllData[[#This Row],[Nitrate (PPM)]]&gt;=0, "No evidence"))))</f>
        <v>Very high</v>
      </c>
      <c r="S2017" s="4">
        <v>0.47</v>
      </c>
      <c r="T2017" s="7" t="str">
        <f>IF(AllData[[#This Row],[Phosphate (PPM)]]&gt;0.5, "Very high", IF(AllData[[#This Row],[Phosphate (PPM)]]&gt;0.1, "High", IF(AllData[[#This Row],[Phosphate (PPM)]]&gt;0.05, "Some evidence", IF(AllData[[#This Row],[Phosphate (PPM)]]&lt;=0.05, "No Evidence", ""))))</f>
        <v>High</v>
      </c>
      <c r="U2017">
        <v>0.66</v>
      </c>
    </row>
    <row r="2018" spans="1:22" x14ac:dyDescent="0.35">
      <c r="A2018" t="s">
        <v>568</v>
      </c>
      <c r="B2018" s="143">
        <v>45312</v>
      </c>
      <c r="C2018" s="2" t="str" cm="1">
        <f t="array" ref="C20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8">
        <v>2023</v>
      </c>
      <c r="E2018" s="1">
        <v>0.42708333333333331</v>
      </c>
      <c r="F2018" t="str">
        <f>IF(AND(AllData[[#This Row],[Time]]&lt;0.5, AllData[[#This Row],[Time]]&gt;0.17)=TRUE, "Morning", IF(AND(AllData[[#This Row],[Time]]&lt;0.75, AllData[[#This Row],[Time]]&gt;=0.5)=TRUE, "Afternoon", IF(AND(AllData[[#This Row],[Time]]&lt;1, AllData[[#This Row],[Time]]&gt;=0.75)=TRUE, "Evening", "Night")))</f>
        <v>Morning</v>
      </c>
      <c r="G2018" t="str">
        <f>_xlfn.XLOOKUP(AllData[[#This Row],[Location Name]], Locations[Location Name],Locations[Group As])</f>
        <v>Lucy's Mill Bridge</v>
      </c>
      <c r="H2018" t="e" vm="1">
        <f>_xlfn.XLOOKUP(AllData[[#This Row],[Site Name]],LocationsKey[Site Name],LocationsKey[District])</f>
        <v>#VALUE!</v>
      </c>
      <c r="I2018" t="e" vm="12">
        <f>_xlfn.XLOOKUP(AllData[[#This Row],[Site Name]],LocationsKey[Site Name],LocationsKey[Town])</f>
        <v>#VALUE!</v>
      </c>
      <c r="J2018" t="str">
        <f>_xlfn.XLOOKUP(AllData[[#This Row],[Site Name]],LocationsKey[Site Name], LocationsKey[Waterway])</f>
        <v>Avon</v>
      </c>
      <c r="K2018" t="s">
        <v>212</v>
      </c>
      <c r="L2018">
        <v>52.183698999999997</v>
      </c>
      <c r="M2018" s="108">
        <v>-1.707816</v>
      </c>
      <c r="N2018" t="s">
        <v>31</v>
      </c>
      <c r="P2018">
        <v>6</v>
      </c>
      <c r="Q2018">
        <v>5</v>
      </c>
      <c r="R2018" s="141" t="str">
        <f>IF(AllData[[#This Row],[Nitrate (PPM)]]&gt;2, "Very high", IF(AllData[[#This Row],[Nitrate (PPM)]]&gt;1, "High", IF(AllData[[#This Row],[Nitrate (PPM)]]&gt;0.5, "Some evidence", IF(AllData[[#This Row],[Nitrate (PPM)]]&gt;=0, "No evidence"))))</f>
        <v>Very high</v>
      </c>
      <c r="S2018" s="4">
        <v>0.28999999999999998</v>
      </c>
      <c r="T2018" s="7" t="str">
        <f>IF(AllData[[#This Row],[Phosphate (PPM)]]&gt;0.5, "Very high", IF(AllData[[#This Row],[Phosphate (PPM)]]&gt;0.1, "High", IF(AllData[[#This Row],[Phosphate (PPM)]]&gt;0.05, "Some evidence", IF(AllData[[#This Row],[Phosphate (PPM)]]&lt;=0.05, "No Evidence", ""))))</f>
        <v>High</v>
      </c>
      <c r="U2018">
        <v>0.7</v>
      </c>
    </row>
    <row r="2019" spans="1:22" x14ac:dyDescent="0.35">
      <c r="A2019" t="s">
        <v>565</v>
      </c>
      <c r="B2019" s="143">
        <v>45311</v>
      </c>
      <c r="C2019" s="2" t="str" cm="1">
        <f t="array" ref="C20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19">
        <v>2023</v>
      </c>
      <c r="E2019" s="1">
        <v>0.47916666666666669</v>
      </c>
      <c r="F2019" t="str">
        <f>IF(AND(AllData[[#This Row],[Time]]&lt;0.5, AllData[[#This Row],[Time]]&gt;0.17)=TRUE, "Morning", IF(AND(AllData[[#This Row],[Time]]&lt;0.75, AllData[[#This Row],[Time]]&gt;=0.5)=TRUE, "Afternoon", IF(AND(AllData[[#This Row],[Time]]&lt;1, AllData[[#This Row],[Time]]&gt;=0.75)=TRUE, "Evening", "Night")))</f>
        <v>Morning</v>
      </c>
      <c r="G2019" t="str">
        <f>_xlfn.XLOOKUP(AllData[[#This Row],[Location Name]], Locations[Location Name],Locations[Group As])</f>
        <v>Fell Mill Footbridge</v>
      </c>
      <c r="H2019" t="e" vm="1">
        <f>_xlfn.XLOOKUP(AllData[[#This Row],[Site Name]],LocationsKey[Site Name],LocationsKey[District])</f>
        <v>#VALUE!</v>
      </c>
      <c r="I2019" t="e" vm="15">
        <f>_xlfn.XLOOKUP(AllData[[#This Row],[Site Name]],LocationsKey[Site Name],LocationsKey[Town])</f>
        <v>#VALUE!</v>
      </c>
      <c r="J2019" t="str">
        <f>_xlfn.XLOOKUP(AllData[[#This Row],[Site Name]],LocationsKey[Site Name], LocationsKey[Waterway])</f>
        <v>Stour</v>
      </c>
      <c r="K2019" t="s">
        <v>500</v>
      </c>
      <c r="L2019">
        <v>52.070131000000003</v>
      </c>
      <c r="M2019" s="108">
        <v>-1.6114869999999999</v>
      </c>
      <c r="N2019" t="s">
        <v>31</v>
      </c>
      <c r="O2019">
        <v>607</v>
      </c>
      <c r="P2019">
        <v>4.5999999999999996</v>
      </c>
      <c r="Q2019">
        <v>10</v>
      </c>
      <c r="R2019" s="141" t="str">
        <f>IF(AllData[[#This Row],[Nitrate (PPM)]]&gt;2, "Very high", IF(AllData[[#This Row],[Nitrate (PPM)]]&gt;1, "High", IF(AllData[[#This Row],[Nitrate (PPM)]]&gt;0.5, "Some evidence", IF(AllData[[#This Row],[Nitrate (PPM)]]&gt;=0, "No evidence"))))</f>
        <v>Very high</v>
      </c>
      <c r="S2019" s="4">
        <v>0.24</v>
      </c>
      <c r="T2019" s="7" t="str">
        <f>IF(AllData[[#This Row],[Phosphate (PPM)]]&gt;0.5, "Very high", IF(AllData[[#This Row],[Phosphate (PPM)]]&gt;0.1, "High", IF(AllData[[#This Row],[Phosphate (PPM)]]&gt;0.05, "Some evidence", IF(AllData[[#This Row],[Phosphate (PPM)]]&lt;=0.05, "No Evidence", ""))))</f>
        <v>High</v>
      </c>
      <c r="U2019">
        <v>0.8</v>
      </c>
    </row>
    <row r="2020" spans="1:22" x14ac:dyDescent="0.35">
      <c r="A2020" t="s">
        <v>567</v>
      </c>
      <c r="B2020" s="143">
        <v>45311</v>
      </c>
      <c r="C2020" s="2" t="str" cm="1">
        <f t="array" ref="C20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0">
        <v>2023</v>
      </c>
      <c r="E2020" s="1">
        <v>0.48958333333333331</v>
      </c>
      <c r="F2020" t="str">
        <f>IF(AND(AllData[[#This Row],[Time]]&lt;0.5, AllData[[#This Row],[Time]]&gt;0.17)=TRUE, "Morning", IF(AND(AllData[[#This Row],[Time]]&lt;0.75, AllData[[#This Row],[Time]]&gt;=0.5)=TRUE, "Afternoon", IF(AND(AllData[[#This Row],[Time]]&lt;1, AllData[[#This Row],[Time]]&gt;=0.75)=TRUE, "Evening", "Night")))</f>
        <v>Morning</v>
      </c>
      <c r="G2020" t="str">
        <f>_xlfn.XLOOKUP(AllData[[#This Row],[Location Name]], Locations[Location Name],Locations[Group As])</f>
        <v>Clifford Chambers Road Bridge</v>
      </c>
      <c r="H2020" t="e" vm="1">
        <f>_xlfn.XLOOKUP(AllData[[#This Row],[Site Name]],LocationsKey[Site Name],LocationsKey[District])</f>
        <v>#VALUE!</v>
      </c>
      <c r="I2020" t="e" vm="22">
        <f>_xlfn.XLOOKUP(AllData[[#This Row],[Site Name]],LocationsKey[Site Name],LocationsKey[Town])</f>
        <v>#VALUE!</v>
      </c>
      <c r="J2020" t="str">
        <f>_xlfn.XLOOKUP(AllData[[#This Row],[Site Name]],LocationsKey[Site Name], LocationsKey[Waterway])</f>
        <v>Stour</v>
      </c>
      <c r="K2020" t="s">
        <v>429</v>
      </c>
      <c r="L2020">
        <v>52.172840000000001</v>
      </c>
      <c r="M2020" s="108">
        <v>-1.71377</v>
      </c>
      <c r="N2020" t="s">
        <v>191</v>
      </c>
      <c r="O2020">
        <v>660</v>
      </c>
      <c r="P2020">
        <v>10.199999999999999</v>
      </c>
      <c r="Q2020">
        <v>9</v>
      </c>
      <c r="R2020" s="141" t="str">
        <f>IF(AllData[[#This Row],[Nitrate (PPM)]]&gt;2, "Very high", IF(AllData[[#This Row],[Nitrate (PPM)]]&gt;1, "High", IF(AllData[[#This Row],[Nitrate (PPM)]]&gt;0.5, "Some evidence", IF(AllData[[#This Row],[Nitrate (PPM)]]&gt;=0, "No evidence"))))</f>
        <v>Very high</v>
      </c>
      <c r="S2020" s="4">
        <v>0.32</v>
      </c>
      <c r="T2020" s="7" t="str">
        <f>IF(AllData[[#This Row],[Phosphate (PPM)]]&gt;0.5, "Very high", IF(AllData[[#This Row],[Phosphate (PPM)]]&gt;0.1, "High", IF(AllData[[#This Row],[Phosphate (PPM)]]&gt;0.05, "Some evidence", IF(AllData[[#This Row],[Phosphate (PPM)]]&lt;=0.05, "No Evidence", ""))))</f>
        <v>High</v>
      </c>
      <c r="U2020">
        <v>0.6</v>
      </c>
    </row>
    <row r="2021" spans="1:22" x14ac:dyDescent="0.35">
      <c r="A2021" t="s">
        <v>566</v>
      </c>
      <c r="B2021" s="143">
        <v>45311</v>
      </c>
      <c r="C2021" s="2" t="str" cm="1">
        <f t="array" ref="C20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1">
        <v>2023</v>
      </c>
      <c r="E2021" s="1">
        <v>0.48958333333333331</v>
      </c>
      <c r="F2021" t="str">
        <f>IF(AND(AllData[[#This Row],[Time]]&lt;0.5, AllData[[#This Row],[Time]]&gt;0.17)=TRUE, "Morning", IF(AND(AllData[[#This Row],[Time]]&lt;0.75, AllData[[#This Row],[Time]]&gt;=0.5)=TRUE, "Afternoon", IF(AND(AllData[[#This Row],[Time]]&lt;1, AllData[[#This Row],[Time]]&gt;=0.75)=TRUE, "Evening", "Night")))</f>
        <v>Morning</v>
      </c>
      <c r="G2021" t="str">
        <f>_xlfn.XLOOKUP(AllData[[#This Row],[Location Name]], Locations[Location Name],Locations[Group As])</f>
        <v>Carrant Bredon Rd</v>
      </c>
      <c r="H2021" t="e" vm="4">
        <f>_xlfn.XLOOKUP(AllData[[#This Row],[Site Name]],LocationsKey[Site Name],LocationsKey[District])</f>
        <v>#VALUE!</v>
      </c>
      <c r="I2021" t="e" vm="4">
        <f>_xlfn.XLOOKUP(AllData[[#This Row],[Site Name]],LocationsKey[Site Name],LocationsKey[Town])</f>
        <v>#VALUE!</v>
      </c>
      <c r="J2021" t="str">
        <f>_xlfn.XLOOKUP(AllData[[#This Row],[Site Name]],LocationsKey[Site Name], LocationsKey[Waterway])</f>
        <v>Carrant</v>
      </c>
      <c r="K2021" t="s">
        <v>91</v>
      </c>
      <c r="L2021">
        <v>51.996360000000003</v>
      </c>
      <c r="M2021" s="108">
        <v>-2.1560489999999999</v>
      </c>
      <c r="N2021" t="s">
        <v>25</v>
      </c>
      <c r="O2021">
        <v>751</v>
      </c>
      <c r="P2021">
        <v>5.6</v>
      </c>
      <c r="Q2021">
        <v>7</v>
      </c>
      <c r="R2021" s="141" t="str">
        <f>IF(AllData[[#This Row],[Nitrate (PPM)]]&gt;2, "Very high", IF(AllData[[#This Row],[Nitrate (PPM)]]&gt;1, "High", IF(AllData[[#This Row],[Nitrate (PPM)]]&gt;0.5, "Some evidence", IF(AllData[[#This Row],[Nitrate (PPM)]]&gt;=0, "No evidence"))))</f>
        <v>Very high</v>
      </c>
      <c r="S2021" s="4">
        <v>0.33</v>
      </c>
      <c r="T2021" s="7" t="str">
        <f>IF(AllData[[#This Row],[Phosphate (PPM)]]&gt;0.5, "Very high", IF(AllData[[#This Row],[Phosphate (PPM)]]&gt;0.1, "High", IF(AllData[[#This Row],[Phosphate (PPM)]]&gt;0.05, "Some evidence", IF(AllData[[#This Row],[Phosphate (PPM)]]&lt;=0.05, "No Evidence", ""))))</f>
        <v>High</v>
      </c>
      <c r="U2021">
        <v>0.02</v>
      </c>
    </row>
    <row r="2022" spans="1:22" x14ac:dyDescent="0.35">
      <c r="A2022" t="s">
        <v>563</v>
      </c>
      <c r="B2022" s="143">
        <v>45311</v>
      </c>
      <c r="C2022" s="2" t="str" cm="1">
        <f t="array" ref="C20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2">
        <v>2023</v>
      </c>
      <c r="E2022" s="1">
        <v>0.47916666666666669</v>
      </c>
      <c r="F2022" t="str">
        <f>IF(AND(AllData[[#This Row],[Time]]&lt;0.5, AllData[[#This Row],[Time]]&gt;0.17)=TRUE, "Morning", IF(AND(AllData[[#This Row],[Time]]&lt;0.75, AllData[[#This Row],[Time]]&gt;=0.5)=TRUE, "Afternoon", IF(AND(AllData[[#This Row],[Time]]&lt;1, AllData[[#This Row],[Time]]&gt;=0.75)=TRUE, "Evening", "Night")))</f>
        <v>Morning</v>
      </c>
      <c r="G2022" t="str">
        <f>_xlfn.XLOOKUP(AllData[[#This Row],[Location Name]], Locations[Location Name],Locations[Group As])</f>
        <v>Clifford Chambers Mill Bridge</v>
      </c>
      <c r="H2022" t="e" vm="1">
        <f>_xlfn.XLOOKUP(AllData[[#This Row],[Site Name]],LocationsKey[Site Name],LocationsKey[District])</f>
        <v>#VALUE!</v>
      </c>
      <c r="I2022" t="e" vm="22">
        <f>_xlfn.XLOOKUP(AllData[[#This Row],[Site Name]],LocationsKey[Site Name],LocationsKey[Town])</f>
        <v>#VALUE!</v>
      </c>
      <c r="J2022" t="str">
        <f>_xlfn.XLOOKUP(AllData[[#This Row],[Site Name]],LocationsKey[Site Name], LocationsKey[Waterway])</f>
        <v>Stour</v>
      </c>
      <c r="K2022" t="s">
        <v>266</v>
      </c>
      <c r="L2022">
        <v>52.166370000000001</v>
      </c>
      <c r="M2022" s="108">
        <v>-1.708032</v>
      </c>
      <c r="N2022" t="s">
        <v>68</v>
      </c>
      <c r="O2022">
        <v>671</v>
      </c>
      <c r="P2022">
        <v>10.199999999999999</v>
      </c>
      <c r="Q2022">
        <v>7</v>
      </c>
      <c r="R2022" s="141" t="str">
        <f>IF(AllData[[#This Row],[Nitrate (PPM)]]&gt;2, "Very high", IF(AllData[[#This Row],[Nitrate (PPM)]]&gt;1, "High", IF(AllData[[#This Row],[Nitrate (PPM)]]&gt;0.5, "Some evidence", IF(AllData[[#This Row],[Nitrate (PPM)]]&gt;=0, "No evidence"))))</f>
        <v>Very high</v>
      </c>
      <c r="S2022" s="4">
        <v>0.24</v>
      </c>
      <c r="T2022" s="7" t="str">
        <f>IF(AllData[[#This Row],[Phosphate (PPM)]]&gt;0.5, "Very high", IF(AllData[[#This Row],[Phosphate (PPM)]]&gt;0.1, "High", IF(AllData[[#This Row],[Phosphate (PPM)]]&gt;0.05, "Some evidence", IF(AllData[[#This Row],[Phosphate (PPM)]]&lt;=0.05, "No Evidence", ""))))</f>
        <v>High</v>
      </c>
      <c r="U2022">
        <v>1.4</v>
      </c>
      <c r="V2022" t="s">
        <v>564</v>
      </c>
    </row>
    <row r="2023" spans="1:22" x14ac:dyDescent="0.35">
      <c r="A2023" t="s">
        <v>560</v>
      </c>
      <c r="B2023" s="143">
        <v>45311</v>
      </c>
      <c r="C2023" s="2" t="str" cm="1">
        <f t="array" ref="C20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3">
        <v>2023</v>
      </c>
      <c r="E2023" s="1">
        <v>0.40694444444444444</v>
      </c>
      <c r="F2023" t="str">
        <f>IF(AND(AllData[[#This Row],[Time]]&lt;0.5, AllData[[#This Row],[Time]]&gt;0.17)=TRUE, "Morning", IF(AND(AllData[[#This Row],[Time]]&lt;0.75, AllData[[#This Row],[Time]]&gt;=0.5)=TRUE, "Afternoon", IF(AND(AllData[[#This Row],[Time]]&lt;1, AllData[[#This Row],[Time]]&gt;=0.75)=TRUE, "Evening", "Night")))</f>
        <v>Morning</v>
      </c>
      <c r="G2023" t="str">
        <f>_xlfn.XLOOKUP(AllData[[#This Row],[Location Name]], Locations[Location Name],Locations[Group As])</f>
        <v>The Ford, Langley</v>
      </c>
      <c r="H2023" t="e" vm="1">
        <f>_xlfn.XLOOKUP(AllData[[#This Row],[Site Name]],LocationsKey[Site Name],LocationsKey[District])</f>
        <v>#VALUE!</v>
      </c>
      <c r="I2023" t="str">
        <f>_xlfn.XLOOKUP(AllData[[#This Row],[Site Name]],LocationsKey[Site Name],LocationsKey[Town])</f>
        <v>Langley</v>
      </c>
      <c r="J2023" t="str">
        <f>_xlfn.XLOOKUP(AllData[[#This Row],[Site Name]],LocationsKey[Site Name], LocationsKey[Waterway])</f>
        <v>Langley Ford</v>
      </c>
      <c r="K2023" t="s">
        <v>561</v>
      </c>
      <c r="L2023">
        <v>52.259639</v>
      </c>
      <c r="M2023" s="108">
        <v>-1.7181999999999999</v>
      </c>
      <c r="N2023" t="s">
        <v>31</v>
      </c>
      <c r="O2023">
        <v>742</v>
      </c>
      <c r="P2023">
        <v>5.0999999999999996</v>
      </c>
      <c r="Q2023">
        <v>5</v>
      </c>
      <c r="R2023" s="141" t="str">
        <f>IF(AllData[[#This Row],[Nitrate (PPM)]]&gt;2, "Very high", IF(AllData[[#This Row],[Nitrate (PPM)]]&gt;1, "High", IF(AllData[[#This Row],[Nitrate (PPM)]]&gt;0.5, "Some evidence", IF(AllData[[#This Row],[Nitrate (PPM)]]&gt;=0, "No evidence"))))</f>
        <v>Very high</v>
      </c>
      <c r="S2023" s="4">
        <v>0.59</v>
      </c>
      <c r="T2023" s="7" t="str">
        <f>IF(AllData[[#This Row],[Phosphate (PPM)]]&gt;0.5, "Very high", IF(AllData[[#This Row],[Phosphate (PPM)]]&gt;0.1, "High", IF(AllData[[#This Row],[Phosphate (PPM)]]&gt;0.05, "Some evidence", IF(AllData[[#This Row],[Phosphate (PPM)]]&lt;=0.05, "No Evidence", ""))))</f>
        <v>Very high</v>
      </c>
      <c r="U2023">
        <v>0.28000000000000003</v>
      </c>
      <c r="V2023" t="s">
        <v>562</v>
      </c>
    </row>
    <row r="2024" spans="1:22" x14ac:dyDescent="0.35">
      <c r="A2024" t="s">
        <v>558</v>
      </c>
      <c r="B2024" s="143">
        <v>45310</v>
      </c>
      <c r="C2024" s="2" t="str" cm="1">
        <f t="array" ref="C20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4">
        <v>2023</v>
      </c>
      <c r="E2024" s="1">
        <v>0.57986111111111116</v>
      </c>
      <c r="F2024" t="str">
        <f>IF(AND(AllData[[#This Row],[Time]]&lt;0.5, AllData[[#This Row],[Time]]&gt;0.17)=TRUE, "Morning", IF(AND(AllData[[#This Row],[Time]]&lt;0.75, AllData[[#This Row],[Time]]&gt;=0.5)=TRUE, "Afternoon", IF(AND(AllData[[#This Row],[Time]]&lt;1, AllData[[#This Row],[Time]]&gt;=0.75)=TRUE, "Evening", "Night")))</f>
        <v>Afternoon</v>
      </c>
      <c r="G2024" t="str">
        <f>_xlfn.XLOOKUP(AllData[[#This Row],[Location Name]], Locations[Location Name],Locations[Group As])</f>
        <v>Lower Lode</v>
      </c>
      <c r="H2024" t="e" vm="4">
        <f>_xlfn.XLOOKUP(AllData[[#This Row],[Site Name]],LocationsKey[Site Name],LocationsKey[District])</f>
        <v>#VALUE!</v>
      </c>
      <c r="I2024" t="e" vm="4">
        <f>_xlfn.XLOOKUP(AllData[[#This Row],[Site Name]],LocationsKey[Site Name],LocationsKey[Town])</f>
        <v>#VALUE!</v>
      </c>
      <c r="J2024" t="str">
        <f>_xlfn.XLOOKUP(AllData[[#This Row],[Site Name]],LocationsKey[Site Name], LocationsKey[Waterway])</f>
        <v>Avon</v>
      </c>
      <c r="K2024" t="s">
        <v>559</v>
      </c>
      <c r="L2024">
        <v>51.984904999999998</v>
      </c>
      <c r="M2024" s="108">
        <v>-2.1742240000000002</v>
      </c>
      <c r="N2024" t="s">
        <v>31</v>
      </c>
      <c r="O2024">
        <v>867</v>
      </c>
      <c r="P2024">
        <v>5.7</v>
      </c>
      <c r="Q2024">
        <v>10</v>
      </c>
      <c r="R2024" s="141" t="str">
        <f>IF(AllData[[#This Row],[Nitrate (PPM)]]&gt;2, "Very high", IF(AllData[[#This Row],[Nitrate (PPM)]]&gt;1, "High", IF(AllData[[#This Row],[Nitrate (PPM)]]&gt;0.5, "Some evidence", IF(AllData[[#This Row],[Nitrate (PPM)]]&gt;=0, "No evidence"))))</f>
        <v>Very high</v>
      </c>
      <c r="S2024" s="4">
        <v>0.5</v>
      </c>
      <c r="T2024" s="7" t="str">
        <f>IF(AllData[[#This Row],[Phosphate (PPM)]]&gt;0.5, "Very high", IF(AllData[[#This Row],[Phosphate (PPM)]]&gt;0.1, "High", IF(AllData[[#This Row],[Phosphate (PPM)]]&gt;0.05, "Some evidence", IF(AllData[[#This Row],[Phosphate (PPM)]]&lt;=0.05, "No Evidence", ""))))</f>
        <v>High</v>
      </c>
      <c r="U2024">
        <v>0</v>
      </c>
    </row>
    <row r="2025" spans="1:22" x14ac:dyDescent="0.35">
      <c r="A2025" t="s">
        <v>556</v>
      </c>
      <c r="B2025" s="143">
        <v>45310</v>
      </c>
      <c r="C2025" s="2" t="str" cm="1">
        <f t="array" ref="C20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5">
        <v>2023</v>
      </c>
      <c r="E2025" s="1">
        <v>0.41666666666666669</v>
      </c>
      <c r="F2025" t="str">
        <f>IF(AND(AllData[[#This Row],[Time]]&lt;0.5, AllData[[#This Row],[Time]]&gt;0.17)=TRUE, "Morning", IF(AND(AllData[[#This Row],[Time]]&lt;0.75, AllData[[#This Row],[Time]]&gt;=0.5)=TRUE, "Afternoon", IF(AND(AllData[[#This Row],[Time]]&lt;1, AllData[[#This Row],[Time]]&gt;=0.75)=TRUE, "Evening", "Night")))</f>
        <v>Morning</v>
      </c>
      <c r="G2025" t="str">
        <f>_xlfn.XLOOKUP(AllData[[#This Row],[Location Name]], Locations[Location Name],Locations[Group As])</f>
        <v>Abbey Mill</v>
      </c>
      <c r="H2025" t="e" vm="4">
        <f>_xlfn.XLOOKUP(AllData[[#This Row],[Site Name]],LocationsKey[Site Name],LocationsKey[District])</f>
        <v>#VALUE!</v>
      </c>
      <c r="I2025" t="e" vm="4">
        <f>_xlfn.XLOOKUP(AllData[[#This Row],[Site Name]],LocationsKey[Site Name],LocationsKey[Town])</f>
        <v>#VALUE!</v>
      </c>
      <c r="J2025" t="str">
        <f>_xlfn.XLOOKUP(AllData[[#This Row],[Site Name]],LocationsKey[Site Name], LocationsKey[Waterway])</f>
        <v>Avon</v>
      </c>
      <c r="K2025" t="s">
        <v>24</v>
      </c>
      <c r="M2025" s="108"/>
      <c r="N2025" t="s">
        <v>25</v>
      </c>
      <c r="O2025">
        <v>890</v>
      </c>
      <c r="P2025">
        <v>6</v>
      </c>
      <c r="Q2025">
        <v>4</v>
      </c>
      <c r="R2025" s="141" t="str">
        <f>IF(AllData[[#This Row],[Nitrate (PPM)]]&gt;2, "Very high", IF(AllData[[#This Row],[Nitrate (PPM)]]&gt;1, "High", IF(AllData[[#This Row],[Nitrate (PPM)]]&gt;0.5, "Some evidence", IF(AllData[[#This Row],[Nitrate (PPM)]]&gt;=0, "No evidence"))))</f>
        <v>Very high</v>
      </c>
      <c r="S2025" s="4">
        <v>0.7</v>
      </c>
      <c r="T2025" s="7" t="str">
        <f>IF(AllData[[#This Row],[Phosphate (PPM)]]&gt;0.5, "Very high", IF(AllData[[#This Row],[Phosphate (PPM)]]&gt;0.1, "High", IF(AllData[[#This Row],[Phosphate (PPM)]]&gt;0.05, "Some evidence", IF(AllData[[#This Row],[Phosphate (PPM)]]&lt;=0.05, "No Evidence", ""))))</f>
        <v>Very high</v>
      </c>
      <c r="U2025">
        <v>0</v>
      </c>
    </row>
    <row r="2026" spans="1:22" x14ac:dyDescent="0.35">
      <c r="A2026" t="s">
        <v>557</v>
      </c>
      <c r="B2026" s="143">
        <v>45310</v>
      </c>
      <c r="C2026" s="2" t="str" cm="1">
        <f t="array" ref="C20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6">
        <v>2023</v>
      </c>
      <c r="E2026" s="1">
        <v>0.45833333333333331</v>
      </c>
      <c r="F2026" t="str">
        <f>IF(AND(AllData[[#This Row],[Time]]&lt;0.5, AllData[[#This Row],[Time]]&gt;0.17)=TRUE, "Morning", IF(AND(AllData[[#This Row],[Time]]&lt;0.75, AllData[[#This Row],[Time]]&gt;=0.5)=TRUE, "Afternoon", IF(AND(AllData[[#This Row],[Time]]&lt;1, AllData[[#This Row],[Time]]&gt;=0.75)=TRUE, "Evening", "Night")))</f>
        <v>Morning</v>
      </c>
      <c r="G2026" t="str">
        <f>_xlfn.XLOOKUP(AllData[[#This Row],[Location Name]], Locations[Location Name],Locations[Group As])</f>
        <v>Swilgate</v>
      </c>
      <c r="H2026" t="e" vm="4">
        <f>_xlfn.XLOOKUP(AllData[[#This Row],[Site Name]],LocationsKey[Site Name],LocationsKey[District])</f>
        <v>#VALUE!</v>
      </c>
      <c r="I2026" t="e" vm="4">
        <f>_xlfn.XLOOKUP(AllData[[#This Row],[Site Name]],LocationsKey[Site Name],LocationsKey[Town])</f>
        <v>#VALUE!</v>
      </c>
      <c r="J2026" t="str">
        <f>_xlfn.XLOOKUP(AllData[[#This Row],[Site Name]],LocationsKey[Site Name], LocationsKey[Waterway])</f>
        <v>Swilgate</v>
      </c>
      <c r="K2026" t="s">
        <v>85</v>
      </c>
      <c r="M2026" s="108"/>
      <c r="N2026" t="s">
        <v>25</v>
      </c>
      <c r="O2026">
        <v>846</v>
      </c>
      <c r="P2026">
        <v>2.6</v>
      </c>
      <c r="Q2026">
        <v>3</v>
      </c>
      <c r="R2026" s="141" t="str">
        <f>IF(AllData[[#This Row],[Nitrate (PPM)]]&gt;2, "Very high", IF(AllData[[#This Row],[Nitrate (PPM)]]&gt;1, "High", IF(AllData[[#This Row],[Nitrate (PPM)]]&gt;0.5, "Some evidence", IF(AllData[[#This Row],[Nitrate (PPM)]]&gt;=0, "No evidence"))))</f>
        <v>Very high</v>
      </c>
      <c r="S2026" s="4">
        <v>0.41</v>
      </c>
      <c r="T2026" s="7" t="str">
        <f>IF(AllData[[#This Row],[Phosphate (PPM)]]&gt;0.5, "Very high", IF(AllData[[#This Row],[Phosphate (PPM)]]&gt;0.1, "High", IF(AllData[[#This Row],[Phosphate (PPM)]]&gt;0.05, "Some evidence", IF(AllData[[#This Row],[Phosphate (PPM)]]&lt;=0.05, "No Evidence", ""))))</f>
        <v>High</v>
      </c>
      <c r="U2026">
        <v>0</v>
      </c>
    </row>
    <row r="2027" spans="1:22" x14ac:dyDescent="0.35">
      <c r="A2027" t="s">
        <v>554</v>
      </c>
      <c r="B2027" s="143">
        <v>45309</v>
      </c>
      <c r="C2027" s="2" t="str" cm="1">
        <f t="array" ref="C20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7">
        <v>2023</v>
      </c>
      <c r="E2027" s="1">
        <v>0.625</v>
      </c>
      <c r="F2027" t="str">
        <f>IF(AND(AllData[[#This Row],[Time]]&lt;0.5, AllData[[#This Row],[Time]]&gt;0.17)=TRUE, "Morning", IF(AND(AllData[[#This Row],[Time]]&lt;0.75, AllData[[#This Row],[Time]]&gt;=0.5)=TRUE, "Afternoon", IF(AND(AllData[[#This Row],[Time]]&lt;1, AllData[[#This Row],[Time]]&gt;=0.75)=TRUE, "Evening", "Night")))</f>
        <v>Afternoon</v>
      </c>
      <c r="G2027" t="str">
        <f>_xlfn.XLOOKUP(AllData[[#This Row],[Location Name]], Locations[Location Name],Locations[Group As])</f>
        <v>Stour Newbold Mill</v>
      </c>
      <c r="H2027" t="e" vm="1">
        <f>_xlfn.XLOOKUP(AllData[[#This Row],[Site Name]],LocationsKey[Site Name],LocationsKey[District])</f>
        <v>#VALUE!</v>
      </c>
      <c r="I2027" t="e" vm="27">
        <f>_xlfn.XLOOKUP(AllData[[#This Row],[Site Name]],LocationsKey[Site Name],LocationsKey[Town])</f>
        <v>#VALUE!</v>
      </c>
      <c r="J2027" t="str">
        <f>_xlfn.XLOOKUP(AllData[[#This Row],[Site Name]],LocationsKey[Site Name], LocationsKey[Waterway])</f>
        <v>Stour</v>
      </c>
      <c r="K2027" t="s">
        <v>141</v>
      </c>
      <c r="L2027">
        <v>52.112881999999999</v>
      </c>
      <c r="M2027" s="108">
        <v>-1.6335120000000001</v>
      </c>
      <c r="N2027" t="s">
        <v>31</v>
      </c>
      <c r="O2027">
        <v>610</v>
      </c>
      <c r="P2027">
        <v>7.2</v>
      </c>
      <c r="Q2027">
        <v>5</v>
      </c>
      <c r="R2027" s="141" t="str">
        <f>IF(AllData[[#This Row],[Nitrate (PPM)]]&gt;2, "Very high", IF(AllData[[#This Row],[Nitrate (PPM)]]&gt;1, "High", IF(AllData[[#This Row],[Nitrate (PPM)]]&gt;0.5, "Some evidence", IF(AllData[[#This Row],[Nitrate (PPM)]]&gt;=0, "No evidence"))))</f>
        <v>Very high</v>
      </c>
      <c r="S2027" s="4">
        <v>0.35</v>
      </c>
      <c r="T2027" s="7" t="str">
        <f>IF(AllData[[#This Row],[Phosphate (PPM)]]&gt;0.5, "Very high", IF(AllData[[#This Row],[Phosphate (PPM)]]&gt;0.1, "High", IF(AllData[[#This Row],[Phosphate (PPM)]]&gt;0.05, "Some evidence", IF(AllData[[#This Row],[Phosphate (PPM)]]&lt;=0.05, "No Evidence", ""))))</f>
        <v>High</v>
      </c>
      <c r="U2027">
        <v>2.5</v>
      </c>
      <c r="V2027" t="s">
        <v>555</v>
      </c>
    </row>
    <row r="2028" spans="1:22" x14ac:dyDescent="0.35">
      <c r="A2028" t="s">
        <v>553</v>
      </c>
      <c r="B2028" s="143">
        <v>45309</v>
      </c>
      <c r="C2028" s="2" t="str" cm="1">
        <f t="array" ref="C20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8">
        <v>2023</v>
      </c>
      <c r="E2028" s="1">
        <v>0.46111111111111114</v>
      </c>
      <c r="F2028" t="str">
        <f>IF(AND(AllData[[#This Row],[Time]]&lt;0.5, AllData[[#This Row],[Time]]&gt;0.17)=TRUE, "Morning", IF(AND(AllData[[#This Row],[Time]]&lt;0.75, AllData[[#This Row],[Time]]&gt;=0.5)=TRUE, "Afternoon", IF(AND(AllData[[#This Row],[Time]]&lt;1, AllData[[#This Row],[Time]]&gt;=0.75)=TRUE, "Evening", "Night")))</f>
        <v>Morning</v>
      </c>
      <c r="G2028" t="str">
        <f>_xlfn.XLOOKUP(AllData[[#This Row],[Location Name]], Locations[Location Name],Locations[Group As])</f>
        <v>Stour Willington</v>
      </c>
      <c r="H2028" t="e" vm="1">
        <f>_xlfn.XLOOKUP(AllData[[#This Row],[Site Name]],LocationsKey[Site Name],LocationsKey[District])</f>
        <v>#VALUE!</v>
      </c>
      <c r="I2028" t="str">
        <f>_xlfn.XLOOKUP(AllData[[#This Row],[Site Name]],LocationsKey[Site Name],LocationsKey[Town])</f>
        <v>Willington</v>
      </c>
      <c r="J2028" t="str">
        <f>_xlfn.XLOOKUP(AllData[[#This Row],[Site Name]],LocationsKey[Site Name], LocationsKey[Waterway])</f>
        <v>Stour</v>
      </c>
      <c r="K2028" t="s">
        <v>521</v>
      </c>
      <c r="L2028">
        <v>52.051000000000002</v>
      </c>
      <c r="M2028" s="108">
        <v>-1.6140000000000001</v>
      </c>
      <c r="N2028" t="s">
        <v>25</v>
      </c>
      <c r="O2028">
        <v>614</v>
      </c>
      <c r="P2028">
        <v>5.4</v>
      </c>
      <c r="Q2028">
        <v>2</v>
      </c>
      <c r="R2028" s="141" t="str">
        <f>IF(AllData[[#This Row],[Nitrate (PPM)]]&gt;2, "Very high", IF(AllData[[#This Row],[Nitrate (PPM)]]&gt;1, "High", IF(AllData[[#This Row],[Nitrate (PPM)]]&gt;0.5, "Some evidence", IF(AllData[[#This Row],[Nitrate (PPM)]]&gt;=0, "No evidence"))))</f>
        <v>High</v>
      </c>
      <c r="S2028" s="4">
        <v>0.16</v>
      </c>
      <c r="T2028" s="7" t="str">
        <f>IF(AllData[[#This Row],[Phosphate (PPM)]]&gt;0.5, "Very high", IF(AllData[[#This Row],[Phosphate (PPM)]]&gt;0.1, "High", IF(AllData[[#This Row],[Phosphate (PPM)]]&gt;0.05, "Some evidence", IF(AllData[[#This Row],[Phosphate (PPM)]]&lt;=0.05, "No Evidence", ""))))</f>
        <v>High</v>
      </c>
      <c r="U2028">
        <v>0.5</v>
      </c>
    </row>
    <row r="2029" spans="1:22" x14ac:dyDescent="0.35">
      <c r="A2029" t="s">
        <v>551</v>
      </c>
      <c r="B2029" s="143">
        <v>45307</v>
      </c>
      <c r="C2029" s="2" t="str" cm="1">
        <f t="array" ref="C20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29">
        <v>2023</v>
      </c>
      <c r="E2029" s="1">
        <v>0.3923611111111111</v>
      </c>
      <c r="F2029" t="str">
        <f>IF(AND(AllData[[#This Row],[Time]]&lt;0.5, AllData[[#This Row],[Time]]&gt;0.17)=TRUE, "Morning", IF(AND(AllData[[#This Row],[Time]]&lt;0.75, AllData[[#This Row],[Time]]&gt;=0.5)=TRUE, "Afternoon", IF(AND(AllData[[#This Row],[Time]]&lt;1, AllData[[#This Row],[Time]]&gt;=0.75)=TRUE, "Evening", "Night")))</f>
        <v>Morning</v>
      </c>
      <c r="G2029" t="str">
        <f>_xlfn.XLOOKUP(AllData[[#This Row],[Location Name]], Locations[Location Name],Locations[Group As])</f>
        <v>Swiffen Bank</v>
      </c>
      <c r="H2029" t="e" vm="1">
        <f>_xlfn.XLOOKUP(AllData[[#This Row],[Site Name]],LocationsKey[Site Name],LocationsKey[District])</f>
        <v>#VALUE!</v>
      </c>
      <c r="I2029" t="e" vm="2">
        <f>_xlfn.XLOOKUP(AllData[[#This Row],[Site Name]],LocationsKey[Site Name],LocationsKey[Town])</f>
        <v>#VALUE!</v>
      </c>
      <c r="J2029" t="str">
        <f>_xlfn.XLOOKUP(AllData[[#This Row],[Site Name]],LocationsKey[Site Name], LocationsKey[Waterway])</f>
        <v>Avon</v>
      </c>
      <c r="K2029" t="s">
        <v>286</v>
      </c>
      <c r="L2029">
        <v>52.206477999999997</v>
      </c>
      <c r="M2029" s="108">
        <v>-1.653894</v>
      </c>
      <c r="N2029" t="s">
        <v>31</v>
      </c>
      <c r="O2029">
        <v>811</v>
      </c>
      <c r="P2029">
        <v>6.8</v>
      </c>
      <c r="Q2029">
        <v>5</v>
      </c>
      <c r="R2029" s="141" t="str">
        <f>IF(AllData[[#This Row],[Nitrate (PPM)]]&gt;2, "Very high", IF(AllData[[#This Row],[Nitrate (PPM)]]&gt;1, "High", IF(AllData[[#This Row],[Nitrate (PPM)]]&gt;0.5, "Some evidence", IF(AllData[[#This Row],[Nitrate (PPM)]]&gt;=0, "No evidence"))))</f>
        <v>Very high</v>
      </c>
      <c r="S2029" s="4">
        <v>0.5</v>
      </c>
      <c r="T2029" s="7" t="str">
        <f>IF(AllData[[#This Row],[Phosphate (PPM)]]&gt;0.5, "Very high", IF(AllData[[#This Row],[Phosphate (PPM)]]&gt;0.1, "High", IF(AllData[[#This Row],[Phosphate (PPM)]]&gt;0.05, "Some evidence", IF(AllData[[#This Row],[Phosphate (PPM)]]&lt;=0.05, "No Evidence", ""))))</f>
        <v>High</v>
      </c>
      <c r="U2029">
        <v>0</v>
      </c>
    </row>
    <row r="2030" spans="1:22" x14ac:dyDescent="0.35">
      <c r="A2030" t="s">
        <v>552</v>
      </c>
      <c r="B2030" s="143">
        <v>45307</v>
      </c>
      <c r="C2030" s="2" t="str" cm="1">
        <f t="array" ref="C20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0">
        <v>2023</v>
      </c>
      <c r="E2030" s="1">
        <v>0.39583333333333331</v>
      </c>
      <c r="F2030" t="str">
        <f>IF(AND(AllData[[#This Row],[Time]]&lt;0.5, AllData[[#This Row],[Time]]&gt;0.17)=TRUE, "Morning", IF(AND(AllData[[#This Row],[Time]]&lt;0.75, AllData[[#This Row],[Time]]&gt;=0.5)=TRUE, "Afternoon", IF(AND(AllData[[#This Row],[Time]]&lt;1, AllData[[#This Row],[Time]]&gt;=0.75)=TRUE, "Evening", "Night")))</f>
        <v>Morning</v>
      </c>
      <c r="G2030" t="str">
        <f>_xlfn.XLOOKUP(AllData[[#This Row],[Location Name]], Locations[Location Name],Locations[Group As])</f>
        <v>Alveston Weir</v>
      </c>
      <c r="H2030" t="e" vm="1">
        <f>_xlfn.XLOOKUP(AllData[[#This Row],[Site Name]],LocationsKey[Site Name],LocationsKey[District])</f>
        <v>#VALUE!</v>
      </c>
      <c r="I2030" t="e" vm="2">
        <f>_xlfn.XLOOKUP(AllData[[#This Row],[Site Name]],LocationsKey[Site Name],LocationsKey[Town])</f>
        <v>#VALUE!</v>
      </c>
      <c r="J2030" t="str">
        <f>_xlfn.XLOOKUP(AllData[[#This Row],[Site Name]],LocationsKey[Site Name], LocationsKey[Waterway])</f>
        <v>Avon</v>
      </c>
      <c r="K2030" t="s">
        <v>288</v>
      </c>
      <c r="L2030">
        <v>52.212288999999998</v>
      </c>
      <c r="M2030" s="108">
        <v>-1.660452</v>
      </c>
      <c r="N2030" t="s">
        <v>31</v>
      </c>
      <c r="O2030">
        <v>765</v>
      </c>
      <c r="P2030">
        <v>5.7</v>
      </c>
      <c r="Q2030">
        <v>5</v>
      </c>
      <c r="R2030" s="141" t="str">
        <f>IF(AllData[[#This Row],[Nitrate (PPM)]]&gt;2, "Very high", IF(AllData[[#This Row],[Nitrate (PPM)]]&gt;1, "High", IF(AllData[[#This Row],[Nitrate (PPM)]]&gt;0.5, "Some evidence", IF(AllData[[#This Row],[Nitrate (PPM)]]&gt;=0, "No evidence"))))</f>
        <v>Very high</v>
      </c>
      <c r="S2030" s="4">
        <v>0.49</v>
      </c>
      <c r="T2030" s="7" t="str">
        <f>IF(AllData[[#This Row],[Phosphate (PPM)]]&gt;0.5, "Very high", IF(AllData[[#This Row],[Phosphate (PPM)]]&gt;0.1, "High", IF(AllData[[#This Row],[Phosphate (PPM)]]&gt;0.05, "Some evidence", IF(AllData[[#This Row],[Phosphate (PPM)]]&lt;=0.05, "No Evidence", ""))))</f>
        <v>High</v>
      </c>
      <c r="U2030">
        <v>-1</v>
      </c>
    </row>
    <row r="2031" spans="1:22" x14ac:dyDescent="0.35">
      <c r="A2031" t="s">
        <v>549</v>
      </c>
      <c r="B2031" s="143">
        <v>45306</v>
      </c>
      <c r="C2031" s="2" t="str" cm="1">
        <f t="array" ref="C20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1">
        <v>2023</v>
      </c>
      <c r="E2031" s="1">
        <v>0.41736111111111113</v>
      </c>
      <c r="F2031" t="str">
        <f>IF(AND(AllData[[#This Row],[Time]]&lt;0.5, AllData[[#This Row],[Time]]&gt;0.17)=TRUE, "Morning", IF(AND(AllData[[#This Row],[Time]]&lt;0.75, AllData[[#This Row],[Time]]&gt;=0.5)=TRUE, "Afternoon", IF(AND(AllData[[#This Row],[Time]]&lt;1, AllData[[#This Row],[Time]]&gt;=0.75)=TRUE, "Evening", "Night")))</f>
        <v>Morning</v>
      </c>
      <c r="G2031" t="str">
        <f>_xlfn.XLOOKUP(AllData[[#This Row],[Location Name]], Locations[Location Name],Locations[Group As])</f>
        <v>Stour Stretton-on-Fosse Sewage Works</v>
      </c>
      <c r="H2031" t="e" vm="1">
        <f>_xlfn.XLOOKUP(AllData[[#This Row],[Site Name]],LocationsKey[Site Name],LocationsKey[District])</f>
        <v>#VALUE!</v>
      </c>
      <c r="I2031" t="e" vm="30">
        <f>_xlfn.XLOOKUP(AllData[[#This Row],[Site Name]],LocationsKey[Site Name],LocationsKey[Town])</f>
        <v>#VALUE!</v>
      </c>
      <c r="J2031" t="str">
        <f>_xlfn.XLOOKUP(AllData[[#This Row],[Site Name]],LocationsKey[Site Name], LocationsKey[Waterway])</f>
        <v>Stour</v>
      </c>
      <c r="K2031" t="s">
        <v>337</v>
      </c>
      <c r="L2031">
        <v>52.045656999999999</v>
      </c>
      <c r="M2031" s="108">
        <v>-1.6719440000000001</v>
      </c>
      <c r="N2031" t="s">
        <v>31</v>
      </c>
      <c r="O2031">
        <v>760</v>
      </c>
      <c r="P2031">
        <v>3.5</v>
      </c>
      <c r="Q2031">
        <v>3</v>
      </c>
      <c r="R2031" s="141" t="str">
        <f>IF(AllData[[#This Row],[Nitrate (PPM)]]&gt;2, "Very high", IF(AllData[[#This Row],[Nitrate (PPM)]]&gt;1, "High", IF(AllData[[#This Row],[Nitrate (PPM)]]&gt;0.5, "Some evidence", IF(AllData[[#This Row],[Nitrate (PPM)]]&gt;=0, "No evidence"))))</f>
        <v>Very high</v>
      </c>
      <c r="S2031" s="4">
        <v>2.5</v>
      </c>
      <c r="T2031" s="7" t="str">
        <f>IF(AllData[[#This Row],[Phosphate (PPM)]]&gt;0.5, "Very high", IF(AllData[[#This Row],[Phosphate (PPM)]]&gt;0.1, "High", IF(AllData[[#This Row],[Phosphate (PPM)]]&gt;0.05, "Some evidence", IF(AllData[[#This Row],[Phosphate (PPM)]]&lt;=0.05, "No Evidence", ""))))</f>
        <v>Very high</v>
      </c>
      <c r="U2031">
        <v>0.25</v>
      </c>
      <c r="V2031" t="s">
        <v>550</v>
      </c>
    </row>
    <row r="2032" spans="1:22" x14ac:dyDescent="0.35">
      <c r="A2032" t="s">
        <v>547</v>
      </c>
      <c r="B2032" s="143">
        <v>45306</v>
      </c>
      <c r="C2032" s="2" t="str" cm="1">
        <f t="array" ref="C20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2">
        <v>2023</v>
      </c>
      <c r="E2032" s="1">
        <v>0.41111111111111109</v>
      </c>
      <c r="F2032" t="str">
        <f>IF(AND(AllData[[#This Row],[Time]]&lt;0.5, AllData[[#This Row],[Time]]&gt;0.17)=TRUE, "Morning", IF(AND(AllData[[#This Row],[Time]]&lt;0.75, AllData[[#This Row],[Time]]&gt;=0.5)=TRUE, "Afternoon", IF(AND(AllData[[#This Row],[Time]]&lt;1, AllData[[#This Row],[Time]]&gt;=0.75)=TRUE, "Evening", "Night")))</f>
        <v>Morning</v>
      </c>
      <c r="G2032" t="str">
        <f>_xlfn.XLOOKUP(AllData[[#This Row],[Location Name]], Locations[Location Name],Locations[Group As])</f>
        <v>Stour Stretton-on-Fosse Village</v>
      </c>
      <c r="H2032" t="e" vm="1">
        <f>_xlfn.XLOOKUP(AllData[[#This Row],[Site Name]],LocationsKey[Site Name],LocationsKey[District])</f>
        <v>#VALUE!</v>
      </c>
      <c r="I2032" t="e" vm="30">
        <f>_xlfn.XLOOKUP(AllData[[#This Row],[Site Name]],LocationsKey[Site Name],LocationsKey[Town])</f>
        <v>#VALUE!</v>
      </c>
      <c r="J2032" t="str">
        <f>_xlfn.XLOOKUP(AllData[[#This Row],[Site Name]],LocationsKey[Site Name], LocationsKey[Waterway])</f>
        <v>Stour</v>
      </c>
      <c r="K2032" t="s">
        <v>548</v>
      </c>
      <c r="L2032">
        <v>52.046470999999997</v>
      </c>
      <c r="M2032" s="108">
        <v>-1.673462</v>
      </c>
      <c r="N2032" t="s">
        <v>68</v>
      </c>
      <c r="O2032">
        <v>722</v>
      </c>
      <c r="P2032">
        <v>4.3</v>
      </c>
      <c r="Q2032">
        <v>2</v>
      </c>
      <c r="R2032" s="141" t="str">
        <f>IF(AllData[[#This Row],[Nitrate (PPM)]]&gt;2, "Very high", IF(AllData[[#This Row],[Nitrate (PPM)]]&gt;1, "High", IF(AllData[[#This Row],[Nitrate (PPM)]]&gt;0.5, "Some evidence", IF(AllData[[#This Row],[Nitrate (PPM)]]&gt;=0, "No evidence"))))</f>
        <v>High</v>
      </c>
      <c r="S2032" s="4">
        <v>1.47</v>
      </c>
      <c r="T2032" s="7" t="str">
        <f>IF(AllData[[#This Row],[Phosphate (PPM)]]&gt;0.5, "Very high", IF(AllData[[#This Row],[Phosphate (PPM)]]&gt;0.1, "High", IF(AllData[[#This Row],[Phosphate (PPM)]]&gt;0.05, "Some evidence", IF(AllData[[#This Row],[Phosphate (PPM)]]&lt;=0.05, "No Evidence", ""))))</f>
        <v>Very high</v>
      </c>
      <c r="U2032">
        <v>0.2</v>
      </c>
    </row>
    <row r="2033" spans="1:22" x14ac:dyDescent="0.35">
      <c r="A2033" t="s">
        <v>545</v>
      </c>
      <c r="B2033" s="143">
        <v>45305</v>
      </c>
      <c r="C2033" s="2" t="str" cm="1">
        <f t="array" ref="C20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3">
        <v>2023</v>
      </c>
      <c r="E2033" s="1">
        <v>0.42708333333333331</v>
      </c>
      <c r="F2033" t="str">
        <f>IF(AND(AllData[[#This Row],[Time]]&lt;0.5, AllData[[#This Row],[Time]]&gt;0.17)=TRUE, "Morning", IF(AND(AllData[[#This Row],[Time]]&lt;0.75, AllData[[#This Row],[Time]]&gt;=0.5)=TRUE, "Afternoon", IF(AND(AllData[[#This Row],[Time]]&lt;1, AllData[[#This Row],[Time]]&gt;=0.75)=TRUE, "Evening", "Night")))</f>
        <v>Morning</v>
      </c>
      <c r="G2033" t="str">
        <f>_xlfn.XLOOKUP(AllData[[#This Row],[Location Name]], Locations[Location Name],Locations[Group As])</f>
        <v>Lucy's Mill Bridge</v>
      </c>
      <c r="H2033" t="e" vm="1">
        <f>_xlfn.XLOOKUP(AllData[[#This Row],[Site Name]],LocationsKey[Site Name],LocationsKey[District])</f>
        <v>#VALUE!</v>
      </c>
      <c r="I2033" t="e" vm="12">
        <f>_xlfn.XLOOKUP(AllData[[#This Row],[Site Name]],LocationsKey[Site Name],LocationsKey[Town])</f>
        <v>#VALUE!</v>
      </c>
      <c r="J2033" t="str">
        <f>_xlfn.XLOOKUP(AllData[[#This Row],[Site Name]],LocationsKey[Site Name], LocationsKey[Waterway])</f>
        <v>Avon</v>
      </c>
      <c r="K2033" t="s">
        <v>212</v>
      </c>
      <c r="L2033">
        <v>52.183698999999997</v>
      </c>
      <c r="M2033" s="108">
        <v>-1.707816</v>
      </c>
      <c r="N2033" t="s">
        <v>31</v>
      </c>
      <c r="P2033">
        <v>8</v>
      </c>
      <c r="Q2033">
        <v>20</v>
      </c>
      <c r="R2033" s="141" t="str">
        <f>IF(AllData[[#This Row],[Nitrate (PPM)]]&gt;2, "Very high", IF(AllData[[#This Row],[Nitrate (PPM)]]&gt;1, "High", IF(AllData[[#This Row],[Nitrate (PPM)]]&gt;0.5, "Some evidence", IF(AllData[[#This Row],[Nitrate (PPM)]]&gt;=0, "No evidence"))))</f>
        <v>Very high</v>
      </c>
      <c r="S2033" s="4">
        <v>0.19</v>
      </c>
      <c r="T2033" s="7" t="str">
        <f>IF(AllData[[#This Row],[Phosphate (PPM)]]&gt;0.5, "Very high", IF(AllData[[#This Row],[Phosphate (PPM)]]&gt;0.1, "High", IF(AllData[[#This Row],[Phosphate (PPM)]]&gt;0.05, "Some evidence", IF(AllData[[#This Row],[Phosphate (PPM)]]&lt;=0.05, "No Evidence", ""))))</f>
        <v>High</v>
      </c>
      <c r="U2033">
        <v>0.8</v>
      </c>
    </row>
    <row r="2034" spans="1:22" x14ac:dyDescent="0.35">
      <c r="A2034" t="s">
        <v>544</v>
      </c>
      <c r="B2034" s="143">
        <v>45305</v>
      </c>
      <c r="C2034" s="2" t="str" cm="1">
        <f t="array" ref="C20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4">
        <v>2023</v>
      </c>
      <c r="E2034" s="1">
        <v>0.42222222222222222</v>
      </c>
      <c r="F2034" t="str">
        <f>IF(AND(AllData[[#This Row],[Time]]&lt;0.5, AllData[[#This Row],[Time]]&gt;0.17)=TRUE, "Morning", IF(AND(AllData[[#This Row],[Time]]&lt;0.75, AllData[[#This Row],[Time]]&gt;=0.5)=TRUE, "Afternoon", IF(AND(AllData[[#This Row],[Time]]&lt;1, AllData[[#This Row],[Time]]&gt;=0.75)=TRUE, "Evening", "Night")))</f>
        <v>Morning</v>
      </c>
      <c r="G2034" t="str">
        <f>_xlfn.XLOOKUP(AllData[[#This Row],[Location Name]], Locations[Location Name],Locations[Group As])</f>
        <v>Fell Mill Footbridge</v>
      </c>
      <c r="H2034" t="e" vm="1">
        <f>_xlfn.XLOOKUP(AllData[[#This Row],[Site Name]],LocationsKey[Site Name],LocationsKey[District])</f>
        <v>#VALUE!</v>
      </c>
      <c r="I2034" t="e" vm="15">
        <f>_xlfn.XLOOKUP(AllData[[#This Row],[Site Name]],LocationsKey[Site Name],LocationsKey[Town])</f>
        <v>#VALUE!</v>
      </c>
      <c r="J2034" t="str">
        <f>_xlfn.XLOOKUP(AllData[[#This Row],[Site Name]],LocationsKey[Site Name], LocationsKey[Waterway])</f>
        <v>Stour</v>
      </c>
      <c r="K2034" t="s">
        <v>500</v>
      </c>
      <c r="L2034">
        <v>52.070131000000003</v>
      </c>
      <c r="M2034" s="108">
        <v>-1.6114869999999999</v>
      </c>
      <c r="N2034" t="s">
        <v>31</v>
      </c>
      <c r="O2034">
        <v>504</v>
      </c>
      <c r="P2034">
        <v>6.9</v>
      </c>
      <c r="Q2034">
        <v>10</v>
      </c>
      <c r="R2034" s="141" t="str">
        <f>IF(AllData[[#This Row],[Nitrate (PPM)]]&gt;2, "Very high", IF(AllData[[#This Row],[Nitrate (PPM)]]&gt;1, "High", IF(AllData[[#This Row],[Nitrate (PPM)]]&gt;0.5, "Some evidence", IF(AllData[[#This Row],[Nitrate (PPM)]]&gt;=0, "No evidence"))))</f>
        <v>Very high</v>
      </c>
      <c r="S2034" s="4">
        <v>0.24</v>
      </c>
      <c r="T2034" s="7" t="str">
        <f>IF(AllData[[#This Row],[Phosphate (PPM)]]&gt;0.5, "Very high", IF(AllData[[#This Row],[Phosphate (PPM)]]&gt;0.1, "High", IF(AllData[[#This Row],[Phosphate (PPM)]]&gt;0.05, "Some evidence", IF(AllData[[#This Row],[Phosphate (PPM)]]&lt;=0.05, "No Evidence", ""))))</f>
        <v>High</v>
      </c>
      <c r="U2034">
        <v>1</v>
      </c>
    </row>
    <row r="2035" spans="1:22" x14ac:dyDescent="0.35">
      <c r="A2035" t="s">
        <v>546</v>
      </c>
      <c r="B2035" s="143">
        <v>45305</v>
      </c>
      <c r="C2035" s="2" t="str" cm="1">
        <f t="array" ref="C20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5">
        <v>2023</v>
      </c>
      <c r="E2035" s="1">
        <v>0.63541666666666663</v>
      </c>
      <c r="F2035" t="str">
        <f>IF(AND(AllData[[#This Row],[Time]]&lt;0.5, AllData[[#This Row],[Time]]&gt;0.17)=TRUE, "Morning", IF(AND(AllData[[#This Row],[Time]]&lt;0.75, AllData[[#This Row],[Time]]&gt;=0.5)=TRUE, "Afternoon", IF(AND(AllData[[#This Row],[Time]]&lt;1, AllData[[#This Row],[Time]]&gt;=0.75)=TRUE, "Evening", "Night")))</f>
        <v>Afternoon</v>
      </c>
      <c r="G2035" t="str">
        <f>_xlfn.XLOOKUP(AllData[[#This Row],[Location Name]], Locations[Location Name],Locations[Group As])</f>
        <v>Hampton Lucy</v>
      </c>
      <c r="H2035" t="e" vm="1">
        <f>_xlfn.XLOOKUP(AllData[[#This Row],[Site Name]],LocationsKey[Site Name],LocationsKey[District])</f>
        <v>#VALUE!</v>
      </c>
      <c r="I2035" t="e" vm="33">
        <f>_xlfn.XLOOKUP(AllData[[#This Row],[Site Name]],LocationsKey[Site Name],LocationsKey[Town])</f>
        <v>#VALUE!</v>
      </c>
      <c r="J2035" t="str">
        <f>_xlfn.XLOOKUP(AllData[[#This Row],[Site Name]],LocationsKey[Site Name], LocationsKey[Waterway])</f>
        <v>Avon</v>
      </c>
      <c r="K2035" t="s">
        <v>39</v>
      </c>
      <c r="L2035">
        <v>52.211680000000001</v>
      </c>
      <c r="M2035" s="108">
        <v>-1.6244400000000001</v>
      </c>
      <c r="N2035" t="s">
        <v>25</v>
      </c>
      <c r="O2035">
        <v>802</v>
      </c>
      <c r="P2035">
        <v>8.1</v>
      </c>
      <c r="Q2035">
        <v>7</v>
      </c>
      <c r="R2035" s="141" t="str">
        <f>IF(AllData[[#This Row],[Nitrate (PPM)]]&gt;2, "Very high", IF(AllData[[#This Row],[Nitrate (PPM)]]&gt;1, "High", IF(AllData[[#This Row],[Nitrate (PPM)]]&gt;0.5, "Some evidence", IF(AllData[[#This Row],[Nitrate (PPM)]]&gt;=0, "No evidence"))))</f>
        <v>Very high</v>
      </c>
      <c r="S2035" s="4">
        <v>0.4</v>
      </c>
      <c r="T2035" s="7" t="str">
        <f>IF(AllData[[#This Row],[Phosphate (PPM)]]&gt;0.5, "Very high", IF(AllData[[#This Row],[Phosphate (PPM)]]&gt;0.1, "High", IF(AllData[[#This Row],[Phosphate (PPM)]]&gt;0.05, "Some evidence", IF(AllData[[#This Row],[Phosphate (PPM)]]&lt;=0.05, "No Evidence", ""))))</f>
        <v>High</v>
      </c>
      <c r="U2035">
        <v>0</v>
      </c>
    </row>
    <row r="2036" spans="1:22" x14ac:dyDescent="0.35">
      <c r="A2036" t="s">
        <v>529</v>
      </c>
      <c r="B2036" s="143">
        <v>45304</v>
      </c>
      <c r="C2036" s="2" t="str" cm="1">
        <f t="array" ref="C20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6">
        <v>2023</v>
      </c>
      <c r="E2036" s="1">
        <v>0.41736111111111113</v>
      </c>
      <c r="F2036" t="str">
        <f>IF(AND(AllData[[#This Row],[Time]]&lt;0.5, AllData[[#This Row],[Time]]&gt;0.17)=TRUE, "Morning", IF(AND(AllData[[#This Row],[Time]]&lt;0.75, AllData[[#This Row],[Time]]&gt;=0.5)=TRUE, "Afternoon", IF(AND(AllData[[#This Row],[Time]]&lt;1, AllData[[#This Row],[Time]]&gt;=0.75)=TRUE, "Evening", "Night")))</f>
        <v>Morning</v>
      </c>
      <c r="G2036" t="str">
        <f>_xlfn.XLOOKUP(AllData[[#This Row],[Location Name]], Locations[Location Name],Locations[Group As])</f>
        <v>The Ford, Langley</v>
      </c>
      <c r="H2036" t="e" vm="1">
        <f>_xlfn.XLOOKUP(AllData[[#This Row],[Site Name]],LocationsKey[Site Name],LocationsKey[District])</f>
        <v>#VALUE!</v>
      </c>
      <c r="I2036" t="str">
        <f>_xlfn.XLOOKUP(AllData[[#This Row],[Site Name]],LocationsKey[Site Name],LocationsKey[Town])</f>
        <v>Langley</v>
      </c>
      <c r="J2036" t="str">
        <f>_xlfn.XLOOKUP(AllData[[#This Row],[Site Name]],LocationsKey[Site Name], LocationsKey[Waterway])</f>
        <v>Langley Ford</v>
      </c>
      <c r="K2036" t="s">
        <v>530</v>
      </c>
      <c r="L2036">
        <v>52.259639</v>
      </c>
      <c r="M2036" s="108">
        <v>-1.7181999999999999</v>
      </c>
      <c r="N2036" t="s">
        <v>31</v>
      </c>
      <c r="O2036">
        <v>687</v>
      </c>
      <c r="P2036">
        <v>6</v>
      </c>
      <c r="Q2036">
        <v>10</v>
      </c>
      <c r="R2036" s="141" t="str">
        <f>IF(AllData[[#This Row],[Nitrate (PPM)]]&gt;2, "Very high", IF(AllData[[#This Row],[Nitrate (PPM)]]&gt;1, "High", IF(AllData[[#This Row],[Nitrate (PPM)]]&gt;0.5, "Some evidence", IF(AllData[[#This Row],[Nitrate (PPM)]]&gt;=0, "No evidence"))))</f>
        <v>Very high</v>
      </c>
      <c r="S2036" s="4">
        <v>0.15</v>
      </c>
      <c r="T2036" s="7" t="str">
        <f>IF(AllData[[#This Row],[Phosphate (PPM)]]&gt;0.5, "Very high", IF(AllData[[#This Row],[Phosphate (PPM)]]&gt;0.1, "High", IF(AllData[[#This Row],[Phosphate (PPM)]]&gt;0.05, "Some evidence", IF(AllData[[#This Row],[Phosphate (PPM)]]&lt;=0.05, "No Evidence", ""))))</f>
        <v>High</v>
      </c>
      <c r="U2036">
        <v>0.3</v>
      </c>
      <c r="V2036" t="s">
        <v>531</v>
      </c>
    </row>
    <row r="2037" spans="1:22" x14ac:dyDescent="0.35">
      <c r="A2037" t="s">
        <v>540</v>
      </c>
      <c r="B2037" s="143">
        <v>45304</v>
      </c>
      <c r="C2037" s="2" t="str" cm="1">
        <f t="array" ref="C20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7">
        <v>2023</v>
      </c>
      <c r="E2037" s="1">
        <v>0.625</v>
      </c>
      <c r="F2037" t="str">
        <f>IF(AND(AllData[[#This Row],[Time]]&lt;0.5, AllData[[#This Row],[Time]]&gt;0.17)=TRUE, "Morning", IF(AND(AllData[[#This Row],[Time]]&lt;0.75, AllData[[#This Row],[Time]]&gt;=0.5)=TRUE, "Afternoon", IF(AND(AllData[[#This Row],[Time]]&lt;1, AllData[[#This Row],[Time]]&gt;=0.75)=TRUE, "Evening", "Night")))</f>
        <v>Afternoon</v>
      </c>
      <c r="G2037" t="str">
        <f>_xlfn.XLOOKUP(AllData[[#This Row],[Location Name]], Locations[Location Name],Locations[Group As])</f>
        <v>Sherbourne Brook 1</v>
      </c>
      <c r="H2037" t="e" vm="1">
        <f>_xlfn.XLOOKUP(AllData[[#This Row],[Site Name]],LocationsKey[Site Name],LocationsKey[District])</f>
        <v>#VALUE!</v>
      </c>
      <c r="I2037" t="e" vm="23">
        <f>_xlfn.XLOOKUP(AllData[[#This Row],[Site Name]],LocationsKey[Site Name],LocationsKey[Town])</f>
        <v>#VALUE!</v>
      </c>
      <c r="J2037" t="str">
        <f>_xlfn.XLOOKUP(AllData[[#This Row],[Site Name]],LocationsKey[Site Name], LocationsKey[Waterway])</f>
        <v>Sherbourne Brook</v>
      </c>
      <c r="K2037" t="s">
        <v>541</v>
      </c>
      <c r="L2037">
        <v>52.252499999999998</v>
      </c>
      <c r="M2037" s="108">
        <v>-1.6685000000000001</v>
      </c>
      <c r="N2037" t="s">
        <v>68</v>
      </c>
      <c r="O2037">
        <v>102</v>
      </c>
      <c r="P2037">
        <v>7.4</v>
      </c>
      <c r="Q2037">
        <v>10</v>
      </c>
      <c r="R2037" s="141" t="str">
        <f>IF(AllData[[#This Row],[Nitrate (PPM)]]&gt;2, "Very high", IF(AllData[[#This Row],[Nitrate (PPM)]]&gt;1, "High", IF(AllData[[#This Row],[Nitrate (PPM)]]&gt;0.5, "Some evidence", IF(AllData[[#This Row],[Nitrate (PPM)]]&gt;=0, "No evidence"))))</f>
        <v>Very high</v>
      </c>
      <c r="S2037" s="4">
        <v>0.51</v>
      </c>
      <c r="T2037" s="7" t="str">
        <f>IF(AllData[[#This Row],[Phosphate (PPM)]]&gt;0.5, "Very high", IF(AllData[[#This Row],[Phosphate (PPM)]]&gt;0.1, "High", IF(AllData[[#This Row],[Phosphate (PPM)]]&gt;0.05, "Some evidence", IF(AllData[[#This Row],[Phosphate (PPM)]]&lt;=0.05, "No Evidence", ""))))</f>
        <v>Very high</v>
      </c>
      <c r="U2037">
        <v>0.5</v>
      </c>
      <c r="V2037" t="s">
        <v>542</v>
      </c>
    </row>
    <row r="2038" spans="1:22" x14ac:dyDescent="0.35">
      <c r="A2038" t="s">
        <v>535</v>
      </c>
      <c r="B2038" s="143">
        <v>45304</v>
      </c>
      <c r="C2038" s="2" t="str" cm="1">
        <f t="array" ref="C20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8">
        <v>2023</v>
      </c>
      <c r="E2038" s="1">
        <v>0.52083333333333337</v>
      </c>
      <c r="F2038" t="str">
        <f>IF(AND(AllData[[#This Row],[Time]]&lt;0.5, AllData[[#This Row],[Time]]&gt;0.17)=TRUE, "Morning", IF(AND(AllData[[#This Row],[Time]]&lt;0.75, AllData[[#This Row],[Time]]&gt;=0.5)=TRUE, "Afternoon", IF(AND(AllData[[#This Row],[Time]]&lt;1, AllData[[#This Row],[Time]]&gt;=0.75)=TRUE, "Evening", "Night")))</f>
        <v>Afternoon</v>
      </c>
      <c r="G2038" t="str">
        <f>_xlfn.XLOOKUP(AllData[[#This Row],[Location Name]], Locations[Location Name],Locations[Group As])</f>
        <v>Carrant Bredon Rd</v>
      </c>
      <c r="H2038" t="e" vm="4">
        <f>_xlfn.XLOOKUP(AllData[[#This Row],[Site Name]],LocationsKey[Site Name],LocationsKey[District])</f>
        <v>#VALUE!</v>
      </c>
      <c r="I2038" t="e" vm="4">
        <f>_xlfn.XLOOKUP(AllData[[#This Row],[Site Name]],LocationsKey[Site Name],LocationsKey[Town])</f>
        <v>#VALUE!</v>
      </c>
      <c r="J2038" t="str">
        <f>_xlfn.XLOOKUP(AllData[[#This Row],[Site Name]],LocationsKey[Site Name], LocationsKey[Waterway])</f>
        <v>Carrant</v>
      </c>
      <c r="K2038" t="s">
        <v>91</v>
      </c>
      <c r="L2038">
        <v>51.996360000000003</v>
      </c>
      <c r="M2038" s="108">
        <v>-2.1560489999999999</v>
      </c>
      <c r="N2038" t="s">
        <v>25</v>
      </c>
      <c r="O2038">
        <v>761</v>
      </c>
      <c r="P2038">
        <v>7.1</v>
      </c>
      <c r="Q2038">
        <v>6</v>
      </c>
      <c r="R2038" s="141" t="str">
        <f>IF(AllData[[#This Row],[Nitrate (PPM)]]&gt;2, "Very high", IF(AllData[[#This Row],[Nitrate (PPM)]]&gt;1, "High", IF(AllData[[#This Row],[Nitrate (PPM)]]&gt;0.5, "Some evidence", IF(AllData[[#This Row],[Nitrate (PPM)]]&gt;=0, "No evidence"))))</f>
        <v>Very high</v>
      </c>
      <c r="S2038" s="4">
        <v>0.37</v>
      </c>
      <c r="T2038" s="7" t="str">
        <f>IF(AllData[[#This Row],[Phosphate (PPM)]]&gt;0.5, "Very high", IF(AllData[[#This Row],[Phosphate (PPM)]]&gt;0.1, "High", IF(AllData[[#This Row],[Phosphate (PPM)]]&gt;0.05, "Some evidence", IF(AllData[[#This Row],[Phosphate (PPM)]]&lt;=0.05, "No Evidence", ""))))</f>
        <v>High</v>
      </c>
      <c r="U2038">
        <v>0.3</v>
      </c>
      <c r="V2038" t="s">
        <v>536</v>
      </c>
    </row>
    <row r="2039" spans="1:22" x14ac:dyDescent="0.35">
      <c r="A2039" t="s">
        <v>534</v>
      </c>
      <c r="B2039" s="143">
        <v>45304</v>
      </c>
      <c r="C2039" s="2" t="str" cm="1">
        <f t="array" ref="C20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39">
        <v>2023</v>
      </c>
      <c r="E2039" s="1">
        <v>0.48958333333333331</v>
      </c>
      <c r="F2039" t="str">
        <f>IF(AND(AllData[[#This Row],[Time]]&lt;0.5, AllData[[#This Row],[Time]]&gt;0.17)=TRUE, "Morning", IF(AND(AllData[[#This Row],[Time]]&lt;0.75, AllData[[#This Row],[Time]]&gt;=0.5)=TRUE, "Afternoon", IF(AND(AllData[[#This Row],[Time]]&lt;1, AllData[[#This Row],[Time]]&gt;=0.75)=TRUE, "Evening", "Night")))</f>
        <v>Morning</v>
      </c>
      <c r="G2039" t="str">
        <f>_xlfn.XLOOKUP(AllData[[#This Row],[Location Name]], Locations[Location Name],Locations[Group As])</f>
        <v>Clifford Chambers Road Bridge</v>
      </c>
      <c r="H2039" t="e" vm="1">
        <f>_xlfn.XLOOKUP(AllData[[#This Row],[Site Name]],LocationsKey[Site Name],LocationsKey[District])</f>
        <v>#VALUE!</v>
      </c>
      <c r="I2039" t="e" vm="22">
        <f>_xlfn.XLOOKUP(AllData[[#This Row],[Site Name]],LocationsKey[Site Name],LocationsKey[Town])</f>
        <v>#VALUE!</v>
      </c>
      <c r="J2039" t="str">
        <f>_xlfn.XLOOKUP(AllData[[#This Row],[Site Name]],LocationsKey[Site Name], LocationsKey[Waterway])</f>
        <v>Stour</v>
      </c>
      <c r="K2039" t="s">
        <v>429</v>
      </c>
      <c r="L2039">
        <v>52.172840000000001</v>
      </c>
      <c r="M2039" s="108">
        <v>-1.71377</v>
      </c>
      <c r="N2039" t="s">
        <v>191</v>
      </c>
      <c r="O2039">
        <v>666</v>
      </c>
      <c r="P2039">
        <v>13.4</v>
      </c>
      <c r="Q2039">
        <v>5</v>
      </c>
      <c r="R2039" s="141" t="str">
        <f>IF(AllData[[#This Row],[Nitrate (PPM)]]&gt;2, "Very high", IF(AllData[[#This Row],[Nitrate (PPM)]]&gt;1, "High", IF(AllData[[#This Row],[Nitrate (PPM)]]&gt;0.5, "Some evidence", IF(AllData[[#This Row],[Nitrate (PPM)]]&gt;=0, "No evidence"))))</f>
        <v>Very high</v>
      </c>
      <c r="S2039" s="4">
        <v>0.3</v>
      </c>
      <c r="T2039" s="7" t="str">
        <f>IF(AllData[[#This Row],[Phosphate (PPM)]]&gt;0.5, "Very high", IF(AllData[[#This Row],[Phosphate (PPM)]]&gt;0.1, "High", IF(AllData[[#This Row],[Phosphate (PPM)]]&gt;0.05, "Some evidence", IF(AllData[[#This Row],[Phosphate (PPM)]]&lt;=0.05, "No Evidence", ""))))</f>
        <v>High</v>
      </c>
      <c r="U2039">
        <v>1</v>
      </c>
    </row>
    <row r="2040" spans="1:22" x14ac:dyDescent="0.35">
      <c r="A2040" t="s">
        <v>543</v>
      </c>
      <c r="B2040" s="143">
        <v>45304</v>
      </c>
      <c r="C2040" s="2" t="str" cm="1">
        <f t="array" ref="C20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0">
        <v>2023</v>
      </c>
      <c r="E2040" s="1">
        <v>0.65347222222222223</v>
      </c>
      <c r="F2040" t="str">
        <f>IF(AND(AllData[[#This Row],[Time]]&lt;0.5, AllData[[#This Row],[Time]]&gt;0.17)=TRUE, "Morning", IF(AND(AllData[[#This Row],[Time]]&lt;0.75, AllData[[#This Row],[Time]]&gt;=0.5)=TRUE, "Afternoon", IF(AND(AllData[[#This Row],[Time]]&lt;1, AllData[[#This Row],[Time]]&gt;=0.75)=TRUE, "Evening", "Night")))</f>
        <v>Afternoon</v>
      </c>
      <c r="G2040" t="str">
        <f>_xlfn.XLOOKUP(AllData[[#This Row],[Location Name]], Locations[Location Name],Locations[Group As])</f>
        <v>Abbey Mill</v>
      </c>
      <c r="H2040" t="e" vm="4">
        <f>_xlfn.XLOOKUP(AllData[[#This Row],[Site Name]],LocationsKey[Site Name],LocationsKey[District])</f>
        <v>#VALUE!</v>
      </c>
      <c r="I2040" t="e" vm="4">
        <f>_xlfn.XLOOKUP(AllData[[#This Row],[Site Name]],LocationsKey[Site Name],LocationsKey[Town])</f>
        <v>#VALUE!</v>
      </c>
      <c r="J2040" t="str">
        <f>_xlfn.XLOOKUP(AllData[[#This Row],[Site Name]],LocationsKey[Site Name], LocationsKey[Waterway])</f>
        <v>Avon</v>
      </c>
      <c r="K2040" t="s">
        <v>24</v>
      </c>
      <c r="L2040">
        <v>51.991370000000003</v>
      </c>
      <c r="M2040" s="108">
        <v>-2.1625640000000002</v>
      </c>
      <c r="N2040" t="s">
        <v>25</v>
      </c>
      <c r="O2040">
        <v>709</v>
      </c>
      <c r="P2040">
        <v>6</v>
      </c>
      <c r="Q2040">
        <v>4</v>
      </c>
      <c r="R2040" s="141" t="str">
        <f>IF(AllData[[#This Row],[Nitrate (PPM)]]&gt;2, "Very high", IF(AllData[[#This Row],[Nitrate (PPM)]]&gt;1, "High", IF(AllData[[#This Row],[Nitrate (PPM)]]&gt;0.5, "Some evidence", IF(AllData[[#This Row],[Nitrate (PPM)]]&gt;=0, "No evidence"))))</f>
        <v>Very high</v>
      </c>
      <c r="S2040" s="4">
        <v>0.56999999999999995</v>
      </c>
      <c r="T2040" s="7" t="str">
        <f>IF(AllData[[#This Row],[Phosphate (PPM)]]&gt;0.5, "Very high", IF(AllData[[#This Row],[Phosphate (PPM)]]&gt;0.1, "High", IF(AllData[[#This Row],[Phosphate (PPM)]]&gt;0.05, "Some evidence", IF(AllData[[#This Row],[Phosphate (PPM)]]&lt;=0.05, "No Evidence", ""))))</f>
        <v>Very high</v>
      </c>
      <c r="U2040">
        <v>0.5</v>
      </c>
    </row>
    <row r="2041" spans="1:22" x14ac:dyDescent="0.35">
      <c r="A2041" t="s">
        <v>532</v>
      </c>
      <c r="B2041" s="143">
        <v>45304</v>
      </c>
      <c r="C2041" s="2" t="str" cm="1">
        <f t="array" ref="C20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1">
        <v>2023</v>
      </c>
      <c r="E2041" s="1">
        <v>0.47916666666666669</v>
      </c>
      <c r="F2041" t="str">
        <f>IF(AND(AllData[[#This Row],[Time]]&lt;0.5, AllData[[#This Row],[Time]]&gt;0.17)=TRUE, "Morning", IF(AND(AllData[[#This Row],[Time]]&lt;0.75, AllData[[#This Row],[Time]]&gt;=0.5)=TRUE, "Afternoon", IF(AND(AllData[[#This Row],[Time]]&lt;1, AllData[[#This Row],[Time]]&gt;=0.75)=TRUE, "Evening", "Night")))</f>
        <v>Morning</v>
      </c>
      <c r="G2041" t="str">
        <f>_xlfn.XLOOKUP(AllData[[#This Row],[Location Name]], Locations[Location Name],Locations[Group As])</f>
        <v>Clifford Chambers Mill Bridge</v>
      </c>
      <c r="H2041" t="e" vm="1">
        <f>_xlfn.XLOOKUP(AllData[[#This Row],[Site Name]],LocationsKey[Site Name],LocationsKey[District])</f>
        <v>#VALUE!</v>
      </c>
      <c r="I2041" t="e" vm="22">
        <f>_xlfn.XLOOKUP(AllData[[#This Row],[Site Name]],LocationsKey[Site Name],LocationsKey[Town])</f>
        <v>#VALUE!</v>
      </c>
      <c r="J2041" t="str">
        <f>_xlfn.XLOOKUP(AllData[[#This Row],[Site Name]],LocationsKey[Site Name], LocationsKey[Waterway])</f>
        <v>Stour</v>
      </c>
      <c r="K2041" t="s">
        <v>266</v>
      </c>
      <c r="L2041">
        <v>52.166370000000001</v>
      </c>
      <c r="M2041" s="108">
        <v>-1.708032</v>
      </c>
      <c r="N2041" t="s">
        <v>68</v>
      </c>
      <c r="O2041">
        <v>668</v>
      </c>
      <c r="P2041">
        <v>13.2</v>
      </c>
      <c r="Q2041">
        <v>4</v>
      </c>
      <c r="R2041" s="141" t="str">
        <f>IF(AllData[[#This Row],[Nitrate (PPM)]]&gt;2, "Very high", IF(AllData[[#This Row],[Nitrate (PPM)]]&gt;1, "High", IF(AllData[[#This Row],[Nitrate (PPM)]]&gt;0.5, "Some evidence", IF(AllData[[#This Row],[Nitrate (PPM)]]&gt;=0, "No evidence"))))</f>
        <v>Very high</v>
      </c>
      <c r="S2041" s="4">
        <v>0.27</v>
      </c>
      <c r="T2041" s="7" t="str">
        <f>IF(AllData[[#This Row],[Phosphate (PPM)]]&gt;0.5, "Very high", IF(AllData[[#This Row],[Phosphate (PPM)]]&gt;0.1, "High", IF(AllData[[#This Row],[Phosphate (PPM)]]&gt;0.05, "Some evidence", IF(AllData[[#This Row],[Phosphate (PPM)]]&lt;=0.05, "No Evidence", ""))))</f>
        <v>High</v>
      </c>
      <c r="U2041">
        <v>1.1000000000000001</v>
      </c>
      <c r="V2041" t="s">
        <v>533</v>
      </c>
    </row>
    <row r="2042" spans="1:22" x14ac:dyDescent="0.35">
      <c r="A2042" t="s">
        <v>537</v>
      </c>
      <c r="B2042" s="143">
        <v>45304</v>
      </c>
      <c r="C2042" s="2" t="str" cm="1">
        <f t="array" ref="C20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2">
        <v>2023</v>
      </c>
      <c r="E2042" s="1">
        <v>0.625</v>
      </c>
      <c r="F2042" t="str">
        <f>IF(AND(AllData[[#This Row],[Time]]&lt;0.5, AllData[[#This Row],[Time]]&gt;0.17)=TRUE, "Morning", IF(AND(AllData[[#This Row],[Time]]&lt;0.75, AllData[[#This Row],[Time]]&gt;=0.5)=TRUE, "Afternoon", IF(AND(AllData[[#This Row],[Time]]&lt;1, AllData[[#This Row],[Time]]&gt;=0.75)=TRUE, "Evening", "Night")))</f>
        <v>Afternoon</v>
      </c>
      <c r="G2042" t="str">
        <f>_xlfn.XLOOKUP(AllData[[#This Row],[Location Name]], Locations[Location Name],Locations[Group As])</f>
        <v>Bell Brook 1</v>
      </c>
      <c r="H2042" t="e" vm="1">
        <f>_xlfn.XLOOKUP(AllData[[#This Row],[Site Name]],LocationsKey[Site Name],LocationsKey[District])</f>
        <v>#VALUE!</v>
      </c>
      <c r="I2042" t="e" vm="19">
        <f>_xlfn.XLOOKUP(AllData[[#This Row],[Site Name]],LocationsKey[Site Name],LocationsKey[Town])</f>
        <v>#VALUE!</v>
      </c>
      <c r="J2042" t="str">
        <f>_xlfn.XLOOKUP(AllData[[#This Row],[Site Name]],LocationsKey[Site Name], LocationsKey[Waterway])</f>
        <v>Bell Brook</v>
      </c>
      <c r="K2042" t="s">
        <v>538</v>
      </c>
      <c r="L2042">
        <v>52.244900000000001</v>
      </c>
      <c r="M2042" s="108">
        <v>-1.6617</v>
      </c>
      <c r="N2042" t="s">
        <v>25</v>
      </c>
      <c r="O2042">
        <v>722</v>
      </c>
      <c r="P2042">
        <v>6.2</v>
      </c>
      <c r="Q2042">
        <v>3</v>
      </c>
      <c r="R2042" s="141" t="str">
        <f>IF(AllData[[#This Row],[Nitrate (PPM)]]&gt;2, "Very high", IF(AllData[[#This Row],[Nitrate (PPM)]]&gt;1, "High", IF(AllData[[#This Row],[Nitrate (PPM)]]&gt;0.5, "Some evidence", IF(AllData[[#This Row],[Nitrate (PPM)]]&gt;=0, "No evidence"))))</f>
        <v>Very high</v>
      </c>
      <c r="S2042" s="4">
        <v>1.33</v>
      </c>
      <c r="T2042" s="7" t="str">
        <f>IF(AllData[[#This Row],[Phosphate (PPM)]]&gt;0.5, "Very high", IF(AllData[[#This Row],[Phosphate (PPM)]]&gt;0.1, "High", IF(AllData[[#This Row],[Phosphate (PPM)]]&gt;0.05, "Some evidence", IF(AllData[[#This Row],[Phosphate (PPM)]]&lt;=0.05, "No Evidence", ""))))</f>
        <v>Very high</v>
      </c>
      <c r="U2042">
        <v>0.5</v>
      </c>
      <c r="V2042" t="s">
        <v>539</v>
      </c>
    </row>
    <row r="2043" spans="1:22" x14ac:dyDescent="0.35">
      <c r="A2043" t="s">
        <v>527</v>
      </c>
      <c r="B2043" s="143">
        <v>45303</v>
      </c>
      <c r="C2043" s="2" t="str" cm="1">
        <f t="array" ref="C20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3">
        <v>2023</v>
      </c>
      <c r="E2043" s="1">
        <v>0.49722222222222223</v>
      </c>
      <c r="F2043" t="str">
        <f>IF(AND(AllData[[#This Row],[Time]]&lt;0.5, AllData[[#This Row],[Time]]&gt;0.17)=TRUE, "Morning", IF(AND(AllData[[#This Row],[Time]]&lt;0.75, AllData[[#This Row],[Time]]&gt;=0.5)=TRUE, "Afternoon", IF(AND(AllData[[#This Row],[Time]]&lt;1, AllData[[#This Row],[Time]]&gt;=0.75)=TRUE, "Evening", "Night")))</f>
        <v>Morning</v>
      </c>
      <c r="G2043" t="str">
        <f>_xlfn.XLOOKUP(AllData[[#This Row],[Location Name]], Locations[Location Name],Locations[Group As])</f>
        <v>Preston-on-Stour River Bridge</v>
      </c>
      <c r="H2043" t="e" vm="1">
        <f>_xlfn.XLOOKUP(AllData[[#This Row],[Site Name]],LocationsKey[Site Name],LocationsKey[District])</f>
        <v>#VALUE!</v>
      </c>
      <c r="I2043" t="e" vm="20">
        <f>_xlfn.XLOOKUP(AllData[[#This Row],[Site Name]],LocationsKey[Site Name],LocationsKey[Town])</f>
        <v>#VALUE!</v>
      </c>
      <c r="J2043" t="str">
        <f>_xlfn.XLOOKUP(AllData[[#This Row],[Site Name]],LocationsKey[Site Name], LocationsKey[Waterway])</f>
        <v>Stour</v>
      </c>
      <c r="K2043" t="s">
        <v>164</v>
      </c>
      <c r="L2043">
        <v>52.146529000000001</v>
      </c>
      <c r="M2043" s="108">
        <v>-1.6994359999999999</v>
      </c>
      <c r="N2043" t="s">
        <v>31</v>
      </c>
      <c r="O2043">
        <v>651</v>
      </c>
      <c r="P2043">
        <v>5.9</v>
      </c>
      <c r="Q2043">
        <v>5</v>
      </c>
      <c r="R2043" s="141" t="str">
        <f>IF(AllData[[#This Row],[Nitrate (PPM)]]&gt;2, "Very high", IF(AllData[[#This Row],[Nitrate (PPM)]]&gt;1, "High", IF(AllData[[#This Row],[Nitrate (PPM)]]&gt;0.5, "Some evidence", IF(AllData[[#This Row],[Nitrate (PPM)]]&gt;=0, "No evidence"))))</f>
        <v>Very high</v>
      </c>
      <c r="S2043" s="4">
        <v>0.15</v>
      </c>
      <c r="T2043" s="7" t="str">
        <f>IF(AllData[[#This Row],[Phosphate (PPM)]]&gt;0.5, "Very high", IF(AllData[[#This Row],[Phosphate (PPM)]]&gt;0.1, "High", IF(AllData[[#This Row],[Phosphate (PPM)]]&gt;0.05, "Some evidence", IF(AllData[[#This Row],[Phosphate (PPM)]]&lt;=0.05, "No Evidence", ""))))</f>
        <v>High</v>
      </c>
      <c r="U2043">
        <v>1.5</v>
      </c>
      <c r="V2043" t="s">
        <v>528</v>
      </c>
    </row>
    <row r="2044" spans="1:22" x14ac:dyDescent="0.35">
      <c r="A2044" t="s">
        <v>523</v>
      </c>
      <c r="B2044" s="143">
        <v>45302</v>
      </c>
      <c r="C2044" s="2" t="str" cm="1">
        <f t="array" ref="C20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4">
        <v>2023</v>
      </c>
      <c r="E2044" s="1">
        <v>0.64583333333333337</v>
      </c>
      <c r="F2044" t="str">
        <f>IF(AND(AllData[[#This Row],[Time]]&lt;0.5, AllData[[#This Row],[Time]]&gt;0.17)=TRUE, "Morning", IF(AND(AllData[[#This Row],[Time]]&lt;0.75, AllData[[#This Row],[Time]]&gt;=0.5)=TRUE, "Afternoon", IF(AND(AllData[[#This Row],[Time]]&lt;1, AllData[[#This Row],[Time]]&gt;=0.75)=TRUE, "Evening", "Night")))</f>
        <v>Afternoon</v>
      </c>
      <c r="G2044" t="str">
        <f>_xlfn.XLOOKUP(AllData[[#This Row],[Location Name]], Locations[Location Name],Locations[Group As])</f>
        <v>Alveston Weir</v>
      </c>
      <c r="H2044" t="e" vm="1">
        <f>_xlfn.XLOOKUP(AllData[[#This Row],[Site Name]],LocationsKey[Site Name],LocationsKey[District])</f>
        <v>#VALUE!</v>
      </c>
      <c r="I2044" t="e" vm="2">
        <f>_xlfn.XLOOKUP(AllData[[#This Row],[Site Name]],LocationsKey[Site Name],LocationsKey[Town])</f>
        <v>#VALUE!</v>
      </c>
      <c r="J2044" t="str">
        <f>_xlfn.XLOOKUP(AllData[[#This Row],[Site Name]],LocationsKey[Site Name], LocationsKey[Waterway])</f>
        <v>Avon</v>
      </c>
      <c r="K2044" t="s">
        <v>288</v>
      </c>
      <c r="L2044">
        <v>52.212290000000003</v>
      </c>
      <c r="M2044" s="108">
        <v>-1.66</v>
      </c>
      <c r="N2044" t="s">
        <v>31</v>
      </c>
      <c r="O2044">
        <v>719</v>
      </c>
      <c r="P2044">
        <v>5.7</v>
      </c>
      <c r="Q2044">
        <v>10</v>
      </c>
      <c r="R2044" s="141" t="str">
        <f>IF(AllData[[#This Row],[Nitrate (PPM)]]&gt;2, "Very high", IF(AllData[[#This Row],[Nitrate (PPM)]]&gt;1, "High", IF(AllData[[#This Row],[Nitrate (PPM)]]&gt;0.5, "Some evidence", IF(AllData[[#This Row],[Nitrate (PPM)]]&gt;=0, "No evidence"))))</f>
        <v>Very high</v>
      </c>
      <c r="S2044" s="4">
        <v>0.51</v>
      </c>
      <c r="T2044" s="7" t="str">
        <f>IF(AllData[[#This Row],[Phosphate (PPM)]]&gt;0.5, "Very high", IF(AllData[[#This Row],[Phosphate (PPM)]]&gt;0.1, "High", IF(AllData[[#This Row],[Phosphate (PPM)]]&gt;0.05, "Some evidence", IF(AllData[[#This Row],[Phosphate (PPM)]]&lt;=0.05, "No Evidence", ""))))</f>
        <v>Very high</v>
      </c>
      <c r="U2044">
        <v>1</v>
      </c>
      <c r="V2044" t="s">
        <v>524</v>
      </c>
    </row>
    <row r="2045" spans="1:22" x14ac:dyDescent="0.35">
      <c r="A2045" t="s">
        <v>525</v>
      </c>
      <c r="B2045" s="143">
        <v>45302</v>
      </c>
      <c r="C2045" s="2" t="str" cm="1">
        <f t="array" ref="C20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5">
        <v>2023</v>
      </c>
      <c r="E2045" s="1">
        <v>0.64583333333333337</v>
      </c>
      <c r="F2045" t="str">
        <f>IF(AND(AllData[[#This Row],[Time]]&lt;0.5, AllData[[#This Row],[Time]]&gt;0.17)=TRUE, "Morning", IF(AND(AllData[[#This Row],[Time]]&lt;0.75, AllData[[#This Row],[Time]]&gt;=0.5)=TRUE, "Afternoon", IF(AND(AllData[[#This Row],[Time]]&lt;1, AllData[[#This Row],[Time]]&gt;=0.75)=TRUE, "Evening", "Night")))</f>
        <v>Afternoon</v>
      </c>
      <c r="G2045" t="str">
        <f>_xlfn.XLOOKUP(AllData[[#This Row],[Location Name]], Locations[Location Name],Locations[Group As])</f>
        <v>Swiffen Bank</v>
      </c>
      <c r="H2045" t="e" vm="1">
        <f>_xlfn.XLOOKUP(AllData[[#This Row],[Site Name]],LocationsKey[Site Name],LocationsKey[District])</f>
        <v>#VALUE!</v>
      </c>
      <c r="I2045" t="e" vm="2">
        <f>_xlfn.XLOOKUP(AllData[[#This Row],[Site Name]],LocationsKey[Site Name],LocationsKey[Town])</f>
        <v>#VALUE!</v>
      </c>
      <c r="J2045" t="str">
        <f>_xlfn.XLOOKUP(AllData[[#This Row],[Site Name]],LocationsKey[Site Name], LocationsKey[Waterway])</f>
        <v>Avon</v>
      </c>
      <c r="K2045" t="s">
        <v>286</v>
      </c>
      <c r="L2045">
        <v>52.206477999999997</v>
      </c>
      <c r="M2045" s="108">
        <v>-1.653894</v>
      </c>
      <c r="N2045" t="s">
        <v>31</v>
      </c>
      <c r="O2045">
        <v>701</v>
      </c>
      <c r="P2045">
        <v>6.5</v>
      </c>
      <c r="Q2045">
        <v>5</v>
      </c>
      <c r="R2045" s="141" t="str">
        <f>IF(AllData[[#This Row],[Nitrate (PPM)]]&gt;2, "Very high", IF(AllData[[#This Row],[Nitrate (PPM)]]&gt;1, "High", IF(AllData[[#This Row],[Nitrate (PPM)]]&gt;0.5, "Some evidence", IF(AllData[[#This Row],[Nitrate (PPM)]]&gt;=0, "No evidence"))))</f>
        <v>Very high</v>
      </c>
      <c r="S2045" s="4">
        <v>0.46</v>
      </c>
      <c r="T2045" s="7" t="str">
        <f>IF(AllData[[#This Row],[Phosphate (PPM)]]&gt;0.5, "Very high", IF(AllData[[#This Row],[Phosphate (PPM)]]&gt;0.1, "High", IF(AllData[[#This Row],[Phosphate (PPM)]]&gt;0.05, "Some evidence", IF(AllData[[#This Row],[Phosphate (PPM)]]&lt;=0.05, "No Evidence", ""))))</f>
        <v>High</v>
      </c>
      <c r="U2045">
        <v>0</v>
      </c>
      <c r="V2045" t="s">
        <v>526</v>
      </c>
    </row>
    <row r="2046" spans="1:22" x14ac:dyDescent="0.35">
      <c r="A2046" t="s">
        <v>522</v>
      </c>
      <c r="B2046" s="143">
        <v>45302</v>
      </c>
      <c r="C2046" s="2" t="str" cm="1">
        <f t="array" ref="C20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6">
        <v>2023</v>
      </c>
      <c r="E2046" s="1">
        <v>0.4375</v>
      </c>
      <c r="F2046" t="str">
        <f>IF(AND(AllData[[#This Row],[Time]]&lt;0.5, AllData[[#This Row],[Time]]&gt;0.17)=TRUE, "Morning", IF(AND(AllData[[#This Row],[Time]]&lt;0.75, AllData[[#This Row],[Time]]&gt;=0.5)=TRUE, "Afternoon", IF(AND(AllData[[#This Row],[Time]]&lt;1, AllData[[#This Row],[Time]]&gt;=0.75)=TRUE, "Evening", "Night")))</f>
        <v>Morning</v>
      </c>
      <c r="G2046" t="str">
        <f>_xlfn.XLOOKUP(AllData[[#This Row],[Location Name]], Locations[Location Name],Locations[Group As])</f>
        <v>Swilgate</v>
      </c>
      <c r="H2046" t="e" vm="4">
        <f>_xlfn.XLOOKUP(AllData[[#This Row],[Site Name]],LocationsKey[Site Name],LocationsKey[District])</f>
        <v>#VALUE!</v>
      </c>
      <c r="I2046" t="e" vm="4">
        <f>_xlfn.XLOOKUP(AllData[[#This Row],[Site Name]],LocationsKey[Site Name],LocationsKey[Town])</f>
        <v>#VALUE!</v>
      </c>
      <c r="J2046" t="str">
        <f>_xlfn.XLOOKUP(AllData[[#This Row],[Site Name]],LocationsKey[Site Name], LocationsKey[Waterway])</f>
        <v>Swilgate</v>
      </c>
      <c r="K2046" t="s">
        <v>85</v>
      </c>
      <c r="L2046">
        <v>51.988615000000003</v>
      </c>
      <c r="M2046" s="108">
        <v>-2.1637019999999998</v>
      </c>
      <c r="N2046" t="s">
        <v>25</v>
      </c>
      <c r="O2046">
        <v>846</v>
      </c>
      <c r="P2046">
        <v>5.0999999999999996</v>
      </c>
      <c r="Q2046">
        <v>4</v>
      </c>
      <c r="R2046" s="141" t="str">
        <f>IF(AllData[[#This Row],[Nitrate (PPM)]]&gt;2, "Very high", IF(AllData[[#This Row],[Nitrate (PPM)]]&gt;1, "High", IF(AllData[[#This Row],[Nitrate (PPM)]]&gt;0.5, "Some evidence", IF(AllData[[#This Row],[Nitrate (PPM)]]&gt;=0, "No evidence"))))</f>
        <v>Very high</v>
      </c>
      <c r="S2046" s="4">
        <v>0.47</v>
      </c>
      <c r="T2046" s="7" t="str">
        <f>IF(AllData[[#This Row],[Phosphate (PPM)]]&gt;0.5, "Very high", IF(AllData[[#This Row],[Phosphate (PPM)]]&gt;0.1, "High", IF(AllData[[#This Row],[Phosphate (PPM)]]&gt;0.05, "Some evidence", IF(AllData[[#This Row],[Phosphate (PPM)]]&lt;=0.05, "No Evidence", ""))))</f>
        <v>High</v>
      </c>
      <c r="U2046">
        <v>1</v>
      </c>
    </row>
    <row r="2047" spans="1:22" x14ac:dyDescent="0.35">
      <c r="A2047" t="s">
        <v>520</v>
      </c>
      <c r="B2047" s="143">
        <v>45302</v>
      </c>
      <c r="C2047" s="2" t="str" cm="1">
        <f t="array" ref="C20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7">
        <v>2023</v>
      </c>
      <c r="E2047" s="1">
        <v>0.43333333333333335</v>
      </c>
      <c r="F2047" t="str">
        <f>IF(AND(AllData[[#This Row],[Time]]&lt;0.5, AllData[[#This Row],[Time]]&gt;0.17)=TRUE, "Morning", IF(AND(AllData[[#This Row],[Time]]&lt;0.75, AllData[[#This Row],[Time]]&gt;=0.5)=TRUE, "Afternoon", IF(AND(AllData[[#This Row],[Time]]&lt;1, AllData[[#This Row],[Time]]&gt;=0.75)=TRUE, "Evening", "Night")))</f>
        <v>Morning</v>
      </c>
      <c r="G2047" t="str">
        <f>_xlfn.XLOOKUP(AllData[[#This Row],[Location Name]], Locations[Location Name],Locations[Group As])</f>
        <v>Stour Willington</v>
      </c>
      <c r="H2047" t="e" vm="1">
        <f>_xlfn.XLOOKUP(AllData[[#This Row],[Site Name]],LocationsKey[Site Name],LocationsKey[District])</f>
        <v>#VALUE!</v>
      </c>
      <c r="I2047" t="str">
        <f>_xlfn.XLOOKUP(AllData[[#This Row],[Site Name]],LocationsKey[Site Name],LocationsKey[Town])</f>
        <v>Willington</v>
      </c>
      <c r="J2047" t="str">
        <f>_xlfn.XLOOKUP(AllData[[#This Row],[Site Name]],LocationsKey[Site Name], LocationsKey[Waterway])</f>
        <v>Stour</v>
      </c>
      <c r="K2047" t="s">
        <v>521</v>
      </c>
      <c r="L2047">
        <v>52.050897999999997</v>
      </c>
      <c r="M2047" s="108">
        <v>-1.613686</v>
      </c>
      <c r="N2047" t="s">
        <v>25</v>
      </c>
      <c r="O2047">
        <v>602</v>
      </c>
      <c r="P2047">
        <v>6.9</v>
      </c>
      <c r="Q2047">
        <v>2</v>
      </c>
      <c r="R2047" s="141" t="str">
        <f>IF(AllData[[#This Row],[Nitrate (PPM)]]&gt;2, "Very high", IF(AllData[[#This Row],[Nitrate (PPM)]]&gt;1, "High", IF(AllData[[#This Row],[Nitrate (PPM)]]&gt;0.5, "Some evidence", IF(AllData[[#This Row],[Nitrate (PPM)]]&gt;=0, "No evidence"))))</f>
        <v>High</v>
      </c>
      <c r="S2047" s="4">
        <v>0.18</v>
      </c>
      <c r="T2047" s="7" t="str">
        <f>IF(AllData[[#This Row],[Phosphate (PPM)]]&gt;0.5, "Very high", IF(AllData[[#This Row],[Phosphate (PPM)]]&gt;0.1, "High", IF(AllData[[#This Row],[Phosphate (PPM)]]&gt;0.05, "Some evidence", IF(AllData[[#This Row],[Phosphate (PPM)]]&lt;=0.05, "No Evidence", ""))))</f>
        <v>High</v>
      </c>
      <c r="U2047">
        <v>1</v>
      </c>
    </row>
    <row r="2048" spans="1:22" x14ac:dyDescent="0.35">
      <c r="A2048" t="s">
        <v>518</v>
      </c>
      <c r="B2048" s="143">
        <v>45301</v>
      </c>
      <c r="C2048" s="2" t="str" cm="1">
        <f t="array" ref="C20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8">
        <v>2023</v>
      </c>
      <c r="E2048" s="1">
        <v>0.64583333333333337</v>
      </c>
      <c r="F2048" t="str">
        <f>IF(AND(AllData[[#This Row],[Time]]&lt;0.5, AllData[[#This Row],[Time]]&gt;0.17)=TRUE, "Morning", IF(AND(AllData[[#This Row],[Time]]&lt;0.75, AllData[[#This Row],[Time]]&gt;=0.5)=TRUE, "Afternoon", IF(AND(AllData[[#This Row],[Time]]&lt;1, AllData[[#This Row],[Time]]&gt;=0.75)=TRUE, "Evening", "Night")))</f>
        <v>Afternoon</v>
      </c>
      <c r="G2048" t="str">
        <f>_xlfn.XLOOKUP(AllData[[#This Row],[Location Name]], Locations[Location Name],Locations[Group As])</f>
        <v>Stour Newbold Mill</v>
      </c>
      <c r="H2048" t="e" vm="1">
        <f>_xlfn.XLOOKUP(AllData[[#This Row],[Site Name]],LocationsKey[Site Name],LocationsKey[District])</f>
        <v>#VALUE!</v>
      </c>
      <c r="I2048" t="e" vm="27">
        <f>_xlfn.XLOOKUP(AllData[[#This Row],[Site Name]],LocationsKey[Site Name],LocationsKey[Town])</f>
        <v>#VALUE!</v>
      </c>
      <c r="J2048" t="str">
        <f>_xlfn.XLOOKUP(AllData[[#This Row],[Site Name]],LocationsKey[Site Name], LocationsKey[Waterway])</f>
        <v>Stour</v>
      </c>
      <c r="K2048" t="s">
        <v>141</v>
      </c>
      <c r="L2048">
        <v>52.112845999999998</v>
      </c>
      <c r="M2048" s="108">
        <v>-1.633429</v>
      </c>
      <c r="N2048" t="s">
        <v>31</v>
      </c>
      <c r="O2048">
        <v>640</v>
      </c>
      <c r="P2048">
        <v>8.1999999999999993</v>
      </c>
      <c r="Q2048">
        <v>5</v>
      </c>
      <c r="R2048" s="141" t="str">
        <f>IF(AllData[[#This Row],[Nitrate (PPM)]]&gt;2, "Very high", IF(AllData[[#This Row],[Nitrate (PPM)]]&gt;1, "High", IF(AllData[[#This Row],[Nitrate (PPM)]]&gt;0.5, "Some evidence", IF(AllData[[#This Row],[Nitrate (PPM)]]&gt;=0, "No evidence"))))</f>
        <v>Very high</v>
      </c>
      <c r="S2048" s="4">
        <v>0.22</v>
      </c>
      <c r="T2048" s="7" t="str">
        <f>IF(AllData[[#This Row],[Phosphate (PPM)]]&gt;0.5, "Very high", IF(AllData[[#This Row],[Phosphate (PPM)]]&gt;0.1, "High", IF(AllData[[#This Row],[Phosphate (PPM)]]&gt;0.05, "Some evidence", IF(AllData[[#This Row],[Phosphate (PPM)]]&lt;=0.05, "No Evidence", ""))))</f>
        <v>High</v>
      </c>
      <c r="U2048">
        <v>2.5</v>
      </c>
      <c r="V2048" t="s">
        <v>519</v>
      </c>
    </row>
    <row r="2049" spans="1:22" x14ac:dyDescent="0.35">
      <c r="A2049" t="s">
        <v>516</v>
      </c>
      <c r="B2049" s="143">
        <v>45300</v>
      </c>
      <c r="C2049" s="2" t="str" cm="1">
        <f t="array" ref="C20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49">
        <v>2023</v>
      </c>
      <c r="E2049" s="1">
        <v>0.5</v>
      </c>
      <c r="F2049" t="str">
        <f>IF(AND(AllData[[#This Row],[Time]]&lt;0.5, AllData[[#This Row],[Time]]&gt;0.17)=TRUE, "Morning", IF(AND(AllData[[#This Row],[Time]]&lt;0.75, AllData[[#This Row],[Time]]&gt;=0.5)=TRUE, "Afternoon", IF(AND(AllData[[#This Row],[Time]]&lt;1, AllData[[#This Row],[Time]]&gt;=0.75)=TRUE, "Evening", "Night")))</f>
        <v>Afternoon</v>
      </c>
      <c r="G2049" t="str">
        <f>_xlfn.XLOOKUP(AllData[[#This Row],[Location Name]], Locations[Location Name],Locations[Group As])</f>
        <v>Barton</v>
      </c>
      <c r="H2049" t="e" vm="1">
        <f>_xlfn.XLOOKUP(AllData[[#This Row],[Site Name]],LocationsKey[Site Name],LocationsKey[District])</f>
        <v>#VALUE!</v>
      </c>
      <c r="I2049" t="str">
        <f>_xlfn.XLOOKUP(AllData[[#This Row],[Site Name]],LocationsKey[Site Name],LocationsKey[Town])</f>
        <v>Barton</v>
      </c>
      <c r="J2049" t="str">
        <f>_xlfn.XLOOKUP(AllData[[#This Row],[Site Name]],LocationsKey[Site Name], LocationsKey[Waterway])</f>
        <v>Avon</v>
      </c>
      <c r="K2049" t="s">
        <v>51</v>
      </c>
      <c r="L2049">
        <v>52.161209999999997</v>
      </c>
      <c r="M2049" s="108">
        <v>-1.8301499999999999</v>
      </c>
      <c r="N2049" t="s">
        <v>31</v>
      </c>
      <c r="O2049">
        <v>728</v>
      </c>
      <c r="P2049">
        <v>8.1</v>
      </c>
      <c r="Q2049">
        <v>20</v>
      </c>
      <c r="R2049" s="141" t="str">
        <f>IF(AllData[[#This Row],[Nitrate (PPM)]]&gt;2, "Very high", IF(AllData[[#This Row],[Nitrate (PPM)]]&gt;1, "High", IF(AllData[[#This Row],[Nitrate (PPM)]]&gt;0.5, "Some evidence", IF(AllData[[#This Row],[Nitrate (PPM)]]&gt;=0, "No evidence"))))</f>
        <v>Very high</v>
      </c>
      <c r="S2049" s="4">
        <v>0.42</v>
      </c>
      <c r="T2049" s="7" t="str">
        <f>IF(AllData[[#This Row],[Phosphate (PPM)]]&gt;0.5, "Very high", IF(AllData[[#This Row],[Phosphate (PPM)]]&gt;0.1, "High", IF(AllData[[#This Row],[Phosphate (PPM)]]&gt;0.05, "Some evidence", IF(AllData[[#This Row],[Phosphate (PPM)]]&lt;=0.05, "No Evidence", ""))))</f>
        <v>High</v>
      </c>
      <c r="U2049">
        <v>0</v>
      </c>
    </row>
    <row r="2050" spans="1:22" x14ac:dyDescent="0.35">
      <c r="A2050" t="s">
        <v>517</v>
      </c>
      <c r="B2050" s="143">
        <v>45300</v>
      </c>
      <c r="C2050" s="2" t="str" cm="1">
        <f t="array" ref="C20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0">
        <v>2023</v>
      </c>
      <c r="E2050" s="1">
        <v>0.68055555555555558</v>
      </c>
      <c r="F2050" t="str">
        <f>IF(AND(AllData[[#This Row],[Time]]&lt;0.5, AllData[[#This Row],[Time]]&gt;0.17)=TRUE, "Morning", IF(AND(AllData[[#This Row],[Time]]&lt;0.75, AllData[[#This Row],[Time]]&gt;=0.5)=TRUE, "Afternoon", IF(AND(AllData[[#This Row],[Time]]&lt;1, AllData[[#This Row],[Time]]&gt;=0.75)=TRUE, "Evening", "Night")))</f>
        <v>Afternoon</v>
      </c>
      <c r="G2050" t="str">
        <f>_xlfn.XLOOKUP(AllData[[#This Row],[Location Name]], Locations[Location Name],Locations[Group As])</f>
        <v>Abbey Mill</v>
      </c>
      <c r="H2050" t="e" vm="4">
        <f>_xlfn.XLOOKUP(AllData[[#This Row],[Site Name]],LocationsKey[Site Name],LocationsKey[District])</f>
        <v>#VALUE!</v>
      </c>
      <c r="I2050" t="e" vm="4">
        <f>_xlfn.XLOOKUP(AllData[[#This Row],[Site Name]],LocationsKey[Site Name],LocationsKey[Town])</f>
        <v>#VALUE!</v>
      </c>
      <c r="J2050" t="str">
        <f>_xlfn.XLOOKUP(AllData[[#This Row],[Site Name]],LocationsKey[Site Name], LocationsKey[Waterway])</f>
        <v>Avon</v>
      </c>
      <c r="K2050" t="s">
        <v>24</v>
      </c>
      <c r="M2050" s="108"/>
      <c r="N2050" t="s">
        <v>25</v>
      </c>
      <c r="O2050">
        <v>623</v>
      </c>
      <c r="P2050">
        <v>7.4</v>
      </c>
      <c r="Q2050">
        <v>8</v>
      </c>
      <c r="R2050" s="141" t="str">
        <f>IF(AllData[[#This Row],[Nitrate (PPM)]]&gt;2, "Very high", IF(AllData[[#This Row],[Nitrate (PPM)]]&gt;1, "High", IF(AllData[[#This Row],[Nitrate (PPM)]]&gt;0.5, "Some evidence", IF(AllData[[#This Row],[Nitrate (PPM)]]&gt;=0, "No evidence"))))</f>
        <v>Very high</v>
      </c>
      <c r="S2050" s="4">
        <v>0.91</v>
      </c>
      <c r="T2050" s="7" t="str">
        <f>IF(AllData[[#This Row],[Phosphate (PPM)]]&gt;0.5, "Very high", IF(AllData[[#This Row],[Phosphate (PPM)]]&gt;0.1, "High", IF(AllData[[#This Row],[Phosphate (PPM)]]&gt;0.05, "Some evidence", IF(AllData[[#This Row],[Phosphate (PPM)]]&lt;=0.05, "No Evidence", ""))))</f>
        <v>Very high</v>
      </c>
      <c r="U2050">
        <v>2</v>
      </c>
      <c r="V2050" t="s">
        <v>272</v>
      </c>
    </row>
    <row r="2051" spans="1:22" x14ac:dyDescent="0.35">
      <c r="A2051" t="s">
        <v>514</v>
      </c>
      <c r="B2051" s="143">
        <v>45299</v>
      </c>
      <c r="C2051" s="2" t="str" cm="1">
        <f t="array" ref="C20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1">
        <v>2023</v>
      </c>
      <c r="E2051" s="1">
        <v>0.625</v>
      </c>
      <c r="F2051" t="str">
        <f>IF(AND(AllData[[#This Row],[Time]]&lt;0.5, AllData[[#This Row],[Time]]&gt;0.17)=TRUE, "Morning", IF(AND(AllData[[#This Row],[Time]]&lt;0.75, AllData[[#This Row],[Time]]&gt;=0.5)=TRUE, "Afternoon", IF(AND(AllData[[#This Row],[Time]]&lt;1, AllData[[#This Row],[Time]]&gt;=0.75)=TRUE, "Evening", "Night")))</f>
        <v>Afternoon</v>
      </c>
      <c r="G2051" t="str">
        <f>_xlfn.XLOOKUP(AllData[[#This Row],[Location Name]], Locations[Location Name],Locations[Group As])</f>
        <v>Swilgate</v>
      </c>
      <c r="H2051" t="e" vm="4">
        <f>_xlfn.XLOOKUP(AllData[[#This Row],[Site Name]],LocationsKey[Site Name],LocationsKey[District])</f>
        <v>#VALUE!</v>
      </c>
      <c r="I2051" t="e" vm="4">
        <f>_xlfn.XLOOKUP(AllData[[#This Row],[Site Name]],LocationsKey[Site Name],LocationsKey[Town])</f>
        <v>#VALUE!</v>
      </c>
      <c r="J2051" t="str">
        <f>_xlfn.XLOOKUP(AllData[[#This Row],[Site Name]],LocationsKey[Site Name], LocationsKey[Waterway])</f>
        <v>Swilgate</v>
      </c>
      <c r="K2051" t="s">
        <v>85</v>
      </c>
      <c r="M2051" s="108"/>
      <c r="N2051" t="s">
        <v>25</v>
      </c>
      <c r="O2051">
        <v>703</v>
      </c>
      <c r="P2051">
        <v>7</v>
      </c>
      <c r="Q2051">
        <v>5</v>
      </c>
      <c r="R2051" s="141" t="str">
        <f>IF(AllData[[#This Row],[Nitrate (PPM)]]&gt;2, "Very high", IF(AllData[[#This Row],[Nitrate (PPM)]]&gt;1, "High", IF(AllData[[#This Row],[Nitrate (PPM)]]&gt;0.5, "Some evidence", IF(AllData[[#This Row],[Nitrate (PPM)]]&gt;=0, "No evidence"))))</f>
        <v>Very high</v>
      </c>
      <c r="S2051" s="4">
        <v>0.46</v>
      </c>
      <c r="T2051" s="7" t="str">
        <f>IF(AllData[[#This Row],[Phosphate (PPM)]]&gt;0.5, "Very high", IF(AllData[[#This Row],[Phosphate (PPM)]]&gt;0.1, "High", IF(AllData[[#This Row],[Phosphate (PPM)]]&gt;0.05, "Some evidence", IF(AllData[[#This Row],[Phosphate (PPM)]]&lt;=0.05, "No Evidence", ""))))</f>
        <v>High</v>
      </c>
      <c r="U2051">
        <v>2</v>
      </c>
      <c r="V2051" t="s">
        <v>515</v>
      </c>
    </row>
    <row r="2052" spans="1:22" x14ac:dyDescent="0.35">
      <c r="A2052" t="s">
        <v>513</v>
      </c>
      <c r="B2052" s="143">
        <v>45299</v>
      </c>
      <c r="C2052" s="2" t="str" cm="1">
        <f t="array" ref="C20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2">
        <v>2023</v>
      </c>
      <c r="E2052" s="1">
        <v>0.40972222222222221</v>
      </c>
      <c r="F2052" t="str">
        <f>IF(AND(AllData[[#This Row],[Time]]&lt;0.5, AllData[[#This Row],[Time]]&gt;0.17)=TRUE, "Morning", IF(AND(AllData[[#This Row],[Time]]&lt;0.75, AllData[[#This Row],[Time]]&gt;=0.5)=TRUE, "Afternoon", IF(AND(AllData[[#This Row],[Time]]&lt;1, AllData[[#This Row],[Time]]&gt;=0.75)=TRUE, "Evening", "Night")))</f>
        <v>Morning</v>
      </c>
      <c r="G2052" t="str">
        <f>_xlfn.XLOOKUP(AllData[[#This Row],[Location Name]], Locations[Location Name],Locations[Group As])</f>
        <v>Stour Stretton-on-Fosse Sewage Works</v>
      </c>
      <c r="H2052" t="e" vm="1">
        <f>_xlfn.XLOOKUP(AllData[[#This Row],[Site Name]],LocationsKey[Site Name],LocationsKey[District])</f>
        <v>#VALUE!</v>
      </c>
      <c r="I2052" t="e" vm="30">
        <f>_xlfn.XLOOKUP(AllData[[#This Row],[Site Name]],LocationsKey[Site Name],LocationsKey[Town])</f>
        <v>#VALUE!</v>
      </c>
      <c r="J2052" t="str">
        <f>_xlfn.XLOOKUP(AllData[[#This Row],[Site Name]],LocationsKey[Site Name], LocationsKey[Waterway])</f>
        <v>Stour</v>
      </c>
      <c r="K2052" t="s">
        <v>337</v>
      </c>
      <c r="L2052">
        <v>52.045603</v>
      </c>
      <c r="M2052" s="108">
        <v>-1.6719900000000001</v>
      </c>
      <c r="N2052" t="s">
        <v>31</v>
      </c>
      <c r="O2052">
        <v>628</v>
      </c>
      <c r="P2052">
        <v>5.3</v>
      </c>
      <c r="Q2052">
        <v>2</v>
      </c>
      <c r="R2052" s="141" t="str">
        <f>IF(AllData[[#This Row],[Nitrate (PPM)]]&gt;2, "Very high", IF(AllData[[#This Row],[Nitrate (PPM)]]&gt;1, "High", IF(AllData[[#This Row],[Nitrate (PPM)]]&gt;0.5, "Some evidence", IF(AllData[[#This Row],[Nitrate (PPM)]]&gt;=0, "No evidence"))))</f>
        <v>High</v>
      </c>
      <c r="S2052" s="4">
        <v>1.91</v>
      </c>
      <c r="T2052" s="7" t="str">
        <f>IF(AllData[[#This Row],[Phosphate (PPM)]]&gt;0.5, "Very high", IF(AllData[[#This Row],[Phosphate (PPM)]]&gt;0.1, "High", IF(AllData[[#This Row],[Phosphate (PPM)]]&gt;0.05, "Some evidence", IF(AllData[[#This Row],[Phosphate (PPM)]]&lt;=0.05, "No Evidence", ""))))</f>
        <v>Very high</v>
      </c>
      <c r="U2052">
        <v>0.3</v>
      </c>
    </row>
    <row r="2053" spans="1:22" x14ac:dyDescent="0.35">
      <c r="A2053" t="s">
        <v>512</v>
      </c>
      <c r="B2053" s="143">
        <v>45299</v>
      </c>
      <c r="C2053" s="2" t="str" cm="1">
        <f t="array" ref="C20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3">
        <v>2023</v>
      </c>
      <c r="E2053" s="1">
        <v>0.4</v>
      </c>
      <c r="F2053" t="str">
        <f>IF(AND(AllData[[#This Row],[Time]]&lt;0.5, AllData[[#This Row],[Time]]&gt;0.17)=TRUE, "Morning", IF(AND(AllData[[#This Row],[Time]]&lt;0.75, AllData[[#This Row],[Time]]&gt;=0.5)=TRUE, "Afternoon", IF(AND(AllData[[#This Row],[Time]]&lt;1, AllData[[#This Row],[Time]]&gt;=0.75)=TRUE, "Evening", "Night")))</f>
        <v>Morning</v>
      </c>
      <c r="G2053" t="str">
        <f>_xlfn.XLOOKUP(AllData[[#This Row],[Location Name]], Locations[Location Name],Locations[Group As])</f>
        <v>Stour Stretton-on-Fosse Village</v>
      </c>
      <c r="H2053" t="e" vm="1">
        <f>_xlfn.XLOOKUP(AllData[[#This Row],[Site Name]],LocationsKey[Site Name],LocationsKey[District])</f>
        <v>#VALUE!</v>
      </c>
      <c r="I2053" t="e" vm="30">
        <f>_xlfn.XLOOKUP(AllData[[#This Row],[Site Name]],LocationsKey[Site Name],LocationsKey[Town])</f>
        <v>#VALUE!</v>
      </c>
      <c r="J2053" t="str">
        <f>_xlfn.XLOOKUP(AllData[[#This Row],[Site Name]],LocationsKey[Site Name], LocationsKey[Waterway])</f>
        <v>Stour</v>
      </c>
      <c r="K2053" t="s">
        <v>385</v>
      </c>
      <c r="L2053">
        <v>52.046579000000001</v>
      </c>
      <c r="M2053" s="108">
        <v>-1.6734560000000001</v>
      </c>
      <c r="N2053" t="s">
        <v>68</v>
      </c>
      <c r="O2053">
        <v>573</v>
      </c>
      <c r="P2053">
        <v>5.8</v>
      </c>
      <c r="Q2053">
        <v>2</v>
      </c>
      <c r="R2053" s="141" t="str">
        <f>IF(AllData[[#This Row],[Nitrate (PPM)]]&gt;2, "Very high", IF(AllData[[#This Row],[Nitrate (PPM)]]&gt;1, "High", IF(AllData[[#This Row],[Nitrate (PPM)]]&gt;0.5, "Some evidence", IF(AllData[[#This Row],[Nitrate (PPM)]]&gt;=0, "No evidence"))))</f>
        <v>High</v>
      </c>
      <c r="S2053" s="4">
        <v>1.07</v>
      </c>
      <c r="T2053" s="7" t="str">
        <f>IF(AllData[[#This Row],[Phosphate (PPM)]]&gt;0.5, "Very high", IF(AllData[[#This Row],[Phosphate (PPM)]]&gt;0.1, "High", IF(AllData[[#This Row],[Phosphate (PPM)]]&gt;0.05, "Some evidence", IF(AllData[[#This Row],[Phosphate (PPM)]]&lt;=0.05, "No Evidence", ""))))</f>
        <v>Very high</v>
      </c>
      <c r="U2053">
        <v>0.2</v>
      </c>
    </row>
    <row r="2054" spans="1:22" x14ac:dyDescent="0.35">
      <c r="A2054" t="s">
        <v>508</v>
      </c>
      <c r="B2054" s="143">
        <v>45298</v>
      </c>
      <c r="C2054" s="2" t="str" cm="1">
        <f t="array" ref="C20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4">
        <v>2023</v>
      </c>
      <c r="E2054" s="1">
        <v>0.52083333333333337</v>
      </c>
      <c r="F2054" t="str">
        <f>IF(AND(AllData[[#This Row],[Time]]&lt;0.5, AllData[[#This Row],[Time]]&gt;0.17)=TRUE, "Morning", IF(AND(AllData[[#This Row],[Time]]&lt;0.75, AllData[[#This Row],[Time]]&gt;=0.5)=TRUE, "Afternoon", IF(AND(AllData[[#This Row],[Time]]&lt;1, AllData[[#This Row],[Time]]&gt;=0.75)=TRUE, "Evening", "Night")))</f>
        <v>Afternoon</v>
      </c>
      <c r="G2054" t="str">
        <f>_xlfn.XLOOKUP(AllData[[#This Row],[Location Name]], Locations[Location Name],Locations[Group As])</f>
        <v>Hampton Wood</v>
      </c>
      <c r="H2054" t="e" vm="1">
        <f>_xlfn.XLOOKUP(AllData[[#This Row],[Site Name]],LocationsKey[Site Name],LocationsKey[District])</f>
        <v>#VALUE!</v>
      </c>
      <c r="I2054" t="e" vm="34">
        <f>_xlfn.XLOOKUP(AllData[[#This Row],[Site Name]],LocationsKey[Site Name],LocationsKey[Town])</f>
        <v>#VALUE!</v>
      </c>
      <c r="J2054" t="str">
        <f>_xlfn.XLOOKUP(AllData[[#This Row],[Site Name]],LocationsKey[Site Name], LocationsKey[Waterway])</f>
        <v>Avon</v>
      </c>
      <c r="K2054" t="s">
        <v>36</v>
      </c>
      <c r="L2054">
        <v>52.238149999999997</v>
      </c>
      <c r="M2054" s="108">
        <v>-1.6245799999999999</v>
      </c>
      <c r="N2054" t="s">
        <v>31</v>
      </c>
      <c r="O2054">
        <v>630</v>
      </c>
      <c r="P2054">
        <v>6.7</v>
      </c>
      <c r="Q2054">
        <v>10</v>
      </c>
      <c r="R2054" s="141" t="str">
        <f>IF(AllData[[#This Row],[Nitrate (PPM)]]&gt;2, "Very high", IF(AllData[[#This Row],[Nitrate (PPM)]]&gt;1, "High", IF(AllData[[#This Row],[Nitrate (PPM)]]&gt;0.5, "Some evidence", IF(AllData[[#This Row],[Nitrate (PPM)]]&gt;=0, "No evidence"))))</f>
        <v>Very high</v>
      </c>
      <c r="S2054" s="4">
        <v>0.4</v>
      </c>
      <c r="T2054" s="7" t="str">
        <f>IF(AllData[[#This Row],[Phosphate (PPM)]]&gt;0.5, "Very high", IF(AllData[[#This Row],[Phosphate (PPM)]]&gt;0.1, "High", IF(AllData[[#This Row],[Phosphate (PPM)]]&gt;0.05, "Some evidence", IF(AllData[[#This Row],[Phosphate (PPM)]]&lt;=0.05, "No Evidence", ""))))</f>
        <v>High</v>
      </c>
      <c r="U2054">
        <v>0</v>
      </c>
    </row>
    <row r="2055" spans="1:22" x14ac:dyDescent="0.35">
      <c r="A2055" t="s">
        <v>509</v>
      </c>
      <c r="B2055" s="143">
        <v>45298</v>
      </c>
      <c r="C2055" s="2" t="str" cm="1">
        <f t="array" ref="C20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5">
        <v>2023</v>
      </c>
      <c r="E2055" s="1">
        <v>0.55208333333333337</v>
      </c>
      <c r="F2055" t="str">
        <f>IF(AND(AllData[[#This Row],[Time]]&lt;0.5, AllData[[#This Row],[Time]]&gt;0.17)=TRUE, "Morning", IF(AND(AllData[[#This Row],[Time]]&lt;0.75, AllData[[#This Row],[Time]]&gt;=0.5)=TRUE, "Afternoon", IF(AND(AllData[[#This Row],[Time]]&lt;1, AllData[[#This Row],[Time]]&gt;=0.75)=TRUE, "Evening", "Night")))</f>
        <v>Afternoon</v>
      </c>
      <c r="G2055" t="str">
        <f>_xlfn.XLOOKUP(AllData[[#This Row],[Location Name]], Locations[Location Name],Locations[Group As])</f>
        <v>Hampton Lucy</v>
      </c>
      <c r="H2055" t="e" vm="1">
        <f>_xlfn.XLOOKUP(AllData[[#This Row],[Site Name]],LocationsKey[Site Name],LocationsKey[District])</f>
        <v>#VALUE!</v>
      </c>
      <c r="I2055" t="e" vm="33">
        <f>_xlfn.XLOOKUP(AllData[[#This Row],[Site Name]],LocationsKey[Site Name],LocationsKey[Town])</f>
        <v>#VALUE!</v>
      </c>
      <c r="J2055" t="str">
        <f>_xlfn.XLOOKUP(AllData[[#This Row],[Site Name]],LocationsKey[Site Name], LocationsKey[Waterway])</f>
        <v>Avon</v>
      </c>
      <c r="K2055" t="s">
        <v>39</v>
      </c>
      <c r="L2055">
        <v>52.211680000000001</v>
      </c>
      <c r="M2055" s="108">
        <v>-1.6244400000000001</v>
      </c>
      <c r="N2055" t="s">
        <v>25</v>
      </c>
      <c r="O2055">
        <v>618</v>
      </c>
      <c r="P2055">
        <v>7.1</v>
      </c>
      <c r="Q2055">
        <v>5</v>
      </c>
      <c r="R2055" s="141" t="str">
        <f>IF(AllData[[#This Row],[Nitrate (PPM)]]&gt;2, "Very high", IF(AllData[[#This Row],[Nitrate (PPM)]]&gt;1, "High", IF(AllData[[#This Row],[Nitrate (PPM)]]&gt;0.5, "Some evidence", IF(AllData[[#This Row],[Nitrate (PPM)]]&gt;=0, "No evidence"))))</f>
        <v>Very high</v>
      </c>
      <c r="S2055" s="4">
        <v>0.69</v>
      </c>
      <c r="T2055" s="7" t="str">
        <f>IF(AllData[[#This Row],[Phosphate (PPM)]]&gt;0.5, "Very high", IF(AllData[[#This Row],[Phosphate (PPM)]]&gt;0.1, "High", IF(AllData[[#This Row],[Phosphate (PPM)]]&gt;0.05, "Some evidence", IF(AllData[[#This Row],[Phosphate (PPM)]]&lt;=0.05, "No Evidence", ""))))</f>
        <v>Very high</v>
      </c>
      <c r="U2055">
        <v>0</v>
      </c>
    </row>
    <row r="2056" spans="1:22" x14ac:dyDescent="0.35">
      <c r="A2056" t="s">
        <v>510</v>
      </c>
      <c r="B2056" s="143">
        <v>45298</v>
      </c>
      <c r="C2056" s="2" t="str" cm="1">
        <f t="array" ref="C20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6">
        <v>2023</v>
      </c>
      <c r="E2056" s="1">
        <v>0.58333333333333337</v>
      </c>
      <c r="F2056" t="str">
        <f>IF(AND(AllData[[#This Row],[Time]]&lt;0.5, AllData[[#This Row],[Time]]&gt;0.17)=TRUE, "Morning", IF(AND(AllData[[#This Row],[Time]]&lt;0.75, AllData[[#This Row],[Time]]&gt;=0.5)=TRUE, "Afternoon", IF(AND(AllData[[#This Row],[Time]]&lt;1, AllData[[#This Row],[Time]]&gt;=0.75)=TRUE, "Evening", "Night")))</f>
        <v>Afternoon</v>
      </c>
      <c r="G2056" t="str">
        <f>_xlfn.XLOOKUP(AllData[[#This Row],[Location Name]], Locations[Location Name],Locations[Group As])</f>
        <v>Carrant Bredon Rd</v>
      </c>
      <c r="H2056" t="e" vm="4">
        <f>_xlfn.XLOOKUP(AllData[[#This Row],[Site Name]],LocationsKey[Site Name],LocationsKey[District])</f>
        <v>#VALUE!</v>
      </c>
      <c r="I2056" t="e" vm="4">
        <f>_xlfn.XLOOKUP(AllData[[#This Row],[Site Name]],LocationsKey[Site Name],LocationsKey[Town])</f>
        <v>#VALUE!</v>
      </c>
      <c r="J2056" t="str">
        <f>_xlfn.XLOOKUP(AllData[[#This Row],[Site Name]],LocationsKey[Site Name], LocationsKey[Waterway])</f>
        <v>Carrant</v>
      </c>
      <c r="K2056" t="s">
        <v>91</v>
      </c>
      <c r="L2056">
        <v>51.996360000000003</v>
      </c>
      <c r="M2056" s="108">
        <v>-2.1560489999999999</v>
      </c>
      <c r="N2056" t="s">
        <v>25</v>
      </c>
      <c r="O2056">
        <v>449</v>
      </c>
      <c r="P2056">
        <v>7</v>
      </c>
      <c r="Q2056">
        <v>4</v>
      </c>
      <c r="R2056" s="141" t="str">
        <f>IF(AllData[[#This Row],[Nitrate (PPM)]]&gt;2, "Very high", IF(AllData[[#This Row],[Nitrate (PPM)]]&gt;1, "High", IF(AllData[[#This Row],[Nitrate (PPM)]]&gt;0.5, "Some evidence", IF(AllData[[#This Row],[Nitrate (PPM)]]&gt;=0, "No evidence"))))</f>
        <v>Very high</v>
      </c>
      <c r="S2056" s="4">
        <v>0.5</v>
      </c>
      <c r="T2056" s="7" t="str">
        <f>IF(AllData[[#This Row],[Phosphate (PPM)]]&gt;0.5, "Very high", IF(AllData[[#This Row],[Phosphate (PPM)]]&gt;0.1, "High", IF(AllData[[#This Row],[Phosphate (PPM)]]&gt;0.05, "Some evidence", IF(AllData[[#This Row],[Phosphate (PPM)]]&lt;=0.05, "No Evidence", ""))))</f>
        <v>High</v>
      </c>
      <c r="U2056">
        <v>2.17</v>
      </c>
      <c r="V2056" t="s">
        <v>511</v>
      </c>
    </row>
    <row r="2057" spans="1:22" x14ac:dyDescent="0.35">
      <c r="A2057" t="s">
        <v>506</v>
      </c>
      <c r="B2057" s="143">
        <v>45298</v>
      </c>
      <c r="C2057" s="2" t="str" cm="1">
        <f t="array" ref="C20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7">
        <v>2023</v>
      </c>
      <c r="E2057" s="1">
        <v>0.47708333333333336</v>
      </c>
      <c r="F2057" t="str">
        <f>IF(AND(AllData[[#This Row],[Time]]&lt;0.5, AllData[[#This Row],[Time]]&gt;0.17)=TRUE, "Morning", IF(AND(AllData[[#This Row],[Time]]&lt;0.75, AllData[[#This Row],[Time]]&gt;=0.5)=TRUE, "Afternoon", IF(AND(AllData[[#This Row],[Time]]&lt;1, AllData[[#This Row],[Time]]&gt;=0.75)=TRUE, "Evening", "Night")))</f>
        <v>Morning</v>
      </c>
      <c r="G2057" t="str">
        <f>_xlfn.XLOOKUP(AllData[[#This Row],[Location Name]], Locations[Location Name],Locations[Group As])</f>
        <v>Pitch 16</v>
      </c>
      <c r="H2057" t="e" vm="1">
        <f>_xlfn.XLOOKUP(AllData[[#This Row],[Site Name]],LocationsKey[Site Name],LocationsKey[District])</f>
        <v>#VALUE!</v>
      </c>
      <c r="I2057" t="e" vm="12">
        <f>_xlfn.XLOOKUP(AllData[[#This Row],[Site Name]],LocationsKey[Site Name],LocationsKey[Town])</f>
        <v>#VALUE!</v>
      </c>
      <c r="J2057" t="str">
        <f>_xlfn.XLOOKUP(AllData[[#This Row],[Site Name]],LocationsKey[Site Name], LocationsKey[Waterway])</f>
        <v>Avon</v>
      </c>
      <c r="K2057" t="s">
        <v>71</v>
      </c>
      <c r="L2057">
        <v>52.172691999999998</v>
      </c>
      <c r="M2057" s="108">
        <v>-1.7451950000000001</v>
      </c>
      <c r="N2057" t="s">
        <v>31</v>
      </c>
      <c r="O2057">
        <v>655</v>
      </c>
      <c r="P2057">
        <v>6.2</v>
      </c>
      <c r="Q2057">
        <v>3</v>
      </c>
      <c r="R2057" s="141" t="str">
        <f>IF(AllData[[#This Row],[Nitrate (PPM)]]&gt;2, "Very high", IF(AllData[[#This Row],[Nitrate (PPM)]]&gt;1, "High", IF(AllData[[#This Row],[Nitrate (PPM)]]&gt;0.5, "Some evidence", IF(AllData[[#This Row],[Nitrate (PPM)]]&gt;=0, "No evidence"))))</f>
        <v>Very high</v>
      </c>
      <c r="S2057" s="4">
        <v>0.39</v>
      </c>
      <c r="T2057" s="7" t="str">
        <f>IF(AllData[[#This Row],[Phosphate (PPM)]]&gt;0.5, "Very high", IF(AllData[[#This Row],[Phosphate (PPM)]]&gt;0.1, "High", IF(AllData[[#This Row],[Phosphate (PPM)]]&gt;0.05, "Some evidence", IF(AllData[[#This Row],[Phosphate (PPM)]]&lt;=0.05, "No Evidence", ""))))</f>
        <v>High</v>
      </c>
      <c r="U2057">
        <v>1</v>
      </c>
      <c r="V2057" t="s">
        <v>507</v>
      </c>
    </row>
    <row r="2058" spans="1:22" x14ac:dyDescent="0.35">
      <c r="A2058" t="s">
        <v>504</v>
      </c>
      <c r="B2058" s="143">
        <v>45298</v>
      </c>
      <c r="C2058" s="2" t="str" cm="1">
        <f t="array" ref="C20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8">
        <v>2023</v>
      </c>
      <c r="E2058" s="1">
        <v>0.46319444444444446</v>
      </c>
      <c r="F2058" t="str">
        <f>IF(AND(AllData[[#This Row],[Time]]&lt;0.5, AllData[[#This Row],[Time]]&gt;0.17)=TRUE, "Morning", IF(AND(AllData[[#This Row],[Time]]&lt;0.75, AllData[[#This Row],[Time]]&gt;=0.5)=TRUE, "Afternoon", IF(AND(AllData[[#This Row],[Time]]&lt;1, AllData[[#This Row],[Time]]&gt;=0.75)=TRUE, "Evening", "Night")))</f>
        <v>Morning</v>
      </c>
      <c r="G2058" t="str">
        <f>_xlfn.XLOOKUP(AllData[[#This Row],[Location Name]], Locations[Location Name],Locations[Group As])</f>
        <v>Avonbank Drive</v>
      </c>
      <c r="H2058" t="e" vm="1">
        <f>_xlfn.XLOOKUP(AllData[[#This Row],[Site Name]],LocationsKey[Site Name],LocationsKey[District])</f>
        <v>#VALUE!</v>
      </c>
      <c r="I2058" t="e" vm="12">
        <f>_xlfn.XLOOKUP(AllData[[#This Row],[Site Name]],LocationsKey[Site Name],LocationsKey[Town])</f>
        <v>#VALUE!</v>
      </c>
      <c r="J2058" t="str">
        <f>_xlfn.XLOOKUP(AllData[[#This Row],[Site Name]],LocationsKey[Site Name], LocationsKey[Waterway])</f>
        <v>Avon</v>
      </c>
      <c r="K2058" t="s">
        <v>67</v>
      </c>
      <c r="L2058">
        <v>52.177464000000001</v>
      </c>
      <c r="M2058" s="108">
        <v>-1.7360610000000001</v>
      </c>
      <c r="N2058" t="s">
        <v>68</v>
      </c>
      <c r="O2058">
        <v>658</v>
      </c>
      <c r="P2058">
        <v>8.1</v>
      </c>
      <c r="Q2058">
        <v>2</v>
      </c>
      <c r="R2058" s="141" t="str">
        <f>IF(AllData[[#This Row],[Nitrate (PPM)]]&gt;2, "Very high", IF(AllData[[#This Row],[Nitrate (PPM)]]&gt;1, "High", IF(AllData[[#This Row],[Nitrate (PPM)]]&gt;0.5, "Some evidence", IF(AllData[[#This Row],[Nitrate (PPM)]]&gt;=0, "No evidence"))))</f>
        <v>High</v>
      </c>
      <c r="S2058" s="4">
        <v>0.36</v>
      </c>
      <c r="T2058" s="7" t="str">
        <f>IF(AllData[[#This Row],[Phosphate (PPM)]]&gt;0.5, "Very high", IF(AllData[[#This Row],[Phosphate (PPM)]]&gt;0.1, "High", IF(AllData[[#This Row],[Phosphate (PPM)]]&gt;0.05, "Some evidence", IF(AllData[[#This Row],[Phosphate (PPM)]]&lt;=0.05, "No Evidence", ""))))</f>
        <v>High</v>
      </c>
      <c r="U2058">
        <v>1</v>
      </c>
      <c r="V2058" t="s">
        <v>505</v>
      </c>
    </row>
    <row r="2059" spans="1:22" x14ac:dyDescent="0.35">
      <c r="A2059" t="s">
        <v>499</v>
      </c>
      <c r="B2059" s="143">
        <v>45297</v>
      </c>
      <c r="C2059" s="2" t="str" cm="1">
        <f t="array" ref="C20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59">
        <v>2023</v>
      </c>
      <c r="E2059" s="1">
        <v>0.63194444444444442</v>
      </c>
      <c r="F2059" t="str">
        <f>IF(AND(AllData[[#This Row],[Time]]&lt;0.5, AllData[[#This Row],[Time]]&gt;0.17)=TRUE, "Morning", IF(AND(AllData[[#This Row],[Time]]&lt;0.75, AllData[[#This Row],[Time]]&gt;=0.5)=TRUE, "Afternoon", IF(AND(AllData[[#This Row],[Time]]&lt;1, AllData[[#This Row],[Time]]&gt;=0.75)=TRUE, "Evening", "Night")))</f>
        <v>Afternoon</v>
      </c>
      <c r="G2059" t="str">
        <f>_xlfn.XLOOKUP(AllData[[#This Row],[Location Name]], Locations[Location Name],Locations[Group As])</f>
        <v>Fell Mill Footbridge</v>
      </c>
      <c r="H2059" t="e" vm="1">
        <f>_xlfn.XLOOKUP(AllData[[#This Row],[Site Name]],LocationsKey[Site Name],LocationsKey[District])</f>
        <v>#VALUE!</v>
      </c>
      <c r="I2059" t="e" vm="15">
        <f>_xlfn.XLOOKUP(AllData[[#This Row],[Site Name]],LocationsKey[Site Name],LocationsKey[Town])</f>
        <v>#VALUE!</v>
      </c>
      <c r="J2059" t="str">
        <f>_xlfn.XLOOKUP(AllData[[#This Row],[Site Name]],LocationsKey[Site Name], LocationsKey[Waterway])</f>
        <v>Stour</v>
      </c>
      <c r="K2059" t="s">
        <v>500</v>
      </c>
      <c r="L2059">
        <v>52.070131000000003</v>
      </c>
      <c r="M2059" s="108">
        <v>-1.6114869999999999</v>
      </c>
      <c r="N2059" t="s">
        <v>31</v>
      </c>
      <c r="O2059">
        <v>554</v>
      </c>
      <c r="P2059">
        <v>8.5</v>
      </c>
      <c r="Q2059">
        <v>10</v>
      </c>
      <c r="R2059" s="141" t="str">
        <f>IF(AllData[[#This Row],[Nitrate (PPM)]]&gt;2, "Very high", IF(AllData[[#This Row],[Nitrate (PPM)]]&gt;1, "High", IF(AllData[[#This Row],[Nitrate (PPM)]]&gt;0.5, "Some evidence", IF(AllData[[#This Row],[Nitrate (PPM)]]&gt;=0, "No evidence"))))</f>
        <v>Very high</v>
      </c>
      <c r="S2059" s="4">
        <v>0.26</v>
      </c>
      <c r="T2059" s="7" t="str">
        <f>IF(AllData[[#This Row],[Phosphate (PPM)]]&gt;0.5, "Very high", IF(AllData[[#This Row],[Phosphate (PPM)]]&gt;0.1, "High", IF(AllData[[#This Row],[Phosphate (PPM)]]&gt;0.05, "Some evidence", IF(AllData[[#This Row],[Phosphate (PPM)]]&lt;=0.05, "No Evidence", ""))))</f>
        <v>High</v>
      </c>
      <c r="U2059">
        <v>1.5</v>
      </c>
    </row>
    <row r="2060" spans="1:22" x14ac:dyDescent="0.35">
      <c r="A2060" t="s">
        <v>503</v>
      </c>
      <c r="B2060" s="143">
        <v>45297</v>
      </c>
      <c r="C2060" s="2" t="str" cm="1">
        <f t="array" ref="C20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0">
        <v>2023</v>
      </c>
      <c r="E2060" s="1">
        <v>0.64236111111111116</v>
      </c>
      <c r="F2060" t="str">
        <f>IF(AND(AllData[[#This Row],[Time]]&lt;0.5, AllData[[#This Row],[Time]]&gt;0.17)=TRUE, "Morning", IF(AND(AllData[[#This Row],[Time]]&lt;0.75, AllData[[#This Row],[Time]]&gt;=0.5)=TRUE, "Afternoon", IF(AND(AllData[[#This Row],[Time]]&lt;1, AllData[[#This Row],[Time]]&gt;=0.75)=TRUE, "Evening", "Night")))</f>
        <v>Afternoon</v>
      </c>
      <c r="G2060" t="str">
        <f>_xlfn.XLOOKUP(AllData[[#This Row],[Location Name]], Locations[Location Name],Locations[Group As])</f>
        <v>Clifford Chambers Road Bridge</v>
      </c>
      <c r="H2060" t="e" vm="1">
        <f>_xlfn.XLOOKUP(AllData[[#This Row],[Site Name]],LocationsKey[Site Name],LocationsKey[District])</f>
        <v>#VALUE!</v>
      </c>
      <c r="I2060" t="e" vm="22">
        <f>_xlfn.XLOOKUP(AllData[[#This Row],[Site Name]],LocationsKey[Site Name],LocationsKey[Town])</f>
        <v>#VALUE!</v>
      </c>
      <c r="J2060" t="str">
        <f>_xlfn.XLOOKUP(AllData[[#This Row],[Site Name]],LocationsKey[Site Name], LocationsKey[Waterway])</f>
        <v>Stour</v>
      </c>
      <c r="K2060" t="s">
        <v>429</v>
      </c>
      <c r="L2060">
        <v>52.172840000000001</v>
      </c>
      <c r="M2060" s="108">
        <v>-1.71377</v>
      </c>
      <c r="N2060" t="s">
        <v>191</v>
      </c>
      <c r="O2060">
        <v>557</v>
      </c>
      <c r="P2060">
        <v>11.5</v>
      </c>
      <c r="Q2060">
        <v>6</v>
      </c>
      <c r="R2060" s="141" t="str">
        <f>IF(AllData[[#This Row],[Nitrate (PPM)]]&gt;2, "Very high", IF(AllData[[#This Row],[Nitrate (PPM)]]&gt;1, "High", IF(AllData[[#This Row],[Nitrate (PPM)]]&gt;0.5, "Some evidence", IF(AllData[[#This Row],[Nitrate (PPM)]]&gt;=0, "No evidence"))))</f>
        <v>Very high</v>
      </c>
      <c r="S2060" s="4">
        <v>0.31</v>
      </c>
      <c r="T2060" s="7" t="str">
        <f>IF(AllData[[#This Row],[Phosphate (PPM)]]&gt;0.5, "Very high", IF(AllData[[#This Row],[Phosphate (PPM)]]&gt;0.1, "High", IF(AllData[[#This Row],[Phosphate (PPM)]]&gt;0.05, "Some evidence", IF(AllData[[#This Row],[Phosphate (PPM)]]&lt;=0.05, "No Evidence", ""))))</f>
        <v>High</v>
      </c>
      <c r="U2060">
        <v>0.6</v>
      </c>
    </row>
    <row r="2061" spans="1:22" x14ac:dyDescent="0.35">
      <c r="A2061" t="s">
        <v>501</v>
      </c>
      <c r="B2061" s="143">
        <v>45297</v>
      </c>
      <c r="C2061" s="2" t="str" cm="1">
        <f t="array" ref="C20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1">
        <v>2023</v>
      </c>
      <c r="E2061" s="1">
        <v>0.63541666666666663</v>
      </c>
      <c r="F2061" t="str">
        <f>IF(AND(AllData[[#This Row],[Time]]&lt;0.5, AllData[[#This Row],[Time]]&gt;0.17)=TRUE, "Morning", IF(AND(AllData[[#This Row],[Time]]&lt;0.75, AllData[[#This Row],[Time]]&gt;=0.5)=TRUE, "Afternoon", IF(AND(AllData[[#This Row],[Time]]&lt;1, AllData[[#This Row],[Time]]&gt;=0.75)=TRUE, "Evening", "Night")))</f>
        <v>Afternoon</v>
      </c>
      <c r="G2061" t="str">
        <f>_xlfn.XLOOKUP(AllData[[#This Row],[Location Name]], Locations[Location Name],Locations[Group As])</f>
        <v>Clifford Chambers Mill Bridge</v>
      </c>
      <c r="H2061" t="e" vm="1">
        <f>_xlfn.XLOOKUP(AllData[[#This Row],[Site Name]],LocationsKey[Site Name],LocationsKey[District])</f>
        <v>#VALUE!</v>
      </c>
      <c r="I2061" t="e" vm="22">
        <f>_xlfn.XLOOKUP(AllData[[#This Row],[Site Name]],LocationsKey[Site Name],LocationsKey[Town])</f>
        <v>#VALUE!</v>
      </c>
      <c r="J2061" t="str">
        <f>_xlfn.XLOOKUP(AllData[[#This Row],[Site Name]],LocationsKey[Site Name], LocationsKey[Waterway])</f>
        <v>Stour</v>
      </c>
      <c r="K2061" t="s">
        <v>266</v>
      </c>
      <c r="L2061">
        <v>52.166370000000001</v>
      </c>
      <c r="M2061" s="108">
        <v>-1.708032</v>
      </c>
      <c r="N2061" t="s">
        <v>68</v>
      </c>
      <c r="O2061">
        <v>550</v>
      </c>
      <c r="P2061">
        <v>11.3</v>
      </c>
      <c r="Q2061">
        <v>5</v>
      </c>
      <c r="R2061" s="141" t="str">
        <f>IF(AllData[[#This Row],[Nitrate (PPM)]]&gt;2, "Very high", IF(AllData[[#This Row],[Nitrate (PPM)]]&gt;1, "High", IF(AllData[[#This Row],[Nitrate (PPM)]]&gt;0.5, "Some evidence", IF(AllData[[#This Row],[Nitrate (PPM)]]&gt;=0, "No evidence"))))</f>
        <v>Very high</v>
      </c>
      <c r="S2061" s="4">
        <v>0.34</v>
      </c>
      <c r="T2061" s="7" t="str">
        <f>IF(AllData[[#This Row],[Phosphate (PPM)]]&gt;0.5, "Very high", IF(AllData[[#This Row],[Phosphate (PPM)]]&gt;0.1, "High", IF(AllData[[#This Row],[Phosphate (PPM)]]&gt;0.05, "Some evidence", IF(AllData[[#This Row],[Phosphate (PPM)]]&lt;=0.05, "No Evidence", ""))))</f>
        <v>High</v>
      </c>
      <c r="U2061">
        <v>1.4</v>
      </c>
      <c r="V2061" t="s">
        <v>502</v>
      </c>
    </row>
    <row r="2062" spans="1:22" x14ac:dyDescent="0.35">
      <c r="A2062" t="s">
        <v>498</v>
      </c>
      <c r="B2062" s="143">
        <v>45297</v>
      </c>
      <c r="C2062" s="2" t="str" cm="1">
        <f t="array" ref="C20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2">
        <v>2023</v>
      </c>
      <c r="E2062" s="1">
        <v>0.59652777777777777</v>
      </c>
      <c r="F2062" t="str">
        <f>IF(AND(AllData[[#This Row],[Time]]&lt;0.5, AllData[[#This Row],[Time]]&gt;0.17)=TRUE, "Morning", IF(AND(AllData[[#This Row],[Time]]&lt;0.75, AllData[[#This Row],[Time]]&gt;=0.5)=TRUE, "Afternoon", IF(AND(AllData[[#This Row],[Time]]&lt;1, AllData[[#This Row],[Time]]&gt;=0.75)=TRUE, "Evening", "Night")))</f>
        <v>Afternoon</v>
      </c>
      <c r="G2062" t="str">
        <f>_xlfn.XLOOKUP(AllData[[#This Row],[Location Name]], Locations[Location Name],Locations[Group As])</f>
        <v>Stour Shipston Mill Bridge</v>
      </c>
      <c r="H2062" t="e" vm="1">
        <f>_xlfn.XLOOKUP(AllData[[#This Row],[Site Name]],LocationsKey[Site Name],LocationsKey[District])</f>
        <v>#VALUE!</v>
      </c>
      <c r="I2062" t="e" vm="15">
        <f>_xlfn.XLOOKUP(AllData[[#This Row],[Site Name]],LocationsKey[Site Name],LocationsKey[Town])</f>
        <v>#VALUE!</v>
      </c>
      <c r="J2062" t="str">
        <f>_xlfn.XLOOKUP(AllData[[#This Row],[Site Name]],LocationsKey[Site Name], LocationsKey[Waterway])</f>
        <v>Stour</v>
      </c>
      <c r="K2062" t="s">
        <v>435</v>
      </c>
      <c r="L2062">
        <v>52.062137999999997</v>
      </c>
      <c r="M2062" s="108">
        <v>-1.621983</v>
      </c>
      <c r="N2062" t="s">
        <v>25</v>
      </c>
      <c r="O2062">
        <v>548</v>
      </c>
      <c r="P2062">
        <v>8.8000000000000007</v>
      </c>
      <c r="Q2062">
        <v>5</v>
      </c>
      <c r="R2062" s="141" t="str">
        <f>IF(AllData[[#This Row],[Nitrate (PPM)]]&gt;2, "Very high", IF(AllData[[#This Row],[Nitrate (PPM)]]&gt;1, "High", IF(AllData[[#This Row],[Nitrate (PPM)]]&gt;0.5, "Some evidence", IF(AllData[[#This Row],[Nitrate (PPM)]]&gt;=0, "No evidence"))))</f>
        <v>Very high</v>
      </c>
      <c r="S2062" s="4">
        <v>0.14000000000000001</v>
      </c>
      <c r="T2062" s="7" t="str">
        <f>IF(AllData[[#This Row],[Phosphate (PPM)]]&gt;0.5, "Very high", IF(AllData[[#This Row],[Phosphate (PPM)]]&gt;0.1, "High", IF(AllData[[#This Row],[Phosphate (PPM)]]&gt;0.05, "Some evidence", IF(AllData[[#This Row],[Phosphate (PPM)]]&lt;=0.05, "No Evidence", ""))))</f>
        <v>High</v>
      </c>
      <c r="U2062">
        <v>1.5</v>
      </c>
    </row>
    <row r="2063" spans="1:22" x14ac:dyDescent="0.35">
      <c r="A2063" t="s">
        <v>492</v>
      </c>
      <c r="B2063" s="143">
        <v>45295</v>
      </c>
      <c r="C2063" s="2" t="str" cm="1">
        <f t="array" ref="C20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3">
        <v>2023</v>
      </c>
      <c r="E2063" s="1">
        <v>0.58611111111111114</v>
      </c>
      <c r="F2063" t="str">
        <f>IF(AND(AllData[[#This Row],[Time]]&lt;0.5, AllData[[#This Row],[Time]]&gt;0.17)=TRUE, "Morning", IF(AND(AllData[[#This Row],[Time]]&lt;0.75, AllData[[#This Row],[Time]]&gt;=0.5)=TRUE, "Afternoon", IF(AND(AllData[[#This Row],[Time]]&lt;1, AllData[[#This Row],[Time]]&gt;=0.75)=TRUE, "Evening", "Night")))</f>
        <v>Afternoon</v>
      </c>
      <c r="G2063" t="str">
        <f>_xlfn.XLOOKUP(AllData[[#This Row],[Location Name]], Locations[Location Name],Locations[Group As])</f>
        <v>Preston-on-Stour River Bridge</v>
      </c>
      <c r="H2063" t="e" vm="1">
        <f>_xlfn.XLOOKUP(AllData[[#This Row],[Site Name]],LocationsKey[Site Name],LocationsKey[District])</f>
        <v>#VALUE!</v>
      </c>
      <c r="I2063" t="e" vm="20">
        <f>_xlfn.XLOOKUP(AllData[[#This Row],[Site Name]],LocationsKey[Site Name],LocationsKey[Town])</f>
        <v>#VALUE!</v>
      </c>
      <c r="J2063" t="str">
        <f>_xlfn.XLOOKUP(AllData[[#This Row],[Site Name]],LocationsKey[Site Name], LocationsKey[Waterway])</f>
        <v>Stour</v>
      </c>
      <c r="K2063" t="s">
        <v>164</v>
      </c>
      <c r="L2063">
        <v>52.146580999999998</v>
      </c>
      <c r="M2063" s="108">
        <v>-1.6992510000000001</v>
      </c>
      <c r="N2063" t="s">
        <v>31</v>
      </c>
      <c r="O2063">
        <v>578</v>
      </c>
      <c r="P2063">
        <v>8.3000000000000007</v>
      </c>
      <c r="Q2063">
        <v>5</v>
      </c>
      <c r="R2063" s="141" t="str">
        <f>IF(AllData[[#This Row],[Nitrate (PPM)]]&gt;2, "Very high", IF(AllData[[#This Row],[Nitrate (PPM)]]&gt;1, "High", IF(AllData[[#This Row],[Nitrate (PPM)]]&gt;0.5, "Some evidence", IF(AllData[[#This Row],[Nitrate (PPM)]]&gt;=0, "No evidence"))))</f>
        <v>Very high</v>
      </c>
      <c r="S2063" s="4">
        <v>0.25</v>
      </c>
      <c r="T2063" s="7" t="str">
        <f>IF(AllData[[#This Row],[Phosphate (PPM)]]&gt;0.5, "Very high", IF(AllData[[#This Row],[Phosphate (PPM)]]&gt;0.1, "High", IF(AllData[[#This Row],[Phosphate (PPM)]]&gt;0.05, "Some evidence", IF(AllData[[#This Row],[Phosphate (PPM)]]&lt;=0.05, "No Evidence", ""))))</f>
        <v>High</v>
      </c>
      <c r="U2063">
        <v>2.5</v>
      </c>
      <c r="V2063" t="s">
        <v>493</v>
      </c>
    </row>
    <row r="2064" spans="1:22" x14ac:dyDescent="0.35">
      <c r="A2064" t="s">
        <v>496</v>
      </c>
      <c r="B2064" s="143">
        <v>45295</v>
      </c>
      <c r="C2064" s="2" t="str" cm="1">
        <f t="array" ref="C20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4">
        <v>2023</v>
      </c>
      <c r="E2064" s="1">
        <v>0.67083333333333328</v>
      </c>
      <c r="F2064" t="str">
        <f>IF(AND(AllData[[#This Row],[Time]]&lt;0.5, AllData[[#This Row],[Time]]&gt;0.17)=TRUE, "Morning", IF(AND(AllData[[#This Row],[Time]]&lt;0.75, AllData[[#This Row],[Time]]&gt;=0.5)=TRUE, "Afternoon", IF(AND(AllData[[#This Row],[Time]]&lt;1, AllData[[#This Row],[Time]]&gt;=0.75)=TRUE, "Evening", "Night")))</f>
        <v>Afternoon</v>
      </c>
      <c r="G2064" t="str">
        <f>_xlfn.XLOOKUP(AllData[[#This Row],[Location Name]], Locations[Location Name],Locations[Group As])</f>
        <v>Alveston Weir</v>
      </c>
      <c r="H2064" t="e" vm="1">
        <f>_xlfn.XLOOKUP(AllData[[#This Row],[Site Name]],LocationsKey[Site Name],LocationsKey[District])</f>
        <v>#VALUE!</v>
      </c>
      <c r="I2064" t="e" vm="2">
        <f>_xlfn.XLOOKUP(AllData[[#This Row],[Site Name]],LocationsKey[Site Name],LocationsKey[Town])</f>
        <v>#VALUE!</v>
      </c>
      <c r="J2064" t="str">
        <f>_xlfn.XLOOKUP(AllData[[#This Row],[Site Name]],LocationsKey[Site Name], LocationsKey[Waterway])</f>
        <v>Avon</v>
      </c>
      <c r="K2064" t="s">
        <v>288</v>
      </c>
      <c r="L2064">
        <v>52.212288999999998</v>
      </c>
      <c r="M2064" s="108">
        <v>-1.660452</v>
      </c>
      <c r="N2064" t="s">
        <v>31</v>
      </c>
      <c r="O2064">
        <v>393</v>
      </c>
      <c r="P2064">
        <v>10</v>
      </c>
      <c r="Q2064">
        <v>2</v>
      </c>
      <c r="R2064" s="141" t="str">
        <f>IF(AllData[[#This Row],[Nitrate (PPM)]]&gt;2, "Very high", IF(AllData[[#This Row],[Nitrate (PPM)]]&gt;1, "High", IF(AllData[[#This Row],[Nitrate (PPM)]]&gt;0.5, "Some evidence", IF(AllData[[#This Row],[Nitrate (PPM)]]&gt;=0, "No evidence"))))</f>
        <v>High</v>
      </c>
      <c r="S2064" s="4">
        <v>1.92</v>
      </c>
      <c r="T2064" s="7" t="str">
        <f>IF(AllData[[#This Row],[Phosphate (PPM)]]&gt;0.5, "Very high", IF(AllData[[#This Row],[Phosphate (PPM)]]&gt;0.1, "High", IF(AllData[[#This Row],[Phosphate (PPM)]]&gt;0.05, "Some evidence", IF(AllData[[#This Row],[Phosphate (PPM)]]&lt;=0.05, "No Evidence", ""))))</f>
        <v>Very high</v>
      </c>
      <c r="U2064">
        <v>6</v>
      </c>
      <c r="V2064" t="s">
        <v>497</v>
      </c>
    </row>
    <row r="2065" spans="1:22" x14ac:dyDescent="0.35">
      <c r="A2065" t="s">
        <v>494</v>
      </c>
      <c r="B2065" s="143">
        <v>45295</v>
      </c>
      <c r="C2065" s="2" t="str" cm="1">
        <f t="array" ref="C20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5">
        <v>2023</v>
      </c>
      <c r="E2065" s="1">
        <v>0.63888888888888884</v>
      </c>
      <c r="F2065" t="str">
        <f>IF(AND(AllData[[#This Row],[Time]]&lt;0.5, AllData[[#This Row],[Time]]&gt;0.17)=TRUE, "Morning", IF(AND(AllData[[#This Row],[Time]]&lt;0.75, AllData[[#This Row],[Time]]&gt;=0.5)=TRUE, "Afternoon", IF(AND(AllData[[#This Row],[Time]]&lt;1, AllData[[#This Row],[Time]]&gt;=0.75)=TRUE, "Evening", "Night")))</f>
        <v>Afternoon</v>
      </c>
      <c r="G2065" t="str">
        <f>_xlfn.XLOOKUP(AllData[[#This Row],[Location Name]], Locations[Location Name],Locations[Group As])</f>
        <v>Swiffen Bank</v>
      </c>
      <c r="H2065" t="e" vm="1">
        <f>_xlfn.XLOOKUP(AllData[[#This Row],[Site Name]],LocationsKey[Site Name],LocationsKey[District])</f>
        <v>#VALUE!</v>
      </c>
      <c r="I2065" t="e" vm="2">
        <f>_xlfn.XLOOKUP(AllData[[#This Row],[Site Name]],LocationsKey[Site Name],LocationsKey[Town])</f>
        <v>#VALUE!</v>
      </c>
      <c r="J2065" t="str">
        <f>_xlfn.XLOOKUP(AllData[[#This Row],[Site Name]],LocationsKey[Site Name], LocationsKey[Waterway])</f>
        <v>Avon</v>
      </c>
      <c r="K2065" t="s">
        <v>286</v>
      </c>
      <c r="L2065">
        <v>52.206406000000001</v>
      </c>
      <c r="M2065" s="108">
        <v>-1.654576</v>
      </c>
      <c r="N2065" t="s">
        <v>31</v>
      </c>
      <c r="O2065">
        <v>370</v>
      </c>
      <c r="P2065">
        <v>9.6</v>
      </c>
      <c r="Q2065">
        <v>2</v>
      </c>
      <c r="R2065" s="141" t="str">
        <f>IF(AllData[[#This Row],[Nitrate (PPM)]]&gt;2, "Very high", IF(AllData[[#This Row],[Nitrate (PPM)]]&gt;1, "High", IF(AllData[[#This Row],[Nitrate (PPM)]]&gt;0.5, "Some evidence", IF(AllData[[#This Row],[Nitrate (PPM)]]&gt;=0, "No evidence"))))</f>
        <v>High</v>
      </c>
      <c r="S2065" s="4">
        <v>0.62</v>
      </c>
      <c r="T2065" s="7" t="str">
        <f>IF(AllData[[#This Row],[Phosphate (PPM)]]&gt;0.5, "Very high", IF(AllData[[#This Row],[Phosphate (PPM)]]&gt;0.1, "High", IF(AllData[[#This Row],[Phosphate (PPM)]]&gt;0.05, "Some evidence", IF(AllData[[#This Row],[Phosphate (PPM)]]&lt;=0.05, "No Evidence", ""))))</f>
        <v>Very high</v>
      </c>
      <c r="U2065">
        <v>4</v>
      </c>
      <c r="V2065" t="s">
        <v>495</v>
      </c>
    </row>
    <row r="2066" spans="1:22" x14ac:dyDescent="0.35">
      <c r="A2066" t="s">
        <v>491</v>
      </c>
      <c r="B2066" s="143">
        <v>45291</v>
      </c>
      <c r="C2066" s="2" t="str" cm="1">
        <f t="array" ref="C20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6">
        <f>YEAR(AllData[[#This Row],[Date]])</f>
        <v>2023</v>
      </c>
      <c r="E2066" s="1">
        <v>0.54166666666666663</v>
      </c>
      <c r="F2066" t="str">
        <f>IF(AND(AllData[[#This Row],[Time]]&lt;0.5, AllData[[#This Row],[Time]]&gt;0.17)=TRUE, "Morning", IF(AND(AllData[[#This Row],[Time]]&lt;0.75, AllData[[#This Row],[Time]]&gt;=0.5)=TRUE, "Afternoon", IF(AND(AllData[[#This Row],[Time]]&lt;1, AllData[[#This Row],[Time]]&gt;=0.75)=TRUE, "Evening", "Night")))</f>
        <v>Afternoon</v>
      </c>
      <c r="G2066" t="str">
        <f>_xlfn.XLOOKUP(AllData[[#This Row],[Location Name]], Locations[Location Name],Locations[Group As])</f>
        <v>Hampton Lucy</v>
      </c>
      <c r="H2066" t="e" vm="1">
        <f>_xlfn.XLOOKUP(AllData[[#This Row],[Site Name]],LocationsKey[Site Name],LocationsKey[District])</f>
        <v>#VALUE!</v>
      </c>
      <c r="I2066" t="e" vm="33">
        <f>_xlfn.XLOOKUP(AllData[[#This Row],[Site Name]],LocationsKey[Site Name],LocationsKey[Town])</f>
        <v>#VALUE!</v>
      </c>
      <c r="J2066" t="str">
        <f>_xlfn.XLOOKUP(AllData[[#This Row],[Site Name]],LocationsKey[Site Name], LocationsKey[Waterway])</f>
        <v>Avon</v>
      </c>
      <c r="K2066" t="s">
        <v>39</v>
      </c>
      <c r="L2066">
        <v>52.211680000000001</v>
      </c>
      <c r="M2066" s="108">
        <v>-1.6244400000000001</v>
      </c>
      <c r="N2066" t="s">
        <v>25</v>
      </c>
      <c r="O2066">
        <v>486</v>
      </c>
      <c r="P2066">
        <v>9</v>
      </c>
      <c r="Q2066">
        <v>15</v>
      </c>
      <c r="R2066" s="141" t="str">
        <f>IF(AllData[[#This Row],[Nitrate (PPM)]]&gt;2, "Very high", IF(AllData[[#This Row],[Nitrate (PPM)]]&gt;1, "High", IF(AllData[[#This Row],[Nitrate (PPM)]]&gt;0.5, "Some evidence", IF(AllData[[#This Row],[Nitrate (PPM)]]&gt;=0, "No evidence"))))</f>
        <v>Very high</v>
      </c>
      <c r="S2066" s="4">
        <v>0.51</v>
      </c>
      <c r="T2066" s="7" t="str">
        <f>IF(AllData[[#This Row],[Phosphate (PPM)]]&gt;0.5, "Very high", IF(AllData[[#This Row],[Phosphate (PPM)]]&gt;0.1, "High", IF(AllData[[#This Row],[Phosphate (PPM)]]&gt;0.05, "Some evidence", IF(AllData[[#This Row],[Phosphate (PPM)]]&lt;=0.05, "No Evidence", ""))))</f>
        <v>Very high</v>
      </c>
      <c r="U2066">
        <v>0</v>
      </c>
    </row>
    <row r="2067" spans="1:22" x14ac:dyDescent="0.35">
      <c r="A2067" t="s">
        <v>488</v>
      </c>
      <c r="B2067" s="143">
        <v>45290</v>
      </c>
      <c r="C2067" s="2" t="str" cm="1">
        <f t="array" ref="C20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7">
        <f>YEAR(AllData[[#This Row],[Date]])</f>
        <v>2023</v>
      </c>
      <c r="E2067" s="1">
        <v>0.5</v>
      </c>
      <c r="F2067" t="str">
        <f>IF(AND(AllData[[#This Row],[Time]]&lt;0.5, AllData[[#This Row],[Time]]&gt;0.17)=TRUE, "Morning", IF(AND(AllData[[#This Row],[Time]]&lt;0.75, AllData[[#This Row],[Time]]&gt;=0.5)=TRUE, "Afternoon", IF(AND(AllData[[#This Row],[Time]]&lt;1, AllData[[#This Row],[Time]]&gt;=0.75)=TRUE, "Evening", "Night")))</f>
        <v>Afternoon</v>
      </c>
      <c r="G2067" t="str">
        <f>_xlfn.XLOOKUP(AllData[[#This Row],[Location Name]], Locations[Location Name],Locations[Group As])</f>
        <v>Carrant Bredon Rd</v>
      </c>
      <c r="H2067" t="e" vm="4">
        <f>_xlfn.XLOOKUP(AllData[[#This Row],[Site Name]],LocationsKey[Site Name],LocationsKey[District])</f>
        <v>#VALUE!</v>
      </c>
      <c r="I2067" t="e" vm="4">
        <f>_xlfn.XLOOKUP(AllData[[#This Row],[Site Name]],LocationsKey[Site Name],LocationsKey[Town])</f>
        <v>#VALUE!</v>
      </c>
      <c r="J2067" t="str">
        <f>_xlfn.XLOOKUP(AllData[[#This Row],[Site Name]],LocationsKey[Site Name], LocationsKey[Waterway])</f>
        <v>Carrant</v>
      </c>
      <c r="K2067" t="s">
        <v>91</v>
      </c>
      <c r="L2067">
        <v>51.998399999999997</v>
      </c>
      <c r="M2067" s="108">
        <v>-2.1528</v>
      </c>
      <c r="N2067" t="s">
        <v>25</v>
      </c>
      <c r="O2067">
        <v>497</v>
      </c>
      <c r="P2067">
        <v>9.4</v>
      </c>
      <c r="Q2067">
        <v>5</v>
      </c>
      <c r="R2067" s="141" t="str">
        <f>IF(AllData[[#This Row],[Nitrate (PPM)]]&gt;2, "Very high", IF(AllData[[#This Row],[Nitrate (PPM)]]&gt;1, "High", IF(AllData[[#This Row],[Nitrate (PPM)]]&gt;0.5, "Some evidence", IF(AllData[[#This Row],[Nitrate (PPM)]]&gt;=0, "No evidence"))))</f>
        <v>Very high</v>
      </c>
      <c r="S2067" s="4">
        <v>0.79</v>
      </c>
      <c r="T2067" s="7" t="str">
        <f>IF(AllData[[#This Row],[Phosphate (PPM)]]&gt;0.5, "Very high", IF(AllData[[#This Row],[Phosphate (PPM)]]&gt;0.1, "High", IF(AllData[[#This Row],[Phosphate (PPM)]]&gt;0.05, "Some evidence", IF(AllData[[#This Row],[Phosphate (PPM)]]&lt;=0.05, "No Evidence", ""))))</f>
        <v>Very high</v>
      </c>
      <c r="U2067">
        <v>2</v>
      </c>
      <c r="V2067" t="s">
        <v>272</v>
      </c>
    </row>
    <row r="2068" spans="1:22" x14ac:dyDescent="0.35">
      <c r="A2068" t="s">
        <v>489</v>
      </c>
      <c r="B2068" s="143">
        <v>45290</v>
      </c>
      <c r="C2068" s="2" t="str" cm="1">
        <f t="array" ref="C20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8">
        <f>YEAR(AllData[[#This Row],[Date]])</f>
        <v>2023</v>
      </c>
      <c r="E2068" s="1">
        <v>0.60416666666666663</v>
      </c>
      <c r="F2068" t="str">
        <f>IF(AND(AllData[[#This Row],[Time]]&lt;0.5, AllData[[#This Row],[Time]]&gt;0.17)=TRUE, "Morning", IF(AND(AllData[[#This Row],[Time]]&lt;0.75, AllData[[#This Row],[Time]]&gt;=0.5)=TRUE, "Afternoon", IF(AND(AllData[[#This Row],[Time]]&lt;1, AllData[[#This Row],[Time]]&gt;=0.75)=TRUE, "Evening", "Night")))</f>
        <v>Afternoon</v>
      </c>
      <c r="G2068" t="str">
        <f>_xlfn.XLOOKUP(AllData[[#This Row],[Location Name]], Locations[Location Name],Locations[Group As])</f>
        <v>Abbey Mill</v>
      </c>
      <c r="H2068" t="e" vm="4">
        <f>_xlfn.XLOOKUP(AllData[[#This Row],[Site Name]],LocationsKey[Site Name],LocationsKey[District])</f>
        <v>#VALUE!</v>
      </c>
      <c r="I2068" t="e" vm="4">
        <f>_xlfn.XLOOKUP(AllData[[#This Row],[Site Name]],LocationsKey[Site Name],LocationsKey[Town])</f>
        <v>#VALUE!</v>
      </c>
      <c r="J2068" t="str">
        <f>_xlfn.XLOOKUP(AllData[[#This Row],[Site Name]],LocationsKey[Site Name], LocationsKey[Waterway])</f>
        <v>Avon</v>
      </c>
      <c r="K2068" t="s">
        <v>24</v>
      </c>
      <c r="M2068" s="108"/>
      <c r="N2068" t="s">
        <v>25</v>
      </c>
      <c r="O2068">
        <v>474</v>
      </c>
      <c r="P2068">
        <v>11.1</v>
      </c>
      <c r="Q2068">
        <v>4</v>
      </c>
      <c r="R2068" s="141" t="str">
        <f>IF(AllData[[#This Row],[Nitrate (PPM)]]&gt;2, "Very high", IF(AllData[[#This Row],[Nitrate (PPM)]]&gt;1, "High", IF(AllData[[#This Row],[Nitrate (PPM)]]&gt;0.5, "Some evidence", IF(AllData[[#This Row],[Nitrate (PPM)]]&gt;=0, "No evidence"))))</f>
        <v>Very high</v>
      </c>
      <c r="S2068" s="4">
        <v>0.86</v>
      </c>
      <c r="T2068" s="7" t="str">
        <f>IF(AllData[[#This Row],[Phosphate (PPM)]]&gt;0.5, "Very high", IF(AllData[[#This Row],[Phosphate (PPM)]]&gt;0.1, "High", IF(AllData[[#This Row],[Phosphate (PPM)]]&gt;0.05, "Some evidence", IF(AllData[[#This Row],[Phosphate (PPM)]]&lt;=0.05, "No Evidence", ""))))</f>
        <v>Very high</v>
      </c>
      <c r="U2068">
        <v>2.6</v>
      </c>
      <c r="V2068" t="s">
        <v>490</v>
      </c>
    </row>
    <row r="2069" spans="1:22" x14ac:dyDescent="0.35">
      <c r="A2069" t="s">
        <v>485</v>
      </c>
      <c r="B2069" s="143">
        <v>45288</v>
      </c>
      <c r="C2069" s="2" t="str" cm="1">
        <f t="array" ref="C20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69">
        <f>YEAR(AllData[[#This Row],[Date]])</f>
        <v>2023</v>
      </c>
      <c r="E2069" s="1">
        <v>0.5</v>
      </c>
      <c r="F2069" t="str">
        <f>IF(AND(AllData[[#This Row],[Time]]&lt;0.5, AllData[[#This Row],[Time]]&gt;0.17)=TRUE, "Morning", IF(AND(AllData[[#This Row],[Time]]&lt;0.75, AllData[[#This Row],[Time]]&gt;=0.5)=TRUE, "Afternoon", IF(AND(AllData[[#This Row],[Time]]&lt;1, AllData[[#This Row],[Time]]&gt;=0.75)=TRUE, "Evening", "Night")))</f>
        <v>Afternoon</v>
      </c>
      <c r="G2069" t="str">
        <f>_xlfn.XLOOKUP(AllData[[#This Row],[Location Name]], Locations[Location Name],Locations[Group As])</f>
        <v>Swilgate</v>
      </c>
      <c r="H2069" t="e" vm="4">
        <f>_xlfn.XLOOKUP(AllData[[#This Row],[Site Name]],LocationsKey[Site Name],LocationsKey[District])</f>
        <v>#VALUE!</v>
      </c>
      <c r="I2069" t="e" vm="4">
        <f>_xlfn.XLOOKUP(AllData[[#This Row],[Site Name]],LocationsKey[Site Name],LocationsKey[Town])</f>
        <v>#VALUE!</v>
      </c>
      <c r="J2069" t="str">
        <f>_xlfn.XLOOKUP(AllData[[#This Row],[Site Name]],LocationsKey[Site Name], LocationsKey[Waterway])</f>
        <v>Swilgate</v>
      </c>
      <c r="K2069" t="s">
        <v>486</v>
      </c>
      <c r="M2069" s="108"/>
      <c r="N2069" t="s">
        <v>25</v>
      </c>
      <c r="O2069">
        <v>797</v>
      </c>
      <c r="P2069">
        <v>10.7</v>
      </c>
      <c r="Q2069">
        <v>4</v>
      </c>
      <c r="R2069" s="141" t="str">
        <f>IF(AllData[[#This Row],[Nitrate (PPM)]]&gt;2, "Very high", IF(AllData[[#This Row],[Nitrate (PPM)]]&gt;1, "High", IF(AllData[[#This Row],[Nitrate (PPM)]]&gt;0.5, "Some evidence", IF(AllData[[#This Row],[Nitrate (PPM)]]&gt;=0, "No evidence"))))</f>
        <v>Very high</v>
      </c>
      <c r="S2069" s="4">
        <v>0.55000000000000004</v>
      </c>
      <c r="T2069" s="7" t="str">
        <f>IF(AllData[[#This Row],[Phosphate (PPM)]]&gt;0.5, "Very high", IF(AllData[[#This Row],[Phosphate (PPM)]]&gt;0.1, "High", IF(AllData[[#This Row],[Phosphate (PPM)]]&gt;0.05, "Some evidence", IF(AllData[[#This Row],[Phosphate (PPM)]]&lt;=0.05, "No Evidence", ""))))</f>
        <v>Very high</v>
      </c>
      <c r="U2069">
        <v>2</v>
      </c>
      <c r="V2069" t="s">
        <v>487</v>
      </c>
    </row>
    <row r="2070" spans="1:22" x14ac:dyDescent="0.35">
      <c r="A2070" t="s">
        <v>483</v>
      </c>
      <c r="B2070" s="143">
        <v>45288</v>
      </c>
      <c r="C2070" s="2" t="str" cm="1">
        <f t="array" ref="C20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0">
        <f>YEAR(AllData[[#This Row],[Date]])</f>
        <v>2023</v>
      </c>
      <c r="E2070" s="1">
        <v>0.5</v>
      </c>
      <c r="F2070" t="str">
        <f>IF(AND(AllData[[#This Row],[Time]]&lt;0.5, AllData[[#This Row],[Time]]&gt;0.17)=TRUE, "Morning", IF(AND(AllData[[#This Row],[Time]]&lt;0.75, AllData[[#This Row],[Time]]&gt;=0.5)=TRUE, "Afternoon", IF(AND(AllData[[#This Row],[Time]]&lt;1, AllData[[#This Row],[Time]]&gt;=0.75)=TRUE, "Evening", "Night")))</f>
        <v>Afternoon</v>
      </c>
      <c r="G2070" t="str">
        <f>_xlfn.XLOOKUP(AllData[[#This Row],[Location Name]], Locations[Location Name],Locations[Group As])</f>
        <v>Swiffen Bank</v>
      </c>
      <c r="H2070" t="e" vm="1">
        <f>_xlfn.XLOOKUP(AllData[[#This Row],[Site Name]],LocationsKey[Site Name],LocationsKey[District])</f>
        <v>#VALUE!</v>
      </c>
      <c r="I2070" t="e" vm="2">
        <f>_xlfn.XLOOKUP(AllData[[#This Row],[Site Name]],LocationsKey[Site Name],LocationsKey[Town])</f>
        <v>#VALUE!</v>
      </c>
      <c r="J2070" t="str">
        <f>_xlfn.XLOOKUP(AllData[[#This Row],[Site Name]],LocationsKey[Site Name], LocationsKey[Waterway])</f>
        <v>Avon</v>
      </c>
      <c r="K2070" t="s">
        <v>286</v>
      </c>
      <c r="L2070">
        <v>52.205849000000001</v>
      </c>
      <c r="M2070" s="108">
        <v>-1.6554519999999999</v>
      </c>
      <c r="N2070" t="s">
        <v>31</v>
      </c>
      <c r="O2070">
        <v>513</v>
      </c>
      <c r="P2070">
        <v>11.1</v>
      </c>
      <c r="Q2070">
        <v>2</v>
      </c>
      <c r="R2070" s="141" t="str">
        <f>IF(AllData[[#This Row],[Nitrate (PPM)]]&gt;2, "Very high", IF(AllData[[#This Row],[Nitrate (PPM)]]&gt;1, "High", IF(AllData[[#This Row],[Nitrate (PPM)]]&gt;0.5, "Some evidence", IF(AllData[[#This Row],[Nitrate (PPM)]]&gt;=0, "No evidence"))))</f>
        <v>High</v>
      </c>
      <c r="S2070" s="4">
        <v>0.82</v>
      </c>
      <c r="T2070" s="7" t="str">
        <f>IF(AllData[[#This Row],[Phosphate (PPM)]]&gt;0.5, "Very high", IF(AllData[[#This Row],[Phosphate (PPM)]]&gt;0.1, "High", IF(AllData[[#This Row],[Phosphate (PPM)]]&gt;0.05, "Some evidence", IF(AllData[[#This Row],[Phosphate (PPM)]]&lt;=0.05, "No Evidence", ""))))</f>
        <v>Very high</v>
      </c>
      <c r="U2070">
        <v>2</v>
      </c>
      <c r="V2070" t="s">
        <v>484</v>
      </c>
    </row>
    <row r="2071" spans="1:22" x14ac:dyDescent="0.35">
      <c r="A2071" t="s">
        <v>481</v>
      </c>
      <c r="B2071" s="143">
        <v>45288</v>
      </c>
      <c r="C2071" s="2" t="str" cm="1">
        <f t="array" ref="C20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1">
        <f>YEAR(AllData[[#This Row],[Date]])</f>
        <v>2023</v>
      </c>
      <c r="E2071" s="1">
        <v>0.48402777777777778</v>
      </c>
      <c r="F2071" t="str">
        <f>IF(AND(AllData[[#This Row],[Time]]&lt;0.5, AllData[[#This Row],[Time]]&gt;0.17)=TRUE, "Morning", IF(AND(AllData[[#This Row],[Time]]&lt;0.75, AllData[[#This Row],[Time]]&gt;=0.5)=TRUE, "Afternoon", IF(AND(AllData[[#This Row],[Time]]&lt;1, AllData[[#This Row],[Time]]&gt;=0.75)=TRUE, "Evening", "Night")))</f>
        <v>Morning</v>
      </c>
      <c r="G2071" t="str">
        <f>_xlfn.XLOOKUP(AllData[[#This Row],[Location Name]], Locations[Location Name],Locations[Group As])</f>
        <v>Alveston Weir</v>
      </c>
      <c r="H2071" t="e" vm="1">
        <f>_xlfn.XLOOKUP(AllData[[#This Row],[Site Name]],LocationsKey[Site Name],LocationsKey[District])</f>
        <v>#VALUE!</v>
      </c>
      <c r="I2071" t="e" vm="2">
        <f>_xlfn.XLOOKUP(AllData[[#This Row],[Site Name]],LocationsKey[Site Name],LocationsKey[Town])</f>
        <v>#VALUE!</v>
      </c>
      <c r="J2071" t="str">
        <f>_xlfn.XLOOKUP(AllData[[#This Row],[Site Name]],LocationsKey[Site Name], LocationsKey[Waterway])</f>
        <v>Avon</v>
      </c>
      <c r="K2071" t="s">
        <v>288</v>
      </c>
      <c r="L2071">
        <v>52.214308000000003</v>
      </c>
      <c r="M2071" s="108">
        <v>-1.660922</v>
      </c>
      <c r="N2071" t="s">
        <v>31</v>
      </c>
      <c r="O2071">
        <v>495</v>
      </c>
      <c r="P2071">
        <v>10.1</v>
      </c>
      <c r="Q2071">
        <v>2</v>
      </c>
      <c r="R2071" s="141" t="str">
        <f>IF(AllData[[#This Row],[Nitrate (PPM)]]&gt;2, "Very high", IF(AllData[[#This Row],[Nitrate (PPM)]]&gt;1, "High", IF(AllData[[#This Row],[Nitrate (PPM)]]&gt;0.5, "Some evidence", IF(AllData[[#This Row],[Nitrate (PPM)]]&gt;=0, "No evidence"))))</f>
        <v>High</v>
      </c>
      <c r="S2071" s="4">
        <v>0.63</v>
      </c>
      <c r="T2071" s="7" t="str">
        <f>IF(AllData[[#This Row],[Phosphate (PPM)]]&gt;0.5, "Very high", IF(AllData[[#This Row],[Phosphate (PPM)]]&gt;0.1, "High", IF(AllData[[#This Row],[Phosphate (PPM)]]&gt;0.05, "Some evidence", IF(AllData[[#This Row],[Phosphate (PPM)]]&lt;=0.05, "No Evidence", ""))))</f>
        <v>Very high</v>
      </c>
      <c r="U2071">
        <v>1</v>
      </c>
      <c r="V2071" t="s">
        <v>482</v>
      </c>
    </row>
    <row r="2072" spans="1:22" x14ac:dyDescent="0.35">
      <c r="A2072" t="s">
        <v>480</v>
      </c>
      <c r="B2072" s="143">
        <v>45287</v>
      </c>
      <c r="C2072" s="2" t="str" cm="1">
        <f t="array" ref="C20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2">
        <f>YEAR(AllData[[#This Row],[Date]])</f>
        <v>2023</v>
      </c>
      <c r="E2072" s="1">
        <v>0.52083333333333337</v>
      </c>
      <c r="F2072" t="str">
        <f>IF(AND(AllData[[#This Row],[Time]]&lt;0.5, AllData[[#This Row],[Time]]&gt;0.17)=TRUE, "Morning", IF(AND(AllData[[#This Row],[Time]]&lt;0.75, AllData[[#This Row],[Time]]&gt;=0.5)=TRUE, "Afternoon", IF(AND(AllData[[#This Row],[Time]]&lt;1, AllData[[#This Row],[Time]]&gt;=0.75)=TRUE, "Evening", "Night")))</f>
        <v>Afternoon</v>
      </c>
      <c r="G2072" t="str">
        <f>_xlfn.XLOOKUP(AllData[[#This Row],[Location Name]], Locations[Location Name],Locations[Group As])</f>
        <v>Barton</v>
      </c>
      <c r="H2072" t="e" vm="1">
        <f>_xlfn.XLOOKUP(AllData[[#This Row],[Site Name]],LocationsKey[Site Name],LocationsKey[District])</f>
        <v>#VALUE!</v>
      </c>
      <c r="I2072" t="str">
        <f>_xlfn.XLOOKUP(AllData[[#This Row],[Site Name]],LocationsKey[Site Name],LocationsKey[Town])</f>
        <v>Barton</v>
      </c>
      <c r="J2072" t="str">
        <f>_xlfn.XLOOKUP(AllData[[#This Row],[Site Name]],LocationsKey[Site Name], LocationsKey[Waterway])</f>
        <v>Avon</v>
      </c>
      <c r="K2072" t="s">
        <v>51</v>
      </c>
      <c r="L2072">
        <v>52.161209999999997</v>
      </c>
      <c r="M2072" s="108">
        <v>-1.8301499999999999</v>
      </c>
      <c r="N2072" t="s">
        <v>31</v>
      </c>
      <c r="O2072">
        <v>732</v>
      </c>
      <c r="P2072">
        <v>7.9</v>
      </c>
      <c r="Q2072">
        <v>25</v>
      </c>
      <c r="R2072" s="141" t="str">
        <f>IF(AllData[[#This Row],[Nitrate (PPM)]]&gt;2, "Very high", IF(AllData[[#This Row],[Nitrate (PPM)]]&gt;1, "High", IF(AllData[[#This Row],[Nitrate (PPM)]]&gt;0.5, "Some evidence", IF(AllData[[#This Row],[Nitrate (PPM)]]&gt;=0, "No evidence"))))</f>
        <v>Very high</v>
      </c>
      <c r="S2072" s="4">
        <v>0.42</v>
      </c>
      <c r="T2072" s="7" t="str">
        <f>IF(AllData[[#This Row],[Phosphate (PPM)]]&gt;0.5, "Very high", IF(AllData[[#This Row],[Phosphate (PPM)]]&gt;0.1, "High", IF(AllData[[#This Row],[Phosphate (PPM)]]&gt;0.05, "Some evidence", IF(AllData[[#This Row],[Phosphate (PPM)]]&lt;=0.05, "No Evidence", ""))))</f>
        <v>High</v>
      </c>
      <c r="U2072">
        <v>0</v>
      </c>
    </row>
    <row r="2073" spans="1:22" x14ac:dyDescent="0.35">
      <c r="A2073" t="s">
        <v>479</v>
      </c>
      <c r="B2073" s="143">
        <v>45286</v>
      </c>
      <c r="C2073" s="2" t="str" cm="1">
        <f t="array" ref="C20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3">
        <f>YEAR(AllData[[#This Row],[Date]])</f>
        <v>2023</v>
      </c>
      <c r="E2073" s="1">
        <v>0.625</v>
      </c>
      <c r="F2073" t="str">
        <f>IF(AND(AllData[[#This Row],[Time]]&lt;0.5, AllData[[#This Row],[Time]]&gt;0.17)=TRUE, "Morning", IF(AND(AllData[[#This Row],[Time]]&lt;0.75, AllData[[#This Row],[Time]]&gt;=0.5)=TRUE, "Afternoon", IF(AND(AllData[[#This Row],[Time]]&lt;1, AllData[[#This Row],[Time]]&gt;=0.75)=TRUE, "Evening", "Night")))</f>
        <v>Afternoon</v>
      </c>
      <c r="G2073" t="str">
        <f>_xlfn.XLOOKUP(AllData[[#This Row],[Location Name]], Locations[Location Name],Locations[Group As])</f>
        <v>Weston-on-Avon</v>
      </c>
      <c r="H2073" t="e" vm="1">
        <f>_xlfn.XLOOKUP(AllData[[#This Row],[Site Name]],LocationsKey[Site Name],LocationsKey[District])</f>
        <v>#VALUE!</v>
      </c>
      <c r="I2073" t="e" vm="35">
        <f>_xlfn.XLOOKUP(AllData[[#This Row],[Site Name]],LocationsKey[Site Name],LocationsKey[Town])</f>
        <v>#VALUE!</v>
      </c>
      <c r="J2073" t="str">
        <f>_xlfn.XLOOKUP(AllData[[#This Row],[Site Name]],LocationsKey[Site Name], LocationsKey[Waterway])</f>
        <v>Avon</v>
      </c>
      <c r="K2073" t="s">
        <v>43</v>
      </c>
      <c r="L2073">
        <v>52.167430000000003</v>
      </c>
      <c r="M2073" s="108">
        <v>-1.7744</v>
      </c>
      <c r="N2073" t="s">
        <v>31</v>
      </c>
      <c r="O2073">
        <v>780</v>
      </c>
      <c r="P2073">
        <v>10.6</v>
      </c>
      <c r="Q2073">
        <v>7</v>
      </c>
      <c r="R2073" s="141" t="str">
        <f>IF(AllData[[#This Row],[Nitrate (PPM)]]&gt;2, "Very high", IF(AllData[[#This Row],[Nitrate (PPM)]]&gt;1, "High", IF(AllData[[#This Row],[Nitrate (PPM)]]&gt;0.5, "Some evidence", IF(AllData[[#This Row],[Nitrate (PPM)]]&gt;=0, "No evidence"))))</f>
        <v>Very high</v>
      </c>
      <c r="S2073" s="4">
        <v>0.46</v>
      </c>
      <c r="T2073" s="7" t="str">
        <f>IF(AllData[[#This Row],[Phosphate (PPM)]]&gt;0.5, "Very high", IF(AllData[[#This Row],[Phosphate (PPM)]]&gt;0.1, "High", IF(AllData[[#This Row],[Phosphate (PPM)]]&gt;0.05, "Some evidence", IF(AllData[[#This Row],[Phosphate (PPM)]]&lt;=0.05, "No Evidence", ""))))</f>
        <v>High</v>
      </c>
      <c r="U2073">
        <v>0</v>
      </c>
    </row>
    <row r="2074" spans="1:22" x14ac:dyDescent="0.35">
      <c r="A2074" t="s">
        <v>476</v>
      </c>
      <c r="B2074" s="143">
        <v>45284</v>
      </c>
      <c r="C2074" s="2" t="str" cm="1">
        <f t="array" ref="C20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4">
        <f>YEAR(AllData[[#This Row],[Date]])</f>
        <v>2023</v>
      </c>
      <c r="E2074" s="1">
        <v>0.53125</v>
      </c>
      <c r="F2074" t="str">
        <f>IF(AND(AllData[[#This Row],[Time]]&lt;0.5, AllData[[#This Row],[Time]]&gt;0.17)=TRUE, "Morning", IF(AND(AllData[[#This Row],[Time]]&lt;0.75, AllData[[#This Row],[Time]]&gt;=0.5)=TRUE, "Afternoon", IF(AND(AllData[[#This Row],[Time]]&lt;1, AllData[[#This Row],[Time]]&gt;=0.75)=TRUE, "Evening", "Night")))</f>
        <v>Afternoon</v>
      </c>
      <c r="G2074" t="str">
        <f>_xlfn.XLOOKUP(AllData[[#This Row],[Location Name]], Locations[Location Name],Locations[Group As])</f>
        <v>Hampton Lucy</v>
      </c>
      <c r="H2074" t="e" vm="1">
        <f>_xlfn.XLOOKUP(AllData[[#This Row],[Site Name]],LocationsKey[Site Name],LocationsKey[District])</f>
        <v>#VALUE!</v>
      </c>
      <c r="I2074" t="e" vm="33">
        <f>_xlfn.XLOOKUP(AllData[[#This Row],[Site Name]],LocationsKey[Site Name],LocationsKey[Town])</f>
        <v>#VALUE!</v>
      </c>
      <c r="J2074" t="str">
        <f>_xlfn.XLOOKUP(AllData[[#This Row],[Site Name]],LocationsKey[Site Name], LocationsKey[Waterway])</f>
        <v>Avon</v>
      </c>
      <c r="K2074" t="s">
        <v>39</v>
      </c>
      <c r="L2074">
        <v>52.211680000000001</v>
      </c>
      <c r="M2074" s="108">
        <v>-1.6244400000000001</v>
      </c>
      <c r="N2074" t="s">
        <v>25</v>
      </c>
      <c r="O2074">
        <v>732</v>
      </c>
      <c r="P2074">
        <v>11.4</v>
      </c>
      <c r="Q2074">
        <v>20</v>
      </c>
      <c r="R2074" s="141" t="str">
        <f>IF(AllData[[#This Row],[Nitrate (PPM)]]&gt;2, "Very high", IF(AllData[[#This Row],[Nitrate (PPM)]]&gt;1, "High", IF(AllData[[#This Row],[Nitrate (PPM)]]&gt;0.5, "Some evidence", IF(AllData[[#This Row],[Nitrate (PPM)]]&gt;=0, "No evidence"))))</f>
        <v>Very high</v>
      </c>
      <c r="S2074" s="4">
        <v>0.51</v>
      </c>
      <c r="T2074" s="7" t="str">
        <f>IF(AllData[[#This Row],[Phosphate (PPM)]]&gt;0.5, "Very high", IF(AllData[[#This Row],[Phosphate (PPM)]]&gt;0.1, "High", IF(AllData[[#This Row],[Phosphate (PPM)]]&gt;0.05, "Some evidence", IF(AllData[[#This Row],[Phosphate (PPM)]]&lt;=0.05, "No Evidence", ""))))</f>
        <v>Very high</v>
      </c>
      <c r="U2074">
        <v>0</v>
      </c>
    </row>
    <row r="2075" spans="1:22" x14ac:dyDescent="0.35">
      <c r="A2075" t="s">
        <v>475</v>
      </c>
      <c r="B2075" s="143">
        <v>45284</v>
      </c>
      <c r="C2075" s="2" t="str" cm="1">
        <f t="array" ref="C20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5">
        <f>YEAR(AllData[[#This Row],[Date]])</f>
        <v>2023</v>
      </c>
      <c r="E2075" s="1">
        <v>0.51388888888888884</v>
      </c>
      <c r="F2075" t="str">
        <f>IF(AND(AllData[[#This Row],[Time]]&lt;0.5, AllData[[#This Row],[Time]]&gt;0.17)=TRUE, "Morning", IF(AND(AllData[[#This Row],[Time]]&lt;0.75, AllData[[#This Row],[Time]]&gt;=0.5)=TRUE, "Afternoon", IF(AND(AllData[[#This Row],[Time]]&lt;1, AllData[[#This Row],[Time]]&gt;=0.75)=TRUE, "Evening", "Night")))</f>
        <v>Afternoon</v>
      </c>
      <c r="G2075" t="str">
        <f>_xlfn.XLOOKUP(AllData[[#This Row],[Location Name]], Locations[Location Name],Locations[Group As])</f>
        <v>Hampton Wood</v>
      </c>
      <c r="H2075" t="e" vm="1">
        <f>_xlfn.XLOOKUP(AllData[[#This Row],[Site Name]],LocationsKey[Site Name],LocationsKey[District])</f>
        <v>#VALUE!</v>
      </c>
      <c r="I2075" t="e" vm="34">
        <f>_xlfn.XLOOKUP(AllData[[#This Row],[Site Name]],LocationsKey[Site Name],LocationsKey[Town])</f>
        <v>#VALUE!</v>
      </c>
      <c r="J2075" t="str">
        <f>_xlfn.XLOOKUP(AllData[[#This Row],[Site Name]],LocationsKey[Site Name], LocationsKey[Waterway])</f>
        <v>Avon</v>
      </c>
      <c r="K2075" t="s">
        <v>36</v>
      </c>
      <c r="L2075">
        <v>52.238149999999997</v>
      </c>
      <c r="M2075" s="108">
        <v>-1.6245799999999999</v>
      </c>
      <c r="N2075" t="s">
        <v>31</v>
      </c>
      <c r="O2075">
        <v>730</v>
      </c>
      <c r="P2075">
        <v>12</v>
      </c>
      <c r="Q2075">
        <v>15</v>
      </c>
      <c r="R2075" s="141" t="str">
        <f>IF(AllData[[#This Row],[Nitrate (PPM)]]&gt;2, "Very high", IF(AllData[[#This Row],[Nitrate (PPM)]]&gt;1, "High", IF(AllData[[#This Row],[Nitrate (PPM)]]&gt;0.5, "Some evidence", IF(AllData[[#This Row],[Nitrate (PPM)]]&gt;=0, "No evidence"))))</f>
        <v>Very high</v>
      </c>
      <c r="S2075" s="4">
        <v>0.45</v>
      </c>
      <c r="T2075" s="7" t="str">
        <f>IF(AllData[[#This Row],[Phosphate (PPM)]]&gt;0.5, "Very high", IF(AllData[[#This Row],[Phosphate (PPM)]]&gt;0.1, "High", IF(AllData[[#This Row],[Phosphate (PPM)]]&gt;0.05, "Some evidence", IF(AllData[[#This Row],[Phosphate (PPM)]]&lt;=0.05, "No Evidence", ""))))</f>
        <v>High</v>
      </c>
      <c r="U2075">
        <v>0</v>
      </c>
    </row>
    <row r="2076" spans="1:22" x14ac:dyDescent="0.35">
      <c r="A2076" t="s">
        <v>477</v>
      </c>
      <c r="B2076" s="143">
        <v>45284</v>
      </c>
      <c r="C2076" s="2" t="str" cm="1">
        <f t="array" ref="C20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6">
        <f>YEAR(AllData[[#This Row],[Date]])</f>
        <v>2023</v>
      </c>
      <c r="E2076" s="1">
        <v>0.43611111111111112</v>
      </c>
      <c r="F2076" t="str">
        <f>IF(AND(AllData[[#This Row],[Time]]&lt;0.5, AllData[[#This Row],[Time]]&gt;0.17)=TRUE, "Morning", IF(AND(AllData[[#This Row],[Time]]&lt;0.75, AllData[[#This Row],[Time]]&gt;=0.5)=TRUE, "Afternoon", IF(AND(AllData[[#This Row],[Time]]&lt;1, AllData[[#This Row],[Time]]&gt;=0.75)=TRUE, "Evening", "Night")))</f>
        <v>Morning</v>
      </c>
      <c r="G2076" t="str">
        <f>_xlfn.XLOOKUP(AllData[[#This Row],[Location Name]], Locations[Location Name],Locations[Group As])</f>
        <v>Fladbury Paddle Club</v>
      </c>
      <c r="H2076" t="e" vm="6">
        <f>_xlfn.XLOOKUP(AllData[[#This Row],[Site Name]],LocationsKey[Site Name],LocationsKey[District])</f>
        <v>#VALUE!</v>
      </c>
      <c r="I2076" t="e" vm="16">
        <f>_xlfn.XLOOKUP(AllData[[#This Row],[Site Name]],LocationsKey[Site Name],LocationsKey[Town])</f>
        <v>#VALUE!</v>
      </c>
      <c r="J2076" t="str">
        <f>_xlfn.XLOOKUP(AllData[[#This Row],[Site Name]],LocationsKey[Site Name], LocationsKey[Waterway])</f>
        <v>Avon</v>
      </c>
      <c r="K2076" t="s">
        <v>478</v>
      </c>
      <c r="L2076">
        <v>52.107860000000002</v>
      </c>
      <c r="M2076" s="108">
        <v>-2.0313530000000002</v>
      </c>
      <c r="O2076">
        <v>724</v>
      </c>
      <c r="P2076">
        <v>10.8</v>
      </c>
      <c r="Q2076">
        <v>10</v>
      </c>
      <c r="R2076" s="141" t="str">
        <f>IF(AllData[[#This Row],[Nitrate (PPM)]]&gt;2, "Very high", IF(AllData[[#This Row],[Nitrate (PPM)]]&gt;1, "High", IF(AllData[[#This Row],[Nitrate (PPM)]]&gt;0.5, "Some evidence", IF(AllData[[#This Row],[Nitrate (PPM)]]&gt;=0, "No evidence"))))</f>
        <v>Very high</v>
      </c>
      <c r="S2076">
        <v>0.6</v>
      </c>
      <c r="T2076" s="7" t="str">
        <f>IF(AllData[[#This Row],[Phosphate (PPM)]]&gt;0.5, "Very high", IF(AllData[[#This Row],[Phosphate (PPM)]]&gt;0.1, "High", IF(AllData[[#This Row],[Phosphate (PPM)]]&gt;0.05, "Some evidence", IF(AllData[[#This Row],[Phosphate (PPM)]]&lt;=0.05, "No Evidence", ""))))</f>
        <v>Very high</v>
      </c>
      <c r="U2076">
        <v>0</v>
      </c>
    </row>
    <row r="2077" spans="1:22" x14ac:dyDescent="0.35">
      <c r="A2077" t="s">
        <v>472</v>
      </c>
      <c r="B2077" s="143">
        <v>45283</v>
      </c>
      <c r="C2077" s="2" t="str" cm="1">
        <f t="array" ref="C20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7">
        <f>YEAR(AllData[[#This Row],[Date]])</f>
        <v>2023</v>
      </c>
      <c r="E2077" s="1">
        <v>0.61388888888888893</v>
      </c>
      <c r="F2077" t="str">
        <f>IF(AND(AllData[[#This Row],[Time]]&lt;0.5, AllData[[#This Row],[Time]]&gt;0.17)=TRUE, "Morning", IF(AND(AllData[[#This Row],[Time]]&lt;0.75, AllData[[#This Row],[Time]]&gt;=0.5)=TRUE, "Afternoon", IF(AND(AllData[[#This Row],[Time]]&lt;1, AllData[[#This Row],[Time]]&gt;=0.75)=TRUE, "Evening", "Night")))</f>
        <v>Afternoon</v>
      </c>
      <c r="G2077" t="str">
        <f>_xlfn.XLOOKUP(AllData[[#This Row],[Location Name]], Locations[Location Name],Locations[Group As])</f>
        <v>Abbey Mill</v>
      </c>
      <c r="H2077" t="e" vm="4">
        <f>_xlfn.XLOOKUP(AllData[[#This Row],[Site Name]],LocationsKey[Site Name],LocationsKey[District])</f>
        <v>#VALUE!</v>
      </c>
      <c r="I2077" t="e" vm="4">
        <f>_xlfn.XLOOKUP(AllData[[#This Row],[Site Name]],LocationsKey[Site Name],LocationsKey[Town])</f>
        <v>#VALUE!</v>
      </c>
      <c r="J2077" t="str">
        <f>_xlfn.XLOOKUP(AllData[[#This Row],[Site Name]],LocationsKey[Site Name], LocationsKey[Waterway])</f>
        <v>Avon</v>
      </c>
      <c r="K2077" t="s">
        <v>24</v>
      </c>
      <c r="L2077">
        <v>51.991292000000001</v>
      </c>
      <c r="M2077" s="108">
        <v>-2.1625369999999999</v>
      </c>
      <c r="N2077" t="s">
        <v>25</v>
      </c>
      <c r="O2077">
        <v>705</v>
      </c>
      <c r="P2077">
        <v>12</v>
      </c>
      <c r="Q2077">
        <v>10</v>
      </c>
      <c r="R2077" s="141" t="str">
        <f>IF(AllData[[#This Row],[Nitrate (PPM)]]&gt;2, "Very high", IF(AllData[[#This Row],[Nitrate (PPM)]]&gt;1, "High", IF(AllData[[#This Row],[Nitrate (PPM)]]&gt;0.5, "Some evidence", IF(AllData[[#This Row],[Nitrate (PPM)]]&gt;=0, "No evidence"))))</f>
        <v>Very high</v>
      </c>
      <c r="S2077" s="4">
        <v>0.53</v>
      </c>
      <c r="T2077" s="7" t="str">
        <f>IF(AllData[[#This Row],[Phosphate (PPM)]]&gt;0.5, "Very high", IF(AllData[[#This Row],[Phosphate (PPM)]]&gt;0.1, "High", IF(AllData[[#This Row],[Phosphate (PPM)]]&gt;0.05, "Some evidence", IF(AllData[[#This Row],[Phosphate (PPM)]]&lt;=0.05, "No Evidence", ""))))</f>
        <v>Very high</v>
      </c>
      <c r="U2077">
        <v>0.3</v>
      </c>
    </row>
    <row r="2078" spans="1:22" x14ac:dyDescent="0.35">
      <c r="A2078" t="s">
        <v>471</v>
      </c>
      <c r="B2078" s="143">
        <v>45283</v>
      </c>
      <c r="C2078" s="2" t="str" cm="1">
        <f t="array" ref="C20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8">
        <f>YEAR(AllData[[#This Row],[Date]])</f>
        <v>2023</v>
      </c>
      <c r="E2078" s="1">
        <v>0.48958333333333331</v>
      </c>
      <c r="F2078" t="str">
        <f>IF(AND(AllData[[#This Row],[Time]]&lt;0.5, AllData[[#This Row],[Time]]&gt;0.17)=TRUE, "Morning", IF(AND(AllData[[#This Row],[Time]]&lt;0.75, AllData[[#This Row],[Time]]&gt;=0.5)=TRUE, "Afternoon", IF(AND(AllData[[#This Row],[Time]]&lt;1, AllData[[#This Row],[Time]]&gt;=0.75)=TRUE, "Evening", "Night")))</f>
        <v>Morning</v>
      </c>
      <c r="G2078" t="str">
        <f>_xlfn.XLOOKUP(AllData[[#This Row],[Location Name]], Locations[Location Name],Locations[Group As])</f>
        <v>Carrant Bredon Rd</v>
      </c>
      <c r="H2078" t="e" vm="4">
        <f>_xlfn.XLOOKUP(AllData[[#This Row],[Site Name]],LocationsKey[Site Name],LocationsKey[District])</f>
        <v>#VALUE!</v>
      </c>
      <c r="I2078" t="e" vm="4">
        <f>_xlfn.XLOOKUP(AllData[[#This Row],[Site Name]],LocationsKey[Site Name],LocationsKey[Town])</f>
        <v>#VALUE!</v>
      </c>
      <c r="J2078" t="str">
        <f>_xlfn.XLOOKUP(AllData[[#This Row],[Site Name]],LocationsKey[Site Name], LocationsKey[Waterway])</f>
        <v>Carrant</v>
      </c>
      <c r="K2078" t="s">
        <v>91</v>
      </c>
      <c r="M2078" s="108"/>
      <c r="N2078" t="s">
        <v>25</v>
      </c>
      <c r="O2078">
        <v>549</v>
      </c>
      <c r="P2078">
        <v>10.1</v>
      </c>
      <c r="Q2078">
        <v>7</v>
      </c>
      <c r="R2078" s="141" t="str">
        <f>IF(AllData[[#This Row],[Nitrate (PPM)]]&gt;2, "Very high", IF(AllData[[#This Row],[Nitrate (PPM)]]&gt;1, "High", IF(AllData[[#This Row],[Nitrate (PPM)]]&gt;0.5, "Some evidence", IF(AllData[[#This Row],[Nitrate (PPM)]]&gt;=0, "No evidence"))))</f>
        <v>Very high</v>
      </c>
      <c r="S2078" s="4">
        <v>0.23</v>
      </c>
      <c r="T2078" s="7" t="str">
        <f>IF(AllData[[#This Row],[Phosphate (PPM)]]&gt;0.5, "Very high", IF(AllData[[#This Row],[Phosphate (PPM)]]&gt;0.1, "High", IF(AllData[[#This Row],[Phosphate (PPM)]]&gt;0.05, "Some evidence", IF(AllData[[#This Row],[Phosphate (PPM)]]&lt;=0.05, "No Evidence", ""))))</f>
        <v>High</v>
      </c>
      <c r="U2078">
        <v>0.15</v>
      </c>
    </row>
    <row r="2079" spans="1:22" x14ac:dyDescent="0.35">
      <c r="A2079" t="s">
        <v>473</v>
      </c>
      <c r="B2079" s="143">
        <v>45283</v>
      </c>
      <c r="C2079" s="2" t="str" cm="1">
        <f t="array" ref="C20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79">
        <f>YEAR(AllData[[#This Row],[Date]])</f>
        <v>2023</v>
      </c>
      <c r="E2079" s="1">
        <v>0.68055555555555558</v>
      </c>
      <c r="F2079" t="str">
        <f>IF(AND(AllData[[#This Row],[Time]]&lt;0.5, AllData[[#This Row],[Time]]&gt;0.17)=TRUE, "Morning", IF(AND(AllData[[#This Row],[Time]]&lt;0.75, AllData[[#This Row],[Time]]&gt;=0.5)=TRUE, "Afternoon", IF(AND(AllData[[#This Row],[Time]]&lt;1, AllData[[#This Row],[Time]]&gt;=0.75)=TRUE, "Evening", "Night")))</f>
        <v>Afternoon</v>
      </c>
      <c r="G2079" t="str">
        <f>_xlfn.XLOOKUP(AllData[[#This Row],[Location Name]], Locations[Location Name],Locations[Group As])</f>
        <v>Clifford Chambers Mill Bridge</v>
      </c>
      <c r="H2079" t="e" vm="1">
        <f>_xlfn.XLOOKUP(AllData[[#This Row],[Site Name]],LocationsKey[Site Name],LocationsKey[District])</f>
        <v>#VALUE!</v>
      </c>
      <c r="I2079" t="e" vm="22">
        <f>_xlfn.XLOOKUP(AllData[[#This Row],[Site Name]],LocationsKey[Site Name],LocationsKey[Town])</f>
        <v>#VALUE!</v>
      </c>
      <c r="J2079" t="str">
        <f>_xlfn.XLOOKUP(AllData[[#This Row],[Site Name]],LocationsKey[Site Name], LocationsKey[Waterway])</f>
        <v>Stour</v>
      </c>
      <c r="K2079" t="s">
        <v>266</v>
      </c>
      <c r="L2079">
        <v>52.166370000000001</v>
      </c>
      <c r="M2079" s="108">
        <v>-1.708032</v>
      </c>
      <c r="N2079" t="s">
        <v>68</v>
      </c>
      <c r="O2079">
        <v>626</v>
      </c>
      <c r="P2079">
        <v>12.4</v>
      </c>
      <c r="Q2079">
        <v>6</v>
      </c>
      <c r="R2079" s="141" t="str">
        <f>IF(AllData[[#This Row],[Nitrate (PPM)]]&gt;2, "Very high", IF(AllData[[#This Row],[Nitrate (PPM)]]&gt;1, "High", IF(AllData[[#This Row],[Nitrate (PPM)]]&gt;0.5, "Some evidence", IF(AllData[[#This Row],[Nitrate (PPM)]]&gt;=0, "No evidence"))))</f>
        <v>Very high</v>
      </c>
      <c r="S2079" s="4">
        <v>0.23</v>
      </c>
      <c r="T2079" s="7" t="str">
        <f>IF(AllData[[#This Row],[Phosphate (PPM)]]&gt;0.5, "Very high", IF(AllData[[#This Row],[Phosphate (PPM)]]&gt;0.1, "High", IF(AllData[[#This Row],[Phosphate (PPM)]]&gt;0.05, "Some evidence", IF(AllData[[#This Row],[Phosphate (PPM)]]&lt;=0.05, "No Evidence", ""))))</f>
        <v>High</v>
      </c>
      <c r="U2079">
        <v>1.2</v>
      </c>
      <c r="V2079" t="s">
        <v>450</v>
      </c>
    </row>
    <row r="2080" spans="1:22" x14ac:dyDescent="0.35">
      <c r="A2080" t="s">
        <v>474</v>
      </c>
      <c r="B2080" s="143">
        <v>45283</v>
      </c>
      <c r="C2080" s="2" t="str" cm="1">
        <f t="array" ref="C20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0">
        <f>YEAR(AllData[[#This Row],[Date]])</f>
        <v>2023</v>
      </c>
      <c r="E2080" s="1">
        <v>0.68055555555555558</v>
      </c>
      <c r="F2080" t="str">
        <f>IF(AND(AllData[[#This Row],[Time]]&lt;0.5, AllData[[#This Row],[Time]]&gt;0.17)=TRUE, "Morning", IF(AND(AllData[[#This Row],[Time]]&lt;0.75, AllData[[#This Row],[Time]]&gt;=0.5)=TRUE, "Afternoon", IF(AND(AllData[[#This Row],[Time]]&lt;1, AllData[[#This Row],[Time]]&gt;=0.75)=TRUE, "Evening", "Night")))</f>
        <v>Afternoon</v>
      </c>
      <c r="G2080" t="str">
        <f>_xlfn.XLOOKUP(AllData[[#This Row],[Location Name]], Locations[Location Name],Locations[Group As])</f>
        <v>Clifford Chambers Road Bridge</v>
      </c>
      <c r="H2080" t="e" vm="1">
        <f>_xlfn.XLOOKUP(AllData[[#This Row],[Site Name]],LocationsKey[Site Name],LocationsKey[District])</f>
        <v>#VALUE!</v>
      </c>
      <c r="I2080" t="e" vm="22">
        <f>_xlfn.XLOOKUP(AllData[[#This Row],[Site Name]],LocationsKey[Site Name],LocationsKey[Town])</f>
        <v>#VALUE!</v>
      </c>
      <c r="J2080" t="str">
        <f>_xlfn.XLOOKUP(AllData[[#This Row],[Site Name]],LocationsKey[Site Name], LocationsKey[Waterway])</f>
        <v>Stour</v>
      </c>
      <c r="K2080" t="s">
        <v>429</v>
      </c>
      <c r="L2080">
        <v>52.172840000000001</v>
      </c>
      <c r="M2080" s="108">
        <v>-1.71377</v>
      </c>
      <c r="N2080" t="s">
        <v>191</v>
      </c>
      <c r="O2080">
        <v>636</v>
      </c>
      <c r="P2080">
        <v>12.7</v>
      </c>
      <c r="Q2080">
        <v>5</v>
      </c>
      <c r="R2080" s="141" t="str">
        <f>IF(AllData[[#This Row],[Nitrate (PPM)]]&gt;2, "Very high", IF(AllData[[#This Row],[Nitrate (PPM)]]&gt;1, "High", IF(AllData[[#This Row],[Nitrate (PPM)]]&gt;0.5, "Some evidence", IF(AllData[[#This Row],[Nitrate (PPM)]]&gt;=0, "No evidence"))))</f>
        <v>Very high</v>
      </c>
      <c r="S2080" s="4">
        <v>0.24</v>
      </c>
      <c r="T2080" s="7" t="str">
        <f>IF(AllData[[#This Row],[Phosphate (PPM)]]&gt;0.5, "Very high", IF(AllData[[#This Row],[Phosphate (PPM)]]&gt;0.1, "High", IF(AllData[[#This Row],[Phosphate (PPM)]]&gt;0.05, "Some evidence", IF(AllData[[#This Row],[Phosphate (PPM)]]&lt;=0.05, "No Evidence", ""))))</f>
        <v>High</v>
      </c>
      <c r="U2080">
        <v>1.2</v>
      </c>
    </row>
    <row r="2081" spans="1:22" x14ac:dyDescent="0.35">
      <c r="A2081" t="s">
        <v>470</v>
      </c>
      <c r="B2081" s="143">
        <v>45281</v>
      </c>
      <c r="C2081" s="2" t="str" cm="1">
        <f t="array" ref="C20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1">
        <f>YEAR(AllData[[#This Row],[Date]])</f>
        <v>2023</v>
      </c>
      <c r="E2081" s="1">
        <v>0.45833333333333331</v>
      </c>
      <c r="F2081" t="str">
        <f>IF(AND(AllData[[#This Row],[Time]]&lt;0.5, AllData[[#This Row],[Time]]&gt;0.17)=TRUE, "Morning", IF(AND(AllData[[#This Row],[Time]]&lt;0.75, AllData[[#This Row],[Time]]&gt;=0.5)=TRUE, "Afternoon", IF(AND(AllData[[#This Row],[Time]]&lt;1, AllData[[#This Row],[Time]]&gt;=0.75)=TRUE, "Evening", "Night")))</f>
        <v>Morning</v>
      </c>
      <c r="G2081" t="str">
        <f>_xlfn.XLOOKUP(AllData[[#This Row],[Location Name]], Locations[Location Name],Locations[Group As])</f>
        <v>Swilgate</v>
      </c>
      <c r="H2081" t="e" vm="4">
        <f>_xlfn.XLOOKUP(AllData[[#This Row],[Site Name]],LocationsKey[Site Name],LocationsKey[District])</f>
        <v>#VALUE!</v>
      </c>
      <c r="I2081" t="e" vm="4">
        <f>_xlfn.XLOOKUP(AllData[[#This Row],[Site Name]],LocationsKey[Site Name],LocationsKey[Town])</f>
        <v>#VALUE!</v>
      </c>
      <c r="J2081" t="str">
        <f>_xlfn.XLOOKUP(AllData[[#This Row],[Site Name]],LocationsKey[Site Name], LocationsKey[Waterway])</f>
        <v>Swilgate</v>
      </c>
      <c r="K2081" t="s">
        <v>85</v>
      </c>
      <c r="M2081" s="108"/>
      <c r="N2081" t="s">
        <v>25</v>
      </c>
      <c r="O2081">
        <v>875</v>
      </c>
      <c r="P2081">
        <v>11</v>
      </c>
      <c r="Q2081">
        <v>5</v>
      </c>
      <c r="R2081" s="141" t="str">
        <f>IF(AllData[[#This Row],[Nitrate (PPM)]]&gt;2, "Very high", IF(AllData[[#This Row],[Nitrate (PPM)]]&gt;1, "High", IF(AllData[[#This Row],[Nitrate (PPM)]]&gt;0.5, "Some evidence", IF(AllData[[#This Row],[Nitrate (PPM)]]&gt;=0, "No evidence"))))</f>
        <v>Very high</v>
      </c>
      <c r="S2081" s="4">
        <v>0.3</v>
      </c>
      <c r="T2081" s="7" t="str">
        <f>IF(AllData[[#This Row],[Phosphate (PPM)]]&gt;0.5, "Very high", IF(AllData[[#This Row],[Phosphate (PPM)]]&gt;0.1, "High", IF(AllData[[#This Row],[Phosphate (PPM)]]&gt;0.05, "Some evidence", IF(AllData[[#This Row],[Phosphate (PPM)]]&lt;=0.05, "No Evidence", ""))))</f>
        <v>High</v>
      </c>
      <c r="U2081">
        <v>1</v>
      </c>
    </row>
    <row r="2082" spans="1:22" x14ac:dyDescent="0.35">
      <c r="A2082" t="s">
        <v>469</v>
      </c>
      <c r="B2082" s="143">
        <v>45280</v>
      </c>
      <c r="C2082" s="2" t="str" cm="1">
        <f t="array" ref="C20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2">
        <f>YEAR(AllData[[#This Row],[Date]])</f>
        <v>2023</v>
      </c>
      <c r="E2082" s="1">
        <v>0.66666666666666663</v>
      </c>
      <c r="F2082" t="str">
        <f>IF(AND(AllData[[#This Row],[Time]]&lt;0.5, AllData[[#This Row],[Time]]&gt;0.17)=TRUE, "Morning", IF(AND(AllData[[#This Row],[Time]]&lt;0.75, AllData[[#This Row],[Time]]&gt;=0.5)=TRUE, "Afternoon", IF(AND(AllData[[#This Row],[Time]]&lt;1, AllData[[#This Row],[Time]]&gt;=0.75)=TRUE, "Evening", "Night")))</f>
        <v>Afternoon</v>
      </c>
      <c r="G2082" t="str">
        <f>_xlfn.XLOOKUP(AllData[[#This Row],[Location Name]], Locations[Location Name],Locations[Group As])</f>
        <v>Weston-on-Avon</v>
      </c>
      <c r="H2082" t="e" vm="1">
        <f>_xlfn.XLOOKUP(AllData[[#This Row],[Site Name]],LocationsKey[Site Name],LocationsKey[District])</f>
        <v>#VALUE!</v>
      </c>
      <c r="I2082" t="e" vm="35">
        <f>_xlfn.XLOOKUP(AllData[[#This Row],[Site Name]],LocationsKey[Site Name],LocationsKey[Town])</f>
        <v>#VALUE!</v>
      </c>
      <c r="J2082" t="str">
        <f>_xlfn.XLOOKUP(AllData[[#This Row],[Site Name]],LocationsKey[Site Name], LocationsKey[Waterway])</f>
        <v>Avon</v>
      </c>
      <c r="K2082" t="s">
        <v>43</v>
      </c>
      <c r="L2082">
        <v>52.167430000000003</v>
      </c>
      <c r="M2082" s="108">
        <v>-1.7744800000000001</v>
      </c>
      <c r="N2082" t="s">
        <v>31</v>
      </c>
      <c r="O2082">
        <v>684</v>
      </c>
      <c r="P2082">
        <v>10.7</v>
      </c>
      <c r="Q2082">
        <v>10</v>
      </c>
      <c r="R2082" s="141" t="str">
        <f>IF(AllData[[#This Row],[Nitrate (PPM)]]&gt;2, "Very high", IF(AllData[[#This Row],[Nitrate (PPM)]]&gt;1, "High", IF(AllData[[#This Row],[Nitrate (PPM)]]&gt;0.5, "Some evidence", IF(AllData[[#This Row],[Nitrate (PPM)]]&gt;=0, "No evidence"))))</f>
        <v>Very high</v>
      </c>
      <c r="S2082" s="4">
        <v>0.4</v>
      </c>
      <c r="T2082" s="7" t="str">
        <f>IF(AllData[[#This Row],[Phosphate (PPM)]]&gt;0.5, "Very high", IF(AllData[[#This Row],[Phosphate (PPM)]]&gt;0.1, "High", IF(AllData[[#This Row],[Phosphate (PPM)]]&gt;0.05, "Some evidence", IF(AllData[[#This Row],[Phosphate (PPM)]]&lt;=0.05, "No Evidence", ""))))</f>
        <v>High</v>
      </c>
      <c r="U2082">
        <v>0</v>
      </c>
    </row>
    <row r="2083" spans="1:22" x14ac:dyDescent="0.35">
      <c r="A2083" t="s">
        <v>466</v>
      </c>
      <c r="B2083" s="143">
        <v>45280</v>
      </c>
      <c r="C2083" s="2" t="str" cm="1">
        <f t="array" ref="C20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3">
        <f>YEAR(AllData[[#This Row],[Date]])</f>
        <v>2023</v>
      </c>
      <c r="E2083" s="1">
        <v>0.65416666666666667</v>
      </c>
      <c r="F2083" t="str">
        <f>IF(AND(AllData[[#This Row],[Time]]&lt;0.5, AllData[[#This Row],[Time]]&gt;0.17)=TRUE, "Morning", IF(AND(AllData[[#This Row],[Time]]&lt;0.75, AllData[[#This Row],[Time]]&gt;=0.5)=TRUE, "Afternoon", IF(AND(AllData[[#This Row],[Time]]&lt;1, AllData[[#This Row],[Time]]&gt;=0.75)=TRUE, "Evening", "Night")))</f>
        <v>Afternoon</v>
      </c>
      <c r="G2083" t="str">
        <f>_xlfn.XLOOKUP(AllData[[#This Row],[Location Name]], Locations[Location Name],Locations[Group As])</f>
        <v>Stour Newbold Mill</v>
      </c>
      <c r="H2083" t="e" vm="1">
        <f>_xlfn.XLOOKUP(AllData[[#This Row],[Site Name]],LocationsKey[Site Name],LocationsKey[District])</f>
        <v>#VALUE!</v>
      </c>
      <c r="I2083" t="e" vm="27">
        <f>_xlfn.XLOOKUP(AllData[[#This Row],[Site Name]],LocationsKey[Site Name],LocationsKey[Town])</f>
        <v>#VALUE!</v>
      </c>
      <c r="J2083" t="str">
        <f>_xlfn.XLOOKUP(AllData[[#This Row],[Site Name]],LocationsKey[Site Name], LocationsKey[Waterway])</f>
        <v>Stour</v>
      </c>
      <c r="K2083" t="s">
        <v>467</v>
      </c>
      <c r="M2083" s="108"/>
      <c r="N2083" t="s">
        <v>31</v>
      </c>
      <c r="O2083">
        <v>664</v>
      </c>
      <c r="P2083">
        <v>9.1999999999999993</v>
      </c>
      <c r="Q2083">
        <v>4</v>
      </c>
      <c r="R2083" s="141" t="str">
        <f>IF(AllData[[#This Row],[Nitrate (PPM)]]&gt;2, "Very high", IF(AllData[[#This Row],[Nitrate (PPM)]]&gt;1, "High", IF(AllData[[#This Row],[Nitrate (PPM)]]&gt;0.5, "Some evidence", IF(AllData[[#This Row],[Nitrate (PPM)]]&gt;=0, "No evidence"))))</f>
        <v>Very high</v>
      </c>
      <c r="S2083" s="4">
        <v>0.26</v>
      </c>
      <c r="T2083" s="7" t="str">
        <f>IF(AllData[[#This Row],[Phosphate (PPM)]]&gt;0.5, "Very high", IF(AllData[[#This Row],[Phosphate (PPM)]]&gt;0.1, "High", IF(AllData[[#This Row],[Phosphate (PPM)]]&gt;0.05, "Some evidence", IF(AllData[[#This Row],[Phosphate (PPM)]]&lt;=0.05, "No Evidence", ""))))</f>
        <v>High</v>
      </c>
      <c r="U2083">
        <v>3.2</v>
      </c>
      <c r="V2083" t="s">
        <v>468</v>
      </c>
    </row>
    <row r="2084" spans="1:22" x14ac:dyDescent="0.35">
      <c r="A2084" t="s">
        <v>462</v>
      </c>
      <c r="B2084" s="143">
        <v>45279</v>
      </c>
      <c r="C2084" s="2" t="str" cm="1">
        <f t="array" ref="C20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4">
        <f>YEAR(AllData[[#This Row],[Date]])</f>
        <v>2023</v>
      </c>
      <c r="E2084" s="1">
        <v>0.45277777777777778</v>
      </c>
      <c r="F2084" t="str">
        <f>IF(AND(AllData[[#This Row],[Time]]&lt;0.5, AllData[[#This Row],[Time]]&gt;0.17)=TRUE, "Morning", IF(AND(AllData[[#This Row],[Time]]&lt;0.75, AllData[[#This Row],[Time]]&gt;=0.5)=TRUE, "Afternoon", IF(AND(AllData[[#This Row],[Time]]&lt;1, AllData[[#This Row],[Time]]&gt;=0.75)=TRUE, "Evening", "Night")))</f>
        <v>Morning</v>
      </c>
      <c r="G2084" t="str">
        <f>_xlfn.XLOOKUP(AllData[[#This Row],[Location Name]], Locations[Location Name],Locations[Group As])</f>
        <v>Swiffen Bank</v>
      </c>
      <c r="H2084" t="e" vm="1">
        <f>_xlfn.XLOOKUP(AllData[[#This Row],[Site Name]],LocationsKey[Site Name],LocationsKey[District])</f>
        <v>#VALUE!</v>
      </c>
      <c r="I2084" t="e" vm="2">
        <f>_xlfn.XLOOKUP(AllData[[#This Row],[Site Name]],LocationsKey[Site Name],LocationsKey[Town])</f>
        <v>#VALUE!</v>
      </c>
      <c r="J2084" t="str">
        <f>_xlfn.XLOOKUP(AllData[[#This Row],[Site Name]],LocationsKey[Site Name], LocationsKey[Waterway])</f>
        <v>Avon</v>
      </c>
      <c r="K2084" t="s">
        <v>286</v>
      </c>
      <c r="L2084">
        <v>52.206583999999999</v>
      </c>
      <c r="M2084" s="108">
        <v>-1.654034</v>
      </c>
      <c r="N2084" t="s">
        <v>31</v>
      </c>
      <c r="O2084">
        <v>697</v>
      </c>
      <c r="P2084">
        <v>11.6</v>
      </c>
      <c r="Q2084">
        <v>5</v>
      </c>
      <c r="R2084" s="141" t="str">
        <f>IF(AllData[[#This Row],[Nitrate (PPM)]]&gt;2, "Very high", IF(AllData[[#This Row],[Nitrate (PPM)]]&gt;1, "High", IF(AllData[[#This Row],[Nitrate (PPM)]]&gt;0.5, "Some evidence", IF(AllData[[#This Row],[Nitrate (PPM)]]&gt;=0, "No evidence"))))</f>
        <v>Very high</v>
      </c>
      <c r="S2084" s="4">
        <v>0.38</v>
      </c>
      <c r="T2084" s="7" t="str">
        <f>IF(AllData[[#This Row],[Phosphate (PPM)]]&gt;0.5, "Very high", IF(AllData[[#This Row],[Phosphate (PPM)]]&gt;0.1, "High", IF(AllData[[#This Row],[Phosphate (PPM)]]&gt;0.05, "Some evidence", IF(AllData[[#This Row],[Phosphate (PPM)]]&lt;=0.05, "No Evidence", ""))))</f>
        <v>High</v>
      </c>
      <c r="U2084">
        <v>0</v>
      </c>
      <c r="V2084" t="s">
        <v>463</v>
      </c>
    </row>
    <row r="2085" spans="1:22" x14ac:dyDescent="0.35">
      <c r="A2085" t="s">
        <v>464</v>
      </c>
      <c r="B2085" s="143">
        <v>45279</v>
      </c>
      <c r="C2085" s="2" t="str" cm="1">
        <f t="array" ref="C20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5">
        <f>YEAR(AllData[[#This Row],[Date]])</f>
        <v>2023</v>
      </c>
      <c r="E2085" s="1">
        <v>0.46875</v>
      </c>
      <c r="F2085" t="str">
        <f>IF(AND(AllData[[#This Row],[Time]]&lt;0.5, AllData[[#This Row],[Time]]&gt;0.17)=TRUE, "Morning", IF(AND(AllData[[#This Row],[Time]]&lt;0.75, AllData[[#This Row],[Time]]&gt;=0.5)=TRUE, "Afternoon", IF(AND(AllData[[#This Row],[Time]]&lt;1, AllData[[#This Row],[Time]]&gt;=0.75)=TRUE, "Evening", "Night")))</f>
        <v>Morning</v>
      </c>
      <c r="G2085" t="str">
        <f>_xlfn.XLOOKUP(AllData[[#This Row],[Location Name]], Locations[Location Name],Locations[Group As])</f>
        <v>Alveston Weir</v>
      </c>
      <c r="H2085" t="e" vm="1">
        <f>_xlfn.XLOOKUP(AllData[[#This Row],[Site Name]],LocationsKey[Site Name],LocationsKey[District])</f>
        <v>#VALUE!</v>
      </c>
      <c r="I2085" t="e" vm="2">
        <f>_xlfn.XLOOKUP(AllData[[#This Row],[Site Name]],LocationsKey[Site Name],LocationsKey[Town])</f>
        <v>#VALUE!</v>
      </c>
      <c r="J2085" t="str">
        <f>_xlfn.XLOOKUP(AllData[[#This Row],[Site Name]],LocationsKey[Site Name], LocationsKey[Waterway])</f>
        <v>Avon</v>
      </c>
      <c r="K2085" t="s">
        <v>288</v>
      </c>
      <c r="L2085">
        <v>52.212288999999998</v>
      </c>
      <c r="M2085" s="108">
        <v>-1.660452</v>
      </c>
      <c r="N2085" t="s">
        <v>31</v>
      </c>
      <c r="O2085">
        <v>683</v>
      </c>
      <c r="P2085">
        <v>11.8</v>
      </c>
      <c r="Q2085">
        <v>5</v>
      </c>
      <c r="R2085" s="141" t="str">
        <f>IF(AllData[[#This Row],[Nitrate (PPM)]]&gt;2, "Very high", IF(AllData[[#This Row],[Nitrate (PPM)]]&gt;1, "High", IF(AllData[[#This Row],[Nitrate (PPM)]]&gt;0.5, "Some evidence", IF(AllData[[#This Row],[Nitrate (PPM)]]&gt;=0, "No evidence"))))</f>
        <v>Very high</v>
      </c>
      <c r="S2085" s="4">
        <v>0.37</v>
      </c>
      <c r="T2085" s="7" t="str">
        <f>IF(AllData[[#This Row],[Phosphate (PPM)]]&gt;0.5, "Very high", IF(AllData[[#This Row],[Phosphate (PPM)]]&gt;0.1, "High", IF(AllData[[#This Row],[Phosphate (PPM)]]&gt;0.05, "Some evidence", IF(AllData[[#This Row],[Phosphate (PPM)]]&lt;=0.05, "No Evidence", ""))))</f>
        <v>High</v>
      </c>
      <c r="U2085">
        <v>2</v>
      </c>
      <c r="V2085" t="s">
        <v>465</v>
      </c>
    </row>
    <row r="2086" spans="1:22" x14ac:dyDescent="0.35">
      <c r="A2086" t="s">
        <v>461</v>
      </c>
      <c r="B2086" s="143">
        <v>45278</v>
      </c>
      <c r="C2086" s="2" t="str" cm="1">
        <f t="array" ref="C20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6">
        <f>YEAR(AllData[[#This Row],[Date]])</f>
        <v>2023</v>
      </c>
      <c r="E2086" s="1">
        <v>0.62361111111111112</v>
      </c>
      <c r="F2086" t="str">
        <f>IF(AND(AllData[[#This Row],[Time]]&lt;0.5, AllData[[#This Row],[Time]]&gt;0.17)=TRUE, "Morning", IF(AND(AllData[[#This Row],[Time]]&lt;0.75, AllData[[#This Row],[Time]]&gt;=0.5)=TRUE, "Afternoon", IF(AND(AllData[[#This Row],[Time]]&lt;1, AllData[[#This Row],[Time]]&gt;=0.75)=TRUE, "Evening", "Night")))</f>
        <v>Afternoon</v>
      </c>
      <c r="G2086" t="str">
        <f>_xlfn.XLOOKUP(AllData[[#This Row],[Location Name]], Locations[Location Name],Locations[Group As])</f>
        <v>Carrant Bredon Rd</v>
      </c>
      <c r="H2086" t="e" vm="4">
        <f>_xlfn.XLOOKUP(AllData[[#This Row],[Site Name]],LocationsKey[Site Name],LocationsKey[District])</f>
        <v>#VALUE!</v>
      </c>
      <c r="I2086" t="e" vm="4">
        <f>_xlfn.XLOOKUP(AllData[[#This Row],[Site Name]],LocationsKey[Site Name],LocationsKey[Town])</f>
        <v>#VALUE!</v>
      </c>
      <c r="J2086" t="str">
        <f>_xlfn.XLOOKUP(AllData[[#This Row],[Site Name]],LocationsKey[Site Name], LocationsKey[Waterway])</f>
        <v>Carrant</v>
      </c>
      <c r="K2086" t="s">
        <v>91</v>
      </c>
      <c r="M2086" s="108"/>
      <c r="N2086" t="s">
        <v>25</v>
      </c>
      <c r="O2086">
        <v>676</v>
      </c>
      <c r="P2086">
        <v>10.6</v>
      </c>
      <c r="Q2086">
        <v>5</v>
      </c>
      <c r="R2086" s="141" t="str">
        <f>IF(AllData[[#This Row],[Nitrate (PPM)]]&gt;2, "Very high", IF(AllData[[#This Row],[Nitrate (PPM)]]&gt;1, "High", IF(AllData[[#This Row],[Nitrate (PPM)]]&gt;0.5, "Some evidence", IF(AllData[[#This Row],[Nitrate (PPM)]]&gt;=0, "No evidence"))))</f>
        <v>Very high</v>
      </c>
      <c r="S2086" s="4">
        <v>0.3</v>
      </c>
      <c r="T2086" s="7" t="str">
        <f>IF(AllData[[#This Row],[Phosphate (PPM)]]&gt;0.5, "Very high", IF(AllData[[#This Row],[Phosphate (PPM)]]&gt;0.1, "High", IF(AllData[[#This Row],[Phosphate (PPM)]]&gt;0.05, "Some evidence", IF(AllData[[#This Row],[Phosphate (PPM)]]&lt;=0.05, "No Evidence", ""))))</f>
        <v>High</v>
      </c>
      <c r="U2086">
        <v>1</v>
      </c>
    </row>
    <row r="2087" spans="1:22" x14ac:dyDescent="0.35">
      <c r="A2087" t="s">
        <v>460</v>
      </c>
      <c r="B2087" s="143">
        <v>45278</v>
      </c>
      <c r="C2087" s="2" t="str" cm="1">
        <f t="array" ref="C20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7">
        <f>YEAR(AllData[[#This Row],[Date]])</f>
        <v>2023</v>
      </c>
      <c r="E2087" s="1">
        <v>0.36388888888888887</v>
      </c>
      <c r="F2087" t="str">
        <f>IF(AND(AllData[[#This Row],[Time]]&lt;0.5, AllData[[#This Row],[Time]]&gt;0.17)=TRUE, "Morning", IF(AND(AllData[[#This Row],[Time]]&lt;0.75, AllData[[#This Row],[Time]]&gt;=0.5)=TRUE, "Afternoon", IF(AND(AllData[[#This Row],[Time]]&lt;1, AllData[[#This Row],[Time]]&gt;=0.75)=TRUE, "Evening", "Night")))</f>
        <v>Morning</v>
      </c>
      <c r="G2087" t="str">
        <f>_xlfn.XLOOKUP(AllData[[#This Row],[Location Name]], Locations[Location Name],Locations[Group As])</f>
        <v>Stour Stretton-on-Fosse Sewage Works</v>
      </c>
      <c r="H2087" t="e" vm="1">
        <f>_xlfn.XLOOKUP(AllData[[#This Row],[Site Name]],LocationsKey[Site Name],LocationsKey[District])</f>
        <v>#VALUE!</v>
      </c>
      <c r="I2087" t="e" vm="30">
        <f>_xlfn.XLOOKUP(AllData[[#This Row],[Site Name]],LocationsKey[Site Name],LocationsKey[Town])</f>
        <v>#VALUE!</v>
      </c>
      <c r="J2087" t="str">
        <f>_xlfn.XLOOKUP(AllData[[#This Row],[Site Name]],LocationsKey[Site Name], LocationsKey[Waterway])</f>
        <v>Stour</v>
      </c>
      <c r="K2087" t="s">
        <v>337</v>
      </c>
      <c r="L2087">
        <v>52.045648999999997</v>
      </c>
      <c r="M2087" s="108">
        <v>-1.6719459999999999</v>
      </c>
      <c r="N2087" t="s">
        <v>31</v>
      </c>
      <c r="O2087">
        <v>667</v>
      </c>
      <c r="P2087">
        <v>9.8000000000000007</v>
      </c>
      <c r="Q2087">
        <v>3</v>
      </c>
      <c r="R2087" s="141" t="str">
        <f>IF(AllData[[#This Row],[Nitrate (PPM)]]&gt;2, "Very high", IF(AllData[[#This Row],[Nitrate (PPM)]]&gt;1, "High", IF(AllData[[#This Row],[Nitrate (PPM)]]&gt;0.5, "Some evidence", IF(AllData[[#This Row],[Nitrate (PPM)]]&gt;=0, "No evidence"))))</f>
        <v>Very high</v>
      </c>
      <c r="S2087" s="4">
        <v>2.16</v>
      </c>
      <c r="T2087" s="7" t="str">
        <f>IF(AllData[[#This Row],[Phosphate (PPM)]]&gt;0.5, "Very high", IF(AllData[[#This Row],[Phosphate (PPM)]]&gt;0.1, "High", IF(AllData[[#This Row],[Phosphate (PPM)]]&gt;0.05, "Some evidence", IF(AllData[[#This Row],[Phosphate (PPM)]]&lt;=0.05, "No Evidence", ""))))</f>
        <v>Very high</v>
      </c>
      <c r="U2087">
        <v>0.3</v>
      </c>
    </row>
    <row r="2088" spans="1:22" x14ac:dyDescent="0.35">
      <c r="A2088" t="s">
        <v>459</v>
      </c>
      <c r="B2088" s="143">
        <v>45278</v>
      </c>
      <c r="C2088" s="2" t="str" cm="1">
        <f t="array" ref="C20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8">
        <f>YEAR(AllData[[#This Row],[Date]])</f>
        <v>2023</v>
      </c>
      <c r="E2088" s="1">
        <v>0.35486111111111113</v>
      </c>
      <c r="F2088" t="str">
        <f>IF(AND(AllData[[#This Row],[Time]]&lt;0.5, AllData[[#This Row],[Time]]&gt;0.17)=TRUE, "Morning", IF(AND(AllData[[#This Row],[Time]]&lt;0.75, AllData[[#This Row],[Time]]&gt;=0.5)=TRUE, "Afternoon", IF(AND(AllData[[#This Row],[Time]]&lt;1, AllData[[#This Row],[Time]]&gt;=0.75)=TRUE, "Evening", "Night")))</f>
        <v>Morning</v>
      </c>
      <c r="G2088" t="str">
        <f>_xlfn.XLOOKUP(AllData[[#This Row],[Location Name]], Locations[Location Name],Locations[Group As])</f>
        <v>Stour Stretton-on-Fosse Village</v>
      </c>
      <c r="H2088" t="e" vm="1">
        <f>_xlfn.XLOOKUP(AllData[[#This Row],[Site Name]],LocationsKey[Site Name],LocationsKey[District])</f>
        <v>#VALUE!</v>
      </c>
      <c r="I2088" t="e" vm="30">
        <f>_xlfn.XLOOKUP(AllData[[#This Row],[Site Name]],LocationsKey[Site Name],LocationsKey[Town])</f>
        <v>#VALUE!</v>
      </c>
      <c r="J2088" t="str">
        <f>_xlfn.XLOOKUP(AllData[[#This Row],[Site Name]],LocationsKey[Site Name], LocationsKey[Waterway])</f>
        <v>Stour</v>
      </c>
      <c r="K2088" t="s">
        <v>385</v>
      </c>
      <c r="L2088">
        <v>52.046546999999997</v>
      </c>
      <c r="M2088" s="108">
        <v>-1.6734709999999999</v>
      </c>
      <c r="N2088" t="s">
        <v>68</v>
      </c>
      <c r="O2088">
        <v>660</v>
      </c>
      <c r="P2088">
        <v>9.6</v>
      </c>
      <c r="Q2088">
        <v>2</v>
      </c>
      <c r="R2088" s="141" t="str">
        <f>IF(AllData[[#This Row],[Nitrate (PPM)]]&gt;2, "Very high", IF(AllData[[#This Row],[Nitrate (PPM)]]&gt;1, "High", IF(AllData[[#This Row],[Nitrate (PPM)]]&gt;0.5, "Some evidence", IF(AllData[[#This Row],[Nitrate (PPM)]]&gt;=0, "No evidence"))))</f>
        <v>High</v>
      </c>
      <c r="S2088" s="4">
        <v>1.1100000000000001</v>
      </c>
      <c r="T2088" s="7" t="str">
        <f>IF(AllData[[#This Row],[Phosphate (PPM)]]&gt;0.5, "Very high", IF(AllData[[#This Row],[Phosphate (PPM)]]&gt;0.1, "High", IF(AllData[[#This Row],[Phosphate (PPM)]]&gt;0.05, "Some evidence", IF(AllData[[#This Row],[Phosphate (PPM)]]&lt;=0.05, "No Evidence", ""))))</f>
        <v>Very high</v>
      </c>
      <c r="U2088">
        <v>0.2</v>
      </c>
    </row>
    <row r="2089" spans="1:22" x14ac:dyDescent="0.35">
      <c r="A2089" t="s">
        <v>457</v>
      </c>
      <c r="B2089" s="143">
        <v>45277</v>
      </c>
      <c r="C2089" s="2" t="str" cm="1">
        <f t="array" ref="C20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89">
        <f>YEAR(AllData[[#This Row],[Date]])</f>
        <v>2023</v>
      </c>
      <c r="E2089" s="1">
        <v>0.66666666666666663</v>
      </c>
      <c r="F2089" t="str">
        <f>IF(AND(AllData[[#This Row],[Time]]&lt;0.5, AllData[[#This Row],[Time]]&gt;0.17)=TRUE, "Morning", IF(AND(AllData[[#This Row],[Time]]&lt;0.75, AllData[[#This Row],[Time]]&gt;=0.5)=TRUE, "Afternoon", IF(AND(AllData[[#This Row],[Time]]&lt;1, AllData[[#This Row],[Time]]&gt;=0.75)=TRUE, "Evening", "Night")))</f>
        <v>Afternoon</v>
      </c>
      <c r="G2089" t="str">
        <f>_xlfn.XLOOKUP(AllData[[#This Row],[Location Name]], Locations[Location Name],Locations[Group As])</f>
        <v>Welford Boat Station</v>
      </c>
      <c r="H2089" t="e" vm="1">
        <f>_xlfn.XLOOKUP(AllData[[#This Row],[Site Name]],LocationsKey[Site Name],LocationsKey[District])</f>
        <v>#VALUE!</v>
      </c>
      <c r="I2089" t="e" vm="36">
        <f>_xlfn.XLOOKUP(AllData[[#This Row],[Site Name]],LocationsKey[Site Name],LocationsKey[Town])</f>
        <v>#VALUE!</v>
      </c>
      <c r="J2089" t="str">
        <f>_xlfn.XLOOKUP(AllData[[#This Row],[Site Name]],LocationsKey[Site Name], LocationsKey[Waterway])</f>
        <v>Avon</v>
      </c>
      <c r="K2089" t="s">
        <v>41</v>
      </c>
      <c r="L2089">
        <v>52.175240000000002</v>
      </c>
      <c r="M2089" s="108">
        <v>-1.7918700000000001</v>
      </c>
      <c r="N2089" t="s">
        <v>31</v>
      </c>
      <c r="O2089">
        <v>760</v>
      </c>
      <c r="P2089">
        <v>9.3000000000000007</v>
      </c>
      <c r="Q2089">
        <v>20</v>
      </c>
      <c r="R2089" s="141" t="str">
        <f>IF(AllData[[#This Row],[Nitrate (PPM)]]&gt;2, "Very high", IF(AllData[[#This Row],[Nitrate (PPM)]]&gt;1, "High", IF(AllData[[#This Row],[Nitrate (PPM)]]&gt;0.5, "Some evidence", IF(AllData[[#This Row],[Nitrate (PPM)]]&gt;=0, "No evidence"))))</f>
        <v>Very high</v>
      </c>
      <c r="S2089" s="4">
        <v>0.39</v>
      </c>
      <c r="T2089" s="7" t="str">
        <f>IF(AllData[[#This Row],[Phosphate (PPM)]]&gt;0.5, "Very high", IF(AllData[[#This Row],[Phosphate (PPM)]]&gt;0.1, "High", IF(AllData[[#This Row],[Phosphate (PPM)]]&gt;0.05, "Some evidence", IF(AllData[[#This Row],[Phosphate (PPM)]]&lt;=0.05, "No Evidence", ""))))</f>
        <v>High</v>
      </c>
      <c r="U2089">
        <v>0</v>
      </c>
      <c r="V2089" t="s">
        <v>458</v>
      </c>
    </row>
    <row r="2090" spans="1:22" x14ac:dyDescent="0.35">
      <c r="A2090" t="s">
        <v>455</v>
      </c>
      <c r="B2090" s="143">
        <v>45277</v>
      </c>
      <c r="C2090" s="2" t="str" cm="1">
        <f t="array" ref="C20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0">
        <f>YEAR(AllData[[#This Row],[Date]])</f>
        <v>2023</v>
      </c>
      <c r="E2090" s="1">
        <v>0.51041666666666663</v>
      </c>
      <c r="F2090" t="str">
        <f>IF(AND(AllData[[#This Row],[Time]]&lt;0.5, AllData[[#This Row],[Time]]&gt;0.17)=TRUE, "Morning", IF(AND(AllData[[#This Row],[Time]]&lt;0.75, AllData[[#This Row],[Time]]&gt;=0.5)=TRUE, "Afternoon", IF(AND(AllData[[#This Row],[Time]]&lt;1, AllData[[#This Row],[Time]]&gt;=0.75)=TRUE, "Evening", "Night")))</f>
        <v>Afternoon</v>
      </c>
      <c r="G2090" t="str">
        <f>_xlfn.XLOOKUP(AllData[[#This Row],[Location Name]], Locations[Location Name],Locations[Group As])</f>
        <v>Hampton Wood</v>
      </c>
      <c r="H2090" t="e" vm="1">
        <f>_xlfn.XLOOKUP(AllData[[#This Row],[Site Name]],LocationsKey[Site Name],LocationsKey[District])</f>
        <v>#VALUE!</v>
      </c>
      <c r="I2090" t="e" vm="34">
        <f>_xlfn.XLOOKUP(AllData[[#This Row],[Site Name]],LocationsKey[Site Name],LocationsKey[Town])</f>
        <v>#VALUE!</v>
      </c>
      <c r="J2090" t="str">
        <f>_xlfn.XLOOKUP(AllData[[#This Row],[Site Name]],LocationsKey[Site Name], LocationsKey[Waterway])</f>
        <v>Avon</v>
      </c>
      <c r="K2090" t="s">
        <v>36</v>
      </c>
      <c r="L2090">
        <v>52.238149999999997</v>
      </c>
      <c r="M2090" s="108">
        <v>-1.6245799999999999</v>
      </c>
      <c r="N2090" t="s">
        <v>31</v>
      </c>
      <c r="O2090">
        <v>730</v>
      </c>
      <c r="P2090">
        <v>9.6999999999999993</v>
      </c>
      <c r="Q2090">
        <v>10</v>
      </c>
      <c r="R2090" s="141" t="str">
        <f>IF(AllData[[#This Row],[Nitrate (PPM)]]&gt;2, "Very high", IF(AllData[[#This Row],[Nitrate (PPM)]]&gt;1, "High", IF(AllData[[#This Row],[Nitrate (PPM)]]&gt;0.5, "Some evidence", IF(AllData[[#This Row],[Nitrate (PPM)]]&gt;=0, "No evidence"))))</f>
        <v>Very high</v>
      </c>
      <c r="S2090" s="4">
        <v>0.43</v>
      </c>
      <c r="T2090" s="7" t="str">
        <f>IF(AllData[[#This Row],[Phosphate (PPM)]]&gt;0.5, "Very high", IF(AllData[[#This Row],[Phosphate (PPM)]]&gt;0.1, "High", IF(AllData[[#This Row],[Phosphate (PPM)]]&gt;0.05, "Some evidence", IF(AllData[[#This Row],[Phosphate (PPM)]]&lt;=0.05, "No Evidence", ""))))</f>
        <v>High</v>
      </c>
      <c r="U2090">
        <v>0</v>
      </c>
    </row>
    <row r="2091" spans="1:22" x14ac:dyDescent="0.35">
      <c r="A2091" t="s">
        <v>454</v>
      </c>
      <c r="B2091" s="143">
        <v>45277</v>
      </c>
      <c r="C2091" s="2" t="str" cm="1">
        <f t="array" ref="C20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1">
        <f>YEAR(AllData[[#This Row],[Date]])</f>
        <v>2023</v>
      </c>
      <c r="E2091" s="1">
        <v>0.4375</v>
      </c>
      <c r="F2091" t="str">
        <f>IF(AND(AllData[[#This Row],[Time]]&lt;0.5, AllData[[#This Row],[Time]]&gt;0.17)=TRUE, "Morning", IF(AND(AllData[[#This Row],[Time]]&lt;0.75, AllData[[#This Row],[Time]]&gt;=0.5)=TRUE, "Afternoon", IF(AND(AllData[[#This Row],[Time]]&lt;1, AllData[[#This Row],[Time]]&gt;=0.75)=TRUE, "Evening", "Night")))</f>
        <v>Morning</v>
      </c>
      <c r="G2091" t="str">
        <f>_xlfn.XLOOKUP(AllData[[#This Row],[Location Name]], Locations[Location Name],Locations[Group As])</f>
        <v>Abbey Mill</v>
      </c>
      <c r="H2091" t="e" vm="4">
        <f>_xlfn.XLOOKUP(AllData[[#This Row],[Site Name]],LocationsKey[Site Name],LocationsKey[District])</f>
        <v>#VALUE!</v>
      </c>
      <c r="I2091" t="e" vm="4">
        <f>_xlfn.XLOOKUP(AllData[[#This Row],[Site Name]],LocationsKey[Site Name],LocationsKey[Town])</f>
        <v>#VALUE!</v>
      </c>
      <c r="J2091" t="str">
        <f>_xlfn.XLOOKUP(AllData[[#This Row],[Site Name]],LocationsKey[Site Name], LocationsKey[Waterway])</f>
        <v>Avon</v>
      </c>
      <c r="K2091" t="s">
        <v>24</v>
      </c>
      <c r="M2091" s="108"/>
      <c r="N2091" t="s">
        <v>25</v>
      </c>
      <c r="O2091">
        <v>653</v>
      </c>
      <c r="P2091">
        <v>12</v>
      </c>
      <c r="Q2091">
        <v>10</v>
      </c>
      <c r="R2091" s="141" t="str">
        <f>IF(AllData[[#This Row],[Nitrate (PPM)]]&gt;2, "Very high", IF(AllData[[#This Row],[Nitrate (PPM)]]&gt;1, "High", IF(AllData[[#This Row],[Nitrate (PPM)]]&gt;0.5, "Some evidence", IF(AllData[[#This Row],[Nitrate (PPM)]]&gt;=0, "No evidence"))))</f>
        <v>Very high</v>
      </c>
      <c r="S2091" s="4">
        <v>0.78</v>
      </c>
      <c r="T2091" s="7" t="str">
        <f>IF(AllData[[#This Row],[Phosphate (PPM)]]&gt;0.5, "Very high", IF(AllData[[#This Row],[Phosphate (PPM)]]&gt;0.1, "High", IF(AllData[[#This Row],[Phosphate (PPM)]]&gt;0.05, "Some evidence", IF(AllData[[#This Row],[Phosphate (PPM)]]&lt;=0.05, "No Evidence", ""))))</f>
        <v>Very high</v>
      </c>
      <c r="U2091">
        <v>2</v>
      </c>
      <c r="V2091" t="s">
        <v>293</v>
      </c>
    </row>
    <row r="2092" spans="1:22" x14ac:dyDescent="0.35">
      <c r="A2092" t="s">
        <v>452</v>
      </c>
      <c r="B2092" s="143">
        <v>45277</v>
      </c>
      <c r="C2092" s="2" t="str" cm="1">
        <f t="array" ref="C20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2">
        <f>YEAR(AllData[[#This Row],[Date]])</f>
        <v>2023</v>
      </c>
      <c r="E2092" s="1">
        <v>0.41666666666666669</v>
      </c>
      <c r="F2092" t="str">
        <f>IF(AND(AllData[[#This Row],[Time]]&lt;0.5, AllData[[#This Row],[Time]]&gt;0.17)=TRUE, "Morning", IF(AND(AllData[[#This Row],[Time]]&lt;0.75, AllData[[#This Row],[Time]]&gt;=0.5)=TRUE, "Afternoon", IF(AND(AllData[[#This Row],[Time]]&lt;1, AllData[[#This Row],[Time]]&gt;=0.75)=TRUE, "Evening", "Night")))</f>
        <v>Morning</v>
      </c>
      <c r="G2092" t="str">
        <f>_xlfn.XLOOKUP(AllData[[#This Row],[Location Name]], Locations[Location Name],Locations[Group As])</f>
        <v>Lucy's Mill Bridge</v>
      </c>
      <c r="H2092" t="e" vm="1">
        <f>_xlfn.XLOOKUP(AllData[[#This Row],[Site Name]],LocationsKey[Site Name],LocationsKey[District])</f>
        <v>#VALUE!</v>
      </c>
      <c r="I2092" t="e" vm="12">
        <f>_xlfn.XLOOKUP(AllData[[#This Row],[Site Name]],LocationsKey[Site Name],LocationsKey[Town])</f>
        <v>#VALUE!</v>
      </c>
      <c r="J2092" t="str">
        <f>_xlfn.XLOOKUP(AllData[[#This Row],[Site Name]],LocationsKey[Site Name], LocationsKey[Waterway])</f>
        <v>Avon</v>
      </c>
      <c r="K2092" t="s">
        <v>212</v>
      </c>
      <c r="L2092">
        <v>52.183698999999997</v>
      </c>
      <c r="M2092" s="108">
        <v>-1.707816</v>
      </c>
      <c r="N2092" t="s">
        <v>31</v>
      </c>
      <c r="P2092">
        <v>9</v>
      </c>
      <c r="Q2092">
        <v>10</v>
      </c>
      <c r="R2092" s="141" t="str">
        <f>IF(AllData[[#This Row],[Nitrate (PPM)]]&gt;2, "Very high", IF(AllData[[#This Row],[Nitrate (PPM)]]&gt;1, "High", IF(AllData[[#This Row],[Nitrate (PPM)]]&gt;0.5, "Some evidence", IF(AllData[[#This Row],[Nitrate (PPM)]]&gt;=0, "No evidence"))))</f>
        <v>Very high</v>
      </c>
      <c r="S2092" s="4">
        <v>0.43</v>
      </c>
      <c r="T2092" s="7" t="str">
        <f>IF(AllData[[#This Row],[Phosphate (PPM)]]&gt;0.5, "Very high", IF(AllData[[#This Row],[Phosphate (PPM)]]&gt;0.1, "High", IF(AllData[[#This Row],[Phosphate (PPM)]]&gt;0.05, "Some evidence", IF(AllData[[#This Row],[Phosphate (PPM)]]&lt;=0.05, "No Evidence", ""))))</f>
        <v>High</v>
      </c>
      <c r="U2092">
        <v>0.7</v>
      </c>
    </row>
    <row r="2093" spans="1:22" x14ac:dyDescent="0.35">
      <c r="A2093" t="s">
        <v>453</v>
      </c>
      <c r="B2093" s="143">
        <v>45277</v>
      </c>
      <c r="C2093" s="2" t="str" cm="1">
        <f t="array" ref="C20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3">
        <f>YEAR(AllData[[#This Row],[Date]])</f>
        <v>2023</v>
      </c>
      <c r="E2093" s="1">
        <v>0.42708333333333331</v>
      </c>
      <c r="F2093" t="str">
        <f>IF(AND(AllData[[#This Row],[Time]]&lt;0.5, AllData[[#This Row],[Time]]&gt;0.17)=TRUE, "Morning", IF(AND(AllData[[#This Row],[Time]]&lt;0.75, AllData[[#This Row],[Time]]&gt;=0.5)=TRUE, "Afternoon", IF(AND(AllData[[#This Row],[Time]]&lt;1, AllData[[#This Row],[Time]]&gt;=0.75)=TRUE, "Evening", "Night")))</f>
        <v>Morning</v>
      </c>
      <c r="G2093" t="str">
        <f>_xlfn.XLOOKUP(AllData[[#This Row],[Location Name]], Locations[Location Name],Locations[Group As])</f>
        <v>Barton</v>
      </c>
      <c r="H2093" t="e" vm="1">
        <f>_xlfn.XLOOKUP(AllData[[#This Row],[Site Name]],LocationsKey[Site Name],LocationsKey[District])</f>
        <v>#VALUE!</v>
      </c>
      <c r="I2093" t="str">
        <f>_xlfn.XLOOKUP(AllData[[#This Row],[Site Name]],LocationsKey[Site Name],LocationsKey[Town])</f>
        <v>Barton</v>
      </c>
      <c r="J2093" t="str">
        <f>_xlfn.XLOOKUP(AllData[[#This Row],[Site Name]],LocationsKey[Site Name], LocationsKey[Waterway])</f>
        <v>Avon</v>
      </c>
      <c r="K2093" t="s">
        <v>51</v>
      </c>
      <c r="L2093">
        <v>52.161209999999997</v>
      </c>
      <c r="M2093" s="108">
        <v>-1.8301499999999999</v>
      </c>
      <c r="N2093" t="s">
        <v>31</v>
      </c>
      <c r="O2093">
        <v>726</v>
      </c>
      <c r="P2093">
        <v>9.1</v>
      </c>
      <c r="Q2093">
        <v>7</v>
      </c>
      <c r="R2093" s="141" t="str">
        <f>IF(AllData[[#This Row],[Nitrate (PPM)]]&gt;2, "Very high", IF(AllData[[#This Row],[Nitrate (PPM)]]&gt;1, "High", IF(AllData[[#This Row],[Nitrate (PPM)]]&gt;0.5, "Some evidence", IF(AllData[[#This Row],[Nitrate (PPM)]]&gt;=0, "No evidence"))))</f>
        <v>Very high</v>
      </c>
      <c r="S2093" s="4">
        <v>0.39</v>
      </c>
      <c r="T2093" s="7" t="str">
        <f>IF(AllData[[#This Row],[Phosphate (PPM)]]&gt;0.5, "Very high", IF(AllData[[#This Row],[Phosphate (PPM)]]&gt;0.1, "High", IF(AllData[[#This Row],[Phosphate (PPM)]]&gt;0.05, "Some evidence", IF(AllData[[#This Row],[Phosphate (PPM)]]&lt;=0.05, "No Evidence", ""))))</f>
        <v>High</v>
      </c>
      <c r="U2093">
        <v>0</v>
      </c>
    </row>
    <row r="2094" spans="1:22" x14ac:dyDescent="0.35">
      <c r="A2094" t="s">
        <v>456</v>
      </c>
      <c r="B2094" s="143">
        <v>45277</v>
      </c>
      <c r="C2094" s="2" t="str" cm="1">
        <f t="array" ref="C20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4">
        <f>YEAR(AllData[[#This Row],[Date]])</f>
        <v>2023</v>
      </c>
      <c r="E2094" s="1">
        <v>0.54166666666666663</v>
      </c>
      <c r="F2094" t="str">
        <f>IF(AND(AllData[[#This Row],[Time]]&lt;0.5, AllData[[#This Row],[Time]]&gt;0.17)=TRUE, "Morning", IF(AND(AllData[[#This Row],[Time]]&lt;0.75, AllData[[#This Row],[Time]]&gt;=0.5)=TRUE, "Afternoon", IF(AND(AllData[[#This Row],[Time]]&lt;1, AllData[[#This Row],[Time]]&gt;=0.75)=TRUE, "Evening", "Night")))</f>
        <v>Afternoon</v>
      </c>
      <c r="G2094" t="str">
        <f>_xlfn.XLOOKUP(AllData[[#This Row],[Location Name]], Locations[Location Name],Locations[Group As])</f>
        <v>Hampton Lucy</v>
      </c>
      <c r="H2094" t="e" vm="1">
        <f>_xlfn.XLOOKUP(AllData[[#This Row],[Site Name]],LocationsKey[Site Name],LocationsKey[District])</f>
        <v>#VALUE!</v>
      </c>
      <c r="I2094" t="e" vm="33">
        <f>_xlfn.XLOOKUP(AllData[[#This Row],[Site Name]],LocationsKey[Site Name],LocationsKey[Town])</f>
        <v>#VALUE!</v>
      </c>
      <c r="J2094" t="str">
        <f>_xlfn.XLOOKUP(AllData[[#This Row],[Site Name]],LocationsKey[Site Name], LocationsKey[Waterway])</f>
        <v>Avon</v>
      </c>
      <c r="K2094" t="s">
        <v>39</v>
      </c>
      <c r="L2094">
        <v>52.211680000000001</v>
      </c>
      <c r="M2094" s="108">
        <v>-1.6244400000000001</v>
      </c>
      <c r="N2094" t="s">
        <v>25</v>
      </c>
      <c r="O2094">
        <v>720</v>
      </c>
      <c r="P2094">
        <v>9.6999999999999993</v>
      </c>
      <c r="Q2094">
        <v>7</v>
      </c>
      <c r="R2094" s="141" t="str">
        <f>IF(AllData[[#This Row],[Nitrate (PPM)]]&gt;2, "Very high", IF(AllData[[#This Row],[Nitrate (PPM)]]&gt;1, "High", IF(AllData[[#This Row],[Nitrate (PPM)]]&gt;0.5, "Some evidence", IF(AllData[[#This Row],[Nitrate (PPM)]]&gt;=0, "No evidence"))))</f>
        <v>Very high</v>
      </c>
      <c r="S2094" s="4">
        <v>0.54</v>
      </c>
      <c r="T2094" s="7" t="str">
        <f>IF(AllData[[#This Row],[Phosphate (PPM)]]&gt;0.5, "Very high", IF(AllData[[#This Row],[Phosphate (PPM)]]&gt;0.1, "High", IF(AllData[[#This Row],[Phosphate (PPM)]]&gt;0.05, "Some evidence", IF(AllData[[#This Row],[Phosphate (PPM)]]&lt;=0.05, "No Evidence", ""))))</f>
        <v>Very high</v>
      </c>
      <c r="U2094">
        <v>0</v>
      </c>
    </row>
    <row r="2095" spans="1:22" x14ac:dyDescent="0.35">
      <c r="A2095" t="s">
        <v>451</v>
      </c>
      <c r="B2095" s="143">
        <v>45276</v>
      </c>
      <c r="C2095" s="2" t="str" cm="1">
        <f t="array" ref="C20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5">
        <f>YEAR(AllData[[#This Row],[Date]])</f>
        <v>2023</v>
      </c>
      <c r="E2095" s="1">
        <v>0.65277777777777779</v>
      </c>
      <c r="F2095" t="str">
        <f>IF(AND(AllData[[#This Row],[Time]]&lt;0.5, AllData[[#This Row],[Time]]&gt;0.17)=TRUE, "Morning", IF(AND(AllData[[#This Row],[Time]]&lt;0.75, AllData[[#This Row],[Time]]&gt;=0.5)=TRUE, "Afternoon", IF(AND(AllData[[#This Row],[Time]]&lt;1, AllData[[#This Row],[Time]]&gt;=0.75)=TRUE, "Evening", "Night")))</f>
        <v>Afternoon</v>
      </c>
      <c r="G2095" t="str">
        <f>_xlfn.XLOOKUP(AllData[[#This Row],[Location Name]], Locations[Location Name],Locations[Group As])</f>
        <v>Clifford Chambers Road Bridge</v>
      </c>
      <c r="H2095" t="e" vm="1">
        <f>_xlfn.XLOOKUP(AllData[[#This Row],[Site Name]],LocationsKey[Site Name],LocationsKey[District])</f>
        <v>#VALUE!</v>
      </c>
      <c r="I2095" t="e" vm="22">
        <f>_xlfn.XLOOKUP(AllData[[#This Row],[Site Name]],LocationsKey[Site Name],LocationsKey[Town])</f>
        <v>#VALUE!</v>
      </c>
      <c r="J2095" t="str">
        <f>_xlfn.XLOOKUP(AllData[[#This Row],[Site Name]],LocationsKey[Site Name], LocationsKey[Waterway])</f>
        <v>Stour</v>
      </c>
      <c r="K2095" t="s">
        <v>429</v>
      </c>
      <c r="L2095">
        <v>52.172840000000001</v>
      </c>
      <c r="M2095" s="108">
        <v>-1.71377</v>
      </c>
      <c r="N2095" t="s">
        <v>191</v>
      </c>
      <c r="O2095">
        <v>644</v>
      </c>
      <c r="P2095">
        <v>13.2</v>
      </c>
      <c r="Q2095">
        <v>4</v>
      </c>
      <c r="R2095" s="141" t="str">
        <f>IF(AllData[[#This Row],[Nitrate (PPM)]]&gt;2, "Very high", IF(AllData[[#This Row],[Nitrate (PPM)]]&gt;1, "High", IF(AllData[[#This Row],[Nitrate (PPM)]]&gt;0.5, "Some evidence", IF(AllData[[#This Row],[Nitrate (PPM)]]&gt;=0, "No evidence"))))</f>
        <v>Very high</v>
      </c>
      <c r="S2095" s="4">
        <v>0.23</v>
      </c>
      <c r="T2095" s="7" t="str">
        <f>IF(AllData[[#This Row],[Phosphate (PPM)]]&gt;0.5, "Very high", IF(AllData[[#This Row],[Phosphate (PPM)]]&gt;0.1, "High", IF(AllData[[#This Row],[Phosphate (PPM)]]&gt;0.05, "Some evidence", IF(AllData[[#This Row],[Phosphate (PPM)]]&lt;=0.05, "No Evidence", ""))))</f>
        <v>High</v>
      </c>
      <c r="U2095">
        <v>1.2</v>
      </c>
    </row>
    <row r="2096" spans="1:22" x14ac:dyDescent="0.35">
      <c r="A2096" t="s">
        <v>449</v>
      </c>
      <c r="B2096" s="143">
        <v>45276</v>
      </c>
      <c r="C2096" s="2" t="str" cm="1">
        <f t="array" ref="C20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6">
        <f>YEAR(AllData[[#This Row],[Date]])</f>
        <v>2023</v>
      </c>
      <c r="E2096" s="1">
        <v>0.63888888888888884</v>
      </c>
      <c r="F2096" t="str">
        <f>IF(AND(AllData[[#This Row],[Time]]&lt;0.5, AllData[[#This Row],[Time]]&gt;0.17)=TRUE, "Morning", IF(AND(AllData[[#This Row],[Time]]&lt;0.75, AllData[[#This Row],[Time]]&gt;=0.5)=TRUE, "Afternoon", IF(AND(AllData[[#This Row],[Time]]&lt;1, AllData[[#This Row],[Time]]&gt;=0.75)=TRUE, "Evening", "Night")))</f>
        <v>Afternoon</v>
      </c>
      <c r="G2096" t="str">
        <f>_xlfn.XLOOKUP(AllData[[#This Row],[Location Name]], Locations[Location Name],Locations[Group As])</f>
        <v>Clifford Chambers Mill Bridge</v>
      </c>
      <c r="H2096" t="e" vm="1">
        <f>_xlfn.XLOOKUP(AllData[[#This Row],[Site Name]],LocationsKey[Site Name],LocationsKey[District])</f>
        <v>#VALUE!</v>
      </c>
      <c r="I2096" t="e" vm="22">
        <f>_xlfn.XLOOKUP(AllData[[#This Row],[Site Name]],LocationsKey[Site Name],LocationsKey[Town])</f>
        <v>#VALUE!</v>
      </c>
      <c r="J2096" t="str">
        <f>_xlfn.XLOOKUP(AllData[[#This Row],[Site Name]],LocationsKey[Site Name], LocationsKey[Waterway])</f>
        <v>Stour</v>
      </c>
      <c r="K2096" t="s">
        <v>266</v>
      </c>
      <c r="L2096">
        <v>52.166370000000001</v>
      </c>
      <c r="M2096" s="108">
        <v>-1.708032</v>
      </c>
      <c r="N2096" t="s">
        <v>68</v>
      </c>
      <c r="O2096">
        <v>635</v>
      </c>
      <c r="P2096">
        <v>12.5</v>
      </c>
      <c r="Q2096">
        <v>4</v>
      </c>
      <c r="R2096" s="141" t="str">
        <f>IF(AllData[[#This Row],[Nitrate (PPM)]]&gt;2, "Very high", IF(AllData[[#This Row],[Nitrate (PPM)]]&gt;1, "High", IF(AllData[[#This Row],[Nitrate (PPM)]]&gt;0.5, "Some evidence", IF(AllData[[#This Row],[Nitrate (PPM)]]&gt;=0, "No evidence"))))</f>
        <v>Very high</v>
      </c>
      <c r="S2096" s="4">
        <v>0.28000000000000003</v>
      </c>
      <c r="T2096" s="7" t="str">
        <f>IF(AllData[[#This Row],[Phosphate (PPM)]]&gt;0.5, "Very high", IF(AllData[[#This Row],[Phosphate (PPM)]]&gt;0.1, "High", IF(AllData[[#This Row],[Phosphate (PPM)]]&gt;0.05, "Some evidence", IF(AllData[[#This Row],[Phosphate (PPM)]]&lt;=0.05, "No Evidence", ""))))</f>
        <v>High</v>
      </c>
      <c r="U2096">
        <v>1.2</v>
      </c>
      <c r="V2096" t="s">
        <v>450</v>
      </c>
    </row>
    <row r="2097" spans="1:22" x14ac:dyDescent="0.35">
      <c r="A2097" t="s">
        <v>448</v>
      </c>
      <c r="B2097" s="143">
        <v>45274</v>
      </c>
      <c r="C2097" s="2" t="str" cm="1">
        <f t="array" ref="C20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7">
        <f>YEAR(AllData[[#This Row],[Date]])</f>
        <v>2023</v>
      </c>
      <c r="E2097" s="1">
        <v>0.65277777777777779</v>
      </c>
      <c r="F2097" t="str">
        <f>IF(AND(AllData[[#This Row],[Time]]&lt;0.5, AllData[[#This Row],[Time]]&gt;0.17)=TRUE, "Morning", IF(AND(AllData[[#This Row],[Time]]&lt;0.75, AllData[[#This Row],[Time]]&gt;=0.5)=TRUE, "Afternoon", IF(AND(AllData[[#This Row],[Time]]&lt;1, AllData[[#This Row],[Time]]&gt;=0.75)=TRUE, "Evening", "Night")))</f>
        <v>Afternoon</v>
      </c>
      <c r="G2097" t="str">
        <f>_xlfn.XLOOKUP(AllData[[#This Row],[Location Name]], Locations[Location Name],Locations[Group As])</f>
        <v>Swilgate</v>
      </c>
      <c r="H2097" t="e" vm="4">
        <f>_xlfn.XLOOKUP(AllData[[#This Row],[Site Name]],LocationsKey[Site Name],LocationsKey[District])</f>
        <v>#VALUE!</v>
      </c>
      <c r="I2097" t="e" vm="4">
        <f>_xlfn.XLOOKUP(AllData[[#This Row],[Site Name]],LocationsKey[Site Name],LocationsKey[Town])</f>
        <v>#VALUE!</v>
      </c>
      <c r="J2097" t="str">
        <f>_xlfn.XLOOKUP(AllData[[#This Row],[Site Name]],LocationsKey[Site Name], LocationsKey[Waterway])</f>
        <v>Swilgate</v>
      </c>
      <c r="K2097" t="s">
        <v>85</v>
      </c>
      <c r="L2097">
        <v>51.988522000000003</v>
      </c>
      <c r="M2097" s="108">
        <v>-2.1636660000000001</v>
      </c>
      <c r="N2097" t="s">
        <v>25</v>
      </c>
      <c r="O2097">
        <v>715</v>
      </c>
      <c r="P2097">
        <v>9.1</v>
      </c>
      <c r="Q2097">
        <v>6</v>
      </c>
      <c r="R2097" s="141" t="str">
        <f>IF(AllData[[#This Row],[Nitrate (PPM)]]&gt;2, "Very high", IF(AllData[[#This Row],[Nitrate (PPM)]]&gt;1, "High", IF(AllData[[#This Row],[Nitrate (PPM)]]&gt;0.5, "Some evidence", IF(AllData[[#This Row],[Nitrate (PPM)]]&gt;=0, "No evidence"))))</f>
        <v>Very high</v>
      </c>
      <c r="S2097" s="4">
        <v>0.43</v>
      </c>
      <c r="T2097" s="7" t="str">
        <f>IF(AllData[[#This Row],[Phosphate (PPM)]]&gt;0.5, "Very high", IF(AllData[[#This Row],[Phosphate (PPM)]]&gt;0.1, "High", IF(AllData[[#This Row],[Phosphate (PPM)]]&gt;0.05, "Some evidence", IF(AllData[[#This Row],[Phosphate (PPM)]]&lt;=0.05, "No Evidence", ""))))</f>
        <v>High</v>
      </c>
      <c r="U2097">
        <v>2</v>
      </c>
      <c r="V2097" t="s">
        <v>293</v>
      </c>
    </row>
    <row r="2098" spans="1:22" x14ac:dyDescent="0.35">
      <c r="A2098" t="s">
        <v>446</v>
      </c>
      <c r="B2098" s="143">
        <v>45273</v>
      </c>
      <c r="C2098" s="2" t="str" cm="1">
        <f t="array" ref="C20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8">
        <f>YEAR(AllData[[#This Row],[Date]])</f>
        <v>2023</v>
      </c>
      <c r="E2098" s="1">
        <v>0.625</v>
      </c>
      <c r="F2098" t="str">
        <f>IF(AND(AllData[[#This Row],[Time]]&lt;0.5, AllData[[#This Row],[Time]]&gt;0.17)=TRUE, "Morning", IF(AND(AllData[[#This Row],[Time]]&lt;0.75, AllData[[#This Row],[Time]]&gt;=0.5)=TRUE, "Afternoon", IF(AND(AllData[[#This Row],[Time]]&lt;1, AllData[[#This Row],[Time]]&gt;=0.75)=TRUE, "Evening", "Night")))</f>
        <v>Afternoon</v>
      </c>
      <c r="G2098" t="str">
        <f>_xlfn.XLOOKUP(AllData[[#This Row],[Location Name]], Locations[Location Name],Locations[Group As])</f>
        <v>Weston-on-Avon</v>
      </c>
      <c r="H2098" t="e" vm="1">
        <f>_xlfn.XLOOKUP(AllData[[#This Row],[Site Name]],LocationsKey[Site Name],LocationsKey[District])</f>
        <v>#VALUE!</v>
      </c>
      <c r="I2098" t="e" vm="35">
        <f>_xlfn.XLOOKUP(AllData[[#This Row],[Site Name]],LocationsKey[Site Name],LocationsKey[Town])</f>
        <v>#VALUE!</v>
      </c>
      <c r="J2098" t="str">
        <f>_xlfn.XLOOKUP(AllData[[#This Row],[Site Name]],LocationsKey[Site Name], LocationsKey[Waterway])</f>
        <v>Avon</v>
      </c>
      <c r="K2098" t="s">
        <v>43</v>
      </c>
      <c r="L2098">
        <v>52.167430000000003</v>
      </c>
      <c r="M2098" s="108">
        <v>-1.7744800000000001</v>
      </c>
      <c r="N2098" t="s">
        <v>31</v>
      </c>
      <c r="O2098">
        <v>598</v>
      </c>
      <c r="P2098">
        <v>8.3000000000000007</v>
      </c>
      <c r="Q2098">
        <v>7</v>
      </c>
      <c r="R2098" s="141" t="str">
        <f>IF(AllData[[#This Row],[Nitrate (PPM)]]&gt;2, "Very high", IF(AllData[[#This Row],[Nitrate (PPM)]]&gt;1, "High", IF(AllData[[#This Row],[Nitrate (PPM)]]&gt;0.5, "Some evidence", IF(AllData[[#This Row],[Nitrate (PPM)]]&gt;=0, "No evidence"))))</f>
        <v>Very high</v>
      </c>
      <c r="S2098" s="4">
        <v>0.4</v>
      </c>
      <c r="T2098" s="7" t="str">
        <f>IF(AllData[[#This Row],[Phosphate (PPM)]]&gt;0.5, "Very high", IF(AllData[[#This Row],[Phosphate (PPM)]]&gt;0.1, "High", IF(AllData[[#This Row],[Phosphate (PPM)]]&gt;0.05, "Some evidence", IF(AllData[[#This Row],[Phosphate (PPM)]]&lt;=0.05, "No Evidence", ""))))</f>
        <v>High</v>
      </c>
      <c r="U2098">
        <v>0</v>
      </c>
    </row>
    <row r="2099" spans="1:22" x14ac:dyDescent="0.35">
      <c r="A2099" t="s">
        <v>442</v>
      </c>
      <c r="B2099" s="143">
        <v>45273</v>
      </c>
      <c r="C2099" s="2" t="str" cm="1">
        <f t="array" ref="C20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099">
        <f>YEAR(AllData[[#This Row],[Date]])</f>
        <v>2023</v>
      </c>
      <c r="E2099" s="1">
        <v>0.59375</v>
      </c>
      <c r="F2099" t="str">
        <f>IF(AND(AllData[[#This Row],[Time]]&lt;0.5, AllData[[#This Row],[Time]]&gt;0.17)=TRUE, "Morning", IF(AND(AllData[[#This Row],[Time]]&lt;0.75, AllData[[#This Row],[Time]]&gt;=0.5)=TRUE, "Afternoon", IF(AND(AllData[[#This Row],[Time]]&lt;1, AllData[[#This Row],[Time]]&gt;=0.75)=TRUE, "Evening", "Night")))</f>
        <v>Afternoon</v>
      </c>
      <c r="G2099" t="str">
        <f>_xlfn.XLOOKUP(AllData[[#This Row],[Location Name]], Locations[Location Name],Locations[Group As])</f>
        <v>Alveston Weir</v>
      </c>
      <c r="H2099" t="e" vm="1">
        <f>_xlfn.XLOOKUP(AllData[[#This Row],[Site Name]],LocationsKey[Site Name],LocationsKey[District])</f>
        <v>#VALUE!</v>
      </c>
      <c r="I2099" t="e" vm="2">
        <f>_xlfn.XLOOKUP(AllData[[#This Row],[Site Name]],LocationsKey[Site Name],LocationsKey[Town])</f>
        <v>#VALUE!</v>
      </c>
      <c r="J2099" t="str">
        <f>_xlfn.XLOOKUP(AllData[[#This Row],[Site Name]],LocationsKey[Site Name], LocationsKey[Waterway])</f>
        <v>Avon</v>
      </c>
      <c r="K2099" t="s">
        <v>288</v>
      </c>
      <c r="L2099">
        <v>52.214388999999997</v>
      </c>
      <c r="M2099" s="108">
        <v>-1.6601520000000001</v>
      </c>
      <c r="N2099" t="s">
        <v>31</v>
      </c>
      <c r="O2099">
        <v>525</v>
      </c>
      <c r="P2099">
        <v>8.6999999999999993</v>
      </c>
      <c r="Q2099">
        <v>5</v>
      </c>
      <c r="R2099" s="141" t="str">
        <f>IF(AllData[[#This Row],[Nitrate (PPM)]]&gt;2, "Very high", IF(AllData[[#This Row],[Nitrate (PPM)]]&gt;1, "High", IF(AllData[[#This Row],[Nitrate (PPM)]]&gt;0.5, "Some evidence", IF(AllData[[#This Row],[Nitrate (PPM)]]&gt;=0, "No evidence"))))</f>
        <v>Very high</v>
      </c>
      <c r="S2099" s="4">
        <v>0.43</v>
      </c>
      <c r="T2099" s="7" t="str">
        <f>IF(AllData[[#This Row],[Phosphate (PPM)]]&gt;0.5, "Very high", IF(AllData[[#This Row],[Phosphate (PPM)]]&gt;0.1, "High", IF(AllData[[#This Row],[Phosphate (PPM)]]&gt;0.05, "Some evidence", IF(AllData[[#This Row],[Phosphate (PPM)]]&lt;=0.05, "No Evidence", ""))))</f>
        <v>High</v>
      </c>
      <c r="U2099">
        <v>2</v>
      </c>
      <c r="V2099" t="s">
        <v>443</v>
      </c>
    </row>
    <row r="2100" spans="1:22" x14ac:dyDescent="0.35">
      <c r="A2100" t="s">
        <v>447</v>
      </c>
      <c r="B2100" s="143">
        <v>45273</v>
      </c>
      <c r="C2100" s="2" t="str" cm="1">
        <f t="array" ref="C21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0">
        <f>YEAR(AllData[[#This Row],[Date]])</f>
        <v>2023</v>
      </c>
      <c r="E2100" s="1">
        <v>0.64583333333333337</v>
      </c>
      <c r="F2100" t="str">
        <f>IF(AND(AllData[[#This Row],[Time]]&lt;0.5, AllData[[#This Row],[Time]]&gt;0.17)=TRUE, "Morning", IF(AND(AllData[[#This Row],[Time]]&lt;0.75, AllData[[#This Row],[Time]]&gt;=0.5)=TRUE, "Afternoon", IF(AND(AllData[[#This Row],[Time]]&lt;1, AllData[[#This Row],[Time]]&gt;=0.75)=TRUE, "Evening", "Night")))</f>
        <v>Afternoon</v>
      </c>
      <c r="G2100" t="str">
        <f>_xlfn.XLOOKUP(AllData[[#This Row],[Location Name]], Locations[Location Name],Locations[Group As])</f>
        <v>Stour Newbold Mill</v>
      </c>
      <c r="H2100" t="e" vm="1">
        <f>_xlfn.XLOOKUP(AllData[[#This Row],[Site Name]],LocationsKey[Site Name],LocationsKey[District])</f>
        <v>#VALUE!</v>
      </c>
      <c r="I2100" t="e" vm="27">
        <f>_xlfn.XLOOKUP(AllData[[#This Row],[Site Name]],LocationsKey[Site Name],LocationsKey[Town])</f>
        <v>#VALUE!</v>
      </c>
      <c r="J2100" t="str">
        <f>_xlfn.XLOOKUP(AllData[[#This Row],[Site Name]],LocationsKey[Site Name], LocationsKey[Waterway])</f>
        <v>Stour</v>
      </c>
      <c r="K2100" t="s">
        <v>141</v>
      </c>
      <c r="L2100">
        <v>52.112847000000002</v>
      </c>
      <c r="M2100" s="108">
        <v>-1.633432</v>
      </c>
      <c r="N2100" t="s">
        <v>68</v>
      </c>
      <c r="O2100">
        <v>513</v>
      </c>
      <c r="P2100">
        <v>9.8000000000000007</v>
      </c>
      <c r="Q2100">
        <v>5</v>
      </c>
      <c r="R2100" s="141" t="str">
        <f>IF(AllData[[#This Row],[Nitrate (PPM)]]&gt;2, "Very high", IF(AllData[[#This Row],[Nitrate (PPM)]]&gt;1, "High", IF(AllData[[#This Row],[Nitrate (PPM)]]&gt;0.5, "Some evidence", IF(AllData[[#This Row],[Nitrate (PPM)]]&gt;=0, "No evidence"))))</f>
        <v>Very high</v>
      </c>
      <c r="S2100" s="4">
        <v>0.19</v>
      </c>
      <c r="T2100" s="7" t="str">
        <f>IF(AllData[[#This Row],[Phosphate (PPM)]]&gt;0.5, "Very high", IF(AllData[[#This Row],[Phosphate (PPM)]]&gt;0.1, "High", IF(AllData[[#This Row],[Phosphate (PPM)]]&gt;0.05, "Some evidence", IF(AllData[[#This Row],[Phosphate (PPM)]]&lt;=0.05, "No Evidence", ""))))</f>
        <v>High</v>
      </c>
      <c r="U2100">
        <v>3</v>
      </c>
      <c r="V2100" t="s">
        <v>413</v>
      </c>
    </row>
    <row r="2101" spans="1:22" x14ac:dyDescent="0.35">
      <c r="A2101" t="s">
        <v>444</v>
      </c>
      <c r="B2101" s="143">
        <v>45273</v>
      </c>
      <c r="C2101" s="2" t="str" cm="1">
        <f t="array" ref="C21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1">
        <f>YEAR(AllData[[#This Row],[Date]])</f>
        <v>2023</v>
      </c>
      <c r="E2101" s="1">
        <v>0.60416666666666663</v>
      </c>
      <c r="F2101" t="str">
        <f>IF(AND(AllData[[#This Row],[Time]]&lt;0.5, AllData[[#This Row],[Time]]&gt;0.17)=TRUE, "Morning", IF(AND(AllData[[#This Row],[Time]]&lt;0.75, AllData[[#This Row],[Time]]&gt;=0.5)=TRUE, "Afternoon", IF(AND(AllData[[#This Row],[Time]]&lt;1, AllData[[#This Row],[Time]]&gt;=0.75)=TRUE, "Evening", "Night")))</f>
        <v>Afternoon</v>
      </c>
      <c r="G2101" t="str">
        <f>_xlfn.XLOOKUP(AllData[[#This Row],[Location Name]], Locations[Location Name],Locations[Group As])</f>
        <v>Swiffen Bank</v>
      </c>
      <c r="H2101" t="e" vm="1">
        <f>_xlfn.XLOOKUP(AllData[[#This Row],[Site Name]],LocationsKey[Site Name],LocationsKey[District])</f>
        <v>#VALUE!</v>
      </c>
      <c r="I2101" t="e" vm="2">
        <f>_xlfn.XLOOKUP(AllData[[#This Row],[Site Name]],LocationsKey[Site Name],LocationsKey[Town])</f>
        <v>#VALUE!</v>
      </c>
      <c r="J2101" t="str">
        <f>_xlfn.XLOOKUP(AllData[[#This Row],[Site Name]],LocationsKey[Site Name], LocationsKey[Waterway])</f>
        <v>Avon</v>
      </c>
      <c r="K2101" t="s">
        <v>445</v>
      </c>
      <c r="L2101">
        <v>52.206477999999997</v>
      </c>
      <c r="M2101" s="108">
        <v>-1.653894</v>
      </c>
      <c r="N2101" t="s">
        <v>31</v>
      </c>
      <c r="O2101">
        <v>511</v>
      </c>
      <c r="P2101">
        <v>8.5</v>
      </c>
      <c r="Q2101">
        <v>5</v>
      </c>
      <c r="R2101" s="141" t="str">
        <f>IF(AllData[[#This Row],[Nitrate (PPM)]]&gt;2, "Very high", IF(AllData[[#This Row],[Nitrate (PPM)]]&gt;1, "High", IF(AllData[[#This Row],[Nitrate (PPM)]]&gt;0.5, "Some evidence", IF(AllData[[#This Row],[Nitrate (PPM)]]&gt;=0, "No evidence"))))</f>
        <v>Very high</v>
      </c>
      <c r="S2101" s="4">
        <v>0.55000000000000004</v>
      </c>
      <c r="T2101" s="7" t="str">
        <f>IF(AllData[[#This Row],[Phosphate (PPM)]]&gt;0.5, "Very high", IF(AllData[[#This Row],[Phosphate (PPM)]]&gt;0.1, "High", IF(AllData[[#This Row],[Phosphate (PPM)]]&gt;0.05, "Some evidence", IF(AllData[[#This Row],[Phosphate (PPM)]]&lt;=0.05, "No Evidence", ""))))</f>
        <v>Very high</v>
      </c>
      <c r="U2101">
        <v>2</v>
      </c>
      <c r="V2101" t="s">
        <v>346</v>
      </c>
    </row>
    <row r="2102" spans="1:22" x14ac:dyDescent="0.35">
      <c r="A2102" t="s">
        <v>440</v>
      </c>
      <c r="B2102" s="143">
        <v>45271</v>
      </c>
      <c r="C2102" s="2" t="str" cm="1">
        <f t="array" ref="C21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2">
        <f>YEAR(AllData[[#This Row],[Date]])</f>
        <v>2023</v>
      </c>
      <c r="E2102" s="1">
        <v>0.61458333333333337</v>
      </c>
      <c r="F2102" t="str">
        <f>IF(AND(AllData[[#This Row],[Time]]&lt;0.5, AllData[[#This Row],[Time]]&gt;0.17)=TRUE, "Morning", IF(AND(AllData[[#This Row],[Time]]&lt;0.75, AllData[[#This Row],[Time]]&gt;=0.5)=TRUE, "Afternoon", IF(AND(AllData[[#This Row],[Time]]&lt;1, AllData[[#This Row],[Time]]&gt;=0.75)=TRUE, "Evening", "Night")))</f>
        <v>Afternoon</v>
      </c>
      <c r="G2102" t="str">
        <f>_xlfn.XLOOKUP(AllData[[#This Row],[Location Name]], Locations[Location Name],Locations[Group As])</f>
        <v>Carrant Bredon Rd</v>
      </c>
      <c r="H2102" t="e" vm="4">
        <f>_xlfn.XLOOKUP(AllData[[#This Row],[Site Name]],LocationsKey[Site Name],LocationsKey[District])</f>
        <v>#VALUE!</v>
      </c>
      <c r="I2102" t="e" vm="4">
        <f>_xlfn.XLOOKUP(AllData[[#This Row],[Site Name]],LocationsKey[Site Name],LocationsKey[Town])</f>
        <v>#VALUE!</v>
      </c>
      <c r="J2102" t="str">
        <f>_xlfn.XLOOKUP(AllData[[#This Row],[Site Name]],LocationsKey[Site Name], LocationsKey[Waterway])</f>
        <v>Carrant</v>
      </c>
      <c r="K2102" t="s">
        <v>441</v>
      </c>
      <c r="M2102" s="108"/>
      <c r="N2102" t="s">
        <v>25</v>
      </c>
      <c r="O2102">
        <v>628</v>
      </c>
      <c r="P2102">
        <v>9.6</v>
      </c>
      <c r="Q2102">
        <v>6</v>
      </c>
      <c r="R2102" s="141" t="str">
        <f>IF(AllData[[#This Row],[Nitrate (PPM)]]&gt;2, "Very high", IF(AllData[[#This Row],[Nitrate (PPM)]]&gt;1, "High", IF(AllData[[#This Row],[Nitrate (PPM)]]&gt;0.5, "Some evidence", IF(AllData[[#This Row],[Nitrate (PPM)]]&gt;=0, "No evidence"))))</f>
        <v>Very high</v>
      </c>
      <c r="S2102" s="4">
        <v>0.35</v>
      </c>
      <c r="T2102" s="7" t="str">
        <f>IF(AllData[[#This Row],[Phosphate (PPM)]]&gt;0.5, "Very high", IF(AllData[[#This Row],[Phosphate (PPM)]]&gt;0.1, "High", IF(AllData[[#This Row],[Phosphate (PPM)]]&gt;0.05, "Some evidence", IF(AllData[[#This Row],[Phosphate (PPM)]]&lt;=0.05, "No Evidence", ""))))</f>
        <v>High</v>
      </c>
      <c r="U2102">
        <v>1.5</v>
      </c>
      <c r="V2102" t="s">
        <v>293</v>
      </c>
    </row>
    <row r="2103" spans="1:22" x14ac:dyDescent="0.35">
      <c r="A2103" t="s">
        <v>438</v>
      </c>
      <c r="B2103" s="143">
        <v>45271</v>
      </c>
      <c r="C2103" s="2" t="str" cm="1">
        <f t="array" ref="C21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3">
        <f>YEAR(AllData[[#This Row],[Date]])</f>
        <v>2023</v>
      </c>
      <c r="E2103" s="1">
        <v>0.36805555555555558</v>
      </c>
      <c r="F2103" t="str">
        <f>IF(AND(AllData[[#This Row],[Time]]&lt;0.5, AllData[[#This Row],[Time]]&gt;0.17)=TRUE, "Morning", IF(AND(AllData[[#This Row],[Time]]&lt;0.75, AllData[[#This Row],[Time]]&gt;=0.5)=TRUE, "Afternoon", IF(AND(AllData[[#This Row],[Time]]&lt;1, AllData[[#This Row],[Time]]&gt;=0.75)=TRUE, "Evening", "Night")))</f>
        <v>Morning</v>
      </c>
      <c r="G2103" t="str">
        <f>_xlfn.XLOOKUP(AllData[[#This Row],[Location Name]], Locations[Location Name],Locations[Group As])</f>
        <v>Stour Stretton-on-Fosse Village</v>
      </c>
      <c r="H2103" t="e" vm="1">
        <f>_xlfn.XLOOKUP(AllData[[#This Row],[Site Name]],LocationsKey[Site Name],LocationsKey[District])</f>
        <v>#VALUE!</v>
      </c>
      <c r="I2103" t="e" vm="30">
        <f>_xlfn.XLOOKUP(AllData[[#This Row],[Site Name]],LocationsKey[Site Name],LocationsKey[Town])</f>
        <v>#VALUE!</v>
      </c>
      <c r="J2103" t="str">
        <f>_xlfn.XLOOKUP(AllData[[#This Row],[Site Name]],LocationsKey[Site Name], LocationsKey[Waterway])</f>
        <v>Stour</v>
      </c>
      <c r="K2103" t="s">
        <v>385</v>
      </c>
      <c r="L2103">
        <v>52.046536000000003</v>
      </c>
      <c r="M2103" s="108">
        <v>-1.6735249999999999</v>
      </c>
      <c r="N2103" t="s">
        <v>68</v>
      </c>
      <c r="O2103">
        <v>449</v>
      </c>
      <c r="P2103">
        <v>8.8000000000000007</v>
      </c>
      <c r="Q2103">
        <v>2</v>
      </c>
      <c r="R2103" s="141" t="str">
        <f>IF(AllData[[#This Row],[Nitrate (PPM)]]&gt;2, "Very high", IF(AllData[[#This Row],[Nitrate (PPM)]]&gt;1, "High", IF(AllData[[#This Row],[Nitrate (PPM)]]&gt;0.5, "Some evidence", IF(AllData[[#This Row],[Nitrate (PPM)]]&gt;=0, "No evidence"))))</f>
        <v>High</v>
      </c>
      <c r="S2103" s="4">
        <v>0.6</v>
      </c>
      <c r="T2103" s="7" t="str">
        <f>IF(AllData[[#This Row],[Phosphate (PPM)]]&gt;0.5, "Very high", IF(AllData[[#This Row],[Phosphate (PPM)]]&gt;0.1, "High", IF(AllData[[#This Row],[Phosphate (PPM)]]&gt;0.05, "Some evidence", IF(AllData[[#This Row],[Phosphate (PPM)]]&lt;=0.05, "No Evidence", ""))))</f>
        <v>Very high</v>
      </c>
      <c r="U2103">
        <v>0.4</v>
      </c>
    </row>
    <row r="2104" spans="1:22" x14ac:dyDescent="0.35">
      <c r="A2104" t="s">
        <v>439</v>
      </c>
      <c r="B2104" s="143">
        <v>45271</v>
      </c>
      <c r="C2104" s="2" t="str" cm="1">
        <f t="array" ref="C21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4">
        <f>YEAR(AllData[[#This Row],[Date]])</f>
        <v>2023</v>
      </c>
      <c r="E2104" s="1">
        <v>0.37916666666666665</v>
      </c>
      <c r="F2104" t="str">
        <f>IF(AND(AllData[[#This Row],[Time]]&lt;0.5, AllData[[#This Row],[Time]]&gt;0.17)=TRUE, "Morning", IF(AND(AllData[[#This Row],[Time]]&lt;0.75, AllData[[#This Row],[Time]]&gt;=0.5)=TRUE, "Afternoon", IF(AND(AllData[[#This Row],[Time]]&lt;1, AllData[[#This Row],[Time]]&gt;=0.75)=TRUE, "Evening", "Night")))</f>
        <v>Morning</v>
      </c>
      <c r="G2104" t="str">
        <f>_xlfn.XLOOKUP(AllData[[#This Row],[Location Name]], Locations[Location Name],Locations[Group As])</f>
        <v>Stour Stretton-on-Fosse Sewage Works</v>
      </c>
      <c r="H2104" t="e" vm="1">
        <f>_xlfn.XLOOKUP(AllData[[#This Row],[Site Name]],LocationsKey[Site Name],LocationsKey[District])</f>
        <v>#VALUE!</v>
      </c>
      <c r="I2104" t="e" vm="30">
        <f>_xlfn.XLOOKUP(AllData[[#This Row],[Site Name]],LocationsKey[Site Name],LocationsKey[Town])</f>
        <v>#VALUE!</v>
      </c>
      <c r="J2104" t="str">
        <f>_xlfn.XLOOKUP(AllData[[#This Row],[Site Name]],LocationsKey[Site Name], LocationsKey[Waterway])</f>
        <v>Stour</v>
      </c>
      <c r="K2104" t="s">
        <v>337</v>
      </c>
      <c r="L2104">
        <v>52.04569</v>
      </c>
      <c r="M2104" s="108">
        <v>-1.6718980000000001</v>
      </c>
      <c r="N2104" t="s">
        <v>31</v>
      </c>
      <c r="O2104">
        <v>435</v>
      </c>
      <c r="P2104">
        <v>8.3000000000000007</v>
      </c>
      <c r="Q2104">
        <v>2</v>
      </c>
      <c r="R2104" s="141" t="str">
        <f>IF(AllData[[#This Row],[Nitrate (PPM)]]&gt;2, "Very high", IF(AllData[[#This Row],[Nitrate (PPM)]]&gt;1, "High", IF(AllData[[#This Row],[Nitrate (PPM)]]&gt;0.5, "Some evidence", IF(AllData[[#This Row],[Nitrate (PPM)]]&gt;=0, "No evidence"))))</f>
        <v>High</v>
      </c>
      <c r="S2104" s="4">
        <v>0.56999999999999995</v>
      </c>
      <c r="T2104" s="7" t="str">
        <f>IF(AllData[[#This Row],[Phosphate (PPM)]]&gt;0.5, "Very high", IF(AllData[[#This Row],[Phosphate (PPM)]]&gt;0.1, "High", IF(AllData[[#This Row],[Phosphate (PPM)]]&gt;0.05, "Some evidence", IF(AllData[[#This Row],[Phosphate (PPM)]]&lt;=0.05, "No Evidence", ""))))</f>
        <v>Very high</v>
      </c>
      <c r="U2104">
        <v>0.6</v>
      </c>
    </row>
    <row r="2105" spans="1:22" x14ac:dyDescent="0.35">
      <c r="A2105" t="s">
        <v>436</v>
      </c>
      <c r="B2105" s="143">
        <v>45270</v>
      </c>
      <c r="C2105" s="2" t="str" cm="1">
        <f t="array" ref="C21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5">
        <f>YEAR(AllData[[#This Row],[Date]])</f>
        <v>2023</v>
      </c>
      <c r="E2105" s="1">
        <v>0.66666666666666663</v>
      </c>
      <c r="F2105" t="str">
        <f>IF(AND(AllData[[#This Row],[Time]]&lt;0.5, AllData[[#This Row],[Time]]&gt;0.17)=TRUE, "Morning", IF(AND(AllData[[#This Row],[Time]]&lt;0.75, AllData[[#This Row],[Time]]&gt;=0.5)=TRUE, "Afternoon", IF(AND(AllData[[#This Row],[Time]]&lt;1, AllData[[#This Row],[Time]]&gt;=0.75)=TRUE, "Evening", "Night")))</f>
        <v>Afternoon</v>
      </c>
      <c r="G2105" t="str">
        <f>_xlfn.XLOOKUP(AllData[[#This Row],[Location Name]], Locations[Location Name],Locations[Group As])</f>
        <v>Welford Boat Station</v>
      </c>
      <c r="H2105" t="e" vm="1">
        <f>_xlfn.XLOOKUP(AllData[[#This Row],[Site Name]],LocationsKey[Site Name],LocationsKey[District])</f>
        <v>#VALUE!</v>
      </c>
      <c r="I2105" t="e" vm="36">
        <f>_xlfn.XLOOKUP(AllData[[#This Row],[Site Name]],LocationsKey[Site Name],LocationsKey[Town])</f>
        <v>#VALUE!</v>
      </c>
      <c r="J2105" t="str">
        <f>_xlfn.XLOOKUP(AllData[[#This Row],[Site Name]],LocationsKey[Site Name], LocationsKey[Waterway])</f>
        <v>Avon</v>
      </c>
      <c r="K2105" t="s">
        <v>41</v>
      </c>
      <c r="L2105">
        <v>52.175240000000002</v>
      </c>
      <c r="M2105" s="108">
        <v>-1.7918700000000001</v>
      </c>
      <c r="N2105" t="s">
        <v>31</v>
      </c>
      <c r="O2105">
        <v>538</v>
      </c>
      <c r="P2105">
        <v>8.5</v>
      </c>
      <c r="Q2105">
        <v>10</v>
      </c>
      <c r="R2105" s="141" t="str">
        <f>IF(AllData[[#This Row],[Nitrate (PPM)]]&gt;2, "Very high", IF(AllData[[#This Row],[Nitrate (PPM)]]&gt;1, "High", IF(AllData[[#This Row],[Nitrate (PPM)]]&gt;0.5, "Some evidence", IF(AllData[[#This Row],[Nitrate (PPM)]]&gt;=0, "No evidence"))))</f>
        <v>Very high</v>
      </c>
      <c r="S2105" s="4">
        <v>0.6</v>
      </c>
      <c r="T2105" s="7" t="str">
        <f>IF(AllData[[#This Row],[Phosphate (PPM)]]&gt;0.5, "Very high", IF(AllData[[#This Row],[Phosphate (PPM)]]&gt;0.1, "High", IF(AllData[[#This Row],[Phosphate (PPM)]]&gt;0.05, "Some evidence", IF(AllData[[#This Row],[Phosphate (PPM)]]&lt;=0.05, "No Evidence", ""))))</f>
        <v>Very high</v>
      </c>
      <c r="U2105">
        <v>0</v>
      </c>
    </row>
    <row r="2106" spans="1:22" x14ac:dyDescent="0.35">
      <c r="A2106" t="s">
        <v>433</v>
      </c>
      <c r="B2106" s="143">
        <v>45270</v>
      </c>
      <c r="C2106" s="2" t="str" cm="1">
        <f t="array" ref="C21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6">
        <f>YEAR(AllData[[#This Row],[Date]])</f>
        <v>2023</v>
      </c>
      <c r="E2106" s="1">
        <v>0.51041666666666663</v>
      </c>
      <c r="F2106" t="str">
        <f>IF(AND(AllData[[#This Row],[Time]]&lt;0.5, AllData[[#This Row],[Time]]&gt;0.17)=TRUE, "Morning", IF(AND(AllData[[#This Row],[Time]]&lt;0.75, AllData[[#This Row],[Time]]&gt;=0.5)=TRUE, "Afternoon", IF(AND(AllData[[#This Row],[Time]]&lt;1, AllData[[#This Row],[Time]]&gt;=0.75)=TRUE, "Evening", "Night")))</f>
        <v>Afternoon</v>
      </c>
      <c r="G2106" t="str">
        <f>_xlfn.XLOOKUP(AllData[[#This Row],[Location Name]], Locations[Location Name],Locations[Group As])</f>
        <v>Hampton Wood</v>
      </c>
      <c r="H2106" t="e" vm="1">
        <f>_xlfn.XLOOKUP(AllData[[#This Row],[Site Name]],LocationsKey[Site Name],LocationsKey[District])</f>
        <v>#VALUE!</v>
      </c>
      <c r="I2106" t="e" vm="34">
        <f>_xlfn.XLOOKUP(AllData[[#This Row],[Site Name]],LocationsKey[Site Name],LocationsKey[Town])</f>
        <v>#VALUE!</v>
      </c>
      <c r="J2106" t="str">
        <f>_xlfn.XLOOKUP(AllData[[#This Row],[Site Name]],LocationsKey[Site Name], LocationsKey[Waterway])</f>
        <v>Avon</v>
      </c>
      <c r="K2106" t="s">
        <v>36</v>
      </c>
      <c r="L2106">
        <v>52.238149999999997</v>
      </c>
      <c r="M2106" s="108">
        <v>-1.6245799999999999</v>
      </c>
      <c r="N2106" t="s">
        <v>31</v>
      </c>
      <c r="O2106">
        <v>536</v>
      </c>
      <c r="P2106">
        <v>9</v>
      </c>
      <c r="Q2106">
        <v>10</v>
      </c>
      <c r="R2106" s="141" t="str">
        <f>IF(AllData[[#This Row],[Nitrate (PPM)]]&gt;2, "Very high", IF(AllData[[#This Row],[Nitrate (PPM)]]&gt;1, "High", IF(AllData[[#This Row],[Nitrate (PPM)]]&gt;0.5, "Some evidence", IF(AllData[[#This Row],[Nitrate (PPM)]]&gt;=0, "No evidence"))))</f>
        <v>Very high</v>
      </c>
      <c r="S2106" s="4">
        <v>0.37</v>
      </c>
      <c r="T2106" s="7" t="str">
        <f>IF(AllData[[#This Row],[Phosphate (PPM)]]&gt;0.5, "Very high", IF(AllData[[#This Row],[Phosphate (PPM)]]&gt;0.1, "High", IF(AllData[[#This Row],[Phosphate (PPM)]]&gt;0.05, "Some evidence", IF(AllData[[#This Row],[Phosphate (PPM)]]&lt;=0.05, "No Evidence", ""))))</f>
        <v>High</v>
      </c>
      <c r="U2106">
        <v>0</v>
      </c>
    </row>
    <row r="2107" spans="1:22" x14ac:dyDescent="0.35">
      <c r="A2107" t="s">
        <v>432</v>
      </c>
      <c r="B2107" s="143">
        <v>45270</v>
      </c>
      <c r="C2107" s="2" t="str" cm="1">
        <f t="array" ref="C21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7">
        <f>YEAR(AllData[[#This Row],[Date]])</f>
        <v>2023</v>
      </c>
      <c r="E2107" s="1">
        <v>0.41666666666666669</v>
      </c>
      <c r="F2107" t="str">
        <f>IF(AND(AllData[[#This Row],[Time]]&lt;0.5, AllData[[#This Row],[Time]]&gt;0.17)=TRUE, "Morning", IF(AND(AllData[[#This Row],[Time]]&lt;0.75, AllData[[#This Row],[Time]]&gt;=0.5)=TRUE, "Afternoon", IF(AND(AllData[[#This Row],[Time]]&lt;1, AllData[[#This Row],[Time]]&gt;=0.75)=TRUE, "Evening", "Night")))</f>
        <v>Morning</v>
      </c>
      <c r="G2107" t="str">
        <f>_xlfn.XLOOKUP(AllData[[#This Row],[Location Name]], Locations[Location Name],Locations[Group As])</f>
        <v>Lucy's Mill Bridge</v>
      </c>
      <c r="H2107" t="e" vm="1">
        <f>_xlfn.XLOOKUP(AllData[[#This Row],[Site Name]],LocationsKey[Site Name],LocationsKey[District])</f>
        <v>#VALUE!</v>
      </c>
      <c r="I2107" t="e" vm="12">
        <f>_xlfn.XLOOKUP(AllData[[#This Row],[Site Name]],LocationsKey[Site Name],LocationsKey[Town])</f>
        <v>#VALUE!</v>
      </c>
      <c r="J2107" t="str">
        <f>_xlfn.XLOOKUP(AllData[[#This Row],[Site Name]],LocationsKey[Site Name], LocationsKey[Waterway])</f>
        <v>Avon</v>
      </c>
      <c r="K2107" t="s">
        <v>212</v>
      </c>
      <c r="L2107">
        <v>52.183698999999997</v>
      </c>
      <c r="M2107" s="108">
        <v>-1.707816</v>
      </c>
      <c r="N2107" t="s">
        <v>31</v>
      </c>
      <c r="P2107">
        <v>9</v>
      </c>
      <c r="Q2107">
        <v>10</v>
      </c>
      <c r="R2107" s="141" t="str">
        <f>IF(AllData[[#This Row],[Nitrate (PPM)]]&gt;2, "Very high", IF(AllData[[#This Row],[Nitrate (PPM)]]&gt;1, "High", IF(AllData[[#This Row],[Nitrate (PPM)]]&gt;0.5, "Some evidence", IF(AllData[[#This Row],[Nitrate (PPM)]]&gt;=0, "No evidence"))))</f>
        <v>Very high</v>
      </c>
      <c r="S2107" s="4">
        <v>0.59</v>
      </c>
      <c r="T2107" s="7" t="str">
        <f>IF(AllData[[#This Row],[Phosphate (PPM)]]&gt;0.5, "Very high", IF(AllData[[#This Row],[Phosphate (PPM)]]&gt;0.1, "High", IF(AllData[[#This Row],[Phosphate (PPM)]]&gt;0.05, "Some evidence", IF(AllData[[#This Row],[Phosphate (PPM)]]&lt;=0.05, "No Evidence", ""))))</f>
        <v>Very high</v>
      </c>
      <c r="U2107">
        <v>0.7</v>
      </c>
    </row>
    <row r="2108" spans="1:22" x14ac:dyDescent="0.35">
      <c r="A2108" t="s">
        <v>431</v>
      </c>
      <c r="B2108" s="143">
        <v>45270</v>
      </c>
      <c r="C2108" s="2" t="str" cm="1">
        <f t="array" ref="C21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8">
        <f>YEAR(AllData[[#This Row],[Date]])</f>
        <v>2023</v>
      </c>
      <c r="E2108" s="1">
        <v>0.41666666666666669</v>
      </c>
      <c r="F2108" t="str">
        <f>IF(AND(AllData[[#This Row],[Time]]&lt;0.5, AllData[[#This Row],[Time]]&gt;0.17)=TRUE, "Morning", IF(AND(AllData[[#This Row],[Time]]&lt;0.75, AllData[[#This Row],[Time]]&gt;=0.5)=TRUE, "Afternoon", IF(AND(AllData[[#This Row],[Time]]&lt;1, AllData[[#This Row],[Time]]&gt;=0.75)=TRUE, "Evening", "Night")))</f>
        <v>Morning</v>
      </c>
      <c r="G2108" t="str">
        <f>_xlfn.XLOOKUP(AllData[[#This Row],[Location Name]], Locations[Location Name],Locations[Group As])</f>
        <v>Barton</v>
      </c>
      <c r="H2108" t="e" vm="1">
        <f>_xlfn.XLOOKUP(AllData[[#This Row],[Site Name]],LocationsKey[Site Name],LocationsKey[District])</f>
        <v>#VALUE!</v>
      </c>
      <c r="I2108" t="str">
        <f>_xlfn.XLOOKUP(AllData[[#This Row],[Site Name]],LocationsKey[Site Name],LocationsKey[Town])</f>
        <v>Barton</v>
      </c>
      <c r="J2108" t="str">
        <f>_xlfn.XLOOKUP(AllData[[#This Row],[Site Name]],LocationsKey[Site Name], LocationsKey[Waterway])</f>
        <v>Avon</v>
      </c>
      <c r="K2108" t="s">
        <v>51</v>
      </c>
      <c r="L2108">
        <v>52.161209999999997</v>
      </c>
      <c r="M2108" s="108">
        <v>-1.8301499999999999</v>
      </c>
      <c r="N2108" t="s">
        <v>31</v>
      </c>
      <c r="O2108">
        <v>524</v>
      </c>
      <c r="P2108">
        <v>7.5</v>
      </c>
      <c r="Q2108">
        <v>5</v>
      </c>
      <c r="R2108" s="141" t="str">
        <f>IF(AllData[[#This Row],[Nitrate (PPM)]]&gt;2, "Very high", IF(AllData[[#This Row],[Nitrate (PPM)]]&gt;1, "High", IF(AllData[[#This Row],[Nitrate (PPM)]]&gt;0.5, "Some evidence", IF(AllData[[#This Row],[Nitrate (PPM)]]&gt;=0, "No evidence"))))</f>
        <v>Very high</v>
      </c>
      <c r="S2108" s="4">
        <v>0.64</v>
      </c>
      <c r="T2108" s="7" t="str">
        <f>IF(AllData[[#This Row],[Phosphate (PPM)]]&gt;0.5, "Very high", IF(AllData[[#This Row],[Phosphate (PPM)]]&gt;0.1, "High", IF(AllData[[#This Row],[Phosphate (PPM)]]&gt;0.05, "Some evidence", IF(AllData[[#This Row],[Phosphate (PPM)]]&lt;=0.05, "No Evidence", ""))))</f>
        <v>Very high</v>
      </c>
      <c r="U2108">
        <v>0</v>
      </c>
    </row>
    <row r="2109" spans="1:22" x14ac:dyDescent="0.35">
      <c r="A2109" t="s">
        <v>437</v>
      </c>
      <c r="B2109" s="143">
        <v>45270</v>
      </c>
      <c r="C2109" s="2" t="str" cm="1">
        <f t="array" ref="C21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09">
        <f>YEAR(AllData[[#This Row],[Date]])</f>
        <v>2023</v>
      </c>
      <c r="E2109" s="1">
        <v>0.67777777777777781</v>
      </c>
      <c r="F2109" t="str">
        <f>IF(AND(AllData[[#This Row],[Time]]&lt;0.5, AllData[[#This Row],[Time]]&gt;0.17)=TRUE, "Morning", IF(AND(AllData[[#This Row],[Time]]&lt;0.75, AllData[[#This Row],[Time]]&gt;=0.5)=TRUE, "Afternoon", IF(AND(AllData[[#This Row],[Time]]&lt;1, AllData[[#This Row],[Time]]&gt;=0.75)=TRUE, "Evening", "Night")))</f>
        <v>Afternoon</v>
      </c>
      <c r="G2109" t="str">
        <f>_xlfn.XLOOKUP(AllData[[#This Row],[Location Name]], Locations[Location Name],Locations[Group As])</f>
        <v>Abbey Mill</v>
      </c>
      <c r="H2109" t="e" vm="4">
        <f>_xlfn.XLOOKUP(AllData[[#This Row],[Site Name]],LocationsKey[Site Name],LocationsKey[District])</f>
        <v>#VALUE!</v>
      </c>
      <c r="I2109" t="e" vm="4">
        <f>_xlfn.XLOOKUP(AllData[[#This Row],[Site Name]],LocationsKey[Site Name],LocationsKey[Town])</f>
        <v>#VALUE!</v>
      </c>
      <c r="J2109" t="str">
        <f>_xlfn.XLOOKUP(AllData[[#This Row],[Site Name]],LocationsKey[Site Name], LocationsKey[Waterway])</f>
        <v>Avon</v>
      </c>
      <c r="K2109" t="s">
        <v>24</v>
      </c>
      <c r="M2109" s="108"/>
      <c r="N2109" t="s">
        <v>25</v>
      </c>
      <c r="O2109">
        <v>512</v>
      </c>
      <c r="P2109">
        <v>10.8</v>
      </c>
      <c r="Q2109">
        <v>5</v>
      </c>
      <c r="R2109" s="141" t="str">
        <f>IF(AllData[[#This Row],[Nitrate (PPM)]]&gt;2, "Very high", IF(AllData[[#This Row],[Nitrate (PPM)]]&gt;1, "High", IF(AllData[[#This Row],[Nitrate (PPM)]]&gt;0.5, "Some evidence", IF(AllData[[#This Row],[Nitrate (PPM)]]&gt;=0, "No evidence"))))</f>
        <v>Very high</v>
      </c>
      <c r="S2109" s="4">
        <v>0.76</v>
      </c>
      <c r="T2109" s="7" t="str">
        <f>IF(AllData[[#This Row],[Phosphate (PPM)]]&gt;0.5, "Very high", IF(AllData[[#This Row],[Phosphate (PPM)]]&gt;0.1, "High", IF(AllData[[#This Row],[Phosphate (PPM)]]&gt;0.05, "Some evidence", IF(AllData[[#This Row],[Phosphate (PPM)]]&lt;=0.05, "No Evidence", ""))))</f>
        <v>Very high</v>
      </c>
      <c r="U2109">
        <v>2</v>
      </c>
      <c r="V2109" t="s">
        <v>272</v>
      </c>
    </row>
    <row r="2110" spans="1:22" x14ac:dyDescent="0.35">
      <c r="A2110" t="s">
        <v>434</v>
      </c>
      <c r="B2110" s="143">
        <v>45270</v>
      </c>
      <c r="C2110" s="2" t="str" cm="1">
        <f t="array" ref="C21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0">
        <f>YEAR(AllData[[#This Row],[Date]])</f>
        <v>2023</v>
      </c>
      <c r="E2110" s="1">
        <v>0.66666666666666663</v>
      </c>
      <c r="F2110" t="str">
        <f>IF(AND(AllData[[#This Row],[Time]]&lt;0.5, AllData[[#This Row],[Time]]&gt;0.17)=TRUE, "Morning", IF(AND(AllData[[#This Row],[Time]]&lt;0.75, AllData[[#This Row],[Time]]&gt;=0.5)=TRUE, "Afternoon", IF(AND(AllData[[#This Row],[Time]]&lt;1, AllData[[#This Row],[Time]]&gt;=0.75)=TRUE, "Evening", "Night")))</f>
        <v>Afternoon</v>
      </c>
      <c r="G2110" t="str">
        <f>_xlfn.XLOOKUP(AllData[[#This Row],[Location Name]], Locations[Location Name],Locations[Group As])</f>
        <v>Stour Shipston Mill Bridge</v>
      </c>
      <c r="H2110" t="e" vm="1">
        <f>_xlfn.XLOOKUP(AllData[[#This Row],[Site Name]],LocationsKey[Site Name],LocationsKey[District])</f>
        <v>#VALUE!</v>
      </c>
      <c r="I2110" t="e" vm="15">
        <f>_xlfn.XLOOKUP(AllData[[#This Row],[Site Name]],LocationsKey[Site Name],LocationsKey[Town])</f>
        <v>#VALUE!</v>
      </c>
      <c r="J2110" t="str">
        <f>_xlfn.XLOOKUP(AllData[[#This Row],[Site Name]],LocationsKey[Site Name], LocationsKey[Waterway])</f>
        <v>Stour</v>
      </c>
      <c r="K2110" t="s">
        <v>435</v>
      </c>
      <c r="L2110">
        <v>52.062013999999998</v>
      </c>
      <c r="M2110" s="108">
        <v>-1.6216660000000001</v>
      </c>
      <c r="N2110" t="s">
        <v>25</v>
      </c>
      <c r="O2110">
        <v>543</v>
      </c>
      <c r="P2110">
        <v>9.3000000000000007</v>
      </c>
      <c r="Q2110">
        <v>2</v>
      </c>
      <c r="R2110" s="141" t="str">
        <f>IF(AllData[[#This Row],[Nitrate (PPM)]]&gt;2, "Very high", IF(AllData[[#This Row],[Nitrate (PPM)]]&gt;1, "High", IF(AllData[[#This Row],[Nitrate (PPM)]]&gt;0.5, "Some evidence", IF(AllData[[#This Row],[Nitrate (PPM)]]&gt;=0, "No evidence"))))</f>
        <v>High</v>
      </c>
      <c r="S2110" s="4">
        <v>0.23</v>
      </c>
      <c r="T2110" s="7" t="str">
        <f>IF(AllData[[#This Row],[Phosphate (PPM)]]&gt;0.5, "Very high", IF(AllData[[#This Row],[Phosphate (PPM)]]&gt;0.1, "High", IF(AllData[[#This Row],[Phosphate (PPM)]]&gt;0.05, "Some evidence", IF(AllData[[#This Row],[Phosphate (PPM)]]&lt;=0.05, "No Evidence", ""))))</f>
        <v>High</v>
      </c>
      <c r="U2110">
        <v>3</v>
      </c>
    </row>
    <row r="2111" spans="1:22" x14ac:dyDescent="0.35">
      <c r="A2111" t="s">
        <v>420</v>
      </c>
      <c r="B2111" s="143">
        <v>45269</v>
      </c>
      <c r="C2111" s="2" t="str" cm="1">
        <f t="array" ref="C21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1">
        <f>YEAR(AllData[[#This Row],[Date]])</f>
        <v>2023</v>
      </c>
      <c r="E2111" s="1">
        <v>0.54166666666666663</v>
      </c>
      <c r="F2111" t="str">
        <f>IF(AND(AllData[[#This Row],[Time]]&lt;0.5, AllData[[#This Row],[Time]]&gt;0.17)=TRUE, "Morning", IF(AND(AllData[[#This Row],[Time]]&lt;0.75, AllData[[#This Row],[Time]]&gt;=0.5)=TRUE, "Afternoon", IF(AND(AllData[[#This Row],[Time]]&lt;1, AllData[[#This Row],[Time]]&gt;=0.75)=TRUE, "Evening", "Night")))</f>
        <v>Afternoon</v>
      </c>
      <c r="G2111" t="str">
        <f>_xlfn.XLOOKUP(AllData[[#This Row],[Location Name]], Locations[Location Name],Locations[Group As])</f>
        <v>Hampton Lucy</v>
      </c>
      <c r="H2111" t="e" vm="1">
        <f>_xlfn.XLOOKUP(AllData[[#This Row],[Site Name]],LocationsKey[Site Name],LocationsKey[District])</f>
        <v>#VALUE!</v>
      </c>
      <c r="I2111" t="e" vm="33">
        <f>_xlfn.XLOOKUP(AllData[[#This Row],[Site Name]],LocationsKey[Site Name],LocationsKey[Town])</f>
        <v>#VALUE!</v>
      </c>
      <c r="J2111" t="str">
        <f>_xlfn.XLOOKUP(AllData[[#This Row],[Site Name]],LocationsKey[Site Name], LocationsKey[Waterway])</f>
        <v>Avon</v>
      </c>
      <c r="K2111" t="s">
        <v>39</v>
      </c>
      <c r="L2111">
        <v>52.211680000000001</v>
      </c>
      <c r="M2111" s="108">
        <v>-1.6244400000000001</v>
      </c>
      <c r="N2111" t="s">
        <v>25</v>
      </c>
      <c r="O2111">
        <v>590</v>
      </c>
      <c r="P2111">
        <v>8.8000000000000007</v>
      </c>
      <c r="Q2111">
        <v>15</v>
      </c>
      <c r="R2111" s="141" t="str">
        <f>IF(AllData[[#This Row],[Nitrate (PPM)]]&gt;2, "Very high", IF(AllData[[#This Row],[Nitrate (PPM)]]&gt;1, "High", IF(AllData[[#This Row],[Nitrate (PPM)]]&gt;0.5, "Some evidence", IF(AllData[[#This Row],[Nitrate (PPM)]]&gt;=0, "No evidence"))))</f>
        <v>Very high</v>
      </c>
      <c r="S2111" s="4">
        <v>0.4</v>
      </c>
      <c r="T2111" s="7" t="str">
        <f>IF(AllData[[#This Row],[Phosphate (PPM)]]&gt;0.5, "Very high", IF(AllData[[#This Row],[Phosphate (PPM)]]&gt;0.1, "High", IF(AllData[[#This Row],[Phosphate (PPM)]]&gt;0.05, "Some evidence", IF(AllData[[#This Row],[Phosphate (PPM)]]&lt;=0.05, "No Evidence", ""))))</f>
        <v>High</v>
      </c>
      <c r="U2111">
        <v>0</v>
      </c>
    </row>
    <row r="2112" spans="1:22" x14ac:dyDescent="0.35">
      <c r="A2112" t="s">
        <v>419</v>
      </c>
      <c r="B2112" s="143">
        <v>45269</v>
      </c>
      <c r="C2112" s="2" t="str" cm="1">
        <f t="array" ref="C21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2">
        <f>YEAR(AllData[[#This Row],[Date]])</f>
        <v>2023</v>
      </c>
      <c r="E2112" s="1">
        <v>0.48472222222222222</v>
      </c>
      <c r="F2112" t="str">
        <f>IF(AND(AllData[[#This Row],[Time]]&lt;0.5, AllData[[#This Row],[Time]]&gt;0.17)=TRUE, "Morning", IF(AND(AllData[[#This Row],[Time]]&lt;0.75, AllData[[#This Row],[Time]]&gt;=0.5)=TRUE, "Afternoon", IF(AND(AllData[[#This Row],[Time]]&lt;1, AllData[[#This Row],[Time]]&gt;=0.75)=TRUE, "Evening", "Night")))</f>
        <v>Morning</v>
      </c>
      <c r="G2112" t="str">
        <f>_xlfn.XLOOKUP(AllData[[#This Row],[Location Name]], Locations[Location Name],Locations[Group As])</f>
        <v>Avonbank Drive</v>
      </c>
      <c r="H2112" t="e" vm="1">
        <f>_xlfn.XLOOKUP(AllData[[#This Row],[Site Name]],LocationsKey[Site Name],LocationsKey[District])</f>
        <v>#VALUE!</v>
      </c>
      <c r="I2112" t="e" vm="12">
        <f>_xlfn.XLOOKUP(AllData[[#This Row],[Site Name]],LocationsKey[Site Name],LocationsKey[Town])</f>
        <v>#VALUE!</v>
      </c>
      <c r="J2112" t="str">
        <f>_xlfn.XLOOKUP(AllData[[#This Row],[Site Name]],LocationsKey[Site Name], LocationsKey[Waterway])</f>
        <v>Avon</v>
      </c>
      <c r="K2112" t="s">
        <v>67</v>
      </c>
      <c r="L2112">
        <v>52.177146</v>
      </c>
      <c r="M2112" s="108">
        <v>-1.735806</v>
      </c>
      <c r="N2112" t="s">
        <v>68</v>
      </c>
      <c r="O2112">
        <v>615</v>
      </c>
      <c r="P2112">
        <v>9.3000000000000007</v>
      </c>
      <c r="Q2112">
        <v>5</v>
      </c>
      <c r="R2112" s="141" t="str">
        <f>IF(AllData[[#This Row],[Nitrate (PPM)]]&gt;2, "Very high", IF(AllData[[#This Row],[Nitrate (PPM)]]&gt;1, "High", IF(AllData[[#This Row],[Nitrate (PPM)]]&gt;0.5, "Some evidence", IF(AllData[[#This Row],[Nitrate (PPM)]]&gt;=0, "No evidence"))))</f>
        <v>Very high</v>
      </c>
      <c r="S2112" s="4">
        <v>0.65</v>
      </c>
      <c r="T2112" s="7" t="str">
        <f>IF(AllData[[#This Row],[Phosphate (PPM)]]&gt;0.5, "Very high", IF(AllData[[#This Row],[Phosphate (PPM)]]&gt;0.1, "High", IF(AllData[[#This Row],[Phosphate (PPM)]]&gt;0.05, "Some evidence", IF(AllData[[#This Row],[Phosphate (PPM)]]&lt;=0.05, "No Evidence", ""))))</f>
        <v>Very high</v>
      </c>
      <c r="U2112">
        <v>1.2</v>
      </c>
    </row>
    <row r="2113" spans="1:22" x14ac:dyDescent="0.35">
      <c r="A2113" t="s">
        <v>417</v>
      </c>
      <c r="B2113" s="143">
        <v>45269</v>
      </c>
      <c r="C2113" s="2" t="str" cm="1">
        <f t="array" ref="C21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3">
        <f>YEAR(AllData[[#This Row],[Date]])</f>
        <v>2023</v>
      </c>
      <c r="E2113" s="1">
        <v>0.46527777777777779</v>
      </c>
      <c r="F2113" t="str">
        <f>IF(AND(AllData[[#This Row],[Time]]&lt;0.5, AllData[[#This Row],[Time]]&gt;0.17)=TRUE, "Morning", IF(AND(AllData[[#This Row],[Time]]&lt;0.75, AllData[[#This Row],[Time]]&gt;=0.5)=TRUE, "Afternoon", IF(AND(AllData[[#This Row],[Time]]&lt;1, AllData[[#This Row],[Time]]&gt;=0.75)=TRUE, "Evening", "Night")))</f>
        <v>Morning</v>
      </c>
      <c r="G2113" t="str">
        <f>_xlfn.XLOOKUP(AllData[[#This Row],[Location Name]], Locations[Location Name],Locations[Group As])</f>
        <v>Pitch 16</v>
      </c>
      <c r="H2113" t="e" vm="1">
        <f>_xlfn.XLOOKUP(AllData[[#This Row],[Site Name]],LocationsKey[Site Name],LocationsKey[District])</f>
        <v>#VALUE!</v>
      </c>
      <c r="I2113" t="e" vm="12">
        <f>_xlfn.XLOOKUP(AllData[[#This Row],[Site Name]],LocationsKey[Site Name],LocationsKey[Town])</f>
        <v>#VALUE!</v>
      </c>
      <c r="J2113" t="str">
        <f>_xlfn.XLOOKUP(AllData[[#This Row],[Site Name]],LocationsKey[Site Name], LocationsKey[Waterway])</f>
        <v>Avon</v>
      </c>
      <c r="K2113" t="s">
        <v>71</v>
      </c>
      <c r="L2113">
        <v>52.172606999999999</v>
      </c>
      <c r="M2113" s="108">
        <v>-1.745406</v>
      </c>
      <c r="N2113" t="s">
        <v>31</v>
      </c>
      <c r="O2113">
        <v>605</v>
      </c>
      <c r="P2113">
        <v>10.3</v>
      </c>
      <c r="Q2113">
        <v>5</v>
      </c>
      <c r="R2113" s="141" t="str">
        <f>IF(AllData[[#This Row],[Nitrate (PPM)]]&gt;2, "Very high", IF(AllData[[#This Row],[Nitrate (PPM)]]&gt;1, "High", IF(AllData[[#This Row],[Nitrate (PPM)]]&gt;0.5, "Some evidence", IF(AllData[[#This Row],[Nitrate (PPM)]]&gt;=0, "No evidence"))))</f>
        <v>Very high</v>
      </c>
      <c r="S2113" s="4">
        <v>0.57999999999999996</v>
      </c>
      <c r="T2113" s="7" t="str">
        <f>IF(AllData[[#This Row],[Phosphate (PPM)]]&gt;0.5, "Very high", IF(AllData[[#This Row],[Phosphate (PPM)]]&gt;0.1, "High", IF(AllData[[#This Row],[Phosphate (PPM)]]&gt;0.05, "Some evidence", IF(AllData[[#This Row],[Phosphate (PPM)]]&lt;=0.05, "No Evidence", ""))))</f>
        <v>Very high</v>
      </c>
      <c r="U2113">
        <v>1.2</v>
      </c>
      <c r="V2113" t="s">
        <v>418</v>
      </c>
    </row>
    <row r="2114" spans="1:22" x14ac:dyDescent="0.35">
      <c r="A2114" t="s">
        <v>421</v>
      </c>
      <c r="B2114" s="143">
        <v>45269</v>
      </c>
      <c r="C2114" s="2" t="str" cm="1">
        <f t="array" ref="C21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4">
        <f>YEAR(AllData[[#This Row],[Date]])</f>
        <v>2023</v>
      </c>
      <c r="E2114" s="1">
        <v>0.55486111111111114</v>
      </c>
      <c r="F2114" t="str">
        <f>IF(AND(AllData[[#This Row],[Time]]&lt;0.5, AllData[[#This Row],[Time]]&gt;0.17)=TRUE, "Morning", IF(AND(AllData[[#This Row],[Time]]&lt;0.75, AllData[[#This Row],[Time]]&gt;=0.5)=TRUE, "Afternoon", IF(AND(AllData[[#This Row],[Time]]&lt;1, AllData[[#This Row],[Time]]&gt;=0.75)=TRUE, "Evening", "Night")))</f>
        <v>Afternoon</v>
      </c>
      <c r="G2114" t="str">
        <f>_xlfn.XLOOKUP(AllData[[#This Row],[Location Name]], Locations[Location Name],Locations[Group As])</f>
        <v>Preston-on-Stour River Bridge</v>
      </c>
      <c r="H2114" t="e" vm="1">
        <f>_xlfn.XLOOKUP(AllData[[#This Row],[Site Name]],LocationsKey[Site Name],LocationsKey[District])</f>
        <v>#VALUE!</v>
      </c>
      <c r="I2114" t="e" vm="20">
        <f>_xlfn.XLOOKUP(AllData[[#This Row],[Site Name]],LocationsKey[Site Name],LocationsKey[Town])</f>
        <v>#VALUE!</v>
      </c>
      <c r="J2114" t="str">
        <f>_xlfn.XLOOKUP(AllData[[#This Row],[Site Name]],LocationsKey[Site Name], LocationsKey[Waterway])</f>
        <v>Stour</v>
      </c>
      <c r="K2114" t="s">
        <v>164</v>
      </c>
      <c r="L2114">
        <v>52.146559000000003</v>
      </c>
      <c r="M2114" s="108">
        <v>-1.6990810000000001</v>
      </c>
      <c r="N2114" t="s">
        <v>31</v>
      </c>
      <c r="O2114">
        <v>525</v>
      </c>
      <c r="P2114">
        <v>9.1999999999999993</v>
      </c>
      <c r="Q2114">
        <v>5</v>
      </c>
      <c r="R2114" s="141" t="str">
        <f>IF(AllData[[#This Row],[Nitrate (PPM)]]&gt;2, "Very high", IF(AllData[[#This Row],[Nitrate (PPM)]]&gt;1, "High", IF(AllData[[#This Row],[Nitrate (PPM)]]&gt;0.5, "Some evidence", IF(AllData[[#This Row],[Nitrate (PPM)]]&gt;=0, "No evidence"))))</f>
        <v>Very high</v>
      </c>
      <c r="S2114" s="4">
        <v>0.3</v>
      </c>
      <c r="T2114" s="7" t="str">
        <f>IF(AllData[[#This Row],[Phosphate (PPM)]]&gt;0.5, "Very high", IF(AllData[[#This Row],[Phosphate (PPM)]]&gt;0.1, "High", IF(AllData[[#This Row],[Phosphate (PPM)]]&gt;0.05, "Some evidence", IF(AllData[[#This Row],[Phosphate (PPM)]]&lt;=0.05, "No Evidence", ""))))</f>
        <v>High</v>
      </c>
      <c r="U2114">
        <v>2.5</v>
      </c>
      <c r="V2114" t="s">
        <v>422</v>
      </c>
    </row>
    <row r="2115" spans="1:22" x14ac:dyDescent="0.35">
      <c r="A2115" t="s">
        <v>428</v>
      </c>
      <c r="B2115" s="143">
        <v>45269</v>
      </c>
      <c r="C2115" s="2" t="str" cm="1">
        <f t="array" ref="C21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5">
        <f>YEAR(AllData[[#This Row],[Date]])</f>
        <v>2023</v>
      </c>
      <c r="E2115" s="1">
        <v>0.63888888888888884</v>
      </c>
      <c r="F2115" t="str">
        <f>IF(AND(AllData[[#This Row],[Time]]&lt;0.5, AllData[[#This Row],[Time]]&gt;0.17)=TRUE, "Morning", IF(AND(AllData[[#This Row],[Time]]&lt;0.75, AllData[[#This Row],[Time]]&gt;=0.5)=TRUE, "Afternoon", IF(AND(AllData[[#This Row],[Time]]&lt;1, AllData[[#This Row],[Time]]&gt;=0.75)=TRUE, "Evening", "Night")))</f>
        <v>Afternoon</v>
      </c>
      <c r="G2115" t="str">
        <f>_xlfn.XLOOKUP(AllData[[#This Row],[Location Name]], Locations[Location Name],Locations[Group As])</f>
        <v>Clifford Chambers Road Bridge</v>
      </c>
      <c r="H2115" t="e" vm="1">
        <f>_xlfn.XLOOKUP(AllData[[#This Row],[Site Name]],LocationsKey[Site Name],LocationsKey[District])</f>
        <v>#VALUE!</v>
      </c>
      <c r="I2115" t="e" vm="22">
        <f>_xlfn.XLOOKUP(AllData[[#This Row],[Site Name]],LocationsKey[Site Name],LocationsKey[Town])</f>
        <v>#VALUE!</v>
      </c>
      <c r="J2115" t="str">
        <f>_xlfn.XLOOKUP(AllData[[#This Row],[Site Name]],LocationsKey[Site Name], LocationsKey[Waterway])</f>
        <v>Stour</v>
      </c>
      <c r="K2115" t="s">
        <v>429</v>
      </c>
      <c r="L2115">
        <v>52.172840000000001</v>
      </c>
      <c r="M2115" s="108">
        <v>-1.71377</v>
      </c>
      <c r="N2115" t="s">
        <v>191</v>
      </c>
      <c r="O2115">
        <v>513</v>
      </c>
      <c r="P2115">
        <v>12.9</v>
      </c>
      <c r="Q2115">
        <v>5</v>
      </c>
      <c r="R2115" s="141" t="str">
        <f>IF(AllData[[#This Row],[Nitrate (PPM)]]&gt;2, "Very high", IF(AllData[[#This Row],[Nitrate (PPM)]]&gt;1, "High", IF(AllData[[#This Row],[Nitrate (PPM)]]&gt;0.5, "Some evidence", IF(AllData[[#This Row],[Nitrate (PPM)]]&gt;=0, "No evidence"))))</f>
        <v>Very high</v>
      </c>
      <c r="S2115" s="4">
        <v>0.34</v>
      </c>
      <c r="T2115" s="7" t="str">
        <f>IF(AllData[[#This Row],[Phosphate (PPM)]]&gt;0.5, "Very high", IF(AllData[[#This Row],[Phosphate (PPM)]]&gt;0.1, "High", IF(AllData[[#This Row],[Phosphate (PPM)]]&gt;0.05, "Some evidence", IF(AllData[[#This Row],[Phosphate (PPM)]]&lt;=0.05, "No Evidence", ""))))</f>
        <v>High</v>
      </c>
      <c r="U2115">
        <v>1.85</v>
      </c>
      <c r="V2115" t="s">
        <v>430</v>
      </c>
    </row>
    <row r="2116" spans="1:22" x14ac:dyDescent="0.35">
      <c r="A2116" t="s">
        <v>426</v>
      </c>
      <c r="B2116" s="143">
        <v>45269</v>
      </c>
      <c r="C2116" s="2" t="str" cm="1">
        <f t="array" ref="C21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6">
        <f>YEAR(AllData[[#This Row],[Date]])</f>
        <v>2023</v>
      </c>
      <c r="E2116" s="1">
        <v>0.625</v>
      </c>
      <c r="F2116" t="str">
        <f>IF(AND(AllData[[#This Row],[Time]]&lt;0.5, AllData[[#This Row],[Time]]&gt;0.17)=TRUE, "Morning", IF(AND(AllData[[#This Row],[Time]]&lt;0.75, AllData[[#This Row],[Time]]&gt;=0.5)=TRUE, "Afternoon", IF(AND(AllData[[#This Row],[Time]]&lt;1, AllData[[#This Row],[Time]]&gt;=0.75)=TRUE, "Evening", "Night")))</f>
        <v>Afternoon</v>
      </c>
      <c r="G2116" t="str">
        <f>_xlfn.XLOOKUP(AllData[[#This Row],[Location Name]], Locations[Location Name],Locations[Group As])</f>
        <v>Clifford Chambers Mill Bridge</v>
      </c>
      <c r="H2116" t="e" vm="1">
        <f>_xlfn.XLOOKUP(AllData[[#This Row],[Site Name]],LocationsKey[Site Name],LocationsKey[District])</f>
        <v>#VALUE!</v>
      </c>
      <c r="I2116" t="e" vm="22">
        <f>_xlfn.XLOOKUP(AllData[[#This Row],[Site Name]],LocationsKey[Site Name],LocationsKey[Town])</f>
        <v>#VALUE!</v>
      </c>
      <c r="J2116" t="str">
        <f>_xlfn.XLOOKUP(AllData[[#This Row],[Site Name]],LocationsKey[Site Name], LocationsKey[Waterway])</f>
        <v>Stour</v>
      </c>
      <c r="K2116" t="s">
        <v>266</v>
      </c>
      <c r="L2116">
        <v>52.166370000000001</v>
      </c>
      <c r="M2116" s="108">
        <v>-1.708032</v>
      </c>
      <c r="N2116" t="s">
        <v>68</v>
      </c>
      <c r="O2116">
        <v>504</v>
      </c>
      <c r="P2116">
        <v>12.7</v>
      </c>
      <c r="Q2116">
        <v>5</v>
      </c>
      <c r="R2116" s="141" t="str">
        <f>IF(AllData[[#This Row],[Nitrate (PPM)]]&gt;2, "Very high", IF(AllData[[#This Row],[Nitrate (PPM)]]&gt;1, "High", IF(AllData[[#This Row],[Nitrate (PPM)]]&gt;0.5, "Some evidence", IF(AllData[[#This Row],[Nitrate (PPM)]]&gt;=0, "No evidence"))))</f>
        <v>Very high</v>
      </c>
      <c r="S2116" s="4">
        <v>0.27</v>
      </c>
      <c r="T2116" s="7" t="str">
        <f>IF(AllData[[#This Row],[Phosphate (PPM)]]&gt;0.5, "Very high", IF(AllData[[#This Row],[Phosphate (PPM)]]&gt;0.1, "High", IF(AllData[[#This Row],[Phosphate (PPM)]]&gt;0.05, "Some evidence", IF(AllData[[#This Row],[Phosphate (PPM)]]&lt;=0.05, "No Evidence", ""))))</f>
        <v>High</v>
      </c>
      <c r="U2116">
        <v>1.85</v>
      </c>
      <c r="V2116" t="s">
        <v>427</v>
      </c>
    </row>
    <row r="2117" spans="1:22" x14ac:dyDescent="0.35">
      <c r="A2117" t="s">
        <v>423</v>
      </c>
      <c r="B2117" s="143">
        <v>45269</v>
      </c>
      <c r="C2117" s="2" t="str" cm="1">
        <f t="array" ref="C21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7">
        <f>YEAR(AllData[[#This Row],[Date]])</f>
        <v>2023</v>
      </c>
      <c r="E2117" s="1">
        <v>0.55833333333333335</v>
      </c>
      <c r="F2117" t="str">
        <f>IF(AND(AllData[[#This Row],[Time]]&lt;0.5, AllData[[#This Row],[Time]]&gt;0.17)=TRUE, "Morning", IF(AND(AllData[[#This Row],[Time]]&lt;0.75, AllData[[#This Row],[Time]]&gt;=0.5)=TRUE, "Afternoon", IF(AND(AllData[[#This Row],[Time]]&lt;1, AllData[[#This Row],[Time]]&gt;=0.75)=TRUE, "Evening", "Night")))</f>
        <v>Afternoon</v>
      </c>
      <c r="G2117" t="str">
        <f>_xlfn.XLOOKUP(AllData[[#This Row],[Location Name]], Locations[Location Name],Locations[Group As])</f>
        <v>Fell Mill Footbridge</v>
      </c>
      <c r="H2117" t="e" vm="1">
        <f>_xlfn.XLOOKUP(AllData[[#This Row],[Site Name]],LocationsKey[Site Name],LocationsKey[District])</f>
        <v>#VALUE!</v>
      </c>
      <c r="I2117" t="e" vm="15">
        <f>_xlfn.XLOOKUP(AllData[[#This Row],[Site Name]],LocationsKey[Site Name],LocationsKey[Town])</f>
        <v>#VALUE!</v>
      </c>
      <c r="J2117" t="str">
        <f>_xlfn.XLOOKUP(AllData[[#This Row],[Site Name]],LocationsKey[Site Name], LocationsKey[Waterway])</f>
        <v>Stour</v>
      </c>
      <c r="K2117" t="s">
        <v>424</v>
      </c>
      <c r="L2117">
        <v>52.070126999999999</v>
      </c>
      <c r="M2117" s="108">
        <v>-1.611599</v>
      </c>
      <c r="N2117" t="s">
        <v>31</v>
      </c>
      <c r="O2117">
        <v>369</v>
      </c>
      <c r="P2117">
        <v>9.8000000000000007</v>
      </c>
      <c r="Q2117">
        <v>2</v>
      </c>
      <c r="R2117" s="141" t="str">
        <f>IF(AllData[[#This Row],[Nitrate (PPM)]]&gt;2, "Very high", IF(AllData[[#This Row],[Nitrate (PPM)]]&gt;1, "High", IF(AllData[[#This Row],[Nitrate (PPM)]]&gt;0.5, "Some evidence", IF(AllData[[#This Row],[Nitrate (PPM)]]&gt;=0, "No evidence"))))</f>
        <v>High</v>
      </c>
      <c r="S2117" s="4">
        <v>0.57999999999999996</v>
      </c>
      <c r="T2117" s="7" t="str">
        <f>IF(AllData[[#This Row],[Phosphate (PPM)]]&gt;0.5, "Very high", IF(AllData[[#This Row],[Phosphate (PPM)]]&gt;0.1, "High", IF(AllData[[#This Row],[Phosphate (PPM)]]&gt;0.05, "Some evidence", IF(AllData[[#This Row],[Phosphate (PPM)]]&lt;=0.05, "No Evidence", ""))))</f>
        <v>Very high</v>
      </c>
      <c r="U2117">
        <v>5</v>
      </c>
      <c r="V2117" t="s">
        <v>425</v>
      </c>
    </row>
    <row r="2118" spans="1:22" x14ac:dyDescent="0.35">
      <c r="A2118" t="s">
        <v>414</v>
      </c>
      <c r="B2118" s="143">
        <v>45268</v>
      </c>
      <c r="C2118" s="2" t="str" cm="1">
        <f t="array" ref="C21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8">
        <f>YEAR(AllData[[#This Row],[Date]])</f>
        <v>2023</v>
      </c>
      <c r="E2118" s="1">
        <v>0.4375</v>
      </c>
      <c r="F2118" t="str">
        <f>IF(AND(AllData[[#This Row],[Time]]&lt;0.5, AllData[[#This Row],[Time]]&gt;0.17)=TRUE, "Morning", IF(AND(AllData[[#This Row],[Time]]&lt;0.75, AllData[[#This Row],[Time]]&gt;=0.5)=TRUE, "Afternoon", IF(AND(AllData[[#This Row],[Time]]&lt;1, AllData[[#This Row],[Time]]&gt;=0.75)=TRUE, "Evening", "Night")))</f>
        <v>Morning</v>
      </c>
      <c r="G2118" t="str">
        <f>_xlfn.XLOOKUP(AllData[[#This Row],[Location Name]], Locations[Location Name],Locations[Group As])</f>
        <v>Swilgate</v>
      </c>
      <c r="H2118" t="e" vm="4">
        <f>_xlfn.XLOOKUP(AllData[[#This Row],[Site Name]],LocationsKey[Site Name],LocationsKey[District])</f>
        <v>#VALUE!</v>
      </c>
      <c r="I2118" t="e" vm="4">
        <f>_xlfn.XLOOKUP(AllData[[#This Row],[Site Name]],LocationsKey[Site Name],LocationsKey[Town])</f>
        <v>#VALUE!</v>
      </c>
      <c r="J2118" t="str">
        <f>_xlfn.XLOOKUP(AllData[[#This Row],[Site Name]],LocationsKey[Site Name], LocationsKey[Waterway])</f>
        <v>Swilgate</v>
      </c>
      <c r="K2118" t="s">
        <v>415</v>
      </c>
      <c r="M2118" s="108"/>
      <c r="N2118" t="s">
        <v>25</v>
      </c>
      <c r="O2118">
        <v>769</v>
      </c>
      <c r="P2118">
        <v>8</v>
      </c>
      <c r="Q2118">
        <v>4</v>
      </c>
      <c r="R2118" s="141" t="str">
        <f>IF(AllData[[#This Row],[Nitrate (PPM)]]&gt;2, "Very high", IF(AllData[[#This Row],[Nitrate (PPM)]]&gt;1, "High", IF(AllData[[#This Row],[Nitrate (PPM)]]&gt;0.5, "Some evidence", IF(AllData[[#This Row],[Nitrate (PPM)]]&gt;=0, "No evidence"))))</f>
        <v>Very high</v>
      </c>
      <c r="S2118" s="4">
        <v>0.45</v>
      </c>
      <c r="T2118" s="7" t="str">
        <f>IF(AllData[[#This Row],[Phosphate (PPM)]]&gt;0.5, "Very high", IF(AllData[[#This Row],[Phosphate (PPM)]]&gt;0.1, "High", IF(AllData[[#This Row],[Phosphate (PPM)]]&gt;0.05, "Some evidence", IF(AllData[[#This Row],[Phosphate (PPM)]]&lt;=0.05, "No Evidence", ""))))</f>
        <v>High</v>
      </c>
      <c r="U2118">
        <v>2</v>
      </c>
      <c r="V2118" t="s">
        <v>416</v>
      </c>
    </row>
    <row r="2119" spans="1:22" x14ac:dyDescent="0.35">
      <c r="A2119" t="s">
        <v>412</v>
      </c>
      <c r="B2119" s="143">
        <v>45266</v>
      </c>
      <c r="C2119" s="2" t="str" cm="1">
        <f t="array" ref="C21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19">
        <f>YEAR(AllData[[#This Row],[Date]])</f>
        <v>2023</v>
      </c>
      <c r="E2119" s="1">
        <v>0.66666666666666663</v>
      </c>
      <c r="F2119" t="str">
        <f>IF(AND(AllData[[#This Row],[Time]]&lt;0.5, AllData[[#This Row],[Time]]&gt;0.17)=TRUE, "Morning", IF(AND(AllData[[#This Row],[Time]]&lt;0.75, AllData[[#This Row],[Time]]&gt;=0.5)=TRUE, "Afternoon", IF(AND(AllData[[#This Row],[Time]]&lt;1, AllData[[#This Row],[Time]]&gt;=0.75)=TRUE, "Evening", "Night")))</f>
        <v>Afternoon</v>
      </c>
      <c r="G2119" t="str">
        <f>_xlfn.XLOOKUP(AllData[[#This Row],[Location Name]], Locations[Location Name],Locations[Group As])</f>
        <v>Stour Newbold Mill</v>
      </c>
      <c r="H2119" t="e" vm="1">
        <f>_xlfn.XLOOKUP(AllData[[#This Row],[Site Name]],LocationsKey[Site Name],LocationsKey[District])</f>
        <v>#VALUE!</v>
      </c>
      <c r="I2119" t="e" vm="27">
        <f>_xlfn.XLOOKUP(AllData[[#This Row],[Site Name]],LocationsKey[Site Name],LocationsKey[Town])</f>
        <v>#VALUE!</v>
      </c>
      <c r="J2119" t="str">
        <f>_xlfn.XLOOKUP(AllData[[#This Row],[Site Name]],LocationsKey[Site Name], LocationsKey[Waterway])</f>
        <v>Stour</v>
      </c>
      <c r="K2119" t="s">
        <v>141</v>
      </c>
      <c r="L2119">
        <v>52.112848</v>
      </c>
      <c r="M2119" s="108">
        <v>-1.633432</v>
      </c>
      <c r="N2119" t="s">
        <v>68</v>
      </c>
      <c r="O2119">
        <v>537</v>
      </c>
      <c r="P2119">
        <v>8.4</v>
      </c>
      <c r="Q2119">
        <v>5</v>
      </c>
      <c r="R2119" s="141" t="str">
        <f>IF(AllData[[#This Row],[Nitrate (PPM)]]&gt;2, "Very high", IF(AllData[[#This Row],[Nitrate (PPM)]]&gt;1, "High", IF(AllData[[#This Row],[Nitrate (PPM)]]&gt;0.5, "Some evidence", IF(AllData[[#This Row],[Nitrate (PPM)]]&gt;=0, "No evidence"))))</f>
        <v>Very high</v>
      </c>
      <c r="S2119" s="4">
        <v>0.12</v>
      </c>
      <c r="T2119" s="7" t="str">
        <f>IF(AllData[[#This Row],[Phosphate (PPM)]]&gt;0.5, "Very high", IF(AllData[[#This Row],[Phosphate (PPM)]]&gt;0.1, "High", IF(AllData[[#This Row],[Phosphate (PPM)]]&gt;0.05, "Some evidence", IF(AllData[[#This Row],[Phosphate (PPM)]]&lt;=0.05, "No Evidence", ""))))</f>
        <v>High</v>
      </c>
      <c r="U2119">
        <v>3</v>
      </c>
      <c r="V2119" t="s">
        <v>413</v>
      </c>
    </row>
    <row r="2120" spans="1:22" x14ac:dyDescent="0.35">
      <c r="A2120" t="s">
        <v>410</v>
      </c>
      <c r="B2120" s="143">
        <v>45266</v>
      </c>
      <c r="C2120" s="2" t="str" cm="1">
        <f t="array" ref="C21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0">
        <f>YEAR(AllData[[#This Row],[Date]])</f>
        <v>2023</v>
      </c>
      <c r="E2120" s="1">
        <v>0.59583333333333333</v>
      </c>
      <c r="F2120" t="str">
        <f>IF(AND(AllData[[#This Row],[Time]]&lt;0.5, AllData[[#This Row],[Time]]&gt;0.17)=TRUE, "Morning", IF(AND(AllData[[#This Row],[Time]]&lt;0.75, AllData[[#This Row],[Time]]&gt;=0.5)=TRUE, "Afternoon", IF(AND(AllData[[#This Row],[Time]]&lt;1, AllData[[#This Row],[Time]]&gt;=0.75)=TRUE, "Evening", "Night")))</f>
        <v>Afternoon</v>
      </c>
      <c r="G2120" t="str">
        <f>_xlfn.XLOOKUP(AllData[[#This Row],[Location Name]], Locations[Location Name],Locations[Group As])</f>
        <v>Swiffen Bank</v>
      </c>
      <c r="H2120" t="e" vm="1">
        <f>_xlfn.XLOOKUP(AllData[[#This Row],[Site Name]],LocationsKey[Site Name],LocationsKey[District])</f>
        <v>#VALUE!</v>
      </c>
      <c r="I2120" t="e" vm="2">
        <f>_xlfn.XLOOKUP(AllData[[#This Row],[Site Name]],LocationsKey[Site Name],LocationsKey[Town])</f>
        <v>#VALUE!</v>
      </c>
      <c r="J2120" t="str">
        <f>_xlfn.XLOOKUP(AllData[[#This Row],[Site Name]],LocationsKey[Site Name], LocationsKey[Waterway])</f>
        <v>Avon</v>
      </c>
      <c r="K2120" t="s">
        <v>286</v>
      </c>
      <c r="L2120">
        <v>52.206339</v>
      </c>
      <c r="M2120" s="108">
        <v>-1.6550020000000001</v>
      </c>
      <c r="N2120" t="s">
        <v>31</v>
      </c>
      <c r="O2120">
        <v>47.5</v>
      </c>
      <c r="P2120">
        <v>6.1</v>
      </c>
      <c r="Q2120">
        <v>2</v>
      </c>
      <c r="R2120" s="141" t="str">
        <f>IF(AllData[[#This Row],[Nitrate (PPM)]]&gt;2, "Very high", IF(AllData[[#This Row],[Nitrate (PPM)]]&gt;1, "High", IF(AllData[[#This Row],[Nitrate (PPM)]]&gt;0.5, "Some evidence", IF(AllData[[#This Row],[Nitrate (PPM)]]&gt;=0, "No evidence"))))</f>
        <v>High</v>
      </c>
      <c r="S2120" s="4">
        <v>0.71</v>
      </c>
      <c r="T2120" s="7" t="str">
        <f>IF(AllData[[#This Row],[Phosphate (PPM)]]&gt;0.5, "Very high", IF(AllData[[#This Row],[Phosphate (PPM)]]&gt;0.1, "High", IF(AllData[[#This Row],[Phosphate (PPM)]]&gt;0.05, "Some evidence", IF(AllData[[#This Row],[Phosphate (PPM)]]&lt;=0.05, "No Evidence", ""))))</f>
        <v>Very high</v>
      </c>
      <c r="U2120">
        <v>1</v>
      </c>
      <c r="V2120" t="s">
        <v>411</v>
      </c>
    </row>
    <row r="2121" spans="1:22" x14ac:dyDescent="0.35">
      <c r="A2121" t="s">
        <v>408</v>
      </c>
      <c r="B2121" s="143">
        <v>45266</v>
      </c>
      <c r="C2121" s="2" t="str" cm="1">
        <f t="array" ref="C21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1">
        <f>YEAR(AllData[[#This Row],[Date]])</f>
        <v>2023</v>
      </c>
      <c r="E2121" s="1">
        <v>0.50138888888888888</v>
      </c>
      <c r="F2121" t="str">
        <f>IF(AND(AllData[[#This Row],[Time]]&lt;0.5, AllData[[#This Row],[Time]]&gt;0.17)=TRUE, "Morning", IF(AND(AllData[[#This Row],[Time]]&lt;0.75, AllData[[#This Row],[Time]]&gt;=0.5)=TRUE, "Afternoon", IF(AND(AllData[[#This Row],[Time]]&lt;1, AllData[[#This Row],[Time]]&gt;=0.75)=TRUE, "Evening", "Night")))</f>
        <v>Afternoon</v>
      </c>
      <c r="G2121" t="str">
        <f>_xlfn.XLOOKUP(AllData[[#This Row],[Location Name]], Locations[Location Name],Locations[Group As])</f>
        <v>Alveston Weir</v>
      </c>
      <c r="H2121" t="e" vm="1">
        <f>_xlfn.XLOOKUP(AllData[[#This Row],[Site Name]],LocationsKey[Site Name],LocationsKey[District])</f>
        <v>#VALUE!</v>
      </c>
      <c r="I2121" t="e" vm="2">
        <f>_xlfn.XLOOKUP(AllData[[#This Row],[Site Name]],LocationsKey[Site Name],LocationsKey[Town])</f>
        <v>#VALUE!</v>
      </c>
      <c r="J2121" t="str">
        <f>_xlfn.XLOOKUP(AllData[[#This Row],[Site Name]],LocationsKey[Site Name], LocationsKey[Waterway])</f>
        <v>Avon</v>
      </c>
      <c r="K2121" t="s">
        <v>288</v>
      </c>
      <c r="L2121">
        <v>52.212288999999998</v>
      </c>
      <c r="M2121" s="108">
        <v>-1.660452</v>
      </c>
      <c r="N2121" t="s">
        <v>31</v>
      </c>
      <c r="O2121">
        <v>46.6</v>
      </c>
      <c r="P2121">
        <v>6.4</v>
      </c>
      <c r="Q2121">
        <v>2</v>
      </c>
      <c r="R2121" s="141" t="str">
        <f>IF(AllData[[#This Row],[Nitrate (PPM)]]&gt;2, "Very high", IF(AllData[[#This Row],[Nitrate (PPM)]]&gt;1, "High", IF(AllData[[#This Row],[Nitrate (PPM)]]&gt;0.5, "Some evidence", IF(AllData[[#This Row],[Nitrate (PPM)]]&gt;=0, "No evidence"))))</f>
        <v>High</v>
      </c>
      <c r="S2121" s="4">
        <v>0.62</v>
      </c>
      <c r="T2121" s="7" t="str">
        <f>IF(AllData[[#This Row],[Phosphate (PPM)]]&gt;0.5, "Very high", IF(AllData[[#This Row],[Phosphate (PPM)]]&gt;0.1, "High", IF(AllData[[#This Row],[Phosphate (PPM)]]&gt;0.05, "Some evidence", IF(AllData[[#This Row],[Phosphate (PPM)]]&lt;=0.05, "No Evidence", ""))))</f>
        <v>Very high</v>
      </c>
      <c r="U2121">
        <v>2</v>
      </c>
      <c r="V2121" t="s">
        <v>409</v>
      </c>
    </row>
    <row r="2122" spans="1:22" x14ac:dyDescent="0.35">
      <c r="A2122" t="s">
        <v>406</v>
      </c>
      <c r="B2122" s="143">
        <v>45264</v>
      </c>
      <c r="C2122" s="2" t="str" cm="1">
        <f t="array" ref="C21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2">
        <f>YEAR(AllData[[#This Row],[Date]])</f>
        <v>2023</v>
      </c>
      <c r="E2122" s="1">
        <v>0.38958333333333334</v>
      </c>
      <c r="F2122" t="str">
        <f>IF(AND(AllData[[#This Row],[Time]]&lt;0.5, AllData[[#This Row],[Time]]&gt;0.17)=TRUE, "Morning", IF(AND(AllData[[#This Row],[Time]]&lt;0.75, AllData[[#This Row],[Time]]&gt;=0.5)=TRUE, "Afternoon", IF(AND(AllData[[#This Row],[Time]]&lt;1, AllData[[#This Row],[Time]]&gt;=0.75)=TRUE, "Evening", "Night")))</f>
        <v>Morning</v>
      </c>
      <c r="G2122" t="str">
        <f>_xlfn.XLOOKUP(AllData[[#This Row],[Location Name]], Locations[Location Name],Locations[Group As])</f>
        <v>Stour Stretton-on-Fosse Village</v>
      </c>
      <c r="H2122" t="e" vm="1">
        <f>_xlfn.XLOOKUP(AllData[[#This Row],[Site Name]],LocationsKey[Site Name],LocationsKey[District])</f>
        <v>#VALUE!</v>
      </c>
      <c r="I2122" t="e" vm="30">
        <f>_xlfn.XLOOKUP(AllData[[#This Row],[Site Name]],LocationsKey[Site Name],LocationsKey[Town])</f>
        <v>#VALUE!</v>
      </c>
      <c r="J2122" t="str">
        <f>_xlfn.XLOOKUP(AllData[[#This Row],[Site Name]],LocationsKey[Site Name], LocationsKey[Waterway])</f>
        <v>Stour</v>
      </c>
      <c r="K2122" t="s">
        <v>385</v>
      </c>
      <c r="L2122">
        <v>52.046492999999998</v>
      </c>
      <c r="M2122" s="108">
        <v>-1.6733830000000001</v>
      </c>
      <c r="N2122" t="s">
        <v>68</v>
      </c>
      <c r="O2122">
        <v>319</v>
      </c>
      <c r="P2122">
        <v>7.1</v>
      </c>
      <c r="Q2122">
        <v>2</v>
      </c>
      <c r="R2122" s="141" t="str">
        <f>IF(AllData[[#This Row],[Nitrate (PPM)]]&gt;2, "Very high", IF(AllData[[#This Row],[Nitrate (PPM)]]&gt;1, "High", IF(AllData[[#This Row],[Nitrate (PPM)]]&gt;0.5, "Some evidence", IF(AllData[[#This Row],[Nitrate (PPM)]]&gt;=0, "No evidence"))))</f>
        <v>High</v>
      </c>
      <c r="S2122" s="4">
        <v>0.62</v>
      </c>
      <c r="T2122" s="7" t="str">
        <f>IF(AllData[[#This Row],[Phosphate (PPM)]]&gt;0.5, "Very high", IF(AllData[[#This Row],[Phosphate (PPM)]]&gt;0.1, "High", IF(AllData[[#This Row],[Phosphate (PPM)]]&gt;0.05, "Some evidence", IF(AllData[[#This Row],[Phosphate (PPM)]]&lt;=0.05, "No Evidence", ""))))</f>
        <v>Very high</v>
      </c>
      <c r="U2122">
        <v>0.35</v>
      </c>
    </row>
    <row r="2123" spans="1:22" x14ac:dyDescent="0.35">
      <c r="A2123" t="s">
        <v>407</v>
      </c>
      <c r="B2123" s="143">
        <v>45264</v>
      </c>
      <c r="C2123" s="2" t="str" cm="1">
        <f t="array" ref="C21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3">
        <f>YEAR(AllData[[#This Row],[Date]])</f>
        <v>2023</v>
      </c>
      <c r="E2123" s="1">
        <v>0.40138888888888891</v>
      </c>
      <c r="F2123" t="str">
        <f>IF(AND(AllData[[#This Row],[Time]]&lt;0.5, AllData[[#This Row],[Time]]&gt;0.17)=TRUE, "Morning", IF(AND(AllData[[#This Row],[Time]]&lt;0.75, AllData[[#This Row],[Time]]&gt;=0.5)=TRUE, "Afternoon", IF(AND(AllData[[#This Row],[Time]]&lt;1, AllData[[#This Row],[Time]]&gt;=0.75)=TRUE, "Evening", "Night")))</f>
        <v>Morning</v>
      </c>
      <c r="G2123" t="str">
        <f>_xlfn.XLOOKUP(AllData[[#This Row],[Location Name]], Locations[Location Name],Locations[Group As])</f>
        <v>Stour Stretton-on-Fosse Sewage Works</v>
      </c>
      <c r="H2123" t="e" vm="1">
        <f>_xlfn.XLOOKUP(AllData[[#This Row],[Site Name]],LocationsKey[Site Name],LocationsKey[District])</f>
        <v>#VALUE!</v>
      </c>
      <c r="I2123" t="e" vm="30">
        <f>_xlfn.XLOOKUP(AllData[[#This Row],[Site Name]],LocationsKey[Site Name],LocationsKey[Town])</f>
        <v>#VALUE!</v>
      </c>
      <c r="J2123" t="str">
        <f>_xlfn.XLOOKUP(AllData[[#This Row],[Site Name]],LocationsKey[Site Name], LocationsKey[Waterway])</f>
        <v>Stour</v>
      </c>
      <c r="K2123" t="s">
        <v>337</v>
      </c>
      <c r="L2123">
        <v>52.045656999999999</v>
      </c>
      <c r="M2123" s="108">
        <v>-1.671899</v>
      </c>
      <c r="N2123" t="s">
        <v>31</v>
      </c>
      <c r="O2123">
        <v>298</v>
      </c>
      <c r="P2123">
        <v>7</v>
      </c>
      <c r="Q2123">
        <v>2</v>
      </c>
      <c r="R2123" s="141" t="str">
        <f>IF(AllData[[#This Row],[Nitrate (PPM)]]&gt;2, "Very high", IF(AllData[[#This Row],[Nitrate (PPM)]]&gt;1, "High", IF(AllData[[#This Row],[Nitrate (PPM)]]&gt;0.5, "Some evidence", IF(AllData[[#This Row],[Nitrate (PPM)]]&gt;=0, "No evidence"))))</f>
        <v>High</v>
      </c>
      <c r="S2123" s="4">
        <v>0.21</v>
      </c>
      <c r="T2123" s="7" t="str">
        <f>IF(AllData[[#This Row],[Phosphate (PPM)]]&gt;0.5, "Very high", IF(AllData[[#This Row],[Phosphate (PPM)]]&gt;0.1, "High", IF(AllData[[#This Row],[Phosphate (PPM)]]&gt;0.05, "Some evidence", IF(AllData[[#This Row],[Phosphate (PPM)]]&lt;=0.05, "No Evidence", ""))))</f>
        <v>High</v>
      </c>
      <c r="U2123">
        <v>0.6</v>
      </c>
    </row>
    <row r="2124" spans="1:22" x14ac:dyDescent="0.35">
      <c r="A2124" t="s">
        <v>404</v>
      </c>
      <c r="B2124" s="143">
        <v>45263</v>
      </c>
      <c r="C2124" s="2" t="str" cm="1">
        <f t="array" ref="C21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4">
        <f>YEAR(AllData[[#This Row],[Date]])</f>
        <v>2023</v>
      </c>
      <c r="E2124" s="1">
        <v>0.65625</v>
      </c>
      <c r="F2124" t="str">
        <f>IF(AND(AllData[[#This Row],[Time]]&lt;0.5, AllData[[#This Row],[Time]]&gt;0.17)=TRUE, "Morning", IF(AND(AllData[[#This Row],[Time]]&lt;0.75, AllData[[#This Row],[Time]]&gt;=0.5)=TRUE, "Afternoon", IF(AND(AllData[[#This Row],[Time]]&lt;1, AllData[[#This Row],[Time]]&gt;=0.75)=TRUE, "Evening", "Night")))</f>
        <v>Afternoon</v>
      </c>
      <c r="G2124" t="str">
        <f>_xlfn.XLOOKUP(AllData[[#This Row],[Location Name]], Locations[Location Name],Locations[Group As])</f>
        <v>Welford Boat Station</v>
      </c>
      <c r="H2124" t="e" vm="1">
        <f>_xlfn.XLOOKUP(AllData[[#This Row],[Site Name]],LocationsKey[Site Name],LocationsKey[District])</f>
        <v>#VALUE!</v>
      </c>
      <c r="I2124" t="e" vm="36">
        <f>_xlfn.XLOOKUP(AllData[[#This Row],[Site Name]],LocationsKey[Site Name],LocationsKey[Town])</f>
        <v>#VALUE!</v>
      </c>
      <c r="J2124" t="str">
        <f>_xlfn.XLOOKUP(AllData[[#This Row],[Site Name]],LocationsKey[Site Name], LocationsKey[Waterway])</f>
        <v>Avon</v>
      </c>
      <c r="K2124" t="s">
        <v>41</v>
      </c>
      <c r="L2124">
        <v>52.175240000000002</v>
      </c>
      <c r="M2124" s="108">
        <v>-1.7918700000000001</v>
      </c>
      <c r="N2124" t="s">
        <v>31</v>
      </c>
      <c r="O2124">
        <v>888</v>
      </c>
      <c r="P2124">
        <v>5.8</v>
      </c>
      <c r="Q2124">
        <v>20</v>
      </c>
      <c r="R2124" s="141" t="str">
        <f>IF(AllData[[#This Row],[Nitrate (PPM)]]&gt;2, "Very high", IF(AllData[[#This Row],[Nitrate (PPM)]]&gt;1, "High", IF(AllData[[#This Row],[Nitrate (PPM)]]&gt;0.5, "Some evidence", IF(AllData[[#This Row],[Nitrate (PPM)]]&gt;=0, "No evidence"))))</f>
        <v>Very high</v>
      </c>
      <c r="S2124" s="4">
        <v>0.34</v>
      </c>
      <c r="T2124" s="7" t="str">
        <f>IF(AllData[[#This Row],[Phosphate (PPM)]]&gt;0.5, "Very high", IF(AllData[[#This Row],[Phosphate (PPM)]]&gt;0.1, "High", IF(AllData[[#This Row],[Phosphate (PPM)]]&gt;0.05, "Some evidence", IF(AllData[[#This Row],[Phosphate (PPM)]]&lt;=0.05, "No Evidence", ""))))</f>
        <v>High</v>
      </c>
      <c r="U2124">
        <v>0</v>
      </c>
      <c r="V2124" t="s">
        <v>405</v>
      </c>
    </row>
    <row r="2125" spans="1:22" x14ac:dyDescent="0.35">
      <c r="A2125" t="s">
        <v>401</v>
      </c>
      <c r="B2125" s="143">
        <v>45263</v>
      </c>
      <c r="C2125" s="2" t="str" cm="1">
        <f t="array" ref="C21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5">
        <f>YEAR(AllData[[#This Row],[Date]])</f>
        <v>2023</v>
      </c>
      <c r="E2125" s="1">
        <v>0.47916666666666669</v>
      </c>
      <c r="F2125" t="str">
        <f>IF(AND(AllData[[#This Row],[Time]]&lt;0.5, AllData[[#This Row],[Time]]&gt;0.17)=TRUE, "Morning", IF(AND(AllData[[#This Row],[Time]]&lt;0.75, AllData[[#This Row],[Time]]&gt;=0.5)=TRUE, "Afternoon", IF(AND(AllData[[#This Row],[Time]]&lt;1, AllData[[#This Row],[Time]]&gt;=0.75)=TRUE, "Evening", "Night")))</f>
        <v>Morning</v>
      </c>
      <c r="G2125" t="str">
        <f>_xlfn.XLOOKUP(AllData[[#This Row],[Location Name]], Locations[Location Name],Locations[Group As])</f>
        <v>Hampton Wood</v>
      </c>
      <c r="H2125" t="e" vm="1">
        <f>_xlfn.XLOOKUP(AllData[[#This Row],[Site Name]],LocationsKey[Site Name],LocationsKey[District])</f>
        <v>#VALUE!</v>
      </c>
      <c r="I2125" t="e" vm="34">
        <f>_xlfn.XLOOKUP(AllData[[#This Row],[Site Name]],LocationsKey[Site Name],LocationsKey[Town])</f>
        <v>#VALUE!</v>
      </c>
      <c r="J2125" t="str">
        <f>_xlfn.XLOOKUP(AllData[[#This Row],[Site Name]],LocationsKey[Site Name], LocationsKey[Waterway])</f>
        <v>Avon</v>
      </c>
      <c r="K2125" t="s">
        <v>36</v>
      </c>
      <c r="L2125">
        <v>52.238149999999997</v>
      </c>
      <c r="M2125" s="108">
        <v>-1.6245799999999999</v>
      </c>
      <c r="N2125" t="s">
        <v>31</v>
      </c>
      <c r="O2125">
        <v>920</v>
      </c>
      <c r="P2125">
        <v>6.1</v>
      </c>
      <c r="Q2125">
        <v>15</v>
      </c>
      <c r="R2125" s="141" t="str">
        <f>IF(AllData[[#This Row],[Nitrate (PPM)]]&gt;2, "Very high", IF(AllData[[#This Row],[Nitrate (PPM)]]&gt;1, "High", IF(AllData[[#This Row],[Nitrate (PPM)]]&gt;0.5, "Some evidence", IF(AllData[[#This Row],[Nitrate (PPM)]]&gt;=0, "No evidence"))))</f>
        <v>Very high</v>
      </c>
      <c r="S2125" s="4">
        <v>0.8</v>
      </c>
      <c r="T2125" s="7" t="str">
        <f>IF(AllData[[#This Row],[Phosphate (PPM)]]&gt;0.5, "Very high", IF(AllData[[#This Row],[Phosphate (PPM)]]&gt;0.1, "High", IF(AllData[[#This Row],[Phosphate (PPM)]]&gt;0.05, "Some evidence", IF(AllData[[#This Row],[Phosphate (PPM)]]&lt;=0.05, "No Evidence", ""))))</f>
        <v>Very high</v>
      </c>
      <c r="U2125">
        <v>0</v>
      </c>
    </row>
    <row r="2126" spans="1:22" x14ac:dyDescent="0.35">
      <c r="A2126" t="s">
        <v>402</v>
      </c>
      <c r="B2126" s="143">
        <v>45263</v>
      </c>
      <c r="C2126" s="2" t="str" cm="1">
        <f t="array" ref="C21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6">
        <f>YEAR(AllData[[#This Row],[Date]])</f>
        <v>2023</v>
      </c>
      <c r="E2126" s="1">
        <v>0.54166666666666663</v>
      </c>
      <c r="F2126" t="str">
        <f>IF(AND(AllData[[#This Row],[Time]]&lt;0.5, AllData[[#This Row],[Time]]&gt;0.17)=TRUE, "Morning", IF(AND(AllData[[#This Row],[Time]]&lt;0.75, AllData[[#This Row],[Time]]&gt;=0.5)=TRUE, "Afternoon", IF(AND(AllData[[#This Row],[Time]]&lt;1, AllData[[#This Row],[Time]]&gt;=0.75)=TRUE, "Evening", "Night")))</f>
        <v>Afternoon</v>
      </c>
      <c r="G2126" t="str">
        <f>_xlfn.XLOOKUP(AllData[[#This Row],[Location Name]], Locations[Location Name],Locations[Group As])</f>
        <v>Hampton Lucy</v>
      </c>
      <c r="H2126" t="e" vm="1">
        <f>_xlfn.XLOOKUP(AllData[[#This Row],[Site Name]],LocationsKey[Site Name],LocationsKey[District])</f>
        <v>#VALUE!</v>
      </c>
      <c r="I2126" t="e" vm="33">
        <f>_xlfn.XLOOKUP(AllData[[#This Row],[Site Name]],LocationsKey[Site Name],LocationsKey[Town])</f>
        <v>#VALUE!</v>
      </c>
      <c r="J2126" t="str">
        <f>_xlfn.XLOOKUP(AllData[[#This Row],[Site Name]],LocationsKey[Site Name], LocationsKey[Waterway])</f>
        <v>Avon</v>
      </c>
      <c r="K2126" t="s">
        <v>39</v>
      </c>
      <c r="L2126">
        <v>52.211680000000001</v>
      </c>
      <c r="M2126" s="108">
        <v>-1.6244400000000001</v>
      </c>
      <c r="N2126" t="s">
        <v>25</v>
      </c>
      <c r="O2126">
        <v>870</v>
      </c>
      <c r="P2126">
        <v>6.3</v>
      </c>
      <c r="Q2126">
        <v>13</v>
      </c>
      <c r="R2126" s="141" t="str">
        <f>IF(AllData[[#This Row],[Nitrate (PPM)]]&gt;2, "Very high", IF(AllData[[#This Row],[Nitrate (PPM)]]&gt;1, "High", IF(AllData[[#This Row],[Nitrate (PPM)]]&gt;0.5, "Some evidence", IF(AllData[[#This Row],[Nitrate (PPM)]]&gt;=0, "No evidence"))))</f>
        <v>Very high</v>
      </c>
      <c r="S2126" s="4">
        <v>0.67</v>
      </c>
      <c r="T2126" s="7" t="str">
        <f>IF(AllData[[#This Row],[Phosphate (PPM)]]&gt;0.5, "Very high", IF(AllData[[#This Row],[Phosphate (PPM)]]&gt;0.1, "High", IF(AllData[[#This Row],[Phosphate (PPM)]]&gt;0.05, "Some evidence", IF(AllData[[#This Row],[Phosphate (PPM)]]&lt;=0.05, "No Evidence", ""))))</f>
        <v>Very high</v>
      </c>
      <c r="U2126">
        <v>0</v>
      </c>
    </row>
    <row r="2127" spans="1:22" x14ac:dyDescent="0.35">
      <c r="A2127" t="s">
        <v>403</v>
      </c>
      <c r="B2127" s="143">
        <v>45263</v>
      </c>
      <c r="C2127" s="2" t="str" cm="1">
        <f t="array" ref="C21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7">
        <f>YEAR(AllData[[#This Row],[Date]])</f>
        <v>2023</v>
      </c>
      <c r="E2127" s="1">
        <v>0.58333333333333337</v>
      </c>
      <c r="F2127" t="str">
        <f>IF(AND(AllData[[#This Row],[Time]]&lt;0.5, AllData[[#This Row],[Time]]&gt;0.17)=TRUE, "Morning", IF(AND(AllData[[#This Row],[Time]]&lt;0.75, AllData[[#This Row],[Time]]&gt;=0.5)=TRUE, "Afternoon", IF(AND(AllData[[#This Row],[Time]]&lt;1, AllData[[#This Row],[Time]]&gt;=0.75)=TRUE, "Evening", "Night")))</f>
        <v>Afternoon</v>
      </c>
      <c r="G2127" t="str">
        <f>_xlfn.XLOOKUP(AllData[[#This Row],[Location Name]], Locations[Location Name],Locations[Group As])</f>
        <v>Clifford Chambers Mill Bridge</v>
      </c>
      <c r="H2127" t="e" vm="1">
        <f>_xlfn.XLOOKUP(AllData[[#This Row],[Site Name]],LocationsKey[Site Name],LocationsKey[District])</f>
        <v>#VALUE!</v>
      </c>
      <c r="I2127" t="e" vm="22">
        <f>_xlfn.XLOOKUP(AllData[[#This Row],[Site Name]],LocationsKey[Site Name],LocationsKey[Town])</f>
        <v>#VALUE!</v>
      </c>
      <c r="J2127" t="str">
        <f>_xlfn.XLOOKUP(AllData[[#This Row],[Site Name]],LocationsKey[Site Name], LocationsKey[Waterway])</f>
        <v>Stour</v>
      </c>
      <c r="K2127" t="s">
        <v>266</v>
      </c>
      <c r="L2127">
        <v>52.166370000000001</v>
      </c>
      <c r="M2127" s="108">
        <v>-1.708032</v>
      </c>
      <c r="N2127" t="s">
        <v>68</v>
      </c>
      <c r="O2127">
        <v>711</v>
      </c>
      <c r="P2127">
        <v>4.7</v>
      </c>
      <c r="Q2127">
        <v>9</v>
      </c>
      <c r="R2127" s="141" t="str">
        <f>IF(AllData[[#This Row],[Nitrate (PPM)]]&gt;2, "Very high", IF(AllData[[#This Row],[Nitrate (PPM)]]&gt;1, "High", IF(AllData[[#This Row],[Nitrate (PPM)]]&gt;0.5, "Some evidence", IF(AllData[[#This Row],[Nitrate (PPM)]]&gt;=0, "No evidence"))))</f>
        <v>Very high</v>
      </c>
      <c r="S2127" s="4">
        <v>0.26</v>
      </c>
      <c r="T2127" s="7" t="str">
        <f>IF(AllData[[#This Row],[Phosphate (PPM)]]&gt;0.5, "Very high", IF(AllData[[#This Row],[Phosphate (PPM)]]&gt;0.1, "High", IF(AllData[[#This Row],[Phosphate (PPM)]]&gt;0.05, "Some evidence", IF(AllData[[#This Row],[Phosphate (PPM)]]&lt;=0.05, "No Evidence", ""))))</f>
        <v>High</v>
      </c>
      <c r="U2127">
        <v>0.8</v>
      </c>
    </row>
    <row r="2128" spans="1:22" x14ac:dyDescent="0.35">
      <c r="A2128" t="s">
        <v>397</v>
      </c>
      <c r="B2128" s="143">
        <v>45263</v>
      </c>
      <c r="C2128" s="2" t="str" cm="1">
        <f t="array" ref="C21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8">
        <f>YEAR(AllData[[#This Row],[Date]])</f>
        <v>2023</v>
      </c>
      <c r="E2128" s="1">
        <v>0.41666666666666669</v>
      </c>
      <c r="F2128" t="str">
        <f>IF(AND(AllData[[#This Row],[Time]]&lt;0.5, AllData[[#This Row],[Time]]&gt;0.17)=TRUE, "Morning", IF(AND(AllData[[#This Row],[Time]]&lt;0.75, AllData[[#This Row],[Time]]&gt;=0.5)=TRUE, "Afternoon", IF(AND(AllData[[#This Row],[Time]]&lt;1, AllData[[#This Row],[Time]]&gt;=0.75)=TRUE, "Evening", "Night")))</f>
        <v>Morning</v>
      </c>
      <c r="G2128" t="str">
        <f>_xlfn.XLOOKUP(AllData[[#This Row],[Location Name]], Locations[Location Name],Locations[Group As])</f>
        <v>Barton</v>
      </c>
      <c r="H2128" t="e" vm="1">
        <f>_xlfn.XLOOKUP(AllData[[#This Row],[Site Name]],LocationsKey[Site Name],LocationsKey[District])</f>
        <v>#VALUE!</v>
      </c>
      <c r="I2128" t="str">
        <f>_xlfn.XLOOKUP(AllData[[#This Row],[Site Name]],LocationsKey[Site Name],LocationsKey[Town])</f>
        <v>Barton</v>
      </c>
      <c r="J2128" t="str">
        <f>_xlfn.XLOOKUP(AllData[[#This Row],[Site Name]],LocationsKey[Site Name], LocationsKey[Waterway])</f>
        <v>Avon</v>
      </c>
      <c r="K2128" t="s">
        <v>51</v>
      </c>
      <c r="L2128">
        <v>52.161209999999997</v>
      </c>
      <c r="M2128" s="108">
        <v>-1.8301499999999999</v>
      </c>
      <c r="N2128" t="s">
        <v>31</v>
      </c>
      <c r="O2128">
        <v>754</v>
      </c>
      <c r="P2128">
        <v>7.1</v>
      </c>
      <c r="Q2128">
        <v>7</v>
      </c>
      <c r="R2128" s="141" t="str">
        <f>IF(AllData[[#This Row],[Nitrate (PPM)]]&gt;2, "Very high", IF(AllData[[#This Row],[Nitrate (PPM)]]&gt;1, "High", IF(AllData[[#This Row],[Nitrate (PPM)]]&gt;0.5, "Some evidence", IF(AllData[[#This Row],[Nitrate (PPM)]]&gt;=0, "No evidence"))))</f>
        <v>Very high</v>
      </c>
      <c r="S2128" s="4">
        <v>0.52</v>
      </c>
      <c r="T2128" s="7" t="str">
        <f>IF(AllData[[#This Row],[Phosphate (PPM)]]&gt;0.5, "Very high", IF(AllData[[#This Row],[Phosphate (PPM)]]&gt;0.1, "High", IF(AllData[[#This Row],[Phosphate (PPM)]]&gt;0.05, "Some evidence", IF(AllData[[#This Row],[Phosphate (PPM)]]&lt;=0.05, "No Evidence", ""))))</f>
        <v>Very high</v>
      </c>
      <c r="U2128">
        <v>0</v>
      </c>
    </row>
    <row r="2129" spans="1:22" x14ac:dyDescent="0.35">
      <c r="A2129" t="s">
        <v>396</v>
      </c>
      <c r="B2129" s="143">
        <v>45263</v>
      </c>
      <c r="C2129" s="2" t="str" cm="1">
        <f t="array" ref="C21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29">
        <f>YEAR(AllData[[#This Row],[Date]])</f>
        <v>2023</v>
      </c>
      <c r="E2129" s="1">
        <v>0.38194444444444442</v>
      </c>
      <c r="F2129" t="str">
        <f>IF(AND(AllData[[#This Row],[Time]]&lt;0.5, AllData[[#This Row],[Time]]&gt;0.17)=TRUE, "Morning", IF(AND(AllData[[#This Row],[Time]]&lt;0.75, AllData[[#This Row],[Time]]&gt;=0.5)=TRUE, "Afternoon", IF(AND(AllData[[#This Row],[Time]]&lt;1, AllData[[#This Row],[Time]]&gt;=0.75)=TRUE, "Evening", "Night")))</f>
        <v>Morning</v>
      </c>
      <c r="G2129" t="str">
        <f>_xlfn.XLOOKUP(AllData[[#This Row],[Location Name]], Locations[Location Name],Locations[Group As])</f>
        <v>Abbey Mill</v>
      </c>
      <c r="H2129" t="e" vm="4">
        <f>_xlfn.XLOOKUP(AllData[[#This Row],[Site Name]],LocationsKey[Site Name],LocationsKey[District])</f>
        <v>#VALUE!</v>
      </c>
      <c r="I2129" t="e" vm="4">
        <f>_xlfn.XLOOKUP(AllData[[#This Row],[Site Name]],LocationsKey[Site Name],LocationsKey[Town])</f>
        <v>#VALUE!</v>
      </c>
      <c r="J2129" t="str">
        <f>_xlfn.XLOOKUP(AllData[[#This Row],[Site Name]],LocationsKey[Site Name], LocationsKey[Waterway])</f>
        <v>Avon</v>
      </c>
      <c r="K2129" t="s">
        <v>24</v>
      </c>
      <c r="L2129">
        <v>51.991371000000001</v>
      </c>
      <c r="M2129" s="108">
        <v>-2.1628440000000002</v>
      </c>
      <c r="N2129" t="s">
        <v>25</v>
      </c>
      <c r="O2129">
        <v>804</v>
      </c>
      <c r="P2129">
        <v>6.7</v>
      </c>
      <c r="Q2129">
        <v>5</v>
      </c>
      <c r="R2129" s="141" t="str">
        <f>IF(AllData[[#This Row],[Nitrate (PPM)]]&gt;2, "Very high", IF(AllData[[#This Row],[Nitrate (PPM)]]&gt;1, "High", IF(AllData[[#This Row],[Nitrate (PPM)]]&gt;0.5, "Some evidence", IF(AllData[[#This Row],[Nitrate (PPM)]]&gt;=0, "No evidence"))))</f>
        <v>Very high</v>
      </c>
      <c r="S2129" s="4">
        <v>0.7</v>
      </c>
      <c r="T2129" s="7" t="str">
        <f>IF(AllData[[#This Row],[Phosphate (PPM)]]&gt;0.5, "Very high", IF(AllData[[#This Row],[Phosphate (PPM)]]&gt;0.1, "High", IF(AllData[[#This Row],[Phosphate (PPM)]]&gt;0.05, "Some evidence", IF(AllData[[#This Row],[Phosphate (PPM)]]&lt;=0.05, "No Evidence", ""))))</f>
        <v>Very high</v>
      </c>
      <c r="U2129">
        <v>0</v>
      </c>
    </row>
    <row r="2130" spans="1:22" x14ac:dyDescent="0.35">
      <c r="A2130" t="s">
        <v>400</v>
      </c>
      <c r="B2130" s="143">
        <v>45263</v>
      </c>
      <c r="C2130" s="2" t="str" cm="1">
        <f t="array" ref="C21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30">
        <f>YEAR(AllData[[#This Row],[Date]])</f>
        <v>2023</v>
      </c>
      <c r="E2130" s="1">
        <v>0.45833333333333331</v>
      </c>
      <c r="F2130" t="str">
        <f>IF(AND(AllData[[#This Row],[Time]]&lt;0.5, AllData[[#This Row],[Time]]&gt;0.17)=TRUE, "Morning", IF(AND(AllData[[#This Row],[Time]]&lt;0.75, AllData[[#This Row],[Time]]&gt;=0.5)=TRUE, "Afternoon", IF(AND(AllData[[#This Row],[Time]]&lt;1, AllData[[#This Row],[Time]]&gt;=0.75)=TRUE, "Evening", "Night")))</f>
        <v>Morning</v>
      </c>
      <c r="G2130" t="str">
        <f>_xlfn.XLOOKUP(AllData[[#This Row],[Location Name]], Locations[Location Name],Locations[Group As])</f>
        <v>Swiffen Bank</v>
      </c>
      <c r="H2130" t="e" vm="1">
        <f>_xlfn.XLOOKUP(AllData[[#This Row],[Site Name]],LocationsKey[Site Name],LocationsKey[District])</f>
        <v>#VALUE!</v>
      </c>
      <c r="I2130" t="e" vm="2">
        <f>_xlfn.XLOOKUP(AllData[[#This Row],[Site Name]],LocationsKey[Site Name],LocationsKey[Town])</f>
        <v>#VALUE!</v>
      </c>
      <c r="J2130" t="str">
        <f>_xlfn.XLOOKUP(AllData[[#This Row],[Site Name]],LocationsKey[Site Name], LocationsKey[Waterway])</f>
        <v>Avon</v>
      </c>
      <c r="K2130" t="s">
        <v>286</v>
      </c>
      <c r="L2130">
        <v>52.206477999999997</v>
      </c>
      <c r="M2130" s="108">
        <v>-1.653894</v>
      </c>
      <c r="N2130" t="s">
        <v>31</v>
      </c>
      <c r="O2130">
        <v>731</v>
      </c>
      <c r="P2130">
        <v>7.2</v>
      </c>
      <c r="Q2130">
        <v>5</v>
      </c>
      <c r="R2130" s="141" t="str">
        <f>IF(AllData[[#This Row],[Nitrate (PPM)]]&gt;2, "Very high", IF(AllData[[#This Row],[Nitrate (PPM)]]&gt;1, "High", IF(AllData[[#This Row],[Nitrate (PPM)]]&gt;0.5, "Some evidence", IF(AllData[[#This Row],[Nitrate (PPM)]]&gt;=0, "No evidence"))))</f>
        <v>Very high</v>
      </c>
      <c r="S2130" s="4">
        <v>0.55000000000000004</v>
      </c>
      <c r="T2130" s="7" t="str">
        <f>IF(AllData[[#This Row],[Phosphate (PPM)]]&gt;0.5, "Very high", IF(AllData[[#This Row],[Phosphate (PPM)]]&gt;0.1, "High", IF(AllData[[#This Row],[Phosphate (PPM)]]&gt;0.05, "Some evidence", IF(AllData[[#This Row],[Phosphate (PPM)]]&lt;=0.05, "No Evidence", ""))))</f>
        <v>Very high</v>
      </c>
      <c r="U2130">
        <v>0</v>
      </c>
    </row>
    <row r="2131" spans="1:22" x14ac:dyDescent="0.35">
      <c r="A2131" t="s">
        <v>398</v>
      </c>
      <c r="B2131" s="143">
        <v>45263</v>
      </c>
      <c r="C2131" s="2" t="str" cm="1">
        <f t="array" ref="C21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31">
        <f>YEAR(AllData[[#This Row],[Date]])</f>
        <v>2023</v>
      </c>
      <c r="E2131" s="1">
        <v>0.45833333333333331</v>
      </c>
      <c r="F2131" t="str">
        <f>IF(AND(AllData[[#This Row],[Time]]&lt;0.5, AllData[[#This Row],[Time]]&gt;0.17)=TRUE, "Morning", IF(AND(AllData[[#This Row],[Time]]&lt;0.75, AllData[[#This Row],[Time]]&gt;=0.5)=TRUE, "Afternoon", IF(AND(AllData[[#This Row],[Time]]&lt;1, AllData[[#This Row],[Time]]&gt;=0.75)=TRUE, "Evening", "Night")))</f>
        <v>Morning</v>
      </c>
      <c r="G2131" t="str">
        <f>_xlfn.XLOOKUP(AllData[[#This Row],[Location Name]], Locations[Location Name],Locations[Group As])</f>
        <v>Alveston Weir</v>
      </c>
      <c r="H2131" t="e" vm="1">
        <f>_xlfn.XLOOKUP(AllData[[#This Row],[Site Name]],LocationsKey[Site Name],LocationsKey[District])</f>
        <v>#VALUE!</v>
      </c>
      <c r="I2131" t="e" vm="2">
        <f>_xlfn.XLOOKUP(AllData[[#This Row],[Site Name]],LocationsKey[Site Name],LocationsKey[Town])</f>
        <v>#VALUE!</v>
      </c>
      <c r="J2131" t="str">
        <f>_xlfn.XLOOKUP(AllData[[#This Row],[Site Name]],LocationsKey[Site Name], LocationsKey[Waterway])</f>
        <v>Avon</v>
      </c>
      <c r="K2131" t="s">
        <v>288</v>
      </c>
      <c r="L2131">
        <v>52.206477999999997</v>
      </c>
      <c r="M2131" s="108">
        <v>-1.6584700000000001</v>
      </c>
      <c r="N2131" t="s">
        <v>31</v>
      </c>
      <c r="O2131">
        <v>7</v>
      </c>
      <c r="P2131">
        <v>7.6</v>
      </c>
      <c r="Q2131">
        <v>5</v>
      </c>
      <c r="R2131" s="141" t="str">
        <f>IF(AllData[[#This Row],[Nitrate (PPM)]]&gt;2, "Very high", IF(AllData[[#This Row],[Nitrate (PPM)]]&gt;1, "High", IF(AllData[[#This Row],[Nitrate (PPM)]]&gt;0.5, "Some evidence", IF(AllData[[#This Row],[Nitrate (PPM)]]&gt;=0, "No evidence"))))</f>
        <v>Very high</v>
      </c>
      <c r="S2131" s="4">
        <v>0.52</v>
      </c>
      <c r="T2131" s="7" t="str">
        <f>IF(AllData[[#This Row],[Phosphate (PPM)]]&gt;0.5, "Very high", IF(AllData[[#This Row],[Phosphate (PPM)]]&gt;0.1, "High", IF(AllData[[#This Row],[Phosphate (PPM)]]&gt;0.05, "Some evidence", IF(AllData[[#This Row],[Phosphate (PPM)]]&lt;=0.05, "No Evidence", ""))))</f>
        <v>Very high</v>
      </c>
      <c r="U2131">
        <v>1</v>
      </c>
      <c r="V2131" t="s">
        <v>399</v>
      </c>
    </row>
    <row r="2132" spans="1:22" x14ac:dyDescent="0.35">
      <c r="A2132" t="s">
        <v>393</v>
      </c>
      <c r="B2132" s="143">
        <v>45262</v>
      </c>
      <c r="C2132" s="2" t="str" cm="1">
        <f t="array" ref="C21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32">
        <f>YEAR(AllData[[#This Row],[Date]])</f>
        <v>2023</v>
      </c>
      <c r="E2132" s="1">
        <v>0.45833333333333331</v>
      </c>
      <c r="F2132" t="str">
        <f>IF(AND(AllData[[#This Row],[Time]]&lt;0.5, AllData[[#This Row],[Time]]&gt;0.17)=TRUE, "Morning", IF(AND(AllData[[#This Row],[Time]]&lt;0.75, AllData[[#This Row],[Time]]&gt;=0.5)=TRUE, "Afternoon", IF(AND(AllData[[#This Row],[Time]]&lt;1, AllData[[#This Row],[Time]]&gt;=0.75)=TRUE, "Evening", "Night")))</f>
        <v>Morning</v>
      </c>
      <c r="G2132" t="str">
        <f>_xlfn.XLOOKUP(AllData[[#This Row],[Location Name]], Locations[Location Name],Locations[Group As])</f>
        <v>Avonbank Drive</v>
      </c>
      <c r="H2132" t="e" vm="1">
        <f>_xlfn.XLOOKUP(AllData[[#This Row],[Site Name]],LocationsKey[Site Name],LocationsKey[District])</f>
        <v>#VALUE!</v>
      </c>
      <c r="I2132" t="e" vm="12">
        <f>_xlfn.XLOOKUP(AllData[[#This Row],[Site Name]],LocationsKey[Site Name],LocationsKey[Town])</f>
        <v>#VALUE!</v>
      </c>
      <c r="J2132" t="str">
        <f>_xlfn.XLOOKUP(AllData[[#This Row],[Site Name]],LocationsKey[Site Name], LocationsKey[Waterway])</f>
        <v>Avon</v>
      </c>
      <c r="K2132" t="s">
        <v>104</v>
      </c>
      <c r="L2132">
        <v>52.177</v>
      </c>
      <c r="M2132" s="108">
        <v>-1.736</v>
      </c>
      <c r="N2132" t="s">
        <v>68</v>
      </c>
      <c r="O2132">
        <v>902</v>
      </c>
      <c r="P2132">
        <v>10.3</v>
      </c>
      <c r="Q2132">
        <v>5</v>
      </c>
      <c r="R2132" s="141" t="str">
        <f>IF(AllData[[#This Row],[Nitrate (PPM)]]&gt;2, "Very high", IF(AllData[[#This Row],[Nitrate (PPM)]]&gt;1, "High", IF(AllData[[#This Row],[Nitrate (PPM)]]&gt;0.5, "Some evidence", IF(AllData[[#This Row],[Nitrate (PPM)]]&gt;=0, "No evidence"))))</f>
        <v>Very high</v>
      </c>
      <c r="S2132" s="4">
        <v>0.57999999999999996</v>
      </c>
      <c r="T2132" s="7" t="str">
        <f>IF(AllData[[#This Row],[Phosphate (PPM)]]&gt;0.5, "Very high", IF(AllData[[#This Row],[Phosphate (PPM)]]&gt;0.1, "High", IF(AllData[[#This Row],[Phosphate (PPM)]]&gt;0.05, "Some evidence", IF(AllData[[#This Row],[Phosphate (PPM)]]&lt;=0.05, "No Evidence", ""))))</f>
        <v>Very high</v>
      </c>
      <c r="U2132">
        <v>0.71</v>
      </c>
    </row>
    <row r="2133" spans="1:22" x14ac:dyDescent="0.35">
      <c r="A2133" t="s">
        <v>395</v>
      </c>
      <c r="B2133" s="143">
        <v>45262</v>
      </c>
      <c r="C2133" s="2" t="str" cm="1">
        <f t="array" ref="C21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33">
        <f>YEAR(AllData[[#This Row],[Date]])</f>
        <v>2023</v>
      </c>
      <c r="E2133" s="1">
        <v>0.52083333333333337</v>
      </c>
      <c r="F2133" t="str">
        <f>IF(AND(AllData[[#This Row],[Time]]&lt;0.5, AllData[[#This Row],[Time]]&gt;0.17)=TRUE, "Morning", IF(AND(AllData[[#This Row],[Time]]&lt;0.75, AllData[[#This Row],[Time]]&gt;=0.5)=TRUE, "Afternoon", IF(AND(AllData[[#This Row],[Time]]&lt;1, AllData[[#This Row],[Time]]&gt;=0.75)=TRUE, "Evening", "Night")))</f>
        <v>Afternoon</v>
      </c>
      <c r="G2133" t="str">
        <f>_xlfn.XLOOKUP(AllData[[#This Row],[Location Name]], Locations[Location Name],Locations[Group As])</f>
        <v>Carrant Bredon Rd</v>
      </c>
      <c r="H2133" t="e" vm="4">
        <f>_xlfn.XLOOKUP(AllData[[#This Row],[Site Name]],LocationsKey[Site Name],LocationsKey[District])</f>
        <v>#VALUE!</v>
      </c>
      <c r="I2133" t="e" vm="4">
        <f>_xlfn.XLOOKUP(AllData[[#This Row],[Site Name]],LocationsKey[Site Name],LocationsKey[Town])</f>
        <v>#VALUE!</v>
      </c>
      <c r="J2133" t="str">
        <f>_xlfn.XLOOKUP(AllData[[#This Row],[Site Name]],LocationsKey[Site Name], LocationsKey[Waterway])</f>
        <v>Carrant</v>
      </c>
      <c r="K2133" t="s">
        <v>91</v>
      </c>
      <c r="M2133" s="108"/>
      <c r="N2133" t="s">
        <v>25</v>
      </c>
      <c r="O2133">
        <v>802</v>
      </c>
      <c r="P2133">
        <v>5.0999999999999996</v>
      </c>
      <c r="Q2133">
        <v>5</v>
      </c>
      <c r="R2133" s="141" t="str">
        <f>IF(AllData[[#This Row],[Nitrate (PPM)]]&gt;2, "Very high", IF(AllData[[#This Row],[Nitrate (PPM)]]&gt;1, "High", IF(AllData[[#This Row],[Nitrate (PPM)]]&gt;0.5, "Some evidence", IF(AllData[[#This Row],[Nitrate (PPM)]]&gt;=0, "No evidence"))))</f>
        <v>Very high</v>
      </c>
      <c r="S2133" s="4">
        <v>0.28000000000000003</v>
      </c>
      <c r="T2133" s="7" t="str">
        <f>IF(AllData[[#This Row],[Phosphate (PPM)]]&gt;0.5, "Very high", IF(AllData[[#This Row],[Phosphate (PPM)]]&gt;0.1, "High", IF(AllData[[#This Row],[Phosphate (PPM)]]&gt;0.05, "Some evidence", IF(AllData[[#This Row],[Phosphate (PPM)]]&lt;=0.05, "No Evidence", ""))))</f>
        <v>High</v>
      </c>
      <c r="U2133">
        <v>0</v>
      </c>
    </row>
    <row r="2134" spans="1:22" x14ac:dyDescent="0.35">
      <c r="A2134" t="s">
        <v>394</v>
      </c>
      <c r="B2134" s="143">
        <v>45262</v>
      </c>
      <c r="C2134" s="2" t="str" cm="1">
        <f t="array" ref="C21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Winter</v>
      </c>
      <c r="D2134">
        <f>YEAR(AllData[[#This Row],[Date]])</f>
        <v>2023</v>
      </c>
      <c r="E2134" s="1">
        <v>0.45833333333333331</v>
      </c>
      <c r="F2134" t="str">
        <f>IF(AND(AllData[[#This Row],[Time]]&lt;0.5, AllData[[#This Row],[Time]]&gt;0.17)=TRUE, "Morning", IF(AND(AllData[[#This Row],[Time]]&lt;0.75, AllData[[#This Row],[Time]]&gt;=0.5)=TRUE, "Afternoon", IF(AND(AllData[[#This Row],[Time]]&lt;1, AllData[[#This Row],[Time]]&gt;=0.75)=TRUE, "Evening", "Night")))</f>
        <v>Morning</v>
      </c>
      <c r="G2134" t="str">
        <f>_xlfn.XLOOKUP(AllData[[#This Row],[Location Name]], Locations[Location Name],Locations[Group As])</f>
        <v>Pitch 16</v>
      </c>
      <c r="H2134" t="e" vm="1">
        <f>_xlfn.XLOOKUP(AllData[[#This Row],[Site Name]],LocationsKey[Site Name],LocationsKey[District])</f>
        <v>#VALUE!</v>
      </c>
      <c r="I2134" t="e" vm="12">
        <f>_xlfn.XLOOKUP(AllData[[#This Row],[Site Name]],LocationsKey[Site Name],LocationsKey[Town])</f>
        <v>#VALUE!</v>
      </c>
      <c r="J2134" t="str">
        <f>_xlfn.XLOOKUP(AllData[[#This Row],[Site Name]],LocationsKey[Site Name], LocationsKey[Waterway])</f>
        <v>Avon</v>
      </c>
      <c r="K2134" t="s">
        <v>71</v>
      </c>
      <c r="M2134" s="108"/>
      <c r="N2134" t="s">
        <v>31</v>
      </c>
      <c r="O2134">
        <v>702</v>
      </c>
      <c r="P2134">
        <v>9.3000000000000007</v>
      </c>
      <c r="Q2134">
        <v>5</v>
      </c>
      <c r="R2134" s="141" t="str">
        <f>IF(AllData[[#This Row],[Nitrate (PPM)]]&gt;2, "Very high", IF(AllData[[#This Row],[Nitrate (PPM)]]&gt;1, "High", IF(AllData[[#This Row],[Nitrate (PPM)]]&gt;0.5, "Some evidence", IF(AllData[[#This Row],[Nitrate (PPM)]]&gt;=0, "No evidence"))))</f>
        <v>Very high</v>
      </c>
      <c r="S2134" s="4">
        <v>0.54</v>
      </c>
      <c r="T2134" s="7" t="str">
        <f>IF(AllData[[#This Row],[Phosphate (PPM)]]&gt;0.5, "Very high", IF(AllData[[#This Row],[Phosphate (PPM)]]&gt;0.1, "High", IF(AllData[[#This Row],[Phosphate (PPM)]]&gt;0.05, "Some evidence", IF(AllData[[#This Row],[Phosphate (PPM)]]&lt;=0.05, "No Evidence", ""))))</f>
        <v>Very high</v>
      </c>
      <c r="U2134">
        <v>0.71</v>
      </c>
    </row>
    <row r="2135" spans="1:22" x14ac:dyDescent="0.35">
      <c r="A2135" t="s">
        <v>391</v>
      </c>
      <c r="B2135" s="143">
        <v>45260</v>
      </c>
      <c r="C2135" s="2" t="str" cm="1">
        <f t="array" ref="C21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5">
        <f>YEAR(AllData[[#This Row],[Date]])</f>
        <v>2023</v>
      </c>
      <c r="E2135" s="1">
        <v>0.54722222222222228</v>
      </c>
      <c r="F2135" t="str">
        <f>IF(AND(AllData[[#This Row],[Time]]&lt;0.5, AllData[[#This Row],[Time]]&gt;0.17)=TRUE, "Morning", IF(AND(AllData[[#This Row],[Time]]&lt;0.75, AllData[[#This Row],[Time]]&gt;=0.5)=TRUE, "Afternoon", IF(AND(AllData[[#This Row],[Time]]&lt;1, AllData[[#This Row],[Time]]&gt;=0.75)=TRUE, "Evening", "Night")))</f>
        <v>Afternoon</v>
      </c>
      <c r="G2135" t="str">
        <f>_xlfn.XLOOKUP(AllData[[#This Row],[Location Name]], Locations[Location Name],Locations[Group As])</f>
        <v>Stour Shipston Mill Bridge</v>
      </c>
      <c r="H2135" t="e" vm="1">
        <f>_xlfn.XLOOKUP(AllData[[#This Row],[Site Name]],LocationsKey[Site Name],LocationsKey[District])</f>
        <v>#VALUE!</v>
      </c>
      <c r="I2135" t="e" vm="15">
        <f>_xlfn.XLOOKUP(AllData[[#This Row],[Site Name]],LocationsKey[Site Name],LocationsKey[Town])</f>
        <v>#VALUE!</v>
      </c>
      <c r="J2135" t="str">
        <f>_xlfn.XLOOKUP(AllData[[#This Row],[Site Name]],LocationsKey[Site Name], LocationsKey[Waterway])</f>
        <v>Stour</v>
      </c>
      <c r="K2135" t="s">
        <v>321</v>
      </c>
      <c r="L2135">
        <v>52.061971999999997</v>
      </c>
      <c r="M2135" s="108">
        <v>-1.6216520000000001</v>
      </c>
      <c r="N2135" t="s">
        <v>25</v>
      </c>
      <c r="O2135">
        <v>623</v>
      </c>
      <c r="P2135">
        <v>6.1</v>
      </c>
      <c r="Q2135">
        <v>5</v>
      </c>
      <c r="R2135" s="141" t="str">
        <f>IF(AllData[[#This Row],[Nitrate (PPM)]]&gt;2, "Very high", IF(AllData[[#This Row],[Nitrate (PPM)]]&gt;1, "High", IF(AllData[[#This Row],[Nitrate (PPM)]]&gt;0.5, "Some evidence", IF(AllData[[#This Row],[Nitrate (PPM)]]&gt;=0, "No evidence"))))</f>
        <v>Very high</v>
      </c>
      <c r="S2135" s="4">
        <v>0.24</v>
      </c>
      <c r="T2135" s="7" t="str">
        <f>IF(AllData[[#This Row],[Phosphate (PPM)]]&gt;0.5, "Very high", IF(AllData[[#This Row],[Phosphate (PPM)]]&gt;0.1, "High", IF(AllData[[#This Row],[Phosphate (PPM)]]&gt;0.05, "Some evidence", IF(AllData[[#This Row],[Phosphate (PPM)]]&lt;=0.05, "No Evidence", ""))))</f>
        <v>High</v>
      </c>
      <c r="U2135">
        <v>1</v>
      </c>
    </row>
    <row r="2136" spans="1:22" x14ac:dyDescent="0.35">
      <c r="A2136" t="s">
        <v>392</v>
      </c>
      <c r="B2136" s="143">
        <v>45260</v>
      </c>
      <c r="C2136" s="2" t="str" cm="1">
        <f t="array" ref="C21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6">
        <f>YEAR(AllData[[#This Row],[Date]])</f>
        <v>2023</v>
      </c>
      <c r="E2136" s="1">
        <v>0.63541666666666663</v>
      </c>
      <c r="F2136" t="str">
        <f>IF(AND(AllData[[#This Row],[Time]]&lt;0.5, AllData[[#This Row],[Time]]&gt;0.17)=TRUE, "Morning", IF(AND(AllData[[#This Row],[Time]]&lt;0.75, AllData[[#This Row],[Time]]&gt;=0.5)=TRUE, "Afternoon", IF(AND(AllData[[#This Row],[Time]]&lt;1, AllData[[#This Row],[Time]]&gt;=0.75)=TRUE, "Evening", "Night")))</f>
        <v>Afternoon</v>
      </c>
      <c r="G2136" t="str">
        <f>_xlfn.XLOOKUP(AllData[[#This Row],[Location Name]], Locations[Location Name],Locations[Group As])</f>
        <v>Swilgate</v>
      </c>
      <c r="H2136" t="e" vm="4">
        <f>_xlfn.XLOOKUP(AllData[[#This Row],[Site Name]],LocationsKey[Site Name],LocationsKey[District])</f>
        <v>#VALUE!</v>
      </c>
      <c r="I2136" t="e" vm="4">
        <f>_xlfn.XLOOKUP(AllData[[#This Row],[Site Name]],LocationsKey[Site Name],LocationsKey[Town])</f>
        <v>#VALUE!</v>
      </c>
      <c r="J2136" t="str">
        <f>_xlfn.XLOOKUP(AllData[[#This Row],[Site Name]],LocationsKey[Site Name], LocationsKey[Waterway])</f>
        <v>Swilgate</v>
      </c>
      <c r="K2136" t="s">
        <v>85</v>
      </c>
      <c r="M2136" s="108"/>
      <c r="N2136" t="s">
        <v>25</v>
      </c>
      <c r="O2136">
        <v>1006</v>
      </c>
      <c r="P2136">
        <v>7.4</v>
      </c>
      <c r="Q2136">
        <v>3</v>
      </c>
      <c r="R2136" s="141" t="str">
        <f>IF(AllData[[#This Row],[Nitrate (PPM)]]&gt;2, "Very high", IF(AllData[[#This Row],[Nitrate (PPM)]]&gt;1, "High", IF(AllData[[#This Row],[Nitrate (PPM)]]&gt;0.5, "Some evidence", IF(AllData[[#This Row],[Nitrate (PPM)]]&gt;=0, "No evidence"))))</f>
        <v>Very high</v>
      </c>
      <c r="S2136" s="4">
        <v>0.55000000000000004</v>
      </c>
      <c r="T2136" s="7" t="str">
        <f>IF(AllData[[#This Row],[Phosphate (PPM)]]&gt;0.5, "Very high", IF(AllData[[#This Row],[Phosphate (PPM)]]&gt;0.1, "High", IF(AllData[[#This Row],[Phosphate (PPM)]]&gt;0.05, "Some evidence", IF(AllData[[#This Row],[Phosphate (PPM)]]&lt;=0.05, "No Evidence", ""))))</f>
        <v>Very high</v>
      </c>
      <c r="U2136">
        <v>0</v>
      </c>
    </row>
    <row r="2137" spans="1:22" x14ac:dyDescent="0.35">
      <c r="A2137" t="s">
        <v>389</v>
      </c>
      <c r="B2137" s="143">
        <v>45259</v>
      </c>
      <c r="C2137" s="2" t="str" cm="1">
        <f t="array" ref="C21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7">
        <f>YEAR(AllData[[#This Row],[Date]])</f>
        <v>2023</v>
      </c>
      <c r="E2137" s="1">
        <v>0.66666666666666663</v>
      </c>
      <c r="F2137" t="str">
        <f>IF(AND(AllData[[#This Row],[Time]]&lt;0.5, AllData[[#This Row],[Time]]&gt;0.17)=TRUE, "Morning", IF(AND(AllData[[#This Row],[Time]]&lt;0.75, AllData[[#This Row],[Time]]&gt;=0.5)=TRUE, "Afternoon", IF(AND(AllData[[#This Row],[Time]]&lt;1, AllData[[#This Row],[Time]]&gt;=0.75)=TRUE, "Evening", "Night")))</f>
        <v>Afternoon</v>
      </c>
      <c r="G2137" t="str">
        <f>_xlfn.XLOOKUP(AllData[[#This Row],[Location Name]], Locations[Location Name],Locations[Group As])</f>
        <v>Stour Newbold Mill</v>
      </c>
      <c r="H2137" t="e" vm="1">
        <f>_xlfn.XLOOKUP(AllData[[#This Row],[Site Name]],LocationsKey[Site Name],LocationsKey[District])</f>
        <v>#VALUE!</v>
      </c>
      <c r="I2137" t="e" vm="27">
        <f>_xlfn.XLOOKUP(AllData[[#This Row],[Site Name]],LocationsKey[Site Name],LocationsKey[Town])</f>
        <v>#VALUE!</v>
      </c>
      <c r="J2137" t="str">
        <f>_xlfn.XLOOKUP(AllData[[#This Row],[Site Name]],LocationsKey[Site Name], LocationsKey[Waterway])</f>
        <v>Stour</v>
      </c>
      <c r="K2137" t="s">
        <v>141</v>
      </c>
      <c r="L2137">
        <v>52.112850999999999</v>
      </c>
      <c r="M2137" s="108">
        <v>-1.633435</v>
      </c>
      <c r="N2137" t="s">
        <v>31</v>
      </c>
      <c r="O2137">
        <v>667</v>
      </c>
      <c r="P2137">
        <v>12</v>
      </c>
      <c r="Q2137">
        <v>5</v>
      </c>
      <c r="R2137" s="141" t="str">
        <f>IF(AllData[[#This Row],[Nitrate (PPM)]]&gt;2, "Very high", IF(AllData[[#This Row],[Nitrate (PPM)]]&gt;1, "High", IF(AllData[[#This Row],[Nitrate (PPM)]]&gt;0.5, "Some evidence", IF(AllData[[#This Row],[Nitrate (PPM)]]&gt;=0, "No evidence"))))</f>
        <v>Very high</v>
      </c>
      <c r="S2137" s="4">
        <v>0.2</v>
      </c>
      <c r="T2137" s="7" t="str">
        <f>IF(AllData[[#This Row],[Phosphate (PPM)]]&gt;0.5, "Very high", IF(AllData[[#This Row],[Phosphate (PPM)]]&gt;0.1, "High", IF(AllData[[#This Row],[Phosphate (PPM)]]&gt;0.05, "Some evidence", IF(AllData[[#This Row],[Phosphate (PPM)]]&lt;=0.05, "No Evidence", ""))))</f>
        <v>High</v>
      </c>
      <c r="U2137">
        <v>2.5</v>
      </c>
      <c r="V2137" t="s">
        <v>390</v>
      </c>
    </row>
    <row r="2138" spans="1:22" x14ac:dyDescent="0.35">
      <c r="A2138" t="s">
        <v>388</v>
      </c>
      <c r="B2138" s="143">
        <v>45258</v>
      </c>
      <c r="C2138" s="2" t="str" cm="1">
        <f t="array" ref="C21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8">
        <f>YEAR(AllData[[#This Row],[Date]])</f>
        <v>2023</v>
      </c>
      <c r="E2138" s="1">
        <v>0.64583333333333337</v>
      </c>
      <c r="F2138" t="str">
        <f>IF(AND(AllData[[#This Row],[Time]]&lt;0.5, AllData[[#This Row],[Time]]&gt;0.17)=TRUE, "Morning", IF(AND(AllData[[#This Row],[Time]]&lt;0.75, AllData[[#This Row],[Time]]&gt;=0.5)=TRUE, "Afternoon", IF(AND(AllData[[#This Row],[Time]]&lt;1, AllData[[#This Row],[Time]]&gt;=0.75)=TRUE, "Evening", "Night")))</f>
        <v>Afternoon</v>
      </c>
      <c r="G2138" t="str">
        <f>_xlfn.XLOOKUP(AllData[[#This Row],[Location Name]], Locations[Location Name],Locations[Group As])</f>
        <v>Weston-on-Avon</v>
      </c>
      <c r="H2138" t="e" vm="1">
        <f>_xlfn.XLOOKUP(AllData[[#This Row],[Site Name]],LocationsKey[Site Name],LocationsKey[District])</f>
        <v>#VALUE!</v>
      </c>
      <c r="I2138" t="e" vm="35">
        <f>_xlfn.XLOOKUP(AllData[[#This Row],[Site Name]],LocationsKey[Site Name],LocationsKey[Town])</f>
        <v>#VALUE!</v>
      </c>
      <c r="J2138" t="str">
        <f>_xlfn.XLOOKUP(AllData[[#This Row],[Site Name]],LocationsKey[Site Name], LocationsKey[Waterway])</f>
        <v>Avon</v>
      </c>
      <c r="K2138" t="s">
        <v>43</v>
      </c>
      <c r="L2138">
        <v>52.167430000000003</v>
      </c>
      <c r="M2138" s="108">
        <v>-1.7744800000000001</v>
      </c>
      <c r="N2138" t="s">
        <v>31</v>
      </c>
      <c r="O2138">
        <v>900</v>
      </c>
      <c r="P2138">
        <v>7.4</v>
      </c>
      <c r="Q2138">
        <v>12</v>
      </c>
      <c r="R2138" s="141" t="str">
        <f>IF(AllData[[#This Row],[Nitrate (PPM)]]&gt;2, "Very high", IF(AllData[[#This Row],[Nitrate (PPM)]]&gt;1, "High", IF(AllData[[#This Row],[Nitrate (PPM)]]&gt;0.5, "Some evidence", IF(AllData[[#This Row],[Nitrate (PPM)]]&gt;=0, "No evidence"))))</f>
        <v>Very high</v>
      </c>
      <c r="S2138" s="4">
        <v>0.53</v>
      </c>
      <c r="T2138" s="7" t="str">
        <f>IF(AllData[[#This Row],[Phosphate (PPM)]]&gt;0.5, "Very high", IF(AllData[[#This Row],[Phosphate (PPM)]]&gt;0.1, "High", IF(AllData[[#This Row],[Phosphate (PPM)]]&gt;0.05, "Some evidence", IF(AllData[[#This Row],[Phosphate (PPM)]]&lt;=0.05, "No Evidence", ""))))</f>
        <v>Very high</v>
      </c>
      <c r="U2138">
        <v>0</v>
      </c>
    </row>
    <row r="2139" spans="1:22" x14ac:dyDescent="0.35">
      <c r="A2139" t="s">
        <v>387</v>
      </c>
      <c r="B2139" s="143">
        <v>45257</v>
      </c>
      <c r="C2139" s="2" t="str" cm="1">
        <f t="array" ref="C21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39">
        <f>YEAR(AllData[[#This Row],[Date]])</f>
        <v>2023</v>
      </c>
      <c r="E2139" s="1">
        <v>0.61319444444444449</v>
      </c>
      <c r="F2139" t="str">
        <f>IF(AND(AllData[[#This Row],[Time]]&lt;0.5, AllData[[#This Row],[Time]]&gt;0.17)=TRUE, "Morning", IF(AND(AllData[[#This Row],[Time]]&lt;0.75, AllData[[#This Row],[Time]]&gt;=0.5)=TRUE, "Afternoon", IF(AND(AllData[[#This Row],[Time]]&lt;1, AllData[[#This Row],[Time]]&gt;=0.75)=TRUE, "Evening", "Night")))</f>
        <v>Afternoon</v>
      </c>
      <c r="G2139" t="str">
        <f>_xlfn.XLOOKUP(AllData[[#This Row],[Location Name]], Locations[Location Name],Locations[Group As])</f>
        <v>Preston-on-Stour River Bridge</v>
      </c>
      <c r="H2139" t="e" vm="1">
        <f>_xlfn.XLOOKUP(AllData[[#This Row],[Site Name]],LocationsKey[Site Name],LocationsKey[District])</f>
        <v>#VALUE!</v>
      </c>
      <c r="I2139" t="e" vm="20">
        <f>_xlfn.XLOOKUP(AllData[[#This Row],[Site Name]],LocationsKey[Site Name],LocationsKey[Town])</f>
        <v>#VALUE!</v>
      </c>
      <c r="J2139" t="str">
        <f>_xlfn.XLOOKUP(AllData[[#This Row],[Site Name]],LocationsKey[Site Name], LocationsKey[Waterway])</f>
        <v>Stour</v>
      </c>
      <c r="K2139" t="s">
        <v>164</v>
      </c>
      <c r="M2139" s="108"/>
      <c r="N2139" t="s">
        <v>31</v>
      </c>
      <c r="O2139">
        <v>659</v>
      </c>
      <c r="P2139">
        <v>11.1</v>
      </c>
      <c r="Q2139">
        <v>5</v>
      </c>
      <c r="R2139" s="141" t="str">
        <f>IF(AllData[[#This Row],[Nitrate (PPM)]]&gt;2, "Very high", IF(AllData[[#This Row],[Nitrate (PPM)]]&gt;1, "High", IF(AllData[[#This Row],[Nitrate (PPM)]]&gt;0.5, "Some evidence", IF(AllData[[#This Row],[Nitrate (PPM)]]&gt;=0, "No evidence"))))</f>
        <v>Very high</v>
      </c>
      <c r="S2139" s="4">
        <v>0.28999999999999998</v>
      </c>
      <c r="T2139" s="7" t="str">
        <f>IF(AllData[[#This Row],[Phosphate (PPM)]]&gt;0.5, "Very high", IF(AllData[[#This Row],[Phosphate (PPM)]]&gt;0.1, "High", IF(AllData[[#This Row],[Phosphate (PPM)]]&gt;0.05, "Some evidence", IF(AllData[[#This Row],[Phosphate (PPM)]]&lt;=0.05, "No Evidence", ""))))</f>
        <v>High</v>
      </c>
      <c r="U2139">
        <v>1.5</v>
      </c>
    </row>
    <row r="2140" spans="1:22" x14ac:dyDescent="0.35">
      <c r="A2140" t="s">
        <v>386</v>
      </c>
      <c r="B2140" s="143">
        <v>45257</v>
      </c>
      <c r="C2140" s="2" t="str" cm="1">
        <f t="array" ref="C21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0">
        <f>YEAR(AllData[[#This Row],[Date]])</f>
        <v>2023</v>
      </c>
      <c r="E2140" s="1">
        <v>0.4201388888888889</v>
      </c>
      <c r="F2140" t="str">
        <f>IF(AND(AllData[[#This Row],[Time]]&lt;0.5, AllData[[#This Row],[Time]]&gt;0.17)=TRUE, "Morning", IF(AND(AllData[[#This Row],[Time]]&lt;0.75, AllData[[#This Row],[Time]]&gt;=0.5)=TRUE, "Afternoon", IF(AND(AllData[[#This Row],[Time]]&lt;1, AllData[[#This Row],[Time]]&gt;=0.75)=TRUE, "Evening", "Night")))</f>
        <v>Morning</v>
      </c>
      <c r="G2140" t="str">
        <f>_xlfn.XLOOKUP(AllData[[#This Row],[Location Name]], Locations[Location Name],Locations[Group As])</f>
        <v>Stour Stretton-on-Fosse Sewage Works</v>
      </c>
      <c r="H2140" t="e" vm="1">
        <f>_xlfn.XLOOKUP(AllData[[#This Row],[Site Name]],LocationsKey[Site Name],LocationsKey[District])</f>
        <v>#VALUE!</v>
      </c>
      <c r="I2140" t="e" vm="30">
        <f>_xlfn.XLOOKUP(AllData[[#This Row],[Site Name]],LocationsKey[Site Name],LocationsKey[Town])</f>
        <v>#VALUE!</v>
      </c>
      <c r="J2140" t="str">
        <f>_xlfn.XLOOKUP(AllData[[#This Row],[Site Name]],LocationsKey[Site Name], LocationsKey[Waterway])</f>
        <v>Stour</v>
      </c>
      <c r="K2140" t="s">
        <v>337</v>
      </c>
      <c r="L2140">
        <v>52.045659999999998</v>
      </c>
      <c r="M2140" s="108">
        <v>-1.671924</v>
      </c>
      <c r="N2140" t="s">
        <v>31</v>
      </c>
      <c r="O2140">
        <v>703</v>
      </c>
      <c r="P2140">
        <v>8.6</v>
      </c>
      <c r="Q2140">
        <v>4</v>
      </c>
      <c r="R2140" s="141" t="str">
        <f>IF(AllData[[#This Row],[Nitrate (PPM)]]&gt;2, "Very high", IF(AllData[[#This Row],[Nitrate (PPM)]]&gt;1, "High", IF(AllData[[#This Row],[Nitrate (PPM)]]&gt;0.5, "Some evidence", IF(AllData[[#This Row],[Nitrate (PPM)]]&gt;=0, "No evidence"))))</f>
        <v>Very high</v>
      </c>
      <c r="S2140" s="4">
        <v>2.5</v>
      </c>
      <c r="T2140" s="7" t="str">
        <f>IF(AllData[[#This Row],[Phosphate (PPM)]]&gt;0.5, "Very high", IF(AllData[[#This Row],[Phosphate (PPM)]]&gt;0.1, "High", IF(AllData[[#This Row],[Phosphate (PPM)]]&gt;0.05, "Some evidence", IF(AllData[[#This Row],[Phosphate (PPM)]]&lt;=0.05, "No Evidence", ""))))</f>
        <v>Very high</v>
      </c>
      <c r="U2140">
        <v>0.3</v>
      </c>
    </row>
    <row r="2141" spans="1:22" x14ac:dyDescent="0.35">
      <c r="A2141" t="s">
        <v>384</v>
      </c>
      <c r="B2141" s="143">
        <v>45257</v>
      </c>
      <c r="C2141" s="2" t="str" cm="1">
        <f t="array" ref="C21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1">
        <f>YEAR(AllData[[#This Row],[Date]])</f>
        <v>2023</v>
      </c>
      <c r="E2141" s="1">
        <v>0.40833333333333333</v>
      </c>
      <c r="F2141" t="str">
        <f>IF(AND(AllData[[#This Row],[Time]]&lt;0.5, AllData[[#This Row],[Time]]&gt;0.17)=TRUE, "Morning", IF(AND(AllData[[#This Row],[Time]]&lt;0.75, AllData[[#This Row],[Time]]&gt;=0.5)=TRUE, "Afternoon", IF(AND(AllData[[#This Row],[Time]]&lt;1, AllData[[#This Row],[Time]]&gt;=0.75)=TRUE, "Evening", "Night")))</f>
        <v>Morning</v>
      </c>
      <c r="G2141" t="str">
        <f>_xlfn.XLOOKUP(AllData[[#This Row],[Location Name]], Locations[Location Name],Locations[Group As])</f>
        <v>Stour Stretton-on-Fosse Village</v>
      </c>
      <c r="H2141" t="e" vm="1">
        <f>_xlfn.XLOOKUP(AllData[[#This Row],[Site Name]],LocationsKey[Site Name],LocationsKey[District])</f>
        <v>#VALUE!</v>
      </c>
      <c r="I2141" t="e" vm="30">
        <f>_xlfn.XLOOKUP(AllData[[#This Row],[Site Name]],LocationsKey[Site Name],LocationsKey[Town])</f>
        <v>#VALUE!</v>
      </c>
      <c r="J2141" t="str">
        <f>_xlfn.XLOOKUP(AllData[[#This Row],[Site Name]],LocationsKey[Site Name], LocationsKey[Waterway])</f>
        <v>Stour</v>
      </c>
      <c r="K2141" t="s">
        <v>385</v>
      </c>
      <c r="L2141">
        <v>52.046472000000001</v>
      </c>
      <c r="M2141" s="108">
        <v>-1.673438</v>
      </c>
      <c r="N2141" t="s">
        <v>68</v>
      </c>
      <c r="O2141">
        <v>668</v>
      </c>
      <c r="P2141">
        <v>9.3000000000000007</v>
      </c>
      <c r="Q2141">
        <v>2</v>
      </c>
      <c r="R2141" s="141" t="str">
        <f>IF(AllData[[#This Row],[Nitrate (PPM)]]&gt;2, "Very high", IF(AllData[[#This Row],[Nitrate (PPM)]]&gt;1, "High", IF(AllData[[#This Row],[Nitrate (PPM)]]&gt;0.5, "Some evidence", IF(AllData[[#This Row],[Nitrate (PPM)]]&gt;=0, "No evidence"))))</f>
        <v>High</v>
      </c>
      <c r="S2141" s="4">
        <v>0.93</v>
      </c>
      <c r="T2141" s="7" t="str">
        <f>IF(AllData[[#This Row],[Phosphate (PPM)]]&gt;0.5, "Very high", IF(AllData[[#This Row],[Phosphate (PPM)]]&gt;0.1, "High", IF(AllData[[#This Row],[Phosphate (PPM)]]&gt;0.05, "Some evidence", IF(AllData[[#This Row],[Phosphate (PPM)]]&lt;=0.05, "No Evidence", ""))))</f>
        <v>Very high</v>
      </c>
      <c r="U2141">
        <v>0.2</v>
      </c>
    </row>
    <row r="2142" spans="1:22" x14ac:dyDescent="0.35">
      <c r="A2142" t="s">
        <v>382</v>
      </c>
      <c r="B2142" s="143">
        <v>45256</v>
      </c>
      <c r="C2142" s="2" t="str" cm="1">
        <f t="array" ref="C21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2">
        <f>YEAR(AllData[[#This Row],[Date]])</f>
        <v>2023</v>
      </c>
      <c r="E2142" s="1">
        <v>0.6875</v>
      </c>
      <c r="F2142" t="str">
        <f>IF(AND(AllData[[#This Row],[Time]]&lt;0.5, AllData[[#This Row],[Time]]&gt;0.17)=TRUE, "Morning", IF(AND(AllData[[#This Row],[Time]]&lt;0.75, AllData[[#This Row],[Time]]&gt;=0.5)=TRUE, "Afternoon", IF(AND(AllData[[#This Row],[Time]]&lt;1, AllData[[#This Row],[Time]]&gt;=0.75)=TRUE, "Evening", "Night")))</f>
        <v>Afternoon</v>
      </c>
      <c r="G2142" t="str">
        <f>_xlfn.XLOOKUP(AllData[[#This Row],[Location Name]], Locations[Location Name],Locations[Group As])</f>
        <v>Welford Boat Station</v>
      </c>
      <c r="H2142" t="e" vm="1">
        <f>_xlfn.XLOOKUP(AllData[[#This Row],[Site Name]],LocationsKey[Site Name],LocationsKey[District])</f>
        <v>#VALUE!</v>
      </c>
      <c r="I2142" t="e" vm="36">
        <f>_xlfn.XLOOKUP(AllData[[#This Row],[Site Name]],LocationsKey[Site Name],LocationsKey[Town])</f>
        <v>#VALUE!</v>
      </c>
      <c r="J2142" t="str">
        <f>_xlfn.XLOOKUP(AllData[[#This Row],[Site Name]],LocationsKey[Site Name], LocationsKey[Waterway])</f>
        <v>Avon</v>
      </c>
      <c r="K2142" t="s">
        <v>41</v>
      </c>
      <c r="L2142">
        <v>52.175240000000002</v>
      </c>
      <c r="M2142" s="108">
        <v>-1.7918700000000001</v>
      </c>
      <c r="N2142" t="s">
        <v>31</v>
      </c>
      <c r="O2142">
        <v>876</v>
      </c>
      <c r="P2142">
        <v>8.3000000000000007</v>
      </c>
      <c r="Q2142">
        <v>20</v>
      </c>
      <c r="R2142" s="141" t="str">
        <f>IF(AllData[[#This Row],[Nitrate (PPM)]]&gt;2, "Very high", IF(AllData[[#This Row],[Nitrate (PPM)]]&gt;1, "High", IF(AllData[[#This Row],[Nitrate (PPM)]]&gt;0.5, "Some evidence", IF(AllData[[#This Row],[Nitrate (PPM)]]&gt;=0, "No evidence"))))</f>
        <v>Very high</v>
      </c>
      <c r="S2142" s="4">
        <v>0.5</v>
      </c>
      <c r="T2142" s="7" t="str">
        <f>IF(AllData[[#This Row],[Phosphate (PPM)]]&gt;0.5, "Very high", IF(AllData[[#This Row],[Phosphate (PPM)]]&gt;0.1, "High", IF(AllData[[#This Row],[Phosphate (PPM)]]&gt;0.05, "Some evidence", IF(AllData[[#This Row],[Phosphate (PPM)]]&lt;=0.05, "No Evidence", ""))))</f>
        <v>High</v>
      </c>
      <c r="U2142">
        <v>0</v>
      </c>
      <c r="V2142" t="s">
        <v>383</v>
      </c>
    </row>
    <row r="2143" spans="1:22" x14ac:dyDescent="0.35">
      <c r="A2143" t="s">
        <v>379</v>
      </c>
      <c r="B2143" s="143">
        <v>45256</v>
      </c>
      <c r="C2143" s="2" t="str" cm="1">
        <f t="array" ref="C21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3">
        <f>YEAR(AllData[[#This Row],[Date]])</f>
        <v>2023</v>
      </c>
      <c r="E2143" s="1">
        <v>0.52083333333333337</v>
      </c>
      <c r="F2143" t="str">
        <f>IF(AND(AllData[[#This Row],[Time]]&lt;0.5, AllData[[#This Row],[Time]]&gt;0.17)=TRUE, "Morning", IF(AND(AllData[[#This Row],[Time]]&lt;0.75, AllData[[#This Row],[Time]]&gt;=0.5)=TRUE, "Afternoon", IF(AND(AllData[[#This Row],[Time]]&lt;1, AllData[[#This Row],[Time]]&gt;=0.75)=TRUE, "Evening", "Night")))</f>
        <v>Afternoon</v>
      </c>
      <c r="G2143" t="str">
        <f>_xlfn.XLOOKUP(AllData[[#This Row],[Location Name]], Locations[Location Name],Locations[Group As])</f>
        <v>Lucy's Mill Bridge</v>
      </c>
      <c r="H2143" t="e" vm="1">
        <f>_xlfn.XLOOKUP(AllData[[#This Row],[Site Name]],LocationsKey[Site Name],LocationsKey[District])</f>
        <v>#VALUE!</v>
      </c>
      <c r="I2143" t="e" vm="12">
        <f>_xlfn.XLOOKUP(AllData[[#This Row],[Site Name]],LocationsKey[Site Name],LocationsKey[Town])</f>
        <v>#VALUE!</v>
      </c>
      <c r="J2143" t="str">
        <f>_xlfn.XLOOKUP(AllData[[#This Row],[Site Name]],LocationsKey[Site Name], LocationsKey[Waterway])</f>
        <v>Avon</v>
      </c>
      <c r="K2143" t="s">
        <v>212</v>
      </c>
      <c r="L2143">
        <v>52.183698999999997</v>
      </c>
      <c r="M2143" s="108">
        <v>-1.707816</v>
      </c>
      <c r="N2143" t="s">
        <v>31</v>
      </c>
      <c r="P2143">
        <v>9</v>
      </c>
      <c r="Q2143">
        <v>10</v>
      </c>
      <c r="R2143" s="141" t="str">
        <f>IF(AllData[[#This Row],[Nitrate (PPM)]]&gt;2, "Very high", IF(AllData[[#This Row],[Nitrate (PPM)]]&gt;1, "High", IF(AllData[[#This Row],[Nitrate (PPM)]]&gt;0.5, "Some evidence", IF(AllData[[#This Row],[Nitrate (PPM)]]&gt;=0, "No evidence"))))</f>
        <v>Very high</v>
      </c>
      <c r="S2143" s="4">
        <v>0.37</v>
      </c>
      <c r="T2143" s="7" t="str">
        <f>IF(AllData[[#This Row],[Phosphate (PPM)]]&gt;0.5, "Very high", IF(AllData[[#This Row],[Phosphate (PPM)]]&gt;0.1, "High", IF(AllData[[#This Row],[Phosphate (PPM)]]&gt;0.05, "Some evidence", IF(AllData[[#This Row],[Phosphate (PPM)]]&lt;=0.05, "No Evidence", ""))))</f>
        <v>High</v>
      </c>
      <c r="U2143">
        <v>0.7</v>
      </c>
    </row>
    <row r="2144" spans="1:22" x14ac:dyDescent="0.35">
      <c r="A2144" t="s">
        <v>378</v>
      </c>
      <c r="B2144" s="143">
        <v>45256</v>
      </c>
      <c r="C2144" s="2" t="str" cm="1">
        <f t="array" ref="C21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4">
        <f>YEAR(AllData[[#This Row],[Date]])</f>
        <v>2023</v>
      </c>
      <c r="E2144" s="1">
        <v>0.5</v>
      </c>
      <c r="F2144" t="str">
        <f>IF(AND(AllData[[#This Row],[Time]]&lt;0.5, AllData[[#This Row],[Time]]&gt;0.17)=TRUE, "Morning", IF(AND(AllData[[#This Row],[Time]]&lt;0.75, AllData[[#This Row],[Time]]&gt;=0.5)=TRUE, "Afternoon", IF(AND(AllData[[#This Row],[Time]]&lt;1, AllData[[#This Row],[Time]]&gt;=0.75)=TRUE, "Evening", "Night")))</f>
        <v>Afternoon</v>
      </c>
      <c r="G2144" t="str">
        <f>_xlfn.XLOOKUP(AllData[[#This Row],[Location Name]], Locations[Location Name],Locations[Group As])</f>
        <v>Hampton Wood</v>
      </c>
      <c r="H2144" t="e" vm="1">
        <f>_xlfn.XLOOKUP(AllData[[#This Row],[Site Name]],LocationsKey[Site Name],LocationsKey[District])</f>
        <v>#VALUE!</v>
      </c>
      <c r="I2144" t="e" vm="34">
        <f>_xlfn.XLOOKUP(AllData[[#This Row],[Site Name]],LocationsKey[Site Name],LocationsKey[Town])</f>
        <v>#VALUE!</v>
      </c>
      <c r="J2144" t="str">
        <f>_xlfn.XLOOKUP(AllData[[#This Row],[Site Name]],LocationsKey[Site Name], LocationsKey[Waterway])</f>
        <v>Avon</v>
      </c>
      <c r="K2144" t="s">
        <v>36</v>
      </c>
      <c r="L2144">
        <v>52.238149999999997</v>
      </c>
      <c r="M2144" s="108">
        <v>-1.6245799999999999</v>
      </c>
      <c r="N2144" t="s">
        <v>31</v>
      </c>
      <c r="O2144">
        <v>870</v>
      </c>
      <c r="P2144">
        <v>7.6</v>
      </c>
      <c r="Q2144">
        <v>8</v>
      </c>
      <c r="R2144" s="141" t="str">
        <f>IF(AllData[[#This Row],[Nitrate (PPM)]]&gt;2, "Very high", IF(AllData[[#This Row],[Nitrate (PPM)]]&gt;1, "High", IF(AllData[[#This Row],[Nitrate (PPM)]]&gt;0.5, "Some evidence", IF(AllData[[#This Row],[Nitrate (PPM)]]&gt;=0, "No evidence"))))</f>
        <v>Very high</v>
      </c>
      <c r="S2144" s="4">
        <v>0.81</v>
      </c>
      <c r="T2144" s="7" t="str">
        <f>IF(AllData[[#This Row],[Phosphate (PPM)]]&gt;0.5, "Very high", IF(AllData[[#This Row],[Phosphate (PPM)]]&gt;0.1, "High", IF(AllData[[#This Row],[Phosphate (PPM)]]&gt;0.05, "Some evidence", IF(AllData[[#This Row],[Phosphate (PPM)]]&lt;=0.05, "No Evidence", ""))))</f>
        <v>Very high</v>
      </c>
      <c r="U2144">
        <v>0</v>
      </c>
    </row>
    <row r="2145" spans="1:22" x14ac:dyDescent="0.35">
      <c r="A2145" t="s">
        <v>381</v>
      </c>
      <c r="B2145" s="143">
        <v>45256</v>
      </c>
      <c r="C2145" s="2" t="str" cm="1">
        <f t="array" ref="C21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5">
        <f>YEAR(AllData[[#This Row],[Date]])</f>
        <v>2023</v>
      </c>
      <c r="E2145" s="1">
        <v>0.63541666666666663</v>
      </c>
      <c r="F2145" t="str">
        <f>IF(AND(AllData[[#This Row],[Time]]&lt;0.5, AllData[[#This Row],[Time]]&gt;0.17)=TRUE, "Morning", IF(AND(AllData[[#This Row],[Time]]&lt;0.75, AllData[[#This Row],[Time]]&gt;=0.5)=TRUE, "Afternoon", IF(AND(AllData[[#This Row],[Time]]&lt;1, AllData[[#This Row],[Time]]&gt;=0.75)=TRUE, "Evening", "Night")))</f>
        <v>Afternoon</v>
      </c>
      <c r="G2145" t="str">
        <f>_xlfn.XLOOKUP(AllData[[#This Row],[Location Name]], Locations[Location Name],Locations[Group As])</f>
        <v>Barton</v>
      </c>
      <c r="H2145" t="e" vm="1">
        <f>_xlfn.XLOOKUP(AllData[[#This Row],[Site Name]],LocationsKey[Site Name],LocationsKey[District])</f>
        <v>#VALUE!</v>
      </c>
      <c r="I2145" t="str">
        <f>_xlfn.XLOOKUP(AllData[[#This Row],[Site Name]],LocationsKey[Site Name],LocationsKey[Town])</f>
        <v>Barton</v>
      </c>
      <c r="J2145" t="str">
        <f>_xlfn.XLOOKUP(AllData[[#This Row],[Site Name]],LocationsKey[Site Name], LocationsKey[Waterway])</f>
        <v>Avon</v>
      </c>
      <c r="K2145" t="s">
        <v>51</v>
      </c>
      <c r="L2145">
        <v>52.161209999999997</v>
      </c>
      <c r="M2145" s="108">
        <v>-1.8301499999999999</v>
      </c>
      <c r="N2145" t="s">
        <v>31</v>
      </c>
      <c r="O2145">
        <v>868</v>
      </c>
      <c r="P2145">
        <v>7.1</v>
      </c>
      <c r="Q2145">
        <v>7</v>
      </c>
      <c r="R2145" s="141" t="str">
        <f>IF(AllData[[#This Row],[Nitrate (PPM)]]&gt;2, "Very high", IF(AllData[[#This Row],[Nitrate (PPM)]]&gt;1, "High", IF(AllData[[#This Row],[Nitrate (PPM)]]&gt;0.5, "Some evidence", IF(AllData[[#This Row],[Nitrate (PPM)]]&gt;=0, "No evidence"))))</f>
        <v>Very high</v>
      </c>
      <c r="S2145" s="4">
        <v>0.67</v>
      </c>
      <c r="T2145" s="7" t="str">
        <f>IF(AllData[[#This Row],[Phosphate (PPM)]]&gt;0.5, "Very high", IF(AllData[[#This Row],[Phosphate (PPM)]]&gt;0.1, "High", IF(AllData[[#This Row],[Phosphate (PPM)]]&gt;0.05, "Some evidence", IF(AllData[[#This Row],[Phosphate (PPM)]]&lt;=0.05, "No Evidence", ""))))</f>
        <v>Very high</v>
      </c>
      <c r="U2145">
        <v>0</v>
      </c>
    </row>
    <row r="2146" spans="1:22" x14ac:dyDescent="0.35">
      <c r="A2146" t="s">
        <v>380</v>
      </c>
      <c r="B2146" s="143">
        <v>45256</v>
      </c>
      <c r="C2146" s="2" t="str" cm="1">
        <f t="array" ref="C21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6">
        <f>YEAR(AllData[[#This Row],[Date]])</f>
        <v>2023</v>
      </c>
      <c r="E2146" s="1">
        <v>0.54166666666666663</v>
      </c>
      <c r="F2146" t="str">
        <f>IF(AND(AllData[[#This Row],[Time]]&lt;0.5, AllData[[#This Row],[Time]]&gt;0.17)=TRUE, "Morning", IF(AND(AllData[[#This Row],[Time]]&lt;0.75, AllData[[#This Row],[Time]]&gt;=0.5)=TRUE, "Afternoon", IF(AND(AllData[[#This Row],[Time]]&lt;1, AllData[[#This Row],[Time]]&gt;=0.75)=TRUE, "Evening", "Night")))</f>
        <v>Afternoon</v>
      </c>
      <c r="G2146" t="str">
        <f>_xlfn.XLOOKUP(AllData[[#This Row],[Location Name]], Locations[Location Name],Locations[Group As])</f>
        <v>Clifford Chambers Mill Bridge</v>
      </c>
      <c r="H2146" t="e" vm="1">
        <f>_xlfn.XLOOKUP(AllData[[#This Row],[Site Name]],LocationsKey[Site Name],LocationsKey[District])</f>
        <v>#VALUE!</v>
      </c>
      <c r="I2146" t="e" vm="22">
        <f>_xlfn.XLOOKUP(AllData[[#This Row],[Site Name]],LocationsKey[Site Name],LocationsKey[Town])</f>
        <v>#VALUE!</v>
      </c>
      <c r="J2146" t="str">
        <f>_xlfn.XLOOKUP(AllData[[#This Row],[Site Name]],LocationsKey[Site Name], LocationsKey[Waterway])</f>
        <v>Stour</v>
      </c>
      <c r="K2146" t="s">
        <v>266</v>
      </c>
      <c r="L2146">
        <v>52.166370000000001</v>
      </c>
      <c r="M2146" s="108">
        <v>-1.708032</v>
      </c>
      <c r="N2146" t="s">
        <v>68</v>
      </c>
      <c r="O2146">
        <v>704</v>
      </c>
      <c r="P2146">
        <v>6.2</v>
      </c>
      <c r="Q2146">
        <v>7</v>
      </c>
      <c r="R2146" s="141" t="str">
        <f>IF(AllData[[#This Row],[Nitrate (PPM)]]&gt;2, "Very high", IF(AllData[[#This Row],[Nitrate (PPM)]]&gt;1, "High", IF(AllData[[#This Row],[Nitrate (PPM)]]&gt;0.5, "Some evidence", IF(AllData[[#This Row],[Nitrate (PPM)]]&gt;=0, "No evidence"))))</f>
        <v>Very high</v>
      </c>
      <c r="S2146" s="4">
        <v>0.27</v>
      </c>
      <c r="T2146" s="7" t="str">
        <f>IF(AllData[[#This Row],[Phosphate (PPM)]]&gt;0.5, "Very high", IF(AllData[[#This Row],[Phosphate (PPM)]]&gt;0.1, "High", IF(AllData[[#This Row],[Phosphate (PPM)]]&gt;0.05, "Some evidence", IF(AllData[[#This Row],[Phosphate (PPM)]]&lt;=0.05, "No Evidence", ""))))</f>
        <v>High</v>
      </c>
      <c r="U2146">
        <v>0.7</v>
      </c>
    </row>
    <row r="2147" spans="1:22" x14ac:dyDescent="0.35">
      <c r="A2147" t="s">
        <v>377</v>
      </c>
      <c r="B2147" s="143">
        <v>45256</v>
      </c>
      <c r="C2147" s="2" t="str" cm="1">
        <f t="array" ref="C21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7">
        <f>YEAR(AllData[[#This Row],[Date]])</f>
        <v>2023</v>
      </c>
      <c r="E2147" s="1">
        <v>4.1666666666666664E-2</v>
      </c>
      <c r="F2147" t="str">
        <f>IF(AND(AllData[[#This Row],[Time]]&lt;0.5, AllData[[#This Row],[Time]]&gt;0.17)=TRUE, "Morning", IF(AND(AllData[[#This Row],[Time]]&lt;0.75, AllData[[#This Row],[Time]]&gt;=0.5)=TRUE, "Afternoon", IF(AND(AllData[[#This Row],[Time]]&lt;1, AllData[[#This Row],[Time]]&gt;=0.75)=TRUE, "Evening", "Night")))</f>
        <v>Night</v>
      </c>
      <c r="G2147" t="str">
        <f>_xlfn.XLOOKUP(AllData[[#This Row],[Location Name]], Locations[Location Name],Locations[Group As])</f>
        <v>Hampton Lucy</v>
      </c>
      <c r="H2147" t="e" vm="1">
        <f>_xlfn.XLOOKUP(AllData[[#This Row],[Site Name]],LocationsKey[Site Name],LocationsKey[District])</f>
        <v>#VALUE!</v>
      </c>
      <c r="I2147" t="e" vm="33">
        <f>_xlfn.XLOOKUP(AllData[[#This Row],[Site Name]],LocationsKey[Site Name],LocationsKey[Town])</f>
        <v>#VALUE!</v>
      </c>
      <c r="J2147" t="str">
        <f>_xlfn.XLOOKUP(AllData[[#This Row],[Site Name]],LocationsKey[Site Name], LocationsKey[Waterway])</f>
        <v>Avon</v>
      </c>
      <c r="K2147" t="s">
        <v>39</v>
      </c>
      <c r="L2147">
        <v>52.211680000000001</v>
      </c>
      <c r="M2147" s="108">
        <v>-1.6244400000000001</v>
      </c>
      <c r="N2147" t="s">
        <v>25</v>
      </c>
      <c r="O2147">
        <v>880</v>
      </c>
      <c r="P2147">
        <v>7.7</v>
      </c>
      <c r="Q2147">
        <v>5</v>
      </c>
      <c r="R2147" s="141" t="str">
        <f>IF(AllData[[#This Row],[Nitrate (PPM)]]&gt;2, "Very high", IF(AllData[[#This Row],[Nitrate (PPM)]]&gt;1, "High", IF(AllData[[#This Row],[Nitrate (PPM)]]&gt;0.5, "Some evidence", IF(AllData[[#This Row],[Nitrate (PPM)]]&gt;=0, "No evidence"))))</f>
        <v>Very high</v>
      </c>
      <c r="S2147" s="4">
        <v>0.54</v>
      </c>
      <c r="T2147" s="7" t="str">
        <f>IF(AllData[[#This Row],[Phosphate (PPM)]]&gt;0.5, "Very high", IF(AllData[[#This Row],[Phosphate (PPM)]]&gt;0.1, "High", IF(AllData[[#This Row],[Phosphate (PPM)]]&gt;0.05, "Some evidence", IF(AllData[[#This Row],[Phosphate (PPM)]]&lt;=0.05, "No Evidence", ""))))</f>
        <v>Very high</v>
      </c>
      <c r="U2147">
        <v>0</v>
      </c>
    </row>
    <row r="2148" spans="1:22" x14ac:dyDescent="0.35">
      <c r="A2148" t="s">
        <v>374</v>
      </c>
      <c r="B2148" s="143">
        <v>45255</v>
      </c>
      <c r="C2148" s="2" t="str" cm="1">
        <f t="array" ref="C21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8">
        <f>YEAR(AllData[[#This Row],[Date]])</f>
        <v>2023</v>
      </c>
      <c r="E2148" s="1">
        <v>7.9861111111111105E-2</v>
      </c>
      <c r="F2148" t="str">
        <f>IF(AND(AllData[[#This Row],[Time]]&lt;0.5, AllData[[#This Row],[Time]]&gt;0.17)=TRUE, "Morning", IF(AND(AllData[[#This Row],[Time]]&lt;0.75, AllData[[#This Row],[Time]]&gt;=0.5)=TRUE, "Afternoon", IF(AND(AllData[[#This Row],[Time]]&lt;1, AllData[[#This Row],[Time]]&gt;=0.75)=TRUE, "Evening", "Night")))</f>
        <v>Night</v>
      </c>
      <c r="G2148" t="str">
        <f>_xlfn.XLOOKUP(AllData[[#This Row],[Location Name]], Locations[Location Name],Locations[Group As])</f>
        <v>Pitch 16</v>
      </c>
      <c r="H2148" t="e" vm="1">
        <f>_xlfn.XLOOKUP(AllData[[#This Row],[Site Name]],LocationsKey[Site Name],LocationsKey[District])</f>
        <v>#VALUE!</v>
      </c>
      <c r="I2148" t="e" vm="12">
        <f>_xlfn.XLOOKUP(AllData[[#This Row],[Site Name]],LocationsKey[Site Name],LocationsKey[Town])</f>
        <v>#VALUE!</v>
      </c>
      <c r="J2148" t="str">
        <f>_xlfn.XLOOKUP(AllData[[#This Row],[Site Name]],LocationsKey[Site Name], LocationsKey[Waterway])</f>
        <v>Avon</v>
      </c>
      <c r="K2148" t="s">
        <v>71</v>
      </c>
      <c r="M2148" s="108"/>
      <c r="N2148" t="s">
        <v>31</v>
      </c>
      <c r="O2148">
        <v>894</v>
      </c>
      <c r="P2148">
        <v>9.3000000000000007</v>
      </c>
      <c r="Q2148">
        <v>10</v>
      </c>
      <c r="R2148" s="141" t="str">
        <f>IF(AllData[[#This Row],[Nitrate (PPM)]]&gt;2, "Very high", IF(AllData[[#This Row],[Nitrate (PPM)]]&gt;1, "High", IF(AllData[[#This Row],[Nitrate (PPM)]]&gt;0.5, "Some evidence", IF(AllData[[#This Row],[Nitrate (PPM)]]&gt;=0, "No evidence"))))</f>
        <v>Very high</v>
      </c>
      <c r="S2148" s="4">
        <v>0.46</v>
      </c>
      <c r="T2148" s="7" t="str">
        <f>IF(AllData[[#This Row],[Phosphate (PPM)]]&gt;0.5, "Very high", IF(AllData[[#This Row],[Phosphate (PPM)]]&gt;0.1, "High", IF(AllData[[#This Row],[Phosphate (PPM)]]&gt;0.05, "Some evidence", IF(AllData[[#This Row],[Phosphate (PPM)]]&lt;=0.05, "No Evidence", ""))))</f>
        <v>High</v>
      </c>
      <c r="U2148">
        <v>1</v>
      </c>
    </row>
    <row r="2149" spans="1:22" x14ac:dyDescent="0.35">
      <c r="A2149" t="s">
        <v>376</v>
      </c>
      <c r="B2149" s="143">
        <v>45255</v>
      </c>
      <c r="C2149" s="2" t="str" cm="1">
        <f t="array" ref="C21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49">
        <f>YEAR(AllData[[#This Row],[Date]])</f>
        <v>2023</v>
      </c>
      <c r="E2149" s="1">
        <v>0.5</v>
      </c>
      <c r="F2149" t="str">
        <f>IF(AND(AllData[[#This Row],[Time]]&lt;0.5, AllData[[#This Row],[Time]]&gt;0.17)=TRUE, "Morning", IF(AND(AllData[[#This Row],[Time]]&lt;0.75, AllData[[#This Row],[Time]]&gt;=0.5)=TRUE, "Afternoon", IF(AND(AllData[[#This Row],[Time]]&lt;1, AllData[[#This Row],[Time]]&gt;=0.75)=TRUE, "Evening", "Night")))</f>
        <v>Afternoon</v>
      </c>
      <c r="G2149" t="str">
        <f>_xlfn.XLOOKUP(AllData[[#This Row],[Location Name]], Locations[Location Name],Locations[Group As])</f>
        <v>Carrant Bredon Rd</v>
      </c>
      <c r="H2149" t="e" vm="4">
        <f>_xlfn.XLOOKUP(AllData[[#This Row],[Site Name]],LocationsKey[Site Name],LocationsKey[District])</f>
        <v>#VALUE!</v>
      </c>
      <c r="I2149" t="e" vm="4">
        <f>_xlfn.XLOOKUP(AllData[[#This Row],[Site Name]],LocationsKey[Site Name],LocationsKey[Town])</f>
        <v>#VALUE!</v>
      </c>
      <c r="J2149" t="str">
        <f>_xlfn.XLOOKUP(AllData[[#This Row],[Site Name]],LocationsKey[Site Name], LocationsKey[Waterway])</f>
        <v>Carrant</v>
      </c>
      <c r="K2149" t="s">
        <v>91</v>
      </c>
      <c r="M2149" s="108"/>
      <c r="N2149" t="s">
        <v>25</v>
      </c>
      <c r="O2149">
        <v>709</v>
      </c>
      <c r="P2149">
        <v>8.5</v>
      </c>
      <c r="Q2149">
        <v>5</v>
      </c>
      <c r="R2149" s="141" t="str">
        <f>IF(AllData[[#This Row],[Nitrate (PPM)]]&gt;2, "Very high", IF(AllData[[#This Row],[Nitrate (PPM)]]&gt;1, "High", IF(AllData[[#This Row],[Nitrate (PPM)]]&gt;0.5, "Some evidence", IF(AllData[[#This Row],[Nitrate (PPM)]]&gt;=0, "No evidence"))))</f>
        <v>Very high</v>
      </c>
      <c r="S2149" s="4">
        <v>0.35</v>
      </c>
      <c r="T2149" s="7" t="str">
        <f>IF(AllData[[#This Row],[Phosphate (PPM)]]&gt;0.5, "Very high", IF(AllData[[#This Row],[Phosphate (PPM)]]&gt;0.1, "High", IF(AllData[[#This Row],[Phosphate (PPM)]]&gt;0.05, "Some evidence", IF(AllData[[#This Row],[Phosphate (PPM)]]&lt;=0.05, "No Evidence", ""))))</f>
        <v>High</v>
      </c>
      <c r="U2149">
        <v>0</v>
      </c>
    </row>
    <row r="2150" spans="1:22" x14ac:dyDescent="0.35">
      <c r="A2150" t="s">
        <v>375</v>
      </c>
      <c r="B2150" s="143">
        <v>45255</v>
      </c>
      <c r="C2150" s="2" t="str" cm="1">
        <f t="array" ref="C21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0">
        <f>YEAR(AllData[[#This Row],[Date]])</f>
        <v>2023</v>
      </c>
      <c r="E2150" s="1">
        <v>0.48541666666666666</v>
      </c>
      <c r="F2150" t="str">
        <f>IF(AND(AllData[[#This Row],[Time]]&lt;0.5, AllData[[#This Row],[Time]]&gt;0.17)=TRUE, "Morning", IF(AND(AllData[[#This Row],[Time]]&lt;0.75, AllData[[#This Row],[Time]]&gt;=0.5)=TRUE, "Afternoon", IF(AND(AllData[[#This Row],[Time]]&lt;1, AllData[[#This Row],[Time]]&gt;=0.75)=TRUE, "Evening", "Night")))</f>
        <v>Morning</v>
      </c>
      <c r="G2150" t="str">
        <f>_xlfn.XLOOKUP(AllData[[#This Row],[Location Name]], Locations[Location Name],Locations[Group As])</f>
        <v>Abbey Mill</v>
      </c>
      <c r="H2150" t="e" vm="4">
        <f>_xlfn.XLOOKUP(AllData[[#This Row],[Site Name]],LocationsKey[Site Name],LocationsKey[District])</f>
        <v>#VALUE!</v>
      </c>
      <c r="I2150" t="e" vm="4">
        <f>_xlfn.XLOOKUP(AllData[[#This Row],[Site Name]],LocationsKey[Site Name],LocationsKey[Town])</f>
        <v>#VALUE!</v>
      </c>
      <c r="J2150" t="str">
        <f>_xlfn.XLOOKUP(AllData[[#This Row],[Site Name]],LocationsKey[Site Name], LocationsKey[Waterway])</f>
        <v>Avon</v>
      </c>
      <c r="K2150" t="s">
        <v>24</v>
      </c>
      <c r="L2150">
        <v>51.991453</v>
      </c>
      <c r="M2150" s="108">
        <v>-2.1629679999999998</v>
      </c>
      <c r="N2150" t="s">
        <v>25</v>
      </c>
      <c r="O2150">
        <v>773</v>
      </c>
      <c r="P2150">
        <v>9.6999999999999993</v>
      </c>
      <c r="Q2150">
        <v>4</v>
      </c>
      <c r="R2150" s="141" t="str">
        <f>IF(AllData[[#This Row],[Nitrate (PPM)]]&gt;2, "Very high", IF(AllData[[#This Row],[Nitrate (PPM)]]&gt;1, "High", IF(AllData[[#This Row],[Nitrate (PPM)]]&gt;0.5, "Some evidence", IF(AllData[[#This Row],[Nitrate (PPM)]]&gt;=0, "No evidence"))))</f>
        <v>Very high</v>
      </c>
      <c r="S2150" s="4">
        <v>0.7</v>
      </c>
      <c r="T2150" s="7" t="str">
        <f>IF(AllData[[#This Row],[Phosphate (PPM)]]&gt;0.5, "Very high", IF(AllData[[#This Row],[Phosphate (PPM)]]&gt;0.1, "High", IF(AllData[[#This Row],[Phosphate (PPM)]]&gt;0.05, "Some evidence", IF(AllData[[#This Row],[Phosphate (PPM)]]&lt;=0.05, "No Evidence", ""))))</f>
        <v>Very high</v>
      </c>
      <c r="U2150">
        <v>0</v>
      </c>
    </row>
    <row r="2151" spans="1:22" x14ac:dyDescent="0.35">
      <c r="A2151" t="s">
        <v>372</v>
      </c>
      <c r="B2151" s="143">
        <v>45253</v>
      </c>
      <c r="C2151" s="2" t="str" cm="1">
        <f t="array" ref="C21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1">
        <f>YEAR(AllData[[#This Row],[Date]])</f>
        <v>2023</v>
      </c>
      <c r="E2151" s="1">
        <v>0.44583333333333336</v>
      </c>
      <c r="F2151" t="str">
        <f>IF(AND(AllData[[#This Row],[Time]]&lt;0.5, AllData[[#This Row],[Time]]&gt;0.17)=TRUE, "Morning", IF(AND(AllData[[#This Row],[Time]]&lt;0.75, AllData[[#This Row],[Time]]&gt;=0.5)=TRUE, "Afternoon", IF(AND(AllData[[#This Row],[Time]]&lt;1, AllData[[#This Row],[Time]]&gt;=0.75)=TRUE, "Evening", "Night")))</f>
        <v>Morning</v>
      </c>
      <c r="G2151" t="str">
        <f>_xlfn.XLOOKUP(AllData[[#This Row],[Location Name]], Locations[Location Name],Locations[Group As])</f>
        <v>Alveston Weir</v>
      </c>
      <c r="H2151" t="e" vm="1">
        <f>_xlfn.XLOOKUP(AllData[[#This Row],[Site Name]],LocationsKey[Site Name],LocationsKey[District])</f>
        <v>#VALUE!</v>
      </c>
      <c r="I2151" t="e" vm="2">
        <f>_xlfn.XLOOKUP(AllData[[#This Row],[Site Name]],LocationsKey[Site Name],LocationsKey[Town])</f>
        <v>#VALUE!</v>
      </c>
      <c r="J2151" t="str">
        <f>_xlfn.XLOOKUP(AllData[[#This Row],[Site Name]],LocationsKey[Site Name], LocationsKey[Waterway])</f>
        <v>Avon</v>
      </c>
      <c r="K2151" t="s">
        <v>288</v>
      </c>
      <c r="L2151">
        <v>52.214275999999998</v>
      </c>
      <c r="M2151" s="108">
        <v>-1.6601459999999999</v>
      </c>
      <c r="N2151" t="s">
        <v>31</v>
      </c>
      <c r="O2151">
        <v>653</v>
      </c>
      <c r="P2151">
        <v>15.6</v>
      </c>
      <c r="Q2151">
        <v>5</v>
      </c>
      <c r="R2151" s="141" t="str">
        <f>IF(AllData[[#This Row],[Nitrate (PPM)]]&gt;2, "Very high", IF(AllData[[#This Row],[Nitrate (PPM)]]&gt;1, "High", IF(AllData[[#This Row],[Nitrate (PPM)]]&gt;0.5, "Some evidence", IF(AllData[[#This Row],[Nitrate (PPM)]]&gt;=0, "No evidence"))))</f>
        <v>Very high</v>
      </c>
      <c r="S2151" s="4">
        <v>0.38</v>
      </c>
      <c r="T2151" s="7" t="str">
        <f>IF(AllData[[#This Row],[Phosphate (PPM)]]&gt;0.5, "Very high", IF(AllData[[#This Row],[Phosphate (PPM)]]&gt;0.1, "High", IF(AllData[[#This Row],[Phosphate (PPM)]]&gt;0.05, "Some evidence", IF(AllData[[#This Row],[Phosphate (PPM)]]&lt;=0.05, "No Evidence", ""))))</f>
        <v>High</v>
      </c>
      <c r="U2151">
        <v>0</v>
      </c>
      <c r="V2151" t="s">
        <v>373</v>
      </c>
    </row>
    <row r="2152" spans="1:22" x14ac:dyDescent="0.35">
      <c r="A2152" t="s">
        <v>371</v>
      </c>
      <c r="B2152" s="143">
        <v>45253</v>
      </c>
      <c r="C2152" s="2" t="str" cm="1">
        <f t="array" ref="C21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2">
        <f>YEAR(AllData[[#This Row],[Date]])</f>
        <v>2023</v>
      </c>
      <c r="E2152" s="1">
        <v>0.42708333333333331</v>
      </c>
      <c r="F2152" t="str">
        <f>IF(AND(AllData[[#This Row],[Time]]&lt;0.5, AllData[[#This Row],[Time]]&gt;0.17)=TRUE, "Morning", IF(AND(AllData[[#This Row],[Time]]&lt;0.75, AllData[[#This Row],[Time]]&gt;=0.5)=TRUE, "Afternoon", IF(AND(AllData[[#This Row],[Time]]&lt;1, AllData[[#This Row],[Time]]&gt;=0.75)=TRUE, "Evening", "Night")))</f>
        <v>Morning</v>
      </c>
      <c r="G2152" t="str">
        <f>_xlfn.XLOOKUP(AllData[[#This Row],[Location Name]], Locations[Location Name],Locations[Group As])</f>
        <v>Swiffen Bank</v>
      </c>
      <c r="H2152" t="e" vm="1">
        <f>_xlfn.XLOOKUP(AllData[[#This Row],[Site Name]],LocationsKey[Site Name],LocationsKey[District])</f>
        <v>#VALUE!</v>
      </c>
      <c r="I2152" t="e" vm="2">
        <f>_xlfn.XLOOKUP(AllData[[#This Row],[Site Name]],LocationsKey[Site Name],LocationsKey[Town])</f>
        <v>#VALUE!</v>
      </c>
      <c r="J2152" t="str">
        <f>_xlfn.XLOOKUP(AllData[[#This Row],[Site Name]],LocationsKey[Site Name], LocationsKey[Waterway])</f>
        <v>Avon</v>
      </c>
      <c r="K2152" t="s">
        <v>286</v>
      </c>
      <c r="L2152">
        <v>52.207673</v>
      </c>
      <c r="M2152" s="108">
        <v>-1.6584449999999999</v>
      </c>
      <c r="N2152" t="s">
        <v>31</v>
      </c>
      <c r="O2152">
        <v>635</v>
      </c>
      <c r="P2152">
        <v>13</v>
      </c>
      <c r="Q2152">
        <v>5</v>
      </c>
      <c r="R2152" s="141" t="str">
        <f>IF(AllData[[#This Row],[Nitrate (PPM)]]&gt;2, "Very high", IF(AllData[[#This Row],[Nitrate (PPM)]]&gt;1, "High", IF(AllData[[#This Row],[Nitrate (PPM)]]&gt;0.5, "Some evidence", IF(AllData[[#This Row],[Nitrate (PPM)]]&gt;=0, "No evidence"))))</f>
        <v>Very high</v>
      </c>
      <c r="S2152" s="4">
        <v>0.49</v>
      </c>
      <c r="T2152" s="7" t="str">
        <f>IF(AllData[[#This Row],[Phosphate (PPM)]]&gt;0.5, "Very high", IF(AllData[[#This Row],[Phosphate (PPM)]]&gt;0.1, "High", IF(AllData[[#This Row],[Phosphate (PPM)]]&gt;0.05, "Some evidence", IF(AllData[[#This Row],[Phosphate (PPM)]]&lt;=0.05, "No Evidence", ""))))</f>
        <v>High</v>
      </c>
      <c r="U2152">
        <v>-1</v>
      </c>
    </row>
    <row r="2153" spans="1:22" x14ac:dyDescent="0.35">
      <c r="A2153" t="s">
        <v>370</v>
      </c>
      <c r="B2153" s="143">
        <v>45253</v>
      </c>
      <c r="C2153" s="2" t="str" cm="1">
        <f t="array" ref="C21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3">
        <f>YEAR(AllData[[#This Row],[Date]])</f>
        <v>2023</v>
      </c>
      <c r="E2153" s="1">
        <v>0.41666666666666669</v>
      </c>
      <c r="F2153" t="str">
        <f>IF(AND(AllData[[#This Row],[Time]]&lt;0.5, AllData[[#This Row],[Time]]&gt;0.17)=TRUE, "Morning", IF(AND(AllData[[#This Row],[Time]]&lt;0.75, AllData[[#This Row],[Time]]&gt;=0.5)=TRUE, "Afternoon", IF(AND(AllData[[#This Row],[Time]]&lt;1, AllData[[#This Row],[Time]]&gt;=0.75)=TRUE, "Evening", "Night")))</f>
        <v>Morning</v>
      </c>
      <c r="G2153" t="str">
        <f>_xlfn.XLOOKUP(AllData[[#This Row],[Location Name]], Locations[Location Name],Locations[Group As])</f>
        <v>Swilgate</v>
      </c>
      <c r="H2153" t="e" vm="4">
        <f>_xlfn.XLOOKUP(AllData[[#This Row],[Site Name]],LocationsKey[Site Name],LocationsKey[District])</f>
        <v>#VALUE!</v>
      </c>
      <c r="I2153" t="e" vm="4">
        <f>_xlfn.XLOOKUP(AllData[[#This Row],[Site Name]],LocationsKey[Site Name],LocationsKey[Town])</f>
        <v>#VALUE!</v>
      </c>
      <c r="J2153" t="str">
        <f>_xlfn.XLOOKUP(AllData[[#This Row],[Site Name]],LocationsKey[Site Name], LocationsKey[Waterway])</f>
        <v>Swilgate</v>
      </c>
      <c r="K2153" t="s">
        <v>85</v>
      </c>
      <c r="M2153" s="108"/>
      <c r="N2153" t="s">
        <v>25</v>
      </c>
      <c r="O2153">
        <v>879</v>
      </c>
      <c r="P2153">
        <v>12.4</v>
      </c>
      <c r="Q2153">
        <v>3</v>
      </c>
      <c r="R2153" s="141" t="str">
        <f>IF(AllData[[#This Row],[Nitrate (PPM)]]&gt;2, "Very high", IF(AllData[[#This Row],[Nitrate (PPM)]]&gt;1, "High", IF(AllData[[#This Row],[Nitrate (PPM)]]&gt;0.5, "Some evidence", IF(AllData[[#This Row],[Nitrate (PPM)]]&gt;=0, "No evidence"))))</f>
        <v>Very high</v>
      </c>
      <c r="S2153" s="4">
        <v>0.5</v>
      </c>
      <c r="T2153" s="7" t="str">
        <f>IF(AllData[[#This Row],[Phosphate (PPM)]]&gt;0.5, "Very high", IF(AllData[[#This Row],[Phosphate (PPM)]]&gt;0.1, "High", IF(AllData[[#This Row],[Phosphate (PPM)]]&gt;0.05, "Some evidence", IF(AllData[[#This Row],[Phosphate (PPM)]]&lt;=0.05, "No Evidence", ""))))</f>
        <v>High</v>
      </c>
      <c r="U2153">
        <v>1</v>
      </c>
    </row>
    <row r="2154" spans="1:22" x14ac:dyDescent="0.35">
      <c r="A2154" t="s">
        <v>366</v>
      </c>
      <c r="B2154" s="143">
        <v>45252</v>
      </c>
      <c r="C2154" s="2" t="str" cm="1">
        <f t="array" ref="C21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4">
        <f>YEAR(AllData[[#This Row],[Date]])</f>
        <v>2023</v>
      </c>
      <c r="E2154" s="1">
        <v>0.66874999999999996</v>
      </c>
      <c r="F2154" t="str">
        <f>IF(AND(AllData[[#This Row],[Time]]&lt;0.5, AllData[[#This Row],[Time]]&gt;0.17)=TRUE, "Morning", IF(AND(AllData[[#This Row],[Time]]&lt;0.75, AllData[[#This Row],[Time]]&gt;=0.5)=TRUE, "Afternoon", IF(AND(AllData[[#This Row],[Time]]&lt;1, AllData[[#This Row],[Time]]&gt;=0.75)=TRUE, "Evening", "Night")))</f>
        <v>Afternoon</v>
      </c>
      <c r="G2154" t="str">
        <f>_xlfn.XLOOKUP(AllData[[#This Row],[Location Name]], Locations[Location Name],Locations[Group As])</f>
        <v>Stour Newbold Mill</v>
      </c>
      <c r="H2154" t="e" vm="1">
        <f>_xlfn.XLOOKUP(AllData[[#This Row],[Site Name]],LocationsKey[Site Name],LocationsKey[District])</f>
        <v>#VALUE!</v>
      </c>
      <c r="I2154" t="e" vm="27">
        <f>_xlfn.XLOOKUP(AllData[[#This Row],[Site Name]],LocationsKey[Site Name],LocationsKey[Town])</f>
        <v>#VALUE!</v>
      </c>
      <c r="J2154" t="str">
        <f>_xlfn.XLOOKUP(AllData[[#This Row],[Site Name]],LocationsKey[Site Name], LocationsKey[Waterway])</f>
        <v>Stour</v>
      </c>
      <c r="K2154" t="s">
        <v>367</v>
      </c>
      <c r="L2154">
        <v>52.113517999999999</v>
      </c>
      <c r="M2154" s="108">
        <v>-1.633165</v>
      </c>
      <c r="N2154" t="s">
        <v>368</v>
      </c>
      <c r="O2154">
        <v>670</v>
      </c>
      <c r="P2154">
        <v>10.3</v>
      </c>
      <c r="Q2154">
        <v>5</v>
      </c>
      <c r="R2154" s="141" t="str">
        <f>IF(AllData[[#This Row],[Nitrate (PPM)]]&gt;2, "Very high", IF(AllData[[#This Row],[Nitrate (PPM)]]&gt;1, "High", IF(AllData[[#This Row],[Nitrate (PPM)]]&gt;0.5, "Some evidence", IF(AllData[[#This Row],[Nitrate (PPM)]]&gt;=0, "No evidence"))))</f>
        <v>Very high</v>
      </c>
      <c r="S2154" s="4">
        <v>0.27</v>
      </c>
      <c r="T2154" s="7" t="str">
        <f>IF(AllData[[#This Row],[Phosphate (PPM)]]&gt;0.5, "Very high", IF(AllData[[#This Row],[Phosphate (PPM)]]&gt;0.1, "High", IF(AllData[[#This Row],[Phosphate (PPM)]]&gt;0.05, "Some evidence", IF(AllData[[#This Row],[Phosphate (PPM)]]&lt;=0.05, "No Evidence", ""))))</f>
        <v>High</v>
      </c>
      <c r="U2154">
        <v>2.5</v>
      </c>
      <c r="V2154" t="s">
        <v>369</v>
      </c>
    </row>
    <row r="2155" spans="1:22" x14ac:dyDescent="0.35">
      <c r="A2155" t="s">
        <v>363</v>
      </c>
      <c r="B2155" s="143">
        <v>45252</v>
      </c>
      <c r="C2155" s="2" t="str" cm="1">
        <f t="array" ref="C21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5">
        <f>YEAR(AllData[[#This Row],[Date]])</f>
        <v>2023</v>
      </c>
      <c r="E2155" s="1">
        <v>0.65833333333333333</v>
      </c>
      <c r="F2155" t="str">
        <f>IF(AND(AllData[[#This Row],[Time]]&lt;0.5, AllData[[#This Row],[Time]]&gt;0.17)=TRUE, "Morning", IF(AND(AllData[[#This Row],[Time]]&lt;0.75, AllData[[#This Row],[Time]]&gt;=0.5)=TRUE, "Afternoon", IF(AND(AllData[[#This Row],[Time]]&lt;1, AllData[[#This Row],[Time]]&gt;=0.75)=TRUE, "Evening", "Night")))</f>
        <v>Afternoon</v>
      </c>
      <c r="G2155" t="str">
        <f>_xlfn.XLOOKUP(AllData[[#This Row],[Location Name]], Locations[Location Name],Locations[Group As])</f>
        <v>Stour Newbold Mill</v>
      </c>
      <c r="H2155" t="e" vm="1">
        <f>_xlfn.XLOOKUP(AllData[[#This Row],[Site Name]],LocationsKey[Site Name],LocationsKey[District])</f>
        <v>#VALUE!</v>
      </c>
      <c r="I2155" t="e" vm="27">
        <f>_xlfn.XLOOKUP(AllData[[#This Row],[Site Name]],LocationsKey[Site Name],LocationsKey[Town])</f>
        <v>#VALUE!</v>
      </c>
      <c r="J2155" t="str">
        <f>_xlfn.XLOOKUP(AllData[[#This Row],[Site Name]],LocationsKey[Site Name], LocationsKey[Waterway])</f>
        <v>Stour</v>
      </c>
      <c r="K2155" t="s">
        <v>364</v>
      </c>
      <c r="L2155">
        <v>52.113449000000003</v>
      </c>
      <c r="M2155" s="108">
        <v>-1.63317</v>
      </c>
      <c r="N2155" t="s">
        <v>158</v>
      </c>
      <c r="O2155">
        <v>661</v>
      </c>
      <c r="P2155">
        <v>10.9</v>
      </c>
      <c r="Q2155">
        <v>5</v>
      </c>
      <c r="R2155" s="141" t="str">
        <f>IF(AllData[[#This Row],[Nitrate (PPM)]]&gt;2, "Very high", IF(AllData[[#This Row],[Nitrate (PPM)]]&gt;1, "High", IF(AllData[[#This Row],[Nitrate (PPM)]]&gt;0.5, "Some evidence", IF(AllData[[#This Row],[Nitrate (PPM)]]&gt;=0, "No evidence"))))</f>
        <v>Very high</v>
      </c>
      <c r="S2155" s="4">
        <v>0.26</v>
      </c>
      <c r="T2155" s="7" t="str">
        <f>IF(AllData[[#This Row],[Phosphate (PPM)]]&gt;0.5, "Very high", IF(AllData[[#This Row],[Phosphate (PPM)]]&gt;0.1, "High", IF(AllData[[#This Row],[Phosphate (PPM)]]&gt;0.05, "Some evidence", IF(AllData[[#This Row],[Phosphate (PPM)]]&lt;=0.05, "No Evidence", ""))))</f>
        <v>High</v>
      </c>
      <c r="U2155">
        <v>2.5</v>
      </c>
      <c r="V2155" t="s">
        <v>365</v>
      </c>
    </row>
    <row r="2156" spans="1:22" x14ac:dyDescent="0.35">
      <c r="A2156" t="s">
        <v>362</v>
      </c>
      <c r="B2156" s="143">
        <v>45250</v>
      </c>
      <c r="C2156" s="2" t="str" cm="1">
        <f t="array" ref="C21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6">
        <f>YEAR(AllData[[#This Row],[Date]])</f>
        <v>2023</v>
      </c>
      <c r="E2156" s="1">
        <v>0.63194444444444442</v>
      </c>
      <c r="F2156" t="str">
        <f>IF(AND(AllData[[#This Row],[Time]]&lt;0.5, AllData[[#This Row],[Time]]&gt;0.17)=TRUE, "Morning", IF(AND(AllData[[#This Row],[Time]]&lt;0.75, AllData[[#This Row],[Time]]&gt;=0.5)=TRUE, "Afternoon", IF(AND(AllData[[#This Row],[Time]]&lt;1, AllData[[#This Row],[Time]]&gt;=0.75)=TRUE, "Evening", "Night")))</f>
        <v>Afternoon</v>
      </c>
      <c r="G2156" t="str">
        <f>_xlfn.XLOOKUP(AllData[[#This Row],[Location Name]], Locations[Location Name],Locations[Group As])</f>
        <v>Weston-on-Avon</v>
      </c>
      <c r="H2156" t="e" vm="1">
        <f>_xlfn.XLOOKUP(AllData[[#This Row],[Site Name]],LocationsKey[Site Name],LocationsKey[District])</f>
        <v>#VALUE!</v>
      </c>
      <c r="I2156" t="e" vm="35">
        <f>_xlfn.XLOOKUP(AllData[[#This Row],[Site Name]],LocationsKey[Site Name],LocationsKey[Town])</f>
        <v>#VALUE!</v>
      </c>
      <c r="J2156" t="str">
        <f>_xlfn.XLOOKUP(AllData[[#This Row],[Site Name]],LocationsKey[Site Name], LocationsKey[Waterway])</f>
        <v>Avon</v>
      </c>
      <c r="K2156" t="s">
        <v>43</v>
      </c>
      <c r="L2156">
        <v>52.167430000000003</v>
      </c>
      <c r="M2156" s="108">
        <v>-1.7744800000000001</v>
      </c>
      <c r="N2156" t="s">
        <v>31</v>
      </c>
      <c r="O2156">
        <v>688</v>
      </c>
      <c r="P2156">
        <v>11.5</v>
      </c>
      <c r="Q2156">
        <v>8</v>
      </c>
      <c r="R2156" s="141" t="str">
        <f>IF(AllData[[#This Row],[Nitrate (PPM)]]&gt;2, "Very high", IF(AllData[[#This Row],[Nitrate (PPM)]]&gt;1, "High", IF(AllData[[#This Row],[Nitrate (PPM)]]&gt;0.5, "Some evidence", IF(AllData[[#This Row],[Nitrate (PPM)]]&gt;=0, "No evidence"))))</f>
        <v>Very high</v>
      </c>
      <c r="S2156" s="4">
        <v>0.4</v>
      </c>
      <c r="T2156" s="7" t="str">
        <f>IF(AllData[[#This Row],[Phosphate (PPM)]]&gt;0.5, "Very high", IF(AllData[[#This Row],[Phosphate (PPM)]]&gt;0.1, "High", IF(AllData[[#This Row],[Phosphate (PPM)]]&gt;0.05, "Some evidence", IF(AllData[[#This Row],[Phosphate (PPM)]]&lt;=0.05, "No Evidence", ""))))</f>
        <v>High</v>
      </c>
      <c r="U2156">
        <v>0</v>
      </c>
    </row>
    <row r="2157" spans="1:22" x14ac:dyDescent="0.35">
      <c r="A2157" t="s">
        <v>361</v>
      </c>
      <c r="B2157" s="143">
        <v>45250</v>
      </c>
      <c r="C2157" s="2" t="str" cm="1">
        <f t="array" ref="C21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7">
        <f>YEAR(AllData[[#This Row],[Date]])</f>
        <v>2023</v>
      </c>
      <c r="E2157" s="1">
        <v>0.41388888888888886</v>
      </c>
      <c r="F2157" t="str">
        <f>IF(AND(AllData[[#This Row],[Time]]&lt;0.5, AllData[[#This Row],[Time]]&gt;0.17)=TRUE, "Morning", IF(AND(AllData[[#This Row],[Time]]&lt;0.75, AllData[[#This Row],[Time]]&gt;=0.5)=TRUE, "Afternoon", IF(AND(AllData[[#This Row],[Time]]&lt;1, AllData[[#This Row],[Time]]&gt;=0.75)=TRUE, "Evening", "Night")))</f>
        <v>Morning</v>
      </c>
      <c r="G2157" t="str">
        <f>_xlfn.XLOOKUP(AllData[[#This Row],[Location Name]], Locations[Location Name],Locations[Group As])</f>
        <v>Stour Stretton-on-Fosse Sewage Works</v>
      </c>
      <c r="H2157" t="e" vm="1">
        <f>_xlfn.XLOOKUP(AllData[[#This Row],[Site Name]],LocationsKey[Site Name],LocationsKey[District])</f>
        <v>#VALUE!</v>
      </c>
      <c r="I2157" t="e" vm="30">
        <f>_xlfn.XLOOKUP(AllData[[#This Row],[Site Name]],LocationsKey[Site Name],LocationsKey[Town])</f>
        <v>#VALUE!</v>
      </c>
      <c r="J2157" t="str">
        <f>_xlfn.XLOOKUP(AllData[[#This Row],[Site Name]],LocationsKey[Site Name], LocationsKey[Waterway])</f>
        <v>Stour</v>
      </c>
      <c r="K2157" t="s">
        <v>337</v>
      </c>
      <c r="L2157">
        <v>52.045651999999997</v>
      </c>
      <c r="M2157" s="108">
        <v>-1.6719360000000001</v>
      </c>
      <c r="N2157" t="s">
        <v>31</v>
      </c>
      <c r="O2157">
        <v>556</v>
      </c>
      <c r="P2157">
        <v>10.5</v>
      </c>
      <c r="Q2157">
        <v>3.5</v>
      </c>
      <c r="R2157" s="141" t="str">
        <f>IF(AllData[[#This Row],[Nitrate (PPM)]]&gt;2, "Very high", IF(AllData[[#This Row],[Nitrate (PPM)]]&gt;1, "High", IF(AllData[[#This Row],[Nitrate (PPM)]]&gt;0.5, "Some evidence", IF(AllData[[#This Row],[Nitrate (PPM)]]&gt;=0, "No evidence"))))</f>
        <v>Very high</v>
      </c>
      <c r="S2157" s="4">
        <v>1.1200000000000001</v>
      </c>
      <c r="T2157" s="7" t="str">
        <f>IF(AllData[[#This Row],[Phosphate (PPM)]]&gt;0.5, "Very high", IF(AllData[[#This Row],[Phosphate (PPM)]]&gt;0.1, "High", IF(AllData[[#This Row],[Phosphate (PPM)]]&gt;0.05, "Some evidence", IF(AllData[[#This Row],[Phosphate (PPM)]]&lt;=0.05, "No Evidence", ""))))</f>
        <v>Very high</v>
      </c>
      <c r="U2157">
        <v>0.3</v>
      </c>
    </row>
    <row r="2158" spans="1:22" x14ac:dyDescent="0.35">
      <c r="A2158" t="s">
        <v>360</v>
      </c>
      <c r="B2158" s="143">
        <v>45250</v>
      </c>
      <c r="C2158" s="2" t="str" cm="1">
        <f t="array" ref="C21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8">
        <f>YEAR(AllData[[#This Row],[Date]])</f>
        <v>2023</v>
      </c>
      <c r="E2158" s="1">
        <v>0.39861111111111114</v>
      </c>
      <c r="F2158" t="str">
        <f>IF(AND(AllData[[#This Row],[Time]]&lt;0.5, AllData[[#This Row],[Time]]&gt;0.17)=TRUE, "Morning", IF(AND(AllData[[#This Row],[Time]]&lt;0.75, AllData[[#This Row],[Time]]&gt;=0.5)=TRUE, "Afternoon", IF(AND(AllData[[#This Row],[Time]]&lt;1, AllData[[#This Row],[Time]]&gt;=0.75)=TRUE, "Evening", "Night")))</f>
        <v>Morning</v>
      </c>
      <c r="G2158" t="str">
        <f>_xlfn.XLOOKUP(AllData[[#This Row],[Location Name]], Locations[Location Name],Locations[Group As])</f>
        <v>Stour Stretton-on-Fosse Village</v>
      </c>
      <c r="H2158" t="e" vm="1">
        <f>_xlfn.XLOOKUP(AllData[[#This Row],[Site Name]],LocationsKey[Site Name],LocationsKey[District])</f>
        <v>#VALUE!</v>
      </c>
      <c r="I2158" t="e" vm="30">
        <f>_xlfn.XLOOKUP(AllData[[#This Row],[Site Name]],LocationsKey[Site Name],LocationsKey[Town])</f>
        <v>#VALUE!</v>
      </c>
      <c r="J2158" t="str">
        <f>_xlfn.XLOOKUP(AllData[[#This Row],[Site Name]],LocationsKey[Site Name], LocationsKey[Waterway])</f>
        <v>Stour</v>
      </c>
      <c r="K2158" t="s">
        <v>339</v>
      </c>
      <c r="L2158">
        <v>52.046506999999998</v>
      </c>
      <c r="M2158" s="108">
        <v>-1.6734880000000001</v>
      </c>
      <c r="N2158" t="s">
        <v>68</v>
      </c>
      <c r="O2158">
        <v>573</v>
      </c>
      <c r="P2158">
        <v>10.199999999999999</v>
      </c>
      <c r="Q2158">
        <v>2</v>
      </c>
      <c r="R2158" s="141" t="str">
        <f>IF(AllData[[#This Row],[Nitrate (PPM)]]&gt;2, "Very high", IF(AllData[[#This Row],[Nitrate (PPM)]]&gt;1, "High", IF(AllData[[#This Row],[Nitrate (PPM)]]&gt;0.5, "Some evidence", IF(AllData[[#This Row],[Nitrate (PPM)]]&gt;=0, "No evidence"))))</f>
        <v>High</v>
      </c>
      <c r="S2158" s="4">
        <v>0.68</v>
      </c>
      <c r="T2158" s="7" t="str">
        <f>IF(AllData[[#This Row],[Phosphate (PPM)]]&gt;0.5, "Very high", IF(AllData[[#This Row],[Phosphate (PPM)]]&gt;0.1, "High", IF(AllData[[#This Row],[Phosphate (PPM)]]&gt;0.05, "Some evidence", IF(AllData[[#This Row],[Phosphate (PPM)]]&lt;=0.05, "No Evidence", ""))))</f>
        <v>Very high</v>
      </c>
      <c r="U2158">
        <v>0.2</v>
      </c>
    </row>
    <row r="2159" spans="1:22" x14ac:dyDescent="0.35">
      <c r="A2159" t="s">
        <v>358</v>
      </c>
      <c r="B2159" s="143">
        <v>45249</v>
      </c>
      <c r="C2159" s="2" t="str" cm="1">
        <f t="array" ref="C21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59">
        <f>YEAR(AllData[[#This Row],[Date]])</f>
        <v>2023</v>
      </c>
      <c r="E2159" s="1">
        <v>0.64583333333333337</v>
      </c>
      <c r="F2159" t="str">
        <f>IF(AND(AllData[[#This Row],[Time]]&lt;0.5, AllData[[#This Row],[Time]]&gt;0.17)=TRUE, "Morning", IF(AND(AllData[[#This Row],[Time]]&lt;0.75, AllData[[#This Row],[Time]]&gt;=0.5)=TRUE, "Afternoon", IF(AND(AllData[[#This Row],[Time]]&lt;1, AllData[[#This Row],[Time]]&gt;=0.75)=TRUE, "Evening", "Night")))</f>
        <v>Afternoon</v>
      </c>
      <c r="G2159" t="str">
        <f>_xlfn.XLOOKUP(AllData[[#This Row],[Location Name]], Locations[Location Name],Locations[Group As])</f>
        <v>Welford Boat Station</v>
      </c>
      <c r="H2159" t="e" vm="1">
        <f>_xlfn.XLOOKUP(AllData[[#This Row],[Site Name]],LocationsKey[Site Name],LocationsKey[District])</f>
        <v>#VALUE!</v>
      </c>
      <c r="I2159" t="e" vm="36">
        <f>_xlfn.XLOOKUP(AllData[[#This Row],[Site Name]],LocationsKey[Site Name],LocationsKey[Town])</f>
        <v>#VALUE!</v>
      </c>
      <c r="J2159" t="str">
        <f>_xlfn.XLOOKUP(AllData[[#This Row],[Site Name]],LocationsKey[Site Name], LocationsKey[Waterway])</f>
        <v>Avon</v>
      </c>
      <c r="K2159" t="s">
        <v>41</v>
      </c>
      <c r="L2159">
        <v>52.175240000000002</v>
      </c>
      <c r="M2159" s="108">
        <v>-1.7918700000000001</v>
      </c>
      <c r="N2159" t="s">
        <v>31</v>
      </c>
      <c r="O2159">
        <v>680</v>
      </c>
      <c r="P2159">
        <v>11.8</v>
      </c>
      <c r="Q2159">
        <v>12</v>
      </c>
      <c r="R2159" s="141" t="str">
        <f>IF(AllData[[#This Row],[Nitrate (PPM)]]&gt;2, "Very high", IF(AllData[[#This Row],[Nitrate (PPM)]]&gt;1, "High", IF(AllData[[#This Row],[Nitrate (PPM)]]&gt;0.5, "Some evidence", IF(AllData[[#This Row],[Nitrate (PPM)]]&gt;=0, "No evidence"))))</f>
        <v>Very high</v>
      </c>
      <c r="S2159" s="4">
        <v>0.31</v>
      </c>
      <c r="T2159" s="7" t="str">
        <f>IF(AllData[[#This Row],[Phosphate (PPM)]]&gt;0.5, "Very high", IF(AllData[[#This Row],[Phosphate (PPM)]]&gt;0.1, "High", IF(AllData[[#This Row],[Phosphate (PPM)]]&gt;0.05, "Some evidence", IF(AllData[[#This Row],[Phosphate (PPM)]]&lt;=0.05, "No Evidence", ""))))</f>
        <v>High</v>
      </c>
      <c r="U2159">
        <v>0</v>
      </c>
      <c r="V2159" t="s">
        <v>359</v>
      </c>
    </row>
    <row r="2160" spans="1:22" x14ac:dyDescent="0.35">
      <c r="A2160" t="s">
        <v>354</v>
      </c>
      <c r="B2160" s="143">
        <v>45249</v>
      </c>
      <c r="C2160" s="2" t="str" cm="1">
        <f t="array" ref="C21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0">
        <f>YEAR(AllData[[#This Row],[Date]])</f>
        <v>2023</v>
      </c>
      <c r="E2160" s="1">
        <v>0.5</v>
      </c>
      <c r="F2160" t="str">
        <f>IF(AND(AllData[[#This Row],[Time]]&lt;0.5, AllData[[#This Row],[Time]]&gt;0.17)=TRUE, "Morning", IF(AND(AllData[[#This Row],[Time]]&lt;0.75, AllData[[#This Row],[Time]]&gt;=0.5)=TRUE, "Afternoon", IF(AND(AllData[[#This Row],[Time]]&lt;1, AllData[[#This Row],[Time]]&gt;=0.75)=TRUE, "Evening", "Night")))</f>
        <v>Afternoon</v>
      </c>
      <c r="G2160" t="str">
        <f>_xlfn.XLOOKUP(AllData[[#This Row],[Location Name]], Locations[Location Name],Locations[Group As])</f>
        <v>Lucy's Mill Bridge</v>
      </c>
      <c r="H2160" t="e" vm="1">
        <f>_xlfn.XLOOKUP(AllData[[#This Row],[Site Name]],LocationsKey[Site Name],LocationsKey[District])</f>
        <v>#VALUE!</v>
      </c>
      <c r="I2160" t="e" vm="12">
        <f>_xlfn.XLOOKUP(AllData[[#This Row],[Site Name]],LocationsKey[Site Name],LocationsKey[Town])</f>
        <v>#VALUE!</v>
      </c>
      <c r="J2160" t="str">
        <f>_xlfn.XLOOKUP(AllData[[#This Row],[Site Name]],LocationsKey[Site Name], LocationsKey[Waterway])</f>
        <v>Avon</v>
      </c>
      <c r="K2160" t="s">
        <v>212</v>
      </c>
      <c r="L2160">
        <v>52.183698999999997</v>
      </c>
      <c r="M2160" s="108">
        <v>-1.707816</v>
      </c>
      <c r="N2160" t="s">
        <v>31</v>
      </c>
      <c r="P2160">
        <v>9</v>
      </c>
      <c r="Q2160">
        <v>10</v>
      </c>
      <c r="R2160" s="141" t="str">
        <f>IF(AllData[[#This Row],[Nitrate (PPM)]]&gt;2, "Very high", IF(AllData[[#This Row],[Nitrate (PPM)]]&gt;1, "High", IF(AllData[[#This Row],[Nitrate (PPM)]]&gt;0.5, "Some evidence", IF(AllData[[#This Row],[Nitrate (PPM)]]&gt;=0, "No evidence"))))</f>
        <v>Very high</v>
      </c>
      <c r="S2160" s="4">
        <v>0.49</v>
      </c>
      <c r="T2160" s="7" t="str">
        <f>IF(AllData[[#This Row],[Phosphate (PPM)]]&gt;0.5, "Very high", IF(AllData[[#This Row],[Phosphate (PPM)]]&gt;0.1, "High", IF(AllData[[#This Row],[Phosphate (PPM)]]&gt;0.05, "Some evidence", IF(AllData[[#This Row],[Phosphate (PPM)]]&lt;=0.05, "No Evidence", ""))))</f>
        <v>High</v>
      </c>
      <c r="U2160">
        <v>0.7</v>
      </c>
    </row>
    <row r="2161" spans="1:22" x14ac:dyDescent="0.35">
      <c r="A2161" t="s">
        <v>356</v>
      </c>
      <c r="B2161" s="143">
        <v>45249</v>
      </c>
      <c r="C2161" s="2" t="str" cm="1">
        <f t="array" ref="C21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1">
        <f>YEAR(AllData[[#This Row],[Date]])</f>
        <v>2023</v>
      </c>
      <c r="E2161" s="1">
        <v>0.53125</v>
      </c>
      <c r="F2161" t="str">
        <f>IF(AND(AllData[[#This Row],[Time]]&lt;0.5, AllData[[#This Row],[Time]]&gt;0.17)=TRUE, "Morning", IF(AND(AllData[[#This Row],[Time]]&lt;0.75, AllData[[#This Row],[Time]]&gt;=0.5)=TRUE, "Afternoon", IF(AND(AllData[[#This Row],[Time]]&lt;1, AllData[[#This Row],[Time]]&gt;=0.75)=TRUE, "Evening", "Night")))</f>
        <v>Afternoon</v>
      </c>
      <c r="G2161" t="str">
        <f>_xlfn.XLOOKUP(AllData[[#This Row],[Location Name]], Locations[Location Name],Locations[Group As])</f>
        <v>Hampton Lucy</v>
      </c>
      <c r="H2161" t="e" vm="1">
        <f>_xlfn.XLOOKUP(AllData[[#This Row],[Site Name]],LocationsKey[Site Name],LocationsKey[District])</f>
        <v>#VALUE!</v>
      </c>
      <c r="I2161" t="e" vm="33">
        <f>_xlfn.XLOOKUP(AllData[[#This Row],[Site Name]],LocationsKey[Site Name],LocationsKey[Town])</f>
        <v>#VALUE!</v>
      </c>
      <c r="J2161" t="str">
        <f>_xlfn.XLOOKUP(AllData[[#This Row],[Site Name]],LocationsKey[Site Name], LocationsKey[Waterway])</f>
        <v>Avon</v>
      </c>
      <c r="K2161" t="s">
        <v>39</v>
      </c>
      <c r="L2161">
        <v>52.211680000000001</v>
      </c>
      <c r="M2161" s="108">
        <v>-1.6244400000000001</v>
      </c>
      <c r="N2161" t="s">
        <v>25</v>
      </c>
      <c r="O2161">
        <v>636</v>
      </c>
      <c r="P2161">
        <v>12.6</v>
      </c>
      <c r="Q2161">
        <v>7</v>
      </c>
      <c r="R2161" s="141" t="str">
        <f>IF(AllData[[#This Row],[Nitrate (PPM)]]&gt;2, "Very high", IF(AllData[[#This Row],[Nitrate (PPM)]]&gt;1, "High", IF(AllData[[#This Row],[Nitrate (PPM)]]&gt;0.5, "Some evidence", IF(AllData[[#This Row],[Nitrate (PPM)]]&gt;=0, "No evidence"))))</f>
        <v>Very high</v>
      </c>
      <c r="S2161" s="4">
        <v>0.44</v>
      </c>
      <c r="T2161" s="7" t="str">
        <f>IF(AllData[[#This Row],[Phosphate (PPM)]]&gt;0.5, "Very high", IF(AllData[[#This Row],[Phosphate (PPM)]]&gt;0.1, "High", IF(AllData[[#This Row],[Phosphate (PPM)]]&gt;0.05, "Some evidence", IF(AllData[[#This Row],[Phosphate (PPM)]]&lt;=0.05, "No Evidence", ""))))</f>
        <v>High</v>
      </c>
      <c r="U2161">
        <v>0</v>
      </c>
    </row>
    <row r="2162" spans="1:22" x14ac:dyDescent="0.35">
      <c r="A2162" t="s">
        <v>355</v>
      </c>
      <c r="B2162" s="143">
        <v>45249</v>
      </c>
      <c r="C2162" s="2" t="str" cm="1">
        <f t="array" ref="C21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2">
        <f>YEAR(AllData[[#This Row],[Date]])</f>
        <v>2023</v>
      </c>
      <c r="E2162" s="1">
        <v>0.51041666666666663</v>
      </c>
      <c r="F2162" t="str">
        <f>IF(AND(AllData[[#This Row],[Time]]&lt;0.5, AllData[[#This Row],[Time]]&gt;0.17)=TRUE, "Morning", IF(AND(AllData[[#This Row],[Time]]&lt;0.75, AllData[[#This Row],[Time]]&gt;=0.5)=TRUE, "Afternoon", IF(AND(AllData[[#This Row],[Time]]&lt;1, AllData[[#This Row],[Time]]&gt;=0.75)=TRUE, "Evening", "Night")))</f>
        <v>Afternoon</v>
      </c>
      <c r="G2162" t="str">
        <f>_xlfn.XLOOKUP(AllData[[#This Row],[Location Name]], Locations[Location Name],Locations[Group As])</f>
        <v>Hampton Wood</v>
      </c>
      <c r="H2162" t="e" vm="1">
        <f>_xlfn.XLOOKUP(AllData[[#This Row],[Site Name]],LocationsKey[Site Name],LocationsKey[District])</f>
        <v>#VALUE!</v>
      </c>
      <c r="I2162" t="e" vm="34">
        <f>_xlfn.XLOOKUP(AllData[[#This Row],[Site Name]],LocationsKey[Site Name],LocationsKey[Town])</f>
        <v>#VALUE!</v>
      </c>
      <c r="J2162" t="str">
        <f>_xlfn.XLOOKUP(AllData[[#This Row],[Site Name]],LocationsKey[Site Name], LocationsKey[Waterway])</f>
        <v>Avon</v>
      </c>
      <c r="K2162" t="s">
        <v>36</v>
      </c>
      <c r="L2162">
        <v>52.238149999999997</v>
      </c>
      <c r="M2162" s="108">
        <v>-1.6245799999999999</v>
      </c>
      <c r="N2162" t="s">
        <v>31</v>
      </c>
      <c r="P2162">
        <v>12.4</v>
      </c>
      <c r="Q2162">
        <v>6</v>
      </c>
      <c r="R2162" s="141" t="str">
        <f>IF(AllData[[#This Row],[Nitrate (PPM)]]&gt;2, "Very high", IF(AllData[[#This Row],[Nitrate (PPM)]]&gt;1, "High", IF(AllData[[#This Row],[Nitrate (PPM)]]&gt;0.5, "Some evidence", IF(AllData[[#This Row],[Nitrate (PPM)]]&gt;=0, "No evidence"))))</f>
        <v>Very high</v>
      </c>
      <c r="S2162" s="4">
        <v>0.44</v>
      </c>
      <c r="T2162" s="7" t="str">
        <f>IF(AllData[[#This Row],[Phosphate (PPM)]]&gt;0.5, "Very high", IF(AllData[[#This Row],[Phosphate (PPM)]]&gt;0.1, "High", IF(AllData[[#This Row],[Phosphate (PPM)]]&gt;0.05, "Some evidence", IF(AllData[[#This Row],[Phosphate (PPM)]]&lt;=0.05, "No Evidence", ""))))</f>
        <v>High</v>
      </c>
      <c r="U2162">
        <v>0</v>
      </c>
    </row>
    <row r="2163" spans="1:22" x14ac:dyDescent="0.35">
      <c r="A2163" t="s">
        <v>352</v>
      </c>
      <c r="B2163" s="143">
        <v>45249</v>
      </c>
      <c r="C2163" s="2" t="str" cm="1">
        <f t="array" ref="C21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3">
        <f>YEAR(AllData[[#This Row],[Date]])</f>
        <v>2023</v>
      </c>
      <c r="E2163" s="1">
        <v>0.41666666666666669</v>
      </c>
      <c r="F2163" t="str">
        <f>IF(AND(AllData[[#This Row],[Time]]&lt;0.5, AllData[[#This Row],[Time]]&gt;0.17)=TRUE, "Morning", IF(AND(AllData[[#This Row],[Time]]&lt;0.75, AllData[[#This Row],[Time]]&gt;=0.5)=TRUE, "Afternoon", IF(AND(AllData[[#This Row],[Time]]&lt;1, AllData[[#This Row],[Time]]&gt;=0.75)=TRUE, "Evening", "Night")))</f>
        <v>Morning</v>
      </c>
      <c r="G2163" t="str">
        <f>_xlfn.XLOOKUP(AllData[[#This Row],[Location Name]], Locations[Location Name],Locations[Group As])</f>
        <v>Avonbank Drive</v>
      </c>
      <c r="H2163" t="e" vm="1">
        <f>_xlfn.XLOOKUP(AllData[[#This Row],[Site Name]],LocationsKey[Site Name],LocationsKey[District])</f>
        <v>#VALUE!</v>
      </c>
      <c r="I2163" t="e" vm="12">
        <f>_xlfn.XLOOKUP(AllData[[#This Row],[Site Name]],LocationsKey[Site Name],LocationsKey[Town])</f>
        <v>#VALUE!</v>
      </c>
      <c r="J2163" t="str">
        <f>_xlfn.XLOOKUP(AllData[[#This Row],[Site Name]],LocationsKey[Site Name], LocationsKey[Waterway])</f>
        <v>Avon</v>
      </c>
      <c r="K2163" t="s">
        <v>104</v>
      </c>
      <c r="L2163">
        <v>52.177</v>
      </c>
      <c r="M2163" s="108">
        <v>-1.736</v>
      </c>
      <c r="N2163" t="s">
        <v>68</v>
      </c>
      <c r="O2163">
        <v>725</v>
      </c>
      <c r="P2163">
        <v>16.5</v>
      </c>
      <c r="Q2163">
        <v>5</v>
      </c>
      <c r="R2163" s="141" t="str">
        <f>IF(AllData[[#This Row],[Nitrate (PPM)]]&gt;2, "Very high", IF(AllData[[#This Row],[Nitrate (PPM)]]&gt;1, "High", IF(AllData[[#This Row],[Nitrate (PPM)]]&gt;0.5, "Some evidence", IF(AllData[[#This Row],[Nitrate (PPM)]]&gt;=0, "No evidence"))))</f>
        <v>Very high</v>
      </c>
      <c r="S2163" s="4">
        <v>0.32</v>
      </c>
      <c r="T2163" s="7" t="str">
        <f>IF(AllData[[#This Row],[Phosphate (PPM)]]&gt;0.5, "Very high", IF(AllData[[#This Row],[Phosphate (PPM)]]&gt;0.1, "High", IF(AllData[[#This Row],[Phosphate (PPM)]]&gt;0.05, "Some evidence", IF(AllData[[#This Row],[Phosphate (PPM)]]&lt;=0.05, "No Evidence", ""))))</f>
        <v>High</v>
      </c>
      <c r="U2163">
        <v>0.8</v>
      </c>
    </row>
    <row r="2164" spans="1:22" x14ac:dyDescent="0.35">
      <c r="A2164" t="s">
        <v>353</v>
      </c>
      <c r="B2164" s="143">
        <v>45249</v>
      </c>
      <c r="C2164" s="2" t="str" cm="1">
        <f t="array" ref="C21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4">
        <f>YEAR(AllData[[#This Row],[Date]])</f>
        <v>2023</v>
      </c>
      <c r="E2164" s="1">
        <v>0.41666666666666669</v>
      </c>
      <c r="F2164" t="str">
        <f>IF(AND(AllData[[#This Row],[Time]]&lt;0.5, AllData[[#This Row],[Time]]&gt;0.17)=TRUE, "Morning", IF(AND(AllData[[#This Row],[Time]]&lt;0.75, AllData[[#This Row],[Time]]&gt;=0.5)=TRUE, "Afternoon", IF(AND(AllData[[#This Row],[Time]]&lt;1, AllData[[#This Row],[Time]]&gt;=0.75)=TRUE, "Evening", "Night")))</f>
        <v>Morning</v>
      </c>
      <c r="G2164" t="str">
        <f>_xlfn.XLOOKUP(AllData[[#This Row],[Location Name]], Locations[Location Name],Locations[Group As])</f>
        <v>Pitch 16</v>
      </c>
      <c r="H2164" t="e" vm="1">
        <f>_xlfn.XLOOKUP(AllData[[#This Row],[Site Name]],LocationsKey[Site Name],LocationsKey[District])</f>
        <v>#VALUE!</v>
      </c>
      <c r="I2164" t="e" vm="12">
        <f>_xlfn.XLOOKUP(AllData[[#This Row],[Site Name]],LocationsKey[Site Name],LocationsKey[Town])</f>
        <v>#VALUE!</v>
      </c>
      <c r="J2164" t="str">
        <f>_xlfn.XLOOKUP(AllData[[#This Row],[Site Name]],LocationsKey[Site Name], LocationsKey[Waterway])</f>
        <v>Avon</v>
      </c>
      <c r="K2164" t="s">
        <v>71</v>
      </c>
      <c r="M2164" s="108"/>
      <c r="N2164" t="s">
        <v>31</v>
      </c>
      <c r="O2164">
        <v>681</v>
      </c>
      <c r="P2164">
        <v>16.5</v>
      </c>
      <c r="Q2164">
        <v>5</v>
      </c>
      <c r="R2164" s="141" t="str">
        <f>IF(AllData[[#This Row],[Nitrate (PPM)]]&gt;2, "Very high", IF(AllData[[#This Row],[Nitrate (PPM)]]&gt;1, "High", IF(AllData[[#This Row],[Nitrate (PPM)]]&gt;0.5, "Some evidence", IF(AllData[[#This Row],[Nitrate (PPM)]]&gt;=0, "No evidence"))))</f>
        <v>Very high</v>
      </c>
      <c r="S2164" s="4">
        <v>0.42</v>
      </c>
      <c r="T2164" s="7" t="str">
        <f>IF(AllData[[#This Row],[Phosphate (PPM)]]&gt;0.5, "Very high", IF(AllData[[#This Row],[Phosphate (PPM)]]&gt;0.1, "High", IF(AllData[[#This Row],[Phosphate (PPM)]]&gt;0.05, "Some evidence", IF(AllData[[#This Row],[Phosphate (PPM)]]&lt;=0.05, "No Evidence", ""))))</f>
        <v>High</v>
      </c>
      <c r="U2164">
        <v>0.8</v>
      </c>
    </row>
    <row r="2165" spans="1:22" x14ac:dyDescent="0.35">
      <c r="A2165" t="s">
        <v>357</v>
      </c>
      <c r="B2165" s="143">
        <v>45249</v>
      </c>
      <c r="C2165" s="2" t="str" cm="1">
        <f t="array" ref="C21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5">
        <f>YEAR(AllData[[#This Row],[Date]])</f>
        <v>2023</v>
      </c>
      <c r="E2165" s="1">
        <v>0.58333333333333337</v>
      </c>
      <c r="F2165" t="str">
        <f>IF(AND(AllData[[#This Row],[Time]]&lt;0.5, AllData[[#This Row],[Time]]&gt;0.17)=TRUE, "Morning", IF(AND(AllData[[#This Row],[Time]]&lt;0.75, AllData[[#This Row],[Time]]&gt;=0.5)=TRUE, "Afternoon", IF(AND(AllData[[#This Row],[Time]]&lt;1, AllData[[#This Row],[Time]]&gt;=0.75)=TRUE, "Evening", "Night")))</f>
        <v>Afternoon</v>
      </c>
      <c r="G2165" t="str">
        <f>_xlfn.XLOOKUP(AllData[[#This Row],[Location Name]], Locations[Location Name],Locations[Group As])</f>
        <v>Clifford Chambers Mill Bridge</v>
      </c>
      <c r="H2165" t="e" vm="1">
        <f>_xlfn.XLOOKUP(AllData[[#This Row],[Site Name]],LocationsKey[Site Name],LocationsKey[District])</f>
        <v>#VALUE!</v>
      </c>
      <c r="I2165" t="e" vm="22">
        <f>_xlfn.XLOOKUP(AllData[[#This Row],[Site Name]],LocationsKey[Site Name],LocationsKey[Town])</f>
        <v>#VALUE!</v>
      </c>
      <c r="J2165" t="str">
        <f>_xlfn.XLOOKUP(AllData[[#This Row],[Site Name]],LocationsKey[Site Name], LocationsKey[Waterway])</f>
        <v>Stour</v>
      </c>
      <c r="K2165" t="s">
        <v>266</v>
      </c>
      <c r="L2165">
        <v>52.166370000000001</v>
      </c>
      <c r="M2165" s="108">
        <v>-1.708032</v>
      </c>
      <c r="N2165" t="s">
        <v>68</v>
      </c>
      <c r="O2165">
        <v>493</v>
      </c>
      <c r="P2165">
        <v>13.5</v>
      </c>
      <c r="Q2165">
        <v>5</v>
      </c>
      <c r="R2165" s="141" t="str">
        <f>IF(AllData[[#This Row],[Nitrate (PPM)]]&gt;2, "Very high", IF(AllData[[#This Row],[Nitrate (PPM)]]&gt;1, "High", IF(AllData[[#This Row],[Nitrate (PPM)]]&gt;0.5, "Some evidence", IF(AllData[[#This Row],[Nitrate (PPM)]]&gt;=0, "No evidence"))))</f>
        <v>Very high</v>
      </c>
      <c r="S2165" s="4">
        <v>0.28000000000000003</v>
      </c>
      <c r="T2165" s="7" t="str">
        <f>IF(AllData[[#This Row],[Phosphate (PPM)]]&gt;0.5, "Very high", IF(AllData[[#This Row],[Phosphate (PPM)]]&gt;0.1, "High", IF(AllData[[#This Row],[Phosphate (PPM)]]&gt;0.05, "Some evidence", IF(AllData[[#This Row],[Phosphate (PPM)]]&lt;=0.05, "No Evidence", ""))))</f>
        <v>High</v>
      </c>
      <c r="U2165">
        <v>1.3</v>
      </c>
    </row>
    <row r="2166" spans="1:22" x14ac:dyDescent="0.35">
      <c r="A2166" t="s">
        <v>350</v>
      </c>
      <c r="B2166" s="143">
        <v>45248</v>
      </c>
      <c r="C2166" s="2" t="str" cm="1">
        <f t="array" ref="C21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6">
        <f>YEAR(AllData[[#This Row],[Date]])</f>
        <v>2023</v>
      </c>
      <c r="E2166" s="1">
        <v>0.67013888888888884</v>
      </c>
      <c r="F2166" t="str">
        <f>IF(AND(AllData[[#This Row],[Time]]&lt;0.5, AllData[[#This Row],[Time]]&gt;0.17)=TRUE, "Morning", IF(AND(AllData[[#This Row],[Time]]&lt;0.75, AllData[[#This Row],[Time]]&gt;=0.5)=TRUE, "Afternoon", IF(AND(AllData[[#This Row],[Time]]&lt;1, AllData[[#This Row],[Time]]&gt;=0.75)=TRUE, "Evening", "Night")))</f>
        <v>Afternoon</v>
      </c>
      <c r="G2166" t="str">
        <f>_xlfn.XLOOKUP(AllData[[#This Row],[Location Name]], Locations[Location Name],Locations[Group As])</f>
        <v>Abbey Mill</v>
      </c>
      <c r="H2166" t="e" vm="4">
        <f>_xlfn.XLOOKUP(AllData[[#This Row],[Site Name]],LocationsKey[Site Name],LocationsKey[District])</f>
        <v>#VALUE!</v>
      </c>
      <c r="I2166" t="e" vm="4">
        <f>_xlfn.XLOOKUP(AllData[[#This Row],[Site Name]],LocationsKey[Site Name],LocationsKey[Town])</f>
        <v>#VALUE!</v>
      </c>
      <c r="J2166" t="str">
        <f>_xlfn.XLOOKUP(AllData[[#This Row],[Site Name]],LocationsKey[Site Name], LocationsKey[Waterway])</f>
        <v>Avon</v>
      </c>
      <c r="K2166" t="s">
        <v>24</v>
      </c>
      <c r="L2166">
        <v>51.991405</v>
      </c>
      <c r="M2166" s="108">
        <v>-2.16309</v>
      </c>
      <c r="N2166" t="s">
        <v>25</v>
      </c>
      <c r="O2166">
        <v>701</v>
      </c>
      <c r="P2166">
        <v>11.6</v>
      </c>
      <c r="Q2166">
        <v>8</v>
      </c>
      <c r="R2166" s="141" t="str">
        <f>IF(AllData[[#This Row],[Nitrate (PPM)]]&gt;2, "Very high", IF(AllData[[#This Row],[Nitrate (PPM)]]&gt;1, "High", IF(AllData[[#This Row],[Nitrate (PPM)]]&gt;0.5, "Some evidence", IF(AllData[[#This Row],[Nitrate (PPM)]]&gt;=0, "No evidence"))))</f>
        <v>Very high</v>
      </c>
      <c r="S2166" s="4">
        <v>0.81</v>
      </c>
      <c r="T2166" s="7" t="str">
        <f>IF(AllData[[#This Row],[Phosphate (PPM)]]&gt;0.5, "Very high", IF(AllData[[#This Row],[Phosphate (PPM)]]&gt;0.1, "High", IF(AllData[[#This Row],[Phosphate (PPM)]]&gt;0.05, "Some evidence", IF(AllData[[#This Row],[Phosphate (PPM)]]&lt;=0.05, "No Evidence", ""))))</f>
        <v>Very high</v>
      </c>
      <c r="U2166">
        <v>2</v>
      </c>
    </row>
    <row r="2167" spans="1:22" x14ac:dyDescent="0.35">
      <c r="A2167" t="s">
        <v>349</v>
      </c>
      <c r="B2167" s="143">
        <v>45248</v>
      </c>
      <c r="C2167" s="2" t="str" cm="1">
        <f t="array" ref="C21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7">
        <f>YEAR(AllData[[#This Row],[Date]])</f>
        <v>2023</v>
      </c>
      <c r="E2167" s="1">
        <v>0.52083333333333337</v>
      </c>
      <c r="F2167" t="str">
        <f>IF(AND(AllData[[#This Row],[Time]]&lt;0.5, AllData[[#This Row],[Time]]&gt;0.17)=TRUE, "Morning", IF(AND(AllData[[#This Row],[Time]]&lt;0.75, AllData[[#This Row],[Time]]&gt;=0.5)=TRUE, "Afternoon", IF(AND(AllData[[#This Row],[Time]]&lt;1, AllData[[#This Row],[Time]]&gt;=0.75)=TRUE, "Evening", "Night")))</f>
        <v>Afternoon</v>
      </c>
      <c r="G2167" t="str">
        <f>_xlfn.XLOOKUP(AllData[[#This Row],[Location Name]], Locations[Location Name],Locations[Group As])</f>
        <v>Carrant Bredon Rd</v>
      </c>
      <c r="H2167" t="e" vm="4">
        <f>_xlfn.XLOOKUP(AllData[[#This Row],[Site Name]],LocationsKey[Site Name],LocationsKey[District])</f>
        <v>#VALUE!</v>
      </c>
      <c r="I2167" t="e" vm="4">
        <f>_xlfn.XLOOKUP(AllData[[#This Row],[Site Name]],LocationsKey[Site Name],LocationsKey[Town])</f>
        <v>#VALUE!</v>
      </c>
      <c r="J2167" t="str">
        <f>_xlfn.XLOOKUP(AllData[[#This Row],[Site Name]],LocationsKey[Site Name], LocationsKey[Waterway])</f>
        <v>Carrant</v>
      </c>
      <c r="K2167" t="s">
        <v>91</v>
      </c>
      <c r="M2167" s="108"/>
      <c r="N2167" t="s">
        <v>25</v>
      </c>
      <c r="O2167">
        <v>652</v>
      </c>
      <c r="P2167">
        <v>12.1</v>
      </c>
      <c r="Q2167">
        <v>6</v>
      </c>
      <c r="R2167" s="141" t="str">
        <f>IF(AllData[[#This Row],[Nitrate (PPM)]]&gt;2, "Very high", IF(AllData[[#This Row],[Nitrate (PPM)]]&gt;1, "High", IF(AllData[[#This Row],[Nitrate (PPM)]]&gt;0.5, "Some evidence", IF(AllData[[#This Row],[Nitrate (PPM)]]&gt;=0, "No evidence"))))</f>
        <v>Very high</v>
      </c>
      <c r="S2167" s="4">
        <v>0.32</v>
      </c>
      <c r="T2167" s="7" t="str">
        <f>IF(AllData[[#This Row],[Phosphate (PPM)]]&gt;0.5, "Very high", IF(AllData[[#This Row],[Phosphate (PPM)]]&gt;0.1, "High", IF(AllData[[#This Row],[Phosphate (PPM)]]&gt;0.05, "Some evidence", IF(AllData[[#This Row],[Phosphate (PPM)]]&lt;=0.05, "No Evidence", ""))))</f>
        <v>High</v>
      </c>
      <c r="U2167">
        <v>1</v>
      </c>
    </row>
    <row r="2168" spans="1:22" x14ac:dyDescent="0.35">
      <c r="A2168" t="s">
        <v>351</v>
      </c>
      <c r="B2168" s="143">
        <v>45248</v>
      </c>
      <c r="C2168" s="2" t="str" cm="1">
        <f t="array" ref="C21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8">
        <f>YEAR(AllData[[#This Row],[Date]])</f>
        <v>2023</v>
      </c>
      <c r="E2168" s="1">
        <v>0.70833333333333337</v>
      </c>
      <c r="F2168" t="str">
        <f>IF(AND(AllData[[#This Row],[Time]]&lt;0.5, AllData[[#This Row],[Time]]&gt;0.17)=TRUE, "Morning", IF(AND(AllData[[#This Row],[Time]]&lt;0.75, AllData[[#This Row],[Time]]&gt;=0.5)=TRUE, "Afternoon", IF(AND(AllData[[#This Row],[Time]]&lt;1, AllData[[#This Row],[Time]]&gt;=0.75)=TRUE, "Evening", "Night")))</f>
        <v>Afternoon</v>
      </c>
      <c r="G2168" t="str">
        <f>_xlfn.XLOOKUP(AllData[[#This Row],[Location Name]], Locations[Location Name],Locations[Group As])</f>
        <v>Swilgate</v>
      </c>
      <c r="H2168" t="e" vm="4">
        <f>_xlfn.XLOOKUP(AllData[[#This Row],[Site Name]],LocationsKey[Site Name],LocationsKey[District])</f>
        <v>#VALUE!</v>
      </c>
      <c r="I2168" t="e" vm="4">
        <f>_xlfn.XLOOKUP(AllData[[#This Row],[Site Name]],LocationsKey[Site Name],LocationsKey[Town])</f>
        <v>#VALUE!</v>
      </c>
      <c r="J2168" t="str">
        <f>_xlfn.XLOOKUP(AllData[[#This Row],[Site Name]],LocationsKey[Site Name], LocationsKey[Waterway])</f>
        <v>Swilgate</v>
      </c>
      <c r="K2168" t="s">
        <v>85</v>
      </c>
      <c r="M2168" s="108"/>
      <c r="N2168" t="s">
        <v>25</v>
      </c>
      <c r="O2168">
        <v>857</v>
      </c>
      <c r="P2168">
        <v>14.6</v>
      </c>
      <c r="Q2168">
        <v>5</v>
      </c>
      <c r="R2168" s="141" t="str">
        <f>IF(AllData[[#This Row],[Nitrate (PPM)]]&gt;2, "Very high", IF(AllData[[#This Row],[Nitrate (PPM)]]&gt;1, "High", IF(AllData[[#This Row],[Nitrate (PPM)]]&gt;0.5, "Some evidence", IF(AllData[[#This Row],[Nitrate (PPM)]]&gt;=0, "No evidence"))))</f>
        <v>Very high</v>
      </c>
      <c r="S2168" s="4">
        <v>0.42</v>
      </c>
      <c r="T2168" s="7" t="str">
        <f>IF(AllData[[#This Row],[Phosphate (PPM)]]&gt;0.5, "Very high", IF(AllData[[#This Row],[Phosphate (PPM)]]&gt;0.1, "High", IF(AllData[[#This Row],[Phosphate (PPM)]]&gt;0.05, "Some evidence", IF(AllData[[#This Row],[Phosphate (PPM)]]&lt;=0.05, "No Evidence", ""))))</f>
        <v>High</v>
      </c>
      <c r="U2168">
        <v>1</v>
      </c>
    </row>
    <row r="2169" spans="1:22" x14ac:dyDescent="0.35">
      <c r="A2169" t="s">
        <v>347</v>
      </c>
      <c r="B2169" s="143">
        <v>45246</v>
      </c>
      <c r="C2169" s="2" t="str" cm="1">
        <f t="array" ref="C21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69">
        <f>YEAR(AllData[[#This Row],[Date]])</f>
        <v>2023</v>
      </c>
      <c r="E2169" s="1">
        <v>0.50972222222222219</v>
      </c>
      <c r="F2169" t="str">
        <f>IF(AND(AllData[[#This Row],[Time]]&lt;0.5, AllData[[#This Row],[Time]]&gt;0.17)=TRUE, "Morning", IF(AND(AllData[[#This Row],[Time]]&lt;0.75, AllData[[#This Row],[Time]]&gt;=0.5)=TRUE, "Afternoon", IF(AND(AllData[[#This Row],[Time]]&lt;1, AllData[[#This Row],[Time]]&gt;=0.75)=TRUE, "Evening", "Night")))</f>
        <v>Afternoon</v>
      </c>
      <c r="G2169" t="str">
        <f>_xlfn.XLOOKUP(AllData[[#This Row],[Location Name]], Locations[Location Name],Locations[Group As])</f>
        <v>Preston-on-Stour River Bridge</v>
      </c>
      <c r="H2169" t="e" vm="1">
        <f>_xlfn.XLOOKUP(AllData[[#This Row],[Site Name]],LocationsKey[Site Name],LocationsKey[District])</f>
        <v>#VALUE!</v>
      </c>
      <c r="I2169" t="e" vm="20">
        <f>_xlfn.XLOOKUP(AllData[[#This Row],[Site Name]],LocationsKey[Site Name],LocationsKey[Town])</f>
        <v>#VALUE!</v>
      </c>
      <c r="J2169" t="str">
        <f>_xlfn.XLOOKUP(AllData[[#This Row],[Site Name]],LocationsKey[Site Name], LocationsKey[Waterway])</f>
        <v>Stour</v>
      </c>
      <c r="K2169" t="s">
        <v>164</v>
      </c>
      <c r="L2169">
        <v>52.146557999999999</v>
      </c>
      <c r="M2169" s="108">
        <v>-1.6991499999999999</v>
      </c>
      <c r="N2169" t="s">
        <v>31</v>
      </c>
      <c r="O2169">
        <v>609</v>
      </c>
      <c r="P2169">
        <v>9.4</v>
      </c>
      <c r="Q2169">
        <v>5</v>
      </c>
      <c r="R2169" s="141" t="str">
        <f>IF(AllData[[#This Row],[Nitrate (PPM)]]&gt;2, "Very high", IF(AllData[[#This Row],[Nitrate (PPM)]]&gt;1, "High", IF(AllData[[#This Row],[Nitrate (PPM)]]&gt;0.5, "Some evidence", IF(AllData[[#This Row],[Nitrate (PPM)]]&gt;=0, "No evidence"))))</f>
        <v>Very high</v>
      </c>
      <c r="S2169" s="4">
        <v>0.2</v>
      </c>
      <c r="T2169" s="7" t="str">
        <f>IF(AllData[[#This Row],[Phosphate (PPM)]]&gt;0.5, "Very high", IF(AllData[[#This Row],[Phosphate (PPM)]]&gt;0.1, "High", IF(AllData[[#This Row],[Phosphate (PPM)]]&gt;0.05, "Some evidence", IF(AllData[[#This Row],[Phosphate (PPM)]]&lt;=0.05, "No Evidence", ""))))</f>
        <v>High</v>
      </c>
      <c r="U2169">
        <v>1.5</v>
      </c>
      <c r="V2169" t="s">
        <v>348</v>
      </c>
    </row>
    <row r="2170" spans="1:22" x14ac:dyDescent="0.35">
      <c r="A2170" t="s">
        <v>345</v>
      </c>
      <c r="B2170" s="143">
        <v>45246</v>
      </c>
      <c r="C2170" s="2" t="str" cm="1">
        <f t="array" ref="C21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0">
        <f>YEAR(AllData[[#This Row],[Date]])</f>
        <v>2023</v>
      </c>
      <c r="E2170" s="1">
        <v>0.44444444444444442</v>
      </c>
      <c r="F2170" t="str">
        <f>IF(AND(AllData[[#This Row],[Time]]&lt;0.5, AllData[[#This Row],[Time]]&gt;0.17)=TRUE, "Morning", IF(AND(AllData[[#This Row],[Time]]&lt;0.75, AllData[[#This Row],[Time]]&gt;=0.5)=TRUE, "Afternoon", IF(AND(AllData[[#This Row],[Time]]&lt;1, AllData[[#This Row],[Time]]&gt;=0.75)=TRUE, "Evening", "Night")))</f>
        <v>Morning</v>
      </c>
      <c r="G2170" t="str">
        <f>_xlfn.XLOOKUP(AllData[[#This Row],[Location Name]], Locations[Location Name],Locations[Group As])</f>
        <v>Swiffen Bank</v>
      </c>
      <c r="H2170" t="e" vm="1">
        <f>_xlfn.XLOOKUP(AllData[[#This Row],[Site Name]],LocationsKey[Site Name],LocationsKey[District])</f>
        <v>#VALUE!</v>
      </c>
      <c r="I2170" t="e" vm="2">
        <f>_xlfn.XLOOKUP(AllData[[#This Row],[Site Name]],LocationsKey[Site Name],LocationsKey[Town])</f>
        <v>#VALUE!</v>
      </c>
      <c r="J2170" t="str">
        <f>_xlfn.XLOOKUP(AllData[[#This Row],[Site Name]],LocationsKey[Site Name], LocationsKey[Waterway])</f>
        <v>Avon</v>
      </c>
      <c r="K2170" t="s">
        <v>286</v>
      </c>
      <c r="M2170" s="108"/>
      <c r="N2170" t="s">
        <v>31</v>
      </c>
      <c r="O2170">
        <v>584</v>
      </c>
      <c r="P2170">
        <v>12.2</v>
      </c>
      <c r="Q2170">
        <v>5</v>
      </c>
      <c r="R2170" s="141" t="str">
        <f>IF(AllData[[#This Row],[Nitrate (PPM)]]&gt;2, "Very high", IF(AllData[[#This Row],[Nitrate (PPM)]]&gt;1, "High", IF(AllData[[#This Row],[Nitrate (PPM)]]&gt;0.5, "Some evidence", IF(AllData[[#This Row],[Nitrate (PPM)]]&gt;=0, "No evidence"))))</f>
        <v>Very high</v>
      </c>
      <c r="S2170" s="4">
        <v>0.59</v>
      </c>
      <c r="T2170" s="7" t="str">
        <f>IF(AllData[[#This Row],[Phosphate (PPM)]]&gt;0.5, "Very high", IF(AllData[[#This Row],[Phosphate (PPM)]]&gt;0.1, "High", IF(AllData[[#This Row],[Phosphate (PPM)]]&gt;0.05, "Some evidence", IF(AllData[[#This Row],[Phosphate (PPM)]]&lt;=0.05, "No Evidence", ""))))</f>
        <v>Very high</v>
      </c>
      <c r="U2170">
        <v>1</v>
      </c>
      <c r="V2170" t="s">
        <v>346</v>
      </c>
    </row>
    <row r="2171" spans="1:22" x14ac:dyDescent="0.35">
      <c r="A2171" t="s">
        <v>343</v>
      </c>
      <c r="B2171" s="143">
        <v>45246</v>
      </c>
      <c r="C2171" s="2" t="str" cm="1">
        <f t="array" ref="C21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1">
        <f>YEAR(AllData[[#This Row],[Date]])</f>
        <v>2023</v>
      </c>
      <c r="E2171" s="1">
        <v>0.37708333333333333</v>
      </c>
      <c r="F2171" t="str">
        <f>IF(AND(AllData[[#This Row],[Time]]&lt;0.5, AllData[[#This Row],[Time]]&gt;0.17)=TRUE, "Morning", IF(AND(AllData[[#This Row],[Time]]&lt;0.75, AllData[[#This Row],[Time]]&gt;=0.5)=TRUE, "Afternoon", IF(AND(AllData[[#This Row],[Time]]&lt;1, AllData[[#This Row],[Time]]&gt;=0.75)=TRUE, "Evening", "Night")))</f>
        <v>Morning</v>
      </c>
      <c r="G2171" t="str">
        <f>_xlfn.XLOOKUP(AllData[[#This Row],[Location Name]], Locations[Location Name],Locations[Group As])</f>
        <v>Alveston Weir</v>
      </c>
      <c r="H2171" t="e" vm="1">
        <f>_xlfn.XLOOKUP(AllData[[#This Row],[Site Name]],LocationsKey[Site Name],LocationsKey[District])</f>
        <v>#VALUE!</v>
      </c>
      <c r="I2171" t="e" vm="2">
        <f>_xlfn.XLOOKUP(AllData[[#This Row],[Site Name]],LocationsKey[Site Name],LocationsKey[Town])</f>
        <v>#VALUE!</v>
      </c>
      <c r="J2171" t="str">
        <f>_xlfn.XLOOKUP(AllData[[#This Row],[Site Name]],LocationsKey[Site Name], LocationsKey[Waterway])</f>
        <v>Avon</v>
      </c>
      <c r="K2171" t="s">
        <v>288</v>
      </c>
      <c r="L2171">
        <v>52.207715999999998</v>
      </c>
      <c r="M2171" s="108">
        <v>-1.6586399999999999</v>
      </c>
      <c r="N2171" t="s">
        <v>31</v>
      </c>
      <c r="O2171">
        <v>568</v>
      </c>
      <c r="P2171">
        <v>16.100000000000001</v>
      </c>
      <c r="Q2171">
        <v>5</v>
      </c>
      <c r="R2171" s="141" t="str">
        <f>IF(AllData[[#This Row],[Nitrate (PPM)]]&gt;2, "Very high", IF(AllData[[#This Row],[Nitrate (PPM)]]&gt;1, "High", IF(AllData[[#This Row],[Nitrate (PPM)]]&gt;0.5, "Some evidence", IF(AllData[[#This Row],[Nitrate (PPM)]]&gt;=0, "No evidence"))))</f>
        <v>Very high</v>
      </c>
      <c r="S2171" s="4">
        <v>0.51</v>
      </c>
      <c r="T2171" s="7" t="str">
        <f>IF(AllData[[#This Row],[Phosphate (PPM)]]&gt;0.5, "Very high", IF(AllData[[#This Row],[Phosphate (PPM)]]&gt;0.1, "High", IF(AllData[[#This Row],[Phosphate (PPM)]]&gt;0.05, "Some evidence", IF(AllData[[#This Row],[Phosphate (PPM)]]&lt;=0.05, "No Evidence", ""))))</f>
        <v>Very high</v>
      </c>
      <c r="U2171">
        <v>0</v>
      </c>
      <c r="V2171" t="s">
        <v>344</v>
      </c>
    </row>
    <row r="2172" spans="1:22" x14ac:dyDescent="0.35">
      <c r="A2172" t="s">
        <v>341</v>
      </c>
      <c r="B2172" s="143">
        <v>45245</v>
      </c>
      <c r="C2172" s="2" t="str" cm="1">
        <f t="array" ref="C21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2">
        <f>YEAR(AllData[[#This Row],[Date]])</f>
        <v>2023</v>
      </c>
      <c r="E2172" s="1">
        <v>0.66666666666666663</v>
      </c>
      <c r="F2172" t="str">
        <f>IF(AND(AllData[[#This Row],[Time]]&lt;0.5, AllData[[#This Row],[Time]]&gt;0.17)=TRUE, "Morning", IF(AND(AllData[[#This Row],[Time]]&lt;0.75, AllData[[#This Row],[Time]]&gt;=0.5)=TRUE, "Afternoon", IF(AND(AllData[[#This Row],[Time]]&lt;1, AllData[[#This Row],[Time]]&gt;=0.75)=TRUE, "Evening", "Night")))</f>
        <v>Afternoon</v>
      </c>
      <c r="G2172" t="str">
        <f>_xlfn.XLOOKUP(AllData[[#This Row],[Location Name]], Locations[Location Name],Locations[Group As])</f>
        <v>Stour Newbold Mill</v>
      </c>
      <c r="H2172" t="e" vm="1">
        <f>_xlfn.XLOOKUP(AllData[[#This Row],[Site Name]],LocationsKey[Site Name],LocationsKey[District])</f>
        <v>#VALUE!</v>
      </c>
      <c r="I2172" t="e" vm="27">
        <f>_xlfn.XLOOKUP(AllData[[#This Row],[Site Name]],LocationsKey[Site Name],LocationsKey[Town])</f>
        <v>#VALUE!</v>
      </c>
      <c r="J2172" t="str">
        <f>_xlfn.XLOOKUP(AllData[[#This Row],[Site Name]],LocationsKey[Site Name], LocationsKey[Waterway])</f>
        <v>Stour</v>
      </c>
      <c r="K2172" t="s">
        <v>141</v>
      </c>
      <c r="M2172" s="108"/>
      <c r="N2172" t="s">
        <v>31</v>
      </c>
      <c r="O2172">
        <v>667</v>
      </c>
      <c r="P2172">
        <v>12.1</v>
      </c>
      <c r="Q2172">
        <v>5</v>
      </c>
      <c r="R2172" s="141" t="str">
        <f>IF(AllData[[#This Row],[Nitrate (PPM)]]&gt;2, "Very high", IF(AllData[[#This Row],[Nitrate (PPM)]]&gt;1, "High", IF(AllData[[#This Row],[Nitrate (PPM)]]&gt;0.5, "Some evidence", IF(AllData[[#This Row],[Nitrate (PPM)]]&gt;=0, "No evidence"))))</f>
        <v>Very high</v>
      </c>
      <c r="S2172" s="4">
        <v>0.24</v>
      </c>
      <c r="T2172" s="7" t="str">
        <f>IF(AllData[[#This Row],[Phosphate (PPM)]]&gt;0.5, "Very high", IF(AllData[[#This Row],[Phosphate (PPM)]]&gt;0.1, "High", IF(AllData[[#This Row],[Phosphate (PPM)]]&gt;0.05, "Some evidence", IF(AllData[[#This Row],[Phosphate (PPM)]]&lt;=0.05, "No Evidence", ""))))</f>
        <v>High</v>
      </c>
      <c r="U2172">
        <v>2.5</v>
      </c>
      <c r="V2172" t="s">
        <v>342</v>
      </c>
    </row>
    <row r="2173" spans="1:22" x14ac:dyDescent="0.35">
      <c r="A2173" t="s">
        <v>340</v>
      </c>
      <c r="B2173" s="143">
        <v>45244</v>
      </c>
      <c r="C2173" s="2" t="str" cm="1">
        <f t="array" ref="C21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3">
        <f>YEAR(AllData[[#This Row],[Date]])</f>
        <v>2023</v>
      </c>
      <c r="E2173" s="1">
        <v>0.47916666666666669</v>
      </c>
      <c r="F2173" t="str">
        <f>IF(AND(AllData[[#This Row],[Time]]&lt;0.5, AllData[[#This Row],[Time]]&gt;0.17)=TRUE, "Morning", IF(AND(AllData[[#This Row],[Time]]&lt;0.75, AllData[[#This Row],[Time]]&gt;=0.5)=TRUE, "Afternoon", IF(AND(AllData[[#This Row],[Time]]&lt;1, AllData[[#This Row],[Time]]&gt;=0.75)=TRUE, "Evening", "Night")))</f>
        <v>Morning</v>
      </c>
      <c r="G2173" t="str">
        <f>_xlfn.XLOOKUP(AllData[[#This Row],[Location Name]], Locations[Location Name],Locations[Group As])</f>
        <v>Weston-on-Avon</v>
      </c>
      <c r="H2173" t="e" vm="1">
        <f>_xlfn.XLOOKUP(AllData[[#This Row],[Site Name]],LocationsKey[Site Name],LocationsKey[District])</f>
        <v>#VALUE!</v>
      </c>
      <c r="I2173" t="e" vm="35">
        <f>_xlfn.XLOOKUP(AllData[[#This Row],[Site Name]],LocationsKey[Site Name],LocationsKey[Town])</f>
        <v>#VALUE!</v>
      </c>
      <c r="J2173" t="str">
        <f>_xlfn.XLOOKUP(AllData[[#This Row],[Site Name]],LocationsKey[Site Name], LocationsKey[Waterway])</f>
        <v>Avon</v>
      </c>
      <c r="K2173" t="s">
        <v>43</v>
      </c>
      <c r="L2173">
        <v>52.167430000000003</v>
      </c>
      <c r="M2173" s="108">
        <v>-1.7744800000000001</v>
      </c>
      <c r="N2173" t="s">
        <v>31</v>
      </c>
      <c r="O2173">
        <v>640</v>
      </c>
      <c r="P2173">
        <v>11.3</v>
      </c>
      <c r="Q2173">
        <v>5</v>
      </c>
      <c r="R2173" s="141" t="str">
        <f>IF(AllData[[#This Row],[Nitrate (PPM)]]&gt;2, "Very high", IF(AllData[[#This Row],[Nitrate (PPM)]]&gt;1, "High", IF(AllData[[#This Row],[Nitrate (PPM)]]&gt;0.5, "Some evidence", IF(AllData[[#This Row],[Nitrate (PPM)]]&gt;=0, "No evidence"))))</f>
        <v>Very high</v>
      </c>
      <c r="S2173" s="4">
        <v>0.41</v>
      </c>
      <c r="T2173" s="7" t="str">
        <f>IF(AllData[[#This Row],[Phosphate (PPM)]]&gt;0.5, "Very high", IF(AllData[[#This Row],[Phosphate (PPM)]]&gt;0.1, "High", IF(AllData[[#This Row],[Phosphate (PPM)]]&gt;0.05, "Some evidence", IF(AllData[[#This Row],[Phosphate (PPM)]]&lt;=0.05, "No Evidence", ""))))</f>
        <v>High</v>
      </c>
      <c r="U2173">
        <v>0</v>
      </c>
    </row>
    <row r="2174" spans="1:22" x14ac:dyDescent="0.35">
      <c r="A2174" t="s">
        <v>336</v>
      </c>
      <c r="B2174" s="143">
        <v>45244</v>
      </c>
      <c r="C2174" s="2" t="str" cm="1">
        <f t="array" ref="C21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4">
        <f>YEAR(AllData[[#This Row],[Date]])</f>
        <v>2023</v>
      </c>
      <c r="E2174" s="1">
        <v>0.40625</v>
      </c>
      <c r="F2174" t="str">
        <f>IF(AND(AllData[[#This Row],[Time]]&lt;0.5, AllData[[#This Row],[Time]]&gt;0.17)=TRUE, "Morning", IF(AND(AllData[[#This Row],[Time]]&lt;0.75, AllData[[#This Row],[Time]]&gt;=0.5)=TRUE, "Afternoon", IF(AND(AllData[[#This Row],[Time]]&lt;1, AllData[[#This Row],[Time]]&gt;=0.75)=TRUE, "Evening", "Night")))</f>
        <v>Morning</v>
      </c>
      <c r="G2174" t="str">
        <f>_xlfn.XLOOKUP(AllData[[#This Row],[Location Name]], Locations[Location Name],Locations[Group As])</f>
        <v>Stour Stretton-on-Fosse Sewage Works</v>
      </c>
      <c r="H2174" t="e" vm="1">
        <f>_xlfn.XLOOKUP(AllData[[#This Row],[Site Name]],LocationsKey[Site Name],LocationsKey[District])</f>
        <v>#VALUE!</v>
      </c>
      <c r="I2174" t="e" vm="30">
        <f>_xlfn.XLOOKUP(AllData[[#This Row],[Site Name]],LocationsKey[Site Name],LocationsKey[Town])</f>
        <v>#VALUE!</v>
      </c>
      <c r="J2174" t="str">
        <f>_xlfn.XLOOKUP(AllData[[#This Row],[Site Name]],LocationsKey[Site Name], LocationsKey[Waterway])</f>
        <v>Stour</v>
      </c>
      <c r="K2174" t="s">
        <v>337</v>
      </c>
      <c r="L2174">
        <v>52.045651999999997</v>
      </c>
      <c r="M2174" s="108">
        <v>-1.6719360000000001</v>
      </c>
      <c r="N2174" t="s">
        <v>31</v>
      </c>
      <c r="O2174">
        <v>453</v>
      </c>
      <c r="P2174">
        <v>10.3</v>
      </c>
      <c r="Q2174">
        <v>5</v>
      </c>
      <c r="R2174" s="141" t="str">
        <f>IF(AllData[[#This Row],[Nitrate (PPM)]]&gt;2, "Very high", IF(AllData[[#This Row],[Nitrate (PPM)]]&gt;1, "High", IF(AllData[[#This Row],[Nitrate (PPM)]]&gt;0.5, "Some evidence", IF(AllData[[#This Row],[Nitrate (PPM)]]&gt;=0, "No evidence"))))</f>
        <v>Very high</v>
      </c>
      <c r="S2174" s="4">
        <v>0.64</v>
      </c>
      <c r="T2174" s="7" t="str">
        <f>IF(AllData[[#This Row],[Phosphate (PPM)]]&gt;0.5, "Very high", IF(AllData[[#This Row],[Phosphate (PPM)]]&gt;0.1, "High", IF(AllData[[#This Row],[Phosphate (PPM)]]&gt;0.05, "Some evidence", IF(AllData[[#This Row],[Phosphate (PPM)]]&lt;=0.05, "No Evidence", ""))))</f>
        <v>Very high</v>
      </c>
      <c r="U2174">
        <v>0.3</v>
      </c>
    </row>
    <row r="2175" spans="1:22" x14ac:dyDescent="0.35">
      <c r="A2175" t="s">
        <v>338</v>
      </c>
      <c r="B2175" s="143">
        <v>45244</v>
      </c>
      <c r="C2175" s="2" t="str" cm="1">
        <f t="array" ref="C21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5">
        <f>YEAR(AllData[[#This Row],[Date]])</f>
        <v>2023</v>
      </c>
      <c r="E2175" s="1">
        <v>0.42708333333333331</v>
      </c>
      <c r="F2175" t="str">
        <f>IF(AND(AllData[[#This Row],[Time]]&lt;0.5, AllData[[#This Row],[Time]]&gt;0.17)=TRUE, "Morning", IF(AND(AllData[[#This Row],[Time]]&lt;0.75, AllData[[#This Row],[Time]]&gt;=0.5)=TRUE, "Afternoon", IF(AND(AllData[[#This Row],[Time]]&lt;1, AllData[[#This Row],[Time]]&gt;=0.75)=TRUE, "Evening", "Night")))</f>
        <v>Morning</v>
      </c>
      <c r="G2175" t="str">
        <f>_xlfn.XLOOKUP(AllData[[#This Row],[Location Name]], Locations[Location Name],Locations[Group As])</f>
        <v>Stour Stretton-on-Fosse Village</v>
      </c>
      <c r="H2175" t="e" vm="1">
        <f>_xlfn.XLOOKUP(AllData[[#This Row],[Site Name]],LocationsKey[Site Name],LocationsKey[District])</f>
        <v>#VALUE!</v>
      </c>
      <c r="I2175" t="e" vm="30">
        <f>_xlfn.XLOOKUP(AllData[[#This Row],[Site Name]],LocationsKey[Site Name],LocationsKey[Town])</f>
        <v>#VALUE!</v>
      </c>
      <c r="J2175" t="str">
        <f>_xlfn.XLOOKUP(AllData[[#This Row],[Site Name]],LocationsKey[Site Name], LocationsKey[Waterway])</f>
        <v>Stour</v>
      </c>
      <c r="K2175" t="s">
        <v>339</v>
      </c>
      <c r="L2175">
        <v>52.046506999999998</v>
      </c>
      <c r="M2175" s="108">
        <v>-1.6734880000000001</v>
      </c>
      <c r="N2175" t="s">
        <v>68</v>
      </c>
      <c r="O2175">
        <v>394</v>
      </c>
      <c r="P2175">
        <v>10.5</v>
      </c>
      <c r="Q2175">
        <v>5</v>
      </c>
      <c r="R2175" s="141" t="str">
        <f>IF(AllData[[#This Row],[Nitrate (PPM)]]&gt;2, "Very high", IF(AllData[[#This Row],[Nitrate (PPM)]]&gt;1, "High", IF(AllData[[#This Row],[Nitrate (PPM)]]&gt;0.5, "Some evidence", IF(AllData[[#This Row],[Nitrate (PPM)]]&gt;=0, "No evidence"))))</f>
        <v>Very high</v>
      </c>
      <c r="S2175" s="4">
        <v>0.2</v>
      </c>
      <c r="T2175" s="7" t="str">
        <f>IF(AllData[[#This Row],[Phosphate (PPM)]]&gt;0.5, "Very high", IF(AllData[[#This Row],[Phosphate (PPM)]]&gt;0.1, "High", IF(AllData[[#This Row],[Phosphate (PPM)]]&gt;0.05, "Some evidence", IF(AllData[[#This Row],[Phosphate (PPM)]]&lt;=0.05, "No Evidence", ""))))</f>
        <v>High</v>
      </c>
      <c r="U2175">
        <v>0.2</v>
      </c>
    </row>
    <row r="2176" spans="1:22" x14ac:dyDescent="0.35">
      <c r="A2176" t="s">
        <v>333</v>
      </c>
      <c r="B2176" s="143">
        <v>45243</v>
      </c>
      <c r="C2176" s="2" t="str" cm="1">
        <f t="array" ref="C21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6">
        <f>YEAR(AllData[[#This Row],[Date]])</f>
        <v>2023</v>
      </c>
      <c r="E2176" s="1">
        <v>0.53125</v>
      </c>
      <c r="F2176" t="str">
        <f>IF(AND(AllData[[#This Row],[Time]]&lt;0.5, AllData[[#This Row],[Time]]&gt;0.17)=TRUE, "Morning", IF(AND(AllData[[#This Row],[Time]]&lt;0.75, AllData[[#This Row],[Time]]&gt;=0.5)=TRUE, "Afternoon", IF(AND(AllData[[#This Row],[Time]]&lt;1, AllData[[#This Row],[Time]]&gt;=0.75)=TRUE, "Evening", "Night")))</f>
        <v>Afternoon</v>
      </c>
      <c r="G2176" t="str">
        <f>_xlfn.XLOOKUP(AllData[[#This Row],[Location Name]], Locations[Location Name],Locations[Group As])</f>
        <v>Clifford Chambers Mill Bridge</v>
      </c>
      <c r="H2176" t="e" vm="1">
        <f>_xlfn.XLOOKUP(AllData[[#This Row],[Site Name]],LocationsKey[Site Name],LocationsKey[District])</f>
        <v>#VALUE!</v>
      </c>
      <c r="I2176" t="e" vm="22">
        <f>_xlfn.XLOOKUP(AllData[[#This Row],[Site Name]],LocationsKey[Site Name],LocationsKey[Town])</f>
        <v>#VALUE!</v>
      </c>
      <c r="J2176" t="str">
        <f>_xlfn.XLOOKUP(AllData[[#This Row],[Site Name]],LocationsKey[Site Name], LocationsKey[Waterway])</f>
        <v>Stour</v>
      </c>
      <c r="K2176" t="s">
        <v>334</v>
      </c>
      <c r="L2176">
        <v>52.166370000000001</v>
      </c>
      <c r="M2176" s="108">
        <v>-1.7083200000000001</v>
      </c>
      <c r="N2176" t="s">
        <v>68</v>
      </c>
      <c r="O2176">
        <v>164</v>
      </c>
      <c r="P2176">
        <v>14.2</v>
      </c>
      <c r="Q2176">
        <v>8</v>
      </c>
      <c r="R2176" s="141" t="str">
        <f>IF(AllData[[#This Row],[Nitrate (PPM)]]&gt;2, "Very high", IF(AllData[[#This Row],[Nitrate (PPM)]]&gt;1, "High", IF(AllData[[#This Row],[Nitrate (PPM)]]&gt;0.5, "Some evidence", IF(AllData[[#This Row],[Nitrate (PPM)]]&gt;=0, "No evidence"))))</f>
        <v>Very high</v>
      </c>
      <c r="S2176" s="4">
        <v>0.36</v>
      </c>
      <c r="T2176" s="7" t="str">
        <f>IF(AllData[[#This Row],[Phosphate (PPM)]]&gt;0.5, "Very high", IF(AllData[[#This Row],[Phosphate (PPM)]]&gt;0.1, "High", IF(AllData[[#This Row],[Phosphate (PPM)]]&gt;0.05, "Some evidence", IF(AllData[[#This Row],[Phosphate (PPM)]]&lt;=0.05, "No Evidence", ""))))</f>
        <v>High</v>
      </c>
      <c r="U2176">
        <v>1.6</v>
      </c>
      <c r="V2176" t="s">
        <v>335</v>
      </c>
    </row>
    <row r="2177" spans="1:22" x14ac:dyDescent="0.35">
      <c r="A2177" t="s">
        <v>326</v>
      </c>
      <c r="B2177" s="143">
        <v>45242</v>
      </c>
      <c r="C2177" s="2" t="str" cm="1">
        <f t="array" ref="C21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7">
        <f>YEAR(AllData[[#This Row],[Date]])</f>
        <v>2023</v>
      </c>
      <c r="E2177" s="1">
        <v>0.44791666666666669</v>
      </c>
      <c r="F2177" t="str">
        <f>IF(AND(AllData[[#This Row],[Time]]&lt;0.5, AllData[[#This Row],[Time]]&gt;0.17)=TRUE, "Morning", IF(AND(AllData[[#This Row],[Time]]&lt;0.75, AllData[[#This Row],[Time]]&gt;=0.5)=TRUE, "Afternoon", IF(AND(AllData[[#This Row],[Time]]&lt;1, AllData[[#This Row],[Time]]&gt;=0.75)=TRUE, "Evening", "Night")))</f>
        <v>Morning</v>
      </c>
      <c r="G2177" t="str">
        <f>_xlfn.XLOOKUP(AllData[[#This Row],[Location Name]], Locations[Location Name],Locations[Group As])</f>
        <v>Lucy's Mill Bridge</v>
      </c>
      <c r="H2177" t="e" vm="1">
        <f>_xlfn.XLOOKUP(AllData[[#This Row],[Site Name]],LocationsKey[Site Name],LocationsKey[District])</f>
        <v>#VALUE!</v>
      </c>
      <c r="I2177" t="e" vm="12">
        <f>_xlfn.XLOOKUP(AllData[[#This Row],[Site Name]],LocationsKey[Site Name],LocationsKey[Town])</f>
        <v>#VALUE!</v>
      </c>
      <c r="J2177" t="str">
        <f>_xlfn.XLOOKUP(AllData[[#This Row],[Site Name]],LocationsKey[Site Name], LocationsKey[Waterway])</f>
        <v>Avon</v>
      </c>
      <c r="K2177" t="s">
        <v>212</v>
      </c>
      <c r="L2177">
        <v>52.183698999999997</v>
      </c>
      <c r="M2177" s="108">
        <v>-1.707816</v>
      </c>
      <c r="N2177" t="s">
        <v>31</v>
      </c>
      <c r="P2177">
        <v>9</v>
      </c>
      <c r="Q2177">
        <v>10</v>
      </c>
      <c r="R2177" s="141" t="str">
        <f>IF(AllData[[#This Row],[Nitrate (PPM)]]&gt;2, "Very high", IF(AllData[[#This Row],[Nitrate (PPM)]]&gt;1, "High", IF(AllData[[#This Row],[Nitrate (PPM)]]&gt;0.5, "Some evidence", IF(AllData[[#This Row],[Nitrate (PPM)]]&gt;=0, "No evidence"))))</f>
        <v>Very high</v>
      </c>
      <c r="S2177" s="4">
        <v>0.49</v>
      </c>
      <c r="T2177" s="7" t="str">
        <f>IF(AllData[[#This Row],[Phosphate (PPM)]]&gt;0.5, "Very high", IF(AllData[[#This Row],[Phosphate (PPM)]]&gt;0.1, "High", IF(AllData[[#This Row],[Phosphate (PPM)]]&gt;0.05, "Some evidence", IF(AllData[[#This Row],[Phosphate (PPM)]]&lt;=0.05, "No Evidence", ""))))</f>
        <v>High</v>
      </c>
      <c r="U2177">
        <v>0.7</v>
      </c>
    </row>
    <row r="2178" spans="1:22" x14ac:dyDescent="0.35">
      <c r="A2178" t="s">
        <v>331</v>
      </c>
      <c r="B2178" s="143">
        <v>45242</v>
      </c>
      <c r="C2178" s="2" t="str" cm="1">
        <f t="array" ref="C21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8">
        <f>YEAR(AllData[[#This Row],[Date]])</f>
        <v>2023</v>
      </c>
      <c r="E2178" s="1">
        <v>0.66666666666666663</v>
      </c>
      <c r="F2178" t="str">
        <f>IF(AND(AllData[[#This Row],[Time]]&lt;0.5, AllData[[#This Row],[Time]]&gt;0.17)=TRUE, "Morning", IF(AND(AllData[[#This Row],[Time]]&lt;0.75, AllData[[#This Row],[Time]]&gt;=0.5)=TRUE, "Afternoon", IF(AND(AllData[[#This Row],[Time]]&lt;1, AllData[[#This Row],[Time]]&gt;=0.75)=TRUE, "Evening", "Night")))</f>
        <v>Afternoon</v>
      </c>
      <c r="G2178" t="str">
        <f>_xlfn.XLOOKUP(AllData[[#This Row],[Location Name]], Locations[Location Name],Locations[Group As])</f>
        <v>Welford Boat Station</v>
      </c>
      <c r="H2178" t="e" vm="1">
        <f>_xlfn.XLOOKUP(AllData[[#This Row],[Site Name]],LocationsKey[Site Name],LocationsKey[District])</f>
        <v>#VALUE!</v>
      </c>
      <c r="I2178" t="e" vm="36">
        <f>_xlfn.XLOOKUP(AllData[[#This Row],[Site Name]],LocationsKey[Site Name],LocationsKey[Town])</f>
        <v>#VALUE!</v>
      </c>
      <c r="J2178" t="str">
        <f>_xlfn.XLOOKUP(AllData[[#This Row],[Site Name]],LocationsKey[Site Name], LocationsKey[Waterway])</f>
        <v>Avon</v>
      </c>
      <c r="K2178" t="s">
        <v>41</v>
      </c>
      <c r="L2178">
        <v>52.175240000000002</v>
      </c>
      <c r="M2178" s="108">
        <v>-1.7918700000000001</v>
      </c>
      <c r="N2178" t="s">
        <v>31</v>
      </c>
      <c r="O2178">
        <v>808</v>
      </c>
      <c r="P2178">
        <v>9.1999999999999993</v>
      </c>
      <c r="Q2178">
        <v>8</v>
      </c>
      <c r="R2178" s="141" t="str">
        <f>IF(AllData[[#This Row],[Nitrate (PPM)]]&gt;2, "Very high", IF(AllData[[#This Row],[Nitrate (PPM)]]&gt;1, "High", IF(AllData[[#This Row],[Nitrate (PPM)]]&gt;0.5, "Some evidence", IF(AllData[[#This Row],[Nitrate (PPM)]]&gt;=0, "No evidence"))))</f>
        <v>Very high</v>
      </c>
      <c r="S2178" s="4">
        <v>0.48</v>
      </c>
      <c r="T2178" s="7" t="str">
        <f>IF(AllData[[#This Row],[Phosphate (PPM)]]&gt;0.5, "Very high", IF(AllData[[#This Row],[Phosphate (PPM)]]&gt;0.1, "High", IF(AllData[[#This Row],[Phosphate (PPM)]]&gt;0.05, "Some evidence", IF(AllData[[#This Row],[Phosphate (PPM)]]&lt;=0.05, "No Evidence", ""))))</f>
        <v>High</v>
      </c>
      <c r="U2178">
        <v>0</v>
      </c>
      <c r="V2178" t="s">
        <v>332</v>
      </c>
    </row>
    <row r="2179" spans="1:22" x14ac:dyDescent="0.35">
      <c r="A2179" t="s">
        <v>329</v>
      </c>
      <c r="B2179" s="143">
        <v>45242</v>
      </c>
      <c r="C2179" s="2" t="str" cm="1">
        <f t="array" ref="C21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79">
        <f>YEAR(AllData[[#This Row],[Date]])</f>
        <v>2023</v>
      </c>
      <c r="E2179" s="1">
        <v>0.47916666666666669</v>
      </c>
      <c r="F2179" t="str">
        <f>IF(AND(AllData[[#This Row],[Time]]&lt;0.5, AllData[[#This Row],[Time]]&gt;0.17)=TRUE, "Morning", IF(AND(AllData[[#This Row],[Time]]&lt;0.75, AllData[[#This Row],[Time]]&gt;=0.5)=TRUE, "Afternoon", IF(AND(AllData[[#This Row],[Time]]&lt;1, AllData[[#This Row],[Time]]&gt;=0.75)=TRUE, "Evening", "Night")))</f>
        <v>Morning</v>
      </c>
      <c r="G2179" t="str">
        <f>_xlfn.XLOOKUP(AllData[[#This Row],[Location Name]], Locations[Location Name],Locations[Group As])</f>
        <v>Hampton Wood</v>
      </c>
      <c r="H2179" t="e" vm="1">
        <f>_xlfn.XLOOKUP(AllData[[#This Row],[Site Name]],LocationsKey[Site Name],LocationsKey[District])</f>
        <v>#VALUE!</v>
      </c>
      <c r="I2179" t="e" vm="34">
        <f>_xlfn.XLOOKUP(AllData[[#This Row],[Site Name]],LocationsKey[Site Name],LocationsKey[Town])</f>
        <v>#VALUE!</v>
      </c>
      <c r="J2179" t="str">
        <f>_xlfn.XLOOKUP(AllData[[#This Row],[Site Name]],LocationsKey[Site Name], LocationsKey[Waterway])</f>
        <v>Avon</v>
      </c>
      <c r="K2179" t="s">
        <v>36</v>
      </c>
      <c r="L2179">
        <v>52.238149999999997</v>
      </c>
      <c r="M2179" s="108">
        <v>-1.6245799999999999</v>
      </c>
      <c r="N2179" t="s">
        <v>31</v>
      </c>
      <c r="O2179">
        <v>822</v>
      </c>
      <c r="P2179">
        <v>9</v>
      </c>
      <c r="Q2179">
        <v>7</v>
      </c>
      <c r="R2179" s="141" t="str">
        <f>IF(AllData[[#This Row],[Nitrate (PPM)]]&gt;2, "Very high", IF(AllData[[#This Row],[Nitrate (PPM)]]&gt;1, "High", IF(AllData[[#This Row],[Nitrate (PPM)]]&gt;0.5, "Some evidence", IF(AllData[[#This Row],[Nitrate (PPM)]]&gt;=0, "No evidence"))))</f>
        <v>Very high</v>
      </c>
      <c r="S2179" s="4">
        <v>0.53</v>
      </c>
      <c r="T2179" s="7" t="str">
        <f>IF(AllData[[#This Row],[Phosphate (PPM)]]&gt;0.5, "Very high", IF(AllData[[#This Row],[Phosphate (PPM)]]&gt;0.1, "High", IF(AllData[[#This Row],[Phosphate (PPM)]]&gt;0.05, "Some evidence", IF(AllData[[#This Row],[Phosphate (PPM)]]&lt;=0.05, "No Evidence", ""))))</f>
        <v>Very high</v>
      </c>
      <c r="U2179">
        <v>0</v>
      </c>
    </row>
    <row r="2180" spans="1:22" x14ac:dyDescent="0.35">
      <c r="A2180" t="s">
        <v>327</v>
      </c>
      <c r="B2180" s="143">
        <v>45242</v>
      </c>
      <c r="C2180" s="2" t="str" cm="1">
        <f t="array" ref="C21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0">
        <f>YEAR(AllData[[#This Row],[Date]])</f>
        <v>2023</v>
      </c>
      <c r="E2180" s="1">
        <v>0.46527777777777779</v>
      </c>
      <c r="F2180" t="str">
        <f>IF(AND(AllData[[#This Row],[Time]]&lt;0.5, AllData[[#This Row],[Time]]&gt;0.17)=TRUE, "Morning", IF(AND(AllData[[#This Row],[Time]]&lt;0.75, AllData[[#This Row],[Time]]&gt;=0.5)=TRUE, "Afternoon", IF(AND(AllData[[#This Row],[Time]]&lt;1, AllData[[#This Row],[Time]]&gt;=0.75)=TRUE, "Evening", "Night")))</f>
        <v>Morning</v>
      </c>
      <c r="G2180" t="str">
        <f>_xlfn.XLOOKUP(AllData[[#This Row],[Location Name]], Locations[Location Name],Locations[Group As])</f>
        <v>Avonbank Drive</v>
      </c>
      <c r="H2180" t="e" vm="1">
        <f>_xlfn.XLOOKUP(AllData[[#This Row],[Site Name]],LocationsKey[Site Name],LocationsKey[District])</f>
        <v>#VALUE!</v>
      </c>
      <c r="I2180" t="e" vm="12">
        <f>_xlfn.XLOOKUP(AllData[[#This Row],[Site Name]],LocationsKey[Site Name],LocationsKey[Town])</f>
        <v>#VALUE!</v>
      </c>
      <c r="J2180" t="str">
        <f>_xlfn.XLOOKUP(AllData[[#This Row],[Site Name]],LocationsKey[Site Name], LocationsKey[Waterway])</f>
        <v>Avon</v>
      </c>
      <c r="K2180" t="s">
        <v>328</v>
      </c>
      <c r="L2180">
        <v>52.177214999999997</v>
      </c>
      <c r="M2180" s="108">
        <v>-1.7357640000000001</v>
      </c>
      <c r="N2180" t="s">
        <v>68</v>
      </c>
      <c r="O2180">
        <v>855</v>
      </c>
      <c r="P2180">
        <v>9.3000000000000007</v>
      </c>
      <c r="Q2180">
        <v>5</v>
      </c>
      <c r="R2180" s="141" t="str">
        <f>IF(AllData[[#This Row],[Nitrate (PPM)]]&gt;2, "Very high", IF(AllData[[#This Row],[Nitrate (PPM)]]&gt;1, "High", IF(AllData[[#This Row],[Nitrate (PPM)]]&gt;0.5, "Some evidence", IF(AllData[[#This Row],[Nitrate (PPM)]]&gt;=0, "No evidence"))))</f>
        <v>Very high</v>
      </c>
      <c r="S2180" s="4">
        <v>0.61</v>
      </c>
      <c r="T2180" s="7" t="str">
        <f>IF(AllData[[#This Row],[Phosphate (PPM)]]&gt;0.5, "Very high", IF(AllData[[#This Row],[Phosphate (PPM)]]&gt;0.1, "High", IF(AllData[[#This Row],[Phosphate (PPM)]]&gt;0.05, "Some evidence", IF(AllData[[#This Row],[Phosphate (PPM)]]&lt;=0.05, "No Evidence", ""))))</f>
        <v>Very high</v>
      </c>
      <c r="U2180">
        <v>0.75</v>
      </c>
    </row>
    <row r="2181" spans="1:22" x14ac:dyDescent="0.35">
      <c r="A2181" t="s">
        <v>325</v>
      </c>
      <c r="B2181" s="143">
        <v>45242</v>
      </c>
      <c r="C2181" s="2" t="str" cm="1">
        <f t="array" ref="C21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1">
        <f>YEAR(AllData[[#This Row],[Date]])</f>
        <v>2023</v>
      </c>
      <c r="E2181" s="1">
        <v>0.4465277777777778</v>
      </c>
      <c r="F2181" t="str">
        <f>IF(AND(AllData[[#This Row],[Time]]&lt;0.5, AllData[[#This Row],[Time]]&gt;0.17)=TRUE, "Morning", IF(AND(AllData[[#This Row],[Time]]&lt;0.75, AllData[[#This Row],[Time]]&gt;=0.5)=TRUE, "Afternoon", IF(AND(AllData[[#This Row],[Time]]&lt;1, AllData[[#This Row],[Time]]&gt;=0.75)=TRUE, "Evening", "Night")))</f>
        <v>Morning</v>
      </c>
      <c r="G2181" t="str">
        <f>_xlfn.XLOOKUP(AllData[[#This Row],[Location Name]], Locations[Location Name],Locations[Group As])</f>
        <v>Pitch 16</v>
      </c>
      <c r="H2181" t="e" vm="1">
        <f>_xlfn.XLOOKUP(AllData[[#This Row],[Site Name]],LocationsKey[Site Name],LocationsKey[District])</f>
        <v>#VALUE!</v>
      </c>
      <c r="I2181" t="e" vm="12">
        <f>_xlfn.XLOOKUP(AllData[[#This Row],[Site Name]],LocationsKey[Site Name],LocationsKey[Town])</f>
        <v>#VALUE!</v>
      </c>
      <c r="J2181" t="str">
        <f>_xlfn.XLOOKUP(AllData[[#This Row],[Site Name]],LocationsKey[Site Name], LocationsKey[Waterway])</f>
        <v>Avon</v>
      </c>
      <c r="K2181" t="s">
        <v>71</v>
      </c>
      <c r="L2181">
        <v>52.172566000000003</v>
      </c>
      <c r="M2181" s="108">
        <v>-1.745363</v>
      </c>
      <c r="N2181" t="s">
        <v>31</v>
      </c>
      <c r="O2181">
        <v>816</v>
      </c>
      <c r="P2181">
        <v>10.199999999999999</v>
      </c>
      <c r="Q2181">
        <v>5</v>
      </c>
      <c r="R2181" s="141" t="str">
        <f>IF(AllData[[#This Row],[Nitrate (PPM)]]&gt;2, "Very high", IF(AllData[[#This Row],[Nitrate (PPM)]]&gt;1, "High", IF(AllData[[#This Row],[Nitrate (PPM)]]&gt;0.5, "Some evidence", IF(AllData[[#This Row],[Nitrate (PPM)]]&gt;=0, "No evidence"))))</f>
        <v>Very high</v>
      </c>
      <c r="S2181" s="4">
        <v>0.51</v>
      </c>
      <c r="T2181" s="7" t="str">
        <f>IF(AllData[[#This Row],[Phosphate (PPM)]]&gt;0.5, "Very high", IF(AllData[[#This Row],[Phosphate (PPM)]]&gt;0.1, "High", IF(AllData[[#This Row],[Phosphate (PPM)]]&gt;0.05, "Some evidence", IF(AllData[[#This Row],[Phosphate (PPM)]]&lt;=0.05, "No Evidence", ""))))</f>
        <v>Very high</v>
      </c>
      <c r="U2181">
        <v>0.75</v>
      </c>
    </row>
    <row r="2182" spans="1:22" x14ac:dyDescent="0.35">
      <c r="A2182" t="s">
        <v>330</v>
      </c>
      <c r="B2182" s="143">
        <v>45242</v>
      </c>
      <c r="C2182" s="2" t="str" cm="1">
        <f t="array" ref="C21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2">
        <f>YEAR(AllData[[#This Row],[Date]])</f>
        <v>2023</v>
      </c>
      <c r="E2182" s="1">
        <v>0.51041666666666663</v>
      </c>
      <c r="F2182" t="str">
        <f>IF(AND(AllData[[#This Row],[Time]]&lt;0.5, AllData[[#This Row],[Time]]&gt;0.17)=TRUE, "Morning", IF(AND(AllData[[#This Row],[Time]]&lt;0.75, AllData[[#This Row],[Time]]&gt;=0.5)=TRUE, "Afternoon", IF(AND(AllData[[#This Row],[Time]]&lt;1, AllData[[#This Row],[Time]]&gt;=0.75)=TRUE, "Evening", "Night")))</f>
        <v>Afternoon</v>
      </c>
      <c r="G2182" t="str">
        <f>_xlfn.XLOOKUP(AllData[[#This Row],[Location Name]], Locations[Location Name],Locations[Group As])</f>
        <v>Hampton Lucy</v>
      </c>
      <c r="H2182" t="e" vm="1">
        <f>_xlfn.XLOOKUP(AllData[[#This Row],[Site Name]],LocationsKey[Site Name],LocationsKey[District])</f>
        <v>#VALUE!</v>
      </c>
      <c r="I2182" t="e" vm="33">
        <f>_xlfn.XLOOKUP(AllData[[#This Row],[Site Name]],LocationsKey[Site Name],LocationsKey[Town])</f>
        <v>#VALUE!</v>
      </c>
      <c r="J2182" t="str">
        <f>_xlfn.XLOOKUP(AllData[[#This Row],[Site Name]],LocationsKey[Site Name], LocationsKey[Waterway])</f>
        <v>Avon</v>
      </c>
      <c r="K2182" t="s">
        <v>39</v>
      </c>
      <c r="L2182">
        <v>52.211680000000001</v>
      </c>
      <c r="M2182" s="108">
        <v>-1.6244400000000001</v>
      </c>
      <c r="N2182" t="s">
        <v>25</v>
      </c>
      <c r="O2182">
        <v>812</v>
      </c>
      <c r="P2182">
        <v>9.4</v>
      </c>
      <c r="Q2182">
        <v>5</v>
      </c>
      <c r="R2182" s="141" t="str">
        <f>IF(AllData[[#This Row],[Nitrate (PPM)]]&gt;2, "Very high", IF(AllData[[#This Row],[Nitrate (PPM)]]&gt;1, "High", IF(AllData[[#This Row],[Nitrate (PPM)]]&gt;0.5, "Some evidence", IF(AllData[[#This Row],[Nitrate (PPM)]]&gt;=0, "No evidence"))))</f>
        <v>Very high</v>
      </c>
      <c r="S2182" s="4">
        <v>0.9</v>
      </c>
      <c r="T2182" s="7" t="str">
        <f>IF(AllData[[#This Row],[Phosphate (PPM)]]&gt;0.5, "Very high", IF(AllData[[#This Row],[Phosphate (PPM)]]&gt;0.1, "High", IF(AllData[[#This Row],[Phosphate (PPM)]]&gt;0.05, "Some evidence", IF(AllData[[#This Row],[Phosphate (PPM)]]&lt;=0.05, "No Evidence", ""))))</f>
        <v>Very high</v>
      </c>
      <c r="U2182">
        <v>0</v>
      </c>
    </row>
    <row r="2183" spans="1:22" x14ac:dyDescent="0.35">
      <c r="A2183" t="s">
        <v>324</v>
      </c>
      <c r="B2183" s="143">
        <v>45241</v>
      </c>
      <c r="C2183" s="2" t="str" cm="1">
        <f t="array" ref="C21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3">
        <f>YEAR(AllData[[#This Row],[Date]])</f>
        <v>2023</v>
      </c>
      <c r="E2183" s="1">
        <v>0.4201388888888889</v>
      </c>
      <c r="F2183" t="str">
        <f>IF(AND(AllData[[#This Row],[Time]]&lt;0.5, AllData[[#This Row],[Time]]&gt;0.17)=TRUE, "Morning", IF(AND(AllData[[#This Row],[Time]]&lt;0.75, AllData[[#This Row],[Time]]&gt;=0.5)=TRUE, "Afternoon", IF(AND(AllData[[#This Row],[Time]]&lt;1, AllData[[#This Row],[Time]]&gt;=0.75)=TRUE, "Evening", "Night")))</f>
        <v>Morning</v>
      </c>
      <c r="G2183" t="str">
        <f>_xlfn.XLOOKUP(AllData[[#This Row],[Location Name]], Locations[Location Name],Locations[Group As])</f>
        <v>Abbey Mill</v>
      </c>
      <c r="H2183" t="e" vm="4">
        <f>_xlfn.XLOOKUP(AllData[[#This Row],[Site Name]],LocationsKey[Site Name],LocationsKey[District])</f>
        <v>#VALUE!</v>
      </c>
      <c r="I2183" t="e" vm="4">
        <f>_xlfn.XLOOKUP(AllData[[#This Row],[Site Name]],LocationsKey[Site Name],LocationsKey[Town])</f>
        <v>#VALUE!</v>
      </c>
      <c r="J2183" t="str">
        <f>_xlfn.XLOOKUP(AllData[[#This Row],[Site Name]],LocationsKey[Site Name], LocationsKey[Waterway])</f>
        <v>Avon</v>
      </c>
      <c r="K2183" t="s">
        <v>24</v>
      </c>
      <c r="M2183" s="108"/>
      <c r="N2183" t="s">
        <v>25</v>
      </c>
      <c r="O2183">
        <v>718</v>
      </c>
      <c r="P2183">
        <v>10.6</v>
      </c>
      <c r="Q2183">
        <v>7</v>
      </c>
      <c r="R2183" s="141" t="str">
        <f>IF(AllData[[#This Row],[Nitrate (PPM)]]&gt;2, "Very high", IF(AllData[[#This Row],[Nitrate (PPM)]]&gt;1, "High", IF(AllData[[#This Row],[Nitrate (PPM)]]&gt;0.5, "Some evidence", IF(AllData[[#This Row],[Nitrate (PPM)]]&gt;=0, "No evidence"))))</f>
        <v>Very high</v>
      </c>
      <c r="S2183" s="4">
        <v>0.59</v>
      </c>
      <c r="T2183" s="7" t="str">
        <f>IF(AllData[[#This Row],[Phosphate (PPM)]]&gt;0.5, "Very high", IF(AllData[[#This Row],[Phosphate (PPM)]]&gt;0.1, "High", IF(AllData[[#This Row],[Phosphate (PPM)]]&gt;0.05, "Some evidence", IF(AllData[[#This Row],[Phosphate (PPM)]]&lt;=0.05, "No Evidence", ""))))</f>
        <v>Very high</v>
      </c>
      <c r="U2183">
        <v>1</v>
      </c>
    </row>
    <row r="2184" spans="1:22" x14ac:dyDescent="0.35">
      <c r="A2184" t="s">
        <v>320</v>
      </c>
      <c r="B2184" s="143">
        <v>45239</v>
      </c>
      <c r="C2184" s="2" t="str" cm="1">
        <f t="array" ref="C21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4">
        <f>YEAR(AllData[[#This Row],[Date]])</f>
        <v>2023</v>
      </c>
      <c r="E2184" s="1">
        <v>0.66805555555555551</v>
      </c>
      <c r="F2184" t="str">
        <f>IF(AND(AllData[[#This Row],[Time]]&lt;0.5, AllData[[#This Row],[Time]]&gt;0.17)=TRUE, "Morning", IF(AND(AllData[[#This Row],[Time]]&lt;0.75, AllData[[#This Row],[Time]]&gt;=0.5)=TRUE, "Afternoon", IF(AND(AllData[[#This Row],[Time]]&lt;1, AllData[[#This Row],[Time]]&gt;=0.75)=TRUE, "Evening", "Night")))</f>
        <v>Afternoon</v>
      </c>
      <c r="G2184" t="str">
        <f>_xlfn.XLOOKUP(AllData[[#This Row],[Location Name]], Locations[Location Name],Locations[Group As])</f>
        <v>Stour Shipston Mill Bridge</v>
      </c>
      <c r="H2184" t="e" vm="1">
        <f>_xlfn.XLOOKUP(AllData[[#This Row],[Site Name]],LocationsKey[Site Name],LocationsKey[District])</f>
        <v>#VALUE!</v>
      </c>
      <c r="I2184" t="e" vm="15">
        <f>_xlfn.XLOOKUP(AllData[[#This Row],[Site Name]],LocationsKey[Site Name],LocationsKey[Town])</f>
        <v>#VALUE!</v>
      </c>
      <c r="J2184" t="str">
        <f>_xlfn.XLOOKUP(AllData[[#This Row],[Site Name]],LocationsKey[Site Name], LocationsKey[Waterway])</f>
        <v>Stour</v>
      </c>
      <c r="K2184" t="s">
        <v>321</v>
      </c>
      <c r="L2184">
        <v>52.062030999999998</v>
      </c>
      <c r="M2184" s="108">
        <v>-1.6221080000000001</v>
      </c>
      <c r="N2184" t="s">
        <v>25</v>
      </c>
      <c r="O2184">
        <v>585</v>
      </c>
      <c r="P2184">
        <v>10.199999999999999</v>
      </c>
      <c r="Q2184">
        <v>10</v>
      </c>
      <c r="R2184" s="141" t="str">
        <f>IF(AllData[[#This Row],[Nitrate (PPM)]]&gt;2, "Very high", IF(AllData[[#This Row],[Nitrate (PPM)]]&gt;1, "High", IF(AllData[[#This Row],[Nitrate (PPM)]]&gt;0.5, "Some evidence", IF(AllData[[#This Row],[Nitrate (PPM)]]&gt;=0, "No evidence"))))</f>
        <v>Very high</v>
      </c>
      <c r="S2184" s="4">
        <v>0.3</v>
      </c>
      <c r="T2184" s="7" t="str">
        <f>IF(AllData[[#This Row],[Phosphate (PPM)]]&gt;0.5, "Very high", IF(AllData[[#This Row],[Phosphate (PPM)]]&gt;0.1, "High", IF(AllData[[#This Row],[Phosphate (PPM)]]&gt;0.05, "Some evidence", IF(AllData[[#This Row],[Phosphate (PPM)]]&lt;=0.05, "No Evidence", ""))))</f>
        <v>High</v>
      </c>
      <c r="U2184">
        <v>1.5</v>
      </c>
      <c r="V2184" t="s">
        <v>180</v>
      </c>
    </row>
    <row r="2185" spans="1:22" x14ac:dyDescent="0.35">
      <c r="A2185" t="s">
        <v>318</v>
      </c>
      <c r="B2185" s="143">
        <v>45239</v>
      </c>
      <c r="C2185" s="2" t="str" cm="1">
        <f t="array" ref="C21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5">
        <f>YEAR(AllData[[#This Row],[Date]])</f>
        <v>2023</v>
      </c>
      <c r="E2185" s="1">
        <v>0.57291666666666663</v>
      </c>
      <c r="F2185" t="str">
        <f>IF(AND(AllData[[#This Row],[Time]]&lt;0.5, AllData[[#This Row],[Time]]&gt;0.17)=TRUE, "Morning", IF(AND(AllData[[#This Row],[Time]]&lt;0.75, AllData[[#This Row],[Time]]&gt;=0.5)=TRUE, "Afternoon", IF(AND(AllData[[#This Row],[Time]]&lt;1, AllData[[#This Row],[Time]]&gt;=0.75)=TRUE, "Evening", "Night")))</f>
        <v>Afternoon</v>
      </c>
      <c r="G2185" t="str">
        <f>_xlfn.XLOOKUP(AllData[[#This Row],[Location Name]], Locations[Location Name],Locations[Group As])</f>
        <v>Preston-on-Stour River Bridge</v>
      </c>
      <c r="H2185" t="e" vm="1">
        <f>_xlfn.XLOOKUP(AllData[[#This Row],[Site Name]],LocationsKey[Site Name],LocationsKey[District])</f>
        <v>#VALUE!</v>
      </c>
      <c r="I2185" t="e" vm="20">
        <f>_xlfn.XLOOKUP(AllData[[#This Row],[Site Name]],LocationsKey[Site Name],LocationsKey[Town])</f>
        <v>#VALUE!</v>
      </c>
      <c r="J2185" t="str">
        <f>_xlfn.XLOOKUP(AllData[[#This Row],[Site Name]],LocationsKey[Site Name], LocationsKey[Waterway])</f>
        <v>Stour</v>
      </c>
      <c r="K2185" t="s">
        <v>164</v>
      </c>
      <c r="L2185">
        <v>52.146470999999998</v>
      </c>
      <c r="M2185" s="108">
        <v>-1.6997869999999999</v>
      </c>
      <c r="N2185" t="s">
        <v>31</v>
      </c>
      <c r="O2185">
        <v>612</v>
      </c>
      <c r="P2185">
        <v>10.3</v>
      </c>
      <c r="Q2185">
        <v>5</v>
      </c>
      <c r="R2185" s="141" t="str">
        <f>IF(AllData[[#This Row],[Nitrate (PPM)]]&gt;2, "Very high", IF(AllData[[#This Row],[Nitrate (PPM)]]&gt;1, "High", IF(AllData[[#This Row],[Nitrate (PPM)]]&gt;0.5, "Some evidence", IF(AllData[[#This Row],[Nitrate (PPM)]]&gt;=0, "No evidence"))))</f>
        <v>Very high</v>
      </c>
      <c r="S2185" s="4">
        <v>0.25</v>
      </c>
      <c r="T2185" s="7" t="str">
        <f>IF(AllData[[#This Row],[Phosphate (PPM)]]&gt;0.5, "Very high", IF(AllData[[#This Row],[Phosphate (PPM)]]&gt;0.1, "High", IF(AllData[[#This Row],[Phosphate (PPM)]]&gt;0.05, "Some evidence", IF(AllData[[#This Row],[Phosphate (PPM)]]&lt;=0.05, "No Evidence", ""))))</f>
        <v>High</v>
      </c>
      <c r="U2185">
        <v>1.75</v>
      </c>
      <c r="V2185" t="s">
        <v>319</v>
      </c>
    </row>
    <row r="2186" spans="1:22" x14ac:dyDescent="0.35">
      <c r="A2186" t="s">
        <v>317</v>
      </c>
      <c r="B2186" s="143">
        <v>45239</v>
      </c>
      <c r="C2186" s="2" t="str" cm="1">
        <f t="array" ref="C21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6">
        <f>YEAR(AllData[[#This Row],[Date]])</f>
        <v>2023</v>
      </c>
      <c r="E2186" s="1">
        <v>0.39583333333333331</v>
      </c>
      <c r="F2186" t="str">
        <f>IF(AND(AllData[[#This Row],[Time]]&lt;0.5, AllData[[#This Row],[Time]]&gt;0.17)=TRUE, "Morning", IF(AND(AllData[[#This Row],[Time]]&lt;0.75, AllData[[#This Row],[Time]]&gt;=0.5)=TRUE, "Afternoon", IF(AND(AllData[[#This Row],[Time]]&lt;1, AllData[[#This Row],[Time]]&gt;=0.75)=TRUE, "Evening", "Night")))</f>
        <v>Morning</v>
      </c>
      <c r="G2186" t="str">
        <f>_xlfn.XLOOKUP(AllData[[#This Row],[Location Name]], Locations[Location Name],Locations[Group As])</f>
        <v>Swilgate</v>
      </c>
      <c r="H2186" t="e" vm="4">
        <f>_xlfn.XLOOKUP(AllData[[#This Row],[Site Name]],LocationsKey[Site Name],LocationsKey[District])</f>
        <v>#VALUE!</v>
      </c>
      <c r="I2186" t="e" vm="4">
        <f>_xlfn.XLOOKUP(AllData[[#This Row],[Site Name]],LocationsKey[Site Name],LocationsKey[Town])</f>
        <v>#VALUE!</v>
      </c>
      <c r="J2186" t="str">
        <f>_xlfn.XLOOKUP(AllData[[#This Row],[Site Name]],LocationsKey[Site Name], LocationsKey[Waterway])</f>
        <v>Swilgate</v>
      </c>
      <c r="K2186" t="s">
        <v>85</v>
      </c>
      <c r="M2186" s="108"/>
      <c r="N2186" t="s">
        <v>25</v>
      </c>
      <c r="O2186">
        <v>836</v>
      </c>
      <c r="P2186">
        <v>12</v>
      </c>
      <c r="Q2186">
        <v>4</v>
      </c>
      <c r="R2186" s="141" t="str">
        <f>IF(AllData[[#This Row],[Nitrate (PPM)]]&gt;2, "Very high", IF(AllData[[#This Row],[Nitrate (PPM)]]&gt;1, "High", IF(AllData[[#This Row],[Nitrate (PPM)]]&gt;0.5, "Some evidence", IF(AllData[[#This Row],[Nitrate (PPM)]]&gt;=0, "No evidence"))))</f>
        <v>Very high</v>
      </c>
      <c r="S2186" s="4">
        <v>0.42</v>
      </c>
      <c r="T2186" s="7" t="str">
        <f>IF(AllData[[#This Row],[Phosphate (PPM)]]&gt;0.5, "Very high", IF(AllData[[#This Row],[Phosphate (PPM)]]&gt;0.1, "High", IF(AllData[[#This Row],[Phosphate (PPM)]]&gt;0.05, "Some evidence", IF(AllData[[#This Row],[Phosphate (PPM)]]&lt;=0.05, "No Evidence", ""))))</f>
        <v>High</v>
      </c>
      <c r="U2186">
        <v>1</v>
      </c>
    </row>
    <row r="2187" spans="1:22" x14ac:dyDescent="0.35">
      <c r="A2187" t="s">
        <v>322</v>
      </c>
      <c r="B2187" s="143">
        <v>45239</v>
      </c>
      <c r="C2187" s="2" t="str" cm="1">
        <f t="array" ref="C21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7">
        <f>YEAR(AllData[[#This Row],[Date]])</f>
        <v>2023</v>
      </c>
      <c r="E2187" s="1">
        <v>0.71250000000000002</v>
      </c>
      <c r="F2187" t="str">
        <f>IF(AND(AllData[[#This Row],[Time]]&lt;0.5, AllData[[#This Row],[Time]]&gt;0.17)=TRUE, "Morning", IF(AND(AllData[[#This Row],[Time]]&lt;0.75, AllData[[#This Row],[Time]]&gt;=0.5)=TRUE, "Afternoon", IF(AND(AllData[[#This Row],[Time]]&lt;1, AllData[[#This Row],[Time]]&gt;=0.75)=TRUE, "Evening", "Night")))</f>
        <v>Afternoon</v>
      </c>
      <c r="G2187" t="str">
        <f>_xlfn.XLOOKUP(AllData[[#This Row],[Location Name]], Locations[Location Name],Locations[Group As])</f>
        <v>Stour Cherington Sewage Works</v>
      </c>
      <c r="H2187" t="e" vm="1">
        <f>_xlfn.XLOOKUP(AllData[[#This Row],[Site Name]],LocationsKey[Site Name],LocationsKey[District])</f>
        <v>#VALUE!</v>
      </c>
      <c r="I2187" t="str">
        <f>_xlfn.XLOOKUP(AllData[[#This Row],[Site Name]],LocationsKey[Site Name],LocationsKey[Town])</f>
        <v>Cherington</v>
      </c>
      <c r="J2187" t="str">
        <f>_xlfn.XLOOKUP(AllData[[#This Row],[Site Name]],LocationsKey[Site Name], LocationsKey[Waterway])</f>
        <v>Stour</v>
      </c>
      <c r="K2187" t="s">
        <v>323</v>
      </c>
      <c r="L2187">
        <v>52.030172999999998</v>
      </c>
      <c r="M2187" s="108">
        <v>-1.5791440000000001</v>
      </c>
      <c r="N2187" t="s">
        <v>25</v>
      </c>
      <c r="O2187">
        <v>295</v>
      </c>
      <c r="P2187">
        <v>10.7</v>
      </c>
      <c r="R2187" s="141"/>
      <c r="S2187" s="4">
        <v>0.18</v>
      </c>
      <c r="T2187" s="7" t="str">
        <f>IF(AllData[[#This Row],[Phosphate (PPM)]]&gt;0.5, "Very high", IF(AllData[[#This Row],[Phosphate (PPM)]]&gt;0.1, "High", IF(AllData[[#This Row],[Phosphate (PPM)]]&gt;0.05, "Some evidence", IF(AllData[[#This Row],[Phosphate (PPM)]]&lt;=0.05, "No Evidence", ""))))</f>
        <v>High</v>
      </c>
      <c r="U2187">
        <v>0.5</v>
      </c>
      <c r="V2187" t="s">
        <v>180</v>
      </c>
    </row>
    <row r="2188" spans="1:22" x14ac:dyDescent="0.35">
      <c r="A2188" t="s">
        <v>315</v>
      </c>
      <c r="B2188" s="143">
        <v>45238</v>
      </c>
      <c r="C2188" s="2" t="str" cm="1">
        <f t="array" ref="C21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8">
        <f>YEAR(AllData[[#This Row],[Date]])</f>
        <v>2023</v>
      </c>
      <c r="E2188" s="1">
        <v>0.66666666666666663</v>
      </c>
      <c r="F2188" t="str">
        <f>IF(AND(AllData[[#This Row],[Time]]&lt;0.5, AllData[[#This Row],[Time]]&gt;0.17)=TRUE, "Morning", IF(AND(AllData[[#This Row],[Time]]&lt;0.75, AllData[[#This Row],[Time]]&gt;=0.5)=TRUE, "Afternoon", IF(AND(AllData[[#This Row],[Time]]&lt;1, AllData[[#This Row],[Time]]&gt;=0.75)=TRUE, "Evening", "Night")))</f>
        <v>Afternoon</v>
      </c>
      <c r="G2188" t="str">
        <f>_xlfn.XLOOKUP(AllData[[#This Row],[Location Name]], Locations[Location Name],Locations[Group As])</f>
        <v>Stour Newbold Mill</v>
      </c>
      <c r="H2188" t="e" vm="1">
        <f>_xlfn.XLOOKUP(AllData[[#This Row],[Site Name]],LocationsKey[Site Name],LocationsKey[District])</f>
        <v>#VALUE!</v>
      </c>
      <c r="I2188" t="e" vm="27">
        <f>_xlfn.XLOOKUP(AllData[[#This Row],[Site Name]],LocationsKey[Site Name],LocationsKey[Town])</f>
        <v>#VALUE!</v>
      </c>
      <c r="J2188" t="str">
        <f>_xlfn.XLOOKUP(AllData[[#This Row],[Site Name]],LocationsKey[Site Name], LocationsKey[Waterway])</f>
        <v>Stour</v>
      </c>
      <c r="K2188" t="s">
        <v>141</v>
      </c>
      <c r="L2188">
        <v>52.112864999999999</v>
      </c>
      <c r="M2188" s="108">
        <v>-1.6334340000000001</v>
      </c>
      <c r="N2188" t="s">
        <v>31</v>
      </c>
      <c r="O2188">
        <v>854</v>
      </c>
      <c r="P2188">
        <v>10.3</v>
      </c>
      <c r="Q2188">
        <v>5</v>
      </c>
      <c r="R2188" s="141" t="str">
        <f>IF(AllData[[#This Row],[Nitrate (PPM)]]&gt;2, "Very high", IF(AllData[[#This Row],[Nitrate (PPM)]]&gt;1, "High", IF(AllData[[#This Row],[Nitrate (PPM)]]&gt;0.5, "Some evidence", IF(AllData[[#This Row],[Nitrate (PPM)]]&gt;=0, "No evidence"))))</f>
        <v>Very high</v>
      </c>
      <c r="S2188" s="4">
        <v>0.26</v>
      </c>
      <c r="T2188" s="7" t="str">
        <f>IF(AllData[[#This Row],[Phosphate (PPM)]]&gt;0.5, "Very high", IF(AllData[[#This Row],[Phosphate (PPM)]]&gt;0.1, "High", IF(AllData[[#This Row],[Phosphate (PPM)]]&gt;0.05, "Some evidence", IF(AllData[[#This Row],[Phosphate (PPM)]]&lt;=0.05, "No Evidence", ""))))</f>
        <v>High</v>
      </c>
      <c r="U2188">
        <v>2.5</v>
      </c>
      <c r="V2188" t="s">
        <v>316</v>
      </c>
    </row>
    <row r="2189" spans="1:22" x14ac:dyDescent="0.35">
      <c r="A2189" t="s">
        <v>309</v>
      </c>
      <c r="B2189" s="143">
        <v>45237</v>
      </c>
      <c r="C2189" s="2" t="str" cm="1">
        <f t="array" ref="C21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89">
        <f>YEAR(AllData[[#This Row],[Date]])</f>
        <v>2023</v>
      </c>
      <c r="E2189" s="1">
        <v>0.47916666666666669</v>
      </c>
      <c r="F2189" t="str">
        <f>IF(AND(AllData[[#This Row],[Time]]&lt;0.5, AllData[[#This Row],[Time]]&gt;0.17)=TRUE, "Morning", IF(AND(AllData[[#This Row],[Time]]&lt;0.75, AllData[[#This Row],[Time]]&gt;=0.5)=TRUE, "Afternoon", IF(AND(AllData[[#This Row],[Time]]&lt;1, AllData[[#This Row],[Time]]&gt;=0.75)=TRUE, "Evening", "Night")))</f>
        <v>Morning</v>
      </c>
      <c r="G2189" t="str">
        <f>_xlfn.XLOOKUP(AllData[[#This Row],[Location Name]], Locations[Location Name],Locations[Group As])</f>
        <v>Lucy's Mill Bridge</v>
      </c>
      <c r="H2189" t="e" vm="1">
        <f>_xlfn.XLOOKUP(AllData[[#This Row],[Site Name]],LocationsKey[Site Name],LocationsKey[District])</f>
        <v>#VALUE!</v>
      </c>
      <c r="I2189" t="e" vm="12">
        <f>_xlfn.XLOOKUP(AllData[[#This Row],[Site Name]],LocationsKey[Site Name],LocationsKey[Town])</f>
        <v>#VALUE!</v>
      </c>
      <c r="J2189" t="str">
        <f>_xlfn.XLOOKUP(AllData[[#This Row],[Site Name]],LocationsKey[Site Name], LocationsKey[Waterway])</f>
        <v>Avon</v>
      </c>
      <c r="K2189" t="s">
        <v>212</v>
      </c>
      <c r="L2189">
        <v>52.183698999999997</v>
      </c>
      <c r="M2189" s="108">
        <v>-1.707816</v>
      </c>
      <c r="N2189" t="s">
        <v>31</v>
      </c>
      <c r="P2189">
        <v>11</v>
      </c>
      <c r="Q2189">
        <v>10</v>
      </c>
      <c r="R2189" s="141" t="str">
        <f>IF(AllData[[#This Row],[Nitrate (PPM)]]&gt;2, "Very high", IF(AllData[[#This Row],[Nitrate (PPM)]]&gt;1, "High", IF(AllData[[#This Row],[Nitrate (PPM)]]&gt;0.5, "Some evidence", IF(AllData[[#This Row],[Nitrate (PPM)]]&gt;=0, "No evidence"))))</f>
        <v>Very high</v>
      </c>
      <c r="S2189" s="4">
        <v>0.56000000000000005</v>
      </c>
      <c r="T2189" s="7" t="str">
        <f>IF(AllData[[#This Row],[Phosphate (PPM)]]&gt;0.5, "Very high", IF(AllData[[#This Row],[Phosphate (PPM)]]&gt;0.1, "High", IF(AllData[[#This Row],[Phosphate (PPM)]]&gt;0.05, "Some evidence", IF(AllData[[#This Row],[Phosphate (PPM)]]&lt;=0.05, "No Evidence", ""))))</f>
        <v>Very high</v>
      </c>
      <c r="U2189">
        <v>0.7</v>
      </c>
    </row>
    <row r="2190" spans="1:22" x14ac:dyDescent="0.35">
      <c r="A2190" t="s">
        <v>310</v>
      </c>
      <c r="B2190" s="143">
        <v>45237</v>
      </c>
      <c r="C2190" s="2" t="str" cm="1">
        <f t="array" ref="C21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0">
        <f>YEAR(AllData[[#This Row],[Date]])</f>
        <v>2023</v>
      </c>
      <c r="E2190" s="1">
        <v>0.625</v>
      </c>
      <c r="F2190" t="str">
        <f>IF(AND(AllData[[#This Row],[Time]]&lt;0.5, AllData[[#This Row],[Time]]&gt;0.17)=TRUE, "Morning", IF(AND(AllData[[#This Row],[Time]]&lt;0.75, AllData[[#This Row],[Time]]&gt;=0.5)=TRUE, "Afternoon", IF(AND(AllData[[#This Row],[Time]]&lt;1, AllData[[#This Row],[Time]]&gt;=0.75)=TRUE, "Evening", "Night")))</f>
        <v>Afternoon</v>
      </c>
      <c r="G2190" t="str">
        <f>_xlfn.XLOOKUP(AllData[[#This Row],[Location Name]], Locations[Location Name],Locations[Group As])</f>
        <v>Alveston Weir</v>
      </c>
      <c r="H2190" t="e" vm="1">
        <f>_xlfn.XLOOKUP(AllData[[#This Row],[Site Name]],LocationsKey[Site Name],LocationsKey[District])</f>
        <v>#VALUE!</v>
      </c>
      <c r="I2190" t="e" vm="2">
        <f>_xlfn.XLOOKUP(AllData[[#This Row],[Site Name]],LocationsKey[Site Name],LocationsKey[Town])</f>
        <v>#VALUE!</v>
      </c>
      <c r="J2190" t="str">
        <f>_xlfn.XLOOKUP(AllData[[#This Row],[Site Name]],LocationsKey[Site Name], LocationsKey[Waterway])</f>
        <v>Avon</v>
      </c>
      <c r="K2190" t="s">
        <v>288</v>
      </c>
      <c r="L2190">
        <v>52.214388999999997</v>
      </c>
      <c r="M2190" s="108">
        <v>-1.6601520000000001</v>
      </c>
      <c r="N2190" t="s">
        <v>31</v>
      </c>
      <c r="O2190">
        <v>652</v>
      </c>
      <c r="P2190">
        <v>15.5</v>
      </c>
      <c r="Q2190">
        <v>5</v>
      </c>
      <c r="R2190" s="141" t="str">
        <f>IF(AllData[[#This Row],[Nitrate (PPM)]]&gt;2, "Very high", IF(AllData[[#This Row],[Nitrate (PPM)]]&gt;1, "High", IF(AllData[[#This Row],[Nitrate (PPM)]]&gt;0.5, "Some evidence", IF(AllData[[#This Row],[Nitrate (PPM)]]&gt;=0, "No evidence"))))</f>
        <v>Very high</v>
      </c>
      <c r="S2190" s="4">
        <v>0.41</v>
      </c>
      <c r="T2190" s="7" t="str">
        <f>IF(AllData[[#This Row],[Phosphate (PPM)]]&gt;0.5, "Very high", IF(AllData[[#This Row],[Phosphate (PPM)]]&gt;0.1, "High", IF(AllData[[#This Row],[Phosphate (PPM)]]&gt;0.05, "Some evidence", IF(AllData[[#This Row],[Phosphate (PPM)]]&lt;=0.05, "No Evidence", ""))))</f>
        <v>High</v>
      </c>
      <c r="U2190">
        <v>0</v>
      </c>
      <c r="V2190" t="s">
        <v>311</v>
      </c>
    </row>
    <row r="2191" spans="1:22" x14ac:dyDescent="0.35">
      <c r="A2191" t="s">
        <v>312</v>
      </c>
      <c r="B2191" s="143">
        <v>45237</v>
      </c>
      <c r="C2191" s="2" t="str" cm="1">
        <f t="array" ref="C21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1">
        <f>YEAR(AllData[[#This Row],[Date]])</f>
        <v>2023</v>
      </c>
      <c r="E2191" s="1">
        <v>0.62847222222222221</v>
      </c>
      <c r="F2191" t="str">
        <f>IF(AND(AllData[[#This Row],[Time]]&lt;0.5, AllData[[#This Row],[Time]]&gt;0.17)=TRUE, "Morning", IF(AND(AllData[[#This Row],[Time]]&lt;0.75, AllData[[#This Row],[Time]]&gt;=0.5)=TRUE, "Afternoon", IF(AND(AllData[[#This Row],[Time]]&lt;1, AllData[[#This Row],[Time]]&gt;=0.75)=TRUE, "Evening", "Night")))</f>
        <v>Afternoon</v>
      </c>
      <c r="G2191" t="str">
        <f>_xlfn.XLOOKUP(AllData[[#This Row],[Location Name]], Locations[Location Name],Locations[Group As])</f>
        <v>Swiffen Bank</v>
      </c>
      <c r="H2191" t="e" vm="1">
        <f>_xlfn.XLOOKUP(AllData[[#This Row],[Site Name]],LocationsKey[Site Name],LocationsKey[District])</f>
        <v>#VALUE!</v>
      </c>
      <c r="I2191" t="e" vm="2">
        <f>_xlfn.XLOOKUP(AllData[[#This Row],[Site Name]],LocationsKey[Site Name],LocationsKey[Town])</f>
        <v>#VALUE!</v>
      </c>
      <c r="J2191" t="str">
        <f>_xlfn.XLOOKUP(AllData[[#This Row],[Site Name]],LocationsKey[Site Name], LocationsKey[Waterway])</f>
        <v>Avon</v>
      </c>
      <c r="K2191" t="s">
        <v>286</v>
      </c>
      <c r="L2191">
        <v>52.206339</v>
      </c>
      <c r="M2191" s="108">
        <v>-1.6550020000000001</v>
      </c>
      <c r="N2191" t="s">
        <v>31</v>
      </c>
      <c r="O2191">
        <v>561</v>
      </c>
      <c r="P2191">
        <v>15</v>
      </c>
      <c r="Q2191">
        <v>5</v>
      </c>
      <c r="R2191" s="141" t="str">
        <f>IF(AllData[[#This Row],[Nitrate (PPM)]]&gt;2, "Very high", IF(AllData[[#This Row],[Nitrate (PPM)]]&gt;1, "High", IF(AllData[[#This Row],[Nitrate (PPM)]]&gt;0.5, "Some evidence", IF(AllData[[#This Row],[Nitrate (PPM)]]&gt;=0, "No evidence"))))</f>
        <v>Very high</v>
      </c>
      <c r="S2191" s="4">
        <v>0.42</v>
      </c>
      <c r="T2191" s="7" t="str">
        <f>IF(AllData[[#This Row],[Phosphate (PPM)]]&gt;0.5, "Very high", IF(AllData[[#This Row],[Phosphate (PPM)]]&gt;0.1, "High", IF(AllData[[#This Row],[Phosphate (PPM)]]&gt;0.05, "Some evidence", IF(AllData[[#This Row],[Phosphate (PPM)]]&lt;=0.05, "No Evidence", ""))))</f>
        <v>High</v>
      </c>
      <c r="U2191">
        <v>1</v>
      </c>
      <c r="V2191" t="s">
        <v>313</v>
      </c>
    </row>
    <row r="2192" spans="1:22" x14ac:dyDescent="0.35">
      <c r="A2192" t="s">
        <v>314</v>
      </c>
      <c r="B2192" s="143">
        <v>45237</v>
      </c>
      <c r="C2192" s="2" t="str" cm="1">
        <f t="array" ref="C21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2">
        <f>YEAR(AllData[[#This Row],[Date]])</f>
        <v>2023</v>
      </c>
      <c r="E2192" s="1">
        <v>0.65625</v>
      </c>
      <c r="F2192" t="str">
        <f>IF(AND(AllData[[#This Row],[Time]]&lt;0.5, AllData[[#This Row],[Time]]&gt;0.17)=TRUE, "Morning", IF(AND(AllData[[#This Row],[Time]]&lt;0.75, AllData[[#This Row],[Time]]&gt;=0.5)=TRUE, "Afternoon", IF(AND(AllData[[#This Row],[Time]]&lt;1, AllData[[#This Row],[Time]]&gt;=0.75)=TRUE, "Evening", "Night")))</f>
        <v>Afternoon</v>
      </c>
      <c r="G2192" t="str">
        <f>_xlfn.XLOOKUP(AllData[[#This Row],[Location Name]], Locations[Location Name],Locations[Group As])</f>
        <v>Weston-on-Avon</v>
      </c>
      <c r="H2192" t="e" vm="1">
        <f>_xlfn.XLOOKUP(AllData[[#This Row],[Site Name]],LocationsKey[Site Name],LocationsKey[District])</f>
        <v>#VALUE!</v>
      </c>
      <c r="I2192" t="e" vm="35">
        <f>_xlfn.XLOOKUP(AllData[[#This Row],[Site Name]],LocationsKey[Site Name],LocationsKey[Town])</f>
        <v>#VALUE!</v>
      </c>
      <c r="J2192" t="str">
        <f>_xlfn.XLOOKUP(AllData[[#This Row],[Site Name]],LocationsKey[Site Name], LocationsKey[Waterway])</f>
        <v>Avon</v>
      </c>
      <c r="K2192" t="s">
        <v>43</v>
      </c>
      <c r="L2192">
        <v>52.167430000000003</v>
      </c>
      <c r="M2192" s="108">
        <v>-1.7744800000000001</v>
      </c>
      <c r="N2192" t="s">
        <v>31</v>
      </c>
      <c r="O2192">
        <v>664</v>
      </c>
      <c r="P2192">
        <v>10.7</v>
      </c>
      <c r="Q2192">
        <v>3</v>
      </c>
      <c r="R2192" s="141" t="str">
        <f>IF(AllData[[#This Row],[Nitrate (PPM)]]&gt;2, "Very high", IF(AllData[[#This Row],[Nitrate (PPM)]]&gt;1, "High", IF(AllData[[#This Row],[Nitrate (PPM)]]&gt;0.5, "Some evidence", IF(AllData[[#This Row],[Nitrate (PPM)]]&gt;=0, "No evidence"))))</f>
        <v>Very high</v>
      </c>
      <c r="S2192" s="4">
        <v>0.43</v>
      </c>
      <c r="T2192" s="7" t="str">
        <f>IF(AllData[[#This Row],[Phosphate (PPM)]]&gt;0.5, "Very high", IF(AllData[[#This Row],[Phosphate (PPM)]]&gt;0.1, "High", IF(AllData[[#This Row],[Phosphate (PPM)]]&gt;0.05, "Some evidence", IF(AllData[[#This Row],[Phosphate (PPM)]]&lt;=0.05, "No Evidence", ""))))</f>
        <v>High</v>
      </c>
      <c r="U2192">
        <v>0</v>
      </c>
    </row>
    <row r="2193" spans="1:22" x14ac:dyDescent="0.35">
      <c r="A2193" t="s">
        <v>296</v>
      </c>
      <c r="B2193" s="143">
        <v>45235</v>
      </c>
      <c r="C2193" s="2" t="str" cm="1">
        <f t="array" ref="C21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3">
        <f>YEAR(AllData[[#This Row],[Date]])</f>
        <v>2023</v>
      </c>
      <c r="E2193" s="1">
        <v>0.38194444444444442</v>
      </c>
      <c r="F2193" t="str">
        <f>IF(AND(AllData[[#This Row],[Time]]&lt;0.5, AllData[[#This Row],[Time]]&gt;0.17)=TRUE, "Morning", IF(AND(AllData[[#This Row],[Time]]&lt;0.75, AllData[[#This Row],[Time]]&gt;=0.5)=TRUE, "Afternoon", IF(AND(AllData[[#This Row],[Time]]&lt;1, AllData[[#This Row],[Time]]&gt;=0.75)=TRUE, "Evening", "Night")))</f>
        <v>Morning</v>
      </c>
      <c r="G2193" t="str">
        <f>_xlfn.XLOOKUP(AllData[[#This Row],[Location Name]], Locations[Location Name],Locations[Group As])</f>
        <v>Abbey Mill</v>
      </c>
      <c r="H2193" t="e" vm="4">
        <f>_xlfn.XLOOKUP(AllData[[#This Row],[Site Name]],LocationsKey[Site Name],LocationsKey[District])</f>
        <v>#VALUE!</v>
      </c>
      <c r="I2193" t="e" vm="4">
        <f>_xlfn.XLOOKUP(AllData[[#This Row],[Site Name]],LocationsKey[Site Name],LocationsKey[Town])</f>
        <v>#VALUE!</v>
      </c>
      <c r="J2193" t="str">
        <f>_xlfn.XLOOKUP(AllData[[#This Row],[Site Name]],LocationsKey[Site Name], LocationsKey[Waterway])</f>
        <v>Avon</v>
      </c>
      <c r="K2193" t="s">
        <v>24</v>
      </c>
      <c r="M2193" s="108"/>
      <c r="N2193" t="s">
        <v>25</v>
      </c>
      <c r="O2193">
        <v>623</v>
      </c>
      <c r="P2193">
        <v>13.4</v>
      </c>
      <c r="Q2193">
        <v>9</v>
      </c>
      <c r="R2193" s="141" t="str">
        <f>IF(AllData[[#This Row],[Nitrate (PPM)]]&gt;2, "Very high", IF(AllData[[#This Row],[Nitrate (PPM)]]&gt;1, "High", IF(AllData[[#This Row],[Nitrate (PPM)]]&gt;0.5, "Some evidence", IF(AllData[[#This Row],[Nitrate (PPM)]]&gt;=0, "No evidence"))))</f>
        <v>Very high</v>
      </c>
      <c r="S2193" s="4">
        <v>1.07</v>
      </c>
      <c r="T2193" s="7" t="str">
        <f>IF(AllData[[#This Row],[Phosphate (PPM)]]&gt;0.5, "Very high", IF(AllData[[#This Row],[Phosphate (PPM)]]&gt;0.1, "High", IF(AllData[[#This Row],[Phosphate (PPM)]]&gt;0.05, "Some evidence", IF(AllData[[#This Row],[Phosphate (PPM)]]&lt;=0.05, "No Evidence", ""))))</f>
        <v>Very high</v>
      </c>
      <c r="U2193">
        <v>2</v>
      </c>
      <c r="V2193" t="s">
        <v>293</v>
      </c>
    </row>
    <row r="2194" spans="1:22" x14ac:dyDescent="0.35">
      <c r="A2194" t="s">
        <v>305</v>
      </c>
      <c r="B2194" s="143">
        <v>45235</v>
      </c>
      <c r="C2194" s="2" t="str" cm="1">
        <f t="array" ref="C21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4">
        <f>YEAR(AllData[[#This Row],[Date]])</f>
        <v>2023</v>
      </c>
      <c r="E2194" s="1">
        <v>0.63263888888888886</v>
      </c>
      <c r="F2194" t="str">
        <f>IF(AND(AllData[[#This Row],[Time]]&lt;0.5, AllData[[#This Row],[Time]]&gt;0.17)=TRUE, "Morning", IF(AND(AllData[[#This Row],[Time]]&lt;0.75, AllData[[#This Row],[Time]]&gt;=0.5)=TRUE, "Afternoon", IF(AND(AllData[[#This Row],[Time]]&lt;1, AllData[[#This Row],[Time]]&gt;=0.75)=TRUE, "Evening", "Night")))</f>
        <v>Afternoon</v>
      </c>
      <c r="G2194" t="str">
        <f>_xlfn.XLOOKUP(AllData[[#This Row],[Location Name]], Locations[Location Name],Locations[Group As])</f>
        <v>Clifford Chambers Mill Bridge</v>
      </c>
      <c r="H2194" t="e" vm="1">
        <f>_xlfn.XLOOKUP(AllData[[#This Row],[Site Name]],LocationsKey[Site Name],LocationsKey[District])</f>
        <v>#VALUE!</v>
      </c>
      <c r="I2194" t="e" vm="22">
        <f>_xlfn.XLOOKUP(AllData[[#This Row],[Site Name]],LocationsKey[Site Name],LocationsKey[Town])</f>
        <v>#VALUE!</v>
      </c>
      <c r="J2194" t="str">
        <f>_xlfn.XLOOKUP(AllData[[#This Row],[Site Name]],LocationsKey[Site Name], LocationsKey[Waterway])</f>
        <v>Stour</v>
      </c>
      <c r="K2194" t="s">
        <v>266</v>
      </c>
      <c r="L2194">
        <v>52.166037000000003</v>
      </c>
      <c r="M2194" s="108">
        <v>-1.708032</v>
      </c>
      <c r="N2194" t="s">
        <v>68</v>
      </c>
      <c r="O2194">
        <v>486</v>
      </c>
      <c r="P2194">
        <v>12</v>
      </c>
      <c r="Q2194">
        <v>7</v>
      </c>
      <c r="R2194" s="141" t="str">
        <f>IF(AllData[[#This Row],[Nitrate (PPM)]]&gt;2, "Very high", IF(AllData[[#This Row],[Nitrate (PPM)]]&gt;1, "High", IF(AllData[[#This Row],[Nitrate (PPM)]]&gt;0.5, "Some evidence", IF(AllData[[#This Row],[Nitrate (PPM)]]&gt;=0, "No evidence"))))</f>
        <v>Very high</v>
      </c>
      <c r="S2194" s="4">
        <v>0.42</v>
      </c>
      <c r="T2194" s="7" t="str">
        <f>IF(AllData[[#This Row],[Phosphate (PPM)]]&gt;0.5, "Very high", IF(AllData[[#This Row],[Phosphate (PPM)]]&gt;0.1, "High", IF(AllData[[#This Row],[Phosphate (PPM)]]&gt;0.05, "Some evidence", IF(AllData[[#This Row],[Phosphate (PPM)]]&lt;=0.05, "No Evidence", ""))))</f>
        <v>High</v>
      </c>
      <c r="U2194">
        <v>1.7</v>
      </c>
      <c r="V2194" t="s">
        <v>306</v>
      </c>
    </row>
    <row r="2195" spans="1:22" x14ac:dyDescent="0.35">
      <c r="A2195" t="s">
        <v>302</v>
      </c>
      <c r="B2195" s="143">
        <v>45235</v>
      </c>
      <c r="C2195" s="2" t="str" cm="1">
        <f t="array" ref="C21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5">
        <f>YEAR(AllData[[#This Row],[Date]])</f>
        <v>2023</v>
      </c>
      <c r="E2195" s="1">
        <v>0.52083333333333337</v>
      </c>
      <c r="F2195" t="str">
        <f>IF(AND(AllData[[#This Row],[Time]]&lt;0.5, AllData[[#This Row],[Time]]&gt;0.17)=TRUE, "Morning", IF(AND(AllData[[#This Row],[Time]]&lt;0.75, AllData[[#This Row],[Time]]&gt;=0.5)=TRUE, "Afternoon", IF(AND(AllData[[#This Row],[Time]]&lt;1, AllData[[#This Row],[Time]]&gt;=0.75)=TRUE, "Evening", "Night")))</f>
        <v>Afternoon</v>
      </c>
      <c r="G2195" t="str">
        <f>_xlfn.XLOOKUP(AllData[[#This Row],[Location Name]], Locations[Location Name],Locations[Group As])</f>
        <v>Carrant Bredon Rd</v>
      </c>
      <c r="H2195" t="e" vm="4">
        <f>_xlfn.XLOOKUP(AllData[[#This Row],[Site Name]],LocationsKey[Site Name],LocationsKey[District])</f>
        <v>#VALUE!</v>
      </c>
      <c r="I2195" t="e" vm="4">
        <f>_xlfn.XLOOKUP(AllData[[#This Row],[Site Name]],LocationsKey[Site Name],LocationsKey[Town])</f>
        <v>#VALUE!</v>
      </c>
      <c r="J2195" t="str">
        <f>_xlfn.XLOOKUP(AllData[[#This Row],[Site Name]],LocationsKey[Site Name], LocationsKey[Waterway])</f>
        <v>Carrant</v>
      </c>
      <c r="K2195" t="s">
        <v>91</v>
      </c>
      <c r="M2195" s="108"/>
      <c r="N2195" t="s">
        <v>25</v>
      </c>
      <c r="O2195">
        <v>738</v>
      </c>
      <c r="P2195">
        <v>11.7</v>
      </c>
      <c r="Q2195">
        <v>6</v>
      </c>
      <c r="R2195" s="141" t="str">
        <f>IF(AllData[[#This Row],[Nitrate (PPM)]]&gt;2, "Very high", IF(AllData[[#This Row],[Nitrate (PPM)]]&gt;1, "High", IF(AllData[[#This Row],[Nitrate (PPM)]]&gt;0.5, "Some evidence", IF(AllData[[#This Row],[Nitrate (PPM)]]&gt;=0, "No evidence"))))</f>
        <v>Very high</v>
      </c>
      <c r="S2195" s="4">
        <v>0.32</v>
      </c>
      <c r="T2195" s="7" t="str">
        <f>IF(AllData[[#This Row],[Phosphate (PPM)]]&gt;0.5, "Very high", IF(AllData[[#This Row],[Phosphate (PPM)]]&gt;0.1, "High", IF(AllData[[#This Row],[Phosphate (PPM)]]&gt;0.05, "Some evidence", IF(AllData[[#This Row],[Phosphate (PPM)]]&lt;=0.05, "No Evidence", ""))))</f>
        <v>High</v>
      </c>
      <c r="U2195">
        <v>1</v>
      </c>
      <c r="V2195" t="s">
        <v>303</v>
      </c>
    </row>
    <row r="2196" spans="1:22" x14ac:dyDescent="0.35">
      <c r="A2196" t="s">
        <v>298</v>
      </c>
      <c r="B2196" s="143">
        <v>45235</v>
      </c>
      <c r="C2196" s="2" t="str" cm="1">
        <f t="array" ref="C21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6">
        <f>YEAR(AllData[[#This Row],[Date]])</f>
        <v>2023</v>
      </c>
      <c r="E2196" s="1">
        <v>0.48958333333333331</v>
      </c>
      <c r="F2196" t="str">
        <f>IF(AND(AllData[[#This Row],[Time]]&lt;0.5, AllData[[#This Row],[Time]]&gt;0.17)=TRUE, "Morning", IF(AND(AllData[[#This Row],[Time]]&lt;0.75, AllData[[#This Row],[Time]]&gt;=0.5)=TRUE, "Afternoon", IF(AND(AllData[[#This Row],[Time]]&lt;1, AllData[[#This Row],[Time]]&gt;=0.75)=TRUE, "Evening", "Night")))</f>
        <v>Morning</v>
      </c>
      <c r="G2196" t="str">
        <f>_xlfn.XLOOKUP(AllData[[#This Row],[Location Name]], Locations[Location Name],Locations[Group As])</f>
        <v>Avonbank Drive</v>
      </c>
      <c r="H2196" t="e" vm="1">
        <f>_xlfn.XLOOKUP(AllData[[#This Row],[Site Name]],LocationsKey[Site Name],LocationsKey[District])</f>
        <v>#VALUE!</v>
      </c>
      <c r="I2196" t="e" vm="12">
        <f>_xlfn.XLOOKUP(AllData[[#This Row],[Site Name]],LocationsKey[Site Name],LocationsKey[Town])</f>
        <v>#VALUE!</v>
      </c>
      <c r="J2196" t="str">
        <f>_xlfn.XLOOKUP(AllData[[#This Row],[Site Name]],LocationsKey[Site Name], LocationsKey[Waterway])</f>
        <v>Avon</v>
      </c>
      <c r="K2196" t="s">
        <v>104</v>
      </c>
      <c r="L2196">
        <v>52.177</v>
      </c>
      <c r="M2196" s="108">
        <v>-1.736</v>
      </c>
      <c r="N2196" t="s">
        <v>68</v>
      </c>
      <c r="O2196">
        <v>570</v>
      </c>
      <c r="P2196">
        <v>12.5</v>
      </c>
      <c r="Q2196">
        <v>5</v>
      </c>
      <c r="R2196" s="141" t="str">
        <f>IF(AllData[[#This Row],[Nitrate (PPM)]]&gt;2, "Very high", IF(AllData[[#This Row],[Nitrate (PPM)]]&gt;1, "High", IF(AllData[[#This Row],[Nitrate (PPM)]]&gt;0.5, "Some evidence", IF(AllData[[#This Row],[Nitrate (PPM)]]&gt;=0, "No evidence"))))</f>
        <v>Very high</v>
      </c>
      <c r="S2196" s="4">
        <v>1.06</v>
      </c>
      <c r="T2196" s="7" t="str">
        <f>IF(AllData[[#This Row],[Phosphate (PPM)]]&gt;0.5, "Very high", IF(AllData[[#This Row],[Phosphate (PPM)]]&gt;0.1, "High", IF(AllData[[#This Row],[Phosphate (PPM)]]&gt;0.05, "Some evidence", IF(AllData[[#This Row],[Phosphate (PPM)]]&lt;=0.05, "No Evidence", ""))))</f>
        <v>Very high</v>
      </c>
      <c r="U2196">
        <v>1</v>
      </c>
      <c r="V2196" t="s">
        <v>299</v>
      </c>
    </row>
    <row r="2197" spans="1:22" x14ac:dyDescent="0.35">
      <c r="A2197" t="s">
        <v>297</v>
      </c>
      <c r="B2197" s="143">
        <v>45235</v>
      </c>
      <c r="C2197" s="2" t="str" cm="1">
        <f t="array" ref="C21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7">
        <f>YEAR(AllData[[#This Row],[Date]])</f>
        <v>2023</v>
      </c>
      <c r="E2197" s="1">
        <v>0.46875</v>
      </c>
      <c r="F2197" t="str">
        <f>IF(AND(AllData[[#This Row],[Time]]&lt;0.5, AllData[[#This Row],[Time]]&gt;0.17)=TRUE, "Morning", IF(AND(AllData[[#This Row],[Time]]&lt;0.75, AllData[[#This Row],[Time]]&gt;=0.5)=TRUE, "Afternoon", IF(AND(AllData[[#This Row],[Time]]&lt;1, AllData[[#This Row],[Time]]&gt;=0.75)=TRUE, "Evening", "Night")))</f>
        <v>Morning</v>
      </c>
      <c r="G2197" t="str">
        <f>_xlfn.XLOOKUP(AllData[[#This Row],[Location Name]], Locations[Location Name],Locations[Group As])</f>
        <v>Pitch 16</v>
      </c>
      <c r="H2197" t="e" vm="1">
        <f>_xlfn.XLOOKUP(AllData[[#This Row],[Site Name]],LocationsKey[Site Name],LocationsKey[District])</f>
        <v>#VALUE!</v>
      </c>
      <c r="I2197" t="e" vm="12">
        <f>_xlfn.XLOOKUP(AllData[[#This Row],[Site Name]],LocationsKey[Site Name],LocationsKey[Town])</f>
        <v>#VALUE!</v>
      </c>
      <c r="J2197" t="str">
        <f>_xlfn.XLOOKUP(AllData[[#This Row],[Site Name]],LocationsKey[Site Name], LocationsKey[Waterway])</f>
        <v>Avon</v>
      </c>
      <c r="K2197" t="s">
        <v>71</v>
      </c>
      <c r="M2197" s="108"/>
      <c r="N2197" t="s">
        <v>31</v>
      </c>
      <c r="O2197">
        <v>565</v>
      </c>
      <c r="P2197">
        <v>12.5</v>
      </c>
      <c r="Q2197">
        <v>5</v>
      </c>
      <c r="R2197" s="141" t="str">
        <f>IF(AllData[[#This Row],[Nitrate (PPM)]]&gt;2, "Very high", IF(AllData[[#This Row],[Nitrate (PPM)]]&gt;1, "High", IF(AllData[[#This Row],[Nitrate (PPM)]]&gt;0.5, "Some evidence", IF(AllData[[#This Row],[Nitrate (PPM)]]&gt;=0, "No evidence"))))</f>
        <v>Very high</v>
      </c>
      <c r="S2197" s="4">
        <v>1.35</v>
      </c>
      <c r="T2197" s="7" t="str">
        <f>IF(AllData[[#This Row],[Phosphate (PPM)]]&gt;0.5, "Very high", IF(AllData[[#This Row],[Phosphate (PPM)]]&gt;0.1, "High", IF(AllData[[#This Row],[Phosphate (PPM)]]&gt;0.05, "Some evidence", IF(AllData[[#This Row],[Phosphate (PPM)]]&lt;=0.05, "No Evidence", ""))))</f>
        <v>Very high</v>
      </c>
      <c r="U2197">
        <v>1</v>
      </c>
    </row>
    <row r="2198" spans="1:22" x14ac:dyDescent="0.35">
      <c r="A2198" t="s">
        <v>300</v>
      </c>
      <c r="B2198" s="143">
        <v>45235</v>
      </c>
      <c r="C2198" s="2" t="str" cm="1">
        <f t="array" ref="C21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8">
        <f>YEAR(AllData[[#This Row],[Date]])</f>
        <v>2023</v>
      </c>
      <c r="E2198" s="1">
        <v>0.48958333333333331</v>
      </c>
      <c r="F2198" t="str">
        <f>IF(AND(AllData[[#This Row],[Time]]&lt;0.5, AllData[[#This Row],[Time]]&gt;0.17)=TRUE, "Morning", IF(AND(AllData[[#This Row],[Time]]&lt;0.75, AllData[[#This Row],[Time]]&gt;=0.5)=TRUE, "Afternoon", IF(AND(AllData[[#This Row],[Time]]&lt;1, AllData[[#This Row],[Time]]&gt;=0.75)=TRUE, "Evening", "Night")))</f>
        <v>Morning</v>
      </c>
      <c r="G2198" t="str">
        <f>_xlfn.XLOOKUP(AllData[[#This Row],[Location Name]], Locations[Location Name],Locations[Group As])</f>
        <v>Hampton Wood</v>
      </c>
      <c r="H2198" t="e" vm="1">
        <f>_xlfn.XLOOKUP(AllData[[#This Row],[Site Name]],LocationsKey[Site Name],LocationsKey[District])</f>
        <v>#VALUE!</v>
      </c>
      <c r="I2198" t="e" vm="34">
        <f>_xlfn.XLOOKUP(AllData[[#This Row],[Site Name]],LocationsKey[Site Name],LocationsKey[Town])</f>
        <v>#VALUE!</v>
      </c>
      <c r="J2198" t="str">
        <f>_xlfn.XLOOKUP(AllData[[#This Row],[Site Name]],LocationsKey[Site Name], LocationsKey[Waterway])</f>
        <v>Avon</v>
      </c>
      <c r="K2198" t="s">
        <v>36</v>
      </c>
      <c r="L2198">
        <v>52.238149999999997</v>
      </c>
      <c r="M2198" s="108">
        <v>-1.6245799999999999</v>
      </c>
      <c r="N2198" t="s">
        <v>31</v>
      </c>
      <c r="O2198">
        <v>568</v>
      </c>
      <c r="P2198">
        <v>11.1</v>
      </c>
      <c r="Q2198">
        <v>3</v>
      </c>
      <c r="R2198" s="141" t="str">
        <f>IF(AllData[[#This Row],[Nitrate (PPM)]]&gt;2, "Very high", IF(AllData[[#This Row],[Nitrate (PPM)]]&gt;1, "High", IF(AllData[[#This Row],[Nitrate (PPM)]]&gt;0.5, "Some evidence", IF(AllData[[#This Row],[Nitrate (PPM)]]&gt;=0, "No evidence"))))</f>
        <v>Very high</v>
      </c>
      <c r="S2198" s="4">
        <v>0.55000000000000004</v>
      </c>
      <c r="T2198" s="7" t="str">
        <f>IF(AllData[[#This Row],[Phosphate (PPM)]]&gt;0.5, "Very high", IF(AllData[[#This Row],[Phosphate (PPM)]]&gt;0.1, "High", IF(AllData[[#This Row],[Phosphate (PPM)]]&gt;0.05, "Some evidence", IF(AllData[[#This Row],[Phosphate (PPM)]]&lt;=0.05, "No Evidence", ""))))</f>
        <v>Very high</v>
      </c>
      <c r="U2198">
        <v>0</v>
      </c>
      <c r="V2198" t="s">
        <v>301</v>
      </c>
    </row>
    <row r="2199" spans="1:22" x14ac:dyDescent="0.35">
      <c r="A2199" t="s">
        <v>304</v>
      </c>
      <c r="B2199" s="143">
        <v>45235</v>
      </c>
      <c r="C2199" s="2" t="str" cm="1">
        <f t="array" ref="C21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199">
        <f>YEAR(AllData[[#This Row],[Date]])</f>
        <v>2023</v>
      </c>
      <c r="E2199" s="1">
        <v>0.53472222222222221</v>
      </c>
      <c r="F2199" t="str">
        <f>IF(AND(AllData[[#This Row],[Time]]&lt;0.5, AllData[[#This Row],[Time]]&gt;0.17)=TRUE, "Morning", IF(AND(AllData[[#This Row],[Time]]&lt;0.75, AllData[[#This Row],[Time]]&gt;=0.5)=TRUE, "Afternoon", IF(AND(AllData[[#This Row],[Time]]&lt;1, AllData[[#This Row],[Time]]&gt;=0.75)=TRUE, "Evening", "Night")))</f>
        <v>Afternoon</v>
      </c>
      <c r="G2199" t="str">
        <f>_xlfn.XLOOKUP(AllData[[#This Row],[Location Name]], Locations[Location Name],Locations[Group As])</f>
        <v>Hampton Lucy</v>
      </c>
      <c r="H2199" t="e" vm="1">
        <f>_xlfn.XLOOKUP(AllData[[#This Row],[Site Name]],LocationsKey[Site Name],LocationsKey[District])</f>
        <v>#VALUE!</v>
      </c>
      <c r="I2199" t="e" vm="33">
        <f>_xlfn.XLOOKUP(AllData[[#This Row],[Site Name]],LocationsKey[Site Name],LocationsKey[Town])</f>
        <v>#VALUE!</v>
      </c>
      <c r="J2199" t="str">
        <f>_xlfn.XLOOKUP(AllData[[#This Row],[Site Name]],LocationsKey[Site Name], LocationsKey[Waterway])</f>
        <v>Avon</v>
      </c>
      <c r="K2199" t="s">
        <v>39</v>
      </c>
      <c r="L2199">
        <v>52.211680000000001</v>
      </c>
      <c r="M2199" s="108">
        <v>-1.6244400000000001</v>
      </c>
      <c r="N2199" t="s">
        <v>25</v>
      </c>
      <c r="O2199">
        <v>570</v>
      </c>
      <c r="P2199">
        <v>11.4</v>
      </c>
      <c r="Q2199">
        <v>2</v>
      </c>
      <c r="R2199" s="141" t="str">
        <f>IF(AllData[[#This Row],[Nitrate (PPM)]]&gt;2, "Very high", IF(AllData[[#This Row],[Nitrate (PPM)]]&gt;1, "High", IF(AllData[[#This Row],[Nitrate (PPM)]]&gt;0.5, "Some evidence", IF(AllData[[#This Row],[Nitrate (PPM)]]&gt;=0, "No evidence"))))</f>
        <v>High</v>
      </c>
      <c r="S2199" s="4">
        <v>0.54</v>
      </c>
      <c r="T2199" s="7" t="str">
        <f>IF(AllData[[#This Row],[Phosphate (PPM)]]&gt;0.5, "Very high", IF(AllData[[#This Row],[Phosphate (PPM)]]&gt;0.1, "High", IF(AllData[[#This Row],[Phosphate (PPM)]]&gt;0.05, "Some evidence", IF(AllData[[#This Row],[Phosphate (PPM)]]&lt;=0.05, "No Evidence", ""))))</f>
        <v>Very high</v>
      </c>
      <c r="U2199">
        <v>0</v>
      </c>
    </row>
    <row r="2200" spans="1:22" x14ac:dyDescent="0.35">
      <c r="A2200" t="s">
        <v>307</v>
      </c>
      <c r="B2200" s="143">
        <v>45235</v>
      </c>
      <c r="C2200" s="2" t="str" cm="1">
        <f t="array" ref="C22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0">
        <f>YEAR(AllData[[#This Row],[Date]])</f>
        <v>2023</v>
      </c>
      <c r="E2200" s="1">
        <v>0.66666666666666663</v>
      </c>
      <c r="F2200" t="str">
        <f>IF(AND(AllData[[#This Row],[Time]]&lt;0.5, AllData[[#This Row],[Time]]&gt;0.17)=TRUE, "Morning", IF(AND(AllData[[#This Row],[Time]]&lt;0.75, AllData[[#This Row],[Time]]&gt;=0.5)=TRUE, "Afternoon", IF(AND(AllData[[#This Row],[Time]]&lt;1, AllData[[#This Row],[Time]]&gt;=0.75)=TRUE, "Evening", "Night")))</f>
        <v>Afternoon</v>
      </c>
      <c r="G2200" t="str">
        <f>_xlfn.XLOOKUP(AllData[[#This Row],[Location Name]], Locations[Location Name],Locations[Group As])</f>
        <v>Welford Boat Station</v>
      </c>
      <c r="H2200" t="e" vm="1">
        <f>_xlfn.XLOOKUP(AllData[[#This Row],[Site Name]],LocationsKey[Site Name],LocationsKey[District])</f>
        <v>#VALUE!</v>
      </c>
      <c r="I2200" t="e" vm="36">
        <f>_xlfn.XLOOKUP(AllData[[#This Row],[Site Name]],LocationsKey[Site Name],LocationsKey[Town])</f>
        <v>#VALUE!</v>
      </c>
      <c r="J2200" t="str">
        <f>_xlfn.XLOOKUP(AllData[[#This Row],[Site Name]],LocationsKey[Site Name], LocationsKey[Waterway])</f>
        <v>Avon</v>
      </c>
      <c r="K2200" t="s">
        <v>41</v>
      </c>
      <c r="L2200">
        <v>52.175240000000002</v>
      </c>
      <c r="M2200" s="108">
        <v>-1.7918700000000001</v>
      </c>
      <c r="N2200" t="s">
        <v>31</v>
      </c>
      <c r="O2200">
        <v>570</v>
      </c>
      <c r="P2200">
        <v>10.8</v>
      </c>
      <c r="Q2200">
        <v>2</v>
      </c>
      <c r="R2200" s="141" t="str">
        <f>IF(AllData[[#This Row],[Nitrate (PPM)]]&gt;2, "Very high", IF(AllData[[#This Row],[Nitrate (PPM)]]&gt;1, "High", IF(AllData[[#This Row],[Nitrate (PPM)]]&gt;0.5, "Some evidence", IF(AllData[[#This Row],[Nitrate (PPM)]]&gt;=0, "No evidence"))))</f>
        <v>High</v>
      </c>
      <c r="S2200" s="4">
        <v>0.37</v>
      </c>
      <c r="T2200" s="7" t="str">
        <f>IF(AllData[[#This Row],[Phosphate (PPM)]]&gt;0.5, "Very high", IF(AllData[[#This Row],[Phosphate (PPM)]]&gt;0.1, "High", IF(AllData[[#This Row],[Phosphate (PPM)]]&gt;0.05, "Some evidence", IF(AllData[[#This Row],[Phosphate (PPM)]]&lt;=0.05, "No Evidence", ""))))</f>
        <v>High</v>
      </c>
      <c r="U2200">
        <v>0</v>
      </c>
      <c r="V2200" t="s">
        <v>308</v>
      </c>
    </row>
    <row r="2201" spans="1:22" x14ac:dyDescent="0.35">
      <c r="A2201" t="s">
        <v>294</v>
      </c>
      <c r="B2201" s="143">
        <v>45232</v>
      </c>
      <c r="C2201" s="2" t="str" cm="1">
        <f t="array" ref="C22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1">
        <f>YEAR(AllData[[#This Row],[Date]])</f>
        <v>2023</v>
      </c>
      <c r="E2201" s="1">
        <v>0.52500000000000002</v>
      </c>
      <c r="F2201" t="str">
        <f>IF(AND(AllData[[#This Row],[Time]]&lt;0.5, AllData[[#This Row],[Time]]&gt;0.17)=TRUE, "Morning", IF(AND(AllData[[#This Row],[Time]]&lt;0.75, AllData[[#This Row],[Time]]&gt;=0.5)=TRUE, "Afternoon", IF(AND(AllData[[#This Row],[Time]]&lt;1, AllData[[#This Row],[Time]]&gt;=0.75)=TRUE, "Evening", "Night")))</f>
        <v>Afternoon</v>
      </c>
      <c r="G2201" t="str">
        <f>_xlfn.XLOOKUP(AllData[[#This Row],[Location Name]], Locations[Location Name],Locations[Group As])</f>
        <v>Preston-on-Stour River Bridge</v>
      </c>
      <c r="H2201" t="e" vm="1">
        <f>_xlfn.XLOOKUP(AllData[[#This Row],[Site Name]],LocationsKey[Site Name],LocationsKey[District])</f>
        <v>#VALUE!</v>
      </c>
      <c r="I2201" t="e" vm="20">
        <f>_xlfn.XLOOKUP(AllData[[#This Row],[Site Name]],LocationsKey[Site Name],LocationsKey[Town])</f>
        <v>#VALUE!</v>
      </c>
      <c r="J2201" t="str">
        <f>_xlfn.XLOOKUP(AllData[[#This Row],[Site Name]],LocationsKey[Site Name], LocationsKey[Waterway])</f>
        <v>Stour</v>
      </c>
      <c r="K2201" t="s">
        <v>164</v>
      </c>
      <c r="L2201">
        <v>52.146543000000001</v>
      </c>
      <c r="M2201" s="108">
        <v>-1.699527</v>
      </c>
      <c r="N2201" t="s">
        <v>31</v>
      </c>
      <c r="O2201">
        <v>610</v>
      </c>
      <c r="P2201">
        <v>11.9</v>
      </c>
      <c r="Q2201">
        <v>5</v>
      </c>
      <c r="R2201" s="141" t="str">
        <f>IF(AllData[[#This Row],[Nitrate (PPM)]]&gt;2, "Very high", IF(AllData[[#This Row],[Nitrate (PPM)]]&gt;1, "High", IF(AllData[[#This Row],[Nitrate (PPM)]]&gt;0.5, "Some evidence", IF(AllData[[#This Row],[Nitrate (PPM)]]&gt;=0, "No evidence"))))</f>
        <v>Very high</v>
      </c>
      <c r="S2201" s="4">
        <v>0.21</v>
      </c>
      <c r="T2201" s="7" t="str">
        <f>IF(AllData[[#This Row],[Phosphate (PPM)]]&gt;0.5, "Very high", IF(AllData[[#This Row],[Phosphate (PPM)]]&gt;0.1, "High", IF(AllData[[#This Row],[Phosphate (PPM)]]&gt;0.05, "Some evidence", IF(AllData[[#This Row],[Phosphate (PPM)]]&lt;=0.05, "No Evidence", ""))))</f>
        <v>High</v>
      </c>
      <c r="U2201">
        <v>2.5</v>
      </c>
      <c r="V2201" t="s">
        <v>295</v>
      </c>
    </row>
    <row r="2202" spans="1:22" x14ac:dyDescent="0.35">
      <c r="A2202" t="s">
        <v>292</v>
      </c>
      <c r="B2202" s="143">
        <v>45232</v>
      </c>
      <c r="C2202" s="2" t="str" cm="1">
        <f t="array" ref="C22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2">
        <f>YEAR(AllData[[#This Row],[Date]])</f>
        <v>2023</v>
      </c>
      <c r="E2202" s="1">
        <v>0.39583333333333331</v>
      </c>
      <c r="F2202" t="str">
        <f>IF(AND(AllData[[#This Row],[Time]]&lt;0.5, AllData[[#This Row],[Time]]&gt;0.17)=TRUE, "Morning", IF(AND(AllData[[#This Row],[Time]]&lt;0.75, AllData[[#This Row],[Time]]&gt;=0.5)=TRUE, "Afternoon", IF(AND(AllData[[#This Row],[Time]]&lt;1, AllData[[#This Row],[Time]]&gt;=0.75)=TRUE, "Evening", "Night")))</f>
        <v>Morning</v>
      </c>
      <c r="G2202" t="str">
        <f>_xlfn.XLOOKUP(AllData[[#This Row],[Location Name]], Locations[Location Name],Locations[Group As])</f>
        <v>Swilgate</v>
      </c>
      <c r="H2202" t="e" vm="4">
        <f>_xlfn.XLOOKUP(AllData[[#This Row],[Site Name]],LocationsKey[Site Name],LocationsKey[District])</f>
        <v>#VALUE!</v>
      </c>
      <c r="I2202" t="e" vm="4">
        <f>_xlfn.XLOOKUP(AllData[[#This Row],[Site Name]],LocationsKey[Site Name],LocationsKey[Town])</f>
        <v>#VALUE!</v>
      </c>
      <c r="J2202" t="str">
        <f>_xlfn.XLOOKUP(AllData[[#This Row],[Site Name]],LocationsKey[Site Name], LocationsKey[Waterway])</f>
        <v>Swilgate</v>
      </c>
      <c r="K2202" t="s">
        <v>85</v>
      </c>
      <c r="M2202" s="108"/>
      <c r="N2202" t="s">
        <v>25</v>
      </c>
      <c r="O2202">
        <v>895</v>
      </c>
      <c r="P2202">
        <v>12.2</v>
      </c>
      <c r="Q2202">
        <v>2</v>
      </c>
      <c r="R2202" s="141" t="str">
        <f>IF(AllData[[#This Row],[Nitrate (PPM)]]&gt;2, "Very high", IF(AllData[[#This Row],[Nitrate (PPM)]]&gt;1, "High", IF(AllData[[#This Row],[Nitrate (PPM)]]&gt;0.5, "Some evidence", IF(AllData[[#This Row],[Nitrate (PPM)]]&gt;=0, "No evidence"))))</f>
        <v>High</v>
      </c>
      <c r="S2202" s="4">
        <v>0.48</v>
      </c>
      <c r="T2202" s="7" t="str">
        <f>IF(AllData[[#This Row],[Phosphate (PPM)]]&gt;0.5, "Very high", IF(AllData[[#This Row],[Phosphate (PPM)]]&gt;0.1, "High", IF(AllData[[#This Row],[Phosphate (PPM)]]&gt;0.05, "Some evidence", IF(AllData[[#This Row],[Phosphate (PPM)]]&lt;=0.05, "No Evidence", ""))))</f>
        <v>High</v>
      </c>
      <c r="U2202">
        <v>1.5</v>
      </c>
      <c r="V2202" t="s">
        <v>293</v>
      </c>
    </row>
    <row r="2203" spans="1:22" x14ac:dyDescent="0.35">
      <c r="A2203" t="s">
        <v>291</v>
      </c>
      <c r="B2203" s="143">
        <v>45231</v>
      </c>
      <c r="C2203" s="2" t="str" cm="1">
        <f t="array" ref="C22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3">
        <f>YEAR(AllData[[#This Row],[Date]])</f>
        <v>2023</v>
      </c>
      <c r="E2203" s="1">
        <v>0.59027777777777779</v>
      </c>
      <c r="F2203" t="str">
        <f>IF(AND(AllData[[#This Row],[Time]]&lt;0.5, AllData[[#This Row],[Time]]&gt;0.17)=TRUE, "Morning", IF(AND(AllData[[#This Row],[Time]]&lt;0.75, AllData[[#This Row],[Time]]&gt;=0.5)=TRUE, "Afternoon", IF(AND(AllData[[#This Row],[Time]]&lt;1, AllData[[#This Row],[Time]]&gt;=0.75)=TRUE, "Evening", "Night")))</f>
        <v>Afternoon</v>
      </c>
      <c r="G2203" t="str">
        <f>_xlfn.XLOOKUP(AllData[[#This Row],[Location Name]], Locations[Location Name],Locations[Group As])</f>
        <v>Weston-on-Avon</v>
      </c>
      <c r="H2203" t="e" vm="1">
        <f>_xlfn.XLOOKUP(AllData[[#This Row],[Site Name]],LocationsKey[Site Name],LocationsKey[District])</f>
        <v>#VALUE!</v>
      </c>
      <c r="I2203" t="e" vm="35">
        <f>_xlfn.XLOOKUP(AllData[[#This Row],[Site Name]],LocationsKey[Site Name],LocationsKey[Town])</f>
        <v>#VALUE!</v>
      </c>
      <c r="J2203" t="str">
        <f>_xlfn.XLOOKUP(AllData[[#This Row],[Site Name]],LocationsKey[Site Name], LocationsKey[Waterway])</f>
        <v>Avon</v>
      </c>
      <c r="K2203" t="s">
        <v>43</v>
      </c>
      <c r="L2203">
        <v>52.167430000000003</v>
      </c>
      <c r="M2203" s="108">
        <v>-1.7744800000000001</v>
      </c>
      <c r="N2203" t="s">
        <v>31</v>
      </c>
      <c r="O2203">
        <v>800</v>
      </c>
      <c r="P2203">
        <v>11.6</v>
      </c>
      <c r="Q2203">
        <v>3</v>
      </c>
      <c r="R2203" s="141" t="str">
        <f>IF(AllData[[#This Row],[Nitrate (PPM)]]&gt;2, "Very high", IF(AllData[[#This Row],[Nitrate (PPM)]]&gt;1, "High", IF(AllData[[#This Row],[Nitrate (PPM)]]&gt;0.5, "Some evidence", IF(AllData[[#This Row],[Nitrate (PPM)]]&gt;=0, "No evidence"))))</f>
        <v>Very high</v>
      </c>
      <c r="S2203" s="4">
        <v>0.59</v>
      </c>
      <c r="T2203" s="7" t="str">
        <f>IF(AllData[[#This Row],[Phosphate (PPM)]]&gt;0.5, "Very high", IF(AllData[[#This Row],[Phosphate (PPM)]]&gt;0.1, "High", IF(AllData[[#This Row],[Phosphate (PPM)]]&gt;0.05, "Some evidence", IF(AllData[[#This Row],[Phosphate (PPM)]]&lt;=0.05, "No Evidence", ""))))</f>
        <v>Very high</v>
      </c>
      <c r="U2203">
        <v>0</v>
      </c>
    </row>
    <row r="2204" spans="1:22" x14ac:dyDescent="0.35">
      <c r="A2204" t="s">
        <v>289</v>
      </c>
      <c r="B2204" s="143">
        <v>45230</v>
      </c>
      <c r="C2204" s="2" t="str" cm="1">
        <f t="array" ref="C22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4">
        <f>YEAR(AllData[[#This Row],[Date]])</f>
        <v>2023</v>
      </c>
      <c r="E2204" s="1">
        <v>0.2951388888888889</v>
      </c>
      <c r="F2204" t="str">
        <f>IF(AND(AllData[[#This Row],[Time]]&lt;0.5, AllData[[#This Row],[Time]]&gt;0.17)=TRUE, "Morning", IF(AND(AllData[[#This Row],[Time]]&lt;0.75, AllData[[#This Row],[Time]]&gt;=0.5)=TRUE, "Afternoon", IF(AND(AllData[[#This Row],[Time]]&lt;1, AllData[[#This Row],[Time]]&gt;=0.75)=TRUE, "Evening", "Night")))</f>
        <v>Morning</v>
      </c>
      <c r="G2204" t="str">
        <f>_xlfn.XLOOKUP(AllData[[#This Row],[Location Name]], Locations[Location Name],Locations[Group As])</f>
        <v>Abbey Mill</v>
      </c>
      <c r="H2204" t="e" vm="4">
        <f>_xlfn.XLOOKUP(AllData[[#This Row],[Site Name]],LocationsKey[Site Name],LocationsKey[District])</f>
        <v>#VALUE!</v>
      </c>
      <c r="I2204" t="e" vm="4">
        <f>_xlfn.XLOOKUP(AllData[[#This Row],[Site Name]],LocationsKey[Site Name],LocationsKey[Town])</f>
        <v>#VALUE!</v>
      </c>
      <c r="J2204" t="str">
        <f>_xlfn.XLOOKUP(AllData[[#This Row],[Site Name]],LocationsKey[Site Name], LocationsKey[Waterway])</f>
        <v>Avon</v>
      </c>
      <c r="K2204" t="s">
        <v>24</v>
      </c>
      <c r="L2204">
        <v>51.991028</v>
      </c>
      <c r="M2204" s="108">
        <v>-2.1625719999999999</v>
      </c>
      <c r="N2204" t="s">
        <v>25</v>
      </c>
      <c r="O2204">
        <v>640</v>
      </c>
      <c r="P2204">
        <v>13.5</v>
      </c>
      <c r="Q2204">
        <v>10</v>
      </c>
      <c r="R2204" s="141" t="str">
        <f>IF(AllData[[#This Row],[Nitrate (PPM)]]&gt;2, "Very high", IF(AllData[[#This Row],[Nitrate (PPM)]]&gt;1, "High", IF(AllData[[#This Row],[Nitrate (PPM)]]&gt;0.5, "Some evidence", IF(AllData[[#This Row],[Nitrate (PPM)]]&gt;=0, "No evidence"))))</f>
        <v>Very high</v>
      </c>
      <c r="S2204" s="4">
        <v>0.41</v>
      </c>
      <c r="T2204" s="7" t="str">
        <f>IF(AllData[[#This Row],[Phosphate (PPM)]]&gt;0.5, "Very high", IF(AllData[[#This Row],[Phosphate (PPM)]]&gt;0.1, "High", IF(AllData[[#This Row],[Phosphate (PPM)]]&gt;0.05, "Some evidence", IF(AllData[[#This Row],[Phosphate (PPM)]]&lt;=0.05, "No Evidence", ""))))</f>
        <v>High</v>
      </c>
      <c r="U2204">
        <v>1</v>
      </c>
      <c r="V2204" t="s">
        <v>290</v>
      </c>
    </row>
    <row r="2205" spans="1:22" x14ac:dyDescent="0.35">
      <c r="A2205" t="s">
        <v>287</v>
      </c>
      <c r="B2205" s="143">
        <v>45229</v>
      </c>
      <c r="C2205" s="2" t="str" cm="1">
        <f t="array" ref="C22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5">
        <f>YEAR(AllData[[#This Row],[Date]])</f>
        <v>2023</v>
      </c>
      <c r="E2205" s="1">
        <v>0.65069444444444446</v>
      </c>
      <c r="F2205" t="str">
        <f>IF(AND(AllData[[#This Row],[Time]]&lt;0.5, AllData[[#This Row],[Time]]&gt;0.17)=TRUE, "Morning", IF(AND(AllData[[#This Row],[Time]]&lt;0.75, AllData[[#This Row],[Time]]&gt;=0.5)=TRUE, "Afternoon", IF(AND(AllData[[#This Row],[Time]]&lt;1, AllData[[#This Row],[Time]]&gt;=0.75)=TRUE, "Evening", "Night")))</f>
        <v>Afternoon</v>
      </c>
      <c r="G2205" t="str">
        <f>_xlfn.XLOOKUP(AllData[[#This Row],[Location Name]], Locations[Location Name],Locations[Group As])</f>
        <v>Alveston Weir</v>
      </c>
      <c r="H2205" t="e" vm="1">
        <f>_xlfn.XLOOKUP(AllData[[#This Row],[Site Name]],LocationsKey[Site Name],LocationsKey[District])</f>
        <v>#VALUE!</v>
      </c>
      <c r="I2205" t="e" vm="2">
        <f>_xlfn.XLOOKUP(AllData[[#This Row],[Site Name]],LocationsKey[Site Name],LocationsKey[Town])</f>
        <v>#VALUE!</v>
      </c>
      <c r="J2205" t="str">
        <f>_xlfn.XLOOKUP(AllData[[#This Row],[Site Name]],LocationsKey[Site Name], LocationsKey[Waterway])</f>
        <v>Avon</v>
      </c>
      <c r="K2205" t="s">
        <v>288</v>
      </c>
      <c r="L2205">
        <v>52.214388999999997</v>
      </c>
      <c r="M2205" s="108">
        <v>-1.6601520000000001</v>
      </c>
      <c r="N2205" t="s">
        <v>31</v>
      </c>
      <c r="O2205">
        <v>70.2</v>
      </c>
      <c r="P2205">
        <v>16.8</v>
      </c>
      <c r="Q2205">
        <v>10</v>
      </c>
      <c r="R2205" s="141" t="str">
        <f>IF(AllData[[#This Row],[Nitrate (PPM)]]&gt;2, "Very high", IF(AllData[[#This Row],[Nitrate (PPM)]]&gt;1, "High", IF(AllData[[#This Row],[Nitrate (PPM)]]&gt;0.5, "Some evidence", IF(AllData[[#This Row],[Nitrate (PPM)]]&gt;=0, "No evidence"))))</f>
        <v>Very high</v>
      </c>
      <c r="S2205" s="4">
        <v>0.49</v>
      </c>
      <c r="T2205" s="7" t="str">
        <f>IF(AllData[[#This Row],[Phosphate (PPM)]]&gt;0.5, "Very high", IF(AllData[[#This Row],[Phosphate (PPM)]]&gt;0.1, "High", IF(AllData[[#This Row],[Phosphate (PPM)]]&gt;0.05, "Some evidence", IF(AllData[[#This Row],[Phosphate (PPM)]]&lt;=0.05, "No Evidence", ""))))</f>
        <v>High</v>
      </c>
      <c r="U2205">
        <v>0</v>
      </c>
    </row>
    <row r="2206" spans="1:22" x14ac:dyDescent="0.35">
      <c r="A2206" t="s">
        <v>285</v>
      </c>
      <c r="B2206" s="143">
        <v>45229</v>
      </c>
      <c r="C2206" s="2" t="str" cm="1">
        <f t="array" ref="C22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6">
        <f>YEAR(AllData[[#This Row],[Date]])</f>
        <v>2023</v>
      </c>
      <c r="E2206" s="1">
        <v>0.58958333333333335</v>
      </c>
      <c r="F2206" t="str">
        <f>IF(AND(AllData[[#This Row],[Time]]&lt;0.5, AllData[[#This Row],[Time]]&gt;0.17)=TRUE, "Morning", IF(AND(AllData[[#This Row],[Time]]&lt;0.75, AllData[[#This Row],[Time]]&gt;=0.5)=TRUE, "Afternoon", IF(AND(AllData[[#This Row],[Time]]&lt;1, AllData[[#This Row],[Time]]&gt;=0.75)=TRUE, "Evening", "Night")))</f>
        <v>Afternoon</v>
      </c>
      <c r="G2206" t="str">
        <f>_xlfn.XLOOKUP(AllData[[#This Row],[Location Name]], Locations[Location Name],Locations[Group As])</f>
        <v>Swiffen Bank</v>
      </c>
      <c r="H2206" t="e" vm="1">
        <f>_xlfn.XLOOKUP(AllData[[#This Row],[Site Name]],LocationsKey[Site Name],LocationsKey[District])</f>
        <v>#VALUE!</v>
      </c>
      <c r="I2206" t="e" vm="2">
        <f>_xlfn.XLOOKUP(AllData[[#This Row],[Site Name]],LocationsKey[Site Name],LocationsKey[Town])</f>
        <v>#VALUE!</v>
      </c>
      <c r="J2206" t="str">
        <f>_xlfn.XLOOKUP(AllData[[#This Row],[Site Name]],LocationsKey[Site Name], LocationsKey[Waterway])</f>
        <v>Avon</v>
      </c>
      <c r="K2206" t="s">
        <v>286</v>
      </c>
      <c r="L2206">
        <v>52.206477999999997</v>
      </c>
      <c r="M2206" s="108">
        <v>-1.653894</v>
      </c>
      <c r="N2206" t="s">
        <v>31</v>
      </c>
      <c r="O2206">
        <v>687</v>
      </c>
      <c r="P2206">
        <v>15</v>
      </c>
      <c r="Q2206">
        <v>5</v>
      </c>
      <c r="R2206" s="141" t="str">
        <f>IF(AllData[[#This Row],[Nitrate (PPM)]]&gt;2, "Very high", IF(AllData[[#This Row],[Nitrate (PPM)]]&gt;1, "High", IF(AllData[[#This Row],[Nitrate (PPM)]]&gt;0.5, "Some evidence", IF(AllData[[#This Row],[Nitrate (PPM)]]&gt;=0, "No evidence"))))</f>
        <v>Very high</v>
      </c>
      <c r="S2206" s="4">
        <v>0.54</v>
      </c>
      <c r="T2206" s="7" t="str">
        <f>IF(AllData[[#This Row],[Phosphate (PPM)]]&gt;0.5, "Very high", IF(AllData[[#This Row],[Phosphate (PPM)]]&gt;0.1, "High", IF(AllData[[#This Row],[Phosphate (PPM)]]&gt;0.05, "Some evidence", IF(AllData[[#This Row],[Phosphate (PPM)]]&lt;=0.05, "No Evidence", ""))))</f>
        <v>Very high</v>
      </c>
      <c r="U2206">
        <v>1</v>
      </c>
    </row>
    <row r="2207" spans="1:22" x14ac:dyDescent="0.35">
      <c r="A2207" t="s">
        <v>280</v>
      </c>
      <c r="B2207" s="143">
        <v>45228</v>
      </c>
      <c r="C2207" s="2" t="str" cm="1">
        <f t="array" ref="C22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7">
        <f>YEAR(AllData[[#This Row],[Date]])</f>
        <v>2023</v>
      </c>
      <c r="E2207" s="1">
        <v>0.42708333333333331</v>
      </c>
      <c r="F2207" t="str">
        <f>IF(AND(AllData[[#This Row],[Time]]&lt;0.5, AllData[[#This Row],[Time]]&gt;0.17)=TRUE, "Morning", IF(AND(AllData[[#This Row],[Time]]&lt;0.75, AllData[[#This Row],[Time]]&gt;=0.5)=TRUE, "Afternoon", IF(AND(AllData[[#This Row],[Time]]&lt;1, AllData[[#This Row],[Time]]&gt;=0.75)=TRUE, "Evening", "Night")))</f>
        <v>Morning</v>
      </c>
      <c r="G2207" t="str">
        <f>_xlfn.XLOOKUP(AllData[[#This Row],[Location Name]], Locations[Location Name],Locations[Group As])</f>
        <v>Lucy's Mill Bridge</v>
      </c>
      <c r="H2207" t="e" vm="1">
        <f>_xlfn.XLOOKUP(AllData[[#This Row],[Site Name]],LocationsKey[Site Name],LocationsKey[District])</f>
        <v>#VALUE!</v>
      </c>
      <c r="I2207" t="e" vm="12">
        <f>_xlfn.XLOOKUP(AllData[[#This Row],[Site Name]],LocationsKey[Site Name],LocationsKey[Town])</f>
        <v>#VALUE!</v>
      </c>
      <c r="J2207" t="str">
        <f>_xlfn.XLOOKUP(AllData[[#This Row],[Site Name]],LocationsKey[Site Name], LocationsKey[Waterway])</f>
        <v>Avon</v>
      </c>
      <c r="K2207" t="s">
        <v>212</v>
      </c>
      <c r="L2207">
        <v>52.183698999999997</v>
      </c>
      <c r="M2207" s="108">
        <v>-1.707816</v>
      </c>
      <c r="N2207" t="s">
        <v>31</v>
      </c>
      <c r="P2207">
        <v>13</v>
      </c>
      <c r="Q2207">
        <v>20</v>
      </c>
      <c r="R2207" s="141" t="str">
        <f>IF(AllData[[#This Row],[Nitrate (PPM)]]&gt;2, "Very high", IF(AllData[[#This Row],[Nitrate (PPM)]]&gt;1, "High", IF(AllData[[#This Row],[Nitrate (PPM)]]&gt;0.5, "Some evidence", IF(AllData[[#This Row],[Nitrate (PPM)]]&gt;=0, "No evidence"))))</f>
        <v>Very high</v>
      </c>
      <c r="S2207" s="4">
        <v>0.61</v>
      </c>
      <c r="T2207" s="7" t="str">
        <f>IF(AllData[[#This Row],[Phosphate (PPM)]]&gt;0.5, "Very high", IF(AllData[[#This Row],[Phosphate (PPM)]]&gt;0.1, "High", IF(AllData[[#This Row],[Phosphate (PPM)]]&gt;0.05, "Some evidence", IF(AllData[[#This Row],[Phosphate (PPM)]]&lt;=0.05, "No Evidence", ""))))</f>
        <v>Very high</v>
      </c>
      <c r="U2207">
        <v>0.7</v>
      </c>
    </row>
    <row r="2208" spans="1:22" x14ac:dyDescent="0.35">
      <c r="A2208" t="s">
        <v>281</v>
      </c>
      <c r="B2208" s="143">
        <v>45228</v>
      </c>
      <c r="C2208" s="2" t="str" cm="1">
        <f t="array" ref="C22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8">
        <f>YEAR(AllData[[#This Row],[Date]])</f>
        <v>2023</v>
      </c>
      <c r="E2208" s="1">
        <v>0.46875</v>
      </c>
      <c r="F2208" t="str">
        <f>IF(AND(AllData[[#This Row],[Time]]&lt;0.5, AllData[[#This Row],[Time]]&gt;0.17)=TRUE, "Morning", IF(AND(AllData[[#This Row],[Time]]&lt;0.75, AllData[[#This Row],[Time]]&gt;=0.5)=TRUE, "Afternoon", IF(AND(AllData[[#This Row],[Time]]&lt;1, AllData[[#This Row],[Time]]&gt;=0.75)=TRUE, "Evening", "Night")))</f>
        <v>Morning</v>
      </c>
      <c r="G2208" t="str">
        <f>_xlfn.XLOOKUP(AllData[[#This Row],[Location Name]], Locations[Location Name],Locations[Group As])</f>
        <v>Hampton Wood</v>
      </c>
      <c r="H2208" t="e" vm="1">
        <f>_xlfn.XLOOKUP(AllData[[#This Row],[Site Name]],LocationsKey[Site Name],LocationsKey[District])</f>
        <v>#VALUE!</v>
      </c>
      <c r="I2208" t="e" vm="34">
        <f>_xlfn.XLOOKUP(AllData[[#This Row],[Site Name]],LocationsKey[Site Name],LocationsKey[Town])</f>
        <v>#VALUE!</v>
      </c>
      <c r="J2208" t="str">
        <f>_xlfn.XLOOKUP(AllData[[#This Row],[Site Name]],LocationsKey[Site Name], LocationsKey[Waterway])</f>
        <v>Avon</v>
      </c>
      <c r="K2208" t="s">
        <v>36</v>
      </c>
      <c r="L2208">
        <v>52.238149999999997</v>
      </c>
      <c r="M2208" s="108">
        <v>-1.6245799999999999</v>
      </c>
      <c r="N2208" t="s">
        <v>31</v>
      </c>
      <c r="O2208">
        <v>754</v>
      </c>
      <c r="P2208">
        <v>13.1</v>
      </c>
      <c r="Q2208">
        <v>4</v>
      </c>
      <c r="R2208" s="141" t="str">
        <f>IF(AllData[[#This Row],[Nitrate (PPM)]]&gt;2, "Very high", IF(AllData[[#This Row],[Nitrate (PPM)]]&gt;1, "High", IF(AllData[[#This Row],[Nitrate (PPM)]]&gt;0.5, "Some evidence", IF(AllData[[#This Row],[Nitrate (PPM)]]&gt;=0, "No evidence"))))</f>
        <v>Very high</v>
      </c>
      <c r="S2208" s="4">
        <v>0.6</v>
      </c>
      <c r="T2208" s="7" t="str">
        <f>IF(AllData[[#This Row],[Phosphate (PPM)]]&gt;0.5, "Very high", IF(AllData[[#This Row],[Phosphate (PPM)]]&gt;0.1, "High", IF(AllData[[#This Row],[Phosphate (PPM)]]&gt;0.05, "Some evidence", IF(AllData[[#This Row],[Phosphate (PPM)]]&lt;=0.05, "No Evidence", ""))))</f>
        <v>Very high</v>
      </c>
      <c r="U2208">
        <v>0</v>
      </c>
    </row>
    <row r="2209" spans="1:22" x14ac:dyDescent="0.35">
      <c r="A2209" t="s">
        <v>283</v>
      </c>
      <c r="B2209" s="143">
        <v>45228</v>
      </c>
      <c r="C2209" s="2" t="str" cm="1">
        <f t="array" ref="C22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09">
        <f>YEAR(AllData[[#This Row],[Date]])</f>
        <v>2023</v>
      </c>
      <c r="E2209" s="1">
        <v>0.63263888888888886</v>
      </c>
      <c r="F2209" t="str">
        <f>IF(AND(AllData[[#This Row],[Time]]&lt;0.5, AllData[[#This Row],[Time]]&gt;0.17)=TRUE, "Morning", IF(AND(AllData[[#This Row],[Time]]&lt;0.75, AllData[[#This Row],[Time]]&gt;=0.5)=TRUE, "Afternoon", IF(AND(AllData[[#This Row],[Time]]&lt;1, AllData[[#This Row],[Time]]&gt;=0.75)=TRUE, "Evening", "Night")))</f>
        <v>Afternoon</v>
      </c>
      <c r="G2209" t="str">
        <f>_xlfn.XLOOKUP(AllData[[#This Row],[Location Name]], Locations[Location Name],Locations[Group As])</f>
        <v>Clifford Chambers Mill Bridge</v>
      </c>
      <c r="H2209" t="e" vm="1">
        <f>_xlfn.XLOOKUP(AllData[[#This Row],[Site Name]],LocationsKey[Site Name],LocationsKey[District])</f>
        <v>#VALUE!</v>
      </c>
      <c r="I2209" t="e" vm="22">
        <f>_xlfn.XLOOKUP(AllData[[#This Row],[Site Name]],LocationsKey[Site Name],LocationsKey[Town])</f>
        <v>#VALUE!</v>
      </c>
      <c r="J2209" t="str">
        <f>_xlfn.XLOOKUP(AllData[[#This Row],[Site Name]],LocationsKey[Site Name], LocationsKey[Waterway])</f>
        <v>Stour</v>
      </c>
      <c r="K2209" t="s">
        <v>266</v>
      </c>
      <c r="L2209">
        <v>52.166370000000001</v>
      </c>
      <c r="M2209" s="108">
        <v>-1.708032</v>
      </c>
      <c r="N2209" t="s">
        <v>68</v>
      </c>
      <c r="O2209">
        <v>416</v>
      </c>
      <c r="P2209">
        <v>13.4</v>
      </c>
      <c r="Q2209">
        <v>4</v>
      </c>
      <c r="R2209" s="141" t="str">
        <f>IF(AllData[[#This Row],[Nitrate (PPM)]]&gt;2, "Very high", IF(AllData[[#This Row],[Nitrate (PPM)]]&gt;1, "High", IF(AllData[[#This Row],[Nitrate (PPM)]]&gt;0.5, "Some evidence", IF(AllData[[#This Row],[Nitrate (PPM)]]&gt;=0, "No evidence"))))</f>
        <v>Very high</v>
      </c>
      <c r="S2209" s="4">
        <v>0.34</v>
      </c>
      <c r="T2209" s="7" t="str">
        <f>IF(AllData[[#This Row],[Phosphate (PPM)]]&gt;0.5, "Very high", IF(AllData[[#This Row],[Phosphate (PPM)]]&gt;0.1, "High", IF(AllData[[#This Row],[Phosphate (PPM)]]&gt;0.05, "Some evidence", IF(AllData[[#This Row],[Phosphate (PPM)]]&lt;=0.05, "No Evidence", ""))))</f>
        <v>High</v>
      </c>
      <c r="U2209">
        <v>1.8</v>
      </c>
      <c r="V2209" t="s">
        <v>284</v>
      </c>
    </row>
    <row r="2210" spans="1:22" x14ac:dyDescent="0.35">
      <c r="A2210" t="s">
        <v>282</v>
      </c>
      <c r="B2210" s="143">
        <v>45228</v>
      </c>
      <c r="C2210" s="2" t="str" cm="1">
        <f t="array" ref="C22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0">
        <f>YEAR(AllData[[#This Row],[Date]])</f>
        <v>2023</v>
      </c>
      <c r="E2210" s="1">
        <v>0.52777777777777779</v>
      </c>
      <c r="F2210" t="str">
        <f>IF(AND(AllData[[#This Row],[Time]]&lt;0.5, AllData[[#This Row],[Time]]&gt;0.17)=TRUE, "Morning", IF(AND(AllData[[#This Row],[Time]]&lt;0.75, AllData[[#This Row],[Time]]&gt;=0.5)=TRUE, "Afternoon", IF(AND(AllData[[#This Row],[Time]]&lt;1, AllData[[#This Row],[Time]]&gt;=0.75)=TRUE, "Evening", "Night")))</f>
        <v>Afternoon</v>
      </c>
      <c r="G2210" t="str">
        <f>_xlfn.XLOOKUP(AllData[[#This Row],[Location Name]], Locations[Location Name],Locations[Group As])</f>
        <v>Hampton Lucy</v>
      </c>
      <c r="H2210" t="e" vm="1">
        <f>_xlfn.XLOOKUP(AllData[[#This Row],[Site Name]],LocationsKey[Site Name],LocationsKey[District])</f>
        <v>#VALUE!</v>
      </c>
      <c r="I2210" t="e" vm="33">
        <f>_xlfn.XLOOKUP(AllData[[#This Row],[Site Name]],LocationsKey[Site Name],LocationsKey[Town])</f>
        <v>#VALUE!</v>
      </c>
      <c r="J2210" t="str">
        <f>_xlfn.XLOOKUP(AllData[[#This Row],[Site Name]],LocationsKey[Site Name], LocationsKey[Waterway])</f>
        <v>Avon</v>
      </c>
      <c r="K2210" t="s">
        <v>39</v>
      </c>
      <c r="L2210">
        <v>52.211680000000001</v>
      </c>
      <c r="M2210" s="108">
        <v>-1.6244400000000001</v>
      </c>
      <c r="N2210" t="s">
        <v>25</v>
      </c>
      <c r="O2210">
        <v>758</v>
      </c>
      <c r="P2210">
        <v>12.6</v>
      </c>
      <c r="Q2210">
        <v>3.5</v>
      </c>
      <c r="R2210" s="141" t="str">
        <f>IF(AllData[[#This Row],[Nitrate (PPM)]]&gt;2, "Very high", IF(AllData[[#This Row],[Nitrate (PPM)]]&gt;1, "High", IF(AllData[[#This Row],[Nitrate (PPM)]]&gt;0.5, "Some evidence", IF(AllData[[#This Row],[Nitrate (PPM)]]&gt;=0, "No evidence"))))</f>
        <v>Very high</v>
      </c>
      <c r="S2210" s="4">
        <v>0.71</v>
      </c>
      <c r="T2210" s="7" t="str">
        <f>IF(AllData[[#This Row],[Phosphate (PPM)]]&gt;0.5, "Very high", IF(AllData[[#This Row],[Phosphate (PPM)]]&gt;0.1, "High", IF(AllData[[#This Row],[Phosphate (PPM)]]&gt;0.05, "Some evidence", IF(AllData[[#This Row],[Phosphate (PPM)]]&lt;=0.05, "No Evidence", ""))))</f>
        <v>Very high</v>
      </c>
      <c r="U2210">
        <v>0</v>
      </c>
    </row>
    <row r="2211" spans="1:22" x14ac:dyDescent="0.35">
      <c r="A2211" t="s">
        <v>276</v>
      </c>
      <c r="B2211" s="143">
        <v>45227</v>
      </c>
      <c r="C2211" s="2" t="str" cm="1">
        <f t="array" ref="C22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1">
        <f>YEAR(AllData[[#This Row],[Date]])</f>
        <v>2023</v>
      </c>
      <c r="E2211" s="1">
        <v>0.41666666666666669</v>
      </c>
      <c r="F2211" t="str">
        <f>IF(AND(AllData[[#This Row],[Time]]&lt;0.5, AllData[[#This Row],[Time]]&gt;0.17)=TRUE, "Morning", IF(AND(AllData[[#This Row],[Time]]&lt;0.75, AllData[[#This Row],[Time]]&gt;=0.5)=TRUE, "Afternoon", IF(AND(AllData[[#This Row],[Time]]&lt;1, AllData[[#This Row],[Time]]&gt;=0.75)=TRUE, "Evening", "Night")))</f>
        <v>Morning</v>
      </c>
      <c r="G2211" t="str">
        <f>_xlfn.XLOOKUP(AllData[[#This Row],[Location Name]], Locations[Location Name],Locations[Group As])</f>
        <v>Avonbank Drive</v>
      </c>
      <c r="H2211" t="e" vm="1">
        <f>_xlfn.XLOOKUP(AllData[[#This Row],[Site Name]],LocationsKey[Site Name],LocationsKey[District])</f>
        <v>#VALUE!</v>
      </c>
      <c r="I2211" t="e" vm="12">
        <f>_xlfn.XLOOKUP(AllData[[#This Row],[Site Name]],LocationsKey[Site Name],LocationsKey[Town])</f>
        <v>#VALUE!</v>
      </c>
      <c r="J2211" t="str">
        <f>_xlfn.XLOOKUP(AllData[[#This Row],[Site Name]],LocationsKey[Site Name], LocationsKey[Waterway])</f>
        <v>Avon</v>
      </c>
      <c r="K2211" t="s">
        <v>104</v>
      </c>
      <c r="L2211">
        <v>52.177</v>
      </c>
      <c r="M2211" s="108">
        <v>-1.736</v>
      </c>
      <c r="N2211" t="s">
        <v>68</v>
      </c>
      <c r="O2211">
        <v>874</v>
      </c>
      <c r="P2211">
        <v>13.5</v>
      </c>
      <c r="Q2211">
        <v>10</v>
      </c>
      <c r="R2211" s="141" t="str">
        <f>IF(AllData[[#This Row],[Nitrate (PPM)]]&gt;2, "Very high", IF(AllData[[#This Row],[Nitrate (PPM)]]&gt;1, "High", IF(AllData[[#This Row],[Nitrate (PPM)]]&gt;0.5, "Some evidence", IF(AllData[[#This Row],[Nitrate (PPM)]]&gt;=0, "No evidence"))))</f>
        <v>Very high</v>
      </c>
      <c r="S2211" s="4">
        <v>0.66</v>
      </c>
      <c r="T2211" s="7" t="str">
        <f>IF(AllData[[#This Row],[Phosphate (PPM)]]&gt;0.5, "Very high", IF(AllData[[#This Row],[Phosphate (PPM)]]&gt;0.1, "High", IF(AllData[[#This Row],[Phosphate (PPM)]]&gt;0.05, "Some evidence", IF(AllData[[#This Row],[Phosphate (PPM)]]&lt;=0.05, "No Evidence", ""))))</f>
        <v>Very high</v>
      </c>
      <c r="U2211">
        <v>0.69</v>
      </c>
    </row>
    <row r="2212" spans="1:22" x14ac:dyDescent="0.35">
      <c r="A2212" t="s">
        <v>278</v>
      </c>
      <c r="B2212" s="143">
        <v>45227</v>
      </c>
      <c r="C2212" s="2" t="str" cm="1">
        <f t="array" ref="C22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2">
        <f>YEAR(AllData[[#This Row],[Date]])</f>
        <v>2023</v>
      </c>
      <c r="E2212" s="1">
        <v>0.5</v>
      </c>
      <c r="F2212" t="str">
        <f>IF(AND(AllData[[#This Row],[Time]]&lt;0.5, AllData[[#This Row],[Time]]&gt;0.17)=TRUE, "Morning", IF(AND(AllData[[#This Row],[Time]]&lt;0.75, AllData[[#This Row],[Time]]&gt;=0.5)=TRUE, "Afternoon", IF(AND(AllData[[#This Row],[Time]]&lt;1, AllData[[#This Row],[Time]]&gt;=0.75)=TRUE, "Evening", "Night")))</f>
        <v>Afternoon</v>
      </c>
      <c r="G2212" t="str">
        <f>_xlfn.XLOOKUP(AllData[[#This Row],[Location Name]], Locations[Location Name],Locations[Group As])</f>
        <v>Carrant Bredon Rd</v>
      </c>
      <c r="H2212" t="e" vm="4">
        <f>_xlfn.XLOOKUP(AllData[[#This Row],[Site Name]],LocationsKey[Site Name],LocationsKey[District])</f>
        <v>#VALUE!</v>
      </c>
      <c r="I2212" t="e" vm="4">
        <f>_xlfn.XLOOKUP(AllData[[#This Row],[Site Name]],LocationsKey[Site Name],LocationsKey[Town])</f>
        <v>#VALUE!</v>
      </c>
      <c r="J2212" t="str">
        <f>_xlfn.XLOOKUP(AllData[[#This Row],[Site Name]],LocationsKey[Site Name], LocationsKey[Waterway])</f>
        <v>Carrant</v>
      </c>
      <c r="K2212" t="s">
        <v>91</v>
      </c>
      <c r="M2212" s="108"/>
      <c r="N2212" t="s">
        <v>25</v>
      </c>
      <c r="O2212">
        <v>635</v>
      </c>
      <c r="P2212">
        <v>12.8</v>
      </c>
      <c r="Q2212">
        <v>6</v>
      </c>
      <c r="R2212" s="141" t="str">
        <f>IF(AllData[[#This Row],[Nitrate (PPM)]]&gt;2, "Very high", IF(AllData[[#This Row],[Nitrate (PPM)]]&gt;1, "High", IF(AllData[[#This Row],[Nitrate (PPM)]]&gt;0.5, "Some evidence", IF(AllData[[#This Row],[Nitrate (PPM)]]&gt;=0, "No evidence"))))</f>
        <v>Very high</v>
      </c>
      <c r="S2212" s="4">
        <v>0.64</v>
      </c>
      <c r="T2212" s="7" t="str">
        <f>IF(AllData[[#This Row],[Phosphate (PPM)]]&gt;0.5, "Very high", IF(AllData[[#This Row],[Phosphate (PPM)]]&gt;0.1, "High", IF(AllData[[#This Row],[Phosphate (PPM)]]&gt;0.05, "Some evidence", IF(AllData[[#This Row],[Phosphate (PPM)]]&lt;=0.05, "No Evidence", ""))))</f>
        <v>Very high</v>
      </c>
      <c r="U2212">
        <v>1.3</v>
      </c>
      <c r="V2212" t="s">
        <v>279</v>
      </c>
    </row>
    <row r="2213" spans="1:22" x14ac:dyDescent="0.35">
      <c r="A2213" t="s">
        <v>277</v>
      </c>
      <c r="B2213" s="143">
        <v>45227</v>
      </c>
      <c r="C2213" s="2" t="str" cm="1">
        <f t="array" ref="C22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3">
        <f>YEAR(AllData[[#This Row],[Date]])</f>
        <v>2023</v>
      </c>
      <c r="E2213" s="1">
        <v>0.41666666666666669</v>
      </c>
      <c r="F2213" t="str">
        <f>IF(AND(AllData[[#This Row],[Time]]&lt;0.5, AllData[[#This Row],[Time]]&gt;0.17)=TRUE, "Morning", IF(AND(AllData[[#This Row],[Time]]&lt;0.75, AllData[[#This Row],[Time]]&gt;=0.5)=TRUE, "Afternoon", IF(AND(AllData[[#This Row],[Time]]&lt;1, AllData[[#This Row],[Time]]&gt;=0.75)=TRUE, "Evening", "Night")))</f>
        <v>Morning</v>
      </c>
      <c r="G2213" t="str">
        <f>_xlfn.XLOOKUP(AllData[[#This Row],[Location Name]], Locations[Location Name],Locations[Group As])</f>
        <v>Pitch 16</v>
      </c>
      <c r="H2213" t="e" vm="1">
        <f>_xlfn.XLOOKUP(AllData[[#This Row],[Site Name]],LocationsKey[Site Name],LocationsKey[District])</f>
        <v>#VALUE!</v>
      </c>
      <c r="I2213" t="e" vm="12">
        <f>_xlfn.XLOOKUP(AllData[[#This Row],[Site Name]],LocationsKey[Site Name],LocationsKey[Town])</f>
        <v>#VALUE!</v>
      </c>
      <c r="J2213" t="str">
        <f>_xlfn.XLOOKUP(AllData[[#This Row],[Site Name]],LocationsKey[Site Name], LocationsKey[Waterway])</f>
        <v>Avon</v>
      </c>
      <c r="K2213" t="s">
        <v>71</v>
      </c>
      <c r="M2213" s="108"/>
      <c r="N2213" t="s">
        <v>31</v>
      </c>
      <c r="O2213">
        <v>841</v>
      </c>
      <c r="P2213">
        <v>13.3</v>
      </c>
      <c r="Q2213">
        <v>5</v>
      </c>
      <c r="R2213" s="141" t="str">
        <f>IF(AllData[[#This Row],[Nitrate (PPM)]]&gt;2, "Very high", IF(AllData[[#This Row],[Nitrate (PPM)]]&gt;1, "High", IF(AllData[[#This Row],[Nitrate (PPM)]]&gt;0.5, "Some evidence", IF(AllData[[#This Row],[Nitrate (PPM)]]&gt;=0, "No evidence"))))</f>
        <v>Very high</v>
      </c>
      <c r="S2213" s="4">
        <v>0.42</v>
      </c>
      <c r="T2213" s="7" t="str">
        <f>IF(AllData[[#This Row],[Phosphate (PPM)]]&gt;0.5, "Very high", IF(AllData[[#This Row],[Phosphate (PPM)]]&gt;0.1, "High", IF(AllData[[#This Row],[Phosphate (PPM)]]&gt;0.05, "Some evidence", IF(AllData[[#This Row],[Phosphate (PPM)]]&lt;=0.05, "No Evidence", ""))))</f>
        <v>High</v>
      </c>
      <c r="U2213">
        <v>0.69</v>
      </c>
    </row>
    <row r="2214" spans="1:22" x14ac:dyDescent="0.35">
      <c r="A2214" t="s">
        <v>273</v>
      </c>
      <c r="B2214" s="143">
        <v>45225</v>
      </c>
      <c r="C2214" s="2" t="str" cm="1">
        <f t="array" ref="C22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4">
        <f>YEAR(AllData[[#This Row],[Date]])</f>
        <v>2023</v>
      </c>
      <c r="E2214" s="1">
        <v>0.5083333333333333</v>
      </c>
      <c r="F2214" t="str">
        <f>IF(AND(AllData[[#This Row],[Time]]&lt;0.5, AllData[[#This Row],[Time]]&gt;0.17)=TRUE, "Morning", IF(AND(AllData[[#This Row],[Time]]&lt;0.75, AllData[[#This Row],[Time]]&gt;=0.5)=TRUE, "Afternoon", IF(AND(AllData[[#This Row],[Time]]&lt;1, AllData[[#This Row],[Time]]&gt;=0.75)=TRUE, "Evening", "Night")))</f>
        <v>Afternoon</v>
      </c>
      <c r="G2214" t="str">
        <f>_xlfn.XLOOKUP(AllData[[#This Row],[Location Name]], Locations[Location Name],Locations[Group As])</f>
        <v>Preston-on-Stour River Bridge</v>
      </c>
      <c r="H2214" t="e" vm="1">
        <f>_xlfn.XLOOKUP(AllData[[#This Row],[Site Name]],LocationsKey[Site Name],LocationsKey[District])</f>
        <v>#VALUE!</v>
      </c>
      <c r="I2214" t="e" vm="20">
        <f>_xlfn.XLOOKUP(AllData[[#This Row],[Site Name]],LocationsKey[Site Name],LocationsKey[Town])</f>
        <v>#VALUE!</v>
      </c>
      <c r="J2214" t="str">
        <f>_xlfn.XLOOKUP(AllData[[#This Row],[Site Name]],LocationsKey[Site Name], LocationsKey[Waterway])</f>
        <v>Stour</v>
      </c>
      <c r="K2214" t="s">
        <v>274</v>
      </c>
      <c r="L2214">
        <v>52.146653000000001</v>
      </c>
      <c r="M2214" s="108">
        <v>-1.699214</v>
      </c>
      <c r="N2214" t="s">
        <v>31</v>
      </c>
      <c r="O2214">
        <v>665</v>
      </c>
      <c r="P2214">
        <v>12.1</v>
      </c>
      <c r="Q2214">
        <v>5</v>
      </c>
      <c r="R2214" s="141" t="str">
        <f>IF(AllData[[#This Row],[Nitrate (PPM)]]&gt;2, "Very high", IF(AllData[[#This Row],[Nitrate (PPM)]]&gt;1, "High", IF(AllData[[#This Row],[Nitrate (PPM)]]&gt;0.5, "Some evidence", IF(AllData[[#This Row],[Nitrate (PPM)]]&gt;=0, "No evidence"))))</f>
        <v>Very high</v>
      </c>
      <c r="S2214" s="4">
        <v>0.27</v>
      </c>
      <c r="T2214" s="7" t="str">
        <f>IF(AllData[[#This Row],[Phosphate (PPM)]]&gt;0.5, "Very high", IF(AllData[[#This Row],[Phosphate (PPM)]]&gt;0.1, "High", IF(AllData[[#This Row],[Phosphate (PPM)]]&gt;0.05, "Some evidence", IF(AllData[[#This Row],[Phosphate (PPM)]]&lt;=0.05, "No Evidence", ""))))</f>
        <v>High</v>
      </c>
      <c r="U2214">
        <v>1.5</v>
      </c>
      <c r="V2214" t="s">
        <v>275</v>
      </c>
    </row>
    <row r="2215" spans="1:22" x14ac:dyDescent="0.35">
      <c r="A2215" t="s">
        <v>271</v>
      </c>
      <c r="B2215" s="143">
        <v>45225</v>
      </c>
      <c r="C2215" s="2" t="str" cm="1">
        <f t="array" ref="C22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5">
        <f>YEAR(AllData[[#This Row],[Date]])</f>
        <v>2023</v>
      </c>
      <c r="E2215" s="1">
        <v>0.40277777777777779</v>
      </c>
      <c r="F2215" t="str">
        <f>IF(AND(AllData[[#This Row],[Time]]&lt;0.5, AllData[[#This Row],[Time]]&gt;0.17)=TRUE, "Morning", IF(AND(AllData[[#This Row],[Time]]&lt;0.75, AllData[[#This Row],[Time]]&gt;=0.5)=TRUE, "Afternoon", IF(AND(AllData[[#This Row],[Time]]&lt;1, AllData[[#This Row],[Time]]&gt;=0.75)=TRUE, "Evening", "Night")))</f>
        <v>Morning</v>
      </c>
      <c r="G2215" t="str">
        <f>_xlfn.XLOOKUP(AllData[[#This Row],[Location Name]], Locations[Location Name],Locations[Group As])</f>
        <v>Swilgate</v>
      </c>
      <c r="H2215" t="e" vm="4">
        <f>_xlfn.XLOOKUP(AllData[[#This Row],[Site Name]],LocationsKey[Site Name],LocationsKey[District])</f>
        <v>#VALUE!</v>
      </c>
      <c r="I2215" t="e" vm="4">
        <f>_xlfn.XLOOKUP(AllData[[#This Row],[Site Name]],LocationsKey[Site Name],LocationsKey[Town])</f>
        <v>#VALUE!</v>
      </c>
      <c r="J2215" t="str">
        <f>_xlfn.XLOOKUP(AllData[[#This Row],[Site Name]],LocationsKey[Site Name], LocationsKey[Waterway])</f>
        <v>Swilgate</v>
      </c>
      <c r="K2215" t="s">
        <v>85</v>
      </c>
      <c r="M2215" s="108"/>
      <c r="N2215" t="s">
        <v>25</v>
      </c>
      <c r="O2215">
        <v>640</v>
      </c>
      <c r="P2215">
        <v>12.8</v>
      </c>
      <c r="Q2215">
        <v>3</v>
      </c>
      <c r="R2215" s="141" t="str">
        <f>IF(AllData[[#This Row],[Nitrate (PPM)]]&gt;2, "Very high", IF(AllData[[#This Row],[Nitrate (PPM)]]&gt;1, "High", IF(AllData[[#This Row],[Nitrate (PPM)]]&gt;0.5, "Some evidence", IF(AllData[[#This Row],[Nitrate (PPM)]]&gt;=0, "No evidence"))))</f>
        <v>Very high</v>
      </c>
      <c r="S2215" s="4">
        <v>0.83</v>
      </c>
      <c r="T2215" s="7" t="str">
        <f>IF(AllData[[#This Row],[Phosphate (PPM)]]&gt;0.5, "Very high", IF(AllData[[#This Row],[Phosphate (PPM)]]&gt;0.1, "High", IF(AllData[[#This Row],[Phosphate (PPM)]]&gt;0.05, "Some evidence", IF(AllData[[#This Row],[Phosphate (PPM)]]&lt;=0.05, "No Evidence", ""))))</f>
        <v>Very high</v>
      </c>
      <c r="U2215">
        <v>2</v>
      </c>
      <c r="V2215" t="s">
        <v>272</v>
      </c>
    </row>
    <row r="2216" spans="1:22" x14ac:dyDescent="0.35">
      <c r="A2216" t="s">
        <v>269</v>
      </c>
      <c r="B2216" s="143">
        <v>45223</v>
      </c>
      <c r="C2216" s="2" t="str" cm="1">
        <f t="array" ref="C22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6">
        <f>YEAR(AllData[[#This Row],[Date]])</f>
        <v>2023</v>
      </c>
      <c r="E2216" s="1">
        <v>0.66666666666666663</v>
      </c>
      <c r="F2216" t="str">
        <f>IF(AND(AllData[[#This Row],[Time]]&lt;0.5, AllData[[#This Row],[Time]]&gt;0.17)=TRUE, "Morning", IF(AND(AllData[[#This Row],[Time]]&lt;0.75, AllData[[#This Row],[Time]]&gt;=0.5)=TRUE, "Afternoon", IF(AND(AllData[[#This Row],[Time]]&lt;1, AllData[[#This Row],[Time]]&gt;=0.75)=TRUE, "Evening", "Night")))</f>
        <v>Afternoon</v>
      </c>
      <c r="G2216" t="str">
        <f>_xlfn.XLOOKUP(AllData[[#This Row],[Location Name]], Locations[Location Name],Locations[Group As])</f>
        <v>Stour Newbold Mill</v>
      </c>
      <c r="H2216" t="e" vm="1">
        <f>_xlfn.XLOOKUP(AllData[[#This Row],[Site Name]],LocationsKey[Site Name],LocationsKey[District])</f>
        <v>#VALUE!</v>
      </c>
      <c r="I2216" t="e" vm="27">
        <f>_xlfn.XLOOKUP(AllData[[#This Row],[Site Name]],LocationsKey[Site Name],LocationsKey[Town])</f>
        <v>#VALUE!</v>
      </c>
      <c r="J2216" t="str">
        <f>_xlfn.XLOOKUP(AllData[[#This Row],[Site Name]],LocationsKey[Site Name], LocationsKey[Waterway])</f>
        <v>Stour</v>
      </c>
      <c r="K2216" t="s">
        <v>205</v>
      </c>
      <c r="L2216">
        <v>52.112869000000003</v>
      </c>
      <c r="M2216" s="108">
        <v>-1.633435</v>
      </c>
      <c r="N2216" t="s">
        <v>31</v>
      </c>
      <c r="O2216">
        <v>676</v>
      </c>
      <c r="P2216">
        <v>12.1</v>
      </c>
      <c r="Q2216">
        <v>10</v>
      </c>
      <c r="R2216" s="141" t="str">
        <f>IF(AllData[[#This Row],[Nitrate (PPM)]]&gt;2, "Very high", IF(AllData[[#This Row],[Nitrate (PPM)]]&gt;1, "High", IF(AllData[[#This Row],[Nitrate (PPM)]]&gt;0.5, "Some evidence", IF(AllData[[#This Row],[Nitrate (PPM)]]&gt;=0, "No evidence"))))</f>
        <v>Very high</v>
      </c>
      <c r="S2216" s="4">
        <v>0.28000000000000003</v>
      </c>
      <c r="T2216" s="7" t="str">
        <f>IF(AllData[[#This Row],[Phosphate (PPM)]]&gt;0.5, "Very high", IF(AllData[[#This Row],[Phosphate (PPM)]]&gt;0.1, "High", IF(AllData[[#This Row],[Phosphate (PPM)]]&gt;0.05, "Some evidence", IF(AllData[[#This Row],[Phosphate (PPM)]]&lt;=0.05, "No Evidence", ""))))</f>
        <v>High</v>
      </c>
      <c r="U2216">
        <v>2.5</v>
      </c>
      <c r="V2216" t="s">
        <v>270</v>
      </c>
    </row>
    <row r="2217" spans="1:22" x14ac:dyDescent="0.35">
      <c r="A2217" t="s">
        <v>268</v>
      </c>
      <c r="B2217" s="143">
        <v>45223</v>
      </c>
      <c r="C2217" s="2" t="str" cm="1">
        <f t="array" ref="C22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7">
        <f>YEAR(AllData[[#This Row],[Date]])</f>
        <v>2023</v>
      </c>
      <c r="E2217" s="1">
        <v>0.64583333333333337</v>
      </c>
      <c r="F2217" t="str">
        <f>IF(AND(AllData[[#This Row],[Time]]&lt;0.5, AllData[[#This Row],[Time]]&gt;0.17)=TRUE, "Morning", IF(AND(AllData[[#This Row],[Time]]&lt;0.75, AllData[[#This Row],[Time]]&gt;=0.5)=TRUE, "Afternoon", IF(AND(AllData[[#This Row],[Time]]&lt;1, AllData[[#This Row],[Time]]&gt;=0.75)=TRUE, "Evening", "Night")))</f>
        <v>Afternoon</v>
      </c>
      <c r="G2217" t="str">
        <f>_xlfn.XLOOKUP(AllData[[#This Row],[Location Name]], Locations[Location Name],Locations[Group As])</f>
        <v>Weston-on-Avon</v>
      </c>
      <c r="H2217" t="e" vm="1">
        <f>_xlfn.XLOOKUP(AllData[[#This Row],[Site Name]],LocationsKey[Site Name],LocationsKey[District])</f>
        <v>#VALUE!</v>
      </c>
      <c r="I2217" t="e" vm="35">
        <f>_xlfn.XLOOKUP(AllData[[#This Row],[Site Name]],LocationsKey[Site Name],LocationsKey[Town])</f>
        <v>#VALUE!</v>
      </c>
      <c r="J2217" t="str">
        <f>_xlfn.XLOOKUP(AllData[[#This Row],[Site Name]],LocationsKey[Site Name], LocationsKey[Waterway])</f>
        <v>Avon</v>
      </c>
      <c r="K2217" t="s">
        <v>43</v>
      </c>
      <c r="L2217">
        <v>52.167430000000003</v>
      </c>
      <c r="M2217" s="108">
        <v>-1.7744800000000001</v>
      </c>
      <c r="N2217" t="s">
        <v>31</v>
      </c>
      <c r="O2217">
        <v>632</v>
      </c>
      <c r="P2217">
        <v>13</v>
      </c>
      <c r="Q2217">
        <v>4</v>
      </c>
      <c r="R2217" s="141" t="str">
        <f>IF(AllData[[#This Row],[Nitrate (PPM)]]&gt;2, "Very high", IF(AllData[[#This Row],[Nitrate (PPM)]]&gt;1, "High", IF(AllData[[#This Row],[Nitrate (PPM)]]&gt;0.5, "Some evidence", IF(AllData[[#This Row],[Nitrate (PPM)]]&gt;=0, "No evidence"))))</f>
        <v>Very high</v>
      </c>
      <c r="S2217" s="4">
        <v>0.6</v>
      </c>
      <c r="T2217" s="7" t="str">
        <f>IF(AllData[[#This Row],[Phosphate (PPM)]]&gt;0.5, "Very high", IF(AllData[[#This Row],[Phosphate (PPM)]]&gt;0.1, "High", IF(AllData[[#This Row],[Phosphate (PPM)]]&gt;0.05, "Some evidence", IF(AllData[[#This Row],[Phosphate (PPM)]]&lt;=0.05, "No Evidence", ""))))</f>
        <v>Very high</v>
      </c>
      <c r="U2217">
        <v>0</v>
      </c>
    </row>
    <row r="2218" spans="1:22" x14ac:dyDescent="0.35">
      <c r="A2218" t="s">
        <v>261</v>
      </c>
      <c r="B2218" s="143">
        <v>45221</v>
      </c>
      <c r="C2218" s="2" t="str" cm="1">
        <f t="array" ref="C22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8">
        <f>YEAR(AllData[[#This Row],[Date]])</f>
        <v>2023</v>
      </c>
      <c r="E2218" s="1">
        <v>0.42708333333333331</v>
      </c>
      <c r="F2218" t="str">
        <f>IF(AND(AllData[[#This Row],[Time]]&lt;0.5, AllData[[#This Row],[Time]]&gt;0.17)=TRUE, "Morning", IF(AND(AllData[[#This Row],[Time]]&lt;0.75, AllData[[#This Row],[Time]]&gt;=0.5)=TRUE, "Afternoon", IF(AND(AllData[[#This Row],[Time]]&lt;1, AllData[[#This Row],[Time]]&gt;=0.75)=TRUE, "Evening", "Night")))</f>
        <v>Morning</v>
      </c>
      <c r="G2218" t="str">
        <f>_xlfn.XLOOKUP(AllData[[#This Row],[Location Name]], Locations[Location Name],Locations[Group As])</f>
        <v>Lucy's Mill Bridge</v>
      </c>
      <c r="H2218" t="e" vm="1">
        <f>_xlfn.XLOOKUP(AllData[[#This Row],[Site Name]],LocationsKey[Site Name],LocationsKey[District])</f>
        <v>#VALUE!</v>
      </c>
      <c r="I2218" t="e" vm="12">
        <f>_xlfn.XLOOKUP(AllData[[#This Row],[Site Name]],LocationsKey[Site Name],LocationsKey[Town])</f>
        <v>#VALUE!</v>
      </c>
      <c r="J2218" t="str">
        <f>_xlfn.XLOOKUP(AllData[[#This Row],[Site Name]],LocationsKey[Site Name], LocationsKey[Waterway])</f>
        <v>Avon</v>
      </c>
      <c r="K2218" t="s">
        <v>212</v>
      </c>
      <c r="L2218">
        <v>52.183698999999997</v>
      </c>
      <c r="M2218" s="108">
        <v>-1.707816</v>
      </c>
      <c r="N2218" t="s">
        <v>31</v>
      </c>
      <c r="P2218">
        <v>13</v>
      </c>
      <c r="Q2218">
        <v>10</v>
      </c>
      <c r="R2218" s="141" t="str">
        <f>IF(AllData[[#This Row],[Nitrate (PPM)]]&gt;2, "Very high", IF(AllData[[#This Row],[Nitrate (PPM)]]&gt;1, "High", IF(AllData[[#This Row],[Nitrate (PPM)]]&gt;0.5, "Some evidence", IF(AllData[[#This Row],[Nitrate (PPM)]]&gt;=0, "No evidence"))))</f>
        <v>Very high</v>
      </c>
      <c r="S2218" s="4">
        <v>0.88</v>
      </c>
      <c r="T2218" s="7" t="str">
        <f>IF(AllData[[#This Row],[Phosphate (PPM)]]&gt;0.5, "Very high", IF(AllData[[#This Row],[Phosphate (PPM)]]&gt;0.1, "High", IF(AllData[[#This Row],[Phosphate (PPM)]]&gt;0.05, "Some evidence", IF(AllData[[#This Row],[Phosphate (PPM)]]&lt;=0.05, "No Evidence", ""))))</f>
        <v>Very high</v>
      </c>
      <c r="U2218">
        <v>0.7</v>
      </c>
    </row>
    <row r="2219" spans="1:22" x14ac:dyDescent="0.35">
      <c r="A2219" t="s">
        <v>265</v>
      </c>
      <c r="B2219" s="143">
        <v>45221</v>
      </c>
      <c r="C2219" s="2" t="str" cm="1">
        <f t="array" ref="C22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19">
        <f>YEAR(AllData[[#This Row],[Date]])</f>
        <v>2023</v>
      </c>
      <c r="E2219" s="1">
        <v>0.71597222222222223</v>
      </c>
      <c r="F2219" t="str">
        <f>IF(AND(AllData[[#This Row],[Time]]&lt;0.5, AllData[[#This Row],[Time]]&gt;0.17)=TRUE, "Morning", IF(AND(AllData[[#This Row],[Time]]&lt;0.75, AllData[[#This Row],[Time]]&gt;=0.5)=TRUE, "Afternoon", IF(AND(AllData[[#This Row],[Time]]&lt;1, AllData[[#This Row],[Time]]&gt;=0.75)=TRUE, "Evening", "Night")))</f>
        <v>Afternoon</v>
      </c>
      <c r="G2219" t="str">
        <f>_xlfn.XLOOKUP(AllData[[#This Row],[Location Name]], Locations[Location Name],Locations[Group As])</f>
        <v>Clifford Chambers Mill Bridge</v>
      </c>
      <c r="H2219" t="e" vm="1">
        <f>_xlfn.XLOOKUP(AllData[[#This Row],[Site Name]],LocationsKey[Site Name],LocationsKey[District])</f>
        <v>#VALUE!</v>
      </c>
      <c r="I2219" t="e" vm="22">
        <f>_xlfn.XLOOKUP(AllData[[#This Row],[Site Name]],LocationsKey[Site Name],LocationsKey[Town])</f>
        <v>#VALUE!</v>
      </c>
      <c r="J2219" t="str">
        <f>_xlfn.XLOOKUP(AllData[[#This Row],[Site Name]],LocationsKey[Site Name], LocationsKey[Waterway])</f>
        <v>Stour</v>
      </c>
      <c r="K2219" t="s">
        <v>266</v>
      </c>
      <c r="L2219">
        <v>52.166370000000001</v>
      </c>
      <c r="M2219" s="108">
        <v>-1.708032</v>
      </c>
      <c r="N2219" t="s">
        <v>68</v>
      </c>
      <c r="O2219">
        <v>521</v>
      </c>
      <c r="P2219">
        <v>14.5</v>
      </c>
      <c r="Q2219">
        <v>5</v>
      </c>
      <c r="R2219" s="141" t="str">
        <f>IF(AllData[[#This Row],[Nitrate (PPM)]]&gt;2, "Very high", IF(AllData[[#This Row],[Nitrate (PPM)]]&gt;1, "High", IF(AllData[[#This Row],[Nitrate (PPM)]]&gt;0.5, "Some evidence", IF(AllData[[#This Row],[Nitrate (PPM)]]&gt;=0, "No evidence"))))</f>
        <v>Very high</v>
      </c>
      <c r="S2219" s="4">
        <v>0.28000000000000003</v>
      </c>
      <c r="T2219" s="7" t="str">
        <f>IF(AllData[[#This Row],[Phosphate (PPM)]]&gt;0.5, "Very high", IF(AllData[[#This Row],[Phosphate (PPM)]]&gt;0.1, "High", IF(AllData[[#This Row],[Phosphate (PPM)]]&gt;0.05, "Some evidence", IF(AllData[[#This Row],[Phosphate (PPM)]]&lt;=0.05, "No Evidence", ""))))</f>
        <v>High</v>
      </c>
      <c r="U2219">
        <v>1.25</v>
      </c>
      <c r="V2219" t="s">
        <v>267</v>
      </c>
    </row>
    <row r="2220" spans="1:22" x14ac:dyDescent="0.35">
      <c r="A2220" t="s">
        <v>262</v>
      </c>
      <c r="B2220" s="143">
        <v>45221</v>
      </c>
      <c r="C2220" s="2" t="str" cm="1">
        <f t="array" ref="C22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0">
        <f>YEAR(AllData[[#This Row],[Date]])</f>
        <v>2023</v>
      </c>
      <c r="E2220" s="1">
        <v>0.44444444444444442</v>
      </c>
      <c r="F2220" t="str">
        <f>IF(AND(AllData[[#This Row],[Time]]&lt;0.5, AllData[[#This Row],[Time]]&gt;0.17)=TRUE, "Morning", IF(AND(AllData[[#This Row],[Time]]&lt;0.75, AllData[[#This Row],[Time]]&gt;=0.5)=TRUE, "Afternoon", IF(AND(AllData[[#This Row],[Time]]&lt;1, AllData[[#This Row],[Time]]&gt;=0.75)=TRUE, "Evening", "Night")))</f>
        <v>Morning</v>
      </c>
      <c r="G2220" t="str">
        <f>_xlfn.XLOOKUP(AllData[[#This Row],[Location Name]], Locations[Location Name],Locations[Group As])</f>
        <v>Hampton Wood</v>
      </c>
      <c r="H2220" t="e" vm="1">
        <f>_xlfn.XLOOKUP(AllData[[#This Row],[Site Name]],LocationsKey[Site Name],LocationsKey[District])</f>
        <v>#VALUE!</v>
      </c>
      <c r="I2220" t="e" vm="34">
        <f>_xlfn.XLOOKUP(AllData[[#This Row],[Site Name]],LocationsKey[Site Name],LocationsKey[Town])</f>
        <v>#VALUE!</v>
      </c>
      <c r="J2220" t="str">
        <f>_xlfn.XLOOKUP(AllData[[#This Row],[Site Name]],LocationsKey[Site Name], LocationsKey[Waterway])</f>
        <v>Avon</v>
      </c>
      <c r="K2220" t="s">
        <v>36</v>
      </c>
      <c r="L2220">
        <v>52.238149999999997</v>
      </c>
      <c r="M2220" s="108">
        <v>-1.6245799999999999</v>
      </c>
      <c r="N2220" t="s">
        <v>31</v>
      </c>
      <c r="O2220">
        <v>530</v>
      </c>
      <c r="P2220">
        <v>11.5</v>
      </c>
      <c r="Q2220">
        <v>3</v>
      </c>
      <c r="R2220" s="141" t="str">
        <f>IF(AllData[[#This Row],[Nitrate (PPM)]]&gt;2, "Very high", IF(AllData[[#This Row],[Nitrate (PPM)]]&gt;1, "High", IF(AllData[[#This Row],[Nitrate (PPM)]]&gt;0.5, "Some evidence", IF(AllData[[#This Row],[Nitrate (PPM)]]&gt;=0, "No evidence"))))</f>
        <v>Very high</v>
      </c>
      <c r="S2220" s="4">
        <v>0.73</v>
      </c>
      <c r="T2220" s="7" t="str">
        <f>IF(AllData[[#This Row],[Phosphate (PPM)]]&gt;0.5, "Very high", IF(AllData[[#This Row],[Phosphate (PPM)]]&gt;0.1, "High", IF(AllData[[#This Row],[Phosphate (PPM)]]&gt;0.05, "Some evidence", IF(AllData[[#This Row],[Phosphate (PPM)]]&lt;=0.05, "No Evidence", ""))))</f>
        <v>Very high</v>
      </c>
      <c r="U2220">
        <v>0</v>
      </c>
      <c r="V2220" t="s">
        <v>263</v>
      </c>
    </row>
    <row r="2221" spans="1:22" x14ac:dyDescent="0.35">
      <c r="A2221" t="s">
        <v>264</v>
      </c>
      <c r="B2221" s="143">
        <v>45221</v>
      </c>
      <c r="C2221" s="2" t="str" cm="1">
        <f t="array" ref="C22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1">
        <f>YEAR(AllData[[#This Row],[Date]])</f>
        <v>2023</v>
      </c>
      <c r="E2221" s="1">
        <v>0.52083333333333337</v>
      </c>
      <c r="F2221" t="str">
        <f>IF(AND(AllData[[#This Row],[Time]]&lt;0.5, AllData[[#This Row],[Time]]&gt;0.17)=TRUE, "Morning", IF(AND(AllData[[#This Row],[Time]]&lt;0.75, AllData[[#This Row],[Time]]&gt;=0.5)=TRUE, "Afternoon", IF(AND(AllData[[#This Row],[Time]]&lt;1, AllData[[#This Row],[Time]]&gt;=0.75)=TRUE, "Evening", "Night")))</f>
        <v>Afternoon</v>
      </c>
      <c r="G2221" t="str">
        <f>_xlfn.XLOOKUP(AllData[[#This Row],[Location Name]], Locations[Location Name],Locations[Group As])</f>
        <v>Hampton Lucy</v>
      </c>
      <c r="H2221" t="e" vm="1">
        <f>_xlfn.XLOOKUP(AllData[[#This Row],[Site Name]],LocationsKey[Site Name],LocationsKey[District])</f>
        <v>#VALUE!</v>
      </c>
      <c r="I2221" t="e" vm="33">
        <f>_xlfn.XLOOKUP(AllData[[#This Row],[Site Name]],LocationsKey[Site Name],LocationsKey[Town])</f>
        <v>#VALUE!</v>
      </c>
      <c r="J2221" t="str">
        <f>_xlfn.XLOOKUP(AllData[[#This Row],[Site Name]],LocationsKey[Site Name], LocationsKey[Waterway])</f>
        <v>Avon</v>
      </c>
      <c r="K2221" t="s">
        <v>39</v>
      </c>
      <c r="L2221">
        <v>52.211680000000001</v>
      </c>
      <c r="M2221" s="108">
        <v>-1.6244400000000001</v>
      </c>
      <c r="N2221" t="s">
        <v>25</v>
      </c>
      <c r="O2221">
        <v>506</v>
      </c>
      <c r="P2221">
        <v>12.5</v>
      </c>
      <c r="Q2221">
        <v>2</v>
      </c>
      <c r="R2221" s="141" t="str">
        <f>IF(AllData[[#This Row],[Nitrate (PPM)]]&gt;2, "Very high", IF(AllData[[#This Row],[Nitrate (PPM)]]&gt;1, "High", IF(AllData[[#This Row],[Nitrate (PPM)]]&gt;0.5, "Some evidence", IF(AllData[[#This Row],[Nitrate (PPM)]]&gt;=0, "No evidence"))))</f>
        <v>High</v>
      </c>
      <c r="S2221" s="4">
        <v>0.74</v>
      </c>
      <c r="T2221" s="7" t="str">
        <f>IF(AllData[[#This Row],[Phosphate (PPM)]]&gt;0.5, "Very high", IF(AllData[[#This Row],[Phosphate (PPM)]]&gt;0.1, "High", IF(AllData[[#This Row],[Phosphate (PPM)]]&gt;0.05, "Some evidence", IF(AllData[[#This Row],[Phosphate (PPM)]]&lt;=0.05, "No Evidence", ""))))</f>
        <v>Very high</v>
      </c>
      <c r="U2221">
        <v>0</v>
      </c>
    </row>
    <row r="2222" spans="1:22" x14ac:dyDescent="0.35">
      <c r="A2222" t="s">
        <v>257</v>
      </c>
      <c r="B2222" s="143">
        <v>45220</v>
      </c>
      <c r="C2222" s="2" t="str" cm="1">
        <f t="array" ref="C22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2">
        <f>YEAR(AllData[[#This Row],[Date]])</f>
        <v>2023</v>
      </c>
      <c r="E2222" s="1">
        <v>0.46875</v>
      </c>
      <c r="F2222" t="str">
        <f>IF(AND(AllData[[#This Row],[Time]]&lt;0.5, AllData[[#This Row],[Time]]&gt;0.17)=TRUE, "Morning", IF(AND(AllData[[#This Row],[Time]]&lt;0.75, AllData[[#This Row],[Time]]&gt;=0.5)=TRUE, "Afternoon", IF(AND(AllData[[#This Row],[Time]]&lt;1, AllData[[#This Row],[Time]]&gt;=0.75)=TRUE, "Evening", "Night")))</f>
        <v>Morning</v>
      </c>
      <c r="G2222" t="str">
        <f>_xlfn.XLOOKUP(AllData[[#This Row],[Location Name]], Locations[Location Name],Locations[Group As])</f>
        <v>Avonbank Drive</v>
      </c>
      <c r="H2222" t="e" vm="1">
        <f>_xlfn.XLOOKUP(AllData[[#This Row],[Site Name]],LocationsKey[Site Name],LocationsKey[District])</f>
        <v>#VALUE!</v>
      </c>
      <c r="I2222" t="e" vm="12">
        <f>_xlfn.XLOOKUP(AllData[[#This Row],[Site Name]],LocationsKey[Site Name],LocationsKey[Town])</f>
        <v>#VALUE!</v>
      </c>
      <c r="J2222" t="str">
        <f>_xlfn.XLOOKUP(AllData[[#This Row],[Site Name]],LocationsKey[Site Name], LocationsKey[Waterway])</f>
        <v>Avon</v>
      </c>
      <c r="K2222" t="s">
        <v>104</v>
      </c>
      <c r="L2222">
        <v>52.177</v>
      </c>
      <c r="M2222" s="108">
        <v>-1.736</v>
      </c>
      <c r="N2222" t="s">
        <v>68</v>
      </c>
      <c r="O2222">
        <v>454</v>
      </c>
      <c r="P2222">
        <v>14.7</v>
      </c>
      <c r="Q2222">
        <v>10</v>
      </c>
      <c r="R2222" s="141" t="str">
        <f>IF(AllData[[#This Row],[Nitrate (PPM)]]&gt;2, "Very high", IF(AllData[[#This Row],[Nitrate (PPM)]]&gt;1, "High", IF(AllData[[#This Row],[Nitrate (PPM)]]&gt;0.5, "Some evidence", IF(AllData[[#This Row],[Nitrate (PPM)]]&gt;=0, "No evidence"))))</f>
        <v>Very high</v>
      </c>
      <c r="S2222" s="4">
        <v>1.1000000000000001</v>
      </c>
      <c r="T2222" s="7" t="str">
        <f>IF(AllData[[#This Row],[Phosphate (PPM)]]&gt;0.5, "Very high", IF(AllData[[#This Row],[Phosphate (PPM)]]&gt;0.1, "High", IF(AllData[[#This Row],[Phosphate (PPM)]]&gt;0.05, "Some evidence", IF(AllData[[#This Row],[Phosphate (PPM)]]&lt;=0.05, "No Evidence", ""))))</f>
        <v>Very high</v>
      </c>
      <c r="U2222">
        <v>1.1000000000000001</v>
      </c>
      <c r="V2222" t="s">
        <v>258</v>
      </c>
    </row>
    <row r="2223" spans="1:22" x14ac:dyDescent="0.35">
      <c r="A2223" t="s">
        <v>259</v>
      </c>
      <c r="B2223" s="143">
        <v>45220</v>
      </c>
      <c r="C2223" s="2" t="str" cm="1">
        <f t="array" ref="C22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3">
        <f>YEAR(AllData[[#This Row],[Date]])</f>
        <v>2023</v>
      </c>
      <c r="E2223" s="1">
        <v>0.65625</v>
      </c>
      <c r="F2223" t="str">
        <f>IF(AND(AllData[[#This Row],[Time]]&lt;0.5, AllData[[#This Row],[Time]]&gt;0.17)=TRUE, "Morning", IF(AND(AllData[[#This Row],[Time]]&lt;0.75, AllData[[#This Row],[Time]]&gt;=0.5)=TRUE, "Afternoon", IF(AND(AllData[[#This Row],[Time]]&lt;1, AllData[[#This Row],[Time]]&gt;=0.75)=TRUE, "Evening", "Night")))</f>
        <v>Afternoon</v>
      </c>
      <c r="G2223" t="str">
        <f>_xlfn.XLOOKUP(AllData[[#This Row],[Location Name]], Locations[Location Name],Locations[Group As])</f>
        <v>Abbey Mill</v>
      </c>
      <c r="H2223" t="e" vm="4">
        <f>_xlfn.XLOOKUP(AllData[[#This Row],[Site Name]],LocationsKey[Site Name],LocationsKey[District])</f>
        <v>#VALUE!</v>
      </c>
      <c r="I2223" t="e" vm="4">
        <f>_xlfn.XLOOKUP(AllData[[#This Row],[Site Name]],LocationsKey[Site Name],LocationsKey[Town])</f>
        <v>#VALUE!</v>
      </c>
      <c r="J2223" t="str">
        <f>_xlfn.XLOOKUP(AllData[[#This Row],[Site Name]],LocationsKey[Site Name], LocationsKey[Waterway])</f>
        <v>Avon</v>
      </c>
      <c r="K2223" t="s">
        <v>24</v>
      </c>
      <c r="M2223" s="108"/>
      <c r="N2223" t="s">
        <v>25</v>
      </c>
      <c r="O2223">
        <v>435</v>
      </c>
      <c r="P2223">
        <v>15.3</v>
      </c>
      <c r="Q2223">
        <v>4</v>
      </c>
      <c r="R2223" s="141" t="str">
        <f>IF(AllData[[#This Row],[Nitrate (PPM)]]&gt;2, "Very high", IF(AllData[[#This Row],[Nitrate (PPM)]]&gt;1, "High", IF(AllData[[#This Row],[Nitrate (PPM)]]&gt;0.5, "Some evidence", IF(AllData[[#This Row],[Nitrate (PPM)]]&gt;=0, "No evidence"))))</f>
        <v>Very high</v>
      </c>
      <c r="S2223" s="4">
        <v>1.1499999999999999</v>
      </c>
      <c r="T2223" s="7" t="str">
        <f>IF(AllData[[#This Row],[Phosphate (PPM)]]&gt;0.5, "Very high", IF(AllData[[#This Row],[Phosphate (PPM)]]&gt;0.1, "High", IF(AllData[[#This Row],[Phosphate (PPM)]]&gt;0.05, "Some evidence", IF(AllData[[#This Row],[Phosphate (PPM)]]&lt;=0.05, "No Evidence", ""))))</f>
        <v>Very high</v>
      </c>
      <c r="U2223">
        <v>2</v>
      </c>
      <c r="V2223" t="s">
        <v>260</v>
      </c>
    </row>
    <row r="2224" spans="1:22" x14ac:dyDescent="0.35">
      <c r="A2224" t="s">
        <v>254</v>
      </c>
      <c r="B2224" s="143">
        <v>45218</v>
      </c>
      <c r="C2224" s="2" t="str" cm="1">
        <f t="array" ref="C22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4">
        <f>YEAR(AllData[[#This Row],[Date]])</f>
        <v>2023</v>
      </c>
      <c r="E2224" s="1">
        <v>0.42708333333333331</v>
      </c>
      <c r="F2224" t="str">
        <f>IF(AND(AllData[[#This Row],[Time]]&lt;0.5, AllData[[#This Row],[Time]]&gt;0.17)=TRUE, "Morning", IF(AND(AllData[[#This Row],[Time]]&lt;0.75, AllData[[#This Row],[Time]]&gt;=0.5)=TRUE, "Afternoon", IF(AND(AllData[[#This Row],[Time]]&lt;1, AllData[[#This Row],[Time]]&gt;=0.75)=TRUE, "Evening", "Night")))</f>
        <v>Morning</v>
      </c>
      <c r="G2224" t="str">
        <f>_xlfn.XLOOKUP(AllData[[#This Row],[Location Name]], Locations[Location Name],Locations[Group As])</f>
        <v>Swilgate</v>
      </c>
      <c r="H2224" t="e" vm="4">
        <f>_xlfn.XLOOKUP(AllData[[#This Row],[Site Name]],LocationsKey[Site Name],LocationsKey[District])</f>
        <v>#VALUE!</v>
      </c>
      <c r="I2224" t="e" vm="4">
        <f>_xlfn.XLOOKUP(AllData[[#This Row],[Site Name]],LocationsKey[Site Name],LocationsKey[Town])</f>
        <v>#VALUE!</v>
      </c>
      <c r="J2224" t="str">
        <f>_xlfn.XLOOKUP(AllData[[#This Row],[Site Name]],LocationsKey[Site Name], LocationsKey[Waterway])</f>
        <v>Swilgate</v>
      </c>
      <c r="K2224" t="s">
        <v>85</v>
      </c>
      <c r="M2224" s="108"/>
      <c r="N2224" t="s">
        <v>25</v>
      </c>
      <c r="O2224">
        <v>542</v>
      </c>
      <c r="P2224">
        <v>14.6</v>
      </c>
      <c r="Q2224">
        <v>6</v>
      </c>
      <c r="R2224" s="141" t="str">
        <f>IF(AllData[[#This Row],[Nitrate (PPM)]]&gt;2, "Very high", IF(AllData[[#This Row],[Nitrate (PPM)]]&gt;1, "High", IF(AllData[[#This Row],[Nitrate (PPM)]]&gt;0.5, "Some evidence", IF(AllData[[#This Row],[Nitrate (PPM)]]&gt;=0, "No evidence"))))</f>
        <v>Very high</v>
      </c>
      <c r="S2224" s="4">
        <v>0.6</v>
      </c>
      <c r="T2224" s="7" t="str">
        <f>IF(AllData[[#This Row],[Phosphate (PPM)]]&gt;0.5, "Very high", IF(AllData[[#This Row],[Phosphate (PPM)]]&gt;0.1, "High", IF(AllData[[#This Row],[Phosphate (PPM)]]&gt;0.05, "Some evidence", IF(AllData[[#This Row],[Phosphate (PPM)]]&lt;=0.05, "No Evidence", ""))))</f>
        <v>Very high</v>
      </c>
      <c r="U2224">
        <v>1</v>
      </c>
      <c r="V2224" t="s">
        <v>28</v>
      </c>
    </row>
    <row r="2225" spans="1:22" x14ac:dyDescent="0.35">
      <c r="A2225" t="s">
        <v>255</v>
      </c>
      <c r="B2225" s="143">
        <v>45218</v>
      </c>
      <c r="C2225" s="2" t="str" cm="1">
        <f t="array" ref="C22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5">
        <f>YEAR(AllData[[#This Row],[Date]])</f>
        <v>2023</v>
      </c>
      <c r="E2225" s="1">
        <v>0.52083333333333337</v>
      </c>
      <c r="F2225" t="str">
        <f>IF(AND(AllData[[#This Row],[Time]]&lt;0.5, AllData[[#This Row],[Time]]&gt;0.17)=TRUE, "Morning", IF(AND(AllData[[#This Row],[Time]]&lt;0.75, AllData[[#This Row],[Time]]&gt;=0.5)=TRUE, "Afternoon", IF(AND(AllData[[#This Row],[Time]]&lt;1, AllData[[#This Row],[Time]]&gt;=0.75)=TRUE, "Evening", "Night")))</f>
        <v>Afternoon</v>
      </c>
      <c r="G2225" t="str">
        <f>_xlfn.XLOOKUP(AllData[[#This Row],[Location Name]], Locations[Location Name],Locations[Group As])</f>
        <v>Preston-on-Stour River Bridge</v>
      </c>
      <c r="H2225" t="e" vm="1">
        <f>_xlfn.XLOOKUP(AllData[[#This Row],[Site Name]],LocationsKey[Site Name],LocationsKey[District])</f>
        <v>#VALUE!</v>
      </c>
      <c r="I2225" t="e" vm="20">
        <f>_xlfn.XLOOKUP(AllData[[#This Row],[Site Name]],LocationsKey[Site Name],LocationsKey[Town])</f>
        <v>#VALUE!</v>
      </c>
      <c r="J2225" t="str">
        <f>_xlfn.XLOOKUP(AllData[[#This Row],[Site Name]],LocationsKey[Site Name], LocationsKey[Waterway])</f>
        <v>Stour</v>
      </c>
      <c r="K2225" t="s">
        <v>164</v>
      </c>
      <c r="L2225">
        <v>52.146563</v>
      </c>
      <c r="M2225" s="108">
        <v>-1.6999219999999999</v>
      </c>
      <c r="N2225" t="s">
        <v>31</v>
      </c>
      <c r="O2225">
        <v>675</v>
      </c>
      <c r="P2225">
        <v>14.7</v>
      </c>
      <c r="Q2225">
        <v>5</v>
      </c>
      <c r="R2225" s="141" t="str">
        <f>IF(AllData[[#This Row],[Nitrate (PPM)]]&gt;2, "Very high", IF(AllData[[#This Row],[Nitrate (PPM)]]&gt;1, "High", IF(AllData[[#This Row],[Nitrate (PPM)]]&gt;0.5, "Some evidence", IF(AllData[[#This Row],[Nitrate (PPM)]]&gt;=0, "No evidence"))))</f>
        <v>Very high</v>
      </c>
      <c r="S2225" s="4">
        <v>0.61</v>
      </c>
      <c r="T2225" s="7" t="str">
        <f>IF(AllData[[#This Row],[Phosphate (PPM)]]&gt;0.5, "Very high", IF(AllData[[#This Row],[Phosphate (PPM)]]&gt;0.1, "High", IF(AllData[[#This Row],[Phosphate (PPM)]]&gt;0.05, "Some evidence", IF(AllData[[#This Row],[Phosphate (PPM)]]&lt;=0.05, "No Evidence", ""))))</f>
        <v>Very high</v>
      </c>
      <c r="U2225">
        <v>1.5</v>
      </c>
      <c r="V2225" t="s">
        <v>256</v>
      </c>
    </row>
    <row r="2226" spans="1:22" x14ac:dyDescent="0.35">
      <c r="A2226" t="s">
        <v>252</v>
      </c>
      <c r="B2226" s="143">
        <v>45217</v>
      </c>
      <c r="C2226" s="2" t="str" cm="1">
        <f t="array" ref="C22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6">
        <f>YEAR(AllData[[#This Row],[Date]])</f>
        <v>2023</v>
      </c>
      <c r="E2226" s="1">
        <v>0.66666666666666663</v>
      </c>
      <c r="F2226" t="str">
        <f>IF(AND(AllData[[#This Row],[Time]]&lt;0.5, AllData[[#This Row],[Time]]&gt;0.17)=TRUE, "Morning", IF(AND(AllData[[#This Row],[Time]]&lt;0.75, AllData[[#This Row],[Time]]&gt;=0.5)=TRUE, "Afternoon", IF(AND(AllData[[#This Row],[Time]]&lt;1, AllData[[#This Row],[Time]]&gt;=0.75)=TRUE, "Evening", "Night")))</f>
        <v>Afternoon</v>
      </c>
      <c r="G2226" t="str">
        <f>_xlfn.XLOOKUP(AllData[[#This Row],[Location Name]], Locations[Location Name],Locations[Group As])</f>
        <v>Stour Newbold Mill</v>
      </c>
      <c r="H2226" t="e" vm="1">
        <f>_xlfn.XLOOKUP(AllData[[#This Row],[Site Name]],LocationsKey[Site Name],LocationsKey[District])</f>
        <v>#VALUE!</v>
      </c>
      <c r="I2226" t="e" vm="27">
        <f>_xlfn.XLOOKUP(AllData[[#This Row],[Site Name]],LocationsKey[Site Name],LocationsKey[Town])</f>
        <v>#VALUE!</v>
      </c>
      <c r="J2226" t="str">
        <f>_xlfn.XLOOKUP(AllData[[#This Row],[Site Name]],LocationsKey[Site Name], LocationsKey[Waterway])</f>
        <v>Stour</v>
      </c>
      <c r="K2226" t="s">
        <v>205</v>
      </c>
      <c r="L2226">
        <v>52.112833000000002</v>
      </c>
      <c r="M2226" s="108">
        <v>-1.6334340000000001</v>
      </c>
      <c r="N2226" t="s">
        <v>31</v>
      </c>
      <c r="O2226">
        <v>674</v>
      </c>
      <c r="P2226">
        <v>11.7</v>
      </c>
      <c r="Q2226">
        <v>5</v>
      </c>
      <c r="R2226" s="141" t="str">
        <f>IF(AllData[[#This Row],[Nitrate (PPM)]]&gt;2, "Very high", IF(AllData[[#This Row],[Nitrate (PPM)]]&gt;1, "High", IF(AllData[[#This Row],[Nitrate (PPM)]]&gt;0.5, "Some evidence", IF(AllData[[#This Row],[Nitrate (PPM)]]&gt;=0, "No evidence"))))</f>
        <v>Very high</v>
      </c>
      <c r="S2226" s="4">
        <v>0.52</v>
      </c>
      <c r="T2226" s="7" t="str">
        <f>IF(AllData[[#This Row],[Phosphate (PPM)]]&gt;0.5, "Very high", IF(AllData[[#This Row],[Phosphate (PPM)]]&gt;0.1, "High", IF(AllData[[#This Row],[Phosphate (PPM)]]&gt;0.05, "Some evidence", IF(AllData[[#This Row],[Phosphate (PPM)]]&lt;=0.05, "No Evidence", ""))))</f>
        <v>Very high</v>
      </c>
      <c r="U2226">
        <v>2</v>
      </c>
      <c r="V2226" t="s">
        <v>253</v>
      </c>
    </row>
    <row r="2227" spans="1:22" x14ac:dyDescent="0.35">
      <c r="A2227" t="s">
        <v>250</v>
      </c>
      <c r="B2227" s="143">
        <v>45216</v>
      </c>
      <c r="C2227" s="2" t="str" cm="1">
        <f t="array" ref="C22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7">
        <f>YEAR(AllData[[#This Row],[Date]])</f>
        <v>2023</v>
      </c>
      <c r="E2227" s="1">
        <v>0.42708333333333331</v>
      </c>
      <c r="F2227" t="str">
        <f>IF(AND(AllData[[#This Row],[Time]]&lt;0.5, AllData[[#This Row],[Time]]&gt;0.17)=TRUE, "Morning", IF(AND(AllData[[#This Row],[Time]]&lt;0.75, AllData[[#This Row],[Time]]&gt;=0.5)=TRUE, "Afternoon", IF(AND(AllData[[#This Row],[Time]]&lt;1, AllData[[#This Row],[Time]]&gt;=0.75)=TRUE, "Evening", "Night")))</f>
        <v>Morning</v>
      </c>
      <c r="G2227" t="str">
        <f>_xlfn.XLOOKUP(AllData[[#This Row],[Location Name]], Locations[Location Name],Locations[Group As])</f>
        <v>Clifford Chambers Mill Bridge</v>
      </c>
      <c r="H2227" t="e" vm="1">
        <f>_xlfn.XLOOKUP(AllData[[#This Row],[Site Name]],LocationsKey[Site Name],LocationsKey[District])</f>
        <v>#VALUE!</v>
      </c>
      <c r="I2227" t="e" vm="22">
        <f>_xlfn.XLOOKUP(AllData[[#This Row],[Site Name]],LocationsKey[Site Name],LocationsKey[Town])</f>
        <v>#VALUE!</v>
      </c>
      <c r="J2227" t="str">
        <f>_xlfn.XLOOKUP(AllData[[#This Row],[Site Name]],LocationsKey[Site Name], LocationsKey[Waterway])</f>
        <v>Stour</v>
      </c>
      <c r="K2227" t="s">
        <v>251</v>
      </c>
      <c r="L2227">
        <v>52.166370000000001</v>
      </c>
      <c r="M2227" s="108">
        <v>-1.708032</v>
      </c>
      <c r="N2227" t="s">
        <v>68</v>
      </c>
      <c r="O2227">
        <v>599</v>
      </c>
      <c r="P2227">
        <v>12.6</v>
      </c>
      <c r="Q2227">
        <v>8</v>
      </c>
      <c r="R2227" s="141" t="str">
        <f>IF(AllData[[#This Row],[Nitrate (PPM)]]&gt;2, "Very high", IF(AllData[[#This Row],[Nitrate (PPM)]]&gt;1, "High", IF(AllData[[#This Row],[Nitrate (PPM)]]&gt;0.5, "Some evidence", IF(AllData[[#This Row],[Nitrate (PPM)]]&gt;=0, "No evidence"))))</f>
        <v>Very high</v>
      </c>
      <c r="S2227" s="4">
        <v>0.42</v>
      </c>
      <c r="T2227" s="7" t="str">
        <f>IF(AllData[[#This Row],[Phosphate (PPM)]]&gt;0.5, "Very high", IF(AllData[[#This Row],[Phosphate (PPM)]]&gt;0.1, "High", IF(AllData[[#This Row],[Phosphate (PPM)]]&gt;0.05, "Some evidence", IF(AllData[[#This Row],[Phosphate (PPM)]]&lt;=0.05, "No Evidence", ""))))</f>
        <v>High</v>
      </c>
      <c r="U2227">
        <v>0.5</v>
      </c>
    </row>
    <row r="2228" spans="1:22" x14ac:dyDescent="0.35">
      <c r="A2228" t="s">
        <v>248</v>
      </c>
      <c r="B2228" s="143">
        <v>45215</v>
      </c>
      <c r="C2228" s="2" t="str" cm="1">
        <f t="array" ref="C22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8">
        <f>YEAR(AllData[[#This Row],[Date]])</f>
        <v>2023</v>
      </c>
      <c r="E2228" s="1">
        <v>0.625</v>
      </c>
      <c r="F2228" t="str">
        <f>IF(AND(AllData[[#This Row],[Time]]&lt;0.5, AllData[[#This Row],[Time]]&gt;0.17)=TRUE, "Morning", IF(AND(AllData[[#This Row],[Time]]&lt;0.75, AllData[[#This Row],[Time]]&gt;=0.5)=TRUE, "Afternoon", IF(AND(AllData[[#This Row],[Time]]&lt;1, AllData[[#This Row],[Time]]&gt;=0.75)=TRUE, "Evening", "Night")))</f>
        <v>Afternoon</v>
      </c>
      <c r="G2228" t="str">
        <f>_xlfn.XLOOKUP(AllData[[#This Row],[Location Name]], Locations[Location Name],Locations[Group As])</f>
        <v>Weston-on-Avon</v>
      </c>
      <c r="H2228" t="e" vm="1">
        <f>_xlfn.XLOOKUP(AllData[[#This Row],[Site Name]],LocationsKey[Site Name],LocationsKey[District])</f>
        <v>#VALUE!</v>
      </c>
      <c r="I2228" t="e" vm="35">
        <f>_xlfn.XLOOKUP(AllData[[#This Row],[Site Name]],LocationsKey[Site Name],LocationsKey[Town])</f>
        <v>#VALUE!</v>
      </c>
      <c r="J2228" t="str">
        <f>_xlfn.XLOOKUP(AllData[[#This Row],[Site Name]],LocationsKey[Site Name], LocationsKey[Waterway])</f>
        <v>Avon</v>
      </c>
      <c r="K2228" t="s">
        <v>43</v>
      </c>
      <c r="L2228">
        <v>52.167430000000003</v>
      </c>
      <c r="M2228" s="108">
        <v>-1.7744800000000001</v>
      </c>
      <c r="N2228" t="s">
        <v>31</v>
      </c>
      <c r="O2228">
        <v>696</v>
      </c>
      <c r="P2228">
        <v>12</v>
      </c>
      <c r="Q2228">
        <v>4</v>
      </c>
      <c r="R2228" s="141" t="str">
        <f>IF(AllData[[#This Row],[Nitrate (PPM)]]&gt;2, "Very high", IF(AllData[[#This Row],[Nitrate (PPM)]]&gt;1, "High", IF(AllData[[#This Row],[Nitrate (PPM)]]&gt;0.5, "Some evidence", IF(AllData[[#This Row],[Nitrate (PPM)]]&gt;=0, "No evidence"))))</f>
        <v>Very high</v>
      </c>
      <c r="S2228" s="4">
        <v>0.64</v>
      </c>
      <c r="T2228" s="7" t="str">
        <f>IF(AllData[[#This Row],[Phosphate (PPM)]]&gt;0.5, "Very high", IF(AllData[[#This Row],[Phosphate (PPM)]]&gt;0.1, "High", IF(AllData[[#This Row],[Phosphate (PPM)]]&gt;0.05, "Some evidence", IF(AllData[[#This Row],[Phosphate (PPM)]]&lt;=0.05, "No Evidence", ""))))</f>
        <v>Very high</v>
      </c>
      <c r="U2228">
        <v>0</v>
      </c>
      <c r="V2228" t="s">
        <v>249</v>
      </c>
    </row>
    <row r="2229" spans="1:22" x14ac:dyDescent="0.35">
      <c r="A2229" t="s">
        <v>241</v>
      </c>
      <c r="B2229" s="143">
        <v>45214</v>
      </c>
      <c r="C2229" s="2" t="str" cm="1">
        <f t="array" ref="C22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29">
        <f>YEAR(AllData[[#This Row],[Date]])</f>
        <v>2023</v>
      </c>
      <c r="E2229" s="1">
        <v>0.40277777777777779</v>
      </c>
      <c r="F2229" t="str">
        <f>IF(AND(AllData[[#This Row],[Time]]&lt;0.5, AllData[[#This Row],[Time]]&gt;0.17)=TRUE, "Morning", IF(AND(AllData[[#This Row],[Time]]&lt;0.75, AllData[[#This Row],[Time]]&gt;=0.5)=TRUE, "Afternoon", IF(AND(AllData[[#This Row],[Time]]&lt;1, AllData[[#This Row],[Time]]&gt;=0.75)=TRUE, "Evening", "Night")))</f>
        <v>Morning</v>
      </c>
      <c r="G2229" t="str">
        <f>_xlfn.XLOOKUP(AllData[[#This Row],[Location Name]], Locations[Location Name],Locations[Group As])</f>
        <v>Lucy's Mill Bridge</v>
      </c>
      <c r="H2229" t="e" vm="1">
        <f>_xlfn.XLOOKUP(AllData[[#This Row],[Site Name]],LocationsKey[Site Name],LocationsKey[District])</f>
        <v>#VALUE!</v>
      </c>
      <c r="I2229" t="e" vm="12">
        <f>_xlfn.XLOOKUP(AllData[[#This Row],[Site Name]],LocationsKey[Site Name],LocationsKey[Town])</f>
        <v>#VALUE!</v>
      </c>
      <c r="J2229" t="str">
        <f>_xlfn.XLOOKUP(AllData[[#This Row],[Site Name]],LocationsKey[Site Name], LocationsKey[Waterway])</f>
        <v>Avon</v>
      </c>
      <c r="K2229" t="s">
        <v>212</v>
      </c>
      <c r="L2229">
        <v>52.183698999999997</v>
      </c>
      <c r="M2229" s="108">
        <v>-1.707816</v>
      </c>
      <c r="N2229" t="s">
        <v>31</v>
      </c>
      <c r="P2229">
        <v>13</v>
      </c>
      <c r="Q2229">
        <v>5</v>
      </c>
      <c r="R2229" s="141" t="str">
        <f>IF(AllData[[#This Row],[Nitrate (PPM)]]&gt;2, "Very high", IF(AllData[[#This Row],[Nitrate (PPM)]]&gt;1, "High", IF(AllData[[#This Row],[Nitrate (PPM)]]&gt;0.5, "Some evidence", IF(AllData[[#This Row],[Nitrate (PPM)]]&gt;=0, "No evidence"))))</f>
        <v>Very high</v>
      </c>
      <c r="S2229" s="4">
        <v>0.76</v>
      </c>
      <c r="T2229" s="7" t="str">
        <f>IF(AllData[[#This Row],[Phosphate (PPM)]]&gt;0.5, "Very high", IF(AllData[[#This Row],[Phosphate (PPM)]]&gt;0.1, "High", IF(AllData[[#This Row],[Phosphate (PPM)]]&gt;0.05, "Some evidence", IF(AllData[[#This Row],[Phosphate (PPM)]]&lt;=0.05, "No Evidence", ""))))</f>
        <v>Very high</v>
      </c>
      <c r="U2229">
        <v>0.7</v>
      </c>
    </row>
    <row r="2230" spans="1:22" x14ac:dyDescent="0.35">
      <c r="A2230" t="s">
        <v>242</v>
      </c>
      <c r="B2230" s="143">
        <v>45214</v>
      </c>
      <c r="C2230" s="2" t="str" cm="1">
        <f t="array" ref="C22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0">
        <f>YEAR(AllData[[#This Row],[Date]])</f>
        <v>2023</v>
      </c>
      <c r="E2230" s="1">
        <v>0.4375</v>
      </c>
      <c r="F2230" t="str">
        <f>IF(AND(AllData[[#This Row],[Time]]&lt;0.5, AllData[[#This Row],[Time]]&gt;0.17)=TRUE, "Morning", IF(AND(AllData[[#This Row],[Time]]&lt;0.75, AllData[[#This Row],[Time]]&gt;=0.5)=TRUE, "Afternoon", IF(AND(AllData[[#This Row],[Time]]&lt;1, AllData[[#This Row],[Time]]&gt;=0.75)=TRUE, "Evening", "Night")))</f>
        <v>Morning</v>
      </c>
      <c r="G2230" t="str">
        <f>_xlfn.XLOOKUP(AllData[[#This Row],[Location Name]], Locations[Location Name],Locations[Group As])</f>
        <v>Hampton Wood</v>
      </c>
      <c r="H2230" t="e" vm="1">
        <f>_xlfn.XLOOKUP(AllData[[#This Row],[Site Name]],LocationsKey[Site Name],LocationsKey[District])</f>
        <v>#VALUE!</v>
      </c>
      <c r="I2230" t="e" vm="34">
        <f>_xlfn.XLOOKUP(AllData[[#This Row],[Site Name]],LocationsKey[Site Name],LocationsKey[Town])</f>
        <v>#VALUE!</v>
      </c>
      <c r="J2230" t="str">
        <f>_xlfn.XLOOKUP(AllData[[#This Row],[Site Name]],LocationsKey[Site Name], LocationsKey[Waterway])</f>
        <v>Avon</v>
      </c>
      <c r="K2230" t="s">
        <v>36</v>
      </c>
      <c r="L2230">
        <v>52.238149999999997</v>
      </c>
      <c r="M2230" s="108">
        <v>-1.6245799999999999</v>
      </c>
      <c r="N2230" t="s">
        <v>31</v>
      </c>
      <c r="O2230">
        <v>608</v>
      </c>
      <c r="P2230">
        <v>12.6</v>
      </c>
      <c r="Q2230">
        <v>4</v>
      </c>
      <c r="R2230" s="141" t="str">
        <f>IF(AllData[[#This Row],[Nitrate (PPM)]]&gt;2, "Very high", IF(AllData[[#This Row],[Nitrate (PPM)]]&gt;1, "High", IF(AllData[[#This Row],[Nitrate (PPM)]]&gt;0.5, "Some evidence", IF(AllData[[#This Row],[Nitrate (PPM)]]&gt;=0, "No evidence"))))</f>
        <v>Very high</v>
      </c>
      <c r="S2230" s="4">
        <v>0.74</v>
      </c>
      <c r="T2230" s="7" t="str">
        <f>IF(AllData[[#This Row],[Phosphate (PPM)]]&gt;0.5, "Very high", IF(AllData[[#This Row],[Phosphate (PPM)]]&gt;0.1, "High", IF(AllData[[#This Row],[Phosphate (PPM)]]&gt;0.05, "Some evidence", IF(AllData[[#This Row],[Phosphate (PPM)]]&lt;=0.05, "No Evidence", ""))))</f>
        <v>Very high</v>
      </c>
      <c r="U2230">
        <v>0</v>
      </c>
      <c r="V2230" t="s">
        <v>243</v>
      </c>
    </row>
    <row r="2231" spans="1:22" x14ac:dyDescent="0.35">
      <c r="A2231" t="s">
        <v>244</v>
      </c>
      <c r="B2231" s="143">
        <v>45214</v>
      </c>
      <c r="C2231" s="2" t="str" cm="1">
        <f t="array" ref="C22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1">
        <f>YEAR(AllData[[#This Row],[Date]])</f>
        <v>2023</v>
      </c>
      <c r="E2231" s="1">
        <v>0.51041666666666663</v>
      </c>
      <c r="F2231" t="str">
        <f>IF(AND(AllData[[#This Row],[Time]]&lt;0.5, AllData[[#This Row],[Time]]&gt;0.17)=TRUE, "Morning", IF(AND(AllData[[#This Row],[Time]]&lt;0.75, AllData[[#This Row],[Time]]&gt;=0.5)=TRUE, "Afternoon", IF(AND(AllData[[#This Row],[Time]]&lt;1, AllData[[#This Row],[Time]]&gt;=0.75)=TRUE, "Evening", "Night")))</f>
        <v>Afternoon</v>
      </c>
      <c r="G2231" t="str">
        <f>_xlfn.XLOOKUP(AllData[[#This Row],[Location Name]], Locations[Location Name],Locations[Group As])</f>
        <v>Hampton Lucy</v>
      </c>
      <c r="H2231" t="e" vm="1">
        <f>_xlfn.XLOOKUP(AllData[[#This Row],[Site Name]],LocationsKey[Site Name],LocationsKey[District])</f>
        <v>#VALUE!</v>
      </c>
      <c r="I2231" t="e" vm="33">
        <f>_xlfn.XLOOKUP(AllData[[#This Row],[Site Name]],LocationsKey[Site Name],LocationsKey[Town])</f>
        <v>#VALUE!</v>
      </c>
      <c r="J2231" t="str">
        <f>_xlfn.XLOOKUP(AllData[[#This Row],[Site Name]],LocationsKey[Site Name], LocationsKey[Waterway])</f>
        <v>Avon</v>
      </c>
      <c r="K2231" t="s">
        <v>39</v>
      </c>
      <c r="L2231">
        <v>52.211680000000001</v>
      </c>
      <c r="M2231" s="108">
        <v>-1.6244400000000001</v>
      </c>
      <c r="N2231" t="s">
        <v>25</v>
      </c>
      <c r="O2231">
        <v>586</v>
      </c>
      <c r="P2231">
        <v>13.1</v>
      </c>
      <c r="Q2231">
        <v>3</v>
      </c>
      <c r="R2231" s="141" t="str">
        <f>IF(AllData[[#This Row],[Nitrate (PPM)]]&gt;2, "Very high", IF(AllData[[#This Row],[Nitrate (PPM)]]&gt;1, "High", IF(AllData[[#This Row],[Nitrate (PPM)]]&gt;0.5, "Some evidence", IF(AllData[[#This Row],[Nitrate (PPM)]]&gt;=0, "No evidence"))))</f>
        <v>Very high</v>
      </c>
      <c r="S2231" s="4">
        <v>0.6</v>
      </c>
      <c r="T2231" s="7" t="str">
        <f>IF(AllData[[#This Row],[Phosphate (PPM)]]&gt;0.5, "Very high", IF(AllData[[#This Row],[Phosphate (PPM)]]&gt;0.1, "High", IF(AllData[[#This Row],[Phosphate (PPM)]]&gt;0.05, "Some evidence", IF(AllData[[#This Row],[Phosphate (PPM)]]&lt;=0.05, "No Evidence", ""))))</f>
        <v>Very high</v>
      </c>
      <c r="U2231">
        <v>0</v>
      </c>
      <c r="V2231" t="s">
        <v>245</v>
      </c>
    </row>
    <row r="2232" spans="1:22" x14ac:dyDescent="0.35">
      <c r="A2232" t="s">
        <v>246</v>
      </c>
      <c r="B2232" s="143">
        <v>45214</v>
      </c>
      <c r="C2232" s="2" t="str" cm="1">
        <f t="array" ref="C22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2">
        <f>YEAR(AllData[[#This Row],[Date]])</f>
        <v>2023</v>
      </c>
      <c r="E2232" s="1">
        <v>0.66666666666666663</v>
      </c>
      <c r="F2232" t="str">
        <f>IF(AND(AllData[[#This Row],[Time]]&lt;0.5, AllData[[#This Row],[Time]]&gt;0.17)=TRUE, "Morning", IF(AND(AllData[[#This Row],[Time]]&lt;0.75, AllData[[#This Row],[Time]]&gt;=0.5)=TRUE, "Afternoon", IF(AND(AllData[[#This Row],[Time]]&lt;1, AllData[[#This Row],[Time]]&gt;=0.75)=TRUE, "Evening", "Night")))</f>
        <v>Afternoon</v>
      </c>
      <c r="G2232" t="str">
        <f>_xlfn.XLOOKUP(AllData[[#This Row],[Location Name]], Locations[Location Name],Locations[Group As])</f>
        <v>Welford Boat Station</v>
      </c>
      <c r="H2232" t="e" vm="1">
        <f>_xlfn.XLOOKUP(AllData[[#This Row],[Site Name]],LocationsKey[Site Name],LocationsKey[District])</f>
        <v>#VALUE!</v>
      </c>
      <c r="I2232" t="e" vm="36">
        <f>_xlfn.XLOOKUP(AllData[[#This Row],[Site Name]],LocationsKey[Site Name],LocationsKey[Town])</f>
        <v>#VALUE!</v>
      </c>
      <c r="J2232" t="str">
        <f>_xlfn.XLOOKUP(AllData[[#This Row],[Site Name]],LocationsKey[Site Name], LocationsKey[Waterway])</f>
        <v>Avon</v>
      </c>
      <c r="K2232" t="s">
        <v>41</v>
      </c>
      <c r="L2232">
        <v>52.175240000000002</v>
      </c>
      <c r="M2232" s="108">
        <v>-1.7918700000000001</v>
      </c>
      <c r="N2232" t="s">
        <v>31</v>
      </c>
      <c r="O2232">
        <v>582</v>
      </c>
      <c r="P2232">
        <v>13.2</v>
      </c>
      <c r="Q2232">
        <v>2</v>
      </c>
      <c r="R2232" s="141" t="str">
        <f>IF(AllData[[#This Row],[Nitrate (PPM)]]&gt;2, "Very high", IF(AllData[[#This Row],[Nitrate (PPM)]]&gt;1, "High", IF(AllData[[#This Row],[Nitrate (PPM)]]&gt;0.5, "Some evidence", IF(AllData[[#This Row],[Nitrate (PPM)]]&gt;=0, "No evidence"))))</f>
        <v>High</v>
      </c>
      <c r="S2232" s="4">
        <v>0.78</v>
      </c>
      <c r="T2232" s="7" t="str">
        <f>IF(AllData[[#This Row],[Phosphate (PPM)]]&gt;0.5, "Very high", IF(AllData[[#This Row],[Phosphate (PPM)]]&gt;0.1, "High", IF(AllData[[#This Row],[Phosphate (PPM)]]&gt;0.05, "Some evidence", IF(AllData[[#This Row],[Phosphate (PPM)]]&lt;=0.05, "No Evidence", ""))))</f>
        <v>Very high</v>
      </c>
      <c r="U2232">
        <v>0</v>
      </c>
      <c r="V2232" t="s">
        <v>247</v>
      </c>
    </row>
    <row r="2233" spans="1:22" x14ac:dyDescent="0.35">
      <c r="A2233" t="s">
        <v>236</v>
      </c>
      <c r="B2233" s="143">
        <v>45213</v>
      </c>
      <c r="C2233" s="2" t="str" cm="1">
        <f t="array" ref="C22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3">
        <f>YEAR(AllData[[#This Row],[Date]])</f>
        <v>2023</v>
      </c>
      <c r="E2233" s="1">
        <v>0.49305555555555558</v>
      </c>
      <c r="F2233" t="str">
        <f>IF(AND(AllData[[#This Row],[Time]]&lt;0.5, AllData[[#This Row],[Time]]&gt;0.17)=TRUE, "Morning", IF(AND(AllData[[#This Row],[Time]]&lt;0.75, AllData[[#This Row],[Time]]&gt;=0.5)=TRUE, "Afternoon", IF(AND(AllData[[#This Row],[Time]]&lt;1, AllData[[#This Row],[Time]]&gt;=0.75)=TRUE, "Evening", "Night")))</f>
        <v>Morning</v>
      </c>
      <c r="G2233" t="str">
        <f>_xlfn.XLOOKUP(AllData[[#This Row],[Location Name]], Locations[Location Name],Locations[Group As])</f>
        <v>Avonbank Drive</v>
      </c>
      <c r="H2233" t="e" vm="1">
        <f>_xlfn.XLOOKUP(AllData[[#This Row],[Site Name]],LocationsKey[Site Name],LocationsKey[District])</f>
        <v>#VALUE!</v>
      </c>
      <c r="I2233" t="e" vm="12">
        <f>_xlfn.XLOOKUP(AllData[[#This Row],[Site Name]],LocationsKey[Site Name],LocationsKey[Town])</f>
        <v>#VALUE!</v>
      </c>
      <c r="J2233" t="str">
        <f>_xlfn.XLOOKUP(AllData[[#This Row],[Site Name]],LocationsKey[Site Name], LocationsKey[Waterway])</f>
        <v>Avon</v>
      </c>
      <c r="K2233" t="s">
        <v>67</v>
      </c>
      <c r="M2233" s="108"/>
      <c r="N2233" t="s">
        <v>68</v>
      </c>
      <c r="O2233">
        <v>688</v>
      </c>
      <c r="P2233">
        <v>15.5</v>
      </c>
      <c r="Q2233">
        <v>10</v>
      </c>
      <c r="R2233" s="141" t="str">
        <f>IF(AllData[[#This Row],[Nitrate (PPM)]]&gt;2, "Very high", IF(AllData[[#This Row],[Nitrate (PPM)]]&gt;1, "High", IF(AllData[[#This Row],[Nitrate (PPM)]]&gt;0.5, "Some evidence", IF(AllData[[#This Row],[Nitrate (PPM)]]&gt;=0, "No evidence"))))</f>
        <v>Very high</v>
      </c>
      <c r="S2233" s="4">
        <v>0.86</v>
      </c>
      <c r="T2233" s="7" t="str">
        <f>IF(AllData[[#This Row],[Phosphate (PPM)]]&gt;0.5, "Very high", IF(AllData[[#This Row],[Phosphate (PPM)]]&gt;0.1, "High", IF(AllData[[#This Row],[Phosphate (PPM)]]&gt;0.05, "Some evidence", IF(AllData[[#This Row],[Phosphate (PPM)]]&lt;=0.05, "No Evidence", ""))))</f>
        <v>Very high</v>
      </c>
      <c r="U2233">
        <v>0.9</v>
      </c>
    </row>
    <row r="2234" spans="1:22" x14ac:dyDescent="0.35">
      <c r="A2234" t="s">
        <v>239</v>
      </c>
      <c r="B2234" s="143">
        <v>45213</v>
      </c>
      <c r="C2234" s="2" t="str" cm="1">
        <f t="array" ref="C22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4">
        <f>YEAR(AllData[[#This Row],[Date]])</f>
        <v>2023</v>
      </c>
      <c r="E2234" s="1">
        <v>0.625</v>
      </c>
      <c r="F2234" t="str">
        <f>IF(AND(AllData[[#This Row],[Time]]&lt;0.5, AllData[[#This Row],[Time]]&gt;0.17)=TRUE, "Morning", IF(AND(AllData[[#This Row],[Time]]&lt;0.75, AllData[[#This Row],[Time]]&gt;=0.5)=TRUE, "Afternoon", IF(AND(AllData[[#This Row],[Time]]&lt;1, AllData[[#This Row],[Time]]&gt;=0.75)=TRUE, "Evening", "Night")))</f>
        <v>Afternoon</v>
      </c>
      <c r="G2234" t="str">
        <f>_xlfn.XLOOKUP(AllData[[#This Row],[Location Name]], Locations[Location Name],Locations[Group As])</f>
        <v>Abbey Mill</v>
      </c>
      <c r="H2234" t="e" vm="4">
        <f>_xlfn.XLOOKUP(AllData[[#This Row],[Site Name]],LocationsKey[Site Name],LocationsKey[District])</f>
        <v>#VALUE!</v>
      </c>
      <c r="I2234" t="e" vm="4">
        <f>_xlfn.XLOOKUP(AllData[[#This Row],[Site Name]],LocationsKey[Site Name],LocationsKey[Town])</f>
        <v>#VALUE!</v>
      </c>
      <c r="J2234" t="str">
        <f>_xlfn.XLOOKUP(AllData[[#This Row],[Site Name]],LocationsKey[Site Name], LocationsKey[Waterway])</f>
        <v>Avon</v>
      </c>
      <c r="K2234" t="s">
        <v>24</v>
      </c>
      <c r="M2234" s="108"/>
      <c r="N2234" t="s">
        <v>25</v>
      </c>
      <c r="O2234">
        <v>906</v>
      </c>
      <c r="P2234">
        <v>15.6</v>
      </c>
      <c r="Q2234">
        <v>9</v>
      </c>
      <c r="R2234" s="141" t="str">
        <f>IF(AllData[[#This Row],[Nitrate (PPM)]]&gt;2, "Very high", IF(AllData[[#This Row],[Nitrate (PPM)]]&gt;1, "High", IF(AllData[[#This Row],[Nitrate (PPM)]]&gt;0.5, "Some evidence", IF(AllData[[#This Row],[Nitrate (PPM)]]&gt;=0, "No evidence"))))</f>
        <v>Very high</v>
      </c>
      <c r="S2234" s="4">
        <v>1.1499999999999999</v>
      </c>
      <c r="T2234" s="7" t="str">
        <f>IF(AllData[[#This Row],[Phosphate (PPM)]]&gt;0.5, "Very high", IF(AllData[[#This Row],[Phosphate (PPM)]]&gt;0.1, "High", IF(AllData[[#This Row],[Phosphate (PPM)]]&gt;0.05, "Some evidence", IF(AllData[[#This Row],[Phosphate (PPM)]]&lt;=0.05, "No Evidence", ""))))</f>
        <v>Very high</v>
      </c>
      <c r="U2234">
        <v>1</v>
      </c>
      <c r="V2234" t="s">
        <v>240</v>
      </c>
    </row>
    <row r="2235" spans="1:22" x14ac:dyDescent="0.35">
      <c r="A2235" t="s">
        <v>237</v>
      </c>
      <c r="B2235" s="143">
        <v>45213</v>
      </c>
      <c r="C2235" s="2" t="str" cm="1">
        <f t="array" ref="C22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5">
        <f>YEAR(AllData[[#This Row],[Date]])</f>
        <v>2023</v>
      </c>
      <c r="E2235" s="1">
        <v>0.52916666666666667</v>
      </c>
      <c r="F2235" t="str">
        <f>IF(AND(AllData[[#This Row],[Time]]&lt;0.5, AllData[[#This Row],[Time]]&gt;0.17)=TRUE, "Morning", IF(AND(AllData[[#This Row],[Time]]&lt;0.75, AllData[[#This Row],[Time]]&gt;=0.5)=TRUE, "Afternoon", IF(AND(AllData[[#This Row],[Time]]&lt;1, AllData[[#This Row],[Time]]&gt;=0.75)=TRUE, "Evening", "Night")))</f>
        <v>Afternoon</v>
      </c>
      <c r="G2235" t="str">
        <f>_xlfn.XLOOKUP(AllData[[#This Row],[Location Name]], Locations[Location Name],Locations[Group As])</f>
        <v>Carrant Bredon Rd</v>
      </c>
      <c r="H2235" t="e" vm="4">
        <f>_xlfn.XLOOKUP(AllData[[#This Row],[Site Name]],LocationsKey[Site Name],LocationsKey[District])</f>
        <v>#VALUE!</v>
      </c>
      <c r="I2235" t="e" vm="4">
        <f>_xlfn.XLOOKUP(AllData[[#This Row],[Site Name]],LocationsKey[Site Name],LocationsKey[Town])</f>
        <v>#VALUE!</v>
      </c>
      <c r="J2235" t="str">
        <f>_xlfn.XLOOKUP(AllData[[#This Row],[Site Name]],LocationsKey[Site Name], LocationsKey[Waterway])</f>
        <v>Carrant</v>
      </c>
      <c r="K2235" t="s">
        <v>91</v>
      </c>
      <c r="L2235">
        <v>51.994807999999999</v>
      </c>
      <c r="M2235" s="108">
        <v>-2.151078</v>
      </c>
      <c r="N2235" t="s">
        <v>25</v>
      </c>
      <c r="O2235">
        <v>694</v>
      </c>
      <c r="P2235">
        <v>14.1</v>
      </c>
      <c r="Q2235">
        <v>7</v>
      </c>
      <c r="R2235" s="141" t="str">
        <f>IF(AllData[[#This Row],[Nitrate (PPM)]]&gt;2, "Very high", IF(AllData[[#This Row],[Nitrate (PPM)]]&gt;1, "High", IF(AllData[[#This Row],[Nitrate (PPM)]]&gt;0.5, "Some evidence", IF(AllData[[#This Row],[Nitrate (PPM)]]&gt;=0, "No evidence"))))</f>
        <v>Very high</v>
      </c>
      <c r="S2235" s="4">
        <v>0.93</v>
      </c>
      <c r="T2235" s="7" t="str">
        <f>IF(AllData[[#This Row],[Phosphate (PPM)]]&gt;0.5, "Very high", IF(AllData[[#This Row],[Phosphate (PPM)]]&gt;0.1, "High", IF(AllData[[#This Row],[Phosphate (PPM)]]&gt;0.05, "Some evidence", IF(AllData[[#This Row],[Phosphate (PPM)]]&lt;=0.05, "No Evidence", ""))))</f>
        <v>Very high</v>
      </c>
      <c r="U2235">
        <v>0.3</v>
      </c>
      <c r="V2235" t="s">
        <v>238</v>
      </c>
    </row>
    <row r="2236" spans="1:22" x14ac:dyDescent="0.35">
      <c r="A2236" t="s">
        <v>234</v>
      </c>
      <c r="B2236" s="143">
        <v>45213</v>
      </c>
      <c r="C2236" s="2" t="str" cm="1">
        <f t="array" ref="C22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6">
        <f>YEAR(AllData[[#This Row],[Date]])</f>
        <v>2023</v>
      </c>
      <c r="E2236" s="1">
        <v>0.47916666666666669</v>
      </c>
      <c r="F2236" t="str">
        <f>IF(AND(AllData[[#This Row],[Time]]&lt;0.5, AllData[[#This Row],[Time]]&gt;0.17)=TRUE, "Morning", IF(AND(AllData[[#This Row],[Time]]&lt;0.75, AllData[[#This Row],[Time]]&gt;=0.5)=TRUE, "Afternoon", IF(AND(AllData[[#This Row],[Time]]&lt;1, AllData[[#This Row],[Time]]&gt;=0.75)=TRUE, "Evening", "Night")))</f>
        <v>Morning</v>
      </c>
      <c r="G2236" t="str">
        <f>_xlfn.XLOOKUP(AllData[[#This Row],[Location Name]], Locations[Location Name],Locations[Group As])</f>
        <v>Pitch 16</v>
      </c>
      <c r="H2236" t="e" vm="1">
        <f>_xlfn.XLOOKUP(AllData[[#This Row],[Site Name]],LocationsKey[Site Name],LocationsKey[District])</f>
        <v>#VALUE!</v>
      </c>
      <c r="I2236" t="e" vm="12">
        <f>_xlfn.XLOOKUP(AllData[[#This Row],[Site Name]],LocationsKey[Site Name],LocationsKey[Town])</f>
        <v>#VALUE!</v>
      </c>
      <c r="J2236" t="str">
        <f>_xlfn.XLOOKUP(AllData[[#This Row],[Site Name]],LocationsKey[Site Name], LocationsKey[Waterway])</f>
        <v>Avon</v>
      </c>
      <c r="K2236" t="s">
        <v>71</v>
      </c>
      <c r="L2236">
        <v>52.172694999999997</v>
      </c>
      <c r="M2236" s="108">
        <v>-1.745101</v>
      </c>
      <c r="N2236" t="s">
        <v>31</v>
      </c>
      <c r="O2236">
        <v>679</v>
      </c>
      <c r="P2236">
        <v>15.3</v>
      </c>
      <c r="Q2236">
        <v>5</v>
      </c>
      <c r="R2236" s="141" t="str">
        <f>IF(AllData[[#This Row],[Nitrate (PPM)]]&gt;2, "Very high", IF(AllData[[#This Row],[Nitrate (PPM)]]&gt;1, "High", IF(AllData[[#This Row],[Nitrate (PPM)]]&gt;0.5, "Some evidence", IF(AllData[[#This Row],[Nitrate (PPM)]]&gt;=0, "No evidence"))))</f>
        <v>Very high</v>
      </c>
      <c r="S2236" s="4">
        <v>0.84</v>
      </c>
      <c r="T2236" s="7" t="str">
        <f>IF(AllData[[#This Row],[Phosphate (PPM)]]&gt;0.5, "Very high", IF(AllData[[#This Row],[Phosphate (PPM)]]&gt;0.1, "High", IF(AllData[[#This Row],[Phosphate (PPM)]]&gt;0.05, "Some evidence", IF(AllData[[#This Row],[Phosphate (PPM)]]&lt;=0.05, "No Evidence", ""))))</f>
        <v>Very high</v>
      </c>
      <c r="U2236">
        <v>0.9</v>
      </c>
      <c r="V2236" t="s">
        <v>235</v>
      </c>
    </row>
    <row r="2237" spans="1:22" x14ac:dyDescent="0.35">
      <c r="A2237" t="s">
        <v>232</v>
      </c>
      <c r="B2237" s="143">
        <v>45212</v>
      </c>
      <c r="C2237" s="2" t="str" cm="1">
        <f t="array" ref="C22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7">
        <f>YEAR(AllData[[#This Row],[Date]])</f>
        <v>2023</v>
      </c>
      <c r="E2237" s="1">
        <v>0.53194444444444444</v>
      </c>
      <c r="F2237" t="str">
        <f>IF(AND(AllData[[#This Row],[Time]]&lt;0.5, AllData[[#This Row],[Time]]&gt;0.17)=TRUE, "Morning", IF(AND(AllData[[#This Row],[Time]]&lt;0.75, AllData[[#This Row],[Time]]&gt;=0.5)=TRUE, "Afternoon", IF(AND(AllData[[#This Row],[Time]]&lt;1, AllData[[#This Row],[Time]]&gt;=0.75)=TRUE, "Evening", "Night")))</f>
        <v>Afternoon</v>
      </c>
      <c r="G2237" t="str">
        <f>_xlfn.XLOOKUP(AllData[[#This Row],[Location Name]], Locations[Location Name],Locations[Group As])</f>
        <v>Twyning Fleet</v>
      </c>
      <c r="H2237" t="e" vm="4">
        <f>_xlfn.XLOOKUP(AllData[[#This Row],[Site Name]],LocationsKey[Site Name],LocationsKey[District])</f>
        <v>#VALUE!</v>
      </c>
      <c r="I2237" t="str">
        <f>_xlfn.XLOOKUP(AllData[[#This Row],[Site Name]],LocationsKey[Site Name],LocationsKey[Town])</f>
        <v>Twyning Green</v>
      </c>
      <c r="J2237" t="str">
        <f>_xlfn.XLOOKUP(AllData[[#This Row],[Site Name]],LocationsKey[Site Name], LocationsKey[Waterway])</f>
        <v>Avon</v>
      </c>
      <c r="K2237" t="s">
        <v>56</v>
      </c>
      <c r="L2237">
        <v>52.026986999999998</v>
      </c>
      <c r="M2237" s="108">
        <v>-2.1405219999999998</v>
      </c>
      <c r="N2237" t="s">
        <v>31</v>
      </c>
      <c r="P2237">
        <v>17.600000000000001</v>
      </c>
      <c r="Q2237">
        <v>10</v>
      </c>
      <c r="R2237" s="141" t="str">
        <f>IF(AllData[[#This Row],[Nitrate (PPM)]]&gt;2, "Very high", IF(AllData[[#This Row],[Nitrate (PPM)]]&gt;1, "High", IF(AllData[[#This Row],[Nitrate (PPM)]]&gt;0.5, "Some evidence", IF(AllData[[#This Row],[Nitrate (PPM)]]&gt;=0, "No evidence"))))</f>
        <v>Very high</v>
      </c>
      <c r="S2237" s="4">
        <v>1.02</v>
      </c>
      <c r="T2237" s="7" t="str">
        <f>IF(AllData[[#This Row],[Phosphate (PPM)]]&gt;0.5, "Very high", IF(AllData[[#This Row],[Phosphate (PPM)]]&gt;0.1, "High", IF(AllData[[#This Row],[Phosphate (PPM)]]&gt;0.05, "Some evidence", IF(AllData[[#This Row],[Phosphate (PPM)]]&lt;=0.05, "No Evidence", ""))))</f>
        <v>Very high</v>
      </c>
      <c r="U2237">
        <v>0</v>
      </c>
      <c r="V2237" t="s">
        <v>233</v>
      </c>
    </row>
    <row r="2238" spans="1:22" x14ac:dyDescent="0.35">
      <c r="A2238" t="s">
        <v>229</v>
      </c>
      <c r="B2238" s="143">
        <v>45211</v>
      </c>
      <c r="C2238" s="2" t="str" cm="1">
        <f t="array" ref="C22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8">
        <f>YEAR(AllData[[#This Row],[Date]])</f>
        <v>2023</v>
      </c>
      <c r="E2238" s="1">
        <v>0.58888888888888891</v>
      </c>
      <c r="F2238" t="str">
        <f>IF(AND(AllData[[#This Row],[Time]]&lt;0.5, AllData[[#This Row],[Time]]&gt;0.17)=TRUE, "Morning", IF(AND(AllData[[#This Row],[Time]]&lt;0.75, AllData[[#This Row],[Time]]&gt;=0.5)=TRUE, "Afternoon", IF(AND(AllData[[#This Row],[Time]]&lt;1, AllData[[#This Row],[Time]]&gt;=0.75)=TRUE, "Evening", "Night")))</f>
        <v>Afternoon</v>
      </c>
      <c r="G2238" t="str">
        <f>_xlfn.XLOOKUP(AllData[[#This Row],[Location Name]], Locations[Location Name],Locations[Group As])</f>
        <v>Preston-on-Stour River Bridge</v>
      </c>
      <c r="H2238" t="e" vm="1">
        <f>_xlfn.XLOOKUP(AllData[[#This Row],[Site Name]],LocationsKey[Site Name],LocationsKey[District])</f>
        <v>#VALUE!</v>
      </c>
      <c r="I2238" t="e" vm="20">
        <f>_xlfn.XLOOKUP(AllData[[#This Row],[Site Name]],LocationsKey[Site Name],LocationsKey[Town])</f>
        <v>#VALUE!</v>
      </c>
      <c r="J2238" t="str">
        <f>_xlfn.XLOOKUP(AllData[[#This Row],[Site Name]],LocationsKey[Site Name], LocationsKey[Waterway])</f>
        <v>Stour</v>
      </c>
      <c r="K2238" t="s">
        <v>230</v>
      </c>
      <c r="L2238">
        <v>52.146481999999999</v>
      </c>
      <c r="M2238" s="108">
        <v>-1.699892</v>
      </c>
      <c r="N2238" t="s">
        <v>31</v>
      </c>
      <c r="O2238">
        <v>718</v>
      </c>
      <c r="P2238">
        <v>15.2</v>
      </c>
      <c r="Q2238">
        <v>5</v>
      </c>
      <c r="R2238" s="141" t="str">
        <f>IF(AllData[[#This Row],[Nitrate (PPM)]]&gt;2, "Very high", IF(AllData[[#This Row],[Nitrate (PPM)]]&gt;1, "High", IF(AllData[[#This Row],[Nitrate (PPM)]]&gt;0.5, "Some evidence", IF(AllData[[#This Row],[Nitrate (PPM)]]&gt;=0, "No evidence"))))</f>
        <v>Very high</v>
      </c>
      <c r="S2238" s="4">
        <v>0.69</v>
      </c>
      <c r="T2238" s="7" t="str">
        <f>IF(AllData[[#This Row],[Phosphate (PPM)]]&gt;0.5, "Very high", IF(AllData[[#This Row],[Phosphate (PPM)]]&gt;0.1, "High", IF(AllData[[#This Row],[Phosphate (PPM)]]&gt;0.05, "Some evidence", IF(AllData[[#This Row],[Phosphate (PPM)]]&lt;=0.05, "No Evidence", ""))))</f>
        <v>Very high</v>
      </c>
      <c r="U2238">
        <v>1.2</v>
      </c>
      <c r="V2238" t="s">
        <v>231</v>
      </c>
    </row>
    <row r="2239" spans="1:22" x14ac:dyDescent="0.35">
      <c r="A2239" t="s">
        <v>227</v>
      </c>
      <c r="B2239" s="143">
        <v>45211</v>
      </c>
      <c r="C2239" s="2" t="str" cm="1">
        <f t="array" ref="C22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39">
        <f>YEAR(AllData[[#This Row],[Date]])</f>
        <v>2023</v>
      </c>
      <c r="E2239" s="1">
        <v>0.4375</v>
      </c>
      <c r="F2239" t="str">
        <f>IF(AND(AllData[[#This Row],[Time]]&lt;0.5, AllData[[#This Row],[Time]]&gt;0.17)=TRUE, "Morning", IF(AND(AllData[[#This Row],[Time]]&lt;0.75, AllData[[#This Row],[Time]]&gt;=0.5)=TRUE, "Afternoon", IF(AND(AllData[[#This Row],[Time]]&lt;1, AllData[[#This Row],[Time]]&gt;=0.75)=TRUE, "Evening", "Night")))</f>
        <v>Morning</v>
      </c>
      <c r="G2239" t="str">
        <f>_xlfn.XLOOKUP(AllData[[#This Row],[Location Name]], Locations[Location Name],Locations[Group As])</f>
        <v>Swilgate</v>
      </c>
      <c r="H2239" t="e" vm="4">
        <f>_xlfn.XLOOKUP(AllData[[#This Row],[Site Name]],LocationsKey[Site Name],LocationsKey[District])</f>
        <v>#VALUE!</v>
      </c>
      <c r="I2239" t="e" vm="4">
        <f>_xlfn.XLOOKUP(AllData[[#This Row],[Site Name]],LocationsKey[Site Name],LocationsKey[Town])</f>
        <v>#VALUE!</v>
      </c>
      <c r="J2239" t="str">
        <f>_xlfn.XLOOKUP(AllData[[#This Row],[Site Name]],LocationsKey[Site Name], LocationsKey[Waterway])</f>
        <v>Swilgate</v>
      </c>
      <c r="K2239" t="s">
        <v>85</v>
      </c>
      <c r="M2239" s="108"/>
      <c r="N2239" t="s">
        <v>25</v>
      </c>
      <c r="O2239">
        <v>637</v>
      </c>
      <c r="P2239">
        <v>15</v>
      </c>
      <c r="Q2239">
        <v>3</v>
      </c>
      <c r="R2239" s="141" t="str">
        <f>IF(AllData[[#This Row],[Nitrate (PPM)]]&gt;2, "Very high", IF(AllData[[#This Row],[Nitrate (PPM)]]&gt;1, "High", IF(AllData[[#This Row],[Nitrate (PPM)]]&gt;0.5, "Some evidence", IF(AllData[[#This Row],[Nitrate (PPM)]]&gt;=0, "No evidence"))))</f>
        <v>Very high</v>
      </c>
      <c r="S2239" s="4">
        <v>0.67</v>
      </c>
      <c r="T2239" s="7" t="str">
        <f>IF(AllData[[#This Row],[Phosphate (PPM)]]&gt;0.5, "Very high", IF(AllData[[#This Row],[Phosphate (PPM)]]&gt;0.1, "High", IF(AllData[[#This Row],[Phosphate (PPM)]]&gt;0.05, "Some evidence", IF(AllData[[#This Row],[Phosphate (PPM)]]&lt;=0.05, "No Evidence", ""))))</f>
        <v>Very high</v>
      </c>
      <c r="U2239">
        <v>0</v>
      </c>
      <c r="V2239" t="s">
        <v>228</v>
      </c>
    </row>
    <row r="2240" spans="1:22" x14ac:dyDescent="0.35">
      <c r="A2240" t="s">
        <v>224</v>
      </c>
      <c r="B2240" s="143">
        <v>45210</v>
      </c>
      <c r="C2240" s="2" t="str" cm="1">
        <f t="array" ref="C22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0">
        <f>YEAR(AllData[[#This Row],[Date]])</f>
        <v>2023</v>
      </c>
      <c r="E2240" s="1">
        <v>0.68680555555555556</v>
      </c>
      <c r="F2240" t="str">
        <f>IF(AND(AllData[[#This Row],[Time]]&lt;0.5, AllData[[#This Row],[Time]]&gt;0.17)=TRUE, "Morning", IF(AND(AllData[[#This Row],[Time]]&lt;0.75, AllData[[#This Row],[Time]]&gt;=0.5)=TRUE, "Afternoon", IF(AND(AllData[[#This Row],[Time]]&lt;1, AllData[[#This Row],[Time]]&gt;=0.75)=TRUE, "Evening", "Night")))</f>
        <v>Afternoon</v>
      </c>
      <c r="G2240" t="str">
        <f>_xlfn.XLOOKUP(AllData[[#This Row],[Location Name]], Locations[Location Name],Locations[Group As])</f>
        <v>Stour Shipston Mill Bridge</v>
      </c>
      <c r="H2240" t="e" vm="1">
        <f>_xlfn.XLOOKUP(AllData[[#This Row],[Site Name]],LocationsKey[Site Name],LocationsKey[District])</f>
        <v>#VALUE!</v>
      </c>
      <c r="I2240" t="e" vm="15">
        <f>_xlfn.XLOOKUP(AllData[[#This Row],[Site Name]],LocationsKey[Site Name],LocationsKey[Town])</f>
        <v>#VALUE!</v>
      </c>
      <c r="J2240" t="str">
        <f>_xlfn.XLOOKUP(AllData[[#This Row],[Site Name]],LocationsKey[Site Name], LocationsKey[Waterway])</f>
        <v>Stour</v>
      </c>
      <c r="K2240" t="s">
        <v>225</v>
      </c>
      <c r="L2240">
        <v>52.062024999999998</v>
      </c>
      <c r="M2240" s="108">
        <v>-1.621747</v>
      </c>
      <c r="N2240" t="s">
        <v>162</v>
      </c>
      <c r="O2240">
        <v>684</v>
      </c>
      <c r="P2240">
        <v>15.7</v>
      </c>
      <c r="Q2240">
        <v>10</v>
      </c>
      <c r="R2240" s="141" t="str">
        <f>IF(AllData[[#This Row],[Nitrate (PPM)]]&gt;2, "Very high", IF(AllData[[#This Row],[Nitrate (PPM)]]&gt;1, "High", IF(AllData[[#This Row],[Nitrate (PPM)]]&gt;0.5, "Some evidence", IF(AllData[[#This Row],[Nitrate (PPM)]]&gt;=0, "No evidence"))))</f>
        <v>Very high</v>
      </c>
      <c r="S2240" s="4">
        <v>0.42</v>
      </c>
      <c r="T2240" s="7" t="str">
        <f>IF(AllData[[#This Row],[Phosphate (PPM)]]&gt;0.5, "Very high", IF(AllData[[#This Row],[Phosphate (PPM)]]&gt;0.1, "High", IF(AllData[[#This Row],[Phosphate (PPM)]]&gt;0.05, "Some evidence", IF(AllData[[#This Row],[Phosphate (PPM)]]&lt;=0.05, "No Evidence", ""))))</f>
        <v>High</v>
      </c>
      <c r="U2240">
        <v>0.5</v>
      </c>
      <c r="V2240" t="s">
        <v>226</v>
      </c>
    </row>
    <row r="2241" spans="1:22" x14ac:dyDescent="0.35">
      <c r="A2241" t="s">
        <v>221</v>
      </c>
      <c r="B2241" s="143">
        <v>45210</v>
      </c>
      <c r="C2241" s="2" t="str" cm="1">
        <f t="array" ref="C22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1">
        <f>YEAR(AllData[[#This Row],[Date]])</f>
        <v>2023</v>
      </c>
      <c r="E2241" s="1">
        <v>0.65902777777777777</v>
      </c>
      <c r="F2241" t="str">
        <f>IF(AND(AllData[[#This Row],[Time]]&lt;0.5, AllData[[#This Row],[Time]]&gt;0.17)=TRUE, "Morning", IF(AND(AllData[[#This Row],[Time]]&lt;0.75, AllData[[#This Row],[Time]]&gt;=0.5)=TRUE, "Afternoon", IF(AND(AllData[[#This Row],[Time]]&lt;1, AllData[[#This Row],[Time]]&gt;=0.75)=TRUE, "Evening", "Night")))</f>
        <v>Afternoon</v>
      </c>
      <c r="G2241" t="str">
        <f>_xlfn.XLOOKUP(AllData[[#This Row],[Location Name]], Locations[Location Name],Locations[Group As])</f>
        <v>Stour Newbold Mill</v>
      </c>
      <c r="H2241" t="e" vm="1">
        <f>_xlfn.XLOOKUP(AllData[[#This Row],[Site Name]],LocationsKey[Site Name],LocationsKey[District])</f>
        <v>#VALUE!</v>
      </c>
      <c r="I2241" t="e" vm="27">
        <f>_xlfn.XLOOKUP(AllData[[#This Row],[Site Name]],LocationsKey[Site Name],LocationsKey[Town])</f>
        <v>#VALUE!</v>
      </c>
      <c r="J2241" t="str">
        <f>_xlfn.XLOOKUP(AllData[[#This Row],[Site Name]],LocationsKey[Site Name], LocationsKey[Waterway])</f>
        <v>Stour</v>
      </c>
      <c r="K2241" t="s">
        <v>222</v>
      </c>
      <c r="L2241">
        <v>52.113520000000001</v>
      </c>
      <c r="M2241" s="108">
        <v>-1.6333390000000001</v>
      </c>
      <c r="N2241" t="s">
        <v>158</v>
      </c>
      <c r="O2241">
        <v>711</v>
      </c>
      <c r="P2241">
        <v>15.8</v>
      </c>
      <c r="Q2241">
        <v>5</v>
      </c>
      <c r="R2241" s="141" t="str">
        <f>IF(AllData[[#This Row],[Nitrate (PPM)]]&gt;2, "Very high", IF(AllData[[#This Row],[Nitrate (PPM)]]&gt;1, "High", IF(AllData[[#This Row],[Nitrate (PPM)]]&gt;0.5, "Some evidence", IF(AllData[[#This Row],[Nitrate (PPM)]]&gt;=0, "No evidence"))))</f>
        <v>Very high</v>
      </c>
      <c r="S2241" s="4">
        <v>0.76</v>
      </c>
      <c r="T2241" s="7" t="str">
        <f>IF(AllData[[#This Row],[Phosphate (PPM)]]&gt;0.5, "Very high", IF(AllData[[#This Row],[Phosphate (PPM)]]&gt;0.1, "High", IF(AllData[[#This Row],[Phosphate (PPM)]]&gt;0.05, "Some evidence", IF(AllData[[#This Row],[Phosphate (PPM)]]&lt;=0.05, "No Evidence", ""))))</f>
        <v>Very high</v>
      </c>
      <c r="U2241">
        <v>2.5</v>
      </c>
      <c r="V2241" t="s">
        <v>223</v>
      </c>
    </row>
    <row r="2242" spans="1:22" x14ac:dyDescent="0.35">
      <c r="A2242" t="s">
        <v>220</v>
      </c>
      <c r="B2242" s="143">
        <v>45210</v>
      </c>
      <c r="C2242" s="2" t="str" cm="1">
        <f t="array" ref="C22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2">
        <f>YEAR(AllData[[#This Row],[Date]])</f>
        <v>2023</v>
      </c>
      <c r="E2242" s="1">
        <v>0.52083333333333337</v>
      </c>
      <c r="F2242" t="str">
        <f>IF(AND(AllData[[#This Row],[Time]]&lt;0.5, AllData[[#This Row],[Time]]&gt;0.17)=TRUE, "Morning", IF(AND(AllData[[#This Row],[Time]]&lt;0.75, AllData[[#This Row],[Time]]&gt;=0.5)=TRUE, "Afternoon", IF(AND(AllData[[#This Row],[Time]]&lt;1, AllData[[#This Row],[Time]]&gt;=0.75)=TRUE, "Evening", "Night")))</f>
        <v>Afternoon</v>
      </c>
      <c r="G2242" t="str">
        <f>_xlfn.XLOOKUP(AllData[[#This Row],[Location Name]], Locations[Location Name],Locations[Group As])</f>
        <v>Barton</v>
      </c>
      <c r="H2242" t="e" vm="1">
        <f>_xlfn.XLOOKUP(AllData[[#This Row],[Site Name]],LocationsKey[Site Name],LocationsKey[District])</f>
        <v>#VALUE!</v>
      </c>
      <c r="I2242" t="str">
        <f>_xlfn.XLOOKUP(AllData[[#This Row],[Site Name]],LocationsKey[Site Name],LocationsKey[Town])</f>
        <v>Barton</v>
      </c>
      <c r="J2242" t="str">
        <f>_xlfn.XLOOKUP(AllData[[#This Row],[Site Name]],LocationsKey[Site Name], LocationsKey[Waterway])</f>
        <v>Avon</v>
      </c>
      <c r="K2242" t="s">
        <v>51</v>
      </c>
      <c r="L2242">
        <v>52.161209999999997</v>
      </c>
      <c r="M2242" s="108">
        <v>-1.8301499999999999</v>
      </c>
      <c r="N2242" t="s">
        <v>31</v>
      </c>
      <c r="O2242">
        <v>962</v>
      </c>
      <c r="P2242">
        <v>16.5</v>
      </c>
      <c r="Q2242">
        <v>4</v>
      </c>
      <c r="R2242" s="141" t="str">
        <f>IF(AllData[[#This Row],[Nitrate (PPM)]]&gt;2, "Very high", IF(AllData[[#This Row],[Nitrate (PPM)]]&gt;1, "High", IF(AllData[[#This Row],[Nitrate (PPM)]]&gt;0.5, "Some evidence", IF(AllData[[#This Row],[Nitrate (PPM)]]&gt;=0, "No evidence"))))</f>
        <v>Very high</v>
      </c>
      <c r="S2242" s="4">
        <v>0.84</v>
      </c>
      <c r="T2242" s="7" t="str">
        <f>IF(AllData[[#This Row],[Phosphate (PPM)]]&gt;0.5, "Very high", IF(AllData[[#This Row],[Phosphate (PPM)]]&gt;0.1, "High", IF(AllData[[#This Row],[Phosphate (PPM)]]&gt;0.05, "Some evidence", IF(AllData[[#This Row],[Phosphate (PPM)]]&lt;=0.05, "No Evidence", ""))))</f>
        <v>Very high</v>
      </c>
      <c r="U2242">
        <v>0</v>
      </c>
    </row>
    <row r="2243" spans="1:22" x14ac:dyDescent="0.35">
      <c r="A2243" t="s">
        <v>219</v>
      </c>
      <c r="B2243" s="143">
        <v>45209</v>
      </c>
      <c r="C2243" s="2" t="str" cm="1">
        <f t="array" ref="C22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3">
        <f>YEAR(AllData[[#This Row],[Date]])</f>
        <v>2023</v>
      </c>
      <c r="E2243" s="1">
        <v>0.6875</v>
      </c>
      <c r="F2243" t="str">
        <f>IF(AND(AllData[[#This Row],[Time]]&lt;0.5, AllData[[#This Row],[Time]]&gt;0.17)=TRUE, "Morning", IF(AND(AllData[[#This Row],[Time]]&lt;0.75, AllData[[#This Row],[Time]]&gt;=0.5)=TRUE, "Afternoon", IF(AND(AllData[[#This Row],[Time]]&lt;1, AllData[[#This Row],[Time]]&gt;=0.75)=TRUE, "Evening", "Night")))</f>
        <v>Afternoon</v>
      </c>
      <c r="G2243" t="str">
        <f>_xlfn.XLOOKUP(AllData[[#This Row],[Location Name]], Locations[Location Name],Locations[Group As])</f>
        <v>Weston-on-Avon</v>
      </c>
      <c r="H2243" t="e" vm="1">
        <f>_xlfn.XLOOKUP(AllData[[#This Row],[Site Name]],LocationsKey[Site Name],LocationsKey[District])</f>
        <v>#VALUE!</v>
      </c>
      <c r="I2243" t="e" vm="35">
        <f>_xlfn.XLOOKUP(AllData[[#This Row],[Site Name]],LocationsKey[Site Name],LocationsKey[Town])</f>
        <v>#VALUE!</v>
      </c>
      <c r="J2243" t="str">
        <f>_xlfn.XLOOKUP(AllData[[#This Row],[Site Name]],LocationsKey[Site Name], LocationsKey[Waterway])</f>
        <v>Avon</v>
      </c>
      <c r="K2243" t="s">
        <v>43</v>
      </c>
      <c r="L2243">
        <v>52.167430000000003</v>
      </c>
      <c r="M2243" s="108">
        <v>-1.7744800000000001</v>
      </c>
      <c r="N2243" t="s">
        <v>31</v>
      </c>
      <c r="O2243">
        <v>972</v>
      </c>
      <c r="P2243">
        <v>17.7</v>
      </c>
      <c r="Q2243">
        <v>4</v>
      </c>
      <c r="R2243" s="141" t="str">
        <f>IF(AllData[[#This Row],[Nitrate (PPM)]]&gt;2, "Very high", IF(AllData[[#This Row],[Nitrate (PPM)]]&gt;1, "High", IF(AllData[[#This Row],[Nitrate (PPM)]]&gt;0.5, "Some evidence", IF(AllData[[#This Row],[Nitrate (PPM)]]&gt;=0, "No evidence"))))</f>
        <v>Very high</v>
      </c>
      <c r="S2243" s="4">
        <v>0.66</v>
      </c>
      <c r="T2243" s="7" t="str">
        <f>IF(AllData[[#This Row],[Phosphate (PPM)]]&gt;0.5, "Very high", IF(AllData[[#This Row],[Phosphate (PPM)]]&gt;0.1, "High", IF(AllData[[#This Row],[Phosphate (PPM)]]&gt;0.05, "Some evidence", IF(AllData[[#This Row],[Phosphate (PPM)]]&lt;=0.05, "No Evidence", ""))))</f>
        <v>Very high</v>
      </c>
      <c r="U2243">
        <v>0</v>
      </c>
    </row>
    <row r="2244" spans="1:22" x14ac:dyDescent="0.35">
      <c r="A2244" t="s">
        <v>217</v>
      </c>
      <c r="B2244" s="143">
        <v>45207</v>
      </c>
      <c r="C2244" s="2" t="str" cm="1">
        <f t="array" ref="C22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4">
        <f>YEAR(AllData[[#This Row],[Date]])</f>
        <v>2023</v>
      </c>
      <c r="E2244" s="1">
        <v>0.77083333333333337</v>
      </c>
      <c r="F2244" t="str">
        <f>IF(AND(AllData[[#This Row],[Time]]&lt;0.5, AllData[[#This Row],[Time]]&gt;0.17)=TRUE, "Morning", IF(AND(AllData[[#This Row],[Time]]&lt;0.75, AllData[[#This Row],[Time]]&gt;=0.5)=TRUE, "Afternoon", IF(AND(AllData[[#This Row],[Time]]&lt;1, AllData[[#This Row],[Time]]&gt;=0.75)=TRUE, "Evening", "Night")))</f>
        <v>Evening</v>
      </c>
      <c r="G2244" t="str">
        <f>_xlfn.XLOOKUP(AllData[[#This Row],[Location Name]], Locations[Location Name],Locations[Group As])</f>
        <v>Avonbank Drive</v>
      </c>
      <c r="H2244" t="e" vm="1">
        <f>_xlfn.XLOOKUP(AllData[[#This Row],[Site Name]],LocationsKey[Site Name],LocationsKey[District])</f>
        <v>#VALUE!</v>
      </c>
      <c r="I2244" t="e" vm="12">
        <f>_xlfn.XLOOKUP(AllData[[#This Row],[Site Name]],LocationsKey[Site Name],LocationsKey[Town])</f>
        <v>#VALUE!</v>
      </c>
      <c r="J2244" t="str">
        <f>_xlfn.XLOOKUP(AllData[[#This Row],[Site Name]],LocationsKey[Site Name], LocationsKey[Waterway])</f>
        <v>Avon</v>
      </c>
      <c r="K2244" t="s">
        <v>104</v>
      </c>
      <c r="L2244">
        <v>52.177</v>
      </c>
      <c r="M2244" s="108">
        <v>-1.736</v>
      </c>
      <c r="N2244" t="s">
        <v>68</v>
      </c>
      <c r="O2244">
        <v>915</v>
      </c>
      <c r="P2244">
        <v>18</v>
      </c>
      <c r="Q2244">
        <v>20</v>
      </c>
      <c r="R2244" s="141" t="str">
        <f>IF(AllData[[#This Row],[Nitrate (PPM)]]&gt;2, "Very high", IF(AllData[[#This Row],[Nitrate (PPM)]]&gt;1, "High", IF(AllData[[#This Row],[Nitrate (PPM)]]&gt;0.5, "Some evidence", IF(AllData[[#This Row],[Nitrate (PPM)]]&gt;=0, "No evidence"))))</f>
        <v>Very high</v>
      </c>
      <c r="S2244" s="4">
        <v>1.74</v>
      </c>
      <c r="T2244" s="7" t="str">
        <f>IF(AllData[[#This Row],[Phosphate (PPM)]]&gt;0.5, "Very high", IF(AllData[[#This Row],[Phosphate (PPM)]]&gt;0.1, "High", IF(AllData[[#This Row],[Phosphate (PPM)]]&gt;0.05, "Some evidence", IF(AllData[[#This Row],[Phosphate (PPM)]]&lt;=0.05, "No Evidence", ""))))</f>
        <v>Very high</v>
      </c>
      <c r="U2244">
        <v>0.56999999999999995</v>
      </c>
    </row>
    <row r="2245" spans="1:22" x14ac:dyDescent="0.35">
      <c r="A2245" t="s">
        <v>211</v>
      </c>
      <c r="B2245" s="143">
        <v>45207</v>
      </c>
      <c r="C2245" s="2" t="str" cm="1">
        <f t="array" ref="C22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5">
        <f>YEAR(AllData[[#This Row],[Date]])</f>
        <v>2023</v>
      </c>
      <c r="E2245" s="1">
        <v>0.41666666666666669</v>
      </c>
      <c r="F2245" t="str">
        <f>IF(AND(AllData[[#This Row],[Time]]&lt;0.5, AllData[[#This Row],[Time]]&gt;0.17)=TRUE, "Morning", IF(AND(AllData[[#This Row],[Time]]&lt;0.75, AllData[[#This Row],[Time]]&gt;=0.5)=TRUE, "Afternoon", IF(AND(AllData[[#This Row],[Time]]&lt;1, AllData[[#This Row],[Time]]&gt;=0.75)=TRUE, "Evening", "Night")))</f>
        <v>Morning</v>
      </c>
      <c r="G2245" t="str">
        <f>_xlfn.XLOOKUP(AllData[[#This Row],[Location Name]], Locations[Location Name],Locations[Group As])</f>
        <v>Lucy's Mill Bridge</v>
      </c>
      <c r="H2245" t="e" vm="1">
        <f>_xlfn.XLOOKUP(AllData[[#This Row],[Site Name]],LocationsKey[Site Name],LocationsKey[District])</f>
        <v>#VALUE!</v>
      </c>
      <c r="I2245" t="e" vm="12">
        <f>_xlfn.XLOOKUP(AllData[[#This Row],[Site Name]],LocationsKey[Site Name],LocationsKey[Town])</f>
        <v>#VALUE!</v>
      </c>
      <c r="J2245" t="str">
        <f>_xlfn.XLOOKUP(AllData[[#This Row],[Site Name]],LocationsKey[Site Name], LocationsKey[Waterway])</f>
        <v>Avon</v>
      </c>
      <c r="K2245" t="s">
        <v>212</v>
      </c>
      <c r="L2245">
        <v>52.183698999999997</v>
      </c>
      <c r="M2245" s="108">
        <v>-1.707816</v>
      </c>
      <c r="N2245" t="s">
        <v>31</v>
      </c>
      <c r="P2245">
        <v>16</v>
      </c>
      <c r="Q2245">
        <v>10</v>
      </c>
      <c r="R2245" s="141" t="str">
        <f>IF(AllData[[#This Row],[Nitrate (PPM)]]&gt;2, "Very high", IF(AllData[[#This Row],[Nitrate (PPM)]]&gt;1, "High", IF(AllData[[#This Row],[Nitrate (PPM)]]&gt;0.5, "Some evidence", IF(AllData[[#This Row],[Nitrate (PPM)]]&gt;=0, "No evidence"))))</f>
        <v>Very high</v>
      </c>
      <c r="S2245" s="4">
        <v>0.59</v>
      </c>
      <c r="T2245" s="7" t="str">
        <f>IF(AllData[[#This Row],[Phosphate (PPM)]]&gt;0.5, "Very high", IF(AllData[[#This Row],[Phosphate (PPM)]]&gt;0.1, "High", IF(AllData[[#This Row],[Phosphate (PPM)]]&gt;0.05, "Some evidence", IF(AllData[[#This Row],[Phosphate (PPM)]]&lt;=0.05, "No Evidence", ""))))</f>
        <v>Very high</v>
      </c>
      <c r="U2245">
        <v>0.7</v>
      </c>
    </row>
    <row r="2246" spans="1:22" x14ac:dyDescent="0.35">
      <c r="A2246" t="s">
        <v>213</v>
      </c>
      <c r="B2246" s="143">
        <v>45207</v>
      </c>
      <c r="C2246" s="2" t="str" cm="1">
        <f t="array" ref="C22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6">
        <f>YEAR(AllData[[#This Row],[Date]])</f>
        <v>2023</v>
      </c>
      <c r="E2246" s="1">
        <v>0.52083333333333337</v>
      </c>
      <c r="F2246" t="str">
        <f>IF(AND(AllData[[#This Row],[Time]]&lt;0.5, AllData[[#This Row],[Time]]&gt;0.17)=TRUE, "Morning", IF(AND(AllData[[#This Row],[Time]]&lt;0.75, AllData[[#This Row],[Time]]&gt;=0.5)=TRUE, "Afternoon", IF(AND(AllData[[#This Row],[Time]]&lt;1, AllData[[#This Row],[Time]]&gt;=0.75)=TRUE, "Evening", "Night")))</f>
        <v>Afternoon</v>
      </c>
      <c r="G2246" t="str">
        <f>_xlfn.XLOOKUP(AllData[[#This Row],[Location Name]], Locations[Location Name],Locations[Group As])</f>
        <v>Hampton Wood</v>
      </c>
      <c r="H2246" t="e" vm="1">
        <f>_xlfn.XLOOKUP(AllData[[#This Row],[Site Name]],LocationsKey[Site Name],LocationsKey[District])</f>
        <v>#VALUE!</v>
      </c>
      <c r="I2246" t="e" vm="34">
        <f>_xlfn.XLOOKUP(AllData[[#This Row],[Site Name]],LocationsKey[Site Name],LocationsKey[Town])</f>
        <v>#VALUE!</v>
      </c>
      <c r="J2246" t="str">
        <f>_xlfn.XLOOKUP(AllData[[#This Row],[Site Name]],LocationsKey[Site Name], LocationsKey[Waterway])</f>
        <v>Avon</v>
      </c>
      <c r="K2246" t="s">
        <v>36</v>
      </c>
      <c r="L2246">
        <v>52.238149999999997</v>
      </c>
      <c r="M2246" s="108">
        <v>-1.6245799999999999</v>
      </c>
      <c r="N2246" t="s">
        <v>31</v>
      </c>
      <c r="O2246">
        <v>918</v>
      </c>
      <c r="P2246">
        <v>16.100000000000001</v>
      </c>
      <c r="Q2246">
        <v>9</v>
      </c>
      <c r="R2246" s="141" t="str">
        <f>IF(AllData[[#This Row],[Nitrate (PPM)]]&gt;2, "Very high", IF(AllData[[#This Row],[Nitrate (PPM)]]&gt;1, "High", IF(AllData[[#This Row],[Nitrate (PPM)]]&gt;0.5, "Some evidence", IF(AllData[[#This Row],[Nitrate (PPM)]]&gt;=0, "No evidence"))))</f>
        <v>Very high</v>
      </c>
      <c r="S2246" s="4">
        <v>0.73</v>
      </c>
      <c r="T2246" s="7" t="str">
        <f>IF(AllData[[#This Row],[Phosphate (PPM)]]&gt;0.5, "Very high", IF(AllData[[#This Row],[Phosphate (PPM)]]&gt;0.1, "High", IF(AllData[[#This Row],[Phosphate (PPM)]]&gt;0.05, "Some evidence", IF(AllData[[#This Row],[Phosphate (PPM)]]&lt;=0.05, "No Evidence", ""))))</f>
        <v>Very high</v>
      </c>
      <c r="U2246">
        <v>0</v>
      </c>
    </row>
    <row r="2247" spans="1:22" x14ac:dyDescent="0.35">
      <c r="A2247" t="s">
        <v>216</v>
      </c>
      <c r="B2247" s="143">
        <v>45207</v>
      </c>
      <c r="C2247" s="2" t="str" cm="1">
        <f t="array" ref="C22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7">
        <f>YEAR(AllData[[#This Row],[Date]])</f>
        <v>2023</v>
      </c>
      <c r="E2247" s="1">
        <v>0.69374999999999998</v>
      </c>
      <c r="F2247" t="str">
        <f>IF(AND(AllData[[#This Row],[Time]]&lt;0.5, AllData[[#This Row],[Time]]&gt;0.17)=TRUE, "Morning", IF(AND(AllData[[#This Row],[Time]]&lt;0.75, AllData[[#This Row],[Time]]&gt;=0.5)=TRUE, "Afternoon", IF(AND(AllData[[#This Row],[Time]]&lt;1, AllData[[#This Row],[Time]]&gt;=0.75)=TRUE, "Evening", "Night")))</f>
        <v>Afternoon</v>
      </c>
      <c r="G2247" t="str">
        <f>_xlfn.XLOOKUP(AllData[[#This Row],[Location Name]], Locations[Location Name],Locations[Group As])</f>
        <v>Abbey Mill</v>
      </c>
      <c r="H2247" t="e" vm="4">
        <f>_xlfn.XLOOKUP(AllData[[#This Row],[Site Name]],LocationsKey[Site Name],LocationsKey[District])</f>
        <v>#VALUE!</v>
      </c>
      <c r="I2247" t="e" vm="4">
        <f>_xlfn.XLOOKUP(AllData[[#This Row],[Site Name]],LocationsKey[Site Name],LocationsKey[Town])</f>
        <v>#VALUE!</v>
      </c>
      <c r="J2247" t="str">
        <f>_xlfn.XLOOKUP(AllData[[#This Row],[Site Name]],LocationsKey[Site Name], LocationsKey[Waterway])</f>
        <v>Avon</v>
      </c>
      <c r="K2247" t="s">
        <v>24</v>
      </c>
      <c r="L2247">
        <v>51.991534000000001</v>
      </c>
      <c r="M2247" s="108">
        <v>-2.1627879999999999</v>
      </c>
      <c r="N2247" t="s">
        <v>25</v>
      </c>
      <c r="O2247">
        <v>811</v>
      </c>
      <c r="P2247">
        <v>18.100000000000001</v>
      </c>
      <c r="Q2247">
        <v>9</v>
      </c>
      <c r="R2247" s="141" t="str">
        <f>IF(AllData[[#This Row],[Nitrate (PPM)]]&gt;2, "Very high", IF(AllData[[#This Row],[Nitrate (PPM)]]&gt;1, "High", IF(AllData[[#This Row],[Nitrate (PPM)]]&gt;0.5, "Some evidence", IF(AllData[[#This Row],[Nitrate (PPM)]]&gt;=0, "No evidence"))))</f>
        <v>Very high</v>
      </c>
      <c r="S2247" s="4">
        <v>1.01</v>
      </c>
      <c r="T2247" s="7" t="str">
        <f>IF(AllData[[#This Row],[Phosphate (PPM)]]&gt;0.5, "Very high", IF(AllData[[#This Row],[Phosphate (PPM)]]&gt;0.1, "High", IF(AllData[[#This Row],[Phosphate (PPM)]]&gt;0.05, "Some evidence", IF(AllData[[#This Row],[Phosphate (PPM)]]&lt;=0.05, "No Evidence", ""))))</f>
        <v>Very high</v>
      </c>
      <c r="U2247">
        <v>0</v>
      </c>
    </row>
    <row r="2248" spans="1:22" x14ac:dyDescent="0.35">
      <c r="A2248" t="s">
        <v>214</v>
      </c>
      <c r="B2248" s="143">
        <v>45207</v>
      </c>
      <c r="C2248" s="2" t="str" cm="1">
        <f t="array" ref="C22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8">
        <f>YEAR(AllData[[#This Row],[Date]])</f>
        <v>2023</v>
      </c>
      <c r="E2248" s="1">
        <v>0.58333333333333337</v>
      </c>
      <c r="F2248" t="str">
        <f>IF(AND(AllData[[#This Row],[Time]]&lt;0.5, AllData[[#This Row],[Time]]&gt;0.17)=TRUE, "Morning", IF(AND(AllData[[#This Row],[Time]]&lt;0.75, AllData[[#This Row],[Time]]&gt;=0.5)=TRUE, "Afternoon", IF(AND(AllData[[#This Row],[Time]]&lt;1, AllData[[#This Row],[Time]]&gt;=0.75)=TRUE, "Evening", "Night")))</f>
        <v>Afternoon</v>
      </c>
      <c r="G2248" t="str">
        <f>_xlfn.XLOOKUP(AllData[[#This Row],[Location Name]], Locations[Location Name],Locations[Group As])</f>
        <v>Hampton Lucy</v>
      </c>
      <c r="H2248" t="e" vm="1">
        <f>_xlfn.XLOOKUP(AllData[[#This Row],[Site Name]],LocationsKey[Site Name],LocationsKey[District])</f>
        <v>#VALUE!</v>
      </c>
      <c r="I2248" t="e" vm="33">
        <f>_xlfn.XLOOKUP(AllData[[#This Row],[Site Name]],LocationsKey[Site Name],LocationsKey[Town])</f>
        <v>#VALUE!</v>
      </c>
      <c r="J2248" t="str">
        <f>_xlfn.XLOOKUP(AllData[[#This Row],[Site Name]],LocationsKey[Site Name], LocationsKey[Waterway])</f>
        <v>Avon</v>
      </c>
      <c r="K2248" t="s">
        <v>39</v>
      </c>
      <c r="L2248">
        <v>52.211680000000001</v>
      </c>
      <c r="M2248" s="108">
        <v>-1.6244400000000001</v>
      </c>
      <c r="N2248" t="s">
        <v>25</v>
      </c>
      <c r="O2248">
        <v>884</v>
      </c>
      <c r="P2248">
        <v>18</v>
      </c>
      <c r="Q2248">
        <v>7.5</v>
      </c>
      <c r="R2248" s="141" t="str">
        <f>IF(AllData[[#This Row],[Nitrate (PPM)]]&gt;2, "Very high", IF(AllData[[#This Row],[Nitrate (PPM)]]&gt;1, "High", IF(AllData[[#This Row],[Nitrate (PPM)]]&gt;0.5, "Some evidence", IF(AllData[[#This Row],[Nitrate (PPM)]]&gt;=0, "No evidence"))))</f>
        <v>Very high</v>
      </c>
      <c r="S2248" s="4">
        <v>0.6</v>
      </c>
      <c r="T2248" s="7" t="str">
        <f>IF(AllData[[#This Row],[Phosphate (PPM)]]&gt;0.5, "Very high", IF(AllData[[#This Row],[Phosphate (PPM)]]&gt;0.1, "High", IF(AllData[[#This Row],[Phosphate (PPM)]]&gt;0.05, "Some evidence", IF(AllData[[#This Row],[Phosphate (PPM)]]&lt;=0.05, "No Evidence", ""))))</f>
        <v>Very high</v>
      </c>
      <c r="U2248">
        <v>0</v>
      </c>
    </row>
    <row r="2249" spans="1:22" x14ac:dyDescent="0.35">
      <c r="A2249" t="s">
        <v>215</v>
      </c>
      <c r="B2249" s="143">
        <v>45207</v>
      </c>
      <c r="C2249" s="2" t="str" cm="1">
        <f t="array" ref="C22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49">
        <f>YEAR(AllData[[#This Row],[Date]])</f>
        <v>2023</v>
      </c>
      <c r="E2249" s="1">
        <v>0.66666666666666663</v>
      </c>
      <c r="F2249" t="str">
        <f>IF(AND(AllData[[#This Row],[Time]]&lt;0.5, AllData[[#This Row],[Time]]&gt;0.17)=TRUE, "Morning", IF(AND(AllData[[#This Row],[Time]]&lt;0.75, AllData[[#This Row],[Time]]&gt;=0.5)=TRUE, "Afternoon", IF(AND(AllData[[#This Row],[Time]]&lt;1, AllData[[#This Row],[Time]]&gt;=0.75)=TRUE, "Evening", "Night")))</f>
        <v>Afternoon</v>
      </c>
      <c r="G2249" t="str">
        <f>_xlfn.XLOOKUP(AllData[[#This Row],[Location Name]], Locations[Location Name],Locations[Group As])</f>
        <v>Welford Boat Station</v>
      </c>
      <c r="H2249" t="e" vm="1">
        <f>_xlfn.XLOOKUP(AllData[[#This Row],[Site Name]],LocationsKey[Site Name],LocationsKey[District])</f>
        <v>#VALUE!</v>
      </c>
      <c r="I2249" t="e" vm="36">
        <f>_xlfn.XLOOKUP(AllData[[#This Row],[Site Name]],LocationsKey[Site Name],LocationsKey[Town])</f>
        <v>#VALUE!</v>
      </c>
      <c r="J2249" t="str">
        <f>_xlfn.XLOOKUP(AllData[[#This Row],[Site Name]],LocationsKey[Site Name], LocationsKey[Waterway])</f>
        <v>Avon</v>
      </c>
      <c r="K2249" t="s">
        <v>41</v>
      </c>
      <c r="L2249">
        <v>52.175240000000002</v>
      </c>
      <c r="M2249" s="108">
        <v>-1.7918700000000001</v>
      </c>
      <c r="N2249" t="s">
        <v>31</v>
      </c>
      <c r="O2249">
        <v>830</v>
      </c>
      <c r="P2249">
        <v>17.600000000000001</v>
      </c>
      <c r="Q2249">
        <v>4.5</v>
      </c>
      <c r="R2249" s="141" t="str">
        <f>IF(AllData[[#This Row],[Nitrate (PPM)]]&gt;2, "Very high", IF(AllData[[#This Row],[Nitrate (PPM)]]&gt;1, "High", IF(AllData[[#This Row],[Nitrate (PPM)]]&gt;0.5, "Some evidence", IF(AllData[[#This Row],[Nitrate (PPM)]]&gt;=0, "No evidence"))))</f>
        <v>Very high</v>
      </c>
      <c r="S2249" s="4">
        <v>0.56999999999999995</v>
      </c>
      <c r="T2249" s="7" t="str">
        <f>IF(AllData[[#This Row],[Phosphate (PPM)]]&gt;0.5, "Very high", IF(AllData[[#This Row],[Phosphate (PPM)]]&gt;0.1, "High", IF(AllData[[#This Row],[Phosphate (PPM)]]&gt;0.05, "Some evidence", IF(AllData[[#This Row],[Phosphate (PPM)]]&lt;=0.05, "No Evidence", ""))))</f>
        <v>Very high</v>
      </c>
      <c r="U2249">
        <v>0</v>
      </c>
      <c r="V2249" t="s">
        <v>97</v>
      </c>
    </row>
    <row r="2250" spans="1:22" x14ac:dyDescent="0.35">
      <c r="A2250" t="s">
        <v>218</v>
      </c>
      <c r="B2250" s="143">
        <v>45207</v>
      </c>
      <c r="C2250" s="2" t="str" cm="1">
        <f t="array" ref="C22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0">
        <f>YEAR(AllData[[#This Row],[Date]])</f>
        <v>2023</v>
      </c>
      <c r="E2250" s="1">
        <v>0.77083333333333337</v>
      </c>
      <c r="F2250" t="str">
        <f>IF(AND(AllData[[#This Row],[Time]]&lt;0.5, AllData[[#This Row],[Time]]&gt;0.17)=TRUE, "Morning", IF(AND(AllData[[#This Row],[Time]]&lt;0.75, AllData[[#This Row],[Time]]&gt;=0.5)=TRUE, "Afternoon", IF(AND(AllData[[#This Row],[Time]]&lt;1, AllData[[#This Row],[Time]]&gt;=0.75)=TRUE, "Evening", "Night")))</f>
        <v>Evening</v>
      </c>
      <c r="G2250" t="str">
        <f>_xlfn.XLOOKUP(AllData[[#This Row],[Location Name]], Locations[Location Name],Locations[Group As])</f>
        <v>Pitch 16</v>
      </c>
      <c r="H2250" t="e" vm="1">
        <f>_xlfn.XLOOKUP(AllData[[#This Row],[Site Name]],LocationsKey[Site Name],LocationsKey[District])</f>
        <v>#VALUE!</v>
      </c>
      <c r="I2250" t="e" vm="12">
        <f>_xlfn.XLOOKUP(AllData[[#This Row],[Site Name]],LocationsKey[Site Name],LocationsKey[Town])</f>
        <v>#VALUE!</v>
      </c>
      <c r="J2250" t="str">
        <f>_xlfn.XLOOKUP(AllData[[#This Row],[Site Name]],LocationsKey[Site Name], LocationsKey[Waterway])</f>
        <v>Avon</v>
      </c>
      <c r="K2250" t="s">
        <v>71</v>
      </c>
      <c r="M2250" s="108"/>
      <c r="N2250" t="s">
        <v>31</v>
      </c>
      <c r="O2250">
        <v>925</v>
      </c>
      <c r="P2250">
        <v>17.399999999999999</v>
      </c>
      <c r="Q2250">
        <v>0.15</v>
      </c>
      <c r="R2250" s="141" t="str">
        <f>IF(AllData[[#This Row],[Nitrate (PPM)]]&gt;2, "Very high", IF(AllData[[#This Row],[Nitrate (PPM)]]&gt;1, "High", IF(AllData[[#This Row],[Nitrate (PPM)]]&gt;0.5, "Some evidence", IF(AllData[[#This Row],[Nitrate (PPM)]]&gt;=0, "No evidence"))))</f>
        <v>No evidence</v>
      </c>
      <c r="S2250" s="4">
        <v>0.97</v>
      </c>
      <c r="T2250" s="7" t="str">
        <f>IF(AllData[[#This Row],[Phosphate (PPM)]]&gt;0.5, "Very high", IF(AllData[[#This Row],[Phosphate (PPM)]]&gt;0.1, "High", IF(AllData[[#This Row],[Phosphate (PPM)]]&gt;0.05, "Some evidence", IF(AllData[[#This Row],[Phosphate (PPM)]]&lt;=0.05, "No Evidence", ""))))</f>
        <v>Very high</v>
      </c>
      <c r="U2250">
        <v>0.56999999999999995</v>
      </c>
    </row>
    <row r="2251" spans="1:22" x14ac:dyDescent="0.35">
      <c r="A2251" t="s">
        <v>209</v>
      </c>
      <c r="B2251" s="143">
        <v>45206</v>
      </c>
      <c r="C2251" s="2" t="str" cm="1">
        <f t="array" ref="C22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1">
        <f>YEAR(AllData[[#This Row],[Date]])</f>
        <v>2023</v>
      </c>
      <c r="E2251" s="1">
        <v>0.48888888888888887</v>
      </c>
      <c r="F2251" t="str">
        <f>IF(AND(AllData[[#This Row],[Time]]&lt;0.5, AllData[[#This Row],[Time]]&gt;0.17)=TRUE, "Morning", IF(AND(AllData[[#This Row],[Time]]&lt;0.75, AllData[[#This Row],[Time]]&gt;=0.5)=TRUE, "Afternoon", IF(AND(AllData[[#This Row],[Time]]&lt;1, AllData[[#This Row],[Time]]&gt;=0.75)=TRUE, "Evening", "Night")))</f>
        <v>Morning</v>
      </c>
      <c r="G2251" t="str">
        <f>_xlfn.XLOOKUP(AllData[[#This Row],[Location Name]], Locations[Location Name],Locations[Group As])</f>
        <v>Site 1  :  Middle Street</v>
      </c>
      <c r="H2251" t="e" vm="1">
        <f>_xlfn.XLOOKUP(AllData[[#This Row],[Site Name]],LocationsKey[Site Name],LocationsKey[District])</f>
        <v>#VALUE!</v>
      </c>
      <c r="I2251" t="e" vm="14">
        <f>_xlfn.XLOOKUP(AllData[[#This Row],[Site Name]],LocationsKey[Site Name],LocationsKey[Town])</f>
        <v>#VALUE!</v>
      </c>
      <c r="J2251" t="str">
        <f>_xlfn.XLOOKUP(AllData[[#This Row],[Site Name]],LocationsKey[Site Name], LocationsKey[Waterway])</f>
        <v>Fosseway Brook</v>
      </c>
      <c r="K2251" t="s">
        <v>210</v>
      </c>
      <c r="L2251">
        <v>52.090074000000001</v>
      </c>
      <c r="M2251" s="108">
        <v>-1.692588</v>
      </c>
      <c r="N2251" t="s">
        <v>68</v>
      </c>
      <c r="O2251">
        <v>608</v>
      </c>
      <c r="P2251">
        <v>17.100000000000001</v>
      </c>
      <c r="Q2251">
        <v>1</v>
      </c>
      <c r="R2251" s="141" t="str">
        <f>IF(AllData[[#This Row],[Nitrate (PPM)]]&gt;2, "Very high", IF(AllData[[#This Row],[Nitrate (PPM)]]&gt;1, "High", IF(AllData[[#This Row],[Nitrate (PPM)]]&gt;0.5, "Some evidence", IF(AllData[[#This Row],[Nitrate (PPM)]]&gt;=0, "No evidence"))))</f>
        <v>Some evidence</v>
      </c>
      <c r="S2251" s="4">
        <v>0.18</v>
      </c>
      <c r="T2251" s="7" t="str">
        <f>IF(AllData[[#This Row],[Phosphate (PPM)]]&gt;0.5, "Very high", IF(AllData[[#This Row],[Phosphate (PPM)]]&gt;0.1, "High", IF(AllData[[#This Row],[Phosphate (PPM)]]&gt;0.05, "Some evidence", IF(AllData[[#This Row],[Phosphate (PPM)]]&lt;=0.05, "No Evidence", ""))))</f>
        <v>High</v>
      </c>
      <c r="U2251">
        <v>0</v>
      </c>
    </row>
    <row r="2252" spans="1:22" x14ac:dyDescent="0.35">
      <c r="A2252" t="s">
        <v>206</v>
      </c>
      <c r="B2252" s="143">
        <v>45204</v>
      </c>
      <c r="C2252" s="2" t="str" cm="1">
        <f t="array" ref="C22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2">
        <f>YEAR(AllData[[#This Row],[Date]])</f>
        <v>2023</v>
      </c>
      <c r="E2252" s="1">
        <v>0.4375</v>
      </c>
      <c r="F2252" t="str">
        <f>IF(AND(AllData[[#This Row],[Time]]&lt;0.5, AllData[[#This Row],[Time]]&gt;0.17)=TRUE, "Morning", IF(AND(AllData[[#This Row],[Time]]&lt;0.75, AllData[[#This Row],[Time]]&gt;=0.5)=TRUE, "Afternoon", IF(AND(AllData[[#This Row],[Time]]&lt;1, AllData[[#This Row],[Time]]&gt;=0.75)=TRUE, "Evening", "Night")))</f>
        <v>Morning</v>
      </c>
      <c r="G2252" t="str">
        <f>_xlfn.XLOOKUP(AllData[[#This Row],[Location Name]], Locations[Location Name],Locations[Group As])</f>
        <v>Swilgate</v>
      </c>
      <c r="H2252" t="e" vm="4">
        <f>_xlfn.XLOOKUP(AllData[[#This Row],[Site Name]],LocationsKey[Site Name],LocationsKey[District])</f>
        <v>#VALUE!</v>
      </c>
      <c r="I2252" t="e" vm="4">
        <f>_xlfn.XLOOKUP(AllData[[#This Row],[Site Name]],LocationsKey[Site Name],LocationsKey[Town])</f>
        <v>#VALUE!</v>
      </c>
      <c r="J2252" t="str">
        <f>_xlfn.XLOOKUP(AllData[[#This Row],[Site Name]],LocationsKey[Site Name], LocationsKey[Waterway])</f>
        <v>Swilgate</v>
      </c>
      <c r="K2252" t="s">
        <v>85</v>
      </c>
      <c r="M2252" s="108"/>
      <c r="N2252" t="s">
        <v>25</v>
      </c>
      <c r="O2252">
        <v>868</v>
      </c>
      <c r="P2252">
        <v>15.2</v>
      </c>
      <c r="Q2252">
        <v>10</v>
      </c>
      <c r="R2252" s="141" t="str">
        <f>IF(AllData[[#This Row],[Nitrate (PPM)]]&gt;2, "Very high", IF(AllData[[#This Row],[Nitrate (PPM)]]&gt;1, "High", IF(AllData[[#This Row],[Nitrate (PPM)]]&gt;0.5, "Some evidence", IF(AllData[[#This Row],[Nitrate (PPM)]]&gt;=0, "No evidence"))))</f>
        <v>Very high</v>
      </c>
      <c r="S2252" s="4">
        <v>0.7</v>
      </c>
      <c r="T2252" s="7" t="str">
        <f>IF(AllData[[#This Row],[Phosphate (PPM)]]&gt;0.5, "Very high", IF(AllData[[#This Row],[Phosphate (PPM)]]&gt;0.1, "High", IF(AllData[[#This Row],[Phosphate (PPM)]]&gt;0.05, "Some evidence", IF(AllData[[#This Row],[Phosphate (PPM)]]&lt;=0.05, "No Evidence", ""))))</f>
        <v>Very high</v>
      </c>
      <c r="U2252">
        <v>0</v>
      </c>
    </row>
    <row r="2253" spans="1:22" x14ac:dyDescent="0.35">
      <c r="A2253" t="s">
        <v>207</v>
      </c>
      <c r="B2253" s="143">
        <v>45204</v>
      </c>
      <c r="C2253" s="2" t="str" cm="1">
        <f t="array" ref="C22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3">
        <f>YEAR(AllData[[#This Row],[Date]])</f>
        <v>2023</v>
      </c>
      <c r="E2253" s="1">
        <v>0.59236111111111112</v>
      </c>
      <c r="F2253" t="str">
        <f>IF(AND(AllData[[#This Row],[Time]]&lt;0.5, AllData[[#This Row],[Time]]&gt;0.17)=TRUE, "Morning", IF(AND(AllData[[#This Row],[Time]]&lt;0.75, AllData[[#This Row],[Time]]&gt;=0.5)=TRUE, "Afternoon", IF(AND(AllData[[#This Row],[Time]]&lt;1, AllData[[#This Row],[Time]]&gt;=0.75)=TRUE, "Evening", "Night")))</f>
        <v>Afternoon</v>
      </c>
      <c r="G2253" t="str">
        <f>_xlfn.XLOOKUP(AllData[[#This Row],[Location Name]], Locations[Location Name],Locations[Group As])</f>
        <v>Preston-on-Stour River Bridge</v>
      </c>
      <c r="H2253" t="e" vm="1">
        <f>_xlfn.XLOOKUP(AllData[[#This Row],[Site Name]],LocationsKey[Site Name],LocationsKey[District])</f>
        <v>#VALUE!</v>
      </c>
      <c r="I2253" t="e" vm="20">
        <f>_xlfn.XLOOKUP(AllData[[#This Row],[Site Name]],LocationsKey[Site Name],LocationsKey[Town])</f>
        <v>#VALUE!</v>
      </c>
      <c r="J2253" t="str">
        <f>_xlfn.XLOOKUP(AllData[[#This Row],[Site Name]],LocationsKey[Site Name], LocationsKey[Waterway])</f>
        <v>Stour</v>
      </c>
      <c r="K2253" t="s">
        <v>164</v>
      </c>
      <c r="L2253">
        <v>52.146582000000002</v>
      </c>
      <c r="M2253" s="108">
        <v>-1.6992160000000001</v>
      </c>
      <c r="N2253" t="s">
        <v>31</v>
      </c>
      <c r="O2253">
        <v>692</v>
      </c>
      <c r="P2253">
        <v>15.8</v>
      </c>
      <c r="Q2253">
        <v>5</v>
      </c>
      <c r="R2253" s="141" t="str">
        <f>IF(AllData[[#This Row],[Nitrate (PPM)]]&gt;2, "Very high", IF(AllData[[#This Row],[Nitrate (PPM)]]&gt;1, "High", IF(AllData[[#This Row],[Nitrate (PPM)]]&gt;0.5, "Some evidence", IF(AllData[[#This Row],[Nitrate (PPM)]]&gt;=0, "No evidence"))))</f>
        <v>Very high</v>
      </c>
      <c r="S2253" s="4">
        <v>0.61</v>
      </c>
      <c r="T2253" s="7" t="str">
        <f>IF(AllData[[#This Row],[Phosphate (PPM)]]&gt;0.5, "Very high", IF(AllData[[#This Row],[Phosphate (PPM)]]&gt;0.1, "High", IF(AllData[[#This Row],[Phosphate (PPM)]]&gt;0.05, "Some evidence", IF(AllData[[#This Row],[Phosphate (PPM)]]&lt;=0.05, "No Evidence", ""))))</f>
        <v>Very high</v>
      </c>
      <c r="U2253">
        <v>6</v>
      </c>
      <c r="V2253" t="s">
        <v>208</v>
      </c>
    </row>
    <row r="2254" spans="1:22" x14ac:dyDescent="0.35">
      <c r="A2254" t="s">
        <v>204</v>
      </c>
      <c r="B2254" s="143">
        <v>45203</v>
      </c>
      <c r="C2254" s="2" t="str" cm="1">
        <f t="array" ref="C22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4">
        <f>YEAR(AllData[[#This Row],[Date]])</f>
        <v>2023</v>
      </c>
      <c r="E2254" s="1">
        <v>0.67708333333333337</v>
      </c>
      <c r="F2254" t="str">
        <f>IF(AND(AllData[[#This Row],[Time]]&lt;0.5, AllData[[#This Row],[Time]]&gt;0.17)=TRUE, "Morning", IF(AND(AllData[[#This Row],[Time]]&lt;0.75, AllData[[#This Row],[Time]]&gt;=0.5)=TRUE, "Afternoon", IF(AND(AllData[[#This Row],[Time]]&lt;1, AllData[[#This Row],[Time]]&gt;=0.75)=TRUE, "Evening", "Night")))</f>
        <v>Afternoon</v>
      </c>
      <c r="G2254" t="str">
        <f>_xlfn.XLOOKUP(AllData[[#This Row],[Location Name]], Locations[Location Name],Locations[Group As])</f>
        <v>Stour Newbold Mill</v>
      </c>
      <c r="H2254" t="e" vm="1">
        <f>_xlfn.XLOOKUP(AllData[[#This Row],[Site Name]],LocationsKey[Site Name],LocationsKey[District])</f>
        <v>#VALUE!</v>
      </c>
      <c r="I2254" t="e" vm="27">
        <f>_xlfn.XLOOKUP(AllData[[#This Row],[Site Name]],LocationsKey[Site Name],LocationsKey[Town])</f>
        <v>#VALUE!</v>
      </c>
      <c r="J2254" t="str">
        <f>_xlfn.XLOOKUP(AllData[[#This Row],[Site Name]],LocationsKey[Site Name], LocationsKey[Waterway])</f>
        <v>Stour</v>
      </c>
      <c r="K2254" t="s">
        <v>205</v>
      </c>
      <c r="L2254">
        <v>52.113486999999999</v>
      </c>
      <c r="M2254" s="108">
        <v>-1.6333500000000001</v>
      </c>
      <c r="N2254" t="s">
        <v>31</v>
      </c>
      <c r="O2254">
        <v>704</v>
      </c>
      <c r="P2254">
        <v>15.5</v>
      </c>
      <c r="Q2254">
        <v>2</v>
      </c>
      <c r="R2254" s="141" t="str">
        <f>IF(AllData[[#This Row],[Nitrate (PPM)]]&gt;2, "Very high", IF(AllData[[#This Row],[Nitrate (PPM)]]&gt;1, "High", IF(AllData[[#This Row],[Nitrate (PPM)]]&gt;0.5, "Some evidence", IF(AllData[[#This Row],[Nitrate (PPM)]]&gt;=0, "No evidence"))))</f>
        <v>High</v>
      </c>
      <c r="S2254" s="4">
        <v>0.71</v>
      </c>
      <c r="T2254" s="7" t="str">
        <f>IF(AllData[[#This Row],[Phosphate (PPM)]]&gt;0.5, "Very high", IF(AllData[[#This Row],[Phosphate (PPM)]]&gt;0.1, "High", IF(AllData[[#This Row],[Phosphate (PPM)]]&gt;0.05, "Some evidence", IF(AllData[[#This Row],[Phosphate (PPM)]]&lt;=0.05, "No Evidence", ""))))</f>
        <v>Very high</v>
      </c>
      <c r="U2254">
        <v>2</v>
      </c>
      <c r="V2254" t="s">
        <v>116</v>
      </c>
    </row>
    <row r="2255" spans="1:22" x14ac:dyDescent="0.35">
      <c r="A2255" t="s">
        <v>200</v>
      </c>
      <c r="B2255" s="143">
        <v>45200</v>
      </c>
      <c r="C2255" s="2" t="str" cm="1">
        <f t="array" ref="C22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5">
        <f>YEAR(AllData[[#This Row],[Date]])</f>
        <v>2023</v>
      </c>
      <c r="E2255" s="1">
        <v>0.42708333333333331</v>
      </c>
      <c r="F2255" t="str">
        <f>IF(AND(AllData[[#This Row],[Time]]&lt;0.5, AllData[[#This Row],[Time]]&gt;0.17)=TRUE, "Morning", IF(AND(AllData[[#This Row],[Time]]&lt;0.75, AllData[[#This Row],[Time]]&gt;=0.5)=TRUE, "Afternoon", IF(AND(AllData[[#This Row],[Time]]&lt;1, AllData[[#This Row],[Time]]&gt;=0.75)=TRUE, "Evening", "Night")))</f>
        <v>Morning</v>
      </c>
      <c r="G2255" t="str">
        <f>_xlfn.XLOOKUP(AllData[[#This Row],[Location Name]], Locations[Location Name],Locations[Group As])</f>
        <v>Abbey Mill</v>
      </c>
      <c r="H2255" t="e" vm="4">
        <f>_xlfn.XLOOKUP(AllData[[#This Row],[Site Name]],LocationsKey[Site Name],LocationsKey[District])</f>
        <v>#VALUE!</v>
      </c>
      <c r="I2255" t="e" vm="4">
        <f>_xlfn.XLOOKUP(AllData[[#This Row],[Site Name]],LocationsKey[Site Name],LocationsKey[Town])</f>
        <v>#VALUE!</v>
      </c>
      <c r="J2255" t="str">
        <f>_xlfn.XLOOKUP(AllData[[#This Row],[Site Name]],LocationsKey[Site Name], LocationsKey[Waterway])</f>
        <v>Avon</v>
      </c>
      <c r="K2255" t="s">
        <v>27</v>
      </c>
      <c r="M2255" s="108"/>
      <c r="N2255" t="s">
        <v>25</v>
      </c>
      <c r="O2255">
        <v>870</v>
      </c>
      <c r="P2255">
        <v>17.5</v>
      </c>
      <c r="Q2255">
        <v>10</v>
      </c>
      <c r="R2255" s="141" t="str">
        <f>IF(AllData[[#This Row],[Nitrate (PPM)]]&gt;2, "Very high", IF(AllData[[#This Row],[Nitrate (PPM)]]&gt;1, "High", IF(AllData[[#This Row],[Nitrate (PPM)]]&gt;0.5, "Some evidence", IF(AllData[[#This Row],[Nitrate (PPM)]]&gt;=0, "No evidence"))))</f>
        <v>Very high</v>
      </c>
      <c r="S2255" s="4">
        <v>0.98</v>
      </c>
      <c r="T2255" s="7" t="str">
        <f>IF(AllData[[#This Row],[Phosphate (PPM)]]&gt;0.5, "Very high", IF(AllData[[#This Row],[Phosphate (PPM)]]&gt;0.1, "High", IF(AllData[[#This Row],[Phosphate (PPM)]]&gt;0.05, "Some evidence", IF(AllData[[#This Row],[Phosphate (PPM)]]&lt;=0.05, "No Evidence", ""))))</f>
        <v>Very high</v>
      </c>
      <c r="U2255">
        <v>0</v>
      </c>
    </row>
    <row r="2256" spans="1:22" x14ac:dyDescent="0.35">
      <c r="A2256" t="s">
        <v>201</v>
      </c>
      <c r="B2256" s="143">
        <v>45200</v>
      </c>
      <c r="C2256" s="2" t="str" cm="1">
        <f t="array" ref="C22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6">
        <f>YEAR(AllData[[#This Row],[Date]])</f>
        <v>2023</v>
      </c>
      <c r="E2256" s="1">
        <v>0.43125000000000002</v>
      </c>
      <c r="F2256" t="str">
        <f>IF(AND(AllData[[#This Row],[Time]]&lt;0.5, AllData[[#This Row],[Time]]&gt;0.17)=TRUE, "Morning", IF(AND(AllData[[#This Row],[Time]]&lt;0.75, AllData[[#This Row],[Time]]&gt;=0.5)=TRUE, "Afternoon", IF(AND(AllData[[#This Row],[Time]]&lt;1, AllData[[#This Row],[Time]]&gt;=0.75)=TRUE, "Evening", "Night")))</f>
        <v>Morning</v>
      </c>
      <c r="G2256" t="str">
        <f>_xlfn.XLOOKUP(AllData[[#This Row],[Location Name]], Locations[Location Name],Locations[Group As])</f>
        <v>Stour Shipston Mill Bridge</v>
      </c>
      <c r="H2256" t="e" vm="1">
        <f>_xlfn.XLOOKUP(AllData[[#This Row],[Site Name]],LocationsKey[Site Name],LocationsKey[District])</f>
        <v>#VALUE!</v>
      </c>
      <c r="I2256" t="e" vm="15">
        <f>_xlfn.XLOOKUP(AllData[[#This Row],[Site Name]],LocationsKey[Site Name],LocationsKey[Town])</f>
        <v>#VALUE!</v>
      </c>
      <c r="J2256" t="str">
        <f>_xlfn.XLOOKUP(AllData[[#This Row],[Site Name]],LocationsKey[Site Name], LocationsKey[Waterway])</f>
        <v>Stour</v>
      </c>
      <c r="K2256" t="s">
        <v>202</v>
      </c>
      <c r="L2256">
        <v>52.062021999999999</v>
      </c>
      <c r="M2256" s="108">
        <v>-1.621729</v>
      </c>
      <c r="N2256" t="s">
        <v>203</v>
      </c>
      <c r="O2256">
        <v>642</v>
      </c>
      <c r="P2256">
        <v>16</v>
      </c>
      <c r="Q2256">
        <v>10</v>
      </c>
      <c r="R2256" s="141" t="str">
        <f>IF(AllData[[#This Row],[Nitrate (PPM)]]&gt;2, "Very high", IF(AllData[[#This Row],[Nitrate (PPM)]]&gt;1, "High", IF(AllData[[#This Row],[Nitrate (PPM)]]&gt;0.5, "Some evidence", IF(AllData[[#This Row],[Nitrate (PPM)]]&gt;=0, "No evidence"))))</f>
        <v>Very high</v>
      </c>
      <c r="S2256" s="4">
        <v>0.41</v>
      </c>
      <c r="T2256" s="7" t="str">
        <f>IF(AllData[[#This Row],[Phosphate (PPM)]]&gt;0.5, "Very high", IF(AllData[[#This Row],[Phosphate (PPM)]]&gt;0.1, "High", IF(AllData[[#This Row],[Phosphate (PPM)]]&gt;0.05, "Some evidence", IF(AllData[[#This Row],[Phosphate (PPM)]]&lt;=0.05, "No Evidence", ""))))</f>
        <v>High</v>
      </c>
      <c r="U2256">
        <v>5</v>
      </c>
    </row>
    <row r="2257" spans="1:22" x14ac:dyDescent="0.35">
      <c r="A2257" t="s">
        <v>199</v>
      </c>
      <c r="B2257" s="143">
        <v>45199</v>
      </c>
      <c r="C2257" s="2" t="str" cm="1">
        <f t="array" ref="C22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7">
        <f>YEAR(AllData[[#This Row],[Date]])</f>
        <v>2023</v>
      </c>
      <c r="E2257" s="1">
        <v>0.39583333333333331</v>
      </c>
      <c r="F2257" t="str">
        <f>IF(AND(AllData[[#This Row],[Time]]&lt;0.5, AllData[[#This Row],[Time]]&gt;0.17)=TRUE, "Morning", IF(AND(AllData[[#This Row],[Time]]&lt;0.75, AllData[[#This Row],[Time]]&gt;=0.5)=TRUE, "Afternoon", IF(AND(AllData[[#This Row],[Time]]&lt;1, AllData[[#This Row],[Time]]&gt;=0.75)=TRUE, "Evening", "Night")))</f>
        <v>Morning</v>
      </c>
      <c r="G2257" t="str">
        <f>_xlfn.XLOOKUP(AllData[[#This Row],[Location Name]], Locations[Location Name],Locations[Group As])</f>
        <v>Pitch 16</v>
      </c>
      <c r="H2257" t="e" vm="1">
        <f>_xlfn.XLOOKUP(AllData[[#This Row],[Site Name]],LocationsKey[Site Name],LocationsKey[District])</f>
        <v>#VALUE!</v>
      </c>
      <c r="I2257" t="e" vm="12">
        <f>_xlfn.XLOOKUP(AllData[[#This Row],[Site Name]],LocationsKey[Site Name],LocationsKey[Town])</f>
        <v>#VALUE!</v>
      </c>
      <c r="J2257" t="str">
        <f>_xlfn.XLOOKUP(AllData[[#This Row],[Site Name]],LocationsKey[Site Name], LocationsKey[Waterway])</f>
        <v>Avon</v>
      </c>
      <c r="K2257" t="s">
        <v>71</v>
      </c>
      <c r="M2257" s="108"/>
      <c r="N2257" t="s">
        <v>31</v>
      </c>
      <c r="O2257">
        <v>902</v>
      </c>
      <c r="P2257">
        <v>19.3</v>
      </c>
      <c r="Q2257">
        <v>15</v>
      </c>
      <c r="R2257" s="141" t="str">
        <f>IF(AllData[[#This Row],[Nitrate (PPM)]]&gt;2, "Very high", IF(AllData[[#This Row],[Nitrate (PPM)]]&gt;1, "High", IF(AllData[[#This Row],[Nitrate (PPM)]]&gt;0.5, "Some evidence", IF(AllData[[#This Row],[Nitrate (PPM)]]&gt;=0, "No evidence"))))</f>
        <v>Very high</v>
      </c>
      <c r="S2257" s="4">
        <v>0.74</v>
      </c>
      <c r="T2257" s="7" t="str">
        <f>IF(AllData[[#This Row],[Phosphate (PPM)]]&gt;0.5, "Very high", IF(AllData[[#This Row],[Phosphate (PPM)]]&gt;0.1, "High", IF(AllData[[#This Row],[Phosphate (PPM)]]&gt;0.05, "Some evidence", IF(AllData[[#This Row],[Phosphate (PPM)]]&lt;=0.05, "No Evidence", ""))))</f>
        <v>Very high</v>
      </c>
      <c r="U2257">
        <v>0.6</v>
      </c>
    </row>
    <row r="2258" spans="1:22" x14ac:dyDescent="0.35">
      <c r="A2258" t="s">
        <v>198</v>
      </c>
      <c r="B2258" s="143">
        <v>45199</v>
      </c>
      <c r="C2258" s="2" t="str" cm="1">
        <f t="array" ref="C22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8">
        <f>YEAR(AllData[[#This Row],[Date]])</f>
        <v>2023</v>
      </c>
      <c r="E2258" s="1">
        <v>0.39583333333333331</v>
      </c>
      <c r="F2258" t="str">
        <f>IF(AND(AllData[[#This Row],[Time]]&lt;0.5, AllData[[#This Row],[Time]]&gt;0.17)=TRUE, "Morning", IF(AND(AllData[[#This Row],[Time]]&lt;0.75, AllData[[#This Row],[Time]]&gt;=0.5)=TRUE, "Afternoon", IF(AND(AllData[[#This Row],[Time]]&lt;1, AllData[[#This Row],[Time]]&gt;=0.75)=TRUE, "Evening", "Night")))</f>
        <v>Morning</v>
      </c>
      <c r="G2258" t="str">
        <f>_xlfn.XLOOKUP(AllData[[#This Row],[Location Name]], Locations[Location Name],Locations[Group As])</f>
        <v>Avonbank Drive</v>
      </c>
      <c r="H2258" t="e" vm="1">
        <f>_xlfn.XLOOKUP(AllData[[#This Row],[Site Name]],LocationsKey[Site Name],LocationsKey[District])</f>
        <v>#VALUE!</v>
      </c>
      <c r="I2258" t="e" vm="12">
        <f>_xlfn.XLOOKUP(AllData[[#This Row],[Site Name]],LocationsKey[Site Name],LocationsKey[Town])</f>
        <v>#VALUE!</v>
      </c>
      <c r="J2258" t="str">
        <f>_xlfn.XLOOKUP(AllData[[#This Row],[Site Name]],LocationsKey[Site Name], LocationsKey[Waterway])</f>
        <v>Avon</v>
      </c>
      <c r="K2258" t="s">
        <v>104</v>
      </c>
      <c r="L2258">
        <v>52.177</v>
      </c>
      <c r="M2258" s="108">
        <v>-1.736</v>
      </c>
      <c r="N2258" t="s">
        <v>68</v>
      </c>
      <c r="O2258">
        <v>917</v>
      </c>
      <c r="P2258">
        <v>18.899999999999999</v>
      </c>
      <c r="Q2258">
        <v>10</v>
      </c>
      <c r="R2258" s="141" t="str">
        <f>IF(AllData[[#This Row],[Nitrate (PPM)]]&gt;2, "Very high", IF(AllData[[#This Row],[Nitrate (PPM)]]&gt;1, "High", IF(AllData[[#This Row],[Nitrate (PPM)]]&gt;0.5, "Some evidence", IF(AllData[[#This Row],[Nitrate (PPM)]]&gt;=0, "No evidence"))))</f>
        <v>Very high</v>
      </c>
      <c r="S2258" s="4">
        <v>0.95</v>
      </c>
      <c r="T2258" s="7" t="str">
        <f>IF(AllData[[#This Row],[Phosphate (PPM)]]&gt;0.5, "Very high", IF(AllData[[#This Row],[Phosphate (PPM)]]&gt;0.1, "High", IF(AllData[[#This Row],[Phosphate (PPM)]]&gt;0.05, "Some evidence", IF(AllData[[#This Row],[Phosphate (PPM)]]&lt;=0.05, "No Evidence", ""))))</f>
        <v>Very high</v>
      </c>
      <c r="U2258">
        <v>0.6</v>
      </c>
    </row>
    <row r="2259" spans="1:22" x14ac:dyDescent="0.35">
      <c r="A2259" t="s">
        <v>197</v>
      </c>
      <c r="B2259" s="143">
        <v>45197</v>
      </c>
      <c r="C2259" s="2" t="str" cm="1">
        <f t="array" ref="C22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59">
        <f>YEAR(AllData[[#This Row],[Date]])</f>
        <v>2023</v>
      </c>
      <c r="E2259" s="1">
        <v>0.62916666666666665</v>
      </c>
      <c r="F2259" t="str">
        <f>IF(AND(AllData[[#This Row],[Time]]&lt;0.5, AllData[[#This Row],[Time]]&gt;0.17)=TRUE, "Morning", IF(AND(AllData[[#This Row],[Time]]&lt;0.75, AllData[[#This Row],[Time]]&gt;=0.5)=TRUE, "Afternoon", IF(AND(AllData[[#This Row],[Time]]&lt;1, AllData[[#This Row],[Time]]&gt;=0.75)=TRUE, "Evening", "Night")))</f>
        <v>Afternoon</v>
      </c>
      <c r="G2259" t="str">
        <f>_xlfn.XLOOKUP(AllData[[#This Row],[Location Name]], Locations[Location Name],Locations[Group As])</f>
        <v>Swilgate</v>
      </c>
      <c r="H2259" t="e" vm="4">
        <f>_xlfn.XLOOKUP(AllData[[#This Row],[Site Name]],LocationsKey[Site Name],LocationsKey[District])</f>
        <v>#VALUE!</v>
      </c>
      <c r="I2259" t="e" vm="4">
        <f>_xlfn.XLOOKUP(AllData[[#This Row],[Site Name]],LocationsKey[Site Name],LocationsKey[Town])</f>
        <v>#VALUE!</v>
      </c>
      <c r="J2259" t="str">
        <f>_xlfn.XLOOKUP(AllData[[#This Row],[Site Name]],LocationsKey[Site Name], LocationsKey[Waterway])</f>
        <v>Swilgate</v>
      </c>
      <c r="K2259" t="s">
        <v>85</v>
      </c>
      <c r="M2259" s="108"/>
      <c r="N2259" t="s">
        <v>25</v>
      </c>
      <c r="O2259">
        <v>813</v>
      </c>
      <c r="P2259">
        <v>15.6</v>
      </c>
      <c r="Q2259">
        <v>7</v>
      </c>
      <c r="R2259" s="141" t="str">
        <f>IF(AllData[[#This Row],[Nitrate (PPM)]]&gt;2, "Very high", IF(AllData[[#This Row],[Nitrate (PPM)]]&gt;1, "High", IF(AllData[[#This Row],[Nitrate (PPM)]]&gt;0.5, "Some evidence", IF(AllData[[#This Row],[Nitrate (PPM)]]&gt;=0, "No evidence"))))</f>
        <v>Very high</v>
      </c>
      <c r="S2259" s="4">
        <v>0.62</v>
      </c>
      <c r="T2259" s="7" t="str">
        <f>IF(AllData[[#This Row],[Phosphate (PPM)]]&gt;0.5, "Very high", IF(AllData[[#This Row],[Phosphate (PPM)]]&gt;0.1, "High", IF(AllData[[#This Row],[Phosphate (PPM)]]&gt;0.05, "Some evidence", IF(AllData[[#This Row],[Phosphate (PPM)]]&lt;=0.05, "No Evidence", ""))))</f>
        <v>Very high</v>
      </c>
      <c r="U2259">
        <v>0</v>
      </c>
    </row>
    <row r="2260" spans="1:22" x14ac:dyDescent="0.35">
      <c r="A2260" t="s">
        <v>195</v>
      </c>
      <c r="B2260" s="143">
        <v>45197</v>
      </c>
      <c r="C2260" s="2" t="str" cm="1">
        <f t="array" ref="C22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0">
        <f>YEAR(AllData[[#This Row],[Date]])</f>
        <v>2023</v>
      </c>
      <c r="E2260" s="1">
        <v>0.46875</v>
      </c>
      <c r="F2260" t="str">
        <f>IF(AND(AllData[[#This Row],[Time]]&lt;0.5, AllData[[#This Row],[Time]]&gt;0.17)=TRUE, "Morning", IF(AND(AllData[[#This Row],[Time]]&lt;0.75, AllData[[#This Row],[Time]]&gt;=0.5)=TRUE, "Afternoon", IF(AND(AllData[[#This Row],[Time]]&lt;1, AllData[[#This Row],[Time]]&gt;=0.75)=TRUE, "Evening", "Night")))</f>
        <v>Morning</v>
      </c>
      <c r="G2260" t="str">
        <f>_xlfn.XLOOKUP(AllData[[#This Row],[Location Name]], Locations[Location Name],Locations[Group As])</f>
        <v>Preston-on-Stour River Bridge</v>
      </c>
      <c r="H2260" t="e" vm="1">
        <f>_xlfn.XLOOKUP(AllData[[#This Row],[Site Name]],LocationsKey[Site Name],LocationsKey[District])</f>
        <v>#VALUE!</v>
      </c>
      <c r="I2260" t="e" vm="20">
        <f>_xlfn.XLOOKUP(AllData[[#This Row],[Site Name]],LocationsKey[Site Name],LocationsKey[Town])</f>
        <v>#VALUE!</v>
      </c>
      <c r="J2260" t="str">
        <f>_xlfn.XLOOKUP(AllData[[#This Row],[Site Name]],LocationsKey[Site Name], LocationsKey[Waterway])</f>
        <v>Stour</v>
      </c>
      <c r="K2260" t="s">
        <v>164</v>
      </c>
      <c r="L2260">
        <v>52.146639</v>
      </c>
      <c r="M2260" s="108">
        <v>-1.6990339999999999</v>
      </c>
      <c r="N2260" t="s">
        <v>31</v>
      </c>
      <c r="O2260">
        <v>705</v>
      </c>
      <c r="P2260">
        <v>15.1</v>
      </c>
      <c r="Q2260">
        <v>5</v>
      </c>
      <c r="R2260" s="141" t="str">
        <f>IF(AllData[[#This Row],[Nitrate (PPM)]]&gt;2, "Very high", IF(AllData[[#This Row],[Nitrate (PPM)]]&gt;1, "High", IF(AllData[[#This Row],[Nitrate (PPM)]]&gt;0.5, "Some evidence", IF(AllData[[#This Row],[Nitrate (PPM)]]&gt;=0, "No evidence"))))</f>
        <v>Very high</v>
      </c>
      <c r="S2260" s="4">
        <v>0.6</v>
      </c>
      <c r="T2260" s="7" t="str">
        <f>IF(AllData[[#This Row],[Phosphate (PPM)]]&gt;0.5, "Very high", IF(AllData[[#This Row],[Phosphate (PPM)]]&gt;0.1, "High", IF(AllData[[#This Row],[Phosphate (PPM)]]&gt;0.05, "Some evidence", IF(AllData[[#This Row],[Phosphate (PPM)]]&lt;=0.05, "No Evidence", ""))))</f>
        <v>Very high</v>
      </c>
      <c r="U2260">
        <v>6</v>
      </c>
      <c r="V2260" t="s">
        <v>196</v>
      </c>
    </row>
    <row r="2261" spans="1:22" x14ac:dyDescent="0.35">
      <c r="A2261" t="s">
        <v>194</v>
      </c>
      <c r="B2261" s="143">
        <v>45196</v>
      </c>
      <c r="C2261" s="2" t="str" cm="1">
        <f t="array" ref="C22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1">
        <f>YEAR(AllData[[#This Row],[Date]])</f>
        <v>2023</v>
      </c>
      <c r="E2261" s="1">
        <v>0.67222222222222228</v>
      </c>
      <c r="F2261" t="str">
        <f>IF(AND(AllData[[#This Row],[Time]]&lt;0.5, AllData[[#This Row],[Time]]&gt;0.17)=TRUE, "Morning", IF(AND(AllData[[#This Row],[Time]]&lt;0.75, AllData[[#This Row],[Time]]&gt;=0.5)=TRUE, "Afternoon", IF(AND(AllData[[#This Row],[Time]]&lt;1, AllData[[#This Row],[Time]]&gt;=0.75)=TRUE, "Evening", "Night")))</f>
        <v>Afternoon</v>
      </c>
      <c r="G2261" t="str">
        <f>_xlfn.XLOOKUP(AllData[[#This Row],[Location Name]], Locations[Location Name],Locations[Group As])</f>
        <v>Stour Newbold Mill</v>
      </c>
      <c r="H2261" t="e" vm="1">
        <f>_xlfn.XLOOKUP(AllData[[#This Row],[Site Name]],LocationsKey[Site Name],LocationsKey[District])</f>
        <v>#VALUE!</v>
      </c>
      <c r="I2261" t="e" vm="27">
        <f>_xlfn.XLOOKUP(AllData[[#This Row],[Site Name]],LocationsKey[Site Name],LocationsKey[Town])</f>
        <v>#VALUE!</v>
      </c>
      <c r="J2261" t="str">
        <f>_xlfn.XLOOKUP(AllData[[#This Row],[Site Name]],LocationsKey[Site Name], LocationsKey[Waterway])</f>
        <v>Stour</v>
      </c>
      <c r="K2261" t="s">
        <v>141</v>
      </c>
      <c r="L2261">
        <v>52.113517000000002</v>
      </c>
      <c r="M2261" s="108">
        <v>-1.633219</v>
      </c>
      <c r="N2261" t="s">
        <v>31</v>
      </c>
      <c r="O2261">
        <v>687</v>
      </c>
      <c r="P2261">
        <v>16.7</v>
      </c>
      <c r="Q2261">
        <v>5</v>
      </c>
      <c r="R2261" s="141" t="str">
        <f>IF(AllData[[#This Row],[Nitrate (PPM)]]&gt;2, "Very high", IF(AllData[[#This Row],[Nitrate (PPM)]]&gt;1, "High", IF(AllData[[#This Row],[Nitrate (PPM)]]&gt;0.5, "Some evidence", IF(AllData[[#This Row],[Nitrate (PPM)]]&gt;=0, "No evidence"))))</f>
        <v>Very high</v>
      </c>
      <c r="S2261" s="4">
        <v>0.7</v>
      </c>
      <c r="T2261" s="7" t="str">
        <f>IF(AllData[[#This Row],[Phosphate (PPM)]]&gt;0.5, "Very high", IF(AllData[[#This Row],[Phosphate (PPM)]]&gt;0.1, "High", IF(AllData[[#This Row],[Phosphate (PPM)]]&gt;0.05, "Some evidence", IF(AllData[[#This Row],[Phosphate (PPM)]]&lt;=0.05, "No Evidence", ""))))</f>
        <v>Very high</v>
      </c>
      <c r="U2261">
        <v>2</v>
      </c>
      <c r="V2261" t="s">
        <v>116</v>
      </c>
    </row>
    <row r="2262" spans="1:22" x14ac:dyDescent="0.35">
      <c r="A2262" t="s">
        <v>189</v>
      </c>
      <c r="B2262" s="143">
        <v>45192</v>
      </c>
      <c r="C2262" s="2" t="str" cm="1">
        <f t="array" ref="C22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2">
        <f>YEAR(AllData[[#This Row],[Date]])</f>
        <v>2023</v>
      </c>
      <c r="E2262" s="1">
        <v>0.53194444444444444</v>
      </c>
      <c r="F2262" t="str">
        <f>IF(AND(AllData[[#This Row],[Time]]&lt;0.5, AllData[[#This Row],[Time]]&gt;0.17)=TRUE, "Morning", IF(AND(AllData[[#This Row],[Time]]&lt;0.75, AllData[[#This Row],[Time]]&gt;=0.5)=TRUE, "Afternoon", IF(AND(AllData[[#This Row],[Time]]&lt;1, AllData[[#This Row],[Time]]&gt;=0.75)=TRUE, "Evening", "Night")))</f>
        <v>Afternoon</v>
      </c>
      <c r="G2262" t="str">
        <f>_xlfn.XLOOKUP(AllData[[#This Row],[Location Name]], Locations[Location Name],Locations[Group As])</f>
        <v>Trinity Church</v>
      </c>
      <c r="H2262" t="e" vm="1">
        <f>_xlfn.XLOOKUP(AllData[[#This Row],[Site Name]],LocationsKey[Site Name],LocationsKey[District])</f>
        <v>#VALUE!</v>
      </c>
      <c r="I2262" t="e" vm="12">
        <f>_xlfn.XLOOKUP(AllData[[#This Row],[Site Name]],LocationsKey[Site Name],LocationsKey[Town])</f>
        <v>#VALUE!</v>
      </c>
      <c r="J2262" t="str">
        <f>_xlfn.XLOOKUP(AllData[[#This Row],[Site Name]],LocationsKey[Site Name], LocationsKey[Waterway])</f>
        <v>Avon</v>
      </c>
      <c r="K2262" t="s">
        <v>190</v>
      </c>
      <c r="L2262">
        <v>52.187393</v>
      </c>
      <c r="M2262" s="108">
        <v>-1.706607</v>
      </c>
      <c r="N2262" t="s">
        <v>191</v>
      </c>
      <c r="O2262">
        <v>887</v>
      </c>
      <c r="P2262">
        <v>16.600000000000001</v>
      </c>
      <c r="Q2262">
        <v>15</v>
      </c>
      <c r="R2262" s="141" t="str">
        <f>IF(AllData[[#This Row],[Nitrate (PPM)]]&gt;2, "Very high", IF(AllData[[#This Row],[Nitrate (PPM)]]&gt;1, "High", IF(AllData[[#This Row],[Nitrate (PPM)]]&gt;0.5, "Some evidence", IF(AllData[[#This Row],[Nitrate (PPM)]]&gt;=0, "No evidence"))))</f>
        <v>Very high</v>
      </c>
      <c r="S2262" s="4">
        <v>0.6</v>
      </c>
      <c r="T2262" s="7" t="str">
        <f>IF(AllData[[#This Row],[Phosphate (PPM)]]&gt;0.5, "Very high", IF(AllData[[#This Row],[Phosphate (PPM)]]&gt;0.1, "High", IF(AllData[[#This Row],[Phosphate (PPM)]]&gt;0.05, "Some evidence", IF(AllData[[#This Row],[Phosphate (PPM)]]&lt;=0.05, "No Evidence", ""))))</f>
        <v>Very high</v>
      </c>
      <c r="U2262">
        <v>0.6</v>
      </c>
      <c r="V2262" t="s">
        <v>192</v>
      </c>
    </row>
    <row r="2263" spans="1:22" x14ac:dyDescent="0.35">
      <c r="A2263" t="s">
        <v>188</v>
      </c>
      <c r="B2263" s="143">
        <v>45192</v>
      </c>
      <c r="C2263" s="2" t="str" cm="1">
        <f t="array" ref="C22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3">
        <f>YEAR(AllData[[#This Row],[Date]])</f>
        <v>2023</v>
      </c>
      <c r="E2263" s="1">
        <v>0.48888888888888887</v>
      </c>
      <c r="F2263" t="str">
        <f>IF(AND(AllData[[#This Row],[Time]]&lt;0.5, AllData[[#This Row],[Time]]&gt;0.17)=TRUE, "Morning", IF(AND(AllData[[#This Row],[Time]]&lt;0.75, AllData[[#This Row],[Time]]&gt;=0.5)=TRUE, "Afternoon", IF(AND(AllData[[#This Row],[Time]]&lt;1, AllData[[#This Row],[Time]]&gt;=0.75)=TRUE, "Evening", "Night")))</f>
        <v>Morning</v>
      </c>
      <c r="G2263" t="str">
        <f>_xlfn.XLOOKUP(AllData[[#This Row],[Location Name]], Locations[Location Name],Locations[Group As])</f>
        <v>Avonbank Drive</v>
      </c>
      <c r="H2263" t="e" vm="1">
        <f>_xlfn.XLOOKUP(AllData[[#This Row],[Site Name]],LocationsKey[Site Name],LocationsKey[District])</f>
        <v>#VALUE!</v>
      </c>
      <c r="I2263" t="e" vm="12">
        <f>_xlfn.XLOOKUP(AllData[[#This Row],[Site Name]],LocationsKey[Site Name],LocationsKey[Town])</f>
        <v>#VALUE!</v>
      </c>
      <c r="J2263" t="str">
        <f>_xlfn.XLOOKUP(AllData[[#This Row],[Site Name]],LocationsKey[Site Name], LocationsKey[Waterway])</f>
        <v>Avon</v>
      </c>
      <c r="K2263" t="s">
        <v>67</v>
      </c>
      <c r="L2263">
        <v>52.177247999999999</v>
      </c>
      <c r="M2263" s="108">
        <v>-1.7358929999999999</v>
      </c>
      <c r="N2263" t="s">
        <v>68</v>
      </c>
      <c r="O2263">
        <v>882</v>
      </c>
      <c r="P2263">
        <v>18.5</v>
      </c>
      <c r="Q2263">
        <v>15</v>
      </c>
      <c r="R2263" s="141" t="str">
        <f>IF(AllData[[#This Row],[Nitrate (PPM)]]&gt;2, "Very high", IF(AllData[[#This Row],[Nitrate (PPM)]]&gt;1, "High", IF(AllData[[#This Row],[Nitrate (PPM)]]&gt;0.5, "Some evidence", IF(AllData[[#This Row],[Nitrate (PPM)]]&gt;=0, "No evidence"))))</f>
        <v>Very high</v>
      </c>
      <c r="S2263" s="4">
        <v>0.8</v>
      </c>
      <c r="T2263" s="7" t="str">
        <f>IF(AllData[[#This Row],[Phosphate (PPM)]]&gt;0.5, "Very high", IF(AllData[[#This Row],[Phosphate (PPM)]]&gt;0.1, "High", IF(AllData[[#This Row],[Phosphate (PPM)]]&gt;0.05, "Some evidence", IF(AllData[[#This Row],[Phosphate (PPM)]]&lt;=0.05, "No Evidence", ""))))</f>
        <v>Very high</v>
      </c>
      <c r="U2263">
        <v>0.6</v>
      </c>
    </row>
    <row r="2264" spans="1:22" x14ac:dyDescent="0.35">
      <c r="A2264" t="s">
        <v>186</v>
      </c>
      <c r="B2264" s="143">
        <v>45192</v>
      </c>
      <c r="C2264" s="2" t="str" cm="1">
        <f t="array" ref="C22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4">
        <f>YEAR(AllData[[#This Row],[Date]])</f>
        <v>2023</v>
      </c>
      <c r="E2264" s="1">
        <v>0.46527777777777779</v>
      </c>
      <c r="F2264" t="str">
        <f>IF(AND(AllData[[#This Row],[Time]]&lt;0.5, AllData[[#This Row],[Time]]&gt;0.17)=TRUE, "Morning", IF(AND(AllData[[#This Row],[Time]]&lt;0.75, AllData[[#This Row],[Time]]&gt;=0.5)=TRUE, "Afternoon", IF(AND(AllData[[#This Row],[Time]]&lt;1, AllData[[#This Row],[Time]]&gt;=0.75)=TRUE, "Evening", "Night")))</f>
        <v>Morning</v>
      </c>
      <c r="G2264" t="str">
        <f>_xlfn.XLOOKUP(AllData[[#This Row],[Location Name]], Locations[Location Name],Locations[Group As])</f>
        <v>Pitch 16</v>
      </c>
      <c r="H2264" t="e" vm="1">
        <f>_xlfn.XLOOKUP(AllData[[#This Row],[Site Name]],LocationsKey[Site Name],LocationsKey[District])</f>
        <v>#VALUE!</v>
      </c>
      <c r="I2264" t="e" vm="12">
        <f>_xlfn.XLOOKUP(AllData[[#This Row],[Site Name]],LocationsKey[Site Name],LocationsKey[Town])</f>
        <v>#VALUE!</v>
      </c>
      <c r="J2264" t="str">
        <f>_xlfn.XLOOKUP(AllData[[#This Row],[Site Name]],LocationsKey[Site Name], LocationsKey[Waterway])</f>
        <v>Avon</v>
      </c>
      <c r="K2264" t="s">
        <v>71</v>
      </c>
      <c r="L2264">
        <v>52.172609000000001</v>
      </c>
      <c r="M2264" s="108">
        <v>-1.7454480000000001</v>
      </c>
      <c r="N2264" t="s">
        <v>31</v>
      </c>
      <c r="O2264">
        <v>856</v>
      </c>
      <c r="P2264">
        <v>15.5</v>
      </c>
      <c r="Q2264">
        <v>15</v>
      </c>
      <c r="R2264" s="141" t="str">
        <f>IF(AllData[[#This Row],[Nitrate (PPM)]]&gt;2, "Very high", IF(AllData[[#This Row],[Nitrate (PPM)]]&gt;1, "High", IF(AllData[[#This Row],[Nitrate (PPM)]]&gt;0.5, "Some evidence", IF(AllData[[#This Row],[Nitrate (PPM)]]&gt;=0, "No evidence"))))</f>
        <v>Very high</v>
      </c>
      <c r="S2264" s="4">
        <v>0.97</v>
      </c>
      <c r="T2264" s="7" t="str">
        <f>IF(AllData[[#This Row],[Phosphate (PPM)]]&gt;0.5, "Very high", IF(AllData[[#This Row],[Phosphate (PPM)]]&gt;0.1, "High", IF(AllData[[#This Row],[Phosphate (PPM)]]&gt;0.05, "Some evidence", IF(AllData[[#This Row],[Phosphate (PPM)]]&lt;=0.05, "No Evidence", ""))))</f>
        <v>Very high</v>
      </c>
      <c r="U2264">
        <v>0.6</v>
      </c>
      <c r="V2264" t="s">
        <v>187</v>
      </c>
    </row>
    <row r="2265" spans="1:22" x14ac:dyDescent="0.35">
      <c r="A2265" t="s">
        <v>193</v>
      </c>
      <c r="B2265" s="143">
        <v>45192</v>
      </c>
      <c r="C2265" s="2" t="str" cm="1">
        <f t="array" ref="C22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5">
        <f>YEAR(AllData[[#This Row],[Date]])</f>
        <v>2023</v>
      </c>
      <c r="E2265" s="1">
        <v>0.60416666666666663</v>
      </c>
      <c r="F2265" t="str">
        <f>IF(AND(AllData[[#This Row],[Time]]&lt;0.5, AllData[[#This Row],[Time]]&gt;0.17)=TRUE, "Morning", IF(AND(AllData[[#This Row],[Time]]&lt;0.75, AllData[[#This Row],[Time]]&gt;=0.5)=TRUE, "Afternoon", IF(AND(AllData[[#This Row],[Time]]&lt;1, AllData[[#This Row],[Time]]&gt;=0.75)=TRUE, "Evening", "Night")))</f>
        <v>Afternoon</v>
      </c>
      <c r="G2265" t="str">
        <f>_xlfn.XLOOKUP(AllData[[#This Row],[Location Name]], Locations[Location Name],Locations[Group As])</f>
        <v>Carrant Bredon Rd</v>
      </c>
      <c r="H2265" t="e" vm="4">
        <f>_xlfn.XLOOKUP(AllData[[#This Row],[Site Name]],LocationsKey[Site Name],LocationsKey[District])</f>
        <v>#VALUE!</v>
      </c>
      <c r="I2265" t="e" vm="4">
        <f>_xlfn.XLOOKUP(AllData[[#This Row],[Site Name]],LocationsKey[Site Name],LocationsKey[Town])</f>
        <v>#VALUE!</v>
      </c>
      <c r="J2265" t="str">
        <f>_xlfn.XLOOKUP(AllData[[#This Row],[Site Name]],LocationsKey[Site Name], LocationsKey[Waterway])</f>
        <v>Carrant</v>
      </c>
      <c r="K2265" t="s">
        <v>91</v>
      </c>
      <c r="M2265" s="108"/>
      <c r="N2265" t="s">
        <v>25</v>
      </c>
      <c r="O2265">
        <v>655</v>
      </c>
      <c r="P2265">
        <v>13.4</v>
      </c>
      <c r="Q2265">
        <v>8</v>
      </c>
      <c r="R2265" s="141" t="str">
        <f>IF(AllData[[#This Row],[Nitrate (PPM)]]&gt;2, "Very high", IF(AllData[[#This Row],[Nitrate (PPM)]]&gt;1, "High", IF(AllData[[#This Row],[Nitrate (PPM)]]&gt;0.5, "Some evidence", IF(AllData[[#This Row],[Nitrate (PPM)]]&gt;=0, "No evidence"))))</f>
        <v>Very high</v>
      </c>
      <c r="S2265" s="4">
        <v>0.94</v>
      </c>
      <c r="T2265" s="7" t="str">
        <f>IF(AllData[[#This Row],[Phosphate (PPM)]]&gt;0.5, "Very high", IF(AllData[[#This Row],[Phosphate (PPM)]]&gt;0.1, "High", IF(AllData[[#This Row],[Phosphate (PPM)]]&gt;0.05, "Some evidence", IF(AllData[[#This Row],[Phosphate (PPM)]]&lt;=0.05, "No Evidence", ""))))</f>
        <v>Very high</v>
      </c>
      <c r="U2265">
        <v>0</v>
      </c>
    </row>
    <row r="2266" spans="1:22" x14ac:dyDescent="0.35">
      <c r="A2266" t="s">
        <v>182</v>
      </c>
      <c r="B2266" s="143">
        <v>45190</v>
      </c>
      <c r="C2266" s="2" t="str" cm="1">
        <f t="array" ref="C226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6">
        <f>YEAR(AllData[[#This Row],[Date]])</f>
        <v>2023</v>
      </c>
      <c r="E2266" s="1">
        <v>0.4375</v>
      </c>
      <c r="F2266" t="str">
        <f>IF(AND(AllData[[#This Row],[Time]]&lt;0.5, AllData[[#This Row],[Time]]&gt;0.17)=TRUE, "Morning", IF(AND(AllData[[#This Row],[Time]]&lt;0.75, AllData[[#This Row],[Time]]&gt;=0.5)=TRUE, "Afternoon", IF(AND(AllData[[#This Row],[Time]]&lt;1, AllData[[#This Row],[Time]]&gt;=0.75)=TRUE, "Evening", "Night")))</f>
        <v>Morning</v>
      </c>
      <c r="G2266" t="str">
        <f>_xlfn.XLOOKUP(AllData[[#This Row],[Location Name]], Locations[Location Name],Locations[Group As])</f>
        <v>Abbey Mill</v>
      </c>
      <c r="H2266" t="e" vm="4">
        <f>_xlfn.XLOOKUP(AllData[[#This Row],[Site Name]],LocationsKey[Site Name],LocationsKey[District])</f>
        <v>#VALUE!</v>
      </c>
      <c r="I2266" t="e" vm="4">
        <f>_xlfn.XLOOKUP(AllData[[#This Row],[Site Name]],LocationsKey[Site Name],LocationsKey[Town])</f>
        <v>#VALUE!</v>
      </c>
      <c r="J2266" t="str">
        <f>_xlfn.XLOOKUP(AllData[[#This Row],[Site Name]],LocationsKey[Site Name], LocationsKey[Waterway])</f>
        <v>Avon</v>
      </c>
      <c r="K2266" t="s">
        <v>24</v>
      </c>
      <c r="M2266" s="108"/>
      <c r="N2266" t="s">
        <v>25</v>
      </c>
      <c r="O2266">
        <v>105</v>
      </c>
      <c r="P2266">
        <v>17.100000000000001</v>
      </c>
      <c r="Q2266">
        <v>8</v>
      </c>
      <c r="R2266" s="141" t="str">
        <f>IF(AllData[[#This Row],[Nitrate (PPM)]]&gt;2, "Very high", IF(AllData[[#This Row],[Nitrate (PPM)]]&gt;1, "High", IF(AllData[[#This Row],[Nitrate (PPM)]]&gt;0.5, "Some evidence", IF(AllData[[#This Row],[Nitrate (PPM)]]&gt;=0, "No evidence"))))</f>
        <v>Very high</v>
      </c>
      <c r="S2266" s="4">
        <v>1.04</v>
      </c>
      <c r="T2266" s="7" t="str">
        <f>IF(AllData[[#This Row],[Phosphate (PPM)]]&gt;0.5, "Very high", IF(AllData[[#This Row],[Phosphate (PPM)]]&gt;0.1, "High", IF(AllData[[#This Row],[Phosphate (PPM)]]&gt;0.05, "Some evidence", IF(AllData[[#This Row],[Phosphate (PPM)]]&lt;=0.05, "No Evidence", ""))))</f>
        <v>Very high</v>
      </c>
      <c r="U2266">
        <v>0</v>
      </c>
    </row>
    <row r="2267" spans="1:22" x14ac:dyDescent="0.35">
      <c r="A2267" t="s">
        <v>181</v>
      </c>
      <c r="B2267" s="143">
        <v>45190</v>
      </c>
      <c r="C2267" s="2" t="str" cm="1">
        <f t="array" ref="C226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7">
        <f>YEAR(AllData[[#This Row],[Date]])</f>
        <v>2023</v>
      </c>
      <c r="E2267" s="1">
        <v>0.42708333333333331</v>
      </c>
      <c r="F2267" t="str">
        <f>IF(AND(AllData[[#This Row],[Time]]&lt;0.5, AllData[[#This Row],[Time]]&gt;0.17)=TRUE, "Morning", IF(AND(AllData[[#This Row],[Time]]&lt;0.75, AllData[[#This Row],[Time]]&gt;=0.5)=TRUE, "Afternoon", IF(AND(AllData[[#This Row],[Time]]&lt;1, AllData[[#This Row],[Time]]&gt;=0.75)=TRUE, "Evening", "Night")))</f>
        <v>Morning</v>
      </c>
      <c r="G2267" t="str">
        <f>_xlfn.XLOOKUP(AllData[[#This Row],[Location Name]], Locations[Location Name],Locations[Group As])</f>
        <v>Swilgate</v>
      </c>
      <c r="H2267" t="e" vm="4">
        <f>_xlfn.XLOOKUP(AllData[[#This Row],[Site Name]],LocationsKey[Site Name],LocationsKey[District])</f>
        <v>#VALUE!</v>
      </c>
      <c r="I2267" t="e" vm="4">
        <f>_xlfn.XLOOKUP(AllData[[#This Row],[Site Name]],LocationsKey[Site Name],LocationsKey[Town])</f>
        <v>#VALUE!</v>
      </c>
      <c r="J2267" t="str">
        <f>_xlfn.XLOOKUP(AllData[[#This Row],[Site Name]],LocationsKey[Site Name], LocationsKey[Waterway])</f>
        <v>Swilgate</v>
      </c>
      <c r="K2267" t="s">
        <v>85</v>
      </c>
      <c r="M2267" s="108"/>
      <c r="N2267" t="s">
        <v>25</v>
      </c>
      <c r="O2267">
        <v>736</v>
      </c>
      <c r="P2267">
        <v>15.8</v>
      </c>
      <c r="Q2267">
        <v>7</v>
      </c>
      <c r="R2267" s="141" t="str">
        <f>IF(AllData[[#This Row],[Nitrate (PPM)]]&gt;2, "Very high", IF(AllData[[#This Row],[Nitrate (PPM)]]&gt;1, "High", IF(AllData[[#This Row],[Nitrate (PPM)]]&gt;0.5, "Some evidence", IF(AllData[[#This Row],[Nitrate (PPM)]]&gt;=0, "No evidence"))))</f>
        <v>Very high</v>
      </c>
      <c r="S2267" s="4">
        <v>0.83</v>
      </c>
      <c r="T2267" s="7" t="str">
        <f>IF(AllData[[#This Row],[Phosphate (PPM)]]&gt;0.5, "Very high", IF(AllData[[#This Row],[Phosphate (PPM)]]&gt;0.1, "High", IF(AllData[[#This Row],[Phosphate (PPM)]]&gt;0.05, "Some evidence", IF(AllData[[#This Row],[Phosphate (PPM)]]&lt;=0.05, "No Evidence", ""))))</f>
        <v>Very high</v>
      </c>
      <c r="U2267">
        <v>0</v>
      </c>
    </row>
    <row r="2268" spans="1:22" x14ac:dyDescent="0.35">
      <c r="A2268" t="s">
        <v>183</v>
      </c>
      <c r="B2268" s="143">
        <v>45190</v>
      </c>
      <c r="C2268" s="2" t="str" cm="1">
        <f t="array" ref="C226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8">
        <f>YEAR(AllData[[#This Row],[Date]])</f>
        <v>2023</v>
      </c>
      <c r="E2268" s="1">
        <v>0.58333333333333337</v>
      </c>
      <c r="F2268" t="str">
        <f>IF(AND(AllData[[#This Row],[Time]]&lt;0.5, AllData[[#This Row],[Time]]&gt;0.17)=TRUE, "Morning", IF(AND(AllData[[#This Row],[Time]]&lt;0.75, AllData[[#This Row],[Time]]&gt;=0.5)=TRUE, "Afternoon", IF(AND(AllData[[#This Row],[Time]]&lt;1, AllData[[#This Row],[Time]]&gt;=0.75)=TRUE, "Evening", "Night")))</f>
        <v>Afternoon</v>
      </c>
      <c r="G2268" t="str">
        <f>_xlfn.XLOOKUP(AllData[[#This Row],[Location Name]], Locations[Location Name],Locations[Group As])</f>
        <v>Preston-on-Stour River Bridge</v>
      </c>
      <c r="H2268" t="e" vm="1">
        <f>_xlfn.XLOOKUP(AllData[[#This Row],[Site Name]],LocationsKey[Site Name],LocationsKey[District])</f>
        <v>#VALUE!</v>
      </c>
      <c r="I2268" t="e" vm="20">
        <f>_xlfn.XLOOKUP(AllData[[#This Row],[Site Name]],LocationsKey[Site Name],LocationsKey[Town])</f>
        <v>#VALUE!</v>
      </c>
      <c r="J2268" t="str">
        <f>_xlfn.XLOOKUP(AllData[[#This Row],[Site Name]],LocationsKey[Site Name], LocationsKey[Waterway])</f>
        <v>Stour</v>
      </c>
      <c r="K2268" t="s">
        <v>184</v>
      </c>
      <c r="L2268">
        <v>52.146552999999997</v>
      </c>
      <c r="M2268" s="108">
        <v>-1.6992370000000001</v>
      </c>
      <c r="N2268" t="s">
        <v>31</v>
      </c>
      <c r="O2268">
        <v>671</v>
      </c>
      <c r="P2268">
        <v>16.2</v>
      </c>
      <c r="Q2268">
        <v>5</v>
      </c>
      <c r="R2268" s="141" t="str">
        <f>IF(AllData[[#This Row],[Nitrate (PPM)]]&gt;2, "Very high", IF(AllData[[#This Row],[Nitrate (PPM)]]&gt;1, "High", IF(AllData[[#This Row],[Nitrate (PPM)]]&gt;0.5, "Some evidence", IF(AllData[[#This Row],[Nitrate (PPM)]]&gt;=0, "No evidence"))))</f>
        <v>Very high</v>
      </c>
      <c r="S2268" s="4">
        <v>0.8</v>
      </c>
      <c r="T2268" s="7" t="str">
        <f>IF(AllData[[#This Row],[Phosphate (PPM)]]&gt;0.5, "Very high", IF(AllData[[#This Row],[Phosphate (PPM)]]&gt;0.1, "High", IF(AllData[[#This Row],[Phosphate (PPM)]]&gt;0.05, "Some evidence", IF(AllData[[#This Row],[Phosphate (PPM)]]&lt;=0.05, "No Evidence", ""))))</f>
        <v>Very high</v>
      </c>
      <c r="U2268">
        <v>7</v>
      </c>
      <c r="V2268" t="s">
        <v>185</v>
      </c>
    </row>
    <row r="2269" spans="1:22" x14ac:dyDescent="0.35">
      <c r="A2269" t="s">
        <v>179</v>
      </c>
      <c r="B2269" s="143">
        <v>45189</v>
      </c>
      <c r="C2269" s="2" t="str" cm="1">
        <f t="array" ref="C226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69">
        <f>YEAR(AllData[[#This Row],[Date]])</f>
        <v>2023</v>
      </c>
      <c r="E2269" s="1">
        <v>0.70833333333333337</v>
      </c>
      <c r="F2269" t="str">
        <f>IF(AND(AllData[[#This Row],[Time]]&lt;0.5, AllData[[#This Row],[Time]]&gt;0.17)=TRUE, "Morning", IF(AND(AllData[[#This Row],[Time]]&lt;0.75, AllData[[#This Row],[Time]]&gt;=0.5)=TRUE, "Afternoon", IF(AND(AllData[[#This Row],[Time]]&lt;1, AllData[[#This Row],[Time]]&gt;=0.75)=TRUE, "Evening", "Night")))</f>
        <v>Afternoon</v>
      </c>
      <c r="G2269" t="str">
        <f>_xlfn.XLOOKUP(AllData[[#This Row],[Location Name]], Locations[Location Name],Locations[Group As])</f>
        <v>Stour Newbold Mill</v>
      </c>
      <c r="H2269" t="e" vm="1">
        <f>_xlfn.XLOOKUP(AllData[[#This Row],[Site Name]],LocationsKey[Site Name],LocationsKey[District])</f>
        <v>#VALUE!</v>
      </c>
      <c r="I2269" t="e" vm="27">
        <f>_xlfn.XLOOKUP(AllData[[#This Row],[Site Name]],LocationsKey[Site Name],LocationsKey[Town])</f>
        <v>#VALUE!</v>
      </c>
      <c r="J2269" t="str">
        <f>_xlfn.XLOOKUP(AllData[[#This Row],[Site Name]],LocationsKey[Site Name], LocationsKey[Waterway])</f>
        <v>Stour</v>
      </c>
      <c r="K2269" t="s">
        <v>141</v>
      </c>
      <c r="L2269">
        <v>52.113469000000002</v>
      </c>
      <c r="M2269" s="108">
        <v>-1.6333439999999999</v>
      </c>
      <c r="N2269" t="s">
        <v>31</v>
      </c>
      <c r="O2269">
        <v>668</v>
      </c>
      <c r="P2269">
        <v>16.399999999999999</v>
      </c>
      <c r="Q2269">
        <v>10</v>
      </c>
      <c r="R2269" s="141" t="str">
        <f>IF(AllData[[#This Row],[Nitrate (PPM)]]&gt;2, "Very high", IF(AllData[[#This Row],[Nitrate (PPM)]]&gt;1, "High", IF(AllData[[#This Row],[Nitrate (PPM)]]&gt;0.5, "Some evidence", IF(AllData[[#This Row],[Nitrate (PPM)]]&gt;=0, "No evidence"))))</f>
        <v>Very high</v>
      </c>
      <c r="S2269" s="4">
        <v>0.79</v>
      </c>
      <c r="T2269" s="7" t="str">
        <f>IF(AllData[[#This Row],[Phosphate (PPM)]]&gt;0.5, "Very high", IF(AllData[[#This Row],[Phosphate (PPM)]]&gt;0.1, "High", IF(AllData[[#This Row],[Phosphate (PPM)]]&gt;0.05, "Some evidence", IF(AllData[[#This Row],[Phosphate (PPM)]]&lt;=0.05, "No Evidence", ""))))</f>
        <v>Very high</v>
      </c>
      <c r="U2269">
        <v>2.1</v>
      </c>
      <c r="V2269" t="s">
        <v>180</v>
      </c>
    </row>
    <row r="2270" spans="1:22" x14ac:dyDescent="0.35">
      <c r="A2270" t="s">
        <v>177</v>
      </c>
      <c r="B2270" s="143">
        <v>45187</v>
      </c>
      <c r="C2270" s="2" t="str" cm="1">
        <f t="array" ref="C227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0">
        <f>YEAR(AllData[[#This Row],[Date]])</f>
        <v>2023</v>
      </c>
      <c r="E2270" s="1">
        <v>0.72916666666666663</v>
      </c>
      <c r="F2270" t="str">
        <f>IF(AND(AllData[[#This Row],[Time]]&lt;0.5, AllData[[#This Row],[Time]]&gt;0.17)=TRUE, "Morning", IF(AND(AllData[[#This Row],[Time]]&lt;0.75, AllData[[#This Row],[Time]]&gt;=0.5)=TRUE, "Afternoon", IF(AND(AllData[[#This Row],[Time]]&lt;1, AllData[[#This Row],[Time]]&gt;=0.75)=TRUE, "Evening", "Night")))</f>
        <v>Afternoon</v>
      </c>
      <c r="G2270" t="str">
        <f>_xlfn.XLOOKUP(AllData[[#This Row],[Location Name]], Locations[Location Name],Locations[Group As])</f>
        <v>Barton</v>
      </c>
      <c r="H2270" t="e" vm="1">
        <f>_xlfn.XLOOKUP(AllData[[#This Row],[Site Name]],LocationsKey[Site Name],LocationsKey[District])</f>
        <v>#VALUE!</v>
      </c>
      <c r="I2270" t="str">
        <f>_xlfn.XLOOKUP(AllData[[#This Row],[Site Name]],LocationsKey[Site Name],LocationsKey[Town])</f>
        <v>Barton</v>
      </c>
      <c r="J2270" t="str">
        <f>_xlfn.XLOOKUP(AllData[[#This Row],[Site Name]],LocationsKey[Site Name], LocationsKey[Waterway])</f>
        <v>Avon</v>
      </c>
      <c r="K2270" t="s">
        <v>51</v>
      </c>
      <c r="L2270">
        <v>52.161209999999997</v>
      </c>
      <c r="M2270" s="108">
        <v>-1.8301499999999999</v>
      </c>
      <c r="N2270" t="s">
        <v>31</v>
      </c>
      <c r="O2270">
        <v>872</v>
      </c>
      <c r="P2270">
        <v>17.100000000000001</v>
      </c>
      <c r="R2270" s="141"/>
      <c r="S2270" s="4">
        <v>0.66</v>
      </c>
      <c r="T2270" s="7" t="str">
        <f>IF(AllData[[#This Row],[Phosphate (PPM)]]&gt;0.5, "Very high", IF(AllData[[#This Row],[Phosphate (PPM)]]&gt;0.1, "High", IF(AllData[[#This Row],[Phosphate (PPM)]]&gt;0.05, "Some evidence", IF(AllData[[#This Row],[Phosphate (PPM)]]&lt;=0.05, "No Evidence", ""))))</f>
        <v>Very high</v>
      </c>
      <c r="U2270">
        <v>0</v>
      </c>
      <c r="V2270" t="s">
        <v>178</v>
      </c>
    </row>
    <row r="2271" spans="1:22" x14ac:dyDescent="0.35">
      <c r="A2271" t="s">
        <v>173</v>
      </c>
      <c r="B2271" s="143">
        <v>45186</v>
      </c>
      <c r="C2271" s="2" t="str" cm="1">
        <f t="array" ref="C227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1">
        <f>YEAR(AllData[[#This Row],[Date]])</f>
        <v>2023</v>
      </c>
      <c r="E2271" s="1">
        <v>0.50069444444444444</v>
      </c>
      <c r="F2271" t="str">
        <f>IF(AND(AllData[[#This Row],[Time]]&lt;0.5, AllData[[#This Row],[Time]]&gt;0.17)=TRUE, "Morning", IF(AND(AllData[[#This Row],[Time]]&lt;0.75, AllData[[#This Row],[Time]]&gt;=0.5)=TRUE, "Afternoon", IF(AND(AllData[[#This Row],[Time]]&lt;1, AllData[[#This Row],[Time]]&gt;=0.75)=TRUE, "Evening", "Night")))</f>
        <v>Afternoon</v>
      </c>
      <c r="G2271" t="str">
        <f>_xlfn.XLOOKUP(AllData[[#This Row],[Location Name]], Locations[Location Name],Locations[Group As])</f>
        <v>Carrant Bredon Rd</v>
      </c>
      <c r="H2271" t="e" vm="4">
        <f>_xlfn.XLOOKUP(AllData[[#This Row],[Site Name]],LocationsKey[Site Name],LocationsKey[District])</f>
        <v>#VALUE!</v>
      </c>
      <c r="I2271" t="e" vm="4">
        <f>_xlfn.XLOOKUP(AllData[[#This Row],[Site Name]],LocationsKey[Site Name],LocationsKey[Town])</f>
        <v>#VALUE!</v>
      </c>
      <c r="J2271" t="str">
        <f>_xlfn.XLOOKUP(AllData[[#This Row],[Site Name]],LocationsKey[Site Name], LocationsKey[Waterway])</f>
        <v>Carrant</v>
      </c>
      <c r="K2271" t="s">
        <v>91</v>
      </c>
      <c r="M2271" s="108"/>
      <c r="N2271" t="s">
        <v>25</v>
      </c>
      <c r="O2271">
        <v>661</v>
      </c>
      <c r="P2271">
        <v>16.600000000000001</v>
      </c>
      <c r="Q2271">
        <v>7</v>
      </c>
      <c r="R2271" s="141" t="str">
        <f>IF(AllData[[#This Row],[Nitrate (PPM)]]&gt;2, "Very high", IF(AllData[[#This Row],[Nitrate (PPM)]]&gt;1, "High", IF(AllData[[#This Row],[Nitrate (PPM)]]&gt;0.5, "Some evidence", IF(AllData[[#This Row],[Nitrate (PPM)]]&gt;=0, "No evidence"))))</f>
        <v>Very high</v>
      </c>
      <c r="S2271" s="4">
        <v>0.68</v>
      </c>
      <c r="T2271" s="7" t="str">
        <f>IF(AllData[[#This Row],[Phosphate (PPM)]]&gt;0.5, "Very high", IF(AllData[[#This Row],[Phosphate (PPM)]]&gt;0.1, "High", IF(AllData[[#This Row],[Phosphate (PPM)]]&gt;0.05, "Some evidence", IF(AllData[[#This Row],[Phosphate (PPM)]]&lt;=0.05, "No Evidence", ""))))</f>
        <v>Very high</v>
      </c>
      <c r="U2271">
        <v>0</v>
      </c>
    </row>
    <row r="2272" spans="1:22" x14ac:dyDescent="0.35">
      <c r="A2272" t="s">
        <v>172</v>
      </c>
      <c r="B2272" s="143">
        <v>45186</v>
      </c>
      <c r="C2272" s="2" t="str" cm="1">
        <f t="array" ref="C227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2">
        <f>YEAR(AllData[[#This Row],[Date]])</f>
        <v>2023</v>
      </c>
      <c r="E2272" s="1">
        <v>0.5</v>
      </c>
      <c r="F2272" t="str">
        <f>IF(AND(AllData[[#This Row],[Time]]&lt;0.5, AllData[[#This Row],[Time]]&gt;0.17)=TRUE, "Morning", IF(AND(AllData[[#This Row],[Time]]&lt;0.75, AllData[[#This Row],[Time]]&gt;=0.5)=TRUE, "Afternoon", IF(AND(AllData[[#This Row],[Time]]&lt;1, AllData[[#This Row],[Time]]&gt;=0.75)=TRUE, "Evening", "Night")))</f>
        <v>Afternoon</v>
      </c>
      <c r="G2272" t="str">
        <f>_xlfn.XLOOKUP(AllData[[#This Row],[Location Name]], Locations[Location Name],Locations[Group As])</f>
        <v>Hampton Wood</v>
      </c>
      <c r="H2272" t="e" vm="1">
        <f>_xlfn.XLOOKUP(AllData[[#This Row],[Site Name]],LocationsKey[Site Name],LocationsKey[District])</f>
        <v>#VALUE!</v>
      </c>
      <c r="I2272" t="e" vm="34">
        <f>_xlfn.XLOOKUP(AllData[[#This Row],[Site Name]],LocationsKey[Site Name],LocationsKey[Town])</f>
        <v>#VALUE!</v>
      </c>
      <c r="J2272" t="str">
        <f>_xlfn.XLOOKUP(AllData[[#This Row],[Site Name]],LocationsKey[Site Name], LocationsKey[Waterway])</f>
        <v>Avon</v>
      </c>
      <c r="K2272" t="s">
        <v>36</v>
      </c>
      <c r="L2272">
        <v>52.238149999999997</v>
      </c>
      <c r="M2272" s="108">
        <v>-1.6245799999999999</v>
      </c>
      <c r="N2272" t="s">
        <v>31</v>
      </c>
      <c r="O2272">
        <v>912</v>
      </c>
      <c r="P2272">
        <v>18.8</v>
      </c>
      <c r="Q2272">
        <v>6</v>
      </c>
      <c r="R2272" s="141" t="str">
        <f>IF(AllData[[#This Row],[Nitrate (PPM)]]&gt;2, "Very high", IF(AllData[[#This Row],[Nitrate (PPM)]]&gt;1, "High", IF(AllData[[#This Row],[Nitrate (PPM)]]&gt;0.5, "Some evidence", IF(AllData[[#This Row],[Nitrate (PPM)]]&gt;=0, "No evidence"))))</f>
        <v>Very high</v>
      </c>
      <c r="S2272" s="4">
        <v>0.62</v>
      </c>
      <c r="T2272" s="7" t="str">
        <f>IF(AllData[[#This Row],[Phosphate (PPM)]]&gt;0.5, "Very high", IF(AllData[[#This Row],[Phosphate (PPM)]]&gt;0.1, "High", IF(AllData[[#This Row],[Phosphate (PPM)]]&gt;0.05, "Some evidence", IF(AllData[[#This Row],[Phosphate (PPM)]]&lt;=0.05, "No Evidence", ""))))</f>
        <v>Very high</v>
      </c>
      <c r="U2272">
        <v>0</v>
      </c>
    </row>
    <row r="2273" spans="1:22" x14ac:dyDescent="0.35">
      <c r="A2273" t="s">
        <v>174</v>
      </c>
      <c r="B2273" s="143">
        <v>45186</v>
      </c>
      <c r="C2273" s="2" t="str" cm="1">
        <f t="array" ref="C227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3">
        <f>YEAR(AllData[[#This Row],[Date]])</f>
        <v>2023</v>
      </c>
      <c r="E2273" s="1">
        <v>0.52777777777777779</v>
      </c>
      <c r="F2273" t="str">
        <f>IF(AND(AllData[[#This Row],[Time]]&lt;0.5, AllData[[#This Row],[Time]]&gt;0.17)=TRUE, "Morning", IF(AND(AllData[[#This Row],[Time]]&lt;0.75, AllData[[#This Row],[Time]]&gt;=0.5)=TRUE, "Afternoon", IF(AND(AllData[[#This Row],[Time]]&lt;1, AllData[[#This Row],[Time]]&gt;=0.75)=TRUE, "Evening", "Night")))</f>
        <v>Afternoon</v>
      </c>
      <c r="G2273" t="str">
        <f>_xlfn.XLOOKUP(AllData[[#This Row],[Location Name]], Locations[Location Name],Locations[Group As])</f>
        <v>Hampton Lucy</v>
      </c>
      <c r="H2273" t="e" vm="1">
        <f>_xlfn.XLOOKUP(AllData[[#This Row],[Site Name]],LocationsKey[Site Name],LocationsKey[District])</f>
        <v>#VALUE!</v>
      </c>
      <c r="I2273" t="e" vm="33">
        <f>_xlfn.XLOOKUP(AllData[[#This Row],[Site Name]],LocationsKey[Site Name],LocationsKey[Town])</f>
        <v>#VALUE!</v>
      </c>
      <c r="J2273" t="str">
        <f>_xlfn.XLOOKUP(AllData[[#This Row],[Site Name]],LocationsKey[Site Name], LocationsKey[Waterway])</f>
        <v>Avon</v>
      </c>
      <c r="K2273" t="s">
        <v>39</v>
      </c>
      <c r="L2273">
        <v>52.211680000000001</v>
      </c>
      <c r="M2273" s="108">
        <v>-1.6244400000000001</v>
      </c>
      <c r="N2273" t="s">
        <v>25</v>
      </c>
      <c r="O2273">
        <v>854</v>
      </c>
      <c r="P2273">
        <v>18.600000000000001</v>
      </c>
      <c r="Q2273">
        <v>4</v>
      </c>
      <c r="R2273" s="141" t="str">
        <f>IF(AllData[[#This Row],[Nitrate (PPM)]]&gt;2, "Very high", IF(AllData[[#This Row],[Nitrate (PPM)]]&gt;1, "High", IF(AllData[[#This Row],[Nitrate (PPM)]]&gt;0.5, "Some evidence", IF(AllData[[#This Row],[Nitrate (PPM)]]&gt;=0, "No evidence"))))</f>
        <v>Very high</v>
      </c>
      <c r="S2273" s="4">
        <v>0.61</v>
      </c>
      <c r="T2273" s="7" t="str">
        <f>IF(AllData[[#This Row],[Phosphate (PPM)]]&gt;0.5, "Very high", IF(AllData[[#This Row],[Phosphate (PPM)]]&gt;0.1, "High", IF(AllData[[#This Row],[Phosphate (PPM)]]&gt;0.05, "Some evidence", IF(AllData[[#This Row],[Phosphate (PPM)]]&lt;=0.05, "No Evidence", ""))))</f>
        <v>Very high</v>
      </c>
      <c r="U2273">
        <v>0</v>
      </c>
    </row>
    <row r="2274" spans="1:22" x14ac:dyDescent="0.35">
      <c r="A2274" t="s">
        <v>175</v>
      </c>
      <c r="B2274" s="143">
        <v>45186</v>
      </c>
      <c r="C2274" s="2" t="str" cm="1">
        <f t="array" ref="C227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4">
        <f>YEAR(AllData[[#This Row],[Date]])</f>
        <v>2023</v>
      </c>
      <c r="E2274" s="1">
        <v>0.70833333333333337</v>
      </c>
      <c r="F2274" t="str">
        <f>IF(AND(AllData[[#This Row],[Time]]&lt;0.5, AllData[[#This Row],[Time]]&gt;0.17)=TRUE, "Morning", IF(AND(AllData[[#This Row],[Time]]&lt;0.75, AllData[[#This Row],[Time]]&gt;=0.5)=TRUE, "Afternoon", IF(AND(AllData[[#This Row],[Time]]&lt;1, AllData[[#This Row],[Time]]&gt;=0.75)=TRUE, "Evening", "Night")))</f>
        <v>Afternoon</v>
      </c>
      <c r="G2274" t="str">
        <f>_xlfn.XLOOKUP(AllData[[#This Row],[Location Name]], Locations[Location Name],Locations[Group As])</f>
        <v>Welford Boat Station</v>
      </c>
      <c r="H2274" t="e" vm="1">
        <f>_xlfn.XLOOKUP(AllData[[#This Row],[Site Name]],LocationsKey[Site Name],LocationsKey[District])</f>
        <v>#VALUE!</v>
      </c>
      <c r="I2274" t="e" vm="36">
        <f>_xlfn.XLOOKUP(AllData[[#This Row],[Site Name]],LocationsKey[Site Name],LocationsKey[Town])</f>
        <v>#VALUE!</v>
      </c>
      <c r="J2274" t="str">
        <f>_xlfn.XLOOKUP(AllData[[#This Row],[Site Name]],LocationsKey[Site Name], LocationsKey[Waterway])</f>
        <v>Avon</v>
      </c>
      <c r="K2274" t="s">
        <v>41</v>
      </c>
      <c r="L2274">
        <v>52.175240000000002</v>
      </c>
      <c r="M2274" s="108">
        <v>-1.7918700000000001</v>
      </c>
      <c r="N2274" t="s">
        <v>31</v>
      </c>
      <c r="O2274">
        <v>836</v>
      </c>
      <c r="P2274">
        <v>18.2</v>
      </c>
      <c r="Q2274">
        <v>4</v>
      </c>
      <c r="R2274" s="141" t="str">
        <f>IF(AllData[[#This Row],[Nitrate (PPM)]]&gt;2, "Very high", IF(AllData[[#This Row],[Nitrate (PPM)]]&gt;1, "High", IF(AllData[[#This Row],[Nitrate (PPM)]]&gt;0.5, "Some evidence", IF(AllData[[#This Row],[Nitrate (PPM)]]&gt;=0, "No evidence"))))</f>
        <v>Very high</v>
      </c>
      <c r="S2274" s="4">
        <v>0.65</v>
      </c>
      <c r="T2274" s="7" t="str">
        <f>IF(AllData[[#This Row],[Phosphate (PPM)]]&gt;0.5, "Very high", IF(AllData[[#This Row],[Phosphate (PPM)]]&gt;0.1, "High", IF(AllData[[#This Row],[Phosphate (PPM)]]&gt;0.05, "Some evidence", IF(AllData[[#This Row],[Phosphate (PPM)]]&lt;=0.05, "No Evidence", ""))))</f>
        <v>Very high</v>
      </c>
      <c r="U2274">
        <v>0</v>
      </c>
      <c r="V2274" t="s">
        <v>176</v>
      </c>
    </row>
    <row r="2275" spans="1:22" x14ac:dyDescent="0.35">
      <c r="A2275" t="s">
        <v>169</v>
      </c>
      <c r="B2275" s="143">
        <v>45185</v>
      </c>
      <c r="C2275" s="2" t="str" cm="1">
        <f t="array" ref="C227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5">
        <f>YEAR(AllData[[#This Row],[Date]])</f>
        <v>2023</v>
      </c>
      <c r="E2275" s="1">
        <v>0.44791666666666669</v>
      </c>
      <c r="F2275" t="str">
        <f>IF(AND(AllData[[#This Row],[Time]]&lt;0.5, AllData[[#This Row],[Time]]&gt;0.17)=TRUE, "Morning", IF(AND(AllData[[#This Row],[Time]]&lt;0.75, AllData[[#This Row],[Time]]&gt;=0.5)=TRUE, "Afternoon", IF(AND(AllData[[#This Row],[Time]]&lt;1, AllData[[#This Row],[Time]]&gt;=0.75)=TRUE, "Evening", "Night")))</f>
        <v>Morning</v>
      </c>
      <c r="G2275" t="str">
        <f>_xlfn.XLOOKUP(AllData[[#This Row],[Location Name]], Locations[Location Name],Locations[Group As])</f>
        <v>Pitch 16</v>
      </c>
      <c r="H2275" t="e" vm="1">
        <f>_xlfn.XLOOKUP(AllData[[#This Row],[Site Name]],LocationsKey[Site Name],LocationsKey[District])</f>
        <v>#VALUE!</v>
      </c>
      <c r="I2275" t="e" vm="12">
        <f>_xlfn.XLOOKUP(AllData[[#This Row],[Site Name]],LocationsKey[Site Name],LocationsKey[Town])</f>
        <v>#VALUE!</v>
      </c>
      <c r="J2275" t="str">
        <f>_xlfn.XLOOKUP(AllData[[#This Row],[Site Name]],LocationsKey[Site Name], LocationsKey[Waterway])</f>
        <v>Avon</v>
      </c>
      <c r="K2275" t="s">
        <v>71</v>
      </c>
      <c r="M2275" s="108"/>
      <c r="N2275" t="s">
        <v>31</v>
      </c>
      <c r="O2275">
        <v>966</v>
      </c>
      <c r="P2275">
        <v>18.600000000000001</v>
      </c>
      <c r="Q2275">
        <v>15</v>
      </c>
      <c r="R2275" s="141" t="str">
        <f>IF(AllData[[#This Row],[Nitrate (PPM)]]&gt;2, "Very high", IF(AllData[[#This Row],[Nitrate (PPM)]]&gt;1, "High", IF(AllData[[#This Row],[Nitrate (PPM)]]&gt;0.5, "Some evidence", IF(AllData[[#This Row],[Nitrate (PPM)]]&gt;=0, "No evidence"))))</f>
        <v>Very high</v>
      </c>
      <c r="S2275" s="4">
        <v>0.73</v>
      </c>
      <c r="T2275" s="7" t="str">
        <f>IF(AllData[[#This Row],[Phosphate (PPM)]]&gt;0.5, "Very high", IF(AllData[[#This Row],[Phosphate (PPM)]]&gt;0.1, "High", IF(AllData[[#This Row],[Phosphate (PPM)]]&gt;0.05, "Some evidence", IF(AllData[[#This Row],[Phosphate (PPM)]]&lt;=0.05, "No Evidence", ""))))</f>
        <v>Very high</v>
      </c>
      <c r="U2275">
        <v>1</v>
      </c>
    </row>
    <row r="2276" spans="1:22" x14ac:dyDescent="0.35">
      <c r="A2276" t="s">
        <v>170</v>
      </c>
      <c r="B2276" s="143">
        <v>45185</v>
      </c>
      <c r="C2276" s="2" t="str" cm="1">
        <f t="array" ref="C227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6">
        <f>YEAR(AllData[[#This Row],[Date]])</f>
        <v>2023</v>
      </c>
      <c r="E2276" s="1">
        <v>0.46180555555555558</v>
      </c>
      <c r="F2276" t="str">
        <f>IF(AND(AllData[[#This Row],[Time]]&lt;0.5, AllData[[#This Row],[Time]]&gt;0.17)=TRUE, "Morning", IF(AND(AllData[[#This Row],[Time]]&lt;0.75, AllData[[#This Row],[Time]]&gt;=0.5)=TRUE, "Afternoon", IF(AND(AllData[[#This Row],[Time]]&lt;1, AllData[[#This Row],[Time]]&gt;=0.75)=TRUE, "Evening", "Night")))</f>
        <v>Morning</v>
      </c>
      <c r="G2276" t="str">
        <f>_xlfn.XLOOKUP(AllData[[#This Row],[Location Name]], Locations[Location Name],Locations[Group As])</f>
        <v>Avonbank Drive</v>
      </c>
      <c r="H2276" t="e" vm="1">
        <f>_xlfn.XLOOKUP(AllData[[#This Row],[Site Name]],LocationsKey[Site Name],LocationsKey[District])</f>
        <v>#VALUE!</v>
      </c>
      <c r="I2276" t="e" vm="12">
        <f>_xlfn.XLOOKUP(AllData[[#This Row],[Site Name]],LocationsKey[Site Name],LocationsKey[Town])</f>
        <v>#VALUE!</v>
      </c>
      <c r="J2276" t="str">
        <f>_xlfn.XLOOKUP(AllData[[#This Row],[Site Name]],LocationsKey[Site Name], LocationsKey[Waterway])</f>
        <v>Avon</v>
      </c>
      <c r="K2276" t="s">
        <v>104</v>
      </c>
      <c r="L2276">
        <v>52.177</v>
      </c>
      <c r="M2276" s="108">
        <v>-1.736</v>
      </c>
      <c r="N2276" t="s">
        <v>68</v>
      </c>
      <c r="O2276">
        <v>921</v>
      </c>
      <c r="P2276">
        <v>18.2</v>
      </c>
      <c r="Q2276">
        <v>15</v>
      </c>
      <c r="R2276" s="141" t="str">
        <f>IF(AllData[[#This Row],[Nitrate (PPM)]]&gt;2, "Very high", IF(AllData[[#This Row],[Nitrate (PPM)]]&gt;1, "High", IF(AllData[[#This Row],[Nitrate (PPM)]]&gt;0.5, "Some evidence", IF(AllData[[#This Row],[Nitrate (PPM)]]&gt;=0, "No evidence"))))</f>
        <v>Very high</v>
      </c>
      <c r="S2276" s="4">
        <v>0.56000000000000005</v>
      </c>
      <c r="T2276" s="7" t="str">
        <f>IF(AllData[[#This Row],[Phosphate (PPM)]]&gt;0.5, "Very high", IF(AllData[[#This Row],[Phosphate (PPM)]]&gt;0.1, "High", IF(AllData[[#This Row],[Phosphate (PPM)]]&gt;0.05, "Some evidence", IF(AllData[[#This Row],[Phosphate (PPM)]]&lt;=0.05, "No Evidence", ""))))</f>
        <v>Very high</v>
      </c>
      <c r="U2276">
        <v>1</v>
      </c>
    </row>
    <row r="2277" spans="1:22" x14ac:dyDescent="0.35">
      <c r="A2277" t="s">
        <v>168</v>
      </c>
      <c r="B2277" s="143">
        <v>45185</v>
      </c>
      <c r="C2277" s="2" t="str" cm="1">
        <f t="array" ref="C227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7">
        <f>YEAR(AllData[[#This Row],[Date]])</f>
        <v>2023</v>
      </c>
      <c r="E2277" s="1">
        <v>0.41319444444444442</v>
      </c>
      <c r="F2277" t="str">
        <f>IF(AND(AllData[[#This Row],[Time]]&lt;0.5, AllData[[#This Row],[Time]]&gt;0.17)=TRUE, "Morning", IF(AND(AllData[[#This Row],[Time]]&lt;0.75, AllData[[#This Row],[Time]]&gt;=0.5)=TRUE, "Afternoon", IF(AND(AllData[[#This Row],[Time]]&lt;1, AllData[[#This Row],[Time]]&gt;=0.75)=TRUE, "Evening", "Night")))</f>
        <v>Morning</v>
      </c>
      <c r="G2277" t="str">
        <f>_xlfn.XLOOKUP(AllData[[#This Row],[Location Name]], Locations[Location Name],Locations[Group As])</f>
        <v>Twyning Fleet</v>
      </c>
      <c r="H2277" t="e" vm="4">
        <f>_xlfn.XLOOKUP(AllData[[#This Row],[Site Name]],LocationsKey[Site Name],LocationsKey[District])</f>
        <v>#VALUE!</v>
      </c>
      <c r="I2277" t="str">
        <f>_xlfn.XLOOKUP(AllData[[#This Row],[Site Name]],LocationsKey[Site Name],LocationsKey[Town])</f>
        <v>Twyning Green</v>
      </c>
      <c r="J2277" t="str">
        <f>_xlfn.XLOOKUP(AllData[[#This Row],[Site Name]],LocationsKey[Site Name], LocationsKey[Waterway])</f>
        <v>Avon</v>
      </c>
      <c r="K2277" t="s">
        <v>56</v>
      </c>
      <c r="L2277">
        <v>52.027113</v>
      </c>
      <c r="M2277" s="108">
        <v>-2.1406619999999998</v>
      </c>
      <c r="N2277" t="s">
        <v>31</v>
      </c>
      <c r="O2277">
        <v>1010</v>
      </c>
      <c r="P2277">
        <v>19.8</v>
      </c>
      <c r="Q2277">
        <v>10</v>
      </c>
      <c r="R2277" s="141" t="str">
        <f>IF(AllData[[#This Row],[Nitrate (PPM)]]&gt;2, "Very high", IF(AllData[[#This Row],[Nitrate (PPM)]]&gt;1, "High", IF(AllData[[#This Row],[Nitrate (PPM)]]&gt;0.5, "Some evidence", IF(AllData[[#This Row],[Nitrate (PPM)]]&gt;=0, "No evidence"))))</f>
        <v>Very high</v>
      </c>
      <c r="S2277" s="4">
        <v>1.25</v>
      </c>
      <c r="T2277" s="7" t="str">
        <f>IF(AllData[[#This Row],[Phosphate (PPM)]]&gt;0.5, "Very high", IF(AllData[[#This Row],[Phosphate (PPM)]]&gt;0.1, "High", IF(AllData[[#This Row],[Phosphate (PPM)]]&gt;0.05, "Some evidence", IF(AllData[[#This Row],[Phosphate (PPM)]]&lt;=0.05, "No Evidence", ""))))</f>
        <v>Very high</v>
      </c>
      <c r="U2277">
        <v>0</v>
      </c>
      <c r="V2277" t="s">
        <v>116</v>
      </c>
    </row>
    <row r="2278" spans="1:22" x14ac:dyDescent="0.35">
      <c r="A2278" t="s">
        <v>171</v>
      </c>
      <c r="B2278" s="143">
        <v>45185</v>
      </c>
      <c r="C2278" s="2" t="str" cm="1">
        <f t="array" ref="C227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8">
        <f>YEAR(AllData[[#This Row],[Date]])</f>
        <v>2023</v>
      </c>
      <c r="E2278" s="1">
        <v>0.6333333333333333</v>
      </c>
      <c r="F2278" t="str">
        <f>IF(AND(AllData[[#This Row],[Time]]&lt;0.5, AllData[[#This Row],[Time]]&gt;0.17)=TRUE, "Morning", IF(AND(AllData[[#This Row],[Time]]&lt;0.75, AllData[[#This Row],[Time]]&gt;=0.5)=TRUE, "Afternoon", IF(AND(AllData[[#This Row],[Time]]&lt;1, AllData[[#This Row],[Time]]&gt;=0.75)=TRUE, "Evening", "Night")))</f>
        <v>Afternoon</v>
      </c>
      <c r="G2278" t="str">
        <f>_xlfn.XLOOKUP(AllData[[#This Row],[Location Name]], Locations[Location Name],Locations[Group As])</f>
        <v>Abbey Mill</v>
      </c>
      <c r="H2278" t="e" vm="4">
        <f>_xlfn.XLOOKUP(AllData[[#This Row],[Site Name]],LocationsKey[Site Name],LocationsKey[District])</f>
        <v>#VALUE!</v>
      </c>
      <c r="I2278" t="e" vm="4">
        <f>_xlfn.XLOOKUP(AllData[[#This Row],[Site Name]],LocationsKey[Site Name],LocationsKey[Town])</f>
        <v>#VALUE!</v>
      </c>
      <c r="J2278" t="str">
        <f>_xlfn.XLOOKUP(AllData[[#This Row],[Site Name]],LocationsKey[Site Name], LocationsKey[Waterway])</f>
        <v>Avon</v>
      </c>
      <c r="K2278" t="s">
        <v>24</v>
      </c>
      <c r="L2278">
        <v>51.991416000000001</v>
      </c>
      <c r="M2278" s="108">
        <v>-2.1629619999999998</v>
      </c>
      <c r="N2278" t="s">
        <v>25</v>
      </c>
      <c r="P2278">
        <v>20</v>
      </c>
      <c r="Q2278">
        <v>5</v>
      </c>
      <c r="R2278" s="141" t="str">
        <f>IF(AllData[[#This Row],[Nitrate (PPM)]]&gt;2, "Very high", IF(AllData[[#This Row],[Nitrate (PPM)]]&gt;1, "High", IF(AllData[[#This Row],[Nitrate (PPM)]]&gt;0.5, "Some evidence", IF(AllData[[#This Row],[Nitrate (PPM)]]&gt;=0, "No evidence"))))</f>
        <v>Very high</v>
      </c>
      <c r="S2278" s="4">
        <v>1.1000000000000001</v>
      </c>
      <c r="T2278" s="7" t="str">
        <f>IF(AllData[[#This Row],[Phosphate (PPM)]]&gt;0.5, "Very high", IF(AllData[[#This Row],[Phosphate (PPM)]]&gt;0.1, "High", IF(AllData[[#This Row],[Phosphate (PPM)]]&gt;0.05, "Some evidence", IF(AllData[[#This Row],[Phosphate (PPM)]]&lt;=0.05, "No Evidence", ""))))</f>
        <v>Very high</v>
      </c>
      <c r="U2278">
        <v>0</v>
      </c>
    </row>
    <row r="2279" spans="1:22" x14ac:dyDescent="0.35">
      <c r="A2279" t="s">
        <v>160</v>
      </c>
      <c r="B2279" s="143">
        <v>45183</v>
      </c>
      <c r="C2279" s="2" t="str" cm="1">
        <f t="array" ref="C227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79">
        <f>YEAR(AllData[[#This Row],[Date]])</f>
        <v>2023</v>
      </c>
      <c r="E2279" s="1">
        <v>0.46736111111111112</v>
      </c>
      <c r="F2279" t="str">
        <f>IF(AND(AllData[[#This Row],[Time]]&lt;0.5, AllData[[#This Row],[Time]]&gt;0.17)=TRUE, "Morning", IF(AND(AllData[[#This Row],[Time]]&lt;0.75, AllData[[#This Row],[Time]]&gt;=0.5)=TRUE, "Afternoon", IF(AND(AllData[[#This Row],[Time]]&lt;1, AllData[[#This Row],[Time]]&gt;=0.75)=TRUE, "Evening", "Night")))</f>
        <v>Morning</v>
      </c>
      <c r="G2279" t="str">
        <f>_xlfn.XLOOKUP(AllData[[#This Row],[Location Name]], Locations[Location Name],Locations[Group As])</f>
        <v>Stour Shipston Mill Bridge</v>
      </c>
      <c r="H2279" t="e" vm="1">
        <f>_xlfn.XLOOKUP(AllData[[#This Row],[Site Name]],LocationsKey[Site Name],LocationsKey[District])</f>
        <v>#VALUE!</v>
      </c>
      <c r="I2279" t="e" vm="15">
        <f>_xlfn.XLOOKUP(AllData[[#This Row],[Site Name]],LocationsKey[Site Name],LocationsKey[Town])</f>
        <v>#VALUE!</v>
      </c>
      <c r="J2279" t="str">
        <f>_xlfn.XLOOKUP(AllData[[#This Row],[Site Name]],LocationsKey[Site Name], LocationsKey[Waterway])</f>
        <v>Stour</v>
      </c>
      <c r="K2279" t="s">
        <v>161</v>
      </c>
      <c r="L2279">
        <v>52.062075999999998</v>
      </c>
      <c r="M2279" s="108">
        <v>-1.621772</v>
      </c>
      <c r="N2279" t="s">
        <v>162</v>
      </c>
      <c r="O2279">
        <v>656</v>
      </c>
      <c r="P2279">
        <v>16.3</v>
      </c>
      <c r="Q2279">
        <v>10</v>
      </c>
      <c r="R2279" s="141" t="str">
        <f>IF(AllData[[#This Row],[Nitrate (PPM)]]&gt;2, "Very high", IF(AllData[[#This Row],[Nitrate (PPM)]]&gt;1, "High", IF(AllData[[#This Row],[Nitrate (PPM)]]&gt;0.5, "Some evidence", IF(AllData[[#This Row],[Nitrate (PPM)]]&gt;=0, "No evidence"))))</f>
        <v>Very high</v>
      </c>
      <c r="S2279" s="4">
        <v>0.55000000000000004</v>
      </c>
      <c r="T2279" s="7" t="str">
        <f>IF(AllData[[#This Row],[Phosphate (PPM)]]&gt;0.5, "Very high", IF(AllData[[#This Row],[Phosphate (PPM)]]&gt;0.1, "High", IF(AllData[[#This Row],[Phosphate (PPM)]]&gt;0.05, "Some evidence", IF(AllData[[#This Row],[Phosphate (PPM)]]&lt;=0.05, "No Evidence", ""))))</f>
        <v>Very high</v>
      </c>
      <c r="U2279">
        <v>0.5</v>
      </c>
    </row>
    <row r="2280" spans="1:22" x14ac:dyDescent="0.35">
      <c r="A2280" t="s">
        <v>166</v>
      </c>
      <c r="B2280" s="143">
        <v>45183</v>
      </c>
      <c r="C2280" s="2" t="str" cm="1">
        <f t="array" ref="C228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0">
        <f>YEAR(AllData[[#This Row],[Date]])</f>
        <v>2023</v>
      </c>
      <c r="E2280" s="1">
        <v>0.66666666666666663</v>
      </c>
      <c r="F2280" t="str">
        <f>IF(AND(AllData[[#This Row],[Time]]&lt;0.5, AllData[[#This Row],[Time]]&gt;0.17)=TRUE, "Morning", IF(AND(AllData[[#This Row],[Time]]&lt;0.75, AllData[[#This Row],[Time]]&gt;=0.5)=TRUE, "Afternoon", IF(AND(AllData[[#This Row],[Time]]&lt;1, AllData[[#This Row],[Time]]&gt;=0.75)=TRUE, "Evening", "Night")))</f>
        <v>Afternoon</v>
      </c>
      <c r="G2280" t="str">
        <f>_xlfn.XLOOKUP(AllData[[#This Row],[Location Name]], Locations[Location Name],Locations[Group As])</f>
        <v>Welford Boat Station</v>
      </c>
      <c r="H2280" t="e" vm="1">
        <f>_xlfn.XLOOKUP(AllData[[#This Row],[Site Name]],LocationsKey[Site Name],LocationsKey[District])</f>
        <v>#VALUE!</v>
      </c>
      <c r="I2280" t="e" vm="36">
        <f>_xlfn.XLOOKUP(AllData[[#This Row],[Site Name]],LocationsKey[Site Name],LocationsKey[Town])</f>
        <v>#VALUE!</v>
      </c>
      <c r="J2280" t="str">
        <f>_xlfn.XLOOKUP(AllData[[#This Row],[Site Name]],LocationsKey[Site Name], LocationsKey[Waterway])</f>
        <v>Avon</v>
      </c>
      <c r="K2280" t="s">
        <v>41</v>
      </c>
      <c r="L2280">
        <v>52.175240000000002</v>
      </c>
      <c r="M2280" s="108">
        <v>-1.7918700000000001</v>
      </c>
      <c r="N2280" t="s">
        <v>31</v>
      </c>
      <c r="O2280">
        <v>1026</v>
      </c>
      <c r="P2280">
        <v>18.8</v>
      </c>
      <c r="Q2280">
        <v>5</v>
      </c>
      <c r="R2280" s="141" t="str">
        <f>IF(AllData[[#This Row],[Nitrate (PPM)]]&gt;2, "Very high", IF(AllData[[#This Row],[Nitrate (PPM)]]&gt;1, "High", IF(AllData[[#This Row],[Nitrate (PPM)]]&gt;0.5, "Some evidence", IF(AllData[[#This Row],[Nitrate (PPM)]]&gt;=0, "No evidence"))))</f>
        <v>Very high</v>
      </c>
      <c r="S2280" s="4">
        <v>0.56999999999999995</v>
      </c>
      <c r="T2280" s="7" t="str">
        <f>IF(AllData[[#This Row],[Phosphate (PPM)]]&gt;0.5, "Very high", IF(AllData[[#This Row],[Phosphate (PPM)]]&gt;0.1, "High", IF(AllData[[#This Row],[Phosphate (PPM)]]&gt;0.05, "Some evidence", IF(AllData[[#This Row],[Phosphate (PPM)]]&lt;=0.05, "No Evidence", ""))))</f>
        <v>Very high</v>
      </c>
      <c r="U2280">
        <v>0</v>
      </c>
      <c r="V2280" t="s">
        <v>167</v>
      </c>
    </row>
    <row r="2281" spans="1:22" x14ac:dyDescent="0.35">
      <c r="A2281" t="s">
        <v>163</v>
      </c>
      <c r="B2281" s="143">
        <v>45183</v>
      </c>
      <c r="C2281" s="2" t="str" cm="1">
        <f t="array" ref="C228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1">
        <f>YEAR(AllData[[#This Row],[Date]])</f>
        <v>2023</v>
      </c>
      <c r="E2281" s="1">
        <v>0.5</v>
      </c>
      <c r="F2281" t="str">
        <f>IF(AND(AllData[[#This Row],[Time]]&lt;0.5, AllData[[#This Row],[Time]]&gt;0.17)=TRUE, "Morning", IF(AND(AllData[[#This Row],[Time]]&lt;0.75, AllData[[#This Row],[Time]]&gt;=0.5)=TRUE, "Afternoon", IF(AND(AllData[[#This Row],[Time]]&lt;1, AllData[[#This Row],[Time]]&gt;=0.75)=TRUE, "Evening", "Night")))</f>
        <v>Afternoon</v>
      </c>
      <c r="G2281" t="str">
        <f>_xlfn.XLOOKUP(AllData[[#This Row],[Location Name]], Locations[Location Name],Locations[Group As])</f>
        <v>Preston-on-Stour River Bridge</v>
      </c>
      <c r="H2281" t="e" vm="1">
        <f>_xlfn.XLOOKUP(AllData[[#This Row],[Site Name]],LocationsKey[Site Name],LocationsKey[District])</f>
        <v>#VALUE!</v>
      </c>
      <c r="I2281" t="e" vm="20">
        <f>_xlfn.XLOOKUP(AllData[[#This Row],[Site Name]],LocationsKey[Site Name],LocationsKey[Town])</f>
        <v>#VALUE!</v>
      </c>
      <c r="J2281" t="str">
        <f>_xlfn.XLOOKUP(AllData[[#This Row],[Site Name]],LocationsKey[Site Name], LocationsKey[Waterway])</f>
        <v>Stour</v>
      </c>
      <c r="K2281" t="s">
        <v>164</v>
      </c>
      <c r="L2281">
        <v>52.146673999999997</v>
      </c>
      <c r="M2281" s="108">
        <v>-1.6993199999999999</v>
      </c>
      <c r="N2281" t="s">
        <v>31</v>
      </c>
      <c r="O2281">
        <v>717</v>
      </c>
      <c r="P2281">
        <v>17.7</v>
      </c>
      <c r="Q2281">
        <v>5</v>
      </c>
      <c r="R2281" s="141" t="str">
        <f>IF(AllData[[#This Row],[Nitrate (PPM)]]&gt;2, "Very high", IF(AllData[[#This Row],[Nitrate (PPM)]]&gt;1, "High", IF(AllData[[#This Row],[Nitrate (PPM)]]&gt;0.5, "Some evidence", IF(AllData[[#This Row],[Nitrate (PPM)]]&gt;=0, "No evidence"))))</f>
        <v>Very high</v>
      </c>
      <c r="S2281" s="4">
        <v>0.6</v>
      </c>
      <c r="T2281" s="7" t="str">
        <f>IF(AllData[[#This Row],[Phosphate (PPM)]]&gt;0.5, "Very high", IF(AllData[[#This Row],[Phosphate (PPM)]]&gt;0.1, "High", IF(AllData[[#This Row],[Phosphate (PPM)]]&gt;0.05, "Some evidence", IF(AllData[[#This Row],[Phosphate (PPM)]]&lt;=0.05, "No Evidence", ""))))</f>
        <v>Very high</v>
      </c>
      <c r="U2281">
        <v>5</v>
      </c>
      <c r="V2281" t="s">
        <v>165</v>
      </c>
    </row>
    <row r="2282" spans="1:22" x14ac:dyDescent="0.35">
      <c r="A2282" t="s">
        <v>156</v>
      </c>
      <c r="B2282" s="143">
        <v>45182</v>
      </c>
      <c r="C2282" s="2" t="str" cm="1">
        <f t="array" ref="C228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2">
        <f>YEAR(AllData[[#This Row],[Date]])</f>
        <v>2023</v>
      </c>
      <c r="E2282" s="1">
        <v>0.67500000000000004</v>
      </c>
      <c r="F2282" t="str">
        <f>IF(AND(AllData[[#This Row],[Time]]&lt;0.5, AllData[[#This Row],[Time]]&gt;0.17)=TRUE, "Morning", IF(AND(AllData[[#This Row],[Time]]&lt;0.75, AllData[[#This Row],[Time]]&gt;=0.5)=TRUE, "Afternoon", IF(AND(AllData[[#This Row],[Time]]&lt;1, AllData[[#This Row],[Time]]&gt;=0.75)=TRUE, "Evening", "Night")))</f>
        <v>Afternoon</v>
      </c>
      <c r="G2282" t="str">
        <f>_xlfn.XLOOKUP(AllData[[#This Row],[Location Name]], Locations[Location Name],Locations[Group As])</f>
        <v>Stour Newbold Mill</v>
      </c>
      <c r="H2282" t="e" vm="1">
        <f>_xlfn.XLOOKUP(AllData[[#This Row],[Site Name]],LocationsKey[Site Name],LocationsKey[District])</f>
        <v>#VALUE!</v>
      </c>
      <c r="I2282" t="e" vm="27">
        <f>_xlfn.XLOOKUP(AllData[[#This Row],[Site Name]],LocationsKey[Site Name],LocationsKey[Town])</f>
        <v>#VALUE!</v>
      </c>
      <c r="J2282" t="str">
        <f>_xlfn.XLOOKUP(AllData[[#This Row],[Site Name]],LocationsKey[Site Name], LocationsKey[Waterway])</f>
        <v>Stour</v>
      </c>
      <c r="K2282" t="s">
        <v>157</v>
      </c>
      <c r="L2282">
        <v>52.113387000000003</v>
      </c>
      <c r="M2282" s="108">
        <v>-1.6333120000000001</v>
      </c>
      <c r="N2282" t="s">
        <v>158</v>
      </c>
      <c r="O2282">
        <v>729</v>
      </c>
      <c r="P2282">
        <v>17.7</v>
      </c>
      <c r="Q2282">
        <v>5</v>
      </c>
      <c r="R2282" s="141" t="str">
        <f>IF(AllData[[#This Row],[Nitrate (PPM)]]&gt;2, "Very high", IF(AllData[[#This Row],[Nitrate (PPM)]]&gt;1, "High", IF(AllData[[#This Row],[Nitrate (PPM)]]&gt;0.5, "Some evidence", IF(AllData[[#This Row],[Nitrate (PPM)]]&gt;=0, "No evidence"))))</f>
        <v>Very high</v>
      </c>
      <c r="S2282" s="4">
        <v>0.78</v>
      </c>
      <c r="T2282" s="7" t="str">
        <f>IF(AllData[[#This Row],[Phosphate (PPM)]]&gt;0.5, "Very high", IF(AllData[[#This Row],[Phosphate (PPM)]]&gt;0.1, "High", IF(AllData[[#This Row],[Phosphate (PPM)]]&gt;0.05, "Some evidence", IF(AllData[[#This Row],[Phosphate (PPM)]]&lt;=0.05, "No Evidence", ""))))</f>
        <v>Very high</v>
      </c>
      <c r="U2282">
        <v>2.1</v>
      </c>
      <c r="V2282" t="s">
        <v>159</v>
      </c>
    </row>
    <row r="2283" spans="1:22" x14ac:dyDescent="0.35">
      <c r="A2283" t="s">
        <v>154</v>
      </c>
      <c r="B2283" s="143">
        <v>45180</v>
      </c>
      <c r="C2283" s="2" t="str" cm="1">
        <f t="array" ref="C228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3">
        <f>YEAR(AllData[[#This Row],[Date]])</f>
        <v>2023</v>
      </c>
      <c r="E2283" s="1">
        <v>0.78472222222222221</v>
      </c>
      <c r="F2283" t="str">
        <f>IF(AND(AllData[[#This Row],[Time]]&lt;0.5, AllData[[#This Row],[Time]]&gt;0.17)=TRUE, "Morning", IF(AND(AllData[[#This Row],[Time]]&lt;0.75, AllData[[#This Row],[Time]]&gt;=0.5)=TRUE, "Afternoon", IF(AND(AllData[[#This Row],[Time]]&lt;1, AllData[[#This Row],[Time]]&gt;=0.75)=TRUE, "Evening", "Night")))</f>
        <v>Evening</v>
      </c>
      <c r="G2283" t="str">
        <f>_xlfn.XLOOKUP(AllData[[#This Row],[Location Name]], Locations[Location Name],Locations[Group As])</f>
        <v>Stour Shipston Mill Bridge</v>
      </c>
      <c r="H2283" t="e" vm="1">
        <f>_xlfn.XLOOKUP(AllData[[#This Row],[Site Name]],LocationsKey[Site Name],LocationsKey[District])</f>
        <v>#VALUE!</v>
      </c>
      <c r="I2283" t="e" vm="15">
        <f>_xlfn.XLOOKUP(AllData[[#This Row],[Site Name]],LocationsKey[Site Name],LocationsKey[Town])</f>
        <v>#VALUE!</v>
      </c>
      <c r="J2283" t="str">
        <f>_xlfn.XLOOKUP(AllData[[#This Row],[Site Name]],LocationsKey[Site Name], LocationsKey[Waterway])</f>
        <v>Stour</v>
      </c>
      <c r="K2283" t="s">
        <v>155</v>
      </c>
      <c r="L2283">
        <v>52.062027</v>
      </c>
      <c r="M2283" s="108">
        <v>-1.6216390000000001</v>
      </c>
      <c r="N2283" t="s">
        <v>25</v>
      </c>
      <c r="O2283">
        <v>678</v>
      </c>
      <c r="P2283">
        <v>20.100000000000001</v>
      </c>
      <c r="Q2283">
        <v>4</v>
      </c>
      <c r="R2283" s="141" t="str">
        <f>IF(AllData[[#This Row],[Nitrate (PPM)]]&gt;2, "Very high", IF(AllData[[#This Row],[Nitrate (PPM)]]&gt;1, "High", IF(AllData[[#This Row],[Nitrate (PPM)]]&gt;0.5, "Some evidence", IF(AllData[[#This Row],[Nitrate (PPM)]]&gt;=0, "No evidence"))))</f>
        <v>Very high</v>
      </c>
      <c r="S2283" s="4">
        <v>0.69</v>
      </c>
      <c r="T2283" s="7" t="str">
        <f>IF(AllData[[#This Row],[Phosphate (PPM)]]&gt;0.5, "Very high", IF(AllData[[#This Row],[Phosphate (PPM)]]&gt;0.1, "High", IF(AllData[[#This Row],[Phosphate (PPM)]]&gt;0.05, "Some evidence", IF(AllData[[#This Row],[Phosphate (PPM)]]&lt;=0.05, "No Evidence", ""))))</f>
        <v>Very high</v>
      </c>
      <c r="U2283">
        <v>0</v>
      </c>
    </row>
    <row r="2284" spans="1:22" x14ac:dyDescent="0.35">
      <c r="A2284" t="s">
        <v>153</v>
      </c>
      <c r="B2284" s="143">
        <v>45179</v>
      </c>
      <c r="C2284" s="2" t="str" cm="1">
        <f t="array" ref="C228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4">
        <f>YEAR(AllData[[#This Row],[Date]])</f>
        <v>2023</v>
      </c>
      <c r="E2284" s="1">
        <v>0.75486111111111109</v>
      </c>
      <c r="F2284" t="str">
        <f>IF(AND(AllData[[#This Row],[Time]]&lt;0.5, AllData[[#This Row],[Time]]&gt;0.17)=TRUE, "Morning", IF(AND(AllData[[#This Row],[Time]]&lt;0.75, AllData[[#This Row],[Time]]&gt;=0.5)=TRUE, "Afternoon", IF(AND(AllData[[#This Row],[Time]]&lt;1, AllData[[#This Row],[Time]]&gt;=0.75)=TRUE, "Evening", "Night")))</f>
        <v>Evening</v>
      </c>
      <c r="G2284" t="str">
        <f>_xlfn.XLOOKUP(AllData[[#This Row],[Location Name]], Locations[Location Name],Locations[Group As])</f>
        <v>Abbey Mill</v>
      </c>
      <c r="H2284" t="e" vm="4">
        <f>_xlfn.XLOOKUP(AllData[[#This Row],[Site Name]],LocationsKey[Site Name],LocationsKey[District])</f>
        <v>#VALUE!</v>
      </c>
      <c r="I2284" t="e" vm="4">
        <f>_xlfn.XLOOKUP(AllData[[#This Row],[Site Name]],LocationsKey[Site Name],LocationsKey[Town])</f>
        <v>#VALUE!</v>
      </c>
      <c r="J2284" t="str">
        <f>_xlfn.XLOOKUP(AllData[[#This Row],[Site Name]],LocationsKey[Site Name], LocationsKey[Waterway])</f>
        <v>Avon</v>
      </c>
      <c r="K2284" t="s">
        <v>27</v>
      </c>
      <c r="L2284">
        <v>51.99145</v>
      </c>
      <c r="M2284" s="108">
        <v>-2.1628319999999999</v>
      </c>
      <c r="N2284" t="s">
        <v>25</v>
      </c>
      <c r="O2284">
        <v>1020</v>
      </c>
      <c r="P2284">
        <v>23.3</v>
      </c>
      <c r="Q2284">
        <v>10</v>
      </c>
      <c r="R2284" s="141" t="str">
        <f>IF(AllData[[#This Row],[Nitrate (PPM)]]&gt;2, "Very high", IF(AllData[[#This Row],[Nitrate (PPM)]]&gt;1, "High", IF(AllData[[#This Row],[Nitrate (PPM)]]&gt;0.5, "Some evidence", IF(AllData[[#This Row],[Nitrate (PPM)]]&gt;=0, "No evidence"))))</f>
        <v>Very high</v>
      </c>
      <c r="S2284" s="4">
        <v>0.97</v>
      </c>
      <c r="T2284" s="7" t="str">
        <f>IF(AllData[[#This Row],[Phosphate (PPM)]]&gt;0.5, "Very high", IF(AllData[[#This Row],[Phosphate (PPM)]]&gt;0.1, "High", IF(AllData[[#This Row],[Phosphate (PPM)]]&gt;0.05, "Some evidence", IF(AllData[[#This Row],[Phosphate (PPM)]]&lt;=0.05, "No Evidence", ""))))</f>
        <v>Very high</v>
      </c>
      <c r="U2284">
        <v>0</v>
      </c>
    </row>
    <row r="2285" spans="1:22" x14ac:dyDescent="0.35">
      <c r="A2285" t="s">
        <v>152</v>
      </c>
      <c r="B2285" s="143">
        <v>45179</v>
      </c>
      <c r="C2285" s="2" t="str" cm="1">
        <f t="array" ref="C228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5">
        <f>YEAR(AllData[[#This Row],[Date]])</f>
        <v>2023</v>
      </c>
      <c r="E2285" s="1">
        <v>0.52083333333333337</v>
      </c>
      <c r="F2285" t="str">
        <f>IF(AND(AllData[[#This Row],[Time]]&lt;0.5, AllData[[#This Row],[Time]]&gt;0.17)=TRUE, "Morning", IF(AND(AllData[[#This Row],[Time]]&lt;0.75, AllData[[#This Row],[Time]]&gt;=0.5)=TRUE, "Afternoon", IF(AND(AllData[[#This Row],[Time]]&lt;1, AllData[[#This Row],[Time]]&gt;=0.75)=TRUE, "Evening", "Night")))</f>
        <v>Afternoon</v>
      </c>
      <c r="G2285" t="str">
        <f>_xlfn.XLOOKUP(AllData[[#This Row],[Location Name]], Locations[Location Name],Locations[Group As])</f>
        <v>Hampton Lucy</v>
      </c>
      <c r="H2285" t="e" vm="1">
        <f>_xlfn.XLOOKUP(AllData[[#This Row],[Site Name]],LocationsKey[Site Name],LocationsKey[District])</f>
        <v>#VALUE!</v>
      </c>
      <c r="I2285" t="e" vm="33">
        <f>_xlfn.XLOOKUP(AllData[[#This Row],[Site Name]],LocationsKey[Site Name],LocationsKey[Town])</f>
        <v>#VALUE!</v>
      </c>
      <c r="J2285" t="str">
        <f>_xlfn.XLOOKUP(AllData[[#This Row],[Site Name]],LocationsKey[Site Name], LocationsKey[Waterway])</f>
        <v>Avon</v>
      </c>
      <c r="K2285" t="s">
        <v>39</v>
      </c>
      <c r="L2285">
        <v>52.211680000000001</v>
      </c>
      <c r="M2285" s="108">
        <v>-1.6244400000000001</v>
      </c>
      <c r="N2285" t="s">
        <v>25</v>
      </c>
      <c r="O2285">
        <v>964</v>
      </c>
      <c r="P2285">
        <v>21.6</v>
      </c>
      <c r="Q2285">
        <v>7</v>
      </c>
      <c r="R2285" s="141" t="str">
        <f>IF(AllData[[#This Row],[Nitrate (PPM)]]&gt;2, "Very high", IF(AllData[[#This Row],[Nitrate (PPM)]]&gt;1, "High", IF(AllData[[#This Row],[Nitrate (PPM)]]&gt;0.5, "Some evidence", IF(AllData[[#This Row],[Nitrate (PPM)]]&gt;=0, "No evidence"))))</f>
        <v>Very high</v>
      </c>
      <c r="S2285" s="4">
        <v>0.69</v>
      </c>
      <c r="T2285" s="7" t="str">
        <f>IF(AllData[[#This Row],[Phosphate (PPM)]]&gt;0.5, "Very high", IF(AllData[[#This Row],[Phosphate (PPM)]]&gt;0.1, "High", IF(AllData[[#This Row],[Phosphate (PPM)]]&gt;0.05, "Some evidence", IF(AllData[[#This Row],[Phosphate (PPM)]]&lt;=0.05, "No Evidence", ""))))</f>
        <v>Very high</v>
      </c>
      <c r="U2285">
        <v>0</v>
      </c>
    </row>
    <row r="2286" spans="1:22" x14ac:dyDescent="0.35">
      <c r="A2286" t="s">
        <v>151</v>
      </c>
      <c r="B2286" s="143">
        <v>45179</v>
      </c>
      <c r="C2286" s="2" t="str" cm="1">
        <f t="array" ref="C228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6">
        <f>YEAR(AllData[[#This Row],[Date]])</f>
        <v>2023</v>
      </c>
      <c r="E2286" s="1">
        <v>0.4861111111111111</v>
      </c>
      <c r="F2286" t="str">
        <f>IF(AND(AllData[[#This Row],[Time]]&lt;0.5, AllData[[#This Row],[Time]]&gt;0.17)=TRUE, "Morning", IF(AND(AllData[[#This Row],[Time]]&lt;0.75, AllData[[#This Row],[Time]]&gt;=0.5)=TRUE, "Afternoon", IF(AND(AllData[[#This Row],[Time]]&lt;1, AllData[[#This Row],[Time]]&gt;=0.75)=TRUE, "Evening", "Night")))</f>
        <v>Morning</v>
      </c>
      <c r="G2286" t="str">
        <f>_xlfn.XLOOKUP(AllData[[#This Row],[Location Name]], Locations[Location Name],Locations[Group As])</f>
        <v>Hampton Wood</v>
      </c>
      <c r="H2286" t="e" vm="1">
        <f>_xlfn.XLOOKUP(AllData[[#This Row],[Site Name]],LocationsKey[Site Name],LocationsKey[District])</f>
        <v>#VALUE!</v>
      </c>
      <c r="I2286" t="e" vm="34">
        <f>_xlfn.XLOOKUP(AllData[[#This Row],[Site Name]],LocationsKey[Site Name],LocationsKey[Town])</f>
        <v>#VALUE!</v>
      </c>
      <c r="J2286" t="str">
        <f>_xlfn.XLOOKUP(AllData[[#This Row],[Site Name]],LocationsKey[Site Name], LocationsKey[Waterway])</f>
        <v>Avon</v>
      </c>
      <c r="K2286" t="s">
        <v>36</v>
      </c>
      <c r="L2286">
        <v>52.238149999999997</v>
      </c>
      <c r="M2286" s="108">
        <v>-1.6245799999999999</v>
      </c>
      <c r="N2286" t="s">
        <v>31</v>
      </c>
      <c r="O2286">
        <v>984</v>
      </c>
      <c r="P2286">
        <v>22.3</v>
      </c>
      <c r="Q2286">
        <v>6</v>
      </c>
      <c r="R2286" s="141" t="str">
        <f>IF(AllData[[#This Row],[Nitrate (PPM)]]&gt;2, "Very high", IF(AllData[[#This Row],[Nitrate (PPM)]]&gt;1, "High", IF(AllData[[#This Row],[Nitrate (PPM)]]&gt;0.5, "Some evidence", IF(AllData[[#This Row],[Nitrate (PPM)]]&gt;=0, "No evidence"))))</f>
        <v>Very high</v>
      </c>
      <c r="S2286" s="4">
        <v>0.5</v>
      </c>
      <c r="T2286" s="7" t="str">
        <f>IF(AllData[[#This Row],[Phosphate (PPM)]]&gt;0.5, "Very high", IF(AllData[[#This Row],[Phosphate (PPM)]]&gt;0.1, "High", IF(AllData[[#This Row],[Phosphate (PPM)]]&gt;0.05, "Some evidence", IF(AllData[[#This Row],[Phosphate (PPM)]]&lt;=0.05, "No Evidence", ""))))</f>
        <v>High</v>
      </c>
      <c r="U2286">
        <v>0</v>
      </c>
    </row>
    <row r="2287" spans="1:22" x14ac:dyDescent="0.35">
      <c r="A2287" t="s">
        <v>148</v>
      </c>
      <c r="B2287" s="143">
        <v>45178</v>
      </c>
      <c r="C2287" s="2" t="str" cm="1">
        <f t="array" ref="C228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7">
        <f>YEAR(AllData[[#This Row],[Date]])</f>
        <v>2023</v>
      </c>
      <c r="E2287" s="1">
        <v>0.46875</v>
      </c>
      <c r="F2287" t="str">
        <f>IF(AND(AllData[[#This Row],[Time]]&lt;0.5, AllData[[#This Row],[Time]]&gt;0.17)=TRUE, "Morning", IF(AND(AllData[[#This Row],[Time]]&lt;0.75, AllData[[#This Row],[Time]]&gt;=0.5)=TRUE, "Afternoon", IF(AND(AllData[[#This Row],[Time]]&lt;1, AllData[[#This Row],[Time]]&gt;=0.75)=TRUE, "Evening", "Night")))</f>
        <v>Morning</v>
      </c>
      <c r="G2287" t="str">
        <f>_xlfn.XLOOKUP(AllData[[#This Row],[Location Name]], Locations[Location Name],Locations[Group As])</f>
        <v>Avonbank Drive</v>
      </c>
      <c r="H2287" t="e" vm="1">
        <f>_xlfn.XLOOKUP(AllData[[#This Row],[Site Name]],LocationsKey[Site Name],LocationsKey[District])</f>
        <v>#VALUE!</v>
      </c>
      <c r="I2287" t="e" vm="12">
        <f>_xlfn.XLOOKUP(AllData[[#This Row],[Site Name]],LocationsKey[Site Name],LocationsKey[Town])</f>
        <v>#VALUE!</v>
      </c>
      <c r="J2287" t="str">
        <f>_xlfn.XLOOKUP(AllData[[#This Row],[Site Name]],LocationsKey[Site Name], LocationsKey[Waterway])</f>
        <v>Avon</v>
      </c>
      <c r="K2287" t="s">
        <v>104</v>
      </c>
      <c r="L2287">
        <v>52.177</v>
      </c>
      <c r="M2287" s="108">
        <v>-1.736</v>
      </c>
      <c r="N2287" t="s">
        <v>68</v>
      </c>
      <c r="O2287">
        <v>1030</v>
      </c>
      <c r="P2287">
        <v>22.7</v>
      </c>
      <c r="Q2287">
        <v>15</v>
      </c>
      <c r="R2287" s="141" t="str">
        <f>IF(AllData[[#This Row],[Nitrate (PPM)]]&gt;2, "Very high", IF(AllData[[#This Row],[Nitrate (PPM)]]&gt;1, "High", IF(AllData[[#This Row],[Nitrate (PPM)]]&gt;0.5, "Some evidence", IF(AllData[[#This Row],[Nitrate (PPM)]]&gt;=0, "No evidence"))))</f>
        <v>Very high</v>
      </c>
      <c r="S2287" s="4">
        <v>0.67</v>
      </c>
      <c r="T2287" s="7" t="str">
        <f>IF(AllData[[#This Row],[Phosphate (PPM)]]&gt;0.5, "Very high", IF(AllData[[#This Row],[Phosphate (PPM)]]&gt;0.1, "High", IF(AllData[[#This Row],[Phosphate (PPM)]]&gt;0.05, "Some evidence", IF(AllData[[#This Row],[Phosphate (PPM)]]&lt;=0.05, "No Evidence", ""))))</f>
        <v>Very high</v>
      </c>
      <c r="U2287">
        <v>1</v>
      </c>
    </row>
    <row r="2288" spans="1:22" x14ac:dyDescent="0.35">
      <c r="A2288" t="s">
        <v>149</v>
      </c>
      <c r="B2288" s="143">
        <v>45178</v>
      </c>
      <c r="C2288" s="2" t="str" cm="1">
        <f t="array" ref="C228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8">
        <f>YEAR(AllData[[#This Row],[Date]])</f>
        <v>2023</v>
      </c>
      <c r="E2288" s="1">
        <v>0.4861111111111111</v>
      </c>
      <c r="F2288" t="str">
        <f>IF(AND(AllData[[#This Row],[Time]]&lt;0.5, AllData[[#This Row],[Time]]&gt;0.17)=TRUE, "Morning", IF(AND(AllData[[#This Row],[Time]]&lt;0.75, AllData[[#This Row],[Time]]&gt;=0.5)=TRUE, "Afternoon", IF(AND(AllData[[#This Row],[Time]]&lt;1, AllData[[#This Row],[Time]]&gt;=0.75)=TRUE, "Evening", "Night")))</f>
        <v>Morning</v>
      </c>
      <c r="G2288" t="str">
        <f>_xlfn.XLOOKUP(AllData[[#This Row],[Location Name]], Locations[Location Name],Locations[Group As])</f>
        <v>Pitch 16</v>
      </c>
      <c r="H2288" t="e" vm="1">
        <f>_xlfn.XLOOKUP(AllData[[#This Row],[Site Name]],LocationsKey[Site Name],LocationsKey[District])</f>
        <v>#VALUE!</v>
      </c>
      <c r="I2288" t="e" vm="12">
        <f>_xlfn.XLOOKUP(AllData[[#This Row],[Site Name]],LocationsKey[Site Name],LocationsKey[Town])</f>
        <v>#VALUE!</v>
      </c>
      <c r="J2288" t="str">
        <f>_xlfn.XLOOKUP(AllData[[#This Row],[Site Name]],LocationsKey[Site Name], LocationsKey[Waterway])</f>
        <v>Avon</v>
      </c>
      <c r="K2288" t="s">
        <v>71</v>
      </c>
      <c r="M2288" s="108"/>
      <c r="N2288" t="s">
        <v>31</v>
      </c>
      <c r="O2288">
        <v>1010</v>
      </c>
      <c r="P2288">
        <v>24.4</v>
      </c>
      <c r="Q2288">
        <v>15</v>
      </c>
      <c r="R2288" s="141" t="str">
        <f>IF(AllData[[#This Row],[Nitrate (PPM)]]&gt;2, "Very high", IF(AllData[[#This Row],[Nitrate (PPM)]]&gt;1, "High", IF(AllData[[#This Row],[Nitrate (PPM)]]&gt;0.5, "Some evidence", IF(AllData[[#This Row],[Nitrate (PPM)]]&gt;=0, "No evidence"))))</f>
        <v>Very high</v>
      </c>
      <c r="S2288" s="4">
        <v>0.69</v>
      </c>
      <c r="T2288" s="7" t="str">
        <f>IF(AllData[[#This Row],[Phosphate (PPM)]]&gt;0.5, "Very high", IF(AllData[[#This Row],[Phosphate (PPM)]]&gt;0.1, "High", IF(AllData[[#This Row],[Phosphate (PPM)]]&gt;0.05, "Some evidence", IF(AllData[[#This Row],[Phosphate (PPM)]]&lt;=0.05, "No Evidence", ""))))</f>
        <v>Very high</v>
      </c>
      <c r="U2288">
        <v>1</v>
      </c>
    </row>
    <row r="2289" spans="1:22" x14ac:dyDescent="0.35">
      <c r="A2289" t="s">
        <v>150</v>
      </c>
      <c r="B2289" s="143">
        <v>45178</v>
      </c>
      <c r="C2289" s="2" t="str" cm="1">
        <f t="array" ref="C228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89">
        <f>YEAR(AllData[[#This Row],[Date]])</f>
        <v>2023</v>
      </c>
      <c r="E2289" s="1">
        <v>0.58333333333333337</v>
      </c>
      <c r="F2289" t="str">
        <f>IF(AND(AllData[[#This Row],[Time]]&lt;0.5, AllData[[#This Row],[Time]]&gt;0.17)=TRUE, "Morning", IF(AND(AllData[[#This Row],[Time]]&lt;0.75, AllData[[#This Row],[Time]]&gt;=0.5)=TRUE, "Afternoon", IF(AND(AllData[[#This Row],[Time]]&lt;1, AllData[[#This Row],[Time]]&gt;=0.75)=TRUE, "Evening", "Night")))</f>
        <v>Afternoon</v>
      </c>
      <c r="G2289" t="str">
        <f>_xlfn.XLOOKUP(AllData[[#This Row],[Location Name]], Locations[Location Name],Locations[Group As])</f>
        <v>Carrant Bredon Rd</v>
      </c>
      <c r="H2289" t="e" vm="4">
        <f>_xlfn.XLOOKUP(AllData[[#This Row],[Site Name]],LocationsKey[Site Name],LocationsKey[District])</f>
        <v>#VALUE!</v>
      </c>
      <c r="I2289" t="e" vm="4">
        <f>_xlfn.XLOOKUP(AllData[[#This Row],[Site Name]],LocationsKey[Site Name],LocationsKey[Town])</f>
        <v>#VALUE!</v>
      </c>
      <c r="J2289" t="str">
        <f>_xlfn.XLOOKUP(AllData[[#This Row],[Site Name]],LocationsKey[Site Name], LocationsKey[Waterway])</f>
        <v>Carrant</v>
      </c>
      <c r="K2289" t="s">
        <v>91</v>
      </c>
      <c r="M2289" s="108"/>
      <c r="N2289" t="s">
        <v>25</v>
      </c>
      <c r="O2289">
        <v>684</v>
      </c>
      <c r="P2289">
        <v>21.3</v>
      </c>
      <c r="Q2289">
        <v>8</v>
      </c>
      <c r="R2289" s="141" t="str">
        <f>IF(AllData[[#This Row],[Nitrate (PPM)]]&gt;2, "Very high", IF(AllData[[#This Row],[Nitrate (PPM)]]&gt;1, "High", IF(AllData[[#This Row],[Nitrate (PPM)]]&gt;0.5, "Some evidence", IF(AllData[[#This Row],[Nitrate (PPM)]]&gt;=0, "No evidence"))))</f>
        <v>Very high</v>
      </c>
      <c r="S2289" s="4">
        <v>0.6</v>
      </c>
      <c r="T2289" s="7" t="str">
        <f>IF(AllData[[#This Row],[Phosphate (PPM)]]&gt;0.5, "Very high", IF(AllData[[#This Row],[Phosphate (PPM)]]&gt;0.1, "High", IF(AllData[[#This Row],[Phosphate (PPM)]]&gt;0.05, "Some evidence", IF(AllData[[#This Row],[Phosphate (PPM)]]&lt;=0.05, "No Evidence", ""))))</f>
        <v>Very high</v>
      </c>
      <c r="U2289">
        <v>0</v>
      </c>
    </row>
    <row r="2290" spans="1:22" x14ac:dyDescent="0.35">
      <c r="A2290" t="s">
        <v>143</v>
      </c>
      <c r="B2290" s="143">
        <v>45176</v>
      </c>
      <c r="C2290" s="2" t="str" cm="1">
        <f t="array" ref="C229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0">
        <f>YEAR(AllData[[#This Row],[Date]])</f>
        <v>2023</v>
      </c>
      <c r="E2290" s="1">
        <v>0.46527777777777779</v>
      </c>
      <c r="F2290" t="str">
        <f>IF(AND(AllData[[#This Row],[Time]]&lt;0.5, AllData[[#This Row],[Time]]&gt;0.17)=TRUE, "Morning", IF(AND(AllData[[#This Row],[Time]]&lt;0.75, AllData[[#This Row],[Time]]&gt;=0.5)=TRUE, "Afternoon", IF(AND(AllData[[#This Row],[Time]]&lt;1, AllData[[#This Row],[Time]]&gt;=0.75)=TRUE, "Evening", "Night")))</f>
        <v>Morning</v>
      </c>
      <c r="G2290" t="str">
        <f>_xlfn.XLOOKUP(AllData[[#This Row],[Location Name]], Locations[Location Name],Locations[Group As])</f>
        <v>Swilgate</v>
      </c>
      <c r="H2290" t="e" vm="4">
        <f>_xlfn.XLOOKUP(AllData[[#This Row],[Site Name]],LocationsKey[Site Name],LocationsKey[District])</f>
        <v>#VALUE!</v>
      </c>
      <c r="I2290" t="e" vm="4">
        <f>_xlfn.XLOOKUP(AllData[[#This Row],[Site Name]],LocationsKey[Site Name],LocationsKey[Town])</f>
        <v>#VALUE!</v>
      </c>
      <c r="J2290" t="str">
        <f>_xlfn.XLOOKUP(AllData[[#This Row],[Site Name]],LocationsKey[Site Name], LocationsKey[Waterway])</f>
        <v>Swilgate</v>
      </c>
      <c r="K2290" t="s">
        <v>85</v>
      </c>
      <c r="M2290" s="108"/>
      <c r="N2290" t="s">
        <v>25</v>
      </c>
      <c r="O2290">
        <v>111</v>
      </c>
      <c r="P2290">
        <v>20.2</v>
      </c>
      <c r="Q2290">
        <v>8</v>
      </c>
      <c r="R2290" s="141" t="str">
        <f>IF(AllData[[#This Row],[Nitrate (PPM)]]&gt;2, "Very high", IF(AllData[[#This Row],[Nitrate (PPM)]]&gt;1, "High", IF(AllData[[#This Row],[Nitrate (PPM)]]&gt;0.5, "Some evidence", IF(AllData[[#This Row],[Nitrate (PPM)]]&gt;=0, "No evidence"))))</f>
        <v>Very high</v>
      </c>
      <c r="S2290" s="4"/>
      <c r="T2290" s="7"/>
      <c r="U2290">
        <v>0</v>
      </c>
      <c r="V2290" t="s">
        <v>144</v>
      </c>
    </row>
    <row r="2291" spans="1:22" x14ac:dyDescent="0.35">
      <c r="A2291" t="s">
        <v>145</v>
      </c>
      <c r="B2291" s="143">
        <v>45176</v>
      </c>
      <c r="C2291" s="2" t="str" cm="1">
        <f t="array" ref="C229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1">
        <f>YEAR(AllData[[#This Row],[Date]])</f>
        <v>2023</v>
      </c>
      <c r="E2291" s="1">
        <v>0.55347222222222225</v>
      </c>
      <c r="F2291" t="str">
        <f>IF(AND(AllData[[#This Row],[Time]]&lt;0.5, AllData[[#This Row],[Time]]&gt;0.17)=TRUE, "Morning", IF(AND(AllData[[#This Row],[Time]]&lt;0.75, AllData[[#This Row],[Time]]&gt;=0.5)=TRUE, "Afternoon", IF(AND(AllData[[#This Row],[Time]]&lt;1, AllData[[#This Row],[Time]]&gt;=0.75)=TRUE, "Evening", "Night")))</f>
        <v>Afternoon</v>
      </c>
      <c r="G2291" t="str">
        <f>_xlfn.XLOOKUP(AllData[[#This Row],[Location Name]], Locations[Location Name],Locations[Group As])</f>
        <v>Preston-on-Stour River Bridge</v>
      </c>
      <c r="H2291" t="e" vm="1">
        <f>_xlfn.XLOOKUP(AllData[[#This Row],[Site Name]],LocationsKey[Site Name],LocationsKey[District])</f>
        <v>#VALUE!</v>
      </c>
      <c r="I2291" t="e" vm="20">
        <f>_xlfn.XLOOKUP(AllData[[#This Row],[Site Name]],LocationsKey[Site Name],LocationsKey[Town])</f>
        <v>#VALUE!</v>
      </c>
      <c r="J2291" t="str">
        <f>_xlfn.XLOOKUP(AllData[[#This Row],[Site Name]],LocationsKey[Site Name], LocationsKey[Waterway])</f>
        <v>Stour</v>
      </c>
      <c r="K2291" t="s">
        <v>146</v>
      </c>
      <c r="L2291">
        <v>52.146562000000003</v>
      </c>
      <c r="M2291" s="108">
        <v>-1.6991529999999999</v>
      </c>
      <c r="N2291" t="s">
        <v>31</v>
      </c>
      <c r="O2291">
        <v>712</v>
      </c>
      <c r="P2291">
        <v>21.4</v>
      </c>
      <c r="Q2291">
        <v>5</v>
      </c>
      <c r="R2291" s="141" t="str">
        <f>IF(AllData[[#This Row],[Nitrate (PPM)]]&gt;2, "Very high", IF(AllData[[#This Row],[Nitrate (PPM)]]&gt;1, "High", IF(AllData[[#This Row],[Nitrate (PPM)]]&gt;0.5, "Some evidence", IF(AllData[[#This Row],[Nitrate (PPM)]]&gt;=0, "No evidence"))))</f>
        <v>Very high</v>
      </c>
      <c r="S2291" s="4">
        <v>0.6</v>
      </c>
      <c r="T2291" s="7" t="str">
        <f>IF(AllData[[#This Row],[Phosphate (PPM)]]&gt;0.5, "Very high", IF(AllData[[#This Row],[Phosphate (PPM)]]&gt;0.1, "High", IF(AllData[[#This Row],[Phosphate (PPM)]]&gt;0.05, "Some evidence", IF(AllData[[#This Row],[Phosphate (PPM)]]&lt;=0.05, "No Evidence", ""))))</f>
        <v>Very high</v>
      </c>
      <c r="U2291">
        <v>4</v>
      </c>
      <c r="V2291" t="s">
        <v>147</v>
      </c>
    </row>
    <row r="2292" spans="1:22" x14ac:dyDescent="0.35">
      <c r="A2292" t="s">
        <v>140</v>
      </c>
      <c r="B2292" s="143">
        <v>45175</v>
      </c>
      <c r="C2292" s="2" t="str" cm="1">
        <f t="array" ref="C229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2">
        <f>YEAR(AllData[[#This Row],[Date]])</f>
        <v>2023</v>
      </c>
      <c r="E2292" s="1">
        <v>0.65694444444444444</v>
      </c>
      <c r="F2292" t="str">
        <f>IF(AND(AllData[[#This Row],[Time]]&lt;0.5, AllData[[#This Row],[Time]]&gt;0.17)=TRUE, "Morning", IF(AND(AllData[[#This Row],[Time]]&lt;0.75, AllData[[#This Row],[Time]]&gt;=0.5)=TRUE, "Afternoon", IF(AND(AllData[[#This Row],[Time]]&lt;1, AllData[[#This Row],[Time]]&gt;=0.75)=TRUE, "Evening", "Night")))</f>
        <v>Afternoon</v>
      </c>
      <c r="G2292" t="str">
        <f>_xlfn.XLOOKUP(AllData[[#This Row],[Location Name]], Locations[Location Name],Locations[Group As])</f>
        <v>Stour Newbold Mill</v>
      </c>
      <c r="H2292" t="e" vm="1">
        <f>_xlfn.XLOOKUP(AllData[[#This Row],[Site Name]],LocationsKey[Site Name],LocationsKey[District])</f>
        <v>#VALUE!</v>
      </c>
      <c r="I2292" t="e" vm="27">
        <f>_xlfn.XLOOKUP(AllData[[#This Row],[Site Name]],LocationsKey[Site Name],LocationsKey[Town])</f>
        <v>#VALUE!</v>
      </c>
      <c r="J2292" t="str">
        <f>_xlfn.XLOOKUP(AllData[[#This Row],[Site Name]],LocationsKey[Site Name], LocationsKey[Waterway])</f>
        <v>Stour</v>
      </c>
      <c r="K2292" t="s">
        <v>141</v>
      </c>
      <c r="L2292">
        <v>52.113444999999999</v>
      </c>
      <c r="M2292" s="108">
        <v>-1.6333759999999999</v>
      </c>
      <c r="N2292" t="s">
        <v>31</v>
      </c>
      <c r="O2292">
        <v>694</v>
      </c>
      <c r="P2292">
        <v>19.7</v>
      </c>
      <c r="Q2292">
        <v>10</v>
      </c>
      <c r="R2292" s="141" t="str">
        <f>IF(AllData[[#This Row],[Nitrate (PPM)]]&gt;2, "Very high", IF(AllData[[#This Row],[Nitrate (PPM)]]&gt;1, "High", IF(AllData[[#This Row],[Nitrate (PPM)]]&gt;0.5, "Some evidence", IF(AllData[[#This Row],[Nitrate (PPM)]]&gt;=0, "No evidence"))))</f>
        <v>Very high</v>
      </c>
      <c r="S2292" s="4">
        <v>0.56999999999999995</v>
      </c>
      <c r="T2292" s="7" t="str">
        <f>IF(AllData[[#This Row],[Phosphate (PPM)]]&gt;0.5, "Very high", IF(AllData[[#This Row],[Phosphate (PPM)]]&gt;0.1, "High", IF(AllData[[#This Row],[Phosphate (PPM)]]&gt;0.05, "Some evidence", IF(AllData[[#This Row],[Phosphate (PPM)]]&lt;=0.05, "No Evidence", ""))))</f>
        <v>Very high</v>
      </c>
      <c r="U2292">
        <v>2</v>
      </c>
      <c r="V2292" t="s">
        <v>142</v>
      </c>
    </row>
    <row r="2293" spans="1:22" x14ac:dyDescent="0.35">
      <c r="A2293" t="s">
        <v>139</v>
      </c>
      <c r="B2293" s="143">
        <v>45173</v>
      </c>
      <c r="C2293" s="2" t="str" cm="1">
        <f t="array" ref="C229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3">
        <f>YEAR(AllData[[#This Row],[Date]])</f>
        <v>2023</v>
      </c>
      <c r="E2293" s="1">
        <v>0.71180555555555558</v>
      </c>
      <c r="F2293" t="str">
        <f>IF(AND(AllData[[#This Row],[Time]]&lt;0.5, AllData[[#This Row],[Time]]&gt;0.17)=TRUE, "Morning", IF(AND(AllData[[#This Row],[Time]]&lt;0.75, AllData[[#This Row],[Time]]&gt;=0.5)=TRUE, "Afternoon", IF(AND(AllData[[#This Row],[Time]]&lt;1, AllData[[#This Row],[Time]]&gt;=0.75)=TRUE, "Evening", "Night")))</f>
        <v>Afternoon</v>
      </c>
      <c r="G2293" t="str">
        <f>_xlfn.XLOOKUP(AllData[[#This Row],[Location Name]], Locations[Location Name],Locations[Group As])</f>
        <v>Weston-on-Avon</v>
      </c>
      <c r="H2293" t="e" vm="1">
        <f>_xlfn.XLOOKUP(AllData[[#This Row],[Site Name]],LocationsKey[Site Name],LocationsKey[District])</f>
        <v>#VALUE!</v>
      </c>
      <c r="I2293" t="e" vm="35">
        <f>_xlfn.XLOOKUP(AllData[[#This Row],[Site Name]],LocationsKey[Site Name],LocationsKey[Town])</f>
        <v>#VALUE!</v>
      </c>
      <c r="J2293" t="str">
        <f>_xlfn.XLOOKUP(AllData[[#This Row],[Site Name]],LocationsKey[Site Name], LocationsKey[Waterway])</f>
        <v>Avon</v>
      </c>
      <c r="K2293" t="s">
        <v>43</v>
      </c>
      <c r="L2293">
        <v>52.167430000000003</v>
      </c>
      <c r="M2293" s="108">
        <v>-1.7744800000000001</v>
      </c>
      <c r="N2293" t="s">
        <v>31</v>
      </c>
      <c r="O2293">
        <v>976</v>
      </c>
      <c r="P2293">
        <v>21.6</v>
      </c>
      <c r="Q2293">
        <v>4</v>
      </c>
      <c r="R2293" s="141" t="str">
        <f>IF(AllData[[#This Row],[Nitrate (PPM)]]&gt;2, "Very high", IF(AllData[[#This Row],[Nitrate (PPM)]]&gt;1, "High", IF(AllData[[#This Row],[Nitrate (PPM)]]&gt;0.5, "Some evidence", IF(AllData[[#This Row],[Nitrate (PPM)]]&gt;=0, "No evidence"))))</f>
        <v>Very high</v>
      </c>
      <c r="S2293" s="4">
        <v>0.7</v>
      </c>
      <c r="T2293" s="7" t="str">
        <f>IF(AllData[[#This Row],[Phosphate (PPM)]]&gt;0.5, "Very high", IF(AllData[[#This Row],[Phosphate (PPM)]]&gt;0.1, "High", IF(AllData[[#This Row],[Phosphate (PPM)]]&gt;0.05, "Some evidence", IF(AllData[[#This Row],[Phosphate (PPM)]]&lt;=0.05, "No Evidence", ""))))</f>
        <v>Very high</v>
      </c>
      <c r="U2293">
        <v>0</v>
      </c>
    </row>
    <row r="2294" spans="1:22" x14ac:dyDescent="0.35">
      <c r="A2294" t="s">
        <v>136</v>
      </c>
      <c r="B2294" s="143">
        <v>45172</v>
      </c>
      <c r="C2294" s="2" t="str" cm="1">
        <f t="array" ref="C229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4">
        <f>YEAR(AllData[[#This Row],[Date]])</f>
        <v>2023</v>
      </c>
      <c r="E2294" s="1">
        <v>0.53125</v>
      </c>
      <c r="F2294" t="str">
        <f>IF(AND(AllData[[#This Row],[Time]]&lt;0.5, AllData[[#This Row],[Time]]&gt;0.17)=TRUE, "Morning", IF(AND(AllData[[#This Row],[Time]]&lt;0.75, AllData[[#This Row],[Time]]&gt;=0.5)=TRUE, "Afternoon", IF(AND(AllData[[#This Row],[Time]]&lt;1, AllData[[#This Row],[Time]]&gt;=0.75)=TRUE, "Evening", "Night")))</f>
        <v>Afternoon</v>
      </c>
      <c r="G2294" t="str">
        <f>_xlfn.XLOOKUP(AllData[[#This Row],[Location Name]], Locations[Location Name],Locations[Group As])</f>
        <v>Hampton Lucy</v>
      </c>
      <c r="H2294" t="e" vm="1">
        <f>_xlfn.XLOOKUP(AllData[[#This Row],[Site Name]],LocationsKey[Site Name],LocationsKey[District])</f>
        <v>#VALUE!</v>
      </c>
      <c r="I2294" t="e" vm="33">
        <f>_xlfn.XLOOKUP(AllData[[#This Row],[Site Name]],LocationsKey[Site Name],LocationsKey[Town])</f>
        <v>#VALUE!</v>
      </c>
      <c r="J2294" t="str">
        <f>_xlfn.XLOOKUP(AllData[[#This Row],[Site Name]],LocationsKey[Site Name], LocationsKey[Waterway])</f>
        <v>Avon</v>
      </c>
      <c r="K2294" t="s">
        <v>39</v>
      </c>
      <c r="L2294">
        <v>52.211680000000001</v>
      </c>
      <c r="M2294" s="108">
        <v>-1.6244400000000001</v>
      </c>
      <c r="N2294" t="s">
        <v>25</v>
      </c>
      <c r="O2294">
        <v>834</v>
      </c>
      <c r="P2294">
        <v>21.1</v>
      </c>
      <c r="Q2294">
        <v>6</v>
      </c>
      <c r="R2294" s="141" t="str">
        <f>IF(AllData[[#This Row],[Nitrate (PPM)]]&gt;2, "Very high", IF(AllData[[#This Row],[Nitrate (PPM)]]&gt;1, "High", IF(AllData[[#This Row],[Nitrate (PPM)]]&gt;0.5, "Some evidence", IF(AllData[[#This Row],[Nitrate (PPM)]]&gt;=0, "No evidence"))))</f>
        <v>Very high</v>
      </c>
      <c r="S2294" s="4">
        <v>0.53</v>
      </c>
      <c r="T2294" s="7" t="str">
        <f>IF(AllData[[#This Row],[Phosphate (PPM)]]&gt;0.5, "Very high", IF(AllData[[#This Row],[Phosphate (PPM)]]&gt;0.1, "High", IF(AllData[[#This Row],[Phosphate (PPM)]]&gt;0.05, "Some evidence", IF(AllData[[#This Row],[Phosphate (PPM)]]&lt;=0.05, "No Evidence", ""))))</f>
        <v>Very high</v>
      </c>
      <c r="U2294">
        <v>0</v>
      </c>
    </row>
    <row r="2295" spans="1:22" x14ac:dyDescent="0.35">
      <c r="A2295" t="s">
        <v>135</v>
      </c>
      <c r="B2295" s="143">
        <v>45172</v>
      </c>
      <c r="C2295" s="2" t="str" cm="1">
        <f t="array" ref="C229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5">
        <f>YEAR(AllData[[#This Row],[Date]])</f>
        <v>2023</v>
      </c>
      <c r="E2295" s="1">
        <v>0.49305555555555558</v>
      </c>
      <c r="F2295" t="str">
        <f>IF(AND(AllData[[#This Row],[Time]]&lt;0.5, AllData[[#This Row],[Time]]&gt;0.17)=TRUE, "Morning", IF(AND(AllData[[#This Row],[Time]]&lt;0.75, AllData[[#This Row],[Time]]&gt;=0.5)=TRUE, "Afternoon", IF(AND(AllData[[#This Row],[Time]]&lt;1, AllData[[#This Row],[Time]]&gt;=0.75)=TRUE, "Evening", "Night")))</f>
        <v>Morning</v>
      </c>
      <c r="G2295" t="str">
        <f>_xlfn.XLOOKUP(AllData[[#This Row],[Location Name]], Locations[Location Name],Locations[Group As])</f>
        <v>Hampton Wood</v>
      </c>
      <c r="H2295" t="e" vm="1">
        <f>_xlfn.XLOOKUP(AllData[[#This Row],[Site Name]],LocationsKey[Site Name],LocationsKey[District])</f>
        <v>#VALUE!</v>
      </c>
      <c r="I2295" t="e" vm="34">
        <f>_xlfn.XLOOKUP(AllData[[#This Row],[Site Name]],LocationsKey[Site Name],LocationsKey[Town])</f>
        <v>#VALUE!</v>
      </c>
      <c r="J2295" t="str">
        <f>_xlfn.XLOOKUP(AllData[[#This Row],[Site Name]],LocationsKey[Site Name], LocationsKey[Waterway])</f>
        <v>Avon</v>
      </c>
      <c r="K2295" t="s">
        <v>36</v>
      </c>
      <c r="L2295">
        <v>52.238149999999997</v>
      </c>
      <c r="M2295" s="108">
        <v>-1.6245799999999999</v>
      </c>
      <c r="N2295" t="s">
        <v>31</v>
      </c>
      <c r="O2295">
        <v>890</v>
      </c>
      <c r="P2295">
        <v>21.2</v>
      </c>
      <c r="Q2295">
        <v>5</v>
      </c>
      <c r="R2295" s="141" t="str">
        <f>IF(AllData[[#This Row],[Nitrate (PPM)]]&gt;2, "Very high", IF(AllData[[#This Row],[Nitrate (PPM)]]&gt;1, "High", IF(AllData[[#This Row],[Nitrate (PPM)]]&gt;0.5, "Some evidence", IF(AllData[[#This Row],[Nitrate (PPM)]]&gt;=0, "No evidence"))))</f>
        <v>Very high</v>
      </c>
      <c r="S2295" s="4">
        <v>0.52</v>
      </c>
      <c r="T2295" s="7" t="str">
        <f>IF(AllData[[#This Row],[Phosphate (PPM)]]&gt;0.5, "Very high", IF(AllData[[#This Row],[Phosphate (PPM)]]&gt;0.1, "High", IF(AllData[[#This Row],[Phosphate (PPM)]]&gt;0.05, "Some evidence", IF(AllData[[#This Row],[Phosphate (PPM)]]&lt;=0.05, "No Evidence", ""))))</f>
        <v>Very high</v>
      </c>
      <c r="U2295">
        <v>0</v>
      </c>
    </row>
    <row r="2296" spans="1:22" x14ac:dyDescent="0.35">
      <c r="A2296" t="s">
        <v>137</v>
      </c>
      <c r="B2296" s="143">
        <v>45172</v>
      </c>
      <c r="C2296" s="2" t="str" cm="1">
        <f t="array" ref="C229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6">
        <f>YEAR(AllData[[#This Row],[Date]])</f>
        <v>2023</v>
      </c>
      <c r="E2296" s="1">
        <v>0.75</v>
      </c>
      <c r="F2296" t="str">
        <f>IF(AND(AllData[[#This Row],[Time]]&lt;0.5, AllData[[#This Row],[Time]]&gt;0.17)=TRUE, "Morning", IF(AND(AllData[[#This Row],[Time]]&lt;0.75, AllData[[#This Row],[Time]]&gt;=0.5)=TRUE, "Afternoon", IF(AND(AllData[[#This Row],[Time]]&lt;1, AllData[[#This Row],[Time]]&gt;=0.75)=TRUE, "Evening", "Night")))</f>
        <v>Evening</v>
      </c>
      <c r="G2296" t="str">
        <f>_xlfn.XLOOKUP(AllData[[#This Row],[Location Name]], Locations[Location Name],Locations[Group As])</f>
        <v>Welford Boat Station</v>
      </c>
      <c r="H2296" t="e" vm="1">
        <f>_xlfn.XLOOKUP(AllData[[#This Row],[Site Name]],LocationsKey[Site Name],LocationsKey[District])</f>
        <v>#VALUE!</v>
      </c>
      <c r="I2296" t="e" vm="36">
        <f>_xlfn.XLOOKUP(AllData[[#This Row],[Site Name]],LocationsKey[Site Name],LocationsKey[Town])</f>
        <v>#VALUE!</v>
      </c>
      <c r="J2296" t="str">
        <f>_xlfn.XLOOKUP(AllData[[#This Row],[Site Name]],LocationsKey[Site Name], LocationsKey[Waterway])</f>
        <v>Avon</v>
      </c>
      <c r="K2296" t="s">
        <v>41</v>
      </c>
      <c r="L2296">
        <v>52.175240000000002</v>
      </c>
      <c r="M2296" s="108">
        <v>-1.7918700000000001</v>
      </c>
      <c r="N2296" t="s">
        <v>31</v>
      </c>
      <c r="O2296">
        <v>992</v>
      </c>
      <c r="P2296">
        <v>20.100000000000001</v>
      </c>
      <c r="Q2296">
        <v>4.5</v>
      </c>
      <c r="R2296" s="141" t="str">
        <f>IF(AllData[[#This Row],[Nitrate (PPM)]]&gt;2, "Very high", IF(AllData[[#This Row],[Nitrate (PPM)]]&gt;1, "High", IF(AllData[[#This Row],[Nitrate (PPM)]]&gt;0.5, "Some evidence", IF(AllData[[#This Row],[Nitrate (PPM)]]&gt;=0, "No evidence"))))</f>
        <v>Very high</v>
      </c>
      <c r="S2296" s="4">
        <v>0.54</v>
      </c>
      <c r="T2296" s="7" t="str">
        <f>IF(AllData[[#This Row],[Phosphate (PPM)]]&gt;0.5, "Very high", IF(AllData[[#This Row],[Phosphate (PPM)]]&gt;0.1, "High", IF(AllData[[#This Row],[Phosphate (PPM)]]&gt;0.05, "Some evidence", IF(AllData[[#This Row],[Phosphate (PPM)]]&lt;=0.05, "No Evidence", ""))))</f>
        <v>Very high</v>
      </c>
      <c r="U2296">
        <v>0</v>
      </c>
      <c r="V2296" t="s">
        <v>138</v>
      </c>
    </row>
    <row r="2297" spans="1:22" x14ac:dyDescent="0.35">
      <c r="A2297" t="s">
        <v>134</v>
      </c>
      <c r="B2297" s="143">
        <v>45171</v>
      </c>
      <c r="C2297" s="2" t="str" cm="1">
        <f t="array" ref="C229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7">
        <f>YEAR(AllData[[#This Row],[Date]])</f>
        <v>2023</v>
      </c>
      <c r="E2297" s="1">
        <v>0.625</v>
      </c>
      <c r="F2297" t="str">
        <f>IF(AND(AllData[[#This Row],[Time]]&lt;0.5, AllData[[#This Row],[Time]]&gt;0.17)=TRUE, "Morning", IF(AND(AllData[[#This Row],[Time]]&lt;0.75, AllData[[#This Row],[Time]]&gt;=0.5)=TRUE, "Afternoon", IF(AND(AllData[[#This Row],[Time]]&lt;1, AllData[[#This Row],[Time]]&gt;=0.75)=TRUE, "Evening", "Night")))</f>
        <v>Afternoon</v>
      </c>
      <c r="G2297" t="str">
        <f>_xlfn.XLOOKUP(AllData[[#This Row],[Location Name]], Locations[Location Name],Locations[Group As])</f>
        <v>Abbey Mill</v>
      </c>
      <c r="H2297" t="e" vm="4">
        <f>_xlfn.XLOOKUP(AllData[[#This Row],[Site Name]],LocationsKey[Site Name],LocationsKey[District])</f>
        <v>#VALUE!</v>
      </c>
      <c r="I2297" t="e" vm="4">
        <f>_xlfn.XLOOKUP(AllData[[#This Row],[Site Name]],LocationsKey[Site Name],LocationsKey[Town])</f>
        <v>#VALUE!</v>
      </c>
      <c r="J2297" t="str">
        <f>_xlfn.XLOOKUP(AllData[[#This Row],[Site Name]],LocationsKey[Site Name], LocationsKey[Waterway])</f>
        <v>Avon</v>
      </c>
      <c r="K2297" t="s">
        <v>27</v>
      </c>
      <c r="M2297" s="108"/>
      <c r="N2297" t="s">
        <v>25</v>
      </c>
      <c r="O2297">
        <v>1020</v>
      </c>
      <c r="P2297">
        <v>19.5</v>
      </c>
      <c r="Q2297">
        <v>10</v>
      </c>
      <c r="R2297" s="141" t="str">
        <f>IF(AllData[[#This Row],[Nitrate (PPM)]]&gt;2, "Very high", IF(AllData[[#This Row],[Nitrate (PPM)]]&gt;1, "High", IF(AllData[[#This Row],[Nitrate (PPM)]]&gt;0.5, "Some evidence", IF(AllData[[#This Row],[Nitrate (PPM)]]&gt;=0, "No evidence"))))</f>
        <v>Very high</v>
      </c>
      <c r="S2297" s="4">
        <v>1.08</v>
      </c>
      <c r="T2297" s="7" t="str">
        <f>IF(AllData[[#This Row],[Phosphate (PPM)]]&gt;0.5, "Very high", IF(AllData[[#This Row],[Phosphate (PPM)]]&gt;0.1, "High", IF(AllData[[#This Row],[Phosphate (PPM)]]&gt;0.05, "Some evidence", IF(AllData[[#This Row],[Phosphate (PPM)]]&lt;=0.05, "No Evidence", ""))))</f>
        <v>Very high</v>
      </c>
      <c r="U2297">
        <v>0</v>
      </c>
    </row>
    <row r="2298" spans="1:22" x14ac:dyDescent="0.35">
      <c r="A2298" t="s">
        <v>131</v>
      </c>
      <c r="B2298" s="143">
        <v>45171</v>
      </c>
      <c r="C2298" s="2" t="str" cm="1">
        <f t="array" ref="C229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8">
        <f>YEAR(AllData[[#This Row],[Date]])</f>
        <v>2023</v>
      </c>
      <c r="E2298" s="1">
        <v>0.45833333333333331</v>
      </c>
      <c r="F2298" t="str">
        <f>IF(AND(AllData[[#This Row],[Time]]&lt;0.5, AllData[[#This Row],[Time]]&gt;0.17)=TRUE, "Morning", IF(AND(AllData[[#This Row],[Time]]&lt;0.75, AllData[[#This Row],[Time]]&gt;=0.5)=TRUE, "Afternoon", IF(AND(AllData[[#This Row],[Time]]&lt;1, AllData[[#This Row],[Time]]&gt;=0.75)=TRUE, "Evening", "Night")))</f>
        <v>Morning</v>
      </c>
      <c r="G2298" t="str">
        <f>_xlfn.XLOOKUP(AllData[[#This Row],[Location Name]], Locations[Location Name],Locations[Group As])</f>
        <v>Avonbank Drive</v>
      </c>
      <c r="H2298" t="e" vm="1">
        <f>_xlfn.XLOOKUP(AllData[[#This Row],[Site Name]],LocationsKey[Site Name],LocationsKey[District])</f>
        <v>#VALUE!</v>
      </c>
      <c r="I2298" t="e" vm="12">
        <f>_xlfn.XLOOKUP(AllData[[#This Row],[Site Name]],LocationsKey[Site Name],LocationsKey[Town])</f>
        <v>#VALUE!</v>
      </c>
      <c r="J2298" t="str">
        <f>_xlfn.XLOOKUP(AllData[[#This Row],[Site Name]],LocationsKey[Site Name], LocationsKey[Waterway])</f>
        <v>Avon</v>
      </c>
      <c r="K2298" t="s">
        <v>104</v>
      </c>
      <c r="L2298">
        <v>52.177</v>
      </c>
      <c r="M2298" s="108">
        <v>-1.736</v>
      </c>
      <c r="N2298" t="s">
        <v>68</v>
      </c>
      <c r="O2298">
        <v>990</v>
      </c>
      <c r="P2298">
        <v>23.4</v>
      </c>
      <c r="Q2298">
        <v>10</v>
      </c>
      <c r="R2298" s="141" t="str">
        <f>IF(AllData[[#This Row],[Nitrate (PPM)]]&gt;2, "Very high", IF(AllData[[#This Row],[Nitrate (PPM)]]&gt;1, "High", IF(AllData[[#This Row],[Nitrate (PPM)]]&gt;0.5, "Some evidence", IF(AllData[[#This Row],[Nitrate (PPM)]]&gt;=0, "No evidence"))))</f>
        <v>Very high</v>
      </c>
      <c r="S2298" s="4">
        <v>0.51</v>
      </c>
      <c r="T2298" s="7" t="str">
        <f>IF(AllData[[#This Row],[Phosphate (PPM)]]&gt;0.5, "Very high", IF(AllData[[#This Row],[Phosphate (PPM)]]&gt;0.1, "High", IF(AllData[[#This Row],[Phosphate (PPM)]]&gt;0.05, "Some evidence", IF(AllData[[#This Row],[Phosphate (PPM)]]&lt;=0.05, "No Evidence", ""))))</f>
        <v>Very high</v>
      </c>
      <c r="U2298">
        <v>0.56999999999999995</v>
      </c>
    </row>
    <row r="2299" spans="1:22" x14ac:dyDescent="0.35">
      <c r="A2299" t="s">
        <v>132</v>
      </c>
      <c r="B2299" s="143">
        <v>45171</v>
      </c>
      <c r="C2299" s="2" t="str" cm="1">
        <f t="array" ref="C229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299">
        <f>YEAR(AllData[[#This Row],[Date]])</f>
        <v>2023</v>
      </c>
      <c r="E2299" s="1">
        <v>0.45833333333333331</v>
      </c>
      <c r="F2299" t="str">
        <f>IF(AND(AllData[[#This Row],[Time]]&lt;0.5, AllData[[#This Row],[Time]]&gt;0.17)=TRUE, "Morning", IF(AND(AllData[[#This Row],[Time]]&lt;0.75, AllData[[#This Row],[Time]]&gt;=0.5)=TRUE, "Afternoon", IF(AND(AllData[[#This Row],[Time]]&lt;1, AllData[[#This Row],[Time]]&gt;=0.75)=TRUE, "Evening", "Night")))</f>
        <v>Morning</v>
      </c>
      <c r="G2299" t="str">
        <f>_xlfn.XLOOKUP(AllData[[#This Row],[Location Name]], Locations[Location Name],Locations[Group As])</f>
        <v>Pitch 16</v>
      </c>
      <c r="H2299" t="e" vm="1">
        <f>_xlfn.XLOOKUP(AllData[[#This Row],[Site Name]],LocationsKey[Site Name],LocationsKey[District])</f>
        <v>#VALUE!</v>
      </c>
      <c r="I2299" t="e" vm="12">
        <f>_xlfn.XLOOKUP(AllData[[#This Row],[Site Name]],LocationsKey[Site Name],LocationsKey[Town])</f>
        <v>#VALUE!</v>
      </c>
      <c r="J2299" t="str">
        <f>_xlfn.XLOOKUP(AllData[[#This Row],[Site Name]],LocationsKey[Site Name], LocationsKey[Waterway])</f>
        <v>Avon</v>
      </c>
      <c r="K2299" t="s">
        <v>71</v>
      </c>
      <c r="M2299" s="108"/>
      <c r="N2299" t="s">
        <v>31</v>
      </c>
      <c r="O2299">
        <v>971</v>
      </c>
      <c r="P2299">
        <v>21.7</v>
      </c>
      <c r="Q2299">
        <v>10</v>
      </c>
      <c r="R2299" s="141" t="str">
        <f>IF(AllData[[#This Row],[Nitrate (PPM)]]&gt;2, "Very high", IF(AllData[[#This Row],[Nitrate (PPM)]]&gt;1, "High", IF(AllData[[#This Row],[Nitrate (PPM)]]&gt;0.5, "Some evidence", IF(AllData[[#This Row],[Nitrate (PPM)]]&gt;=0, "No evidence"))))</f>
        <v>Very high</v>
      </c>
      <c r="S2299" s="4">
        <v>0.45</v>
      </c>
      <c r="T2299" s="7" t="str">
        <f>IF(AllData[[#This Row],[Phosphate (PPM)]]&gt;0.5, "Very high", IF(AllData[[#This Row],[Phosphate (PPM)]]&gt;0.1, "High", IF(AllData[[#This Row],[Phosphate (PPM)]]&gt;0.05, "Some evidence", IF(AllData[[#This Row],[Phosphate (PPM)]]&lt;=0.05, "No Evidence", ""))))</f>
        <v>High</v>
      </c>
      <c r="U2299">
        <v>0.56999999999999995</v>
      </c>
    </row>
    <row r="2300" spans="1:22" x14ac:dyDescent="0.35">
      <c r="A2300" t="s">
        <v>133</v>
      </c>
      <c r="B2300" s="143">
        <v>45171</v>
      </c>
      <c r="C2300" s="2" t="str" cm="1">
        <f t="array" ref="C230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Autumn</v>
      </c>
      <c r="D2300">
        <f>YEAR(AllData[[#This Row],[Date]])</f>
        <v>2023</v>
      </c>
      <c r="E2300" s="1">
        <v>0.60416666666666663</v>
      </c>
      <c r="F2300" t="str">
        <f>IF(AND(AllData[[#This Row],[Time]]&lt;0.5, AllData[[#This Row],[Time]]&gt;0.17)=TRUE, "Morning", IF(AND(AllData[[#This Row],[Time]]&lt;0.75, AllData[[#This Row],[Time]]&gt;=0.5)=TRUE, "Afternoon", IF(AND(AllData[[#This Row],[Time]]&lt;1, AllData[[#This Row],[Time]]&gt;=0.75)=TRUE, "Evening", "Night")))</f>
        <v>Afternoon</v>
      </c>
      <c r="G2300" t="str">
        <f>_xlfn.XLOOKUP(AllData[[#This Row],[Location Name]], Locations[Location Name],Locations[Group As])</f>
        <v>Carrant Bredon Rd</v>
      </c>
      <c r="H2300" t="e" vm="4">
        <f>_xlfn.XLOOKUP(AllData[[#This Row],[Site Name]],LocationsKey[Site Name],LocationsKey[District])</f>
        <v>#VALUE!</v>
      </c>
      <c r="I2300" t="e" vm="4">
        <f>_xlfn.XLOOKUP(AllData[[#This Row],[Site Name]],LocationsKey[Site Name],LocationsKey[Town])</f>
        <v>#VALUE!</v>
      </c>
      <c r="J2300" t="str">
        <f>_xlfn.XLOOKUP(AllData[[#This Row],[Site Name]],LocationsKey[Site Name], LocationsKey[Waterway])</f>
        <v>Carrant</v>
      </c>
      <c r="K2300" t="s">
        <v>91</v>
      </c>
      <c r="M2300" s="108"/>
      <c r="N2300" t="s">
        <v>25</v>
      </c>
      <c r="O2300">
        <v>641</v>
      </c>
      <c r="P2300">
        <v>17.3</v>
      </c>
      <c r="Q2300">
        <v>6</v>
      </c>
      <c r="R2300" s="141" t="str">
        <f>IF(AllData[[#This Row],[Nitrate (PPM)]]&gt;2, "Very high", IF(AllData[[#This Row],[Nitrate (PPM)]]&gt;1, "High", IF(AllData[[#This Row],[Nitrate (PPM)]]&gt;0.5, "Some evidence", IF(AllData[[#This Row],[Nitrate (PPM)]]&gt;=0, "No evidence"))))</f>
        <v>Very high</v>
      </c>
      <c r="S2300" s="4">
        <v>0.11</v>
      </c>
      <c r="T2300" s="7" t="str">
        <f>IF(AllData[[#This Row],[Phosphate (PPM)]]&gt;0.5, "Very high", IF(AllData[[#This Row],[Phosphate (PPM)]]&gt;0.1, "High", IF(AllData[[#This Row],[Phosphate (PPM)]]&gt;0.05, "Some evidence", IF(AllData[[#This Row],[Phosphate (PPM)]]&lt;=0.05, "No Evidence", ""))))</f>
        <v>High</v>
      </c>
      <c r="U2300">
        <v>0</v>
      </c>
    </row>
    <row r="2301" spans="1:22" x14ac:dyDescent="0.35">
      <c r="A2301" t="s">
        <v>130</v>
      </c>
      <c r="B2301" s="143">
        <v>45169</v>
      </c>
      <c r="C2301" s="2" t="str" cm="1">
        <f t="array" ref="C230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1">
        <f>YEAR(AllData[[#This Row],[Date]])</f>
        <v>2023</v>
      </c>
      <c r="E2301" s="1">
        <v>0.60763888888888884</v>
      </c>
      <c r="F2301" t="str">
        <f>IF(AND(AllData[[#This Row],[Time]]&lt;0.5, AllData[[#This Row],[Time]]&gt;0.17)=TRUE, "Morning", IF(AND(AllData[[#This Row],[Time]]&lt;0.75, AllData[[#This Row],[Time]]&gt;=0.5)=TRUE, "Afternoon", IF(AND(AllData[[#This Row],[Time]]&lt;1, AllData[[#This Row],[Time]]&gt;=0.75)=TRUE, "Evening", "Night")))</f>
        <v>Afternoon</v>
      </c>
      <c r="G2301" t="str">
        <f>_xlfn.XLOOKUP(AllData[[#This Row],[Location Name]], Locations[Location Name],Locations[Group As])</f>
        <v>Swilgate</v>
      </c>
      <c r="H2301" t="e" vm="4">
        <f>_xlfn.XLOOKUP(AllData[[#This Row],[Site Name]],LocationsKey[Site Name],LocationsKey[District])</f>
        <v>#VALUE!</v>
      </c>
      <c r="I2301" t="e" vm="4">
        <f>_xlfn.XLOOKUP(AllData[[#This Row],[Site Name]],LocationsKey[Site Name],LocationsKey[Town])</f>
        <v>#VALUE!</v>
      </c>
      <c r="J2301" t="str">
        <f>_xlfn.XLOOKUP(AllData[[#This Row],[Site Name]],LocationsKey[Site Name], LocationsKey[Waterway])</f>
        <v>Swilgate</v>
      </c>
      <c r="K2301" t="s">
        <v>85</v>
      </c>
      <c r="M2301" s="108"/>
      <c r="N2301" t="s">
        <v>25</v>
      </c>
      <c r="O2301">
        <v>872</v>
      </c>
      <c r="P2301">
        <v>15.7</v>
      </c>
      <c r="Q2301">
        <v>8</v>
      </c>
      <c r="R2301" s="141" t="str">
        <f>IF(AllData[[#This Row],[Nitrate (PPM)]]&gt;2, "Very high", IF(AllData[[#This Row],[Nitrate (PPM)]]&gt;1, "High", IF(AllData[[#This Row],[Nitrate (PPM)]]&gt;0.5, "Some evidence", IF(AllData[[#This Row],[Nitrate (PPM)]]&gt;=0, "No evidence"))))</f>
        <v>Very high</v>
      </c>
      <c r="S2301" s="4">
        <v>0.65</v>
      </c>
      <c r="T2301" s="7" t="str">
        <f>IF(AllData[[#This Row],[Phosphate (PPM)]]&gt;0.5, "Very high", IF(AllData[[#This Row],[Phosphate (PPM)]]&gt;0.1, "High", IF(AllData[[#This Row],[Phosphate (PPM)]]&gt;0.05, "Some evidence", IF(AllData[[#This Row],[Phosphate (PPM)]]&lt;=0.05, "No Evidence", ""))))</f>
        <v>Very high</v>
      </c>
      <c r="U2301">
        <v>0</v>
      </c>
    </row>
    <row r="2302" spans="1:22" x14ac:dyDescent="0.35">
      <c r="A2302" t="s">
        <v>127</v>
      </c>
      <c r="B2302" s="143">
        <v>45169</v>
      </c>
      <c r="C2302" s="2" t="str" cm="1">
        <f t="array" ref="C230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2">
        <f>YEAR(AllData[[#This Row],[Date]])</f>
        <v>2023</v>
      </c>
      <c r="E2302" s="1">
        <v>0.43055555555555558</v>
      </c>
      <c r="F2302" t="str">
        <f>IF(AND(AllData[[#This Row],[Time]]&lt;0.5, AllData[[#This Row],[Time]]&gt;0.17)=TRUE, "Morning", IF(AND(AllData[[#This Row],[Time]]&lt;0.75, AllData[[#This Row],[Time]]&gt;=0.5)=TRUE, "Afternoon", IF(AND(AllData[[#This Row],[Time]]&lt;1, AllData[[#This Row],[Time]]&gt;=0.75)=TRUE, "Evening", "Night")))</f>
        <v>Morning</v>
      </c>
      <c r="G2302" t="str">
        <f>_xlfn.XLOOKUP(AllData[[#This Row],[Location Name]], Locations[Location Name],Locations[Group As])</f>
        <v>Preston-on-Stour River Bridge</v>
      </c>
      <c r="H2302" t="e" vm="1">
        <f>_xlfn.XLOOKUP(AllData[[#This Row],[Site Name]],LocationsKey[Site Name],LocationsKey[District])</f>
        <v>#VALUE!</v>
      </c>
      <c r="I2302" t="e" vm="20">
        <f>_xlfn.XLOOKUP(AllData[[#This Row],[Site Name]],LocationsKey[Site Name],LocationsKey[Town])</f>
        <v>#VALUE!</v>
      </c>
      <c r="J2302" t="str">
        <f>_xlfn.XLOOKUP(AllData[[#This Row],[Site Name]],LocationsKey[Site Name], LocationsKey[Waterway])</f>
        <v>Stour</v>
      </c>
      <c r="K2302" t="s">
        <v>128</v>
      </c>
      <c r="L2302">
        <v>52.146448999999997</v>
      </c>
      <c r="M2302" s="108">
        <v>-1.7003729999999999</v>
      </c>
      <c r="N2302" t="s">
        <v>31</v>
      </c>
      <c r="O2302">
        <v>699</v>
      </c>
      <c r="P2302">
        <v>16</v>
      </c>
      <c r="Q2302">
        <v>5</v>
      </c>
      <c r="R2302" s="141" t="str">
        <f>IF(AllData[[#This Row],[Nitrate (PPM)]]&gt;2, "Very high", IF(AllData[[#This Row],[Nitrate (PPM)]]&gt;1, "High", IF(AllData[[#This Row],[Nitrate (PPM)]]&gt;0.5, "Some evidence", IF(AllData[[#This Row],[Nitrate (PPM)]]&gt;=0, "No evidence"))))</f>
        <v>Very high</v>
      </c>
      <c r="S2302" s="4">
        <v>0.55000000000000004</v>
      </c>
      <c r="T2302" s="7" t="str">
        <f>IF(AllData[[#This Row],[Phosphate (PPM)]]&gt;0.5, "Very high", IF(AllData[[#This Row],[Phosphate (PPM)]]&gt;0.1, "High", IF(AllData[[#This Row],[Phosphate (PPM)]]&gt;0.05, "Some evidence", IF(AllData[[#This Row],[Phosphate (PPM)]]&lt;=0.05, "No Evidence", ""))))</f>
        <v>Very high</v>
      </c>
      <c r="U2302">
        <v>4</v>
      </c>
      <c r="V2302" t="s">
        <v>129</v>
      </c>
    </row>
    <row r="2303" spans="1:22" x14ac:dyDescent="0.35">
      <c r="A2303" t="s">
        <v>126</v>
      </c>
      <c r="B2303" s="143">
        <v>45168</v>
      </c>
      <c r="C2303" s="2" t="str" cm="1">
        <f t="array" ref="C230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3">
        <f>YEAR(AllData[[#This Row],[Date]])</f>
        <v>2023</v>
      </c>
      <c r="E2303" s="1">
        <v>0.52083333333333337</v>
      </c>
      <c r="F2303" t="str">
        <f>IF(AND(AllData[[#This Row],[Time]]&lt;0.5, AllData[[#This Row],[Time]]&gt;0.17)=TRUE, "Morning", IF(AND(AllData[[#This Row],[Time]]&lt;0.75, AllData[[#This Row],[Time]]&gt;=0.5)=TRUE, "Afternoon", IF(AND(AllData[[#This Row],[Time]]&lt;1, AllData[[#This Row],[Time]]&gt;=0.75)=TRUE, "Evening", "Night")))</f>
        <v>Afternoon</v>
      </c>
      <c r="G2303" t="str">
        <f>_xlfn.XLOOKUP(AllData[[#This Row],[Location Name]], Locations[Location Name],Locations[Group As])</f>
        <v>Barton</v>
      </c>
      <c r="H2303" t="e" vm="1">
        <f>_xlfn.XLOOKUP(AllData[[#This Row],[Site Name]],LocationsKey[Site Name],LocationsKey[District])</f>
        <v>#VALUE!</v>
      </c>
      <c r="I2303" t="str">
        <f>_xlfn.XLOOKUP(AllData[[#This Row],[Site Name]],LocationsKey[Site Name],LocationsKey[Town])</f>
        <v>Barton</v>
      </c>
      <c r="J2303" t="str">
        <f>_xlfn.XLOOKUP(AllData[[#This Row],[Site Name]],LocationsKey[Site Name], LocationsKey[Waterway])</f>
        <v>Avon</v>
      </c>
      <c r="K2303" t="s">
        <v>51</v>
      </c>
      <c r="L2303">
        <v>52.161209999999997</v>
      </c>
      <c r="M2303" s="108">
        <v>-1.8301499999999999</v>
      </c>
      <c r="N2303" t="s">
        <v>31</v>
      </c>
      <c r="O2303">
        <v>1018</v>
      </c>
      <c r="P2303">
        <v>17</v>
      </c>
      <c r="Q2303">
        <v>7</v>
      </c>
      <c r="R2303" s="141" t="str">
        <f>IF(AllData[[#This Row],[Nitrate (PPM)]]&gt;2, "Very high", IF(AllData[[#This Row],[Nitrate (PPM)]]&gt;1, "High", IF(AllData[[#This Row],[Nitrate (PPM)]]&gt;0.5, "Some evidence", IF(AllData[[#This Row],[Nitrate (PPM)]]&gt;=0, "No evidence"))))</f>
        <v>Very high</v>
      </c>
      <c r="S2303" s="4">
        <v>0.63</v>
      </c>
      <c r="T2303" s="7" t="str">
        <f>IF(AllData[[#This Row],[Phosphate (PPM)]]&gt;0.5, "Very high", IF(AllData[[#This Row],[Phosphate (PPM)]]&gt;0.1, "High", IF(AllData[[#This Row],[Phosphate (PPM)]]&gt;0.05, "Some evidence", IF(AllData[[#This Row],[Phosphate (PPM)]]&lt;=0.05, "No Evidence", ""))))</f>
        <v>Very high</v>
      </c>
      <c r="U2303">
        <v>0</v>
      </c>
    </row>
    <row r="2304" spans="1:22" x14ac:dyDescent="0.35">
      <c r="A2304" t="s">
        <v>123</v>
      </c>
      <c r="B2304" s="143">
        <v>45168</v>
      </c>
      <c r="C2304" s="2" t="str" cm="1">
        <f t="array" ref="C230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4">
        <f>YEAR(AllData[[#This Row],[Date]])</f>
        <v>2023</v>
      </c>
      <c r="E2304" s="1">
        <v>0.47708333333333336</v>
      </c>
      <c r="F2304" t="str">
        <f>IF(AND(AllData[[#This Row],[Time]]&lt;0.5, AllData[[#This Row],[Time]]&gt;0.17)=TRUE, "Morning", IF(AND(AllData[[#This Row],[Time]]&lt;0.75, AllData[[#This Row],[Time]]&gt;=0.5)=TRUE, "Afternoon", IF(AND(AllData[[#This Row],[Time]]&lt;1, AllData[[#This Row],[Time]]&gt;=0.75)=TRUE, "Evening", "Night")))</f>
        <v>Morning</v>
      </c>
      <c r="G2304" t="str">
        <f>_xlfn.XLOOKUP(AllData[[#This Row],[Location Name]], Locations[Location Name],Locations[Group As])</f>
        <v>Stour Newbold Mill</v>
      </c>
      <c r="H2304" t="e" vm="1">
        <f>_xlfn.XLOOKUP(AllData[[#This Row],[Site Name]],LocationsKey[Site Name],LocationsKey[District])</f>
        <v>#VALUE!</v>
      </c>
      <c r="I2304" t="e" vm="27">
        <f>_xlfn.XLOOKUP(AllData[[#This Row],[Site Name]],LocationsKey[Site Name],LocationsKey[Town])</f>
        <v>#VALUE!</v>
      </c>
      <c r="J2304" t="str">
        <f>_xlfn.XLOOKUP(AllData[[#This Row],[Site Name]],LocationsKey[Site Name], LocationsKey[Waterway])</f>
        <v>Stour</v>
      </c>
      <c r="K2304" t="s">
        <v>124</v>
      </c>
      <c r="L2304">
        <v>52.113463000000003</v>
      </c>
      <c r="M2304" s="108">
        <v>-1.633265</v>
      </c>
      <c r="N2304" t="s">
        <v>31</v>
      </c>
      <c r="O2304">
        <v>637</v>
      </c>
      <c r="P2304">
        <v>18.399999999999999</v>
      </c>
      <c r="Q2304">
        <v>2</v>
      </c>
      <c r="R2304" s="141" t="str">
        <f>IF(AllData[[#This Row],[Nitrate (PPM)]]&gt;2, "Very high", IF(AllData[[#This Row],[Nitrate (PPM)]]&gt;1, "High", IF(AllData[[#This Row],[Nitrate (PPM)]]&gt;0.5, "Some evidence", IF(AllData[[#This Row],[Nitrate (PPM)]]&gt;=0, "No evidence"))))</f>
        <v>High</v>
      </c>
      <c r="S2304" s="4">
        <v>0.78</v>
      </c>
      <c r="T2304" s="7" t="str">
        <f>IF(AllData[[#This Row],[Phosphate (PPM)]]&gt;0.5, "Very high", IF(AllData[[#This Row],[Phosphate (PPM)]]&gt;0.1, "High", IF(AllData[[#This Row],[Phosphate (PPM)]]&gt;0.05, "Some evidence", IF(AllData[[#This Row],[Phosphate (PPM)]]&lt;=0.05, "No Evidence", ""))))</f>
        <v>Very high</v>
      </c>
      <c r="U2304">
        <v>2</v>
      </c>
      <c r="V2304" t="s">
        <v>125</v>
      </c>
    </row>
    <row r="2305" spans="1:22" x14ac:dyDescent="0.35">
      <c r="A2305" t="s">
        <v>120</v>
      </c>
      <c r="B2305" s="143">
        <v>45167</v>
      </c>
      <c r="C2305" s="2" t="str" cm="1">
        <f t="array" ref="C230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5">
        <f>YEAR(AllData[[#This Row],[Date]])</f>
        <v>2023</v>
      </c>
      <c r="E2305" s="1">
        <v>0.60624999999999996</v>
      </c>
      <c r="F2305" t="str">
        <f>IF(AND(AllData[[#This Row],[Time]]&lt;0.5, AllData[[#This Row],[Time]]&gt;0.17)=TRUE, "Morning", IF(AND(AllData[[#This Row],[Time]]&lt;0.75, AllData[[#This Row],[Time]]&gt;=0.5)=TRUE, "Afternoon", IF(AND(AllData[[#This Row],[Time]]&lt;1, AllData[[#This Row],[Time]]&gt;=0.75)=TRUE, "Evening", "Night")))</f>
        <v>Afternoon</v>
      </c>
      <c r="G2305" t="str">
        <f>_xlfn.XLOOKUP(AllData[[#This Row],[Location Name]], Locations[Location Name],Locations[Group As])</f>
        <v>Talton Lodge</v>
      </c>
      <c r="H2305" t="e" vm="1">
        <f>_xlfn.XLOOKUP(AllData[[#This Row],[Site Name]],LocationsKey[Site Name],LocationsKey[District])</f>
        <v>#VALUE!</v>
      </c>
      <c r="I2305" t="e" vm="27">
        <f>_xlfn.XLOOKUP(AllData[[#This Row],[Site Name]],LocationsKey[Site Name],LocationsKey[Town])</f>
        <v>#VALUE!</v>
      </c>
      <c r="J2305" t="str">
        <f>_xlfn.XLOOKUP(AllData[[#This Row],[Site Name]],LocationsKey[Site Name], LocationsKey[Waterway])</f>
        <v>Avon</v>
      </c>
      <c r="K2305" t="s">
        <v>121</v>
      </c>
      <c r="L2305">
        <v>52.120947999999999</v>
      </c>
      <c r="M2305" s="108">
        <v>-1.6505399999999999</v>
      </c>
      <c r="N2305" t="s">
        <v>31</v>
      </c>
      <c r="O2305">
        <v>819</v>
      </c>
      <c r="P2305">
        <v>15.8</v>
      </c>
      <c r="Q2305">
        <v>10</v>
      </c>
      <c r="R2305" s="141" t="str">
        <f>IF(AllData[[#This Row],[Nitrate (PPM)]]&gt;2, "Very high", IF(AllData[[#This Row],[Nitrate (PPM)]]&gt;1, "High", IF(AllData[[#This Row],[Nitrate (PPM)]]&gt;0.5, "Some evidence", IF(AllData[[#This Row],[Nitrate (PPM)]]&gt;=0, "No evidence"))))</f>
        <v>Very high</v>
      </c>
      <c r="S2305" s="4">
        <v>0.33</v>
      </c>
      <c r="T2305" s="7" t="str">
        <f>IF(AllData[[#This Row],[Phosphate (PPM)]]&gt;0.5, "Very high", IF(AllData[[#This Row],[Phosphate (PPM)]]&gt;0.1, "High", IF(AllData[[#This Row],[Phosphate (PPM)]]&gt;0.05, "Some evidence", IF(AllData[[#This Row],[Phosphate (PPM)]]&lt;=0.05, "No Evidence", ""))))</f>
        <v>High</v>
      </c>
      <c r="U2305">
        <v>0.5</v>
      </c>
    </row>
    <row r="2306" spans="1:22" x14ac:dyDescent="0.35">
      <c r="A2306" t="s">
        <v>122</v>
      </c>
      <c r="B2306" s="143">
        <v>45167</v>
      </c>
      <c r="C2306" s="2" t="str" cm="1">
        <f t="array" ref="C230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6">
        <f>YEAR(AllData[[#This Row],[Date]])</f>
        <v>2023</v>
      </c>
      <c r="E2306" s="1">
        <v>0.69791666666666663</v>
      </c>
      <c r="F2306" t="str">
        <f>IF(AND(AllData[[#This Row],[Time]]&lt;0.5, AllData[[#This Row],[Time]]&gt;0.17)=TRUE, "Morning", IF(AND(AllData[[#This Row],[Time]]&lt;0.75, AllData[[#This Row],[Time]]&gt;=0.5)=TRUE, "Afternoon", IF(AND(AllData[[#This Row],[Time]]&lt;1, AllData[[#This Row],[Time]]&gt;=0.75)=TRUE, "Evening", "Night")))</f>
        <v>Afternoon</v>
      </c>
      <c r="G2306" t="str">
        <f>_xlfn.XLOOKUP(AllData[[#This Row],[Location Name]], Locations[Location Name],Locations[Group As])</f>
        <v>Weston-on-Avon</v>
      </c>
      <c r="H2306" t="e" vm="1">
        <f>_xlfn.XLOOKUP(AllData[[#This Row],[Site Name]],LocationsKey[Site Name],LocationsKey[District])</f>
        <v>#VALUE!</v>
      </c>
      <c r="I2306" t="e" vm="35">
        <f>_xlfn.XLOOKUP(AllData[[#This Row],[Site Name]],LocationsKey[Site Name],LocationsKey[Town])</f>
        <v>#VALUE!</v>
      </c>
      <c r="J2306" t="str">
        <f>_xlfn.XLOOKUP(AllData[[#This Row],[Site Name]],LocationsKey[Site Name], LocationsKey[Waterway])</f>
        <v>Avon</v>
      </c>
      <c r="K2306" t="s">
        <v>43</v>
      </c>
      <c r="L2306">
        <v>52.167430000000003</v>
      </c>
      <c r="M2306" s="108">
        <v>-1.7744800000000001</v>
      </c>
      <c r="N2306" t="s">
        <v>31</v>
      </c>
      <c r="O2306">
        <v>1028</v>
      </c>
      <c r="P2306">
        <v>18.5</v>
      </c>
      <c r="Q2306">
        <v>5</v>
      </c>
      <c r="R2306" s="141" t="str">
        <f>IF(AllData[[#This Row],[Nitrate (PPM)]]&gt;2, "Very high", IF(AllData[[#This Row],[Nitrate (PPM)]]&gt;1, "High", IF(AllData[[#This Row],[Nitrate (PPM)]]&gt;0.5, "Some evidence", IF(AllData[[#This Row],[Nitrate (PPM)]]&gt;=0, "No evidence"))))</f>
        <v>Very high</v>
      </c>
      <c r="S2306" s="4">
        <v>0.76</v>
      </c>
      <c r="T2306" s="7" t="str">
        <f>IF(AllData[[#This Row],[Phosphate (PPM)]]&gt;0.5, "Very high", IF(AllData[[#This Row],[Phosphate (PPM)]]&gt;0.1, "High", IF(AllData[[#This Row],[Phosphate (PPM)]]&gt;0.05, "Some evidence", IF(AllData[[#This Row],[Phosphate (PPM)]]&lt;=0.05, "No Evidence", ""))))</f>
        <v>Very high</v>
      </c>
      <c r="U2306">
        <v>0</v>
      </c>
    </row>
    <row r="2307" spans="1:22" x14ac:dyDescent="0.35">
      <c r="A2307" t="s">
        <v>115</v>
      </c>
      <c r="B2307" s="143">
        <v>45165</v>
      </c>
      <c r="C2307" s="2" t="str" cm="1">
        <f t="array" ref="C230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7">
        <f>YEAR(AllData[[#This Row],[Date]])</f>
        <v>2023</v>
      </c>
      <c r="E2307" s="1">
        <v>0.40277777777777779</v>
      </c>
      <c r="F2307" t="str">
        <f>IF(AND(AllData[[#This Row],[Time]]&lt;0.5, AllData[[#This Row],[Time]]&gt;0.17)=TRUE, "Morning", IF(AND(AllData[[#This Row],[Time]]&lt;0.75, AllData[[#This Row],[Time]]&gt;=0.5)=TRUE, "Afternoon", IF(AND(AllData[[#This Row],[Time]]&lt;1, AllData[[#This Row],[Time]]&gt;=0.75)=TRUE, "Evening", "Night")))</f>
        <v>Morning</v>
      </c>
      <c r="G2307" t="str">
        <f>_xlfn.XLOOKUP(AllData[[#This Row],[Location Name]], Locations[Location Name],Locations[Group As])</f>
        <v>Twyning Fleet</v>
      </c>
      <c r="H2307" t="e" vm="4">
        <f>_xlfn.XLOOKUP(AllData[[#This Row],[Site Name]],LocationsKey[Site Name],LocationsKey[District])</f>
        <v>#VALUE!</v>
      </c>
      <c r="I2307" t="str">
        <f>_xlfn.XLOOKUP(AllData[[#This Row],[Site Name]],LocationsKey[Site Name],LocationsKey[Town])</f>
        <v>Twyning Green</v>
      </c>
      <c r="J2307" t="str">
        <f>_xlfn.XLOOKUP(AllData[[#This Row],[Site Name]],LocationsKey[Site Name], LocationsKey[Waterway])</f>
        <v>Avon</v>
      </c>
      <c r="K2307" t="s">
        <v>56</v>
      </c>
      <c r="L2307">
        <v>52.027028999999999</v>
      </c>
      <c r="M2307" s="108">
        <v>-2.1405729999999998</v>
      </c>
      <c r="N2307" t="s">
        <v>31</v>
      </c>
      <c r="O2307">
        <v>1010</v>
      </c>
      <c r="P2307">
        <v>20.399999999999999</v>
      </c>
      <c r="Q2307">
        <v>10</v>
      </c>
      <c r="R2307" s="141" t="str">
        <f>IF(AllData[[#This Row],[Nitrate (PPM)]]&gt;2, "Very high", IF(AllData[[#This Row],[Nitrate (PPM)]]&gt;1, "High", IF(AllData[[#This Row],[Nitrate (PPM)]]&gt;0.5, "Some evidence", IF(AllData[[#This Row],[Nitrate (PPM)]]&gt;=0, "No evidence"))))</f>
        <v>Very high</v>
      </c>
      <c r="S2307" s="4">
        <v>1.07</v>
      </c>
      <c r="T2307" s="7" t="str">
        <f>IF(AllData[[#This Row],[Phosphate (PPM)]]&gt;0.5, "Very high", IF(AllData[[#This Row],[Phosphate (PPM)]]&gt;0.1, "High", IF(AllData[[#This Row],[Phosphate (PPM)]]&gt;0.05, "Some evidence", IF(AllData[[#This Row],[Phosphate (PPM)]]&lt;=0.05, "No Evidence", ""))))</f>
        <v>Very high</v>
      </c>
      <c r="U2307">
        <v>0</v>
      </c>
      <c r="V2307" t="s">
        <v>116</v>
      </c>
    </row>
    <row r="2308" spans="1:22" x14ac:dyDescent="0.35">
      <c r="A2308" t="s">
        <v>114</v>
      </c>
      <c r="B2308" s="143">
        <v>45165</v>
      </c>
      <c r="C2308" s="2" t="str" cm="1">
        <f t="array" ref="C230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8">
        <f>YEAR(AllData[[#This Row],[Date]])</f>
        <v>2023</v>
      </c>
      <c r="E2308" s="1">
        <v>0.39652777777777776</v>
      </c>
      <c r="F2308" t="str">
        <f>IF(AND(AllData[[#This Row],[Time]]&lt;0.5, AllData[[#This Row],[Time]]&gt;0.17)=TRUE, "Morning", IF(AND(AllData[[#This Row],[Time]]&lt;0.75, AllData[[#This Row],[Time]]&gt;=0.5)=TRUE, "Afternoon", IF(AND(AllData[[#This Row],[Time]]&lt;1, AllData[[#This Row],[Time]]&gt;=0.75)=TRUE, "Evening", "Night")))</f>
        <v>Morning</v>
      </c>
      <c r="G2308" t="str">
        <f>_xlfn.XLOOKUP(AllData[[#This Row],[Location Name]], Locations[Location Name],Locations[Group As])</f>
        <v>Abbey Mill</v>
      </c>
      <c r="H2308" t="e" vm="4">
        <f>_xlfn.XLOOKUP(AllData[[#This Row],[Site Name]],LocationsKey[Site Name],LocationsKey[District])</f>
        <v>#VALUE!</v>
      </c>
      <c r="I2308" t="e" vm="4">
        <f>_xlfn.XLOOKUP(AllData[[#This Row],[Site Name]],LocationsKey[Site Name],LocationsKey[Town])</f>
        <v>#VALUE!</v>
      </c>
      <c r="J2308" t="str">
        <f>_xlfn.XLOOKUP(AllData[[#This Row],[Site Name]],LocationsKey[Site Name], LocationsKey[Waterway])</f>
        <v>Avon</v>
      </c>
      <c r="K2308" t="s">
        <v>27</v>
      </c>
      <c r="M2308" s="108"/>
      <c r="N2308" t="s">
        <v>25</v>
      </c>
      <c r="O2308">
        <v>997</v>
      </c>
      <c r="P2308">
        <v>19.399999999999999</v>
      </c>
      <c r="Q2308">
        <v>8</v>
      </c>
      <c r="R2308" s="141" t="str">
        <f>IF(AllData[[#This Row],[Nitrate (PPM)]]&gt;2, "Very high", IF(AllData[[#This Row],[Nitrate (PPM)]]&gt;1, "High", IF(AllData[[#This Row],[Nitrate (PPM)]]&gt;0.5, "Some evidence", IF(AllData[[#This Row],[Nitrate (PPM)]]&gt;=0, "No evidence"))))</f>
        <v>Very high</v>
      </c>
      <c r="S2308" s="4">
        <v>1.02</v>
      </c>
      <c r="T2308" s="7" t="str">
        <f>IF(AllData[[#This Row],[Phosphate (PPM)]]&gt;0.5, "Very high", IF(AllData[[#This Row],[Phosphate (PPM)]]&gt;0.1, "High", IF(AllData[[#This Row],[Phosphate (PPM)]]&gt;0.05, "Some evidence", IF(AllData[[#This Row],[Phosphate (PPM)]]&lt;=0.05, "No Evidence", ""))))</f>
        <v>Very high</v>
      </c>
      <c r="U2308">
        <v>0</v>
      </c>
    </row>
    <row r="2309" spans="1:22" x14ac:dyDescent="0.35">
      <c r="A2309" t="s">
        <v>117</v>
      </c>
      <c r="B2309" s="143">
        <v>45165</v>
      </c>
      <c r="C2309" s="2" t="str" cm="1">
        <f t="array" ref="C230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09">
        <f>YEAR(AllData[[#This Row],[Date]])</f>
        <v>2023</v>
      </c>
      <c r="E2309" s="1">
        <v>0.46527777777777779</v>
      </c>
      <c r="F2309" t="str">
        <f>IF(AND(AllData[[#This Row],[Time]]&lt;0.5, AllData[[#This Row],[Time]]&gt;0.17)=TRUE, "Morning", IF(AND(AllData[[#This Row],[Time]]&lt;0.75, AllData[[#This Row],[Time]]&gt;=0.5)=TRUE, "Afternoon", IF(AND(AllData[[#This Row],[Time]]&lt;1, AllData[[#This Row],[Time]]&gt;=0.75)=TRUE, "Evening", "Night")))</f>
        <v>Morning</v>
      </c>
      <c r="G2309" t="str">
        <f>_xlfn.XLOOKUP(AllData[[#This Row],[Location Name]], Locations[Location Name],Locations[Group As])</f>
        <v>Hampton Wood</v>
      </c>
      <c r="H2309" t="e" vm="1">
        <f>_xlfn.XLOOKUP(AllData[[#This Row],[Site Name]],LocationsKey[Site Name],LocationsKey[District])</f>
        <v>#VALUE!</v>
      </c>
      <c r="I2309" t="e" vm="34">
        <f>_xlfn.XLOOKUP(AllData[[#This Row],[Site Name]],LocationsKey[Site Name],LocationsKey[Town])</f>
        <v>#VALUE!</v>
      </c>
      <c r="J2309" t="str">
        <f>_xlfn.XLOOKUP(AllData[[#This Row],[Site Name]],LocationsKey[Site Name], LocationsKey[Waterway])</f>
        <v>Avon</v>
      </c>
      <c r="K2309" t="s">
        <v>36</v>
      </c>
      <c r="L2309">
        <v>52.238149999999997</v>
      </c>
      <c r="M2309" s="108">
        <v>-1.6245799999999999</v>
      </c>
      <c r="N2309" t="s">
        <v>31</v>
      </c>
      <c r="O2309">
        <v>950</v>
      </c>
      <c r="P2309">
        <v>19.100000000000001</v>
      </c>
      <c r="Q2309">
        <v>7</v>
      </c>
      <c r="R2309" s="141" t="str">
        <f>IF(AllData[[#This Row],[Nitrate (PPM)]]&gt;2, "Very high", IF(AllData[[#This Row],[Nitrate (PPM)]]&gt;1, "High", IF(AllData[[#This Row],[Nitrate (PPM)]]&gt;0.5, "Some evidence", IF(AllData[[#This Row],[Nitrate (PPM)]]&gt;=0, "No evidence"))))</f>
        <v>Very high</v>
      </c>
      <c r="S2309" s="4">
        <v>0.42</v>
      </c>
      <c r="T2309" s="7" t="str">
        <f>IF(AllData[[#This Row],[Phosphate (PPM)]]&gt;0.5, "Very high", IF(AllData[[#This Row],[Phosphate (PPM)]]&gt;0.1, "High", IF(AllData[[#This Row],[Phosphate (PPM)]]&gt;0.05, "Some evidence", IF(AllData[[#This Row],[Phosphate (PPM)]]&lt;=0.05, "No Evidence", ""))))</f>
        <v>High</v>
      </c>
      <c r="U2309">
        <v>0</v>
      </c>
    </row>
    <row r="2310" spans="1:22" x14ac:dyDescent="0.35">
      <c r="A2310" t="s">
        <v>118</v>
      </c>
      <c r="B2310" s="143">
        <v>45165</v>
      </c>
      <c r="C2310" s="2" t="str" cm="1">
        <f t="array" ref="C231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0">
        <f>YEAR(AllData[[#This Row],[Date]])</f>
        <v>2023</v>
      </c>
      <c r="E2310" s="1">
        <v>0.52083333333333337</v>
      </c>
      <c r="F2310" t="str">
        <f>IF(AND(AllData[[#This Row],[Time]]&lt;0.5, AllData[[#This Row],[Time]]&gt;0.17)=TRUE, "Morning", IF(AND(AllData[[#This Row],[Time]]&lt;0.75, AllData[[#This Row],[Time]]&gt;=0.5)=TRUE, "Afternoon", IF(AND(AllData[[#This Row],[Time]]&lt;1, AllData[[#This Row],[Time]]&gt;=0.75)=TRUE, "Evening", "Night")))</f>
        <v>Afternoon</v>
      </c>
      <c r="G2310" t="str">
        <f>_xlfn.XLOOKUP(AllData[[#This Row],[Location Name]], Locations[Location Name],Locations[Group As])</f>
        <v>Hampton Lucy</v>
      </c>
      <c r="H2310" t="e" vm="1">
        <f>_xlfn.XLOOKUP(AllData[[#This Row],[Site Name]],LocationsKey[Site Name],LocationsKey[District])</f>
        <v>#VALUE!</v>
      </c>
      <c r="I2310" t="e" vm="33">
        <f>_xlfn.XLOOKUP(AllData[[#This Row],[Site Name]],LocationsKey[Site Name],LocationsKey[Town])</f>
        <v>#VALUE!</v>
      </c>
      <c r="J2310" t="str">
        <f>_xlfn.XLOOKUP(AllData[[#This Row],[Site Name]],LocationsKey[Site Name], LocationsKey[Waterway])</f>
        <v>Avon</v>
      </c>
      <c r="K2310" t="s">
        <v>39</v>
      </c>
      <c r="L2310">
        <v>52.211680000000001</v>
      </c>
      <c r="M2310" s="108">
        <v>-1.6244400000000001</v>
      </c>
      <c r="N2310" t="s">
        <v>25</v>
      </c>
      <c r="O2310">
        <v>948</v>
      </c>
      <c r="P2310">
        <v>18.8</v>
      </c>
      <c r="Q2310">
        <v>7</v>
      </c>
      <c r="R2310" s="141" t="str">
        <f>IF(AllData[[#This Row],[Nitrate (PPM)]]&gt;2, "Very high", IF(AllData[[#This Row],[Nitrate (PPM)]]&gt;1, "High", IF(AllData[[#This Row],[Nitrate (PPM)]]&gt;0.5, "Some evidence", IF(AllData[[#This Row],[Nitrate (PPM)]]&gt;=0, "No evidence"))))</f>
        <v>Very high</v>
      </c>
      <c r="S2310" s="4">
        <v>0.49</v>
      </c>
      <c r="T2310" s="7" t="str">
        <f>IF(AllData[[#This Row],[Phosphate (PPM)]]&gt;0.5, "Very high", IF(AllData[[#This Row],[Phosphate (PPM)]]&gt;0.1, "High", IF(AllData[[#This Row],[Phosphate (PPM)]]&gt;0.05, "Some evidence", IF(AllData[[#This Row],[Phosphate (PPM)]]&lt;=0.05, "No Evidence", ""))))</f>
        <v>High</v>
      </c>
      <c r="U2310">
        <v>0</v>
      </c>
    </row>
    <row r="2311" spans="1:22" x14ac:dyDescent="0.35">
      <c r="A2311" t="s">
        <v>119</v>
      </c>
      <c r="B2311" s="143">
        <v>45165</v>
      </c>
      <c r="C2311" s="2" t="str" cm="1">
        <f t="array" ref="C231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1">
        <f>YEAR(AllData[[#This Row],[Date]])</f>
        <v>2023</v>
      </c>
      <c r="E2311" s="1">
        <v>0.70833333333333337</v>
      </c>
      <c r="F2311" t="str">
        <f>IF(AND(AllData[[#This Row],[Time]]&lt;0.5, AllData[[#This Row],[Time]]&gt;0.17)=TRUE, "Morning", IF(AND(AllData[[#This Row],[Time]]&lt;0.75, AllData[[#This Row],[Time]]&gt;=0.5)=TRUE, "Afternoon", IF(AND(AllData[[#This Row],[Time]]&lt;1, AllData[[#This Row],[Time]]&gt;=0.75)=TRUE, "Evening", "Night")))</f>
        <v>Afternoon</v>
      </c>
      <c r="G2311" t="str">
        <f>_xlfn.XLOOKUP(AllData[[#This Row],[Location Name]], Locations[Location Name],Locations[Group As])</f>
        <v>Welford Boat Station</v>
      </c>
      <c r="H2311" t="e" vm="1">
        <f>_xlfn.XLOOKUP(AllData[[#This Row],[Site Name]],LocationsKey[Site Name],LocationsKey[District])</f>
        <v>#VALUE!</v>
      </c>
      <c r="I2311" t="e" vm="36">
        <f>_xlfn.XLOOKUP(AllData[[#This Row],[Site Name]],LocationsKey[Site Name],LocationsKey[Town])</f>
        <v>#VALUE!</v>
      </c>
      <c r="J2311" t="str">
        <f>_xlfn.XLOOKUP(AllData[[#This Row],[Site Name]],LocationsKey[Site Name], LocationsKey[Waterway])</f>
        <v>Avon</v>
      </c>
      <c r="K2311" t="s">
        <v>41</v>
      </c>
      <c r="L2311">
        <v>52.175240000000002</v>
      </c>
      <c r="M2311" s="108">
        <v>-1.7918700000000001</v>
      </c>
      <c r="N2311" t="s">
        <v>31</v>
      </c>
      <c r="O2311">
        <v>992</v>
      </c>
      <c r="P2311">
        <v>18.600000000000001</v>
      </c>
      <c r="Q2311">
        <v>5</v>
      </c>
      <c r="R2311" s="141" t="str">
        <f>IF(AllData[[#This Row],[Nitrate (PPM)]]&gt;2, "Very high", IF(AllData[[#This Row],[Nitrate (PPM)]]&gt;1, "High", IF(AllData[[#This Row],[Nitrate (PPM)]]&gt;0.5, "Some evidence", IF(AllData[[#This Row],[Nitrate (PPM)]]&gt;=0, "No evidence"))))</f>
        <v>Very high</v>
      </c>
      <c r="S2311" s="4">
        <v>0.54</v>
      </c>
      <c r="T2311" s="7" t="str">
        <f>IF(AllData[[#This Row],[Phosphate (PPM)]]&gt;0.5, "Very high", IF(AllData[[#This Row],[Phosphate (PPM)]]&gt;0.1, "High", IF(AllData[[#This Row],[Phosphate (PPM)]]&gt;0.05, "Some evidence", IF(AllData[[#This Row],[Phosphate (PPM)]]&lt;=0.05, "No Evidence", ""))))</f>
        <v>Very high</v>
      </c>
      <c r="U2311">
        <v>0</v>
      </c>
      <c r="V2311" t="s">
        <v>97</v>
      </c>
    </row>
    <row r="2312" spans="1:22" x14ac:dyDescent="0.35">
      <c r="A2312" t="s">
        <v>113</v>
      </c>
      <c r="B2312" s="143">
        <v>45164</v>
      </c>
      <c r="C2312" s="2" t="str" cm="1">
        <f t="array" ref="C231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2">
        <f>YEAR(AllData[[#This Row],[Date]])</f>
        <v>2023</v>
      </c>
      <c r="E2312" s="1">
        <v>0.46527777777777779</v>
      </c>
      <c r="F2312" t="str">
        <f>IF(AND(AllData[[#This Row],[Time]]&lt;0.5, AllData[[#This Row],[Time]]&gt;0.17)=TRUE, "Morning", IF(AND(AllData[[#This Row],[Time]]&lt;0.75, AllData[[#This Row],[Time]]&gt;=0.5)=TRUE, "Afternoon", IF(AND(AllData[[#This Row],[Time]]&lt;1, AllData[[#This Row],[Time]]&gt;=0.75)=TRUE, "Evening", "Night")))</f>
        <v>Morning</v>
      </c>
      <c r="G2312" t="str">
        <f>_xlfn.XLOOKUP(AllData[[#This Row],[Location Name]], Locations[Location Name],Locations[Group As])</f>
        <v>Avonbank Drive</v>
      </c>
      <c r="H2312" t="e" vm="1">
        <f>_xlfn.XLOOKUP(AllData[[#This Row],[Site Name]],LocationsKey[Site Name],LocationsKey[District])</f>
        <v>#VALUE!</v>
      </c>
      <c r="I2312" t="e" vm="12">
        <f>_xlfn.XLOOKUP(AllData[[#This Row],[Site Name]],LocationsKey[Site Name],LocationsKey[Town])</f>
        <v>#VALUE!</v>
      </c>
      <c r="J2312" t="str">
        <f>_xlfn.XLOOKUP(AllData[[#This Row],[Site Name]],LocationsKey[Site Name], LocationsKey[Waterway])</f>
        <v>Avon</v>
      </c>
      <c r="K2312" t="s">
        <v>67</v>
      </c>
      <c r="L2312">
        <v>52.177103000000002</v>
      </c>
      <c r="M2312" s="108">
        <v>-1.7356130000000001</v>
      </c>
      <c r="N2312" t="s">
        <v>68</v>
      </c>
      <c r="O2312">
        <v>1000</v>
      </c>
      <c r="P2312">
        <v>20.5</v>
      </c>
      <c r="Q2312">
        <v>10</v>
      </c>
      <c r="R2312" s="141" t="str">
        <f>IF(AllData[[#This Row],[Nitrate (PPM)]]&gt;2, "Very high", IF(AllData[[#This Row],[Nitrate (PPM)]]&gt;1, "High", IF(AllData[[#This Row],[Nitrate (PPM)]]&gt;0.5, "Some evidence", IF(AllData[[#This Row],[Nitrate (PPM)]]&gt;=0, "No evidence"))))</f>
        <v>Very high</v>
      </c>
      <c r="S2312" s="4">
        <v>0.56000000000000005</v>
      </c>
      <c r="T2312" s="7" t="str">
        <f>IF(AllData[[#This Row],[Phosphate (PPM)]]&gt;0.5, "Very high", IF(AllData[[#This Row],[Phosphate (PPM)]]&gt;0.1, "High", IF(AllData[[#This Row],[Phosphate (PPM)]]&gt;0.05, "Some evidence", IF(AllData[[#This Row],[Phosphate (PPM)]]&lt;=0.05, "No Evidence", ""))))</f>
        <v>Very high</v>
      </c>
      <c r="U2312">
        <v>0.5</v>
      </c>
      <c r="V2312" t="s">
        <v>72</v>
      </c>
    </row>
    <row r="2313" spans="1:22" x14ac:dyDescent="0.35">
      <c r="A2313" t="s">
        <v>112</v>
      </c>
      <c r="B2313" s="143">
        <v>45164</v>
      </c>
      <c r="C2313" s="2" t="str" cm="1">
        <f t="array" ref="C231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3">
        <f>YEAR(AllData[[#This Row],[Date]])</f>
        <v>2023</v>
      </c>
      <c r="E2313" s="1">
        <v>0.4513888888888889</v>
      </c>
      <c r="F2313" t="str">
        <f>IF(AND(AllData[[#This Row],[Time]]&lt;0.5, AllData[[#This Row],[Time]]&gt;0.17)=TRUE, "Morning", IF(AND(AllData[[#This Row],[Time]]&lt;0.75, AllData[[#This Row],[Time]]&gt;=0.5)=TRUE, "Afternoon", IF(AND(AllData[[#This Row],[Time]]&lt;1, AllData[[#This Row],[Time]]&gt;=0.75)=TRUE, "Evening", "Night")))</f>
        <v>Morning</v>
      </c>
      <c r="G2313" t="str">
        <f>_xlfn.XLOOKUP(AllData[[#This Row],[Location Name]], Locations[Location Name],Locations[Group As])</f>
        <v>Pitch 16</v>
      </c>
      <c r="H2313" t="e" vm="1">
        <f>_xlfn.XLOOKUP(AllData[[#This Row],[Site Name]],LocationsKey[Site Name],LocationsKey[District])</f>
        <v>#VALUE!</v>
      </c>
      <c r="I2313" t="e" vm="12">
        <f>_xlfn.XLOOKUP(AllData[[#This Row],[Site Name]],LocationsKey[Site Name],LocationsKey[Town])</f>
        <v>#VALUE!</v>
      </c>
      <c r="J2313" t="str">
        <f>_xlfn.XLOOKUP(AllData[[#This Row],[Site Name]],LocationsKey[Site Name], LocationsKey[Waterway])</f>
        <v>Avon</v>
      </c>
      <c r="K2313" t="s">
        <v>71</v>
      </c>
      <c r="L2313">
        <v>52.172899999999998</v>
      </c>
      <c r="M2313" s="108">
        <v>-1.7453149999999999</v>
      </c>
      <c r="N2313" t="s">
        <v>31</v>
      </c>
      <c r="O2313">
        <v>981</v>
      </c>
      <c r="P2313">
        <v>19.100000000000001</v>
      </c>
      <c r="Q2313">
        <v>10</v>
      </c>
      <c r="R2313" s="141" t="str">
        <f>IF(AllData[[#This Row],[Nitrate (PPM)]]&gt;2, "Very high", IF(AllData[[#This Row],[Nitrate (PPM)]]&gt;1, "High", IF(AllData[[#This Row],[Nitrate (PPM)]]&gt;0.5, "Some evidence", IF(AllData[[#This Row],[Nitrate (PPM)]]&gt;=0, "No evidence"))))</f>
        <v>Very high</v>
      </c>
      <c r="S2313" s="4">
        <v>0.88</v>
      </c>
      <c r="T2313" s="7" t="str">
        <f>IF(AllData[[#This Row],[Phosphate (PPM)]]&gt;0.5, "Very high", IF(AllData[[#This Row],[Phosphate (PPM)]]&gt;0.1, "High", IF(AllData[[#This Row],[Phosphate (PPM)]]&gt;0.05, "Some evidence", IF(AllData[[#This Row],[Phosphate (PPM)]]&lt;=0.05, "No Evidence", ""))))</f>
        <v>Very high</v>
      </c>
      <c r="U2313">
        <v>0.5</v>
      </c>
      <c r="V2313" t="s">
        <v>72</v>
      </c>
    </row>
    <row r="2314" spans="1:22" x14ac:dyDescent="0.35">
      <c r="A2314" t="s">
        <v>111</v>
      </c>
      <c r="B2314" s="143">
        <v>45162</v>
      </c>
      <c r="C2314" s="2" t="str" cm="1">
        <f t="array" ref="C231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4">
        <f>YEAR(AllData[[#This Row],[Date]])</f>
        <v>2023</v>
      </c>
      <c r="E2314" s="1">
        <v>0.4375</v>
      </c>
      <c r="F2314" t="str">
        <f>IF(AND(AllData[[#This Row],[Time]]&lt;0.5, AllData[[#This Row],[Time]]&gt;0.17)=TRUE, "Morning", IF(AND(AllData[[#This Row],[Time]]&lt;0.75, AllData[[#This Row],[Time]]&gt;=0.5)=TRUE, "Afternoon", IF(AND(AllData[[#This Row],[Time]]&lt;1, AllData[[#This Row],[Time]]&gt;=0.75)=TRUE, "Evening", "Night")))</f>
        <v>Morning</v>
      </c>
      <c r="G2314" t="str">
        <f>_xlfn.XLOOKUP(AllData[[#This Row],[Location Name]], Locations[Location Name],Locations[Group As])</f>
        <v>Swilgate</v>
      </c>
      <c r="H2314" t="e" vm="4">
        <f>_xlfn.XLOOKUP(AllData[[#This Row],[Site Name]],LocationsKey[Site Name],LocationsKey[District])</f>
        <v>#VALUE!</v>
      </c>
      <c r="I2314" t="e" vm="4">
        <f>_xlfn.XLOOKUP(AllData[[#This Row],[Site Name]],LocationsKey[Site Name],LocationsKey[Town])</f>
        <v>#VALUE!</v>
      </c>
      <c r="J2314" t="str">
        <f>_xlfn.XLOOKUP(AllData[[#This Row],[Site Name]],LocationsKey[Site Name], LocationsKey[Waterway])</f>
        <v>Swilgate</v>
      </c>
      <c r="K2314" t="s">
        <v>85</v>
      </c>
      <c r="M2314" s="108"/>
      <c r="N2314" t="s">
        <v>25</v>
      </c>
      <c r="O2314">
        <v>984</v>
      </c>
      <c r="P2314">
        <v>18.5</v>
      </c>
      <c r="Q2314">
        <v>9</v>
      </c>
      <c r="R2314" s="141" t="str">
        <f>IF(AllData[[#This Row],[Nitrate (PPM)]]&gt;2, "Very high", IF(AllData[[#This Row],[Nitrate (PPM)]]&gt;1, "High", IF(AllData[[#This Row],[Nitrate (PPM)]]&gt;0.5, "Some evidence", IF(AllData[[#This Row],[Nitrate (PPM)]]&gt;=0, "No evidence"))))</f>
        <v>Very high</v>
      </c>
      <c r="S2314" s="4">
        <v>0.91</v>
      </c>
      <c r="T2314" s="7" t="str">
        <f>IF(AllData[[#This Row],[Phosphate (PPM)]]&gt;0.5, "Very high", IF(AllData[[#This Row],[Phosphate (PPM)]]&gt;0.1, "High", IF(AllData[[#This Row],[Phosphate (PPM)]]&gt;0.05, "Some evidence", IF(AllData[[#This Row],[Phosphate (PPM)]]&lt;=0.05, "No Evidence", ""))))</f>
        <v>Very high</v>
      </c>
      <c r="U2314">
        <v>0</v>
      </c>
    </row>
    <row r="2315" spans="1:22" x14ac:dyDescent="0.35">
      <c r="A2315" t="s">
        <v>110</v>
      </c>
      <c r="B2315" s="143">
        <v>45160</v>
      </c>
      <c r="C2315" s="2" t="str" cm="1">
        <f t="array" ref="C231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5">
        <f>YEAR(AllData[[#This Row],[Date]])</f>
        <v>2023</v>
      </c>
      <c r="E2315" s="1">
        <v>0.39583333333333331</v>
      </c>
      <c r="F2315" t="str">
        <f>IF(AND(AllData[[#This Row],[Time]]&lt;0.5, AllData[[#This Row],[Time]]&gt;0.17)=TRUE, "Morning", IF(AND(AllData[[#This Row],[Time]]&lt;0.75, AllData[[#This Row],[Time]]&gt;=0.5)=TRUE, "Afternoon", IF(AND(AllData[[#This Row],[Time]]&lt;1, AllData[[#This Row],[Time]]&gt;=0.75)=TRUE, "Evening", "Night")))</f>
        <v>Morning</v>
      </c>
      <c r="G2315" t="str">
        <f>_xlfn.XLOOKUP(AllData[[#This Row],[Location Name]], Locations[Location Name],Locations[Group As])</f>
        <v>Abbey Mill</v>
      </c>
      <c r="H2315" t="e" vm="4">
        <f>_xlfn.XLOOKUP(AllData[[#This Row],[Site Name]],LocationsKey[Site Name],LocationsKey[District])</f>
        <v>#VALUE!</v>
      </c>
      <c r="I2315" t="e" vm="4">
        <f>_xlfn.XLOOKUP(AllData[[#This Row],[Site Name]],LocationsKey[Site Name],LocationsKey[Town])</f>
        <v>#VALUE!</v>
      </c>
      <c r="J2315" t="str">
        <f>_xlfn.XLOOKUP(AllData[[#This Row],[Site Name]],LocationsKey[Site Name], LocationsKey[Waterway])</f>
        <v>Avon</v>
      </c>
      <c r="K2315" t="s">
        <v>27</v>
      </c>
      <c r="L2315">
        <v>51.991433000000001</v>
      </c>
      <c r="M2315" s="108">
        <v>-2.1627329999999998</v>
      </c>
      <c r="N2315" t="s">
        <v>25</v>
      </c>
      <c r="O2315">
        <v>985</v>
      </c>
      <c r="P2315">
        <v>20.8</v>
      </c>
      <c r="Q2315">
        <v>10</v>
      </c>
      <c r="R2315" s="141" t="str">
        <f>IF(AllData[[#This Row],[Nitrate (PPM)]]&gt;2, "Very high", IF(AllData[[#This Row],[Nitrate (PPM)]]&gt;1, "High", IF(AllData[[#This Row],[Nitrate (PPM)]]&gt;0.5, "Some evidence", IF(AllData[[#This Row],[Nitrate (PPM)]]&gt;=0, "No evidence"))))</f>
        <v>Very high</v>
      </c>
      <c r="S2315" s="4">
        <v>0.91</v>
      </c>
      <c r="T2315" s="7" t="str">
        <f>IF(AllData[[#This Row],[Phosphate (PPM)]]&gt;0.5, "Very high", IF(AllData[[#This Row],[Phosphate (PPM)]]&gt;0.1, "High", IF(AllData[[#This Row],[Phosphate (PPM)]]&gt;0.05, "Some evidence", IF(AllData[[#This Row],[Phosphate (PPM)]]&lt;=0.05, "No Evidence", ""))))</f>
        <v>Very high</v>
      </c>
      <c r="U2315">
        <v>0</v>
      </c>
    </row>
    <row r="2316" spans="1:22" x14ac:dyDescent="0.35">
      <c r="A2316" t="s">
        <v>109</v>
      </c>
      <c r="B2316" s="143">
        <v>45159</v>
      </c>
      <c r="C2316" s="2" t="str" cm="1">
        <f t="array" ref="C231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6">
        <f>YEAR(AllData[[#This Row],[Date]])</f>
        <v>2023</v>
      </c>
      <c r="E2316" s="1">
        <v>0.67708333333333337</v>
      </c>
      <c r="F2316" t="str">
        <f>IF(AND(AllData[[#This Row],[Time]]&lt;0.5, AllData[[#This Row],[Time]]&gt;0.17)=TRUE, "Morning", IF(AND(AllData[[#This Row],[Time]]&lt;0.75, AllData[[#This Row],[Time]]&gt;=0.5)=TRUE, "Afternoon", IF(AND(AllData[[#This Row],[Time]]&lt;1, AllData[[#This Row],[Time]]&gt;=0.75)=TRUE, "Evening", "Night")))</f>
        <v>Afternoon</v>
      </c>
      <c r="G2316" t="str">
        <f>_xlfn.XLOOKUP(AllData[[#This Row],[Location Name]], Locations[Location Name],Locations[Group As])</f>
        <v>Weston-on-Avon</v>
      </c>
      <c r="H2316" t="e" vm="1">
        <f>_xlfn.XLOOKUP(AllData[[#This Row],[Site Name]],LocationsKey[Site Name],LocationsKey[District])</f>
        <v>#VALUE!</v>
      </c>
      <c r="I2316" t="e" vm="35">
        <f>_xlfn.XLOOKUP(AllData[[#This Row],[Site Name]],LocationsKey[Site Name],LocationsKey[Town])</f>
        <v>#VALUE!</v>
      </c>
      <c r="J2316" t="str">
        <f>_xlfn.XLOOKUP(AllData[[#This Row],[Site Name]],LocationsKey[Site Name], LocationsKey[Waterway])</f>
        <v>Avon</v>
      </c>
      <c r="K2316" t="s">
        <v>43</v>
      </c>
      <c r="L2316">
        <v>52.167430000000003</v>
      </c>
      <c r="M2316" s="108">
        <v>-1.7744800000000001</v>
      </c>
      <c r="N2316" t="s">
        <v>31</v>
      </c>
      <c r="O2316">
        <v>954</v>
      </c>
      <c r="P2316">
        <v>21.3</v>
      </c>
      <c r="Q2316">
        <v>6</v>
      </c>
      <c r="R2316" s="141" t="str">
        <f>IF(AllData[[#This Row],[Nitrate (PPM)]]&gt;2, "Very high", IF(AllData[[#This Row],[Nitrate (PPM)]]&gt;1, "High", IF(AllData[[#This Row],[Nitrate (PPM)]]&gt;0.5, "Some evidence", IF(AllData[[#This Row],[Nitrate (PPM)]]&gt;=0, "No evidence"))))</f>
        <v>Very high</v>
      </c>
      <c r="S2316" s="4">
        <v>0.68</v>
      </c>
      <c r="T2316" s="7" t="str">
        <f>IF(AllData[[#This Row],[Phosphate (PPM)]]&gt;0.5, "Very high", IF(AllData[[#This Row],[Phosphate (PPM)]]&gt;0.1, "High", IF(AllData[[#This Row],[Phosphate (PPM)]]&gt;0.05, "Some evidence", IF(AllData[[#This Row],[Phosphate (PPM)]]&lt;=0.05, "No Evidence", ""))))</f>
        <v>Very high</v>
      </c>
      <c r="U2316">
        <v>0</v>
      </c>
    </row>
    <row r="2317" spans="1:22" x14ac:dyDescent="0.35">
      <c r="A2317" t="s">
        <v>107</v>
      </c>
      <c r="B2317" s="143">
        <v>45158</v>
      </c>
      <c r="C2317" s="2" t="str" cm="1">
        <f t="array" ref="C231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7">
        <f>YEAR(AllData[[#This Row],[Date]])</f>
        <v>2023</v>
      </c>
      <c r="E2317" s="1">
        <v>0.54166666666666663</v>
      </c>
      <c r="F2317" t="str">
        <f>IF(AND(AllData[[#This Row],[Time]]&lt;0.5, AllData[[#This Row],[Time]]&gt;0.17)=TRUE, "Morning", IF(AND(AllData[[#This Row],[Time]]&lt;0.75, AllData[[#This Row],[Time]]&gt;=0.5)=TRUE, "Afternoon", IF(AND(AllData[[#This Row],[Time]]&lt;1, AllData[[#This Row],[Time]]&gt;=0.75)=TRUE, "Evening", "Night")))</f>
        <v>Afternoon</v>
      </c>
      <c r="G2317" t="str">
        <f>_xlfn.XLOOKUP(AllData[[#This Row],[Location Name]], Locations[Location Name],Locations[Group As])</f>
        <v>Hampton Lucy</v>
      </c>
      <c r="H2317" t="e" vm="1">
        <f>_xlfn.XLOOKUP(AllData[[#This Row],[Site Name]],LocationsKey[Site Name],LocationsKey[District])</f>
        <v>#VALUE!</v>
      </c>
      <c r="I2317" t="e" vm="33">
        <f>_xlfn.XLOOKUP(AllData[[#This Row],[Site Name]],LocationsKey[Site Name],LocationsKey[Town])</f>
        <v>#VALUE!</v>
      </c>
      <c r="J2317" t="str">
        <f>_xlfn.XLOOKUP(AllData[[#This Row],[Site Name]],LocationsKey[Site Name], LocationsKey[Waterway])</f>
        <v>Avon</v>
      </c>
      <c r="K2317" t="s">
        <v>39</v>
      </c>
      <c r="L2317">
        <v>52.211680000000001</v>
      </c>
      <c r="M2317" s="108">
        <v>-1.6244400000000001</v>
      </c>
      <c r="N2317" t="s">
        <v>25</v>
      </c>
      <c r="O2317">
        <v>892</v>
      </c>
      <c r="P2317">
        <v>22.1</v>
      </c>
      <c r="Q2317">
        <v>10</v>
      </c>
      <c r="R2317" s="141" t="str">
        <f>IF(AllData[[#This Row],[Nitrate (PPM)]]&gt;2, "Very high", IF(AllData[[#This Row],[Nitrate (PPM)]]&gt;1, "High", IF(AllData[[#This Row],[Nitrate (PPM)]]&gt;0.5, "Some evidence", IF(AllData[[#This Row],[Nitrate (PPM)]]&gt;=0, "No evidence"))))</f>
        <v>Very high</v>
      </c>
      <c r="S2317" s="4">
        <v>0.56999999999999995</v>
      </c>
      <c r="T2317" s="7" t="str">
        <f>IF(AllData[[#This Row],[Phosphate (PPM)]]&gt;0.5, "Very high", IF(AllData[[#This Row],[Phosphate (PPM)]]&gt;0.1, "High", IF(AllData[[#This Row],[Phosphate (PPM)]]&gt;0.05, "Some evidence", IF(AllData[[#This Row],[Phosphate (PPM)]]&lt;=0.05, "No Evidence", ""))))</f>
        <v>Very high</v>
      </c>
      <c r="U2317">
        <v>0</v>
      </c>
    </row>
    <row r="2318" spans="1:22" x14ac:dyDescent="0.35">
      <c r="A2318" t="s">
        <v>106</v>
      </c>
      <c r="B2318" s="143">
        <v>45158</v>
      </c>
      <c r="C2318" s="2" t="str" cm="1">
        <f t="array" ref="C231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8">
        <f>YEAR(AllData[[#This Row],[Date]])</f>
        <v>2023</v>
      </c>
      <c r="E2318" s="1">
        <v>0.47916666666666669</v>
      </c>
      <c r="F2318" t="str">
        <f>IF(AND(AllData[[#This Row],[Time]]&lt;0.5, AllData[[#This Row],[Time]]&gt;0.17)=TRUE, "Morning", IF(AND(AllData[[#This Row],[Time]]&lt;0.75, AllData[[#This Row],[Time]]&gt;=0.5)=TRUE, "Afternoon", IF(AND(AllData[[#This Row],[Time]]&lt;1, AllData[[#This Row],[Time]]&gt;=0.75)=TRUE, "Evening", "Night")))</f>
        <v>Morning</v>
      </c>
      <c r="G2318" t="str">
        <f>_xlfn.XLOOKUP(AllData[[#This Row],[Location Name]], Locations[Location Name],Locations[Group As])</f>
        <v>Hampton Wood</v>
      </c>
      <c r="H2318" t="e" vm="1">
        <f>_xlfn.XLOOKUP(AllData[[#This Row],[Site Name]],LocationsKey[Site Name],LocationsKey[District])</f>
        <v>#VALUE!</v>
      </c>
      <c r="I2318" t="e" vm="34">
        <f>_xlfn.XLOOKUP(AllData[[#This Row],[Site Name]],LocationsKey[Site Name],LocationsKey[Town])</f>
        <v>#VALUE!</v>
      </c>
      <c r="J2318" t="str">
        <f>_xlfn.XLOOKUP(AllData[[#This Row],[Site Name]],LocationsKey[Site Name], LocationsKey[Waterway])</f>
        <v>Avon</v>
      </c>
      <c r="K2318" t="s">
        <v>36</v>
      </c>
      <c r="L2318">
        <v>52.238149999999997</v>
      </c>
      <c r="M2318" s="108">
        <v>-1.6245799999999999</v>
      </c>
      <c r="N2318" t="s">
        <v>31</v>
      </c>
      <c r="O2318">
        <v>930</v>
      </c>
      <c r="P2318">
        <v>21.4</v>
      </c>
      <c r="Q2318">
        <v>9</v>
      </c>
      <c r="R2318" s="141" t="str">
        <f>IF(AllData[[#This Row],[Nitrate (PPM)]]&gt;2, "Very high", IF(AllData[[#This Row],[Nitrate (PPM)]]&gt;1, "High", IF(AllData[[#This Row],[Nitrate (PPM)]]&gt;0.5, "Some evidence", IF(AllData[[#This Row],[Nitrate (PPM)]]&gt;=0, "No evidence"))))</f>
        <v>Very high</v>
      </c>
      <c r="S2318" s="4">
        <v>0.49</v>
      </c>
      <c r="T2318" s="7" t="str">
        <f>IF(AllData[[#This Row],[Phosphate (PPM)]]&gt;0.5, "Very high", IF(AllData[[#This Row],[Phosphate (PPM)]]&gt;0.1, "High", IF(AllData[[#This Row],[Phosphate (PPM)]]&gt;0.05, "Some evidence", IF(AllData[[#This Row],[Phosphate (PPM)]]&lt;=0.05, "No Evidence", ""))))</f>
        <v>High</v>
      </c>
      <c r="U2318">
        <v>0</v>
      </c>
    </row>
    <row r="2319" spans="1:22" x14ac:dyDescent="0.35">
      <c r="A2319" t="s">
        <v>108</v>
      </c>
      <c r="B2319" s="143">
        <v>45158</v>
      </c>
      <c r="C2319" s="2" t="str" cm="1">
        <f t="array" ref="C231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19">
        <f>YEAR(AllData[[#This Row],[Date]])</f>
        <v>2023</v>
      </c>
      <c r="E2319" s="1">
        <v>0.70833333333333337</v>
      </c>
      <c r="F2319" t="str">
        <f>IF(AND(AllData[[#This Row],[Time]]&lt;0.5, AllData[[#This Row],[Time]]&gt;0.17)=TRUE, "Morning", IF(AND(AllData[[#This Row],[Time]]&lt;0.75, AllData[[#This Row],[Time]]&gt;=0.5)=TRUE, "Afternoon", IF(AND(AllData[[#This Row],[Time]]&lt;1, AllData[[#This Row],[Time]]&gt;=0.75)=TRUE, "Evening", "Night")))</f>
        <v>Afternoon</v>
      </c>
      <c r="G2319" t="str">
        <f>_xlfn.XLOOKUP(AllData[[#This Row],[Location Name]], Locations[Location Name],Locations[Group As])</f>
        <v>Welford Boat Station</v>
      </c>
      <c r="H2319" t="e" vm="1">
        <f>_xlfn.XLOOKUP(AllData[[#This Row],[Site Name]],LocationsKey[Site Name],LocationsKey[District])</f>
        <v>#VALUE!</v>
      </c>
      <c r="I2319" t="e" vm="36">
        <f>_xlfn.XLOOKUP(AllData[[#This Row],[Site Name]],LocationsKey[Site Name],LocationsKey[Town])</f>
        <v>#VALUE!</v>
      </c>
      <c r="J2319" t="str">
        <f>_xlfn.XLOOKUP(AllData[[#This Row],[Site Name]],LocationsKey[Site Name], LocationsKey[Waterway])</f>
        <v>Avon</v>
      </c>
      <c r="K2319" t="s">
        <v>41</v>
      </c>
      <c r="L2319">
        <v>52.175240000000002</v>
      </c>
      <c r="M2319" s="108">
        <v>-1.7918700000000001</v>
      </c>
      <c r="N2319" t="s">
        <v>31</v>
      </c>
      <c r="O2319">
        <v>896</v>
      </c>
      <c r="P2319">
        <v>21.3</v>
      </c>
      <c r="Q2319">
        <v>4</v>
      </c>
      <c r="R2319" s="141" t="str">
        <f>IF(AllData[[#This Row],[Nitrate (PPM)]]&gt;2, "Very high", IF(AllData[[#This Row],[Nitrate (PPM)]]&gt;1, "High", IF(AllData[[#This Row],[Nitrate (PPM)]]&gt;0.5, "Some evidence", IF(AllData[[#This Row],[Nitrate (PPM)]]&gt;=0, "No evidence"))))</f>
        <v>Very high</v>
      </c>
      <c r="S2319" s="4">
        <v>0.51</v>
      </c>
      <c r="T2319" s="7" t="str">
        <f>IF(AllData[[#This Row],[Phosphate (PPM)]]&gt;0.5, "Very high", IF(AllData[[#This Row],[Phosphate (PPM)]]&gt;0.1, "High", IF(AllData[[#This Row],[Phosphate (PPM)]]&gt;0.05, "Some evidence", IF(AllData[[#This Row],[Phosphate (PPM)]]&lt;=0.05, "No Evidence", ""))))</f>
        <v>Very high</v>
      </c>
      <c r="U2319">
        <v>0</v>
      </c>
      <c r="V2319" t="s">
        <v>97</v>
      </c>
    </row>
    <row r="2320" spans="1:22" x14ac:dyDescent="0.35">
      <c r="A2320" t="s">
        <v>105</v>
      </c>
      <c r="B2320" s="143">
        <v>45157</v>
      </c>
      <c r="C2320" s="2" t="str" cm="1">
        <f t="array" ref="C232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0">
        <f>YEAR(AllData[[#This Row],[Date]])</f>
        <v>2023</v>
      </c>
      <c r="E2320" s="1">
        <v>0.75</v>
      </c>
      <c r="F2320" t="str">
        <f>IF(AND(AllData[[#This Row],[Time]]&lt;0.5, AllData[[#This Row],[Time]]&gt;0.17)=TRUE, "Morning", IF(AND(AllData[[#This Row],[Time]]&lt;0.75, AllData[[#This Row],[Time]]&gt;=0.5)=TRUE, "Afternoon", IF(AND(AllData[[#This Row],[Time]]&lt;1, AllData[[#This Row],[Time]]&gt;=0.75)=TRUE, "Evening", "Night")))</f>
        <v>Evening</v>
      </c>
      <c r="G2320" t="str">
        <f>_xlfn.XLOOKUP(AllData[[#This Row],[Location Name]], Locations[Location Name],Locations[Group As])</f>
        <v>Pitch 16</v>
      </c>
      <c r="H2320" t="e" vm="1">
        <f>_xlfn.XLOOKUP(AllData[[#This Row],[Site Name]],LocationsKey[Site Name],LocationsKey[District])</f>
        <v>#VALUE!</v>
      </c>
      <c r="I2320" t="e" vm="12">
        <f>_xlfn.XLOOKUP(AllData[[#This Row],[Site Name]],LocationsKey[Site Name],LocationsKey[Town])</f>
        <v>#VALUE!</v>
      </c>
      <c r="J2320" t="str">
        <f>_xlfn.XLOOKUP(AllData[[#This Row],[Site Name]],LocationsKey[Site Name], LocationsKey[Waterway])</f>
        <v>Avon</v>
      </c>
      <c r="K2320" t="s">
        <v>71</v>
      </c>
      <c r="M2320" s="108"/>
      <c r="N2320" t="s">
        <v>31</v>
      </c>
      <c r="O2320">
        <v>952</v>
      </c>
      <c r="P2320">
        <v>19.7</v>
      </c>
      <c r="Q2320">
        <v>10</v>
      </c>
      <c r="R2320" s="141" t="str">
        <f>IF(AllData[[#This Row],[Nitrate (PPM)]]&gt;2, "Very high", IF(AllData[[#This Row],[Nitrate (PPM)]]&gt;1, "High", IF(AllData[[#This Row],[Nitrate (PPM)]]&gt;0.5, "Some evidence", IF(AllData[[#This Row],[Nitrate (PPM)]]&gt;=0, "No evidence"))))</f>
        <v>Very high</v>
      </c>
      <c r="S2320" s="4">
        <v>0.55000000000000004</v>
      </c>
      <c r="T2320" s="7" t="str">
        <f>IF(AllData[[#This Row],[Phosphate (PPM)]]&gt;0.5, "Very high", IF(AllData[[#This Row],[Phosphate (PPM)]]&gt;0.1, "High", IF(AllData[[#This Row],[Phosphate (PPM)]]&gt;0.05, "Some evidence", IF(AllData[[#This Row],[Phosphate (PPM)]]&lt;=0.05, "No Evidence", ""))))</f>
        <v>Very high</v>
      </c>
      <c r="U2320">
        <v>0.57999999999999996</v>
      </c>
    </row>
    <row r="2321" spans="1:22" x14ac:dyDescent="0.35">
      <c r="A2321" t="s">
        <v>103</v>
      </c>
      <c r="B2321" s="143">
        <v>45157</v>
      </c>
      <c r="C2321" s="2" t="str" cm="1">
        <f t="array" ref="C232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1">
        <f>YEAR(AllData[[#This Row],[Date]])</f>
        <v>2023</v>
      </c>
      <c r="E2321" s="1">
        <v>0.74861111111111112</v>
      </c>
      <c r="F2321" t="str">
        <f>IF(AND(AllData[[#This Row],[Time]]&lt;0.5, AllData[[#This Row],[Time]]&gt;0.17)=TRUE, "Morning", IF(AND(AllData[[#This Row],[Time]]&lt;0.75, AllData[[#This Row],[Time]]&gt;=0.5)=TRUE, "Afternoon", IF(AND(AllData[[#This Row],[Time]]&lt;1, AllData[[#This Row],[Time]]&gt;=0.75)=TRUE, "Evening", "Night")))</f>
        <v>Afternoon</v>
      </c>
      <c r="G2321" t="str">
        <f>_xlfn.XLOOKUP(AllData[[#This Row],[Location Name]], Locations[Location Name],Locations[Group As])</f>
        <v>Avonbank Drive</v>
      </c>
      <c r="H2321" t="e" vm="1">
        <f>_xlfn.XLOOKUP(AllData[[#This Row],[Site Name]],LocationsKey[Site Name],LocationsKey[District])</f>
        <v>#VALUE!</v>
      </c>
      <c r="I2321" t="e" vm="12">
        <f>_xlfn.XLOOKUP(AllData[[#This Row],[Site Name]],LocationsKey[Site Name],LocationsKey[Town])</f>
        <v>#VALUE!</v>
      </c>
      <c r="J2321" t="str">
        <f>_xlfn.XLOOKUP(AllData[[#This Row],[Site Name]],LocationsKey[Site Name], LocationsKey[Waterway])</f>
        <v>Avon</v>
      </c>
      <c r="K2321" t="s">
        <v>104</v>
      </c>
      <c r="L2321">
        <v>52.177</v>
      </c>
      <c r="M2321" s="108">
        <v>-1.736</v>
      </c>
      <c r="N2321" t="s">
        <v>68</v>
      </c>
      <c r="O2321">
        <v>919</v>
      </c>
      <c r="P2321">
        <v>20.7</v>
      </c>
      <c r="Q2321">
        <v>10</v>
      </c>
      <c r="R2321" s="141" t="str">
        <f>IF(AllData[[#This Row],[Nitrate (PPM)]]&gt;2, "Very high", IF(AllData[[#This Row],[Nitrate (PPM)]]&gt;1, "High", IF(AllData[[#This Row],[Nitrate (PPM)]]&gt;0.5, "Some evidence", IF(AllData[[#This Row],[Nitrate (PPM)]]&gt;=0, "No evidence"))))</f>
        <v>Very high</v>
      </c>
      <c r="S2321" s="4">
        <v>0.49</v>
      </c>
      <c r="T2321" s="7" t="str">
        <f>IF(AllData[[#This Row],[Phosphate (PPM)]]&gt;0.5, "Very high", IF(AllData[[#This Row],[Phosphate (PPM)]]&gt;0.1, "High", IF(AllData[[#This Row],[Phosphate (PPM)]]&gt;0.05, "Some evidence", IF(AllData[[#This Row],[Phosphate (PPM)]]&lt;=0.05, "No Evidence", ""))))</f>
        <v>High</v>
      </c>
      <c r="U2321">
        <v>0.57999999999999996</v>
      </c>
    </row>
    <row r="2322" spans="1:22" x14ac:dyDescent="0.35">
      <c r="A2322" t="s">
        <v>102</v>
      </c>
      <c r="B2322" s="143">
        <v>45157</v>
      </c>
      <c r="C2322" s="2" t="str" cm="1">
        <f t="array" ref="C232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2">
        <f>YEAR(AllData[[#This Row],[Date]])</f>
        <v>2023</v>
      </c>
      <c r="E2322" s="1">
        <v>0.60416666666666663</v>
      </c>
      <c r="F2322" t="str">
        <f>IF(AND(AllData[[#This Row],[Time]]&lt;0.5, AllData[[#This Row],[Time]]&gt;0.17)=TRUE, "Morning", IF(AND(AllData[[#This Row],[Time]]&lt;0.75, AllData[[#This Row],[Time]]&gt;=0.5)=TRUE, "Afternoon", IF(AND(AllData[[#This Row],[Time]]&lt;1, AllData[[#This Row],[Time]]&gt;=0.75)=TRUE, "Evening", "Night")))</f>
        <v>Afternoon</v>
      </c>
      <c r="G2322" t="str">
        <f>_xlfn.XLOOKUP(AllData[[#This Row],[Location Name]], Locations[Location Name],Locations[Group As])</f>
        <v>Carrant Bredon Rd</v>
      </c>
      <c r="H2322" t="e" vm="4">
        <f>_xlfn.XLOOKUP(AllData[[#This Row],[Site Name]],LocationsKey[Site Name],LocationsKey[District])</f>
        <v>#VALUE!</v>
      </c>
      <c r="I2322" t="e" vm="4">
        <f>_xlfn.XLOOKUP(AllData[[#This Row],[Site Name]],LocationsKey[Site Name],LocationsKey[Town])</f>
        <v>#VALUE!</v>
      </c>
      <c r="J2322" t="str">
        <f>_xlfn.XLOOKUP(AllData[[#This Row],[Site Name]],LocationsKey[Site Name], LocationsKey[Waterway])</f>
        <v>Carrant</v>
      </c>
      <c r="K2322" t="s">
        <v>91</v>
      </c>
      <c r="M2322" s="108"/>
      <c r="N2322" t="s">
        <v>25</v>
      </c>
      <c r="O2322">
        <v>632</v>
      </c>
      <c r="P2322">
        <v>19.399999999999999</v>
      </c>
      <c r="Q2322">
        <v>5</v>
      </c>
      <c r="R2322" s="141" t="str">
        <f>IF(AllData[[#This Row],[Nitrate (PPM)]]&gt;2, "Very high", IF(AllData[[#This Row],[Nitrate (PPM)]]&gt;1, "High", IF(AllData[[#This Row],[Nitrate (PPM)]]&gt;0.5, "Some evidence", IF(AllData[[#This Row],[Nitrate (PPM)]]&gt;=0, "No evidence"))))</f>
        <v>Very high</v>
      </c>
      <c r="S2322" s="4">
        <v>0.64</v>
      </c>
      <c r="T2322" s="7" t="str">
        <f>IF(AllData[[#This Row],[Phosphate (PPM)]]&gt;0.5, "Very high", IF(AllData[[#This Row],[Phosphate (PPM)]]&gt;0.1, "High", IF(AllData[[#This Row],[Phosphate (PPM)]]&gt;0.05, "Some evidence", IF(AllData[[#This Row],[Phosphate (PPM)]]&lt;=0.05, "No Evidence", ""))))</f>
        <v>Very high</v>
      </c>
      <c r="U2322">
        <v>0</v>
      </c>
    </row>
    <row r="2323" spans="1:22" x14ac:dyDescent="0.35">
      <c r="A2323" t="s">
        <v>101</v>
      </c>
      <c r="B2323" s="143">
        <v>45155</v>
      </c>
      <c r="C2323" s="2" t="str" cm="1">
        <f t="array" ref="C232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3">
        <f>YEAR(AllData[[#This Row],[Date]])</f>
        <v>2023</v>
      </c>
      <c r="E2323" s="1">
        <v>0.44097222222222221</v>
      </c>
      <c r="F2323" t="str">
        <f>IF(AND(AllData[[#This Row],[Time]]&lt;0.5, AllData[[#This Row],[Time]]&gt;0.17)=TRUE, "Morning", IF(AND(AllData[[#This Row],[Time]]&lt;0.75, AllData[[#This Row],[Time]]&gt;=0.5)=TRUE, "Afternoon", IF(AND(AllData[[#This Row],[Time]]&lt;1, AllData[[#This Row],[Time]]&gt;=0.75)=TRUE, "Evening", "Night")))</f>
        <v>Morning</v>
      </c>
      <c r="G2323" t="str">
        <f>_xlfn.XLOOKUP(AllData[[#This Row],[Location Name]], Locations[Location Name],Locations[Group As])</f>
        <v>Swilgate</v>
      </c>
      <c r="H2323" t="e" vm="4">
        <f>_xlfn.XLOOKUP(AllData[[#This Row],[Site Name]],LocationsKey[Site Name],LocationsKey[District])</f>
        <v>#VALUE!</v>
      </c>
      <c r="I2323" t="e" vm="4">
        <f>_xlfn.XLOOKUP(AllData[[#This Row],[Site Name]],LocationsKey[Site Name],LocationsKey[Town])</f>
        <v>#VALUE!</v>
      </c>
      <c r="J2323" t="str">
        <f>_xlfn.XLOOKUP(AllData[[#This Row],[Site Name]],LocationsKey[Site Name], LocationsKey[Waterway])</f>
        <v>Swilgate</v>
      </c>
      <c r="K2323" t="s">
        <v>85</v>
      </c>
      <c r="M2323" s="108"/>
      <c r="N2323" t="s">
        <v>25</v>
      </c>
      <c r="O2323">
        <v>890</v>
      </c>
      <c r="P2323">
        <v>18.3</v>
      </c>
      <c r="Q2323">
        <v>7</v>
      </c>
      <c r="R2323" s="141" t="str">
        <f>IF(AllData[[#This Row],[Nitrate (PPM)]]&gt;2, "Very high", IF(AllData[[#This Row],[Nitrate (PPM)]]&gt;1, "High", IF(AllData[[#This Row],[Nitrate (PPM)]]&gt;0.5, "Some evidence", IF(AllData[[#This Row],[Nitrate (PPM)]]&gt;=0, "No evidence"))))</f>
        <v>Very high</v>
      </c>
      <c r="S2323" s="4">
        <v>0.65</v>
      </c>
      <c r="T2323" s="7" t="str">
        <f>IF(AllData[[#This Row],[Phosphate (PPM)]]&gt;0.5, "Very high", IF(AllData[[#This Row],[Phosphate (PPM)]]&gt;0.1, "High", IF(AllData[[#This Row],[Phosphate (PPM)]]&gt;0.05, "Some evidence", IF(AllData[[#This Row],[Phosphate (PPM)]]&lt;=0.05, "No Evidence", ""))))</f>
        <v>Very high</v>
      </c>
      <c r="U2323">
        <v>0</v>
      </c>
    </row>
    <row r="2324" spans="1:22" x14ac:dyDescent="0.35">
      <c r="A2324" t="s">
        <v>100</v>
      </c>
      <c r="B2324" s="143">
        <v>45154</v>
      </c>
      <c r="C2324" s="2" t="str" cm="1">
        <f t="array" ref="C232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4">
        <f>YEAR(AllData[[#This Row],[Date]])</f>
        <v>2023</v>
      </c>
      <c r="E2324" s="1">
        <v>0.81388888888888888</v>
      </c>
      <c r="F2324" t="str">
        <f>IF(AND(AllData[[#This Row],[Time]]&lt;0.5, AllData[[#This Row],[Time]]&gt;0.17)=TRUE, "Morning", IF(AND(AllData[[#This Row],[Time]]&lt;0.75, AllData[[#This Row],[Time]]&gt;=0.5)=TRUE, "Afternoon", IF(AND(AllData[[#This Row],[Time]]&lt;1, AllData[[#This Row],[Time]]&gt;=0.75)=TRUE, "Evening", "Night")))</f>
        <v>Evening</v>
      </c>
      <c r="G2324" t="str">
        <f>_xlfn.XLOOKUP(AllData[[#This Row],[Location Name]], Locations[Location Name],Locations[Group As])</f>
        <v>Abbey Mill</v>
      </c>
      <c r="H2324" t="e" vm="4">
        <f>_xlfn.XLOOKUP(AllData[[#This Row],[Site Name]],LocationsKey[Site Name],LocationsKey[District])</f>
        <v>#VALUE!</v>
      </c>
      <c r="I2324" t="e" vm="4">
        <f>_xlfn.XLOOKUP(AllData[[#This Row],[Site Name]],LocationsKey[Site Name],LocationsKey[Town])</f>
        <v>#VALUE!</v>
      </c>
      <c r="J2324" t="str">
        <f>_xlfn.XLOOKUP(AllData[[#This Row],[Site Name]],LocationsKey[Site Name], LocationsKey[Waterway])</f>
        <v>Avon</v>
      </c>
      <c r="K2324" t="s">
        <v>27</v>
      </c>
      <c r="L2324">
        <v>51.991405999999998</v>
      </c>
      <c r="M2324" s="108">
        <v>-2.162811</v>
      </c>
      <c r="N2324" t="s">
        <v>25</v>
      </c>
      <c r="O2324">
        <v>931</v>
      </c>
      <c r="P2324">
        <v>21.2</v>
      </c>
      <c r="Q2324">
        <v>7</v>
      </c>
      <c r="R2324" s="141" t="str">
        <f>IF(AllData[[#This Row],[Nitrate (PPM)]]&gt;2, "Very high", IF(AllData[[#This Row],[Nitrate (PPM)]]&gt;1, "High", IF(AllData[[#This Row],[Nitrate (PPM)]]&gt;0.5, "Some evidence", IF(AllData[[#This Row],[Nitrate (PPM)]]&gt;=0, "No evidence"))))</f>
        <v>Very high</v>
      </c>
      <c r="S2324" s="4">
        <v>1.05</v>
      </c>
      <c r="T2324" s="7" t="str">
        <f>IF(AllData[[#This Row],[Phosphate (PPM)]]&gt;0.5, "Very high", IF(AllData[[#This Row],[Phosphate (PPM)]]&gt;0.1, "High", IF(AllData[[#This Row],[Phosphate (PPM)]]&gt;0.05, "Some evidence", IF(AllData[[#This Row],[Phosphate (PPM)]]&lt;=0.05, "No Evidence", ""))))</f>
        <v>Very high</v>
      </c>
      <c r="U2324">
        <v>0</v>
      </c>
    </row>
    <row r="2325" spans="1:22" x14ac:dyDescent="0.35">
      <c r="A2325" t="s">
        <v>98</v>
      </c>
      <c r="B2325" s="143">
        <v>45152</v>
      </c>
      <c r="C2325" s="2" t="str" cm="1">
        <f t="array" ref="C232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5">
        <f>YEAR(AllData[[#This Row],[Date]])</f>
        <v>2023</v>
      </c>
      <c r="E2325" s="1">
        <v>0.5</v>
      </c>
      <c r="F2325" t="str">
        <f>IF(AND(AllData[[#This Row],[Time]]&lt;0.5, AllData[[#This Row],[Time]]&gt;0.17)=TRUE, "Morning", IF(AND(AllData[[#This Row],[Time]]&lt;0.75, AllData[[#This Row],[Time]]&gt;=0.5)=TRUE, "Afternoon", IF(AND(AllData[[#This Row],[Time]]&lt;1, AllData[[#This Row],[Time]]&gt;=0.75)=TRUE, "Evening", "Night")))</f>
        <v>Afternoon</v>
      </c>
      <c r="G2325" t="str">
        <f>_xlfn.XLOOKUP(AllData[[#This Row],[Location Name]], Locations[Location Name],Locations[Group As])</f>
        <v>Barton</v>
      </c>
      <c r="H2325" t="e" vm="1">
        <f>_xlfn.XLOOKUP(AllData[[#This Row],[Site Name]],LocationsKey[Site Name],LocationsKey[District])</f>
        <v>#VALUE!</v>
      </c>
      <c r="I2325" t="str">
        <f>_xlfn.XLOOKUP(AllData[[#This Row],[Site Name]],LocationsKey[Site Name],LocationsKey[Town])</f>
        <v>Barton</v>
      </c>
      <c r="J2325" t="str">
        <f>_xlfn.XLOOKUP(AllData[[#This Row],[Site Name]],LocationsKey[Site Name], LocationsKey[Waterway])</f>
        <v>Avon</v>
      </c>
      <c r="K2325" t="s">
        <v>51</v>
      </c>
      <c r="L2325">
        <v>52.161209999999997</v>
      </c>
      <c r="M2325" s="108">
        <v>-1.8301499999999999</v>
      </c>
      <c r="N2325" t="s">
        <v>31</v>
      </c>
      <c r="O2325">
        <v>932</v>
      </c>
      <c r="P2325">
        <v>18.399999999999999</v>
      </c>
      <c r="Q2325">
        <v>6</v>
      </c>
      <c r="R2325" s="141" t="str">
        <f>IF(AllData[[#This Row],[Nitrate (PPM)]]&gt;2, "Very high", IF(AllData[[#This Row],[Nitrate (PPM)]]&gt;1, "High", IF(AllData[[#This Row],[Nitrate (PPM)]]&gt;0.5, "Some evidence", IF(AllData[[#This Row],[Nitrate (PPM)]]&gt;=0, "No evidence"))))</f>
        <v>Very high</v>
      </c>
      <c r="S2325" s="4">
        <v>0.73</v>
      </c>
      <c r="T2325" s="7" t="str">
        <f>IF(AllData[[#This Row],[Phosphate (PPM)]]&gt;0.5, "Very high", IF(AllData[[#This Row],[Phosphate (PPM)]]&gt;0.1, "High", IF(AllData[[#This Row],[Phosphate (PPM)]]&gt;0.05, "Some evidence", IF(AllData[[#This Row],[Phosphate (PPM)]]&lt;=0.05, "No Evidence", ""))))</f>
        <v>Very high</v>
      </c>
      <c r="U2325">
        <v>0</v>
      </c>
    </row>
    <row r="2326" spans="1:22" x14ac:dyDescent="0.35">
      <c r="A2326" t="s">
        <v>99</v>
      </c>
      <c r="B2326" s="143">
        <v>45152</v>
      </c>
      <c r="C2326" s="2" t="str" cm="1">
        <f t="array" ref="C232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6">
        <f>YEAR(AllData[[#This Row],[Date]])</f>
        <v>2023</v>
      </c>
      <c r="E2326" s="1">
        <v>0.63194444444444442</v>
      </c>
      <c r="F2326" t="str">
        <f>IF(AND(AllData[[#This Row],[Time]]&lt;0.5, AllData[[#This Row],[Time]]&gt;0.17)=TRUE, "Morning", IF(AND(AllData[[#This Row],[Time]]&lt;0.75, AllData[[#This Row],[Time]]&gt;=0.5)=TRUE, "Afternoon", IF(AND(AllData[[#This Row],[Time]]&lt;1, AllData[[#This Row],[Time]]&gt;=0.75)=TRUE, "Evening", "Night")))</f>
        <v>Afternoon</v>
      </c>
      <c r="G2326" t="str">
        <f>_xlfn.XLOOKUP(AllData[[#This Row],[Location Name]], Locations[Location Name],Locations[Group As])</f>
        <v>Weston-on-Avon</v>
      </c>
      <c r="H2326" t="e" vm="1">
        <f>_xlfn.XLOOKUP(AllData[[#This Row],[Site Name]],LocationsKey[Site Name],LocationsKey[District])</f>
        <v>#VALUE!</v>
      </c>
      <c r="I2326" t="e" vm="35">
        <f>_xlfn.XLOOKUP(AllData[[#This Row],[Site Name]],LocationsKey[Site Name],LocationsKey[Town])</f>
        <v>#VALUE!</v>
      </c>
      <c r="J2326" t="str">
        <f>_xlfn.XLOOKUP(AllData[[#This Row],[Site Name]],LocationsKey[Site Name], LocationsKey[Waterway])</f>
        <v>Avon</v>
      </c>
      <c r="K2326" t="s">
        <v>43</v>
      </c>
      <c r="L2326">
        <v>52.167430000000003</v>
      </c>
      <c r="M2326" s="108">
        <v>-1.7744800000000001</v>
      </c>
      <c r="N2326" t="s">
        <v>31</v>
      </c>
      <c r="O2326">
        <v>948</v>
      </c>
      <c r="P2326">
        <v>20</v>
      </c>
      <c r="Q2326">
        <v>5</v>
      </c>
      <c r="R2326" s="141" t="str">
        <f>IF(AllData[[#This Row],[Nitrate (PPM)]]&gt;2, "Very high", IF(AllData[[#This Row],[Nitrate (PPM)]]&gt;1, "High", IF(AllData[[#This Row],[Nitrate (PPM)]]&gt;0.5, "Some evidence", IF(AllData[[#This Row],[Nitrate (PPM)]]&gt;=0, "No evidence"))))</f>
        <v>Very high</v>
      </c>
      <c r="S2326" s="4">
        <v>0.84</v>
      </c>
      <c r="T2326" s="7" t="str">
        <f>IF(AllData[[#This Row],[Phosphate (PPM)]]&gt;0.5, "Very high", IF(AllData[[#This Row],[Phosphate (PPM)]]&gt;0.1, "High", IF(AllData[[#This Row],[Phosphate (PPM)]]&gt;0.05, "Some evidence", IF(AllData[[#This Row],[Phosphate (PPM)]]&lt;=0.05, "No Evidence", ""))))</f>
        <v>Very high</v>
      </c>
      <c r="U2326">
        <v>0</v>
      </c>
    </row>
    <row r="2327" spans="1:22" x14ac:dyDescent="0.35">
      <c r="A2327" t="s">
        <v>96</v>
      </c>
      <c r="B2327" s="143">
        <v>45151</v>
      </c>
      <c r="C2327" s="2" t="str" cm="1">
        <f t="array" ref="C232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7">
        <f>YEAR(AllData[[#This Row],[Date]])</f>
        <v>2023</v>
      </c>
      <c r="E2327" s="1">
        <v>0.79166666666666663</v>
      </c>
      <c r="F2327" t="str">
        <f>IF(AND(AllData[[#This Row],[Time]]&lt;0.5, AllData[[#This Row],[Time]]&gt;0.17)=TRUE, "Morning", IF(AND(AllData[[#This Row],[Time]]&lt;0.75, AllData[[#This Row],[Time]]&gt;=0.5)=TRUE, "Afternoon", IF(AND(AllData[[#This Row],[Time]]&lt;1, AllData[[#This Row],[Time]]&gt;=0.75)=TRUE, "Evening", "Night")))</f>
        <v>Evening</v>
      </c>
      <c r="G2327" t="str">
        <f>_xlfn.XLOOKUP(AllData[[#This Row],[Location Name]], Locations[Location Name],Locations[Group As])</f>
        <v>Welford Boat Station</v>
      </c>
      <c r="H2327" t="e" vm="1">
        <f>_xlfn.XLOOKUP(AllData[[#This Row],[Site Name]],LocationsKey[Site Name],LocationsKey[District])</f>
        <v>#VALUE!</v>
      </c>
      <c r="I2327" t="e" vm="36">
        <f>_xlfn.XLOOKUP(AllData[[#This Row],[Site Name]],LocationsKey[Site Name],LocationsKey[Town])</f>
        <v>#VALUE!</v>
      </c>
      <c r="J2327" t="str">
        <f>_xlfn.XLOOKUP(AllData[[#This Row],[Site Name]],LocationsKey[Site Name], LocationsKey[Waterway])</f>
        <v>Avon</v>
      </c>
      <c r="K2327" t="s">
        <v>41</v>
      </c>
      <c r="L2327">
        <v>52.173999000000002</v>
      </c>
      <c r="M2327" s="108">
        <v>-1.791587</v>
      </c>
      <c r="N2327" t="s">
        <v>31</v>
      </c>
      <c r="O2327">
        <v>952</v>
      </c>
      <c r="P2327">
        <v>19.3</v>
      </c>
      <c r="Q2327">
        <v>9</v>
      </c>
      <c r="R2327" s="141" t="str">
        <f>IF(AllData[[#This Row],[Nitrate (PPM)]]&gt;2, "Very high", IF(AllData[[#This Row],[Nitrate (PPM)]]&gt;1, "High", IF(AllData[[#This Row],[Nitrate (PPM)]]&gt;0.5, "Some evidence", IF(AllData[[#This Row],[Nitrate (PPM)]]&gt;=0, "No evidence"))))</f>
        <v>Very high</v>
      </c>
      <c r="S2327" s="4">
        <v>0.61</v>
      </c>
      <c r="T2327" s="7" t="str">
        <f>IF(AllData[[#This Row],[Phosphate (PPM)]]&gt;0.5, "Very high", IF(AllData[[#This Row],[Phosphate (PPM)]]&gt;0.1, "High", IF(AllData[[#This Row],[Phosphate (PPM)]]&gt;0.05, "Some evidence", IF(AllData[[#This Row],[Phosphate (PPM)]]&lt;=0.05, "No Evidence", ""))))</f>
        <v>Very high</v>
      </c>
      <c r="U2327">
        <v>0</v>
      </c>
      <c r="V2327" t="s">
        <v>97</v>
      </c>
    </row>
    <row r="2328" spans="1:22" x14ac:dyDescent="0.35">
      <c r="A2328" t="s">
        <v>95</v>
      </c>
      <c r="B2328" s="143">
        <v>45151</v>
      </c>
      <c r="C2328" s="2" t="str" cm="1">
        <f t="array" ref="C232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8">
        <f>YEAR(AllData[[#This Row],[Date]])</f>
        <v>2023</v>
      </c>
      <c r="E2328" s="1">
        <v>0.63194444444444442</v>
      </c>
      <c r="F2328" t="str">
        <f>IF(AND(AllData[[#This Row],[Time]]&lt;0.5, AllData[[#This Row],[Time]]&gt;0.17)=TRUE, "Morning", IF(AND(AllData[[#This Row],[Time]]&lt;0.75, AllData[[#This Row],[Time]]&gt;=0.5)=TRUE, "Afternoon", IF(AND(AllData[[#This Row],[Time]]&lt;1, AllData[[#This Row],[Time]]&gt;=0.75)=TRUE, "Evening", "Night")))</f>
        <v>Afternoon</v>
      </c>
      <c r="G2328" t="str">
        <f>_xlfn.XLOOKUP(AllData[[#This Row],[Location Name]], Locations[Location Name],Locations[Group As])</f>
        <v>Abbey Mill</v>
      </c>
      <c r="H2328" t="e" vm="4">
        <f>_xlfn.XLOOKUP(AllData[[#This Row],[Site Name]],LocationsKey[Site Name],LocationsKey[District])</f>
        <v>#VALUE!</v>
      </c>
      <c r="I2328" t="e" vm="4">
        <f>_xlfn.XLOOKUP(AllData[[#This Row],[Site Name]],LocationsKey[Site Name],LocationsKey[Town])</f>
        <v>#VALUE!</v>
      </c>
      <c r="J2328" t="str">
        <f>_xlfn.XLOOKUP(AllData[[#This Row],[Site Name]],LocationsKey[Site Name], LocationsKey[Waterway])</f>
        <v>Avon</v>
      </c>
      <c r="K2328" t="s">
        <v>27</v>
      </c>
      <c r="L2328">
        <v>51.991483000000002</v>
      </c>
      <c r="M2328" s="108">
        <v>-2.16275</v>
      </c>
      <c r="N2328" t="s">
        <v>25</v>
      </c>
      <c r="O2328">
        <v>896</v>
      </c>
      <c r="P2328">
        <v>19.7</v>
      </c>
      <c r="Q2328">
        <v>8</v>
      </c>
      <c r="R2328" s="141" t="str">
        <f>IF(AllData[[#This Row],[Nitrate (PPM)]]&gt;2, "Very high", IF(AllData[[#This Row],[Nitrate (PPM)]]&gt;1, "High", IF(AllData[[#This Row],[Nitrate (PPM)]]&gt;0.5, "Some evidence", IF(AllData[[#This Row],[Nitrate (PPM)]]&gt;=0, "No evidence"))))</f>
        <v>Very high</v>
      </c>
      <c r="S2328" s="4">
        <v>0.91</v>
      </c>
      <c r="T2328" s="7" t="str">
        <f>IF(AllData[[#This Row],[Phosphate (PPM)]]&gt;0.5, "Very high", IF(AllData[[#This Row],[Phosphate (PPM)]]&gt;0.1, "High", IF(AllData[[#This Row],[Phosphate (PPM)]]&gt;0.05, "Some evidence", IF(AllData[[#This Row],[Phosphate (PPM)]]&lt;=0.05, "No Evidence", ""))))</f>
        <v>Very high</v>
      </c>
      <c r="U2328">
        <v>0</v>
      </c>
    </row>
    <row r="2329" spans="1:22" x14ac:dyDescent="0.35">
      <c r="A2329" t="s">
        <v>93</v>
      </c>
      <c r="B2329" s="143">
        <v>45151</v>
      </c>
      <c r="C2329" s="2" t="str" cm="1">
        <f t="array" ref="C232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29">
        <f>YEAR(AllData[[#This Row],[Date]])</f>
        <v>2023</v>
      </c>
      <c r="E2329" s="1">
        <v>0.46875</v>
      </c>
      <c r="F2329" t="str">
        <f>IF(AND(AllData[[#This Row],[Time]]&lt;0.5, AllData[[#This Row],[Time]]&gt;0.17)=TRUE, "Morning", IF(AND(AllData[[#This Row],[Time]]&lt;0.75, AllData[[#This Row],[Time]]&gt;=0.5)=TRUE, "Afternoon", IF(AND(AllData[[#This Row],[Time]]&lt;1, AllData[[#This Row],[Time]]&gt;=0.75)=TRUE, "Evening", "Night")))</f>
        <v>Morning</v>
      </c>
      <c r="G2329" t="str">
        <f>_xlfn.XLOOKUP(AllData[[#This Row],[Location Name]], Locations[Location Name],Locations[Group As])</f>
        <v>Hampton Wood</v>
      </c>
      <c r="H2329" t="e" vm="1">
        <f>_xlfn.XLOOKUP(AllData[[#This Row],[Site Name]],LocationsKey[Site Name],LocationsKey[District])</f>
        <v>#VALUE!</v>
      </c>
      <c r="I2329" t="e" vm="34">
        <f>_xlfn.XLOOKUP(AllData[[#This Row],[Site Name]],LocationsKey[Site Name],LocationsKey[Town])</f>
        <v>#VALUE!</v>
      </c>
      <c r="J2329" t="str">
        <f>_xlfn.XLOOKUP(AllData[[#This Row],[Site Name]],LocationsKey[Site Name], LocationsKey[Waterway])</f>
        <v>Avon</v>
      </c>
      <c r="K2329" t="s">
        <v>36</v>
      </c>
      <c r="L2329">
        <v>52.238149999999997</v>
      </c>
      <c r="M2329" s="108">
        <v>-1.6245799999999999</v>
      </c>
      <c r="N2329" t="s">
        <v>31</v>
      </c>
      <c r="O2329">
        <v>888</v>
      </c>
      <c r="P2329">
        <v>18.600000000000001</v>
      </c>
      <c r="Q2329">
        <v>6</v>
      </c>
      <c r="R2329" s="141" t="str">
        <f>IF(AllData[[#This Row],[Nitrate (PPM)]]&gt;2, "Very high", IF(AllData[[#This Row],[Nitrate (PPM)]]&gt;1, "High", IF(AllData[[#This Row],[Nitrate (PPM)]]&gt;0.5, "Some evidence", IF(AllData[[#This Row],[Nitrate (PPM)]]&gt;=0, "No evidence"))))</f>
        <v>Very high</v>
      </c>
      <c r="S2329" s="4">
        <v>0.57999999999999996</v>
      </c>
      <c r="T2329" s="7" t="str">
        <f>IF(AllData[[#This Row],[Phosphate (PPM)]]&gt;0.5, "Very high", IF(AllData[[#This Row],[Phosphate (PPM)]]&gt;0.1, "High", IF(AllData[[#This Row],[Phosphate (PPM)]]&gt;0.05, "Some evidence", IF(AllData[[#This Row],[Phosphate (PPM)]]&lt;=0.05, "No Evidence", ""))))</f>
        <v>Very high</v>
      </c>
      <c r="U2329">
        <v>0</v>
      </c>
    </row>
    <row r="2330" spans="1:22" x14ac:dyDescent="0.35">
      <c r="A2330" t="s">
        <v>94</v>
      </c>
      <c r="B2330" s="143">
        <v>45151</v>
      </c>
      <c r="C2330" s="2" t="str" cm="1">
        <f t="array" ref="C233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0">
        <f>YEAR(AllData[[#This Row],[Date]])</f>
        <v>2023</v>
      </c>
      <c r="E2330" s="1">
        <v>0.52083333333333337</v>
      </c>
      <c r="F2330" t="str">
        <f>IF(AND(AllData[[#This Row],[Time]]&lt;0.5, AllData[[#This Row],[Time]]&gt;0.17)=TRUE, "Morning", IF(AND(AllData[[#This Row],[Time]]&lt;0.75, AllData[[#This Row],[Time]]&gt;=0.5)=TRUE, "Afternoon", IF(AND(AllData[[#This Row],[Time]]&lt;1, AllData[[#This Row],[Time]]&gt;=0.75)=TRUE, "Evening", "Night")))</f>
        <v>Afternoon</v>
      </c>
      <c r="G2330" t="str">
        <f>_xlfn.XLOOKUP(AllData[[#This Row],[Location Name]], Locations[Location Name],Locations[Group As])</f>
        <v>Hampton Lucy</v>
      </c>
      <c r="H2330" t="e" vm="1">
        <f>_xlfn.XLOOKUP(AllData[[#This Row],[Site Name]],LocationsKey[Site Name],LocationsKey[District])</f>
        <v>#VALUE!</v>
      </c>
      <c r="I2330" t="e" vm="33">
        <f>_xlfn.XLOOKUP(AllData[[#This Row],[Site Name]],LocationsKey[Site Name],LocationsKey[Town])</f>
        <v>#VALUE!</v>
      </c>
      <c r="J2330" t="str">
        <f>_xlfn.XLOOKUP(AllData[[#This Row],[Site Name]],LocationsKey[Site Name], LocationsKey[Waterway])</f>
        <v>Avon</v>
      </c>
      <c r="K2330" t="s">
        <v>39</v>
      </c>
      <c r="L2330">
        <v>52.211680000000001</v>
      </c>
      <c r="M2330" s="108">
        <v>-1.6244400000000001</v>
      </c>
      <c r="N2330" t="s">
        <v>25</v>
      </c>
      <c r="O2330">
        <v>868</v>
      </c>
      <c r="P2330">
        <v>20</v>
      </c>
      <c r="Q2330">
        <v>6</v>
      </c>
      <c r="R2330" s="141" t="str">
        <f>IF(AllData[[#This Row],[Nitrate (PPM)]]&gt;2, "Very high", IF(AllData[[#This Row],[Nitrate (PPM)]]&gt;1, "High", IF(AllData[[#This Row],[Nitrate (PPM)]]&gt;0.5, "Some evidence", IF(AllData[[#This Row],[Nitrate (PPM)]]&gt;=0, "No evidence"))))</f>
        <v>Very high</v>
      </c>
      <c r="S2330" s="4">
        <v>0.61</v>
      </c>
      <c r="T2330" s="7" t="str">
        <f>IF(AllData[[#This Row],[Phosphate (PPM)]]&gt;0.5, "Very high", IF(AllData[[#This Row],[Phosphate (PPM)]]&gt;0.1, "High", IF(AllData[[#This Row],[Phosphate (PPM)]]&gt;0.05, "Some evidence", IF(AllData[[#This Row],[Phosphate (PPM)]]&lt;=0.05, "No Evidence", ""))))</f>
        <v>Very high</v>
      </c>
      <c r="U2330">
        <v>0</v>
      </c>
    </row>
    <row r="2331" spans="1:22" x14ac:dyDescent="0.35">
      <c r="A2331" t="s">
        <v>88</v>
      </c>
      <c r="B2331" s="143">
        <v>45150</v>
      </c>
      <c r="C2331" s="2" t="str" cm="1">
        <f t="array" ref="C233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1">
        <f>YEAR(AllData[[#This Row],[Date]])</f>
        <v>2023</v>
      </c>
      <c r="E2331" s="1">
        <v>0.44861111111111113</v>
      </c>
      <c r="F2331" t="str">
        <f>IF(AND(AllData[[#This Row],[Time]]&lt;0.5, AllData[[#This Row],[Time]]&gt;0.17)=TRUE, "Morning", IF(AND(AllData[[#This Row],[Time]]&lt;0.75, AllData[[#This Row],[Time]]&gt;=0.5)=TRUE, "Afternoon", IF(AND(AllData[[#This Row],[Time]]&lt;1, AllData[[#This Row],[Time]]&gt;=0.75)=TRUE, "Evening", "Night")))</f>
        <v>Morning</v>
      </c>
      <c r="G2331" t="str">
        <f>_xlfn.XLOOKUP(AllData[[#This Row],[Location Name]], Locations[Location Name],Locations[Group As])</f>
        <v>Avonbank Drive</v>
      </c>
      <c r="H2331" t="e" vm="1">
        <f>_xlfn.XLOOKUP(AllData[[#This Row],[Site Name]],LocationsKey[Site Name],LocationsKey[District])</f>
        <v>#VALUE!</v>
      </c>
      <c r="I2331" t="e" vm="12">
        <f>_xlfn.XLOOKUP(AllData[[#This Row],[Site Name]],LocationsKey[Site Name],LocationsKey[Town])</f>
        <v>#VALUE!</v>
      </c>
      <c r="J2331" t="str">
        <f>_xlfn.XLOOKUP(AllData[[#This Row],[Site Name]],LocationsKey[Site Name], LocationsKey[Waterway])</f>
        <v>Avon</v>
      </c>
      <c r="K2331" t="s">
        <v>67</v>
      </c>
      <c r="L2331">
        <v>52.177168999999999</v>
      </c>
      <c r="M2331" s="108">
        <v>-1.7357689999999999</v>
      </c>
      <c r="N2331" t="s">
        <v>68</v>
      </c>
      <c r="O2331">
        <v>951</v>
      </c>
      <c r="P2331">
        <v>20</v>
      </c>
      <c r="Q2331">
        <v>10</v>
      </c>
      <c r="R2331" s="141" t="str">
        <f>IF(AllData[[#This Row],[Nitrate (PPM)]]&gt;2, "Very high", IF(AllData[[#This Row],[Nitrate (PPM)]]&gt;1, "High", IF(AllData[[#This Row],[Nitrate (PPM)]]&gt;0.5, "Some evidence", IF(AllData[[#This Row],[Nitrate (PPM)]]&gt;=0, "No evidence"))))</f>
        <v>Very high</v>
      </c>
      <c r="S2331" s="4">
        <v>0.54</v>
      </c>
      <c r="T2331" s="7" t="str">
        <f>IF(AllData[[#This Row],[Phosphate (PPM)]]&gt;0.5, "Very high", IF(AllData[[#This Row],[Phosphate (PPM)]]&gt;0.1, "High", IF(AllData[[#This Row],[Phosphate (PPM)]]&gt;0.05, "Some evidence", IF(AllData[[#This Row],[Phosphate (PPM)]]&lt;=0.05, "No Evidence", ""))))</f>
        <v>Very high</v>
      </c>
      <c r="U2331">
        <v>0.59</v>
      </c>
      <c r="V2331" t="s">
        <v>89</v>
      </c>
    </row>
    <row r="2332" spans="1:22" x14ac:dyDescent="0.35">
      <c r="A2332" t="s">
        <v>86</v>
      </c>
      <c r="B2332" s="143">
        <v>45150</v>
      </c>
      <c r="C2332" s="2" t="str" cm="1">
        <f t="array" ref="C233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2">
        <f>YEAR(AllData[[#This Row],[Date]])</f>
        <v>2023</v>
      </c>
      <c r="E2332" s="1">
        <v>0.43055555555555558</v>
      </c>
      <c r="F2332" t="str">
        <f>IF(AND(AllData[[#This Row],[Time]]&lt;0.5, AllData[[#This Row],[Time]]&gt;0.17)=TRUE, "Morning", IF(AND(AllData[[#This Row],[Time]]&lt;0.75, AllData[[#This Row],[Time]]&gt;=0.5)=TRUE, "Afternoon", IF(AND(AllData[[#This Row],[Time]]&lt;1, AllData[[#This Row],[Time]]&gt;=0.75)=TRUE, "Evening", "Night")))</f>
        <v>Morning</v>
      </c>
      <c r="G2332" t="str">
        <f>_xlfn.XLOOKUP(AllData[[#This Row],[Location Name]], Locations[Location Name],Locations[Group As])</f>
        <v>Pitch 16</v>
      </c>
      <c r="H2332" t="e" vm="1">
        <f>_xlfn.XLOOKUP(AllData[[#This Row],[Site Name]],LocationsKey[Site Name],LocationsKey[District])</f>
        <v>#VALUE!</v>
      </c>
      <c r="I2332" t="e" vm="12">
        <f>_xlfn.XLOOKUP(AllData[[#This Row],[Site Name]],LocationsKey[Site Name],LocationsKey[Town])</f>
        <v>#VALUE!</v>
      </c>
      <c r="J2332" t="str">
        <f>_xlfn.XLOOKUP(AllData[[#This Row],[Site Name]],LocationsKey[Site Name], LocationsKey[Waterway])</f>
        <v>Avon</v>
      </c>
      <c r="K2332" t="s">
        <v>71</v>
      </c>
      <c r="L2332">
        <v>52.172640000000001</v>
      </c>
      <c r="M2332" s="108">
        <v>-1.7453590000000001</v>
      </c>
      <c r="N2332" t="s">
        <v>31</v>
      </c>
      <c r="O2332">
        <v>929</v>
      </c>
      <c r="P2332">
        <v>20.2</v>
      </c>
      <c r="Q2332">
        <v>10</v>
      </c>
      <c r="R2332" s="141" t="str">
        <f>IF(AllData[[#This Row],[Nitrate (PPM)]]&gt;2, "Very high", IF(AllData[[#This Row],[Nitrate (PPM)]]&gt;1, "High", IF(AllData[[#This Row],[Nitrate (PPM)]]&gt;0.5, "Some evidence", IF(AllData[[#This Row],[Nitrate (PPM)]]&gt;=0, "No evidence"))))</f>
        <v>Very high</v>
      </c>
      <c r="S2332" s="4">
        <v>0.51</v>
      </c>
      <c r="T2332" s="7" t="str">
        <f>IF(AllData[[#This Row],[Phosphate (PPM)]]&gt;0.5, "Very high", IF(AllData[[#This Row],[Phosphate (PPM)]]&gt;0.1, "High", IF(AllData[[#This Row],[Phosphate (PPM)]]&gt;0.05, "Some evidence", IF(AllData[[#This Row],[Phosphate (PPM)]]&lt;=0.05, "No Evidence", ""))))</f>
        <v>Very high</v>
      </c>
      <c r="U2332">
        <v>0.59</v>
      </c>
      <c r="V2332" t="s">
        <v>87</v>
      </c>
    </row>
    <row r="2333" spans="1:22" x14ac:dyDescent="0.35">
      <c r="A2333" t="s">
        <v>92</v>
      </c>
      <c r="B2333" s="143">
        <v>45150</v>
      </c>
      <c r="C2333" s="2" t="str" cm="1">
        <f t="array" ref="C233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3">
        <f>YEAR(AllData[[#This Row],[Date]])</f>
        <v>2023</v>
      </c>
      <c r="E2333" s="1">
        <v>0.69791666666666663</v>
      </c>
      <c r="F2333" t="str">
        <f>IF(AND(AllData[[#This Row],[Time]]&lt;0.5, AllData[[#This Row],[Time]]&gt;0.17)=TRUE, "Morning", IF(AND(AllData[[#This Row],[Time]]&lt;0.75, AllData[[#This Row],[Time]]&gt;=0.5)=TRUE, "Afternoon", IF(AND(AllData[[#This Row],[Time]]&lt;1, AllData[[#This Row],[Time]]&gt;=0.75)=TRUE, "Evening", "Night")))</f>
        <v>Afternoon</v>
      </c>
      <c r="G2333" t="str">
        <f>_xlfn.XLOOKUP(AllData[[#This Row],[Location Name]], Locations[Location Name],Locations[Group As])</f>
        <v>Swilgate</v>
      </c>
      <c r="H2333" t="e" vm="4">
        <f>_xlfn.XLOOKUP(AllData[[#This Row],[Site Name]],LocationsKey[Site Name],LocationsKey[District])</f>
        <v>#VALUE!</v>
      </c>
      <c r="I2333" t="e" vm="4">
        <f>_xlfn.XLOOKUP(AllData[[#This Row],[Site Name]],LocationsKey[Site Name],LocationsKey[Town])</f>
        <v>#VALUE!</v>
      </c>
      <c r="J2333" t="str">
        <f>_xlfn.XLOOKUP(AllData[[#This Row],[Site Name]],LocationsKey[Site Name], LocationsKey[Waterway])</f>
        <v>Swilgate</v>
      </c>
      <c r="K2333" t="s">
        <v>85</v>
      </c>
      <c r="M2333" s="108"/>
      <c r="N2333" t="s">
        <v>25</v>
      </c>
      <c r="O2333">
        <v>989</v>
      </c>
      <c r="P2333">
        <v>19.5</v>
      </c>
      <c r="Q2333">
        <v>7</v>
      </c>
      <c r="R2333" s="141" t="str">
        <f>IF(AllData[[#This Row],[Nitrate (PPM)]]&gt;2, "Very high", IF(AllData[[#This Row],[Nitrate (PPM)]]&gt;1, "High", IF(AllData[[#This Row],[Nitrate (PPM)]]&gt;0.5, "Some evidence", IF(AllData[[#This Row],[Nitrate (PPM)]]&gt;=0, "No evidence"))))</f>
        <v>Very high</v>
      </c>
      <c r="S2333" s="4">
        <v>0.8</v>
      </c>
      <c r="T2333" s="7" t="str">
        <f>IF(AllData[[#This Row],[Phosphate (PPM)]]&gt;0.5, "Very high", IF(AllData[[#This Row],[Phosphate (PPM)]]&gt;0.1, "High", IF(AllData[[#This Row],[Phosphate (PPM)]]&gt;0.05, "Some evidence", IF(AllData[[#This Row],[Phosphate (PPM)]]&lt;=0.05, "No Evidence", ""))))</f>
        <v>Very high</v>
      </c>
      <c r="U2333">
        <v>0</v>
      </c>
    </row>
    <row r="2334" spans="1:22" x14ac:dyDescent="0.35">
      <c r="A2334" t="s">
        <v>90</v>
      </c>
      <c r="B2334" s="143">
        <v>45150</v>
      </c>
      <c r="C2334" s="2" t="str" cm="1">
        <f t="array" ref="C233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4">
        <f>YEAR(AllData[[#This Row],[Date]])</f>
        <v>2023</v>
      </c>
      <c r="E2334" s="1">
        <v>0.64583333333333337</v>
      </c>
      <c r="F2334" t="str">
        <f>IF(AND(AllData[[#This Row],[Time]]&lt;0.5, AllData[[#This Row],[Time]]&gt;0.17)=TRUE, "Morning", IF(AND(AllData[[#This Row],[Time]]&lt;0.75, AllData[[#This Row],[Time]]&gt;=0.5)=TRUE, "Afternoon", IF(AND(AllData[[#This Row],[Time]]&lt;1, AllData[[#This Row],[Time]]&gt;=0.75)=TRUE, "Evening", "Night")))</f>
        <v>Afternoon</v>
      </c>
      <c r="G2334" t="str">
        <f>_xlfn.XLOOKUP(AllData[[#This Row],[Location Name]], Locations[Location Name],Locations[Group As])</f>
        <v>Carrant Bredon Rd</v>
      </c>
      <c r="H2334" t="e" vm="4">
        <f>_xlfn.XLOOKUP(AllData[[#This Row],[Site Name]],LocationsKey[Site Name],LocationsKey[District])</f>
        <v>#VALUE!</v>
      </c>
      <c r="I2334" t="e" vm="4">
        <f>_xlfn.XLOOKUP(AllData[[#This Row],[Site Name]],LocationsKey[Site Name],LocationsKey[Town])</f>
        <v>#VALUE!</v>
      </c>
      <c r="J2334" t="str">
        <f>_xlfn.XLOOKUP(AllData[[#This Row],[Site Name]],LocationsKey[Site Name], LocationsKey[Waterway])</f>
        <v>Carrant</v>
      </c>
      <c r="K2334" t="s">
        <v>91</v>
      </c>
      <c r="M2334" s="108"/>
      <c r="N2334" t="s">
        <v>25</v>
      </c>
      <c r="O2334">
        <v>684</v>
      </c>
      <c r="P2334">
        <v>19.399999999999999</v>
      </c>
      <c r="Q2334">
        <v>7</v>
      </c>
      <c r="R2334" s="141" t="str">
        <f>IF(AllData[[#This Row],[Nitrate (PPM)]]&gt;2, "Very high", IF(AllData[[#This Row],[Nitrate (PPM)]]&gt;1, "High", IF(AllData[[#This Row],[Nitrate (PPM)]]&gt;0.5, "Some evidence", IF(AllData[[#This Row],[Nitrate (PPM)]]&gt;=0, "No evidence"))))</f>
        <v>Very high</v>
      </c>
      <c r="S2334" s="4">
        <v>0.64</v>
      </c>
      <c r="T2334" s="7" t="str">
        <f>IF(AllData[[#This Row],[Phosphate (PPM)]]&gt;0.5, "Very high", IF(AllData[[#This Row],[Phosphate (PPM)]]&gt;0.1, "High", IF(AllData[[#This Row],[Phosphate (PPM)]]&gt;0.05, "Some evidence", IF(AllData[[#This Row],[Phosphate (PPM)]]&lt;=0.05, "No Evidence", ""))))</f>
        <v>Very high</v>
      </c>
      <c r="U2334">
        <v>0</v>
      </c>
    </row>
    <row r="2335" spans="1:22" x14ac:dyDescent="0.35">
      <c r="A2335" t="s">
        <v>84</v>
      </c>
      <c r="B2335" s="143">
        <v>45148</v>
      </c>
      <c r="C2335" s="2" t="str" cm="1">
        <f t="array" ref="C233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5">
        <f>YEAR(AllData[[#This Row],[Date]])</f>
        <v>2023</v>
      </c>
      <c r="E2335" s="1">
        <v>0.43125000000000002</v>
      </c>
      <c r="F2335" t="str">
        <f>IF(AND(AllData[[#This Row],[Time]]&lt;0.5, AllData[[#This Row],[Time]]&gt;0.17)=TRUE, "Morning", IF(AND(AllData[[#This Row],[Time]]&lt;0.75, AllData[[#This Row],[Time]]&gt;=0.5)=TRUE, "Afternoon", IF(AND(AllData[[#This Row],[Time]]&lt;1, AllData[[#This Row],[Time]]&gt;=0.75)=TRUE, "Evening", "Night")))</f>
        <v>Morning</v>
      </c>
      <c r="G2335" t="str">
        <f>_xlfn.XLOOKUP(AllData[[#This Row],[Location Name]], Locations[Location Name],Locations[Group As])</f>
        <v>Swilgate</v>
      </c>
      <c r="H2335" t="e" vm="4">
        <f>_xlfn.XLOOKUP(AllData[[#This Row],[Site Name]],LocationsKey[Site Name],LocationsKey[District])</f>
        <v>#VALUE!</v>
      </c>
      <c r="I2335" t="e" vm="4">
        <f>_xlfn.XLOOKUP(AllData[[#This Row],[Site Name]],LocationsKey[Site Name],LocationsKey[Town])</f>
        <v>#VALUE!</v>
      </c>
      <c r="J2335" t="str">
        <f>_xlfn.XLOOKUP(AllData[[#This Row],[Site Name]],LocationsKey[Site Name], LocationsKey[Waterway])</f>
        <v>Swilgate</v>
      </c>
      <c r="K2335" t="s">
        <v>85</v>
      </c>
      <c r="L2335">
        <v>51.988591</v>
      </c>
      <c r="M2335" s="108">
        <v>-2.1640419999999998</v>
      </c>
      <c r="N2335" t="s">
        <v>25</v>
      </c>
      <c r="O2335">
        <v>806</v>
      </c>
      <c r="P2335">
        <v>18.600000000000001</v>
      </c>
      <c r="Q2335">
        <v>8</v>
      </c>
      <c r="R2335" s="141" t="str">
        <f>IF(AllData[[#This Row],[Nitrate (PPM)]]&gt;2, "Very high", IF(AllData[[#This Row],[Nitrate (PPM)]]&gt;1, "High", IF(AllData[[#This Row],[Nitrate (PPM)]]&gt;0.5, "Some evidence", IF(AllData[[#This Row],[Nitrate (PPM)]]&gt;=0, "No evidence"))))</f>
        <v>Very high</v>
      </c>
      <c r="S2335" s="4">
        <v>0.76</v>
      </c>
      <c r="T2335" s="7" t="str">
        <f>IF(AllData[[#This Row],[Phosphate (PPM)]]&gt;0.5, "Very high", IF(AllData[[#This Row],[Phosphate (PPM)]]&gt;0.1, "High", IF(AllData[[#This Row],[Phosphate (PPM)]]&gt;0.05, "Some evidence", IF(AllData[[#This Row],[Phosphate (PPM)]]&lt;=0.05, "No Evidence", ""))))</f>
        <v>Very high</v>
      </c>
      <c r="U2335">
        <v>0</v>
      </c>
    </row>
    <row r="2336" spans="1:22" x14ac:dyDescent="0.35">
      <c r="A2336" t="s">
        <v>82</v>
      </c>
      <c r="B2336" s="143">
        <v>45146</v>
      </c>
      <c r="C2336" s="2" t="str" cm="1">
        <f t="array" ref="C233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6">
        <f>YEAR(AllData[[#This Row],[Date]])</f>
        <v>2023</v>
      </c>
      <c r="E2336" s="1">
        <v>0.75208333333333333</v>
      </c>
      <c r="F2336" t="str">
        <f>IF(AND(AllData[[#This Row],[Time]]&lt;0.5, AllData[[#This Row],[Time]]&gt;0.17)=TRUE, "Morning", IF(AND(AllData[[#This Row],[Time]]&lt;0.75, AllData[[#This Row],[Time]]&gt;=0.5)=TRUE, "Afternoon", IF(AND(AllData[[#This Row],[Time]]&lt;1, AllData[[#This Row],[Time]]&gt;=0.75)=TRUE, "Evening", "Night")))</f>
        <v>Evening</v>
      </c>
      <c r="G2336" t="str">
        <f>_xlfn.XLOOKUP(AllData[[#This Row],[Location Name]], Locations[Location Name],Locations[Group As])</f>
        <v>Twyning Fleet</v>
      </c>
      <c r="H2336" t="e" vm="4">
        <f>_xlfn.XLOOKUP(AllData[[#This Row],[Site Name]],LocationsKey[Site Name],LocationsKey[District])</f>
        <v>#VALUE!</v>
      </c>
      <c r="I2336" t="str">
        <f>_xlfn.XLOOKUP(AllData[[#This Row],[Site Name]],LocationsKey[Site Name],LocationsKey[Town])</f>
        <v>Twyning Green</v>
      </c>
      <c r="J2336" t="str">
        <f>_xlfn.XLOOKUP(AllData[[#This Row],[Site Name]],LocationsKey[Site Name], LocationsKey[Waterway])</f>
        <v>Avon</v>
      </c>
      <c r="K2336" t="s">
        <v>56</v>
      </c>
      <c r="L2336">
        <v>52.02702</v>
      </c>
      <c r="M2336" s="108">
        <v>-2.1406339999999999</v>
      </c>
      <c r="N2336" t="s">
        <v>31</v>
      </c>
      <c r="O2336">
        <v>926</v>
      </c>
      <c r="P2336">
        <v>18.399999999999999</v>
      </c>
      <c r="Q2336">
        <v>10</v>
      </c>
      <c r="R2336" s="141" t="str">
        <f>IF(AllData[[#This Row],[Nitrate (PPM)]]&gt;2, "Very high", IF(AllData[[#This Row],[Nitrate (PPM)]]&gt;1, "High", IF(AllData[[#This Row],[Nitrate (PPM)]]&gt;0.5, "Some evidence", IF(AllData[[#This Row],[Nitrate (PPM)]]&gt;=0, "No evidence"))))</f>
        <v>Very high</v>
      </c>
      <c r="S2336" s="4">
        <v>1.17</v>
      </c>
      <c r="T2336" s="7" t="str">
        <f>IF(AllData[[#This Row],[Phosphate (PPM)]]&gt;0.5, "Very high", IF(AllData[[#This Row],[Phosphate (PPM)]]&gt;0.1, "High", IF(AllData[[#This Row],[Phosphate (PPM)]]&gt;0.05, "Some evidence", IF(AllData[[#This Row],[Phosphate (PPM)]]&lt;=0.05, "No Evidence", ""))))</f>
        <v>Very high</v>
      </c>
      <c r="U2336">
        <v>0</v>
      </c>
      <c r="V2336" t="s">
        <v>83</v>
      </c>
    </row>
    <row r="2337" spans="1:22" x14ac:dyDescent="0.35">
      <c r="A2337" t="s">
        <v>79</v>
      </c>
      <c r="B2337" s="143">
        <v>45145</v>
      </c>
      <c r="C2337" s="2" t="str" cm="1">
        <f t="array" ref="C233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7">
        <f>YEAR(AllData[[#This Row],[Date]])</f>
        <v>2023</v>
      </c>
      <c r="E2337" s="1">
        <v>0.625</v>
      </c>
      <c r="F2337" t="str">
        <f>IF(AND(AllData[[#This Row],[Time]]&lt;0.5, AllData[[#This Row],[Time]]&gt;0.17)=TRUE, "Morning", IF(AND(AllData[[#This Row],[Time]]&lt;0.75, AllData[[#This Row],[Time]]&gt;=0.5)=TRUE, "Afternoon", IF(AND(AllData[[#This Row],[Time]]&lt;1, AllData[[#This Row],[Time]]&gt;=0.75)=TRUE, "Evening", "Night")))</f>
        <v>Afternoon</v>
      </c>
      <c r="G2337" t="str">
        <f>_xlfn.XLOOKUP(AllData[[#This Row],[Location Name]], Locations[Location Name],Locations[Group As])</f>
        <v>Welford Boat Station</v>
      </c>
      <c r="H2337" t="e" vm="1">
        <f>_xlfn.XLOOKUP(AllData[[#This Row],[Site Name]],LocationsKey[Site Name],LocationsKey[District])</f>
        <v>#VALUE!</v>
      </c>
      <c r="I2337" t="e" vm="36">
        <f>_xlfn.XLOOKUP(AllData[[#This Row],[Site Name]],LocationsKey[Site Name],LocationsKey[Town])</f>
        <v>#VALUE!</v>
      </c>
      <c r="J2337" t="str">
        <f>_xlfn.XLOOKUP(AllData[[#This Row],[Site Name]],LocationsKey[Site Name], LocationsKey[Waterway])</f>
        <v>Avon</v>
      </c>
      <c r="K2337" t="s">
        <v>41</v>
      </c>
      <c r="L2337">
        <v>52.175240000000002</v>
      </c>
      <c r="M2337" s="108">
        <v>-1.7918700000000001</v>
      </c>
      <c r="N2337" t="s">
        <v>31</v>
      </c>
      <c r="O2337">
        <v>848</v>
      </c>
      <c r="P2337">
        <v>17.2</v>
      </c>
      <c r="Q2337">
        <v>9.5</v>
      </c>
      <c r="R2337" s="141" t="str">
        <f>IF(AllData[[#This Row],[Nitrate (PPM)]]&gt;2, "Very high", IF(AllData[[#This Row],[Nitrate (PPM)]]&gt;1, "High", IF(AllData[[#This Row],[Nitrate (PPM)]]&gt;0.5, "Some evidence", IF(AllData[[#This Row],[Nitrate (PPM)]]&gt;=0, "No evidence"))))</f>
        <v>Very high</v>
      </c>
      <c r="S2337" s="4">
        <v>0.62</v>
      </c>
      <c r="T2337" s="7" t="str">
        <f>IF(AllData[[#This Row],[Phosphate (PPM)]]&gt;0.5, "Very high", IF(AllData[[#This Row],[Phosphate (PPM)]]&gt;0.1, "High", IF(AllData[[#This Row],[Phosphate (PPM)]]&gt;0.05, "Some evidence", IF(AllData[[#This Row],[Phosphate (PPM)]]&lt;=0.05, "No Evidence", ""))))</f>
        <v>Very high</v>
      </c>
      <c r="U2337">
        <v>0</v>
      </c>
      <c r="V2337" t="s">
        <v>80</v>
      </c>
    </row>
    <row r="2338" spans="1:22" x14ac:dyDescent="0.35">
      <c r="A2338" t="s">
        <v>81</v>
      </c>
      <c r="B2338" s="143">
        <v>45145</v>
      </c>
      <c r="C2338" s="2" t="str" cm="1">
        <f t="array" ref="C233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8">
        <f>YEAR(AllData[[#This Row],[Date]])</f>
        <v>2023</v>
      </c>
      <c r="E2338" s="1">
        <v>0.70833333333333337</v>
      </c>
      <c r="F2338" t="str">
        <f>IF(AND(AllData[[#This Row],[Time]]&lt;0.5, AllData[[#This Row],[Time]]&gt;0.17)=TRUE, "Morning", IF(AND(AllData[[#This Row],[Time]]&lt;0.75, AllData[[#This Row],[Time]]&gt;=0.5)=TRUE, "Afternoon", IF(AND(AllData[[#This Row],[Time]]&lt;1, AllData[[#This Row],[Time]]&gt;=0.75)=TRUE, "Evening", "Night")))</f>
        <v>Afternoon</v>
      </c>
      <c r="G2338" t="str">
        <f>_xlfn.XLOOKUP(AllData[[#This Row],[Location Name]], Locations[Location Name],Locations[Group As])</f>
        <v>Barton</v>
      </c>
      <c r="H2338" t="e" vm="1">
        <f>_xlfn.XLOOKUP(AllData[[#This Row],[Site Name]],LocationsKey[Site Name],LocationsKey[District])</f>
        <v>#VALUE!</v>
      </c>
      <c r="I2338" t="str">
        <f>_xlfn.XLOOKUP(AllData[[#This Row],[Site Name]],LocationsKey[Site Name],LocationsKey[Town])</f>
        <v>Barton</v>
      </c>
      <c r="J2338" t="str">
        <f>_xlfn.XLOOKUP(AllData[[#This Row],[Site Name]],LocationsKey[Site Name], LocationsKey[Waterway])</f>
        <v>Avon</v>
      </c>
      <c r="K2338" t="s">
        <v>51</v>
      </c>
      <c r="L2338">
        <v>52.161209999999997</v>
      </c>
      <c r="M2338" s="108">
        <v>-1.8301499999999999</v>
      </c>
      <c r="N2338" t="s">
        <v>31</v>
      </c>
      <c r="O2338">
        <v>808</v>
      </c>
      <c r="P2338">
        <v>17.399999999999999</v>
      </c>
      <c r="Q2338">
        <v>4</v>
      </c>
      <c r="R2338" s="141" t="str">
        <f>IF(AllData[[#This Row],[Nitrate (PPM)]]&gt;2, "Very high", IF(AllData[[#This Row],[Nitrate (PPM)]]&gt;1, "High", IF(AllData[[#This Row],[Nitrate (PPM)]]&gt;0.5, "Some evidence", IF(AllData[[#This Row],[Nitrate (PPM)]]&gt;=0, "No evidence"))))</f>
        <v>Very high</v>
      </c>
      <c r="S2338" s="4">
        <v>0.57999999999999996</v>
      </c>
      <c r="T2338" s="7" t="str">
        <f>IF(AllData[[#This Row],[Phosphate (PPM)]]&gt;0.5, "Very high", IF(AllData[[#This Row],[Phosphate (PPM)]]&gt;0.1, "High", IF(AllData[[#This Row],[Phosphate (PPM)]]&gt;0.05, "Some evidence", IF(AllData[[#This Row],[Phosphate (PPM)]]&lt;=0.05, "No Evidence", ""))))</f>
        <v>Very high</v>
      </c>
      <c r="U2338">
        <v>0</v>
      </c>
    </row>
    <row r="2339" spans="1:22" x14ac:dyDescent="0.35">
      <c r="A2339" t="s">
        <v>77</v>
      </c>
      <c r="B2339" s="143">
        <v>45144</v>
      </c>
      <c r="C2339" s="2" t="str" cm="1">
        <f t="array" ref="C233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39">
        <f>YEAR(AllData[[#This Row],[Date]])</f>
        <v>2023</v>
      </c>
      <c r="E2339" s="1">
        <v>0.47916666666666669</v>
      </c>
      <c r="F2339" t="str">
        <f>IF(AND(AllData[[#This Row],[Time]]&lt;0.5, AllData[[#This Row],[Time]]&gt;0.17)=TRUE, "Morning", IF(AND(AllData[[#This Row],[Time]]&lt;0.75, AllData[[#This Row],[Time]]&gt;=0.5)=TRUE, "Afternoon", IF(AND(AllData[[#This Row],[Time]]&lt;1, AllData[[#This Row],[Time]]&gt;=0.75)=TRUE, "Evening", "Night")))</f>
        <v>Morning</v>
      </c>
      <c r="G2339" t="str">
        <f>_xlfn.XLOOKUP(AllData[[#This Row],[Location Name]], Locations[Location Name],Locations[Group As])</f>
        <v>Hampton Wood</v>
      </c>
      <c r="H2339" t="e" vm="1">
        <f>_xlfn.XLOOKUP(AllData[[#This Row],[Site Name]],LocationsKey[Site Name],LocationsKey[District])</f>
        <v>#VALUE!</v>
      </c>
      <c r="I2339" t="e" vm="34">
        <f>_xlfn.XLOOKUP(AllData[[#This Row],[Site Name]],LocationsKey[Site Name],LocationsKey[Town])</f>
        <v>#VALUE!</v>
      </c>
      <c r="J2339" t="str">
        <f>_xlfn.XLOOKUP(AllData[[#This Row],[Site Name]],LocationsKey[Site Name], LocationsKey[Waterway])</f>
        <v>Avon</v>
      </c>
      <c r="K2339" t="s">
        <v>36</v>
      </c>
      <c r="L2339">
        <v>52.238149999999997</v>
      </c>
      <c r="M2339" s="108">
        <v>-1.6245799999999999</v>
      </c>
      <c r="N2339" t="s">
        <v>31</v>
      </c>
      <c r="O2339">
        <v>778</v>
      </c>
      <c r="P2339">
        <v>17.399999999999999</v>
      </c>
      <c r="Q2339">
        <v>6</v>
      </c>
      <c r="R2339" s="141" t="str">
        <f>IF(AllData[[#This Row],[Nitrate (PPM)]]&gt;2, "Very high", IF(AllData[[#This Row],[Nitrate (PPM)]]&gt;1, "High", IF(AllData[[#This Row],[Nitrate (PPM)]]&gt;0.5, "Some evidence", IF(AllData[[#This Row],[Nitrate (PPM)]]&gt;=0, "No evidence"))))</f>
        <v>Very high</v>
      </c>
      <c r="S2339" s="4">
        <v>0.56999999999999995</v>
      </c>
      <c r="T2339" s="7" t="str">
        <f>IF(AllData[[#This Row],[Phosphate (PPM)]]&gt;0.5, "Very high", IF(AllData[[#This Row],[Phosphate (PPM)]]&gt;0.1, "High", IF(AllData[[#This Row],[Phosphate (PPM)]]&gt;0.05, "Some evidence", IF(AllData[[#This Row],[Phosphate (PPM)]]&lt;=0.05, "No Evidence", ""))))</f>
        <v>Very high</v>
      </c>
      <c r="U2339">
        <v>0</v>
      </c>
    </row>
    <row r="2340" spans="1:22" x14ac:dyDescent="0.35">
      <c r="A2340" t="s">
        <v>78</v>
      </c>
      <c r="B2340" s="143">
        <v>45144</v>
      </c>
      <c r="C2340" s="2" t="str" cm="1">
        <f t="array" ref="C234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0">
        <f>YEAR(AllData[[#This Row],[Date]])</f>
        <v>2023</v>
      </c>
      <c r="E2340" s="1">
        <v>0.54166666666666663</v>
      </c>
      <c r="F2340" t="str">
        <f>IF(AND(AllData[[#This Row],[Time]]&lt;0.5, AllData[[#This Row],[Time]]&gt;0.17)=TRUE, "Morning", IF(AND(AllData[[#This Row],[Time]]&lt;0.75, AllData[[#This Row],[Time]]&gt;=0.5)=TRUE, "Afternoon", IF(AND(AllData[[#This Row],[Time]]&lt;1, AllData[[#This Row],[Time]]&gt;=0.75)=TRUE, "Evening", "Night")))</f>
        <v>Afternoon</v>
      </c>
      <c r="G2340" t="str">
        <f>_xlfn.XLOOKUP(AllData[[#This Row],[Location Name]], Locations[Location Name],Locations[Group As])</f>
        <v>Hampton Lucy</v>
      </c>
      <c r="H2340" t="e" vm="1">
        <f>_xlfn.XLOOKUP(AllData[[#This Row],[Site Name]],LocationsKey[Site Name],LocationsKey[District])</f>
        <v>#VALUE!</v>
      </c>
      <c r="I2340" t="e" vm="33">
        <f>_xlfn.XLOOKUP(AllData[[#This Row],[Site Name]],LocationsKey[Site Name],LocationsKey[Town])</f>
        <v>#VALUE!</v>
      </c>
      <c r="J2340" t="str">
        <f>_xlfn.XLOOKUP(AllData[[#This Row],[Site Name]],LocationsKey[Site Name], LocationsKey[Waterway])</f>
        <v>Avon</v>
      </c>
      <c r="K2340" t="s">
        <v>39</v>
      </c>
      <c r="L2340">
        <v>52.211680000000001</v>
      </c>
      <c r="M2340" s="108">
        <v>-1.6244400000000001</v>
      </c>
      <c r="N2340" t="s">
        <v>25</v>
      </c>
      <c r="O2340">
        <v>784</v>
      </c>
      <c r="P2340">
        <v>17.7</v>
      </c>
      <c r="Q2340">
        <v>5</v>
      </c>
      <c r="R2340" s="141" t="str">
        <f>IF(AllData[[#This Row],[Nitrate (PPM)]]&gt;2, "Very high", IF(AllData[[#This Row],[Nitrate (PPM)]]&gt;1, "High", IF(AllData[[#This Row],[Nitrate (PPM)]]&gt;0.5, "Some evidence", IF(AllData[[#This Row],[Nitrate (PPM)]]&gt;=0, "No evidence"))))</f>
        <v>Very high</v>
      </c>
      <c r="S2340" s="4">
        <v>0.67</v>
      </c>
      <c r="T2340" s="7" t="str">
        <f>IF(AllData[[#This Row],[Phosphate (PPM)]]&gt;0.5, "Very high", IF(AllData[[#This Row],[Phosphate (PPM)]]&gt;0.1, "High", IF(AllData[[#This Row],[Phosphate (PPM)]]&gt;0.05, "Some evidence", IF(AllData[[#This Row],[Phosphate (PPM)]]&lt;=0.05, "No Evidence", ""))))</f>
        <v>Very high</v>
      </c>
      <c r="U2340">
        <v>0</v>
      </c>
    </row>
    <row r="2341" spans="1:22" x14ac:dyDescent="0.35">
      <c r="A2341" t="s">
        <v>75</v>
      </c>
      <c r="B2341" s="143">
        <v>45143</v>
      </c>
      <c r="C2341" s="2" t="str" cm="1">
        <f t="array" ref="C234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1">
        <f>YEAR(AllData[[#This Row],[Date]])</f>
        <v>2023</v>
      </c>
      <c r="E2341" s="1">
        <v>0.42777777777777776</v>
      </c>
      <c r="F2341" t="str">
        <f>IF(AND(AllData[[#This Row],[Time]]&lt;0.5, AllData[[#This Row],[Time]]&gt;0.17)=TRUE, "Morning", IF(AND(AllData[[#This Row],[Time]]&lt;0.75, AllData[[#This Row],[Time]]&gt;=0.5)=TRUE, "Afternoon", IF(AND(AllData[[#This Row],[Time]]&lt;1, AllData[[#This Row],[Time]]&gt;=0.75)=TRUE, "Evening", "Night")))</f>
        <v>Morning</v>
      </c>
      <c r="G2341" t="str">
        <f>_xlfn.XLOOKUP(AllData[[#This Row],[Location Name]], Locations[Location Name],Locations[Group As])</f>
        <v>Abbey Mill</v>
      </c>
      <c r="H2341" t="e" vm="4">
        <f>_xlfn.XLOOKUP(AllData[[#This Row],[Site Name]],LocationsKey[Site Name],LocationsKey[District])</f>
        <v>#VALUE!</v>
      </c>
      <c r="I2341" t="e" vm="4">
        <f>_xlfn.XLOOKUP(AllData[[#This Row],[Site Name]],LocationsKey[Site Name],LocationsKey[Town])</f>
        <v>#VALUE!</v>
      </c>
      <c r="J2341" t="str">
        <f>_xlfn.XLOOKUP(AllData[[#This Row],[Site Name]],LocationsKey[Site Name], LocationsKey[Waterway])</f>
        <v>Avon</v>
      </c>
      <c r="K2341" t="s">
        <v>24</v>
      </c>
      <c r="L2341">
        <v>51.991447999999998</v>
      </c>
      <c r="M2341" s="108">
        <v>-2.1628289999999999</v>
      </c>
      <c r="N2341" t="s">
        <v>25</v>
      </c>
      <c r="O2341">
        <v>905</v>
      </c>
      <c r="P2341">
        <v>18.399999999999999</v>
      </c>
      <c r="Q2341">
        <v>8</v>
      </c>
      <c r="R2341" s="141" t="str">
        <f>IF(AllData[[#This Row],[Nitrate (PPM)]]&gt;2, "Very high", IF(AllData[[#This Row],[Nitrate (PPM)]]&gt;1, "High", IF(AllData[[#This Row],[Nitrate (PPM)]]&gt;0.5, "Some evidence", IF(AllData[[#This Row],[Nitrate (PPM)]]&gt;=0, "No evidence"))))</f>
        <v>Very high</v>
      </c>
      <c r="S2341" s="4">
        <v>0.99</v>
      </c>
      <c r="T2341" s="7" t="str">
        <f>IF(AllData[[#This Row],[Phosphate (PPM)]]&gt;0.5, "Very high", IF(AllData[[#This Row],[Phosphate (PPM)]]&gt;0.1, "High", IF(AllData[[#This Row],[Phosphate (PPM)]]&gt;0.05, "Some evidence", IF(AllData[[#This Row],[Phosphate (PPM)]]&lt;=0.05, "No Evidence", ""))))</f>
        <v>Very high</v>
      </c>
      <c r="U2341">
        <v>0</v>
      </c>
    </row>
    <row r="2342" spans="1:22" x14ac:dyDescent="0.35">
      <c r="A2342" t="s">
        <v>76</v>
      </c>
      <c r="B2342" s="143">
        <v>45143</v>
      </c>
      <c r="C2342" s="2" t="str" cm="1">
        <f t="array" ref="C234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2">
        <f>YEAR(AllData[[#This Row],[Date]])</f>
        <v>2023</v>
      </c>
      <c r="E2342" s="1">
        <v>0.64583333333333337</v>
      </c>
      <c r="F2342" t="str">
        <f>IF(AND(AllData[[#This Row],[Time]]&lt;0.5, AllData[[#This Row],[Time]]&gt;0.17)=TRUE, "Morning", IF(AND(AllData[[#This Row],[Time]]&lt;0.75, AllData[[#This Row],[Time]]&gt;=0.5)=TRUE, "Afternoon", IF(AND(AllData[[#This Row],[Time]]&lt;1, AllData[[#This Row],[Time]]&gt;=0.75)=TRUE, "Evening", "Night")))</f>
        <v>Afternoon</v>
      </c>
      <c r="G2342" t="str">
        <f>_xlfn.XLOOKUP(AllData[[#This Row],[Location Name]], Locations[Location Name],Locations[Group As])</f>
        <v>Weston-on-Avon</v>
      </c>
      <c r="H2342" t="e" vm="1">
        <f>_xlfn.XLOOKUP(AllData[[#This Row],[Site Name]],LocationsKey[Site Name],LocationsKey[District])</f>
        <v>#VALUE!</v>
      </c>
      <c r="I2342" t="e" vm="35">
        <f>_xlfn.XLOOKUP(AllData[[#This Row],[Site Name]],LocationsKey[Site Name],LocationsKey[Town])</f>
        <v>#VALUE!</v>
      </c>
      <c r="J2342" t="str">
        <f>_xlfn.XLOOKUP(AllData[[#This Row],[Site Name]],LocationsKey[Site Name], LocationsKey[Waterway])</f>
        <v>Avon</v>
      </c>
      <c r="K2342" t="s">
        <v>43</v>
      </c>
      <c r="L2342">
        <v>52.167430000000003</v>
      </c>
      <c r="M2342" s="108">
        <v>-1.7744800000000001</v>
      </c>
      <c r="N2342" t="s">
        <v>25</v>
      </c>
      <c r="O2342">
        <v>912</v>
      </c>
      <c r="P2342">
        <v>18</v>
      </c>
      <c r="Q2342">
        <v>4</v>
      </c>
      <c r="R2342" s="141" t="str">
        <f>IF(AllData[[#This Row],[Nitrate (PPM)]]&gt;2, "Very high", IF(AllData[[#This Row],[Nitrate (PPM)]]&gt;1, "High", IF(AllData[[#This Row],[Nitrate (PPM)]]&gt;0.5, "Some evidence", IF(AllData[[#This Row],[Nitrate (PPM)]]&gt;=0, "No evidence"))))</f>
        <v>Very high</v>
      </c>
      <c r="S2342" s="4">
        <v>0.78</v>
      </c>
      <c r="T2342" s="7" t="str">
        <f>IF(AllData[[#This Row],[Phosphate (PPM)]]&gt;0.5, "Very high", IF(AllData[[#This Row],[Phosphate (PPM)]]&gt;0.1, "High", IF(AllData[[#This Row],[Phosphate (PPM)]]&gt;0.05, "Some evidence", IF(AllData[[#This Row],[Phosphate (PPM)]]&lt;=0.05, "No Evidence", ""))))</f>
        <v>Very high</v>
      </c>
      <c r="U2342">
        <v>0</v>
      </c>
    </row>
    <row r="2343" spans="1:22" x14ac:dyDescent="0.35">
      <c r="A2343" t="s">
        <v>74</v>
      </c>
      <c r="B2343" s="143">
        <v>45142</v>
      </c>
      <c r="C2343" s="2" t="str" cm="1">
        <f t="array" ref="C234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3">
        <f>YEAR(AllData[[#This Row],[Date]])</f>
        <v>2023</v>
      </c>
      <c r="E2343" s="1">
        <v>0.47569444444444442</v>
      </c>
      <c r="F2343" t="str">
        <f>IF(AND(AllData[[#This Row],[Time]]&lt;0.5, AllData[[#This Row],[Time]]&gt;0.17)=TRUE, "Morning", IF(AND(AllData[[#This Row],[Time]]&lt;0.75, AllData[[#This Row],[Time]]&gt;=0.5)=TRUE, "Afternoon", IF(AND(AllData[[#This Row],[Time]]&lt;1, AllData[[#This Row],[Time]]&gt;=0.75)=TRUE, "Evening", "Night")))</f>
        <v>Morning</v>
      </c>
      <c r="G2343" t="str">
        <f>_xlfn.XLOOKUP(AllData[[#This Row],[Location Name]], Locations[Location Name],Locations[Group As])</f>
        <v>Avonbank Drive</v>
      </c>
      <c r="H2343" t="e" vm="1">
        <f>_xlfn.XLOOKUP(AllData[[#This Row],[Site Name]],LocationsKey[Site Name],LocationsKey[District])</f>
        <v>#VALUE!</v>
      </c>
      <c r="I2343" t="e" vm="12">
        <f>_xlfn.XLOOKUP(AllData[[#This Row],[Site Name]],LocationsKey[Site Name],LocationsKey[Town])</f>
        <v>#VALUE!</v>
      </c>
      <c r="J2343" t="str">
        <f>_xlfn.XLOOKUP(AllData[[#This Row],[Site Name]],LocationsKey[Site Name], LocationsKey[Waterway])</f>
        <v>Avon</v>
      </c>
      <c r="K2343" t="s">
        <v>67</v>
      </c>
      <c r="L2343">
        <v>52.177238000000003</v>
      </c>
      <c r="M2343" s="108">
        <v>-1.73556</v>
      </c>
      <c r="N2343" t="s">
        <v>68</v>
      </c>
      <c r="O2343">
        <v>896</v>
      </c>
      <c r="P2343">
        <v>19.2</v>
      </c>
      <c r="Q2343">
        <v>10</v>
      </c>
      <c r="R2343" s="141" t="str">
        <f>IF(AllData[[#This Row],[Nitrate (PPM)]]&gt;2, "Very high", IF(AllData[[#This Row],[Nitrate (PPM)]]&gt;1, "High", IF(AllData[[#This Row],[Nitrate (PPM)]]&gt;0.5, "Some evidence", IF(AllData[[#This Row],[Nitrate (PPM)]]&gt;=0, "No evidence"))))</f>
        <v>Very high</v>
      </c>
      <c r="S2343" s="4">
        <v>0.46</v>
      </c>
      <c r="T2343" s="7" t="str">
        <f>IF(AllData[[#This Row],[Phosphate (PPM)]]&gt;0.5, "Very high", IF(AllData[[#This Row],[Phosphate (PPM)]]&gt;0.1, "High", IF(AllData[[#This Row],[Phosphate (PPM)]]&gt;0.05, "Some evidence", IF(AllData[[#This Row],[Phosphate (PPM)]]&lt;=0.05, "No Evidence", ""))))</f>
        <v>High</v>
      </c>
      <c r="U2343">
        <v>0.62</v>
      </c>
    </row>
    <row r="2344" spans="1:22" x14ac:dyDescent="0.35">
      <c r="A2344" t="s">
        <v>73</v>
      </c>
      <c r="B2344" s="143">
        <v>45142</v>
      </c>
      <c r="C2344" s="2" t="str" cm="1">
        <f t="array" ref="C234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4">
        <f>YEAR(AllData[[#This Row],[Date]])</f>
        <v>2023</v>
      </c>
      <c r="E2344" s="1">
        <v>0.45833333333333331</v>
      </c>
      <c r="F2344" t="str">
        <f>IF(AND(AllData[[#This Row],[Time]]&lt;0.5, AllData[[#This Row],[Time]]&gt;0.17)=TRUE, "Morning", IF(AND(AllData[[#This Row],[Time]]&lt;0.75, AllData[[#This Row],[Time]]&gt;=0.5)=TRUE, "Afternoon", IF(AND(AllData[[#This Row],[Time]]&lt;1, AllData[[#This Row],[Time]]&gt;=0.75)=TRUE, "Evening", "Night")))</f>
        <v>Morning</v>
      </c>
      <c r="G2344" t="str">
        <f>_xlfn.XLOOKUP(AllData[[#This Row],[Location Name]], Locations[Location Name],Locations[Group As])</f>
        <v>Pitch 16</v>
      </c>
      <c r="H2344" t="e" vm="1">
        <f>_xlfn.XLOOKUP(AllData[[#This Row],[Site Name]],LocationsKey[Site Name],LocationsKey[District])</f>
        <v>#VALUE!</v>
      </c>
      <c r="I2344" t="e" vm="12">
        <f>_xlfn.XLOOKUP(AllData[[#This Row],[Site Name]],LocationsKey[Site Name],LocationsKey[Town])</f>
        <v>#VALUE!</v>
      </c>
      <c r="J2344" t="str">
        <f>_xlfn.XLOOKUP(AllData[[#This Row],[Site Name]],LocationsKey[Site Name], LocationsKey[Waterway])</f>
        <v>Avon</v>
      </c>
      <c r="K2344" t="s">
        <v>71</v>
      </c>
      <c r="L2344">
        <v>52.170859</v>
      </c>
      <c r="M2344" s="108">
        <v>-1.7432030000000001</v>
      </c>
      <c r="N2344" t="s">
        <v>31</v>
      </c>
      <c r="O2344">
        <v>892</v>
      </c>
      <c r="P2344">
        <v>18.5</v>
      </c>
      <c r="Q2344">
        <v>10</v>
      </c>
      <c r="R2344" s="141" t="str">
        <f>IF(AllData[[#This Row],[Nitrate (PPM)]]&gt;2, "Very high", IF(AllData[[#This Row],[Nitrate (PPM)]]&gt;1, "High", IF(AllData[[#This Row],[Nitrate (PPM)]]&gt;0.5, "Some evidence", IF(AllData[[#This Row],[Nitrate (PPM)]]&gt;=0, "No evidence"))))</f>
        <v>Very high</v>
      </c>
      <c r="S2344" s="4">
        <v>0.56999999999999995</v>
      </c>
      <c r="T2344" s="7" t="str">
        <f>IF(AllData[[#This Row],[Phosphate (PPM)]]&gt;0.5, "Very high", IF(AllData[[#This Row],[Phosphate (PPM)]]&gt;0.1, "High", IF(AllData[[#This Row],[Phosphate (PPM)]]&gt;0.05, "Some evidence", IF(AllData[[#This Row],[Phosphate (PPM)]]&lt;=0.05, "No Evidence", ""))))</f>
        <v>Very high</v>
      </c>
      <c r="U2344">
        <v>0.62</v>
      </c>
    </row>
    <row r="2345" spans="1:22" x14ac:dyDescent="0.35">
      <c r="A2345" t="s">
        <v>66</v>
      </c>
      <c r="B2345" s="143">
        <v>45139</v>
      </c>
      <c r="C2345" s="2" t="str" cm="1">
        <f t="array" ref="C234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5">
        <f>YEAR(AllData[[#This Row],[Date]])</f>
        <v>2023</v>
      </c>
      <c r="E2345" s="1">
        <v>0.83333333333333337</v>
      </c>
      <c r="F2345" t="str">
        <f>IF(AND(AllData[[#This Row],[Time]]&lt;0.5, AllData[[#This Row],[Time]]&gt;0.17)=TRUE, "Morning", IF(AND(AllData[[#This Row],[Time]]&lt;0.75, AllData[[#This Row],[Time]]&gt;=0.5)=TRUE, "Afternoon", IF(AND(AllData[[#This Row],[Time]]&lt;1, AllData[[#This Row],[Time]]&gt;=0.75)=TRUE, "Evening", "Night")))</f>
        <v>Evening</v>
      </c>
      <c r="G2345" t="str">
        <f>_xlfn.XLOOKUP(AllData[[#This Row],[Location Name]], Locations[Location Name],Locations[Group As])</f>
        <v>Avonbank Drive</v>
      </c>
      <c r="H2345" t="e" vm="1">
        <f>_xlfn.XLOOKUP(AllData[[#This Row],[Site Name]],LocationsKey[Site Name],LocationsKey[District])</f>
        <v>#VALUE!</v>
      </c>
      <c r="I2345" t="e" vm="12">
        <f>_xlfn.XLOOKUP(AllData[[#This Row],[Site Name]],LocationsKey[Site Name],LocationsKey[Town])</f>
        <v>#VALUE!</v>
      </c>
      <c r="J2345" t="str">
        <f>_xlfn.XLOOKUP(AllData[[#This Row],[Site Name]],LocationsKey[Site Name], LocationsKey[Waterway])</f>
        <v>Avon</v>
      </c>
      <c r="K2345" t="s">
        <v>67</v>
      </c>
      <c r="L2345">
        <v>52.177095000000001</v>
      </c>
      <c r="M2345" s="108">
        <v>-1.7357819999999999</v>
      </c>
      <c r="N2345" t="s">
        <v>68</v>
      </c>
      <c r="O2345">
        <v>893</v>
      </c>
      <c r="P2345">
        <v>18.8</v>
      </c>
      <c r="Q2345">
        <v>10</v>
      </c>
      <c r="R2345" s="141" t="str">
        <f>IF(AllData[[#This Row],[Nitrate (PPM)]]&gt;2, "Very high", IF(AllData[[#This Row],[Nitrate (PPM)]]&gt;1, "High", IF(AllData[[#This Row],[Nitrate (PPM)]]&gt;0.5, "Some evidence", IF(AllData[[#This Row],[Nitrate (PPM)]]&gt;=0, "No evidence"))))</f>
        <v>Very high</v>
      </c>
      <c r="S2345" s="4">
        <v>0.5</v>
      </c>
      <c r="T2345" s="7" t="str">
        <f>IF(AllData[[#This Row],[Phosphate (PPM)]]&gt;0.5, "Very high", IF(AllData[[#This Row],[Phosphate (PPM)]]&gt;0.1, "High", IF(AllData[[#This Row],[Phosphate (PPM)]]&gt;0.05, "Some evidence", IF(AllData[[#This Row],[Phosphate (PPM)]]&lt;=0.05, "No Evidence", ""))))</f>
        <v>High</v>
      </c>
      <c r="U2345">
        <v>0.6</v>
      </c>
      <c r="V2345" t="s">
        <v>69</v>
      </c>
    </row>
    <row r="2346" spans="1:22" x14ac:dyDescent="0.35">
      <c r="A2346" t="s">
        <v>70</v>
      </c>
      <c r="B2346" s="143">
        <v>45139</v>
      </c>
      <c r="C2346" s="2" t="str" cm="1">
        <f t="array" ref="C234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6">
        <f>YEAR(AllData[[#This Row],[Date]])</f>
        <v>2023</v>
      </c>
      <c r="E2346" s="1">
        <v>0.85416666666666663</v>
      </c>
      <c r="F2346" t="str">
        <f>IF(AND(AllData[[#This Row],[Time]]&lt;0.5, AllData[[#This Row],[Time]]&gt;0.17)=TRUE, "Morning", IF(AND(AllData[[#This Row],[Time]]&lt;0.75, AllData[[#This Row],[Time]]&gt;=0.5)=TRUE, "Afternoon", IF(AND(AllData[[#This Row],[Time]]&lt;1, AllData[[#This Row],[Time]]&gt;=0.75)=TRUE, "Evening", "Night")))</f>
        <v>Evening</v>
      </c>
      <c r="G2346" t="str">
        <f>_xlfn.XLOOKUP(AllData[[#This Row],[Location Name]], Locations[Location Name],Locations[Group As])</f>
        <v>Pitch 16</v>
      </c>
      <c r="H2346" t="e" vm="1">
        <f>_xlfn.XLOOKUP(AllData[[#This Row],[Site Name]],LocationsKey[Site Name],LocationsKey[District])</f>
        <v>#VALUE!</v>
      </c>
      <c r="I2346" t="e" vm="12">
        <f>_xlfn.XLOOKUP(AllData[[#This Row],[Site Name]],LocationsKey[Site Name],LocationsKey[Town])</f>
        <v>#VALUE!</v>
      </c>
      <c r="J2346" t="str">
        <f>_xlfn.XLOOKUP(AllData[[#This Row],[Site Name]],LocationsKey[Site Name], LocationsKey[Waterway])</f>
        <v>Avon</v>
      </c>
      <c r="K2346" t="s">
        <v>71</v>
      </c>
      <c r="L2346">
        <v>52.178967999999998</v>
      </c>
      <c r="M2346" s="108">
        <v>-1.7338849999999999</v>
      </c>
      <c r="N2346" t="s">
        <v>31</v>
      </c>
      <c r="O2346">
        <v>887</v>
      </c>
      <c r="P2346">
        <v>18.600000000000001</v>
      </c>
      <c r="Q2346">
        <v>10</v>
      </c>
      <c r="R2346" s="141" t="str">
        <f>IF(AllData[[#This Row],[Nitrate (PPM)]]&gt;2, "Very high", IF(AllData[[#This Row],[Nitrate (PPM)]]&gt;1, "High", IF(AllData[[#This Row],[Nitrate (PPM)]]&gt;0.5, "Some evidence", IF(AllData[[#This Row],[Nitrate (PPM)]]&gt;=0, "No evidence"))))</f>
        <v>Very high</v>
      </c>
      <c r="S2346" s="4">
        <v>0.6</v>
      </c>
      <c r="T2346" s="7" t="str">
        <f>IF(AllData[[#This Row],[Phosphate (PPM)]]&gt;0.5, "Very high", IF(AllData[[#This Row],[Phosphate (PPM)]]&gt;0.1, "High", IF(AllData[[#This Row],[Phosphate (PPM)]]&gt;0.05, "Some evidence", IF(AllData[[#This Row],[Phosphate (PPM)]]&lt;=0.05, "No Evidence", ""))))</f>
        <v>Very high</v>
      </c>
      <c r="U2346">
        <v>0.6</v>
      </c>
      <c r="V2346" t="s">
        <v>72</v>
      </c>
    </row>
    <row r="2347" spans="1:22" x14ac:dyDescent="0.35">
      <c r="A2347" t="s">
        <v>62</v>
      </c>
      <c r="B2347" s="143">
        <v>45138</v>
      </c>
      <c r="C2347" s="2" t="str" cm="1">
        <f t="array" ref="C234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7">
        <f>YEAR(AllData[[#This Row],[Date]])</f>
        <v>2023</v>
      </c>
      <c r="E2347" s="1">
        <v>0.5</v>
      </c>
      <c r="F2347" t="str">
        <f>IF(AND(AllData[[#This Row],[Time]]&lt;0.5, AllData[[#This Row],[Time]]&gt;0.17)=TRUE, "Morning", IF(AND(AllData[[#This Row],[Time]]&lt;0.75, AllData[[#This Row],[Time]]&gt;=0.5)=TRUE, "Afternoon", IF(AND(AllData[[#This Row],[Time]]&lt;1, AllData[[#This Row],[Time]]&gt;=0.75)=TRUE, "Evening", "Night")))</f>
        <v>Afternoon</v>
      </c>
      <c r="G2347" t="str">
        <f>_xlfn.XLOOKUP(AllData[[#This Row],[Location Name]], Locations[Location Name],Locations[Group As])</f>
        <v>Welford Boat Station</v>
      </c>
      <c r="H2347" t="e" vm="1">
        <f>_xlfn.XLOOKUP(AllData[[#This Row],[Site Name]],LocationsKey[Site Name],LocationsKey[District])</f>
        <v>#VALUE!</v>
      </c>
      <c r="I2347" t="e" vm="36">
        <f>_xlfn.XLOOKUP(AllData[[#This Row],[Site Name]],LocationsKey[Site Name],LocationsKey[Town])</f>
        <v>#VALUE!</v>
      </c>
      <c r="J2347" t="str">
        <f>_xlfn.XLOOKUP(AllData[[#This Row],[Site Name]],LocationsKey[Site Name], LocationsKey[Waterway])</f>
        <v>Avon</v>
      </c>
      <c r="K2347" t="s">
        <v>41</v>
      </c>
      <c r="L2347">
        <v>52.175240000000002</v>
      </c>
      <c r="M2347" s="108">
        <v>-1.7918700000000001</v>
      </c>
      <c r="N2347" t="s">
        <v>25</v>
      </c>
      <c r="O2347">
        <v>728</v>
      </c>
      <c r="P2347">
        <v>18.7</v>
      </c>
      <c r="Q2347">
        <v>4.5</v>
      </c>
      <c r="R2347" s="141" t="str">
        <f>IF(AllData[[#This Row],[Nitrate (PPM)]]&gt;2, "Very high", IF(AllData[[#This Row],[Nitrate (PPM)]]&gt;1, "High", IF(AllData[[#This Row],[Nitrate (PPM)]]&gt;0.5, "Some evidence", IF(AllData[[#This Row],[Nitrate (PPM)]]&gt;=0, "No evidence"))))</f>
        <v>Very high</v>
      </c>
      <c r="S2347" s="4">
        <v>0.59</v>
      </c>
      <c r="T2347" s="7" t="str">
        <f>IF(AllData[[#This Row],[Phosphate (PPM)]]&gt;0.5, "Very high", IF(AllData[[#This Row],[Phosphate (PPM)]]&gt;0.1, "High", IF(AllData[[#This Row],[Phosphate (PPM)]]&gt;0.05, "Some evidence", IF(AllData[[#This Row],[Phosphate (PPM)]]&lt;=0.05, "No Evidence", ""))))</f>
        <v>Very high</v>
      </c>
      <c r="U2347">
        <v>0</v>
      </c>
      <c r="V2347" t="s">
        <v>63</v>
      </c>
    </row>
    <row r="2348" spans="1:22" x14ac:dyDescent="0.35">
      <c r="A2348" t="s">
        <v>64</v>
      </c>
      <c r="B2348" s="143">
        <v>45138</v>
      </c>
      <c r="C2348" s="2" t="str" cm="1">
        <f t="array" ref="C234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8">
        <f>YEAR(AllData[[#This Row],[Date]])</f>
        <v>2023</v>
      </c>
      <c r="E2348" s="1">
        <v>0.70833333333333337</v>
      </c>
      <c r="F2348" t="str">
        <f>IF(AND(AllData[[#This Row],[Time]]&lt;0.5, AllData[[#This Row],[Time]]&gt;0.17)=TRUE, "Morning", IF(AND(AllData[[#This Row],[Time]]&lt;0.75, AllData[[#This Row],[Time]]&gt;=0.5)=TRUE, "Afternoon", IF(AND(AllData[[#This Row],[Time]]&lt;1, AllData[[#This Row],[Time]]&gt;=0.75)=TRUE, "Evening", "Night")))</f>
        <v>Afternoon</v>
      </c>
      <c r="G2348" t="str">
        <f>_xlfn.XLOOKUP(AllData[[#This Row],[Location Name]], Locations[Location Name],Locations[Group As])</f>
        <v>Barton</v>
      </c>
      <c r="H2348" t="e" vm="1">
        <f>_xlfn.XLOOKUP(AllData[[#This Row],[Site Name]],LocationsKey[Site Name],LocationsKey[District])</f>
        <v>#VALUE!</v>
      </c>
      <c r="I2348" t="str">
        <f>_xlfn.XLOOKUP(AllData[[#This Row],[Site Name]],LocationsKey[Site Name],LocationsKey[Town])</f>
        <v>Barton</v>
      </c>
      <c r="J2348" t="str">
        <f>_xlfn.XLOOKUP(AllData[[#This Row],[Site Name]],LocationsKey[Site Name], LocationsKey[Waterway])</f>
        <v>Avon</v>
      </c>
      <c r="K2348" t="s">
        <v>51</v>
      </c>
      <c r="L2348">
        <v>52.161209999999997</v>
      </c>
      <c r="M2348" s="108">
        <v>-1.8301499999999999</v>
      </c>
      <c r="N2348" t="s">
        <v>31</v>
      </c>
      <c r="O2348">
        <v>722</v>
      </c>
      <c r="P2348">
        <v>17.5</v>
      </c>
      <c r="Q2348">
        <v>4</v>
      </c>
      <c r="R2348" s="141" t="str">
        <f>IF(AllData[[#This Row],[Nitrate (PPM)]]&gt;2, "Very high", IF(AllData[[#This Row],[Nitrate (PPM)]]&gt;1, "High", IF(AllData[[#This Row],[Nitrate (PPM)]]&gt;0.5, "Some evidence", IF(AllData[[#This Row],[Nitrate (PPM)]]&gt;=0, "No evidence"))))</f>
        <v>Very high</v>
      </c>
      <c r="S2348" s="4">
        <v>0.61</v>
      </c>
      <c r="T2348" s="7" t="str">
        <f>IF(AllData[[#This Row],[Phosphate (PPM)]]&gt;0.5, "Very high", IF(AllData[[#This Row],[Phosphate (PPM)]]&gt;0.1, "High", IF(AllData[[#This Row],[Phosphate (PPM)]]&gt;0.05, "Some evidence", IF(AllData[[#This Row],[Phosphate (PPM)]]&lt;=0.05, "No Evidence", ""))))</f>
        <v>Very high</v>
      </c>
      <c r="U2348">
        <v>0</v>
      </c>
      <c r="V2348" t="s">
        <v>65</v>
      </c>
    </row>
    <row r="2349" spans="1:22" x14ac:dyDescent="0.35">
      <c r="A2349" t="s">
        <v>61</v>
      </c>
      <c r="B2349" s="143">
        <v>45137</v>
      </c>
      <c r="C2349" s="2" t="str" cm="1">
        <f t="array" ref="C234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49">
        <f>YEAR(AllData[[#This Row],[Date]])</f>
        <v>2023</v>
      </c>
      <c r="E2349" s="1">
        <v>0.52083333333333337</v>
      </c>
      <c r="F2349" t="str">
        <f>IF(AND(AllData[[#This Row],[Time]]&lt;0.5, AllData[[#This Row],[Time]]&gt;0.17)=TRUE, "Morning", IF(AND(AllData[[#This Row],[Time]]&lt;0.75, AllData[[#This Row],[Time]]&gt;=0.5)=TRUE, "Afternoon", IF(AND(AllData[[#This Row],[Time]]&lt;1, AllData[[#This Row],[Time]]&gt;=0.75)=TRUE, "Evening", "Night")))</f>
        <v>Afternoon</v>
      </c>
      <c r="G2349" t="str">
        <f>_xlfn.XLOOKUP(AllData[[#This Row],[Location Name]], Locations[Location Name],Locations[Group As])</f>
        <v>Hampton Lucy</v>
      </c>
      <c r="H2349" t="e" vm="1">
        <f>_xlfn.XLOOKUP(AllData[[#This Row],[Site Name]],LocationsKey[Site Name],LocationsKey[District])</f>
        <v>#VALUE!</v>
      </c>
      <c r="I2349" t="e" vm="33">
        <f>_xlfn.XLOOKUP(AllData[[#This Row],[Site Name]],LocationsKey[Site Name],LocationsKey[Town])</f>
        <v>#VALUE!</v>
      </c>
      <c r="J2349" t="str">
        <f>_xlfn.XLOOKUP(AllData[[#This Row],[Site Name]],LocationsKey[Site Name], LocationsKey[Waterway])</f>
        <v>Avon</v>
      </c>
      <c r="K2349" t="s">
        <v>39</v>
      </c>
      <c r="L2349">
        <v>52.211680000000001</v>
      </c>
      <c r="M2349" s="108">
        <v>-1.6244400000000001</v>
      </c>
      <c r="N2349" t="s">
        <v>25</v>
      </c>
      <c r="O2349">
        <v>704</v>
      </c>
      <c r="P2349">
        <v>19.399999999999999</v>
      </c>
      <c r="Q2349">
        <v>5</v>
      </c>
      <c r="R2349" s="141" t="str">
        <f>IF(AllData[[#This Row],[Nitrate (PPM)]]&gt;2, "Very high", IF(AllData[[#This Row],[Nitrate (PPM)]]&gt;1, "High", IF(AllData[[#This Row],[Nitrate (PPM)]]&gt;0.5, "Some evidence", IF(AllData[[#This Row],[Nitrate (PPM)]]&gt;=0, "No evidence"))))</f>
        <v>Very high</v>
      </c>
      <c r="S2349" s="4">
        <v>0.7</v>
      </c>
      <c r="T2349" s="7" t="str">
        <f>IF(AllData[[#This Row],[Phosphate (PPM)]]&gt;0.5, "Very high", IF(AllData[[#This Row],[Phosphate (PPM)]]&gt;0.1, "High", IF(AllData[[#This Row],[Phosphate (PPM)]]&gt;0.05, "Some evidence", IF(AllData[[#This Row],[Phosphate (PPM)]]&lt;=0.05, "No Evidence", ""))))</f>
        <v>Very high</v>
      </c>
      <c r="U2349">
        <v>0</v>
      </c>
      <c r="V2349" t="s">
        <v>60</v>
      </c>
    </row>
    <row r="2350" spans="1:22" x14ac:dyDescent="0.35">
      <c r="A2350" t="s">
        <v>59</v>
      </c>
      <c r="B2350" s="143">
        <v>45137</v>
      </c>
      <c r="C2350" s="2" t="str" cm="1">
        <f t="array" ref="C235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0">
        <f>YEAR(AllData[[#This Row],[Date]])</f>
        <v>2023</v>
      </c>
      <c r="E2350" s="1">
        <v>0.40625</v>
      </c>
      <c r="F2350" t="str">
        <f>IF(AND(AllData[[#This Row],[Time]]&lt;0.5, AllData[[#This Row],[Time]]&gt;0.17)=TRUE, "Morning", IF(AND(AllData[[#This Row],[Time]]&lt;0.75, AllData[[#This Row],[Time]]&gt;=0.5)=TRUE, "Afternoon", IF(AND(AllData[[#This Row],[Time]]&lt;1, AllData[[#This Row],[Time]]&gt;=0.75)=TRUE, "Evening", "Night")))</f>
        <v>Morning</v>
      </c>
      <c r="G2350" t="str">
        <f>_xlfn.XLOOKUP(AllData[[#This Row],[Location Name]], Locations[Location Name],Locations[Group As])</f>
        <v>Hampton Wood</v>
      </c>
      <c r="H2350" t="e" vm="1">
        <f>_xlfn.XLOOKUP(AllData[[#This Row],[Site Name]],LocationsKey[Site Name],LocationsKey[District])</f>
        <v>#VALUE!</v>
      </c>
      <c r="I2350" t="e" vm="34">
        <f>_xlfn.XLOOKUP(AllData[[#This Row],[Site Name]],LocationsKey[Site Name],LocationsKey[Town])</f>
        <v>#VALUE!</v>
      </c>
      <c r="J2350" t="str">
        <f>_xlfn.XLOOKUP(AllData[[#This Row],[Site Name]],LocationsKey[Site Name], LocationsKey[Waterway])</f>
        <v>Avon</v>
      </c>
      <c r="K2350" t="s">
        <v>36</v>
      </c>
      <c r="L2350">
        <v>52.238149999999997</v>
      </c>
      <c r="M2350" s="108">
        <v>-1.6245799999999999</v>
      </c>
      <c r="N2350" t="s">
        <v>31</v>
      </c>
      <c r="O2350">
        <v>734</v>
      </c>
      <c r="P2350">
        <v>18.8</v>
      </c>
      <c r="Q2350">
        <v>4</v>
      </c>
      <c r="R2350" s="141" t="str">
        <f>IF(AllData[[#This Row],[Nitrate (PPM)]]&gt;2, "Very high", IF(AllData[[#This Row],[Nitrate (PPM)]]&gt;1, "High", IF(AllData[[#This Row],[Nitrate (PPM)]]&gt;0.5, "Some evidence", IF(AllData[[#This Row],[Nitrate (PPM)]]&gt;=0, "No evidence"))))</f>
        <v>Very high</v>
      </c>
      <c r="S2350" s="4">
        <v>0.83</v>
      </c>
      <c r="T2350" s="7" t="str">
        <f>IF(AllData[[#This Row],[Phosphate (PPM)]]&gt;0.5, "Very high", IF(AllData[[#This Row],[Phosphate (PPM)]]&gt;0.1, "High", IF(AllData[[#This Row],[Phosphate (PPM)]]&gt;0.05, "Some evidence", IF(AllData[[#This Row],[Phosphate (PPM)]]&lt;=0.05, "No Evidence", ""))))</f>
        <v>Very high</v>
      </c>
      <c r="U2350">
        <v>0</v>
      </c>
      <c r="V2350" t="s">
        <v>60</v>
      </c>
    </row>
    <row r="2351" spans="1:22" x14ac:dyDescent="0.35">
      <c r="A2351" t="s">
        <v>58</v>
      </c>
      <c r="B2351" s="143">
        <v>45134</v>
      </c>
      <c r="C2351" s="2" t="str" cm="1">
        <f t="array" ref="C235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1">
        <f>YEAR(AllData[[#This Row],[Date]])</f>
        <v>2023</v>
      </c>
      <c r="E2351" s="1">
        <v>0.85416666666666663</v>
      </c>
      <c r="F2351" t="str">
        <f>IF(AND(AllData[[#This Row],[Time]]&lt;0.5, AllData[[#This Row],[Time]]&gt;0.17)=TRUE, "Morning", IF(AND(AllData[[#This Row],[Time]]&lt;0.75, AllData[[#This Row],[Time]]&gt;=0.5)=TRUE, "Afternoon", IF(AND(AllData[[#This Row],[Time]]&lt;1, AllData[[#This Row],[Time]]&gt;=0.75)=TRUE, "Evening", "Night")))</f>
        <v>Evening</v>
      </c>
      <c r="G2351" t="str">
        <f>_xlfn.XLOOKUP(AllData[[#This Row],[Location Name]], Locations[Location Name],Locations[Group As])</f>
        <v>Abbey Mill</v>
      </c>
      <c r="H2351" t="e" vm="4">
        <f>_xlfn.XLOOKUP(AllData[[#This Row],[Site Name]],LocationsKey[Site Name],LocationsKey[District])</f>
        <v>#VALUE!</v>
      </c>
      <c r="I2351" t="e" vm="4">
        <f>_xlfn.XLOOKUP(AllData[[#This Row],[Site Name]],LocationsKey[Site Name],LocationsKey[Town])</f>
        <v>#VALUE!</v>
      </c>
      <c r="J2351" t="str">
        <f>_xlfn.XLOOKUP(AllData[[#This Row],[Site Name]],LocationsKey[Site Name], LocationsKey[Waterway])</f>
        <v>Avon</v>
      </c>
      <c r="K2351" t="s">
        <v>24</v>
      </c>
      <c r="L2351">
        <v>51.991571999999998</v>
      </c>
      <c r="M2351" s="108">
        <v>-2.1628850000000002</v>
      </c>
      <c r="N2351" t="s">
        <v>25</v>
      </c>
      <c r="O2351">
        <v>856</v>
      </c>
      <c r="P2351">
        <v>19.7</v>
      </c>
      <c r="Q2351">
        <v>8</v>
      </c>
      <c r="R2351" s="141" t="str">
        <f>IF(AllData[[#This Row],[Nitrate (PPM)]]&gt;2, "Very high", IF(AllData[[#This Row],[Nitrate (PPM)]]&gt;1, "High", IF(AllData[[#This Row],[Nitrate (PPM)]]&gt;0.5, "Some evidence", IF(AllData[[#This Row],[Nitrate (PPM)]]&gt;=0, "No evidence"))))</f>
        <v>Very high</v>
      </c>
      <c r="S2351" s="4">
        <v>1.1399999999999999</v>
      </c>
      <c r="T2351" s="7" t="str">
        <f>IF(AllData[[#This Row],[Phosphate (PPM)]]&gt;0.5, "Very high", IF(AllData[[#This Row],[Phosphate (PPM)]]&gt;0.1, "High", IF(AllData[[#This Row],[Phosphate (PPM)]]&gt;0.05, "Some evidence", IF(AllData[[#This Row],[Phosphate (PPM)]]&lt;=0.05, "No Evidence", ""))))</f>
        <v>Very high</v>
      </c>
      <c r="U2351">
        <v>0</v>
      </c>
    </row>
    <row r="2352" spans="1:22" x14ac:dyDescent="0.35">
      <c r="A2352" t="s">
        <v>55</v>
      </c>
      <c r="B2352" s="143">
        <v>45132</v>
      </c>
      <c r="C2352" s="2" t="str" cm="1">
        <f t="array" ref="C235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2">
        <f>YEAR(AllData[[#This Row],[Date]])</f>
        <v>2023</v>
      </c>
      <c r="E2352" s="1">
        <v>0.4777777777777778</v>
      </c>
      <c r="F2352" t="str">
        <f>IF(AND(AllData[[#This Row],[Time]]&lt;0.5, AllData[[#This Row],[Time]]&gt;0.17)=TRUE, "Morning", IF(AND(AllData[[#This Row],[Time]]&lt;0.75, AllData[[#This Row],[Time]]&gt;=0.5)=TRUE, "Afternoon", IF(AND(AllData[[#This Row],[Time]]&lt;1, AllData[[#This Row],[Time]]&gt;=0.75)=TRUE, "Evening", "Night")))</f>
        <v>Morning</v>
      </c>
      <c r="G2352" t="str">
        <f>_xlfn.XLOOKUP(AllData[[#This Row],[Location Name]], Locations[Location Name],Locations[Group As])</f>
        <v>Twyning Fleet</v>
      </c>
      <c r="H2352" t="e" vm="4">
        <f>_xlfn.XLOOKUP(AllData[[#This Row],[Site Name]],LocationsKey[Site Name],LocationsKey[District])</f>
        <v>#VALUE!</v>
      </c>
      <c r="I2352" t="str">
        <f>_xlfn.XLOOKUP(AllData[[#This Row],[Site Name]],LocationsKey[Site Name],LocationsKey[Town])</f>
        <v>Twyning Green</v>
      </c>
      <c r="J2352" t="str">
        <f>_xlfn.XLOOKUP(AllData[[#This Row],[Site Name]],LocationsKey[Site Name], LocationsKey[Waterway])</f>
        <v>Avon</v>
      </c>
      <c r="K2352" t="s">
        <v>56</v>
      </c>
      <c r="L2352">
        <v>52.027053000000002</v>
      </c>
      <c r="M2352" s="108">
        <v>-2.1405430000000001</v>
      </c>
      <c r="N2352" t="s">
        <v>31</v>
      </c>
      <c r="O2352">
        <v>905</v>
      </c>
      <c r="P2352">
        <v>19.5</v>
      </c>
      <c r="Q2352">
        <v>10</v>
      </c>
      <c r="R2352" s="141" t="str">
        <f>IF(AllData[[#This Row],[Nitrate (PPM)]]&gt;2, "Very high", IF(AllData[[#This Row],[Nitrate (PPM)]]&gt;1, "High", IF(AllData[[#This Row],[Nitrate (PPM)]]&gt;0.5, "Some evidence", IF(AllData[[#This Row],[Nitrate (PPM)]]&gt;=0, "No evidence"))))</f>
        <v>Very high</v>
      </c>
      <c r="S2352" s="4">
        <v>1</v>
      </c>
      <c r="T2352" s="7" t="str">
        <f>IF(AllData[[#This Row],[Phosphate (PPM)]]&gt;0.5, "Very high", IF(AllData[[#This Row],[Phosphate (PPM)]]&gt;0.1, "High", IF(AllData[[#This Row],[Phosphate (PPM)]]&gt;0.05, "Some evidence", IF(AllData[[#This Row],[Phosphate (PPM)]]&lt;=0.05, "No Evidence", ""))))</f>
        <v>Very high</v>
      </c>
      <c r="U2352">
        <v>0</v>
      </c>
      <c r="V2352" t="s">
        <v>57</v>
      </c>
    </row>
    <row r="2353" spans="1:22" x14ac:dyDescent="0.35">
      <c r="A2353" t="s">
        <v>45</v>
      </c>
      <c r="B2353" s="143">
        <v>45130</v>
      </c>
      <c r="C2353" s="2" t="str" cm="1">
        <f t="array" ref="C235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3">
        <f>YEAR(AllData[[#This Row],[Date]])</f>
        <v>2023</v>
      </c>
      <c r="E2353" s="1">
        <v>0.34513888888888888</v>
      </c>
      <c r="F2353" t="str">
        <f>IF(AND(AllData[[#This Row],[Time]]&lt;0.5, AllData[[#This Row],[Time]]&gt;0.17)=TRUE, "Morning", IF(AND(AllData[[#This Row],[Time]]&lt;0.75, AllData[[#This Row],[Time]]&gt;=0.5)=TRUE, "Afternoon", IF(AND(AllData[[#This Row],[Time]]&lt;1, AllData[[#This Row],[Time]]&gt;=0.75)=TRUE, "Evening", "Night")))</f>
        <v>Morning</v>
      </c>
      <c r="G2353" t="str">
        <f>_xlfn.XLOOKUP(AllData[[#This Row],[Location Name]], Locations[Location Name],Locations[Group As])</f>
        <v>Abbey Mill</v>
      </c>
      <c r="H2353" t="e" vm="4">
        <f>_xlfn.XLOOKUP(AllData[[#This Row],[Site Name]],LocationsKey[Site Name],LocationsKey[District])</f>
        <v>#VALUE!</v>
      </c>
      <c r="I2353" t="e" vm="4">
        <f>_xlfn.XLOOKUP(AllData[[#This Row],[Site Name]],LocationsKey[Site Name],LocationsKey[Town])</f>
        <v>#VALUE!</v>
      </c>
      <c r="J2353" t="str">
        <f>_xlfn.XLOOKUP(AllData[[#This Row],[Site Name]],LocationsKey[Site Name], LocationsKey[Waterway])</f>
        <v>Avon</v>
      </c>
      <c r="K2353" t="s">
        <v>24</v>
      </c>
      <c r="L2353">
        <v>51.991394999999997</v>
      </c>
      <c r="M2353" s="108">
        <v>-2.1626370000000001</v>
      </c>
      <c r="N2353" t="s">
        <v>25</v>
      </c>
      <c r="O2353">
        <v>819</v>
      </c>
      <c r="P2353">
        <v>19.3</v>
      </c>
      <c r="Q2353">
        <v>12</v>
      </c>
      <c r="R2353" s="141" t="str">
        <f>IF(AllData[[#This Row],[Nitrate (PPM)]]&gt;2, "Very high", IF(AllData[[#This Row],[Nitrate (PPM)]]&gt;1, "High", IF(AllData[[#This Row],[Nitrate (PPM)]]&gt;0.5, "Some evidence", IF(AllData[[#This Row],[Nitrate (PPM)]]&gt;=0, "No evidence"))))</f>
        <v>Very high</v>
      </c>
      <c r="S2353" s="4">
        <v>0.86</v>
      </c>
      <c r="T2353" s="7" t="str">
        <f>IF(AllData[[#This Row],[Phosphate (PPM)]]&gt;0.5, "Very high", IF(AllData[[#This Row],[Phosphate (PPM)]]&gt;0.1, "High", IF(AllData[[#This Row],[Phosphate (PPM)]]&gt;0.05, "Some evidence", IF(AllData[[#This Row],[Phosphate (PPM)]]&lt;=0.05, "No Evidence", ""))))</f>
        <v>Very high</v>
      </c>
      <c r="U2353">
        <v>0</v>
      </c>
    </row>
    <row r="2354" spans="1:22" x14ac:dyDescent="0.35">
      <c r="A2354" t="s">
        <v>53</v>
      </c>
      <c r="B2354" s="143">
        <v>45130</v>
      </c>
      <c r="C2354" s="2" t="str" cm="1">
        <f t="array" ref="C235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4">
        <f>YEAR(AllData[[#This Row],[Date]])</f>
        <v>2023</v>
      </c>
      <c r="E2354" s="1">
        <v>0.77083333333333337</v>
      </c>
      <c r="F2354" t="str">
        <f>IF(AND(AllData[[#This Row],[Time]]&lt;0.5, AllData[[#This Row],[Time]]&gt;0.17)=TRUE, "Morning", IF(AND(AllData[[#This Row],[Time]]&lt;0.75, AllData[[#This Row],[Time]]&gt;=0.5)=TRUE, "Afternoon", IF(AND(AllData[[#This Row],[Time]]&lt;1, AllData[[#This Row],[Time]]&gt;=0.75)=TRUE, "Evening", "Night")))</f>
        <v>Evening</v>
      </c>
      <c r="G2354" t="str">
        <f>_xlfn.XLOOKUP(AllData[[#This Row],[Location Name]], Locations[Location Name],Locations[Group As])</f>
        <v>Welford Boat Station</v>
      </c>
      <c r="H2354" t="e" vm="1">
        <f>_xlfn.XLOOKUP(AllData[[#This Row],[Site Name]],LocationsKey[Site Name],LocationsKey[District])</f>
        <v>#VALUE!</v>
      </c>
      <c r="I2354" t="e" vm="36">
        <f>_xlfn.XLOOKUP(AllData[[#This Row],[Site Name]],LocationsKey[Site Name],LocationsKey[Town])</f>
        <v>#VALUE!</v>
      </c>
      <c r="J2354" t="str">
        <f>_xlfn.XLOOKUP(AllData[[#This Row],[Site Name]],LocationsKey[Site Name], LocationsKey[Waterway])</f>
        <v>Avon</v>
      </c>
      <c r="K2354" t="s">
        <v>41</v>
      </c>
      <c r="L2354">
        <v>52.175240000000002</v>
      </c>
      <c r="M2354" s="108">
        <v>-1.7918700000000001</v>
      </c>
      <c r="N2354" t="s">
        <v>25</v>
      </c>
      <c r="O2354">
        <v>892</v>
      </c>
      <c r="P2354">
        <v>19.100000000000001</v>
      </c>
      <c r="Q2354">
        <v>7</v>
      </c>
      <c r="R2354" s="141" t="str">
        <f>IF(AllData[[#This Row],[Nitrate (PPM)]]&gt;2, "Very high", IF(AllData[[#This Row],[Nitrate (PPM)]]&gt;1, "High", IF(AllData[[#This Row],[Nitrate (PPM)]]&gt;0.5, "Some evidence", IF(AllData[[#This Row],[Nitrate (PPM)]]&gt;=0, "No evidence"))))</f>
        <v>Very high</v>
      </c>
      <c r="S2354" s="4">
        <v>0.47</v>
      </c>
      <c r="T2354" s="7" t="str">
        <f>IF(AllData[[#This Row],[Phosphate (PPM)]]&gt;0.5, "Very high", IF(AllData[[#This Row],[Phosphate (PPM)]]&gt;0.1, "High", IF(AllData[[#This Row],[Phosphate (PPM)]]&gt;0.05, "Some evidence", IF(AllData[[#This Row],[Phosphate (PPM)]]&lt;=0.05, "No Evidence", ""))))</f>
        <v>High</v>
      </c>
      <c r="U2354">
        <v>0</v>
      </c>
      <c r="V2354" t="s">
        <v>54</v>
      </c>
    </row>
    <row r="2355" spans="1:22" x14ac:dyDescent="0.35">
      <c r="A2355" t="s">
        <v>48</v>
      </c>
      <c r="B2355" s="143">
        <v>45130</v>
      </c>
      <c r="C2355" s="2" t="str" cm="1">
        <f t="array" ref="C235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5">
        <f>YEAR(AllData[[#This Row],[Date]])</f>
        <v>2023</v>
      </c>
      <c r="E2355" s="1">
        <v>0.49305555555555558</v>
      </c>
      <c r="F2355" t="str">
        <f>IF(AND(AllData[[#This Row],[Time]]&lt;0.5, AllData[[#This Row],[Time]]&gt;0.17)=TRUE, "Morning", IF(AND(AllData[[#This Row],[Time]]&lt;0.75, AllData[[#This Row],[Time]]&gt;=0.5)=TRUE, "Afternoon", IF(AND(AllData[[#This Row],[Time]]&lt;1, AllData[[#This Row],[Time]]&gt;=0.75)=TRUE, "Evening", "Night")))</f>
        <v>Morning</v>
      </c>
      <c r="G2355" t="str">
        <f>_xlfn.XLOOKUP(AllData[[#This Row],[Location Name]], Locations[Location Name],Locations[Group As])</f>
        <v>Hampton Lucy</v>
      </c>
      <c r="H2355" t="e" vm="1">
        <f>_xlfn.XLOOKUP(AllData[[#This Row],[Site Name]],LocationsKey[Site Name],LocationsKey[District])</f>
        <v>#VALUE!</v>
      </c>
      <c r="I2355" t="e" vm="33">
        <f>_xlfn.XLOOKUP(AllData[[#This Row],[Site Name]],LocationsKey[Site Name],LocationsKey[Town])</f>
        <v>#VALUE!</v>
      </c>
      <c r="J2355" t="str">
        <f>_xlfn.XLOOKUP(AllData[[#This Row],[Site Name]],LocationsKey[Site Name], LocationsKey[Waterway])</f>
        <v>Avon</v>
      </c>
      <c r="K2355" t="s">
        <v>39</v>
      </c>
      <c r="L2355">
        <v>52.211680000000001</v>
      </c>
      <c r="M2355" s="108">
        <v>-1.6244400000000001</v>
      </c>
      <c r="N2355" t="s">
        <v>25</v>
      </c>
      <c r="O2355">
        <v>840</v>
      </c>
      <c r="P2355">
        <v>19.399999999999999</v>
      </c>
      <c r="Q2355">
        <v>5</v>
      </c>
      <c r="R2355" s="141" t="str">
        <f>IF(AllData[[#This Row],[Nitrate (PPM)]]&gt;2, "Very high", IF(AllData[[#This Row],[Nitrate (PPM)]]&gt;1, "High", IF(AllData[[#This Row],[Nitrate (PPM)]]&gt;0.5, "Some evidence", IF(AllData[[#This Row],[Nitrate (PPM)]]&gt;=0, "No evidence"))))</f>
        <v>Very high</v>
      </c>
      <c r="S2355" s="4">
        <v>0.6</v>
      </c>
      <c r="T2355" s="7" t="str">
        <f>IF(AllData[[#This Row],[Phosphate (PPM)]]&gt;0.5, "Very high", IF(AllData[[#This Row],[Phosphate (PPM)]]&gt;0.1, "High", IF(AllData[[#This Row],[Phosphate (PPM)]]&gt;0.05, "Some evidence", IF(AllData[[#This Row],[Phosphate (PPM)]]&lt;=0.05, "No Evidence", ""))))</f>
        <v>Very high</v>
      </c>
      <c r="U2355">
        <v>0</v>
      </c>
      <c r="V2355" t="s">
        <v>49</v>
      </c>
    </row>
    <row r="2356" spans="1:22" x14ac:dyDescent="0.35">
      <c r="A2356" t="s">
        <v>46</v>
      </c>
      <c r="B2356" s="143">
        <v>45130</v>
      </c>
      <c r="C2356" s="2" t="str" cm="1">
        <f t="array" ref="C2356">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6">
        <f>YEAR(AllData[[#This Row],[Date]])</f>
        <v>2023</v>
      </c>
      <c r="E2356" s="1">
        <v>0.41319444444444442</v>
      </c>
      <c r="F2356" t="str">
        <f>IF(AND(AllData[[#This Row],[Time]]&lt;0.5, AllData[[#This Row],[Time]]&gt;0.17)=TRUE, "Morning", IF(AND(AllData[[#This Row],[Time]]&lt;0.75, AllData[[#This Row],[Time]]&gt;=0.5)=TRUE, "Afternoon", IF(AND(AllData[[#This Row],[Time]]&lt;1, AllData[[#This Row],[Time]]&gt;=0.75)=TRUE, "Evening", "Night")))</f>
        <v>Morning</v>
      </c>
      <c r="G2356" t="str">
        <f>_xlfn.XLOOKUP(AllData[[#This Row],[Location Name]], Locations[Location Name],Locations[Group As])</f>
        <v>Hampton Wood</v>
      </c>
      <c r="H2356" t="e" vm="1">
        <f>_xlfn.XLOOKUP(AllData[[#This Row],[Site Name]],LocationsKey[Site Name],LocationsKey[District])</f>
        <v>#VALUE!</v>
      </c>
      <c r="I2356" t="e" vm="34">
        <f>_xlfn.XLOOKUP(AllData[[#This Row],[Site Name]],LocationsKey[Site Name],LocationsKey[Town])</f>
        <v>#VALUE!</v>
      </c>
      <c r="J2356" t="str">
        <f>_xlfn.XLOOKUP(AllData[[#This Row],[Site Name]],LocationsKey[Site Name], LocationsKey[Waterway])</f>
        <v>Avon</v>
      </c>
      <c r="K2356" t="s">
        <v>36</v>
      </c>
      <c r="L2356">
        <v>52.238149999999997</v>
      </c>
      <c r="M2356" s="108">
        <v>-1.6245799999999999</v>
      </c>
      <c r="N2356" t="s">
        <v>31</v>
      </c>
      <c r="O2356">
        <v>806</v>
      </c>
      <c r="P2356">
        <v>18.5</v>
      </c>
      <c r="Q2356">
        <v>5</v>
      </c>
      <c r="R2356" s="141" t="str">
        <f>IF(AllData[[#This Row],[Nitrate (PPM)]]&gt;2, "Very high", IF(AllData[[#This Row],[Nitrate (PPM)]]&gt;1, "High", IF(AllData[[#This Row],[Nitrate (PPM)]]&gt;0.5, "Some evidence", IF(AllData[[#This Row],[Nitrate (PPM)]]&gt;=0, "No evidence"))))</f>
        <v>Very high</v>
      </c>
      <c r="S2356" s="4">
        <v>0.6</v>
      </c>
      <c r="T2356" s="7" t="str">
        <f>IF(AllData[[#This Row],[Phosphate (PPM)]]&gt;0.5, "Very high", IF(AllData[[#This Row],[Phosphate (PPM)]]&gt;0.1, "High", IF(AllData[[#This Row],[Phosphate (PPM)]]&gt;0.05, "Some evidence", IF(AllData[[#This Row],[Phosphate (PPM)]]&lt;=0.05, "No Evidence", ""))))</f>
        <v>Very high</v>
      </c>
      <c r="U2356">
        <v>0</v>
      </c>
      <c r="V2356" t="s">
        <v>47</v>
      </c>
    </row>
    <row r="2357" spans="1:22" x14ac:dyDescent="0.35">
      <c r="A2357" t="s">
        <v>50</v>
      </c>
      <c r="B2357" s="143">
        <v>45130</v>
      </c>
      <c r="C2357" s="2" t="str" cm="1">
        <f t="array" ref="C2357">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7">
        <f>YEAR(AllData[[#This Row],[Date]])</f>
        <v>2023</v>
      </c>
      <c r="E2357" s="1">
        <v>0.66666666666666663</v>
      </c>
      <c r="F2357" t="str">
        <f>IF(AND(AllData[[#This Row],[Time]]&lt;0.5, AllData[[#This Row],[Time]]&gt;0.17)=TRUE, "Morning", IF(AND(AllData[[#This Row],[Time]]&lt;0.75, AllData[[#This Row],[Time]]&gt;=0.5)=TRUE, "Afternoon", IF(AND(AllData[[#This Row],[Time]]&lt;1, AllData[[#This Row],[Time]]&gt;=0.75)=TRUE, "Evening", "Night")))</f>
        <v>Afternoon</v>
      </c>
      <c r="G2357" t="str">
        <f>_xlfn.XLOOKUP(AllData[[#This Row],[Location Name]], Locations[Location Name],Locations[Group As])</f>
        <v>Barton</v>
      </c>
      <c r="H2357" t="e" vm="1">
        <f>_xlfn.XLOOKUP(AllData[[#This Row],[Site Name]],LocationsKey[Site Name],LocationsKey[District])</f>
        <v>#VALUE!</v>
      </c>
      <c r="I2357" t="str">
        <f>_xlfn.XLOOKUP(AllData[[#This Row],[Site Name]],LocationsKey[Site Name],LocationsKey[Town])</f>
        <v>Barton</v>
      </c>
      <c r="J2357" t="str">
        <f>_xlfn.XLOOKUP(AllData[[#This Row],[Site Name]],LocationsKey[Site Name], LocationsKey[Waterway])</f>
        <v>Avon</v>
      </c>
      <c r="K2357" t="s">
        <v>51</v>
      </c>
      <c r="L2357">
        <v>52.161209999999997</v>
      </c>
      <c r="M2357" s="108">
        <v>-1.8301499999999999</v>
      </c>
      <c r="N2357" t="s">
        <v>31</v>
      </c>
      <c r="O2357">
        <v>832</v>
      </c>
      <c r="P2357">
        <v>18.7</v>
      </c>
      <c r="Q2357">
        <v>4</v>
      </c>
      <c r="R2357" s="141" t="str">
        <f>IF(AllData[[#This Row],[Nitrate (PPM)]]&gt;2, "Very high", IF(AllData[[#This Row],[Nitrate (PPM)]]&gt;1, "High", IF(AllData[[#This Row],[Nitrate (PPM)]]&gt;0.5, "Some evidence", IF(AllData[[#This Row],[Nitrate (PPM)]]&gt;=0, "No evidence"))))</f>
        <v>Very high</v>
      </c>
      <c r="S2357" s="4">
        <v>0.71</v>
      </c>
      <c r="T2357" s="7" t="str">
        <f>IF(AllData[[#This Row],[Phosphate (PPM)]]&gt;0.5, "Very high", IF(AllData[[#This Row],[Phosphate (PPM)]]&gt;0.1, "High", IF(AllData[[#This Row],[Phosphate (PPM)]]&gt;0.05, "Some evidence", IF(AllData[[#This Row],[Phosphate (PPM)]]&lt;=0.05, "No Evidence", ""))))</f>
        <v>Very high</v>
      </c>
      <c r="U2357">
        <v>0</v>
      </c>
      <c r="V2357" t="s">
        <v>52</v>
      </c>
    </row>
    <row r="2358" spans="1:22" x14ac:dyDescent="0.35">
      <c r="A2358" t="s">
        <v>42</v>
      </c>
      <c r="B2358" s="143">
        <v>45129</v>
      </c>
      <c r="C2358" s="2" t="str" cm="1">
        <f t="array" ref="C2358">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8">
        <f>YEAR(AllData[[#This Row],[Date]])</f>
        <v>2023</v>
      </c>
      <c r="E2358" s="1">
        <v>0.76736111111111116</v>
      </c>
      <c r="F2358" t="str">
        <f>IF(AND(AllData[[#This Row],[Time]]&lt;0.5, AllData[[#This Row],[Time]]&gt;0.17)=TRUE, "Morning", IF(AND(AllData[[#This Row],[Time]]&lt;0.75, AllData[[#This Row],[Time]]&gt;=0.5)=TRUE, "Afternoon", IF(AND(AllData[[#This Row],[Time]]&lt;1, AllData[[#This Row],[Time]]&gt;=0.75)=TRUE, "Evening", "Night")))</f>
        <v>Evening</v>
      </c>
      <c r="G2358" t="str">
        <f>_xlfn.XLOOKUP(AllData[[#This Row],[Location Name]], Locations[Location Name],Locations[Group As])</f>
        <v>Weston-on-Avon</v>
      </c>
      <c r="H2358" t="e" vm="1">
        <f>_xlfn.XLOOKUP(AllData[[#This Row],[Site Name]],LocationsKey[Site Name],LocationsKey[District])</f>
        <v>#VALUE!</v>
      </c>
      <c r="I2358" t="e" vm="35">
        <f>_xlfn.XLOOKUP(AllData[[#This Row],[Site Name]],LocationsKey[Site Name],LocationsKey[Town])</f>
        <v>#VALUE!</v>
      </c>
      <c r="J2358" t="str">
        <f>_xlfn.XLOOKUP(AllData[[#This Row],[Site Name]],LocationsKey[Site Name], LocationsKey[Waterway])</f>
        <v>Avon</v>
      </c>
      <c r="K2358" t="s">
        <v>43</v>
      </c>
      <c r="L2358">
        <v>52.167430000000003</v>
      </c>
      <c r="M2358" s="108">
        <v>-1.7744800000000001</v>
      </c>
      <c r="N2358" t="s">
        <v>25</v>
      </c>
      <c r="O2358">
        <v>900</v>
      </c>
      <c r="P2358">
        <v>18.399999999999999</v>
      </c>
      <c r="Q2358">
        <v>2</v>
      </c>
      <c r="R2358" s="141" t="str">
        <f>IF(AllData[[#This Row],[Nitrate (PPM)]]&gt;2, "Very high", IF(AllData[[#This Row],[Nitrate (PPM)]]&gt;1, "High", IF(AllData[[#This Row],[Nitrate (PPM)]]&gt;0.5, "Some evidence", IF(AllData[[#This Row],[Nitrate (PPM)]]&gt;=0, "No evidence"))))</f>
        <v>High</v>
      </c>
      <c r="S2358" s="4">
        <v>0.9</v>
      </c>
      <c r="T2358" s="7" t="str">
        <f>IF(AllData[[#This Row],[Phosphate (PPM)]]&gt;0.5, "Very high", IF(AllData[[#This Row],[Phosphate (PPM)]]&gt;0.1, "High", IF(AllData[[#This Row],[Phosphate (PPM)]]&gt;0.05, "Some evidence", IF(AllData[[#This Row],[Phosphate (PPM)]]&lt;=0.05, "No Evidence", ""))))</f>
        <v>Very high</v>
      </c>
      <c r="U2358">
        <v>0</v>
      </c>
      <c r="V2358" t="s">
        <v>44</v>
      </c>
    </row>
    <row r="2359" spans="1:22" x14ac:dyDescent="0.35">
      <c r="A2359" t="s">
        <v>33</v>
      </c>
      <c r="B2359" s="143">
        <v>45123</v>
      </c>
      <c r="C2359" s="2" t="str" cm="1">
        <f t="array" ref="C2359">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59">
        <f>YEAR(AllData[[#This Row],[Date]])</f>
        <v>2023</v>
      </c>
      <c r="E2359" s="1">
        <v>0.35</v>
      </c>
      <c r="F2359" t="str">
        <f>IF(AND(AllData[[#This Row],[Time]]&lt;0.5, AllData[[#This Row],[Time]]&gt;0.17)=TRUE, "Morning", IF(AND(AllData[[#This Row],[Time]]&lt;0.75, AllData[[#This Row],[Time]]&gt;=0.5)=TRUE, "Afternoon", IF(AND(AllData[[#This Row],[Time]]&lt;1, AllData[[#This Row],[Time]]&gt;=0.75)=TRUE, "Evening", "Night")))</f>
        <v>Morning</v>
      </c>
      <c r="G2359" t="str">
        <f>_xlfn.XLOOKUP(AllData[[#This Row],[Location Name]], Locations[Location Name],Locations[Group As])</f>
        <v>Abbey Mill</v>
      </c>
      <c r="H2359" t="e" vm="4">
        <f>_xlfn.XLOOKUP(AllData[[#This Row],[Site Name]],LocationsKey[Site Name],LocationsKey[District])</f>
        <v>#VALUE!</v>
      </c>
      <c r="I2359" t="e" vm="4">
        <f>_xlfn.XLOOKUP(AllData[[#This Row],[Site Name]],LocationsKey[Site Name],LocationsKey[Town])</f>
        <v>#VALUE!</v>
      </c>
      <c r="J2359" t="str">
        <f>_xlfn.XLOOKUP(AllData[[#This Row],[Site Name]],LocationsKey[Site Name], LocationsKey[Waterway])</f>
        <v>Avon</v>
      </c>
      <c r="K2359" t="s">
        <v>24</v>
      </c>
      <c r="L2359">
        <v>51.991506999999999</v>
      </c>
      <c r="M2359" s="108">
        <v>-2.1626789999999998</v>
      </c>
      <c r="N2359" t="s">
        <v>25</v>
      </c>
      <c r="O2359">
        <v>982</v>
      </c>
      <c r="P2359">
        <v>18.7</v>
      </c>
      <c r="Q2359">
        <v>10</v>
      </c>
      <c r="R2359" s="141" t="str">
        <f>IF(AllData[[#This Row],[Nitrate (PPM)]]&gt;2, "Very high", IF(AllData[[#This Row],[Nitrate (PPM)]]&gt;1, "High", IF(AllData[[#This Row],[Nitrate (PPM)]]&gt;0.5, "Some evidence", IF(AllData[[#This Row],[Nitrate (PPM)]]&gt;=0, "No evidence"))))</f>
        <v>Very high</v>
      </c>
      <c r="S2359" s="4">
        <v>1.04</v>
      </c>
      <c r="T2359" s="7" t="str">
        <f>IF(AllData[[#This Row],[Phosphate (PPM)]]&gt;0.5, "Very high", IF(AllData[[#This Row],[Phosphate (PPM)]]&gt;0.1, "High", IF(AllData[[#This Row],[Phosphate (PPM)]]&gt;0.05, "Some evidence", IF(AllData[[#This Row],[Phosphate (PPM)]]&lt;=0.05, "No Evidence", ""))))</f>
        <v>Very high</v>
      </c>
      <c r="U2359">
        <v>0</v>
      </c>
      <c r="V2359" t="s">
        <v>34</v>
      </c>
    </row>
    <row r="2360" spans="1:22" x14ac:dyDescent="0.35">
      <c r="A2360" t="s">
        <v>35</v>
      </c>
      <c r="B2360" s="143">
        <v>45123</v>
      </c>
      <c r="C2360" s="2" t="str" cm="1">
        <f t="array" ref="C2360">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0">
        <f>YEAR(AllData[[#This Row],[Date]])</f>
        <v>2023</v>
      </c>
      <c r="E2360" s="1">
        <v>0.47916666666666669</v>
      </c>
      <c r="F2360" t="str">
        <f>IF(AND(AllData[[#This Row],[Time]]&lt;0.5, AllData[[#This Row],[Time]]&gt;0.17)=TRUE, "Morning", IF(AND(AllData[[#This Row],[Time]]&lt;0.75, AllData[[#This Row],[Time]]&gt;=0.5)=TRUE, "Afternoon", IF(AND(AllData[[#This Row],[Time]]&lt;1, AllData[[#This Row],[Time]]&gt;=0.75)=TRUE, "Evening", "Night")))</f>
        <v>Morning</v>
      </c>
      <c r="G2360" t="str">
        <f>_xlfn.XLOOKUP(AllData[[#This Row],[Location Name]], Locations[Location Name],Locations[Group As])</f>
        <v>Hampton Wood</v>
      </c>
      <c r="H2360" t="e" vm="1">
        <f>_xlfn.XLOOKUP(AllData[[#This Row],[Site Name]],LocationsKey[Site Name],LocationsKey[District])</f>
        <v>#VALUE!</v>
      </c>
      <c r="I2360" t="e" vm="34">
        <f>_xlfn.XLOOKUP(AllData[[#This Row],[Site Name]],LocationsKey[Site Name],LocationsKey[Town])</f>
        <v>#VALUE!</v>
      </c>
      <c r="J2360" t="str">
        <f>_xlfn.XLOOKUP(AllData[[#This Row],[Site Name]],LocationsKey[Site Name], LocationsKey[Waterway])</f>
        <v>Avon</v>
      </c>
      <c r="K2360" t="s">
        <v>36</v>
      </c>
      <c r="L2360">
        <v>52.238149999999997</v>
      </c>
      <c r="M2360" s="108">
        <v>-1.6245799999999999</v>
      </c>
      <c r="N2360" t="s">
        <v>31</v>
      </c>
      <c r="O2360">
        <v>682</v>
      </c>
      <c r="P2360">
        <v>18</v>
      </c>
      <c r="Q2360">
        <v>10</v>
      </c>
      <c r="R2360" s="141" t="str">
        <f>IF(AllData[[#This Row],[Nitrate (PPM)]]&gt;2, "Very high", IF(AllData[[#This Row],[Nitrate (PPM)]]&gt;1, "High", IF(AllData[[#This Row],[Nitrate (PPM)]]&gt;0.5, "Some evidence", IF(AllData[[#This Row],[Nitrate (PPM)]]&gt;=0, "No evidence"))))</f>
        <v>Very high</v>
      </c>
      <c r="S2360" s="4">
        <v>0.63</v>
      </c>
      <c r="T2360" s="7" t="str">
        <f>IF(AllData[[#This Row],[Phosphate (PPM)]]&gt;0.5, "Very high", IF(AllData[[#This Row],[Phosphate (PPM)]]&gt;0.1, "High", IF(AllData[[#This Row],[Phosphate (PPM)]]&gt;0.05, "Some evidence", IF(AllData[[#This Row],[Phosphate (PPM)]]&lt;=0.05, "No Evidence", ""))))</f>
        <v>Very high</v>
      </c>
      <c r="U2360">
        <v>0</v>
      </c>
      <c r="V2360" t="s">
        <v>37</v>
      </c>
    </row>
    <row r="2361" spans="1:22" x14ac:dyDescent="0.35">
      <c r="A2361" t="s">
        <v>40</v>
      </c>
      <c r="B2361" s="143">
        <v>45123</v>
      </c>
      <c r="C2361" s="2" t="str" cm="1">
        <f t="array" ref="C2361">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1">
        <f>YEAR(AllData[[#This Row],[Date]])</f>
        <v>2023</v>
      </c>
      <c r="E2361" s="1">
        <v>0.69097222222222221</v>
      </c>
      <c r="F2361" t="str">
        <f>IF(AND(AllData[[#This Row],[Time]]&lt;0.5, AllData[[#This Row],[Time]]&gt;0.17)=TRUE, "Morning", IF(AND(AllData[[#This Row],[Time]]&lt;0.75, AllData[[#This Row],[Time]]&gt;=0.5)=TRUE, "Afternoon", IF(AND(AllData[[#This Row],[Time]]&lt;1, AllData[[#This Row],[Time]]&gt;=0.75)=TRUE, "Evening", "Night")))</f>
        <v>Afternoon</v>
      </c>
      <c r="G2361" t="str">
        <f>_xlfn.XLOOKUP(AllData[[#This Row],[Location Name]], Locations[Location Name],Locations[Group As])</f>
        <v>Welford Boat Station</v>
      </c>
      <c r="H2361" t="e" vm="1">
        <f>_xlfn.XLOOKUP(AllData[[#This Row],[Site Name]],LocationsKey[Site Name],LocationsKey[District])</f>
        <v>#VALUE!</v>
      </c>
      <c r="I2361" t="e" vm="36">
        <f>_xlfn.XLOOKUP(AllData[[#This Row],[Site Name]],LocationsKey[Site Name],LocationsKey[Town])</f>
        <v>#VALUE!</v>
      </c>
      <c r="J2361" t="str">
        <f>_xlfn.XLOOKUP(AllData[[#This Row],[Site Name]],LocationsKey[Site Name], LocationsKey[Waterway])</f>
        <v>Avon</v>
      </c>
      <c r="K2361" t="s">
        <v>41</v>
      </c>
      <c r="L2361">
        <v>52.175240000000002</v>
      </c>
      <c r="M2361" s="108">
        <v>-1.7918700000000001</v>
      </c>
      <c r="N2361" t="s">
        <v>25</v>
      </c>
      <c r="O2361">
        <v>732</v>
      </c>
      <c r="P2361">
        <v>19.5</v>
      </c>
      <c r="Q2361">
        <v>7</v>
      </c>
      <c r="R2361" s="141" t="str">
        <f>IF(AllData[[#This Row],[Nitrate (PPM)]]&gt;2, "Very high", IF(AllData[[#This Row],[Nitrate (PPM)]]&gt;1, "High", IF(AllData[[#This Row],[Nitrate (PPM)]]&gt;0.5, "Some evidence", IF(AllData[[#This Row],[Nitrate (PPM)]]&gt;=0, "No evidence"))))</f>
        <v>Very high</v>
      </c>
      <c r="S2361" s="4">
        <v>0.61</v>
      </c>
      <c r="T2361" s="7" t="str">
        <f>IF(AllData[[#This Row],[Phosphate (PPM)]]&gt;0.5, "Very high", IF(AllData[[#This Row],[Phosphate (PPM)]]&gt;0.1, "High", IF(AllData[[#This Row],[Phosphate (PPM)]]&gt;0.05, "Some evidence", IF(AllData[[#This Row],[Phosphate (PPM)]]&lt;=0.05, "No Evidence", ""))))</f>
        <v>Very high</v>
      </c>
      <c r="U2361">
        <v>0</v>
      </c>
      <c r="V2361" t="s">
        <v>37</v>
      </c>
    </row>
    <row r="2362" spans="1:22" x14ac:dyDescent="0.35">
      <c r="A2362" t="s">
        <v>38</v>
      </c>
      <c r="B2362" s="143">
        <v>45123</v>
      </c>
      <c r="C2362" s="2" t="str" cm="1">
        <f t="array" ref="C236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2">
        <f>YEAR(AllData[[#This Row],[Date]])</f>
        <v>2023</v>
      </c>
      <c r="E2362" s="1">
        <v>0.52083333333333337</v>
      </c>
      <c r="F2362" t="str">
        <f>IF(AND(AllData[[#This Row],[Time]]&lt;0.5, AllData[[#This Row],[Time]]&gt;0.17)=TRUE, "Morning", IF(AND(AllData[[#This Row],[Time]]&lt;0.75, AllData[[#This Row],[Time]]&gt;=0.5)=TRUE, "Afternoon", IF(AND(AllData[[#This Row],[Time]]&lt;1, AllData[[#This Row],[Time]]&gt;=0.75)=TRUE, "Evening", "Night")))</f>
        <v>Afternoon</v>
      </c>
      <c r="G2362" t="str">
        <f>_xlfn.XLOOKUP(AllData[[#This Row],[Location Name]], Locations[Location Name],Locations[Group As])</f>
        <v>Hampton Lucy</v>
      </c>
      <c r="H2362" t="e" vm="1">
        <f>_xlfn.XLOOKUP(AllData[[#This Row],[Site Name]],LocationsKey[Site Name],LocationsKey[District])</f>
        <v>#VALUE!</v>
      </c>
      <c r="I2362" t="e" vm="33">
        <f>_xlfn.XLOOKUP(AllData[[#This Row],[Site Name]],LocationsKey[Site Name],LocationsKey[Town])</f>
        <v>#VALUE!</v>
      </c>
      <c r="J2362" t="str">
        <f>_xlfn.XLOOKUP(AllData[[#This Row],[Site Name]],LocationsKey[Site Name], LocationsKey[Waterway])</f>
        <v>Avon</v>
      </c>
      <c r="K2362" t="s">
        <v>39</v>
      </c>
      <c r="L2362">
        <v>52.211680000000001</v>
      </c>
      <c r="M2362" s="108">
        <v>-1.6244400000000001</v>
      </c>
      <c r="N2362" t="s">
        <v>25</v>
      </c>
      <c r="O2362">
        <v>782</v>
      </c>
      <c r="P2362">
        <v>18.5</v>
      </c>
      <c r="Q2362">
        <v>5</v>
      </c>
      <c r="R2362" s="141" t="str">
        <f>IF(AllData[[#This Row],[Nitrate (PPM)]]&gt;2, "Very high", IF(AllData[[#This Row],[Nitrate (PPM)]]&gt;1, "High", IF(AllData[[#This Row],[Nitrate (PPM)]]&gt;0.5, "Some evidence", IF(AllData[[#This Row],[Nitrate (PPM)]]&gt;=0, "No evidence"))))</f>
        <v>Very high</v>
      </c>
      <c r="S2362" s="4">
        <v>0.55000000000000004</v>
      </c>
      <c r="T2362" s="7" t="str">
        <f>IF(AllData[[#This Row],[Phosphate (PPM)]]&gt;0.5, "Very high", IF(AllData[[#This Row],[Phosphate (PPM)]]&gt;0.1, "High", IF(AllData[[#This Row],[Phosphate (PPM)]]&gt;0.05, "Some evidence", IF(AllData[[#This Row],[Phosphate (PPM)]]&lt;=0.05, "No Evidence", ""))))</f>
        <v>Very high</v>
      </c>
      <c r="U2362">
        <v>0</v>
      </c>
      <c r="V2362" t="s">
        <v>37</v>
      </c>
    </row>
    <row r="2363" spans="1:22" x14ac:dyDescent="0.35">
      <c r="A2363" t="s">
        <v>29</v>
      </c>
      <c r="B2363" s="143">
        <v>45118</v>
      </c>
      <c r="C2363" s="2" t="str" cm="1">
        <f t="array" ref="C236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3">
        <f>YEAR(AllData[[#This Row],[Date]])</f>
        <v>2023</v>
      </c>
      <c r="E2363" s="1">
        <v>0.42986111111111114</v>
      </c>
      <c r="F2363" t="str">
        <f>IF(AND(AllData[[#This Row],[Time]]&lt;0.5, AllData[[#This Row],[Time]]&gt;0.17)=TRUE, "Morning", IF(AND(AllData[[#This Row],[Time]]&lt;0.75, AllData[[#This Row],[Time]]&gt;=0.5)=TRUE, "Afternoon", IF(AND(AllData[[#This Row],[Time]]&lt;1, AllData[[#This Row],[Time]]&gt;=0.75)=TRUE, "Evening", "Night")))</f>
        <v>Morning</v>
      </c>
      <c r="G2363" t="str">
        <f>_xlfn.XLOOKUP(AllData[[#This Row],[Location Name]], Locations[Location Name],Locations[Group As])</f>
        <v>Twyning Fleet</v>
      </c>
      <c r="H2363" t="e" vm="4">
        <f>_xlfn.XLOOKUP(AllData[[#This Row],[Site Name]],LocationsKey[Site Name],LocationsKey[District])</f>
        <v>#VALUE!</v>
      </c>
      <c r="I2363" t="str">
        <f>_xlfn.XLOOKUP(AllData[[#This Row],[Site Name]],LocationsKey[Site Name],LocationsKey[Town])</f>
        <v>Twyning Green</v>
      </c>
      <c r="J2363" t="str">
        <f>_xlfn.XLOOKUP(AllData[[#This Row],[Site Name]],LocationsKey[Site Name], LocationsKey[Waterway])</f>
        <v>Avon</v>
      </c>
      <c r="K2363" t="s">
        <v>30</v>
      </c>
      <c r="L2363">
        <v>52.027006999999998</v>
      </c>
      <c r="M2363" s="108">
        <v>-2.1405560000000001</v>
      </c>
      <c r="N2363" t="s">
        <v>31</v>
      </c>
      <c r="P2363">
        <v>19.399999999999999</v>
      </c>
      <c r="R2363" s="141"/>
      <c r="S2363" s="4">
        <v>1.1599999999999999</v>
      </c>
      <c r="T2363" s="7" t="str">
        <f>IF(AllData[[#This Row],[Phosphate (PPM)]]&gt;0.5, "Very high", IF(AllData[[#This Row],[Phosphate (PPM)]]&gt;0.1, "High", IF(AllData[[#This Row],[Phosphate (PPM)]]&gt;0.05, "Some evidence", IF(AllData[[#This Row],[Phosphate (PPM)]]&lt;=0.05, "No Evidence", ""))))</f>
        <v>Very high</v>
      </c>
      <c r="U2363">
        <v>0</v>
      </c>
      <c r="V2363" t="s">
        <v>32</v>
      </c>
    </row>
    <row r="2364" spans="1:22" x14ac:dyDescent="0.35">
      <c r="A2364" t="s">
        <v>26</v>
      </c>
      <c r="B2364" s="143">
        <v>45116</v>
      </c>
      <c r="C2364" s="2" t="str" cm="1">
        <f t="array" ref="C2364">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4">
        <f>YEAR(AllData[[#This Row],[Date]])</f>
        <v>2023</v>
      </c>
      <c r="E2364" s="1">
        <v>0.43333333333333335</v>
      </c>
      <c r="F2364" t="str">
        <f>IF(AND(AllData[[#This Row],[Time]]&lt;0.5, AllData[[#This Row],[Time]]&gt;0.17)=TRUE, "Morning", IF(AND(AllData[[#This Row],[Time]]&lt;0.75, AllData[[#This Row],[Time]]&gt;=0.5)=TRUE, "Afternoon", IF(AND(AllData[[#This Row],[Time]]&lt;1, AllData[[#This Row],[Time]]&gt;=0.75)=TRUE, "Evening", "Night")))</f>
        <v>Morning</v>
      </c>
      <c r="G2364" t="str">
        <f>_xlfn.XLOOKUP(AllData[[#This Row],[Location Name]], Locations[Location Name],Locations[Group As])</f>
        <v>Abbey Mill</v>
      </c>
      <c r="H2364" t="e" vm="4">
        <f>_xlfn.XLOOKUP(AllData[[#This Row],[Site Name]],LocationsKey[Site Name],LocationsKey[District])</f>
        <v>#VALUE!</v>
      </c>
      <c r="I2364" t="e" vm="4">
        <f>_xlfn.XLOOKUP(AllData[[#This Row],[Site Name]],LocationsKey[Site Name],LocationsKey[Town])</f>
        <v>#VALUE!</v>
      </c>
      <c r="J2364" t="str">
        <f>_xlfn.XLOOKUP(AllData[[#This Row],[Site Name]],LocationsKey[Site Name], LocationsKey[Waterway])</f>
        <v>Avon</v>
      </c>
      <c r="K2364" t="s">
        <v>27</v>
      </c>
      <c r="L2364">
        <v>51.994821999999999</v>
      </c>
      <c r="M2364" s="108">
        <v>-2.1510720000000001</v>
      </c>
      <c r="N2364" t="s">
        <v>25</v>
      </c>
      <c r="O2364">
        <v>993</v>
      </c>
      <c r="P2364">
        <v>19</v>
      </c>
      <c r="Q2364">
        <v>8</v>
      </c>
      <c r="R2364" s="141" t="str">
        <f>IF(AllData[[#This Row],[Nitrate (PPM)]]&gt;2, "Very high", IF(AllData[[#This Row],[Nitrate (PPM)]]&gt;1, "High", IF(AllData[[#This Row],[Nitrate (PPM)]]&gt;0.5, "Some evidence", IF(AllData[[#This Row],[Nitrate (PPM)]]&gt;=0, "No evidence"))))</f>
        <v>Very high</v>
      </c>
      <c r="S2364" s="4">
        <v>1.1100000000000001</v>
      </c>
      <c r="T2364" s="7" t="str">
        <f>IF(AllData[[#This Row],[Phosphate (PPM)]]&gt;0.5, "Very high", IF(AllData[[#This Row],[Phosphate (PPM)]]&gt;0.1, "High", IF(AllData[[#This Row],[Phosphate (PPM)]]&gt;0.05, "Some evidence", IF(AllData[[#This Row],[Phosphate (PPM)]]&lt;=0.05, "No Evidence", ""))))</f>
        <v>Very high</v>
      </c>
      <c r="U2364">
        <v>0</v>
      </c>
      <c r="V2364" t="s">
        <v>28</v>
      </c>
    </row>
    <row r="2365" spans="1:22" x14ac:dyDescent="0.35">
      <c r="A2365" t="s">
        <v>23</v>
      </c>
      <c r="B2365" s="143">
        <v>45112</v>
      </c>
      <c r="C2365" s="2" t="str" cm="1">
        <f t="array" ref="C2365">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Summer</v>
      </c>
      <c r="D2365">
        <f>YEAR(AllData[[#This Row],[Date]])</f>
        <v>2023</v>
      </c>
      <c r="E2365" s="1">
        <v>0.64444444444444449</v>
      </c>
      <c r="F2365" t="str">
        <f>IF(AND(AllData[[#This Row],[Time]]&lt;0.5, AllData[[#This Row],[Time]]&gt;0.17)=TRUE, "Morning", IF(AND(AllData[[#This Row],[Time]]&lt;0.75, AllData[[#This Row],[Time]]&gt;=0.5)=TRUE, "Afternoon", IF(AND(AllData[[#This Row],[Time]]&lt;1, AllData[[#This Row],[Time]]&gt;=0.75)=TRUE, "Evening", "Night")))</f>
        <v>Afternoon</v>
      </c>
      <c r="G2365" t="str">
        <f>_xlfn.XLOOKUP(AllData[[#This Row],[Location Name]], Locations[Location Name],Locations[Group As])</f>
        <v>Abbey Mill</v>
      </c>
      <c r="H2365" t="e" vm="4">
        <f>_xlfn.XLOOKUP(AllData[[#This Row],[Site Name]],LocationsKey[Site Name],LocationsKey[District])</f>
        <v>#VALUE!</v>
      </c>
      <c r="I2365" t="e" vm="4">
        <f>_xlfn.XLOOKUP(AllData[[#This Row],[Site Name]],LocationsKey[Site Name],LocationsKey[Town])</f>
        <v>#VALUE!</v>
      </c>
      <c r="J2365" t="str">
        <f>_xlfn.XLOOKUP(AllData[[#This Row],[Site Name]],LocationsKey[Site Name], LocationsKey[Waterway])</f>
        <v>Avon</v>
      </c>
      <c r="K2365" t="s">
        <v>24</v>
      </c>
      <c r="L2365">
        <v>51.994824000000001</v>
      </c>
      <c r="M2365" s="155">
        <v>-2.1510699999999998</v>
      </c>
      <c r="N2365" t="s">
        <v>25</v>
      </c>
      <c r="O2365">
        <v>958</v>
      </c>
      <c r="P2365">
        <v>19.100000000000001</v>
      </c>
      <c r="Q2365">
        <v>7</v>
      </c>
      <c r="R2365" s="141" t="str">
        <f>IF(AllData[[#This Row],[Nitrate (PPM)]]&gt;2, "Very high", IF(AllData[[#This Row],[Nitrate (PPM)]]&gt;1, "High", IF(AllData[[#This Row],[Nitrate (PPM)]]&gt;0.5, "Some evidence", IF(AllData[[#This Row],[Nitrate (PPM)]]&gt;=0, "No evidence"))))</f>
        <v>Very high</v>
      </c>
      <c r="S2365" s="4">
        <v>1.29</v>
      </c>
      <c r="T2365" s="107" t="str">
        <f>IF(AllData[[#This Row],[Phosphate (PPM)]]&gt;0.5, "Very high", IF(AllData[[#This Row],[Phosphate (PPM)]]&gt;0.1, "High", IF(AllData[[#This Row],[Phosphate (PPM)]]&gt;0.05, "Some evidence", IF(AllData[[#This Row],[Phosphate (PPM)]]&lt;=0.05, "No Evidence", ""))))</f>
        <v>Very high</v>
      </c>
      <c r="U2365">
        <v>0</v>
      </c>
    </row>
  </sheetData>
  <conditionalFormatting sqref="P2366:P4997 O2:O2365">
    <cfRule type="colorScale" priority="265">
      <colorScale>
        <cfvo type="min"/>
        <cfvo type="max"/>
        <color rgb="FFFCFCFF"/>
        <color theme="4"/>
      </colorScale>
    </cfRule>
  </conditionalFormatting>
  <conditionalFormatting sqref="Q2366:Q4997 P2:P2365">
    <cfRule type="colorScale" priority="266">
      <colorScale>
        <cfvo type="min"/>
        <cfvo type="percentile" val="50"/>
        <cfvo type="max"/>
        <color rgb="FF5A8AC6"/>
        <color rgb="FFFCFCFF"/>
        <color rgb="FFF8696B"/>
      </colorScale>
    </cfRule>
  </conditionalFormatting>
  <conditionalFormatting sqref="R2366:R4997 Q2:Q2365">
    <cfRule type="colorScale" priority="267">
      <colorScale>
        <cfvo type="min"/>
        <cfvo type="max"/>
        <color rgb="FFFCFCFF"/>
        <color rgb="FFF8696B"/>
      </colorScale>
    </cfRule>
  </conditionalFormatting>
  <conditionalFormatting sqref="R2:R2365 U2366:U4997 T2:T2365">
    <cfRule type="cellIs" dxfId="41" priority="4" operator="equal">
      <formula>"No evidence"</formula>
    </cfRule>
    <cfRule type="cellIs" dxfId="40" priority="6" operator="equal">
      <formula>"Some evidence"</formula>
    </cfRule>
    <cfRule type="cellIs" dxfId="39" priority="7" operator="equal">
      <formula>"High"</formula>
    </cfRule>
    <cfRule type="cellIs" dxfId="38" priority="8" operator="equal">
      <formula>"Very high"</formula>
    </cfRule>
  </conditionalFormatting>
  <conditionalFormatting sqref="T2366:T4997 S2:S2365">
    <cfRule type="colorScale" priority="276">
      <colorScale>
        <cfvo type="min"/>
        <cfvo type="max"/>
        <color rgb="FFFCFCFF"/>
        <color rgb="FFF8696B"/>
      </colorScale>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AB14-5F43-4210-8B87-45EA78CBCEBA}">
  <dimension ref="A1:J247"/>
  <sheetViews>
    <sheetView zoomScale="85" zoomScaleNormal="85" workbookViewId="0">
      <selection activeCell="G1" sqref="G1:H1048576"/>
    </sheetView>
  </sheetViews>
  <sheetFormatPr defaultRowHeight="14.5" x14ac:dyDescent="0.35"/>
  <cols>
    <col min="1" max="1" width="44.26953125" customWidth="1"/>
    <col min="2" max="2" width="15.7265625" customWidth="1"/>
    <col min="3" max="3" width="17.26953125" customWidth="1"/>
    <col min="4" max="4" width="48.81640625" bestFit="1" customWidth="1"/>
    <col min="6" max="6" width="48.81640625" bestFit="1" customWidth="1"/>
    <col min="7" max="7" width="18.6328125" bestFit="1" customWidth="1"/>
    <col min="8" max="8" width="36.36328125" customWidth="1"/>
    <col min="9" max="9" width="42.26953125" customWidth="1"/>
    <col min="10" max="10" width="24.6328125" bestFit="1" customWidth="1"/>
  </cols>
  <sheetData>
    <row r="1" spans="1:10" x14ac:dyDescent="0.35">
      <c r="A1" s="71" t="s">
        <v>3540</v>
      </c>
      <c r="F1" s="71" t="s">
        <v>3541</v>
      </c>
    </row>
    <row r="2" spans="1:10" x14ac:dyDescent="0.35">
      <c r="A2" t="s">
        <v>11</v>
      </c>
      <c r="B2" t="s">
        <v>3542</v>
      </c>
      <c r="C2" t="s">
        <v>3543</v>
      </c>
      <c r="D2" t="s">
        <v>3544</v>
      </c>
      <c r="F2" t="s">
        <v>7</v>
      </c>
      <c r="G2" t="s">
        <v>3545</v>
      </c>
      <c r="H2" t="s">
        <v>8</v>
      </c>
      <c r="I2" t="s">
        <v>3546</v>
      </c>
      <c r="J2" t="s">
        <v>9</v>
      </c>
    </row>
    <row r="3" spans="1:10" x14ac:dyDescent="0.35">
      <c r="A3" t="s">
        <v>27</v>
      </c>
      <c r="B3" s="3" t="e">
        <f>_xlfn.XLOOKUP(Locations[[#This Row],[Location Name]],'All Data'!L:L,'All Data'!M:M)</f>
        <v>#N/A</v>
      </c>
      <c r="C3" s="3" t="e">
        <f>_xlfn.XLOOKUP(Locations[[#This Row],[Location Name]],'All Data'!L:L,'All Data'!N:N)</f>
        <v>#N/A</v>
      </c>
      <c r="D3" t="s">
        <v>27</v>
      </c>
      <c r="F3" t="s">
        <v>191</v>
      </c>
      <c r="G3" t="s">
        <v>191</v>
      </c>
      <c r="H3" t="s">
        <v>191</v>
      </c>
      <c r="I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OTH-OTH-Unknown</v>
      </c>
      <c r="J3" t="s">
        <v>191</v>
      </c>
    </row>
    <row r="4" spans="1:10" x14ac:dyDescent="0.35">
      <c r="A4" t="s">
        <v>1782</v>
      </c>
      <c r="B4" s="3" t="e">
        <f>_xlfn.XLOOKUP(Locations[[#This Row],[Location Name]],'All Data'!L:L,'All Data'!M:M)</f>
        <v>#N/A</v>
      </c>
      <c r="C4" s="3" t="e">
        <f>_xlfn.XLOOKUP(Locations[[#This Row],[Location Name]],'All Data'!L:L,'All Data'!N:N)</f>
        <v>#N/A</v>
      </c>
      <c r="D4" t="s">
        <v>673</v>
      </c>
      <c r="F4" t="s">
        <v>2358</v>
      </c>
      <c r="G4" t="s">
        <v>3547</v>
      </c>
      <c r="H4" t="e" vm="9">
        <v>#VALUE!</v>
      </c>
      <c r="I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Craves</v>
      </c>
      <c r="J4" t="e" vm="10">
        <v>#VALUE!</v>
      </c>
    </row>
    <row r="5" spans="1:10" x14ac:dyDescent="0.35">
      <c r="A5" t="s">
        <v>2641</v>
      </c>
      <c r="B5" s="3" t="e">
        <f>_xlfn.XLOOKUP(Locations[[#This Row],[Location Name]],'All Data'!L:L,'All Data'!M:M)</f>
        <v>#N/A</v>
      </c>
      <c r="C5" s="3" t="e">
        <f>_xlfn.XLOOKUP(Locations[[#This Row],[Location Name]],'All Data'!L:L,'All Data'!N:N)</f>
        <v>#N/A</v>
      </c>
      <c r="D5" t="s">
        <v>191</v>
      </c>
      <c r="F5" t="s">
        <v>3548</v>
      </c>
      <c r="G5" t="s">
        <v>3547</v>
      </c>
      <c r="H5" t="e" vm="9">
        <v>#VALUE!</v>
      </c>
      <c r="I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Lady J Gateway</v>
      </c>
      <c r="J5" t="e" vm="10">
        <v>#VALUE!</v>
      </c>
    </row>
    <row r="6" spans="1:10" x14ac:dyDescent="0.35">
      <c r="A6" t="s">
        <v>1448</v>
      </c>
      <c r="B6" s="3" t="e">
        <f>_xlfn.XLOOKUP(Locations[[#This Row],[Location Name]],'All Data'!L:L,'All Data'!M:M)</f>
        <v>#N/A</v>
      </c>
      <c r="C6" s="3" t="e">
        <f>_xlfn.XLOOKUP(Locations[[#This Row],[Location Name]],'All Data'!L:L,'All Data'!N:N)</f>
        <v>#N/A</v>
      </c>
      <c r="D6" t="s">
        <v>286</v>
      </c>
      <c r="F6" t="s">
        <v>3549</v>
      </c>
      <c r="G6" t="s">
        <v>3547</v>
      </c>
      <c r="H6" t="e" vm="9">
        <v>#VALUE!</v>
      </c>
      <c r="I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OTH-OTH-Chipping Campden Sewage Works</v>
      </c>
      <c r="J6" t="e" vm="10">
        <v>#VALUE!</v>
      </c>
    </row>
    <row r="7" spans="1:10" x14ac:dyDescent="0.35">
      <c r="A7" t="s">
        <v>288</v>
      </c>
      <c r="B7" s="3" t="e">
        <f>_xlfn.XLOOKUP(Locations[[#This Row],[Location Name]],'All Data'!L:L,'All Data'!M:M)</f>
        <v>#N/A</v>
      </c>
      <c r="C7" s="3" t="e">
        <f>_xlfn.XLOOKUP(Locations[[#This Row],[Location Name]],'All Data'!L:L,'All Data'!N:N)</f>
        <v>#N/A</v>
      </c>
      <c r="D7" t="s">
        <v>288</v>
      </c>
      <c r="F7" t="s">
        <v>3550</v>
      </c>
      <c r="G7" t="s">
        <v>3551</v>
      </c>
      <c r="H7" t="e" vm="9">
        <v>#VALUE!</v>
      </c>
      <c r="I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SW-OTH-Swilgate lowdilow lane</v>
      </c>
      <c r="J7" t="e" vm="28">
        <v>#VALUE!</v>
      </c>
    </row>
    <row r="8" spans="1:10" x14ac:dyDescent="0.35">
      <c r="A8" s="152" t="s">
        <v>3322</v>
      </c>
      <c r="B8" s="3" t="e">
        <f>_xlfn.XLOOKUP(Locations[[#This Row],[Location Name]],'All Data'!L:L,'All Data'!M:M)</f>
        <v>#N/A</v>
      </c>
      <c r="C8" s="3" t="e">
        <f>_xlfn.XLOOKUP(Locations[[#This Row],[Location Name]],'All Data'!L:L,'All Data'!N:N)</f>
        <v>#N/A</v>
      </c>
      <c r="D8" t="s">
        <v>784</v>
      </c>
      <c r="F8" t="s">
        <v>288</v>
      </c>
      <c r="G8" t="s">
        <v>3552</v>
      </c>
      <c r="H8" t="e" vm="1">
        <v>#VALUE!</v>
      </c>
      <c r="I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AV-OTH-Alveston Weir</v>
      </c>
      <c r="J8" t="e" vm="2">
        <v>#VALUE!</v>
      </c>
    </row>
    <row r="9" spans="1:10" x14ac:dyDescent="0.35">
      <c r="A9" t="s">
        <v>2425</v>
      </c>
      <c r="B9" s="3" t="e">
        <f>_xlfn.XLOOKUP(Locations[[#This Row],[Location Name]],'All Data'!L:L,'All Data'!M:M)</f>
        <v>#N/A</v>
      </c>
      <c r="C9" s="3" t="e">
        <f>_xlfn.XLOOKUP(Locations[[#This Row],[Location Name]],'All Data'!L:L,'All Data'!N:N)</f>
        <v>#N/A</v>
      </c>
      <c r="D9" t="s">
        <v>784</v>
      </c>
      <c r="F9" t="s">
        <v>67</v>
      </c>
      <c r="G9" t="s">
        <v>3552</v>
      </c>
      <c r="H9" t="e" vm="1">
        <v>#VALUE!</v>
      </c>
      <c r="I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AV-OTH-Avonbank Drive</v>
      </c>
      <c r="J9" t="e" vm="12">
        <v>#VALUE!</v>
      </c>
    </row>
    <row r="10" spans="1:10" x14ac:dyDescent="0.35">
      <c r="A10" t="s">
        <v>2230</v>
      </c>
      <c r="B10" s="3" t="e">
        <f>_xlfn.XLOOKUP(Locations[[#This Row],[Location Name]],'All Data'!L:L,'All Data'!M:M)</f>
        <v>#N/A</v>
      </c>
      <c r="C10" s="3" t="e">
        <f>_xlfn.XLOOKUP(Locations[[#This Row],[Location Name]],'All Data'!L:L,'All Data'!N:N)</f>
        <v>#N/A</v>
      </c>
      <c r="D10" t="s">
        <v>784</v>
      </c>
      <c r="F10" t="s">
        <v>51</v>
      </c>
      <c r="G10" t="s">
        <v>3552</v>
      </c>
      <c r="H10" t="e" vm="1">
        <v>#VALUE!</v>
      </c>
      <c r="I1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AV-OTH-Barton</v>
      </c>
      <c r="J10" t="s">
        <v>51</v>
      </c>
    </row>
    <row r="11" spans="1:10" x14ac:dyDescent="0.35">
      <c r="A11" t="s">
        <v>784</v>
      </c>
      <c r="B11" s="3" t="e">
        <f>_xlfn.XLOOKUP(Locations[[#This Row],[Location Name]],'All Data'!L:L,'All Data'!M:M)</f>
        <v>#N/A</v>
      </c>
      <c r="C11" s="3" t="e">
        <f>_xlfn.XLOOKUP(Locations[[#This Row],[Location Name]],'All Data'!L:L,'All Data'!N:N)</f>
        <v>#N/A</v>
      </c>
      <c r="D11" t="s">
        <v>784</v>
      </c>
      <c r="F11" t="s">
        <v>2250</v>
      </c>
      <c r="G11" t="s">
        <v>3552</v>
      </c>
      <c r="H11" t="e" vm="1">
        <v>#VALUE!</v>
      </c>
      <c r="I1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AV-OTH-Carters Lane</v>
      </c>
      <c r="J11" t="e" vm="3">
        <v>#VALUE!</v>
      </c>
    </row>
    <row r="12" spans="1:10" x14ac:dyDescent="0.35">
      <c r="A12" t="s">
        <v>2269</v>
      </c>
      <c r="B12" s="3" t="e">
        <f>_xlfn.XLOOKUP(Locations[[#This Row],[Location Name]],'All Data'!L:L,'All Data'!M:M)</f>
        <v>#N/A</v>
      </c>
      <c r="C12" s="3" t="e">
        <f>_xlfn.XLOOKUP(Locations[[#This Row],[Location Name]],'All Data'!L:L,'All Data'!N:N)</f>
        <v>#N/A</v>
      </c>
      <c r="D12" t="s">
        <v>784</v>
      </c>
      <c r="F12" t="s">
        <v>39</v>
      </c>
      <c r="G12" t="s">
        <v>3552</v>
      </c>
      <c r="H12" t="e" vm="1">
        <v>#VALUE!</v>
      </c>
      <c r="I1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AV-OTH-Hampton Lucy</v>
      </c>
      <c r="J12" t="e" vm="33">
        <v>#VALUE!</v>
      </c>
    </row>
    <row r="13" spans="1:10" x14ac:dyDescent="0.35">
      <c r="A13" t="s">
        <v>104</v>
      </c>
      <c r="B13" s="3" t="e">
        <f>_xlfn.XLOOKUP(Locations[[#This Row],[Location Name]],'All Data'!L:L,'All Data'!M:M)</f>
        <v>#N/A</v>
      </c>
      <c r="C13" s="3" t="e">
        <f>_xlfn.XLOOKUP(Locations[[#This Row],[Location Name]],'All Data'!L:L,'All Data'!N:N)</f>
        <v>#N/A</v>
      </c>
      <c r="D13" t="s">
        <v>67</v>
      </c>
      <c r="F13" t="s">
        <v>36</v>
      </c>
      <c r="G13" t="s">
        <v>3552</v>
      </c>
      <c r="H13" t="e" vm="1">
        <v>#VALUE!</v>
      </c>
      <c r="I1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AV-OTH-Hampton Wood</v>
      </c>
      <c r="J13" t="e" vm="34">
        <v>#VALUE!</v>
      </c>
    </row>
    <row r="14" spans="1:10" x14ac:dyDescent="0.35">
      <c r="A14" t="s">
        <v>67</v>
      </c>
      <c r="B14" s="3" t="e">
        <f>_xlfn.XLOOKUP(Locations[[#This Row],[Location Name]],'All Data'!L:L,'All Data'!M:M)</f>
        <v>#N/A</v>
      </c>
      <c r="C14" s="3" t="e">
        <f>_xlfn.XLOOKUP(Locations[[#This Row],[Location Name]],'All Data'!L:L,'All Data'!N:N)</f>
        <v>#N/A</v>
      </c>
      <c r="D14" t="s">
        <v>67</v>
      </c>
      <c r="F14" t="s">
        <v>212</v>
      </c>
      <c r="G14" t="s">
        <v>3552</v>
      </c>
      <c r="H14" t="e" vm="1">
        <v>#VALUE!</v>
      </c>
      <c r="I1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AV-OTH-Lucy's Mill Bridge</v>
      </c>
      <c r="J14" t="e" vm="12">
        <v>#VALUE!</v>
      </c>
    </row>
    <row r="15" spans="1:10" x14ac:dyDescent="0.35">
      <c r="A15" s="139" t="s">
        <v>3224</v>
      </c>
      <c r="B15" s="3" t="e">
        <f>_xlfn.XLOOKUP(Locations[[#This Row],[Location Name]],'All Data'!L:L,'All Data'!M:M)</f>
        <v>#N/A</v>
      </c>
      <c r="C15" s="3" t="e">
        <f>_xlfn.XLOOKUP(Locations[[#This Row],[Location Name]],'All Data'!L:L,'All Data'!N:N)</f>
        <v>#N/A</v>
      </c>
      <c r="D15" t="s">
        <v>784</v>
      </c>
      <c r="F15" t="s">
        <v>2452</v>
      </c>
      <c r="G15" t="s">
        <v>3552</v>
      </c>
      <c r="H15" t="e" vm="1">
        <v>#VALUE!</v>
      </c>
      <c r="I1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AV-OTH-Pitch 15</v>
      </c>
      <c r="J15" t="e" vm="26">
        <v>#VALUE!</v>
      </c>
    </row>
    <row r="16" spans="1:10" x14ac:dyDescent="0.35">
      <c r="A16" t="s">
        <v>2376</v>
      </c>
      <c r="B16" s="3" t="e">
        <f>_xlfn.XLOOKUP(Locations[[#This Row],[Location Name]],'All Data'!L:L,'All Data'!M:M)</f>
        <v>#N/A</v>
      </c>
      <c r="C16" s="3" t="e">
        <f>_xlfn.XLOOKUP(Locations[[#This Row],[Location Name]],'All Data'!L:L,'All Data'!N:N)</f>
        <v>#N/A</v>
      </c>
      <c r="D16" t="s">
        <v>784</v>
      </c>
      <c r="F16" t="s">
        <v>71</v>
      </c>
      <c r="G16" t="s">
        <v>3552</v>
      </c>
      <c r="H16" t="e" vm="1">
        <v>#VALUE!</v>
      </c>
      <c r="I1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AV-OTH-Pitch 16</v>
      </c>
      <c r="J16" t="e" vm="12">
        <v>#VALUE!</v>
      </c>
    </row>
    <row r="17" spans="1:10" x14ac:dyDescent="0.35">
      <c r="A17" t="s">
        <v>2792</v>
      </c>
      <c r="B17" s="3" t="e">
        <f>_xlfn.XLOOKUP(Locations[[#This Row],[Location Name]],'All Data'!L:L,'All Data'!M:M)</f>
        <v>#N/A</v>
      </c>
      <c r="C17" s="3" t="e">
        <f>_xlfn.XLOOKUP(Locations[[#This Row],[Location Name]],'All Data'!L:L,'All Data'!N:N)</f>
        <v>#N/A</v>
      </c>
      <c r="D17" t="s">
        <v>784</v>
      </c>
      <c r="F17" t="s">
        <v>2252</v>
      </c>
      <c r="G17" t="s">
        <v>3552</v>
      </c>
      <c r="H17" t="e" vm="1">
        <v>#VALUE!</v>
      </c>
      <c r="I1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AV-OTH-School Lane</v>
      </c>
      <c r="J17" t="e" vm="3">
        <v>#VALUE!</v>
      </c>
    </row>
    <row r="18" spans="1:10" x14ac:dyDescent="0.35">
      <c r="A18" t="s">
        <v>2329</v>
      </c>
      <c r="B18" s="3" t="e">
        <f>_xlfn.XLOOKUP(Locations[[#This Row],[Location Name]],'All Data'!L:L,'All Data'!M:M)</f>
        <v>#N/A</v>
      </c>
      <c r="C18" s="3" t="e">
        <f>_xlfn.XLOOKUP(Locations[[#This Row],[Location Name]],'All Data'!L:L,'All Data'!N:N)</f>
        <v>#N/A</v>
      </c>
      <c r="D18" t="s">
        <v>784</v>
      </c>
      <c r="F18" t="s">
        <v>3554</v>
      </c>
      <c r="G18" t="s">
        <v>3552</v>
      </c>
      <c r="H18" t="e" vm="1">
        <v>#VALUE!</v>
      </c>
      <c r="I1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AV-OTH-Stratford RSC</v>
      </c>
      <c r="J18" t="e" vm="12">
        <v>#VALUE!</v>
      </c>
    </row>
    <row r="19" spans="1:10" x14ac:dyDescent="0.35">
      <c r="A19" t="s">
        <v>51</v>
      </c>
      <c r="B19" s="3" t="e">
        <f>_xlfn.XLOOKUP(Locations[[#This Row],[Location Name]],'All Data'!L:L,'All Data'!M:M)</f>
        <v>#N/A</v>
      </c>
      <c r="C19" s="3" t="e">
        <f>_xlfn.XLOOKUP(Locations[[#This Row],[Location Name]],'All Data'!L:L,'All Data'!N:N)</f>
        <v>#N/A</v>
      </c>
      <c r="D19" t="s">
        <v>51</v>
      </c>
      <c r="F19" t="s">
        <v>286</v>
      </c>
      <c r="G19" t="s">
        <v>3552</v>
      </c>
      <c r="H19" t="e" vm="1">
        <v>#VALUE!</v>
      </c>
      <c r="I1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AV-OTH-Swiffen Bank</v>
      </c>
      <c r="J19" t="e" vm="2">
        <v>#VALUE!</v>
      </c>
    </row>
    <row r="20" spans="1:10" x14ac:dyDescent="0.35">
      <c r="A20" s="152" t="s">
        <v>3000</v>
      </c>
      <c r="B20" s="3" t="e">
        <f>_xlfn.XLOOKUP(Locations[[#This Row],[Location Name]],'All Data'!L:L,'All Data'!M:M)</f>
        <v>#N/A</v>
      </c>
      <c r="C20" s="3" t="e">
        <f>_xlfn.XLOOKUP(Locations[[#This Row],[Location Name]],'All Data'!L:L,'All Data'!N:N)</f>
        <v>#N/A</v>
      </c>
      <c r="D20" t="s">
        <v>538</v>
      </c>
      <c r="F20" t="s">
        <v>121</v>
      </c>
      <c r="G20" t="s">
        <v>3552</v>
      </c>
      <c r="H20" t="e" vm="1">
        <v>#VALUE!</v>
      </c>
      <c r="I2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AV-OTH-Talton Lodge</v>
      </c>
      <c r="J20" t="e" vm="27">
        <v>#VALUE!</v>
      </c>
    </row>
    <row r="21" spans="1:10" x14ac:dyDescent="0.35">
      <c r="A21" t="s">
        <v>538</v>
      </c>
      <c r="B21" s="3" t="e">
        <f>_xlfn.XLOOKUP(Locations[[#This Row],[Location Name]],'All Data'!L:L,'All Data'!M:M)</f>
        <v>#N/A</v>
      </c>
      <c r="C21" s="3" t="e">
        <f>_xlfn.XLOOKUP(Locations[[#This Row],[Location Name]],'All Data'!L:L,'All Data'!N:N)</f>
        <v>#N/A</v>
      </c>
      <c r="D21" t="s">
        <v>538</v>
      </c>
      <c r="F21" t="s">
        <v>3557</v>
      </c>
      <c r="G21" t="s">
        <v>3552</v>
      </c>
      <c r="H21" t="e" vm="1">
        <v>#VALUE!</v>
      </c>
      <c r="I2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AV-OTH-Trinity Church</v>
      </c>
      <c r="J21" t="e" vm="12">
        <v>#VALUE!</v>
      </c>
    </row>
    <row r="22" spans="1:10" x14ac:dyDescent="0.35">
      <c r="A22" t="s">
        <v>31</v>
      </c>
      <c r="B22" s="3" t="e">
        <f>_xlfn.XLOOKUP(Locations[[#This Row],[Location Name]],'All Data'!L:L,'All Data'!M:M)</f>
        <v>#N/A</v>
      </c>
      <c r="C22" s="3" t="e">
        <f>_xlfn.XLOOKUP(Locations[[#This Row],[Location Name]],'All Data'!L:L,'All Data'!N:N)</f>
        <v>#N/A</v>
      </c>
      <c r="D22" t="s">
        <v>191</v>
      </c>
      <c r="F22" t="s">
        <v>41</v>
      </c>
      <c r="G22" t="s">
        <v>3552</v>
      </c>
      <c r="H22" t="e" vm="1">
        <v>#VALUE!</v>
      </c>
      <c r="I2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AV-OTH-Welford Boat Station</v>
      </c>
      <c r="J22" t="e" vm="36">
        <v>#VALUE!</v>
      </c>
    </row>
    <row r="23" spans="1:10" x14ac:dyDescent="0.35">
      <c r="A23" t="s">
        <v>572</v>
      </c>
      <c r="B23" s="3" t="e">
        <f>_xlfn.XLOOKUP(Locations[[#This Row],[Location Name]],'All Data'!L:L,'All Data'!M:M)</f>
        <v>#N/A</v>
      </c>
      <c r="C23" s="3" t="e">
        <f>_xlfn.XLOOKUP(Locations[[#This Row],[Location Name]],'All Data'!L:L,'All Data'!N:N)</f>
        <v>#N/A</v>
      </c>
      <c r="D23" t="s">
        <v>572</v>
      </c>
      <c r="F23" t="s">
        <v>3558</v>
      </c>
      <c r="G23" t="s">
        <v>3552</v>
      </c>
      <c r="H23" t="e" vm="1">
        <v>#VALUE!</v>
      </c>
      <c r="I2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AV-OTH-Weston-on-Avon</v>
      </c>
      <c r="J23" t="e" vm="35">
        <v>#VALUE!</v>
      </c>
    </row>
    <row r="24" spans="1:10" x14ac:dyDescent="0.35">
      <c r="A24" t="s">
        <v>2700</v>
      </c>
      <c r="B24" s="3" t="e">
        <f>_xlfn.XLOOKUP(Locations[[#This Row],[Location Name]],'All Data'!L:L,'All Data'!M:M)</f>
        <v>#N/A</v>
      </c>
      <c r="C24" s="3" t="e">
        <f>_xlfn.XLOOKUP(Locations[[#This Row],[Location Name]],'All Data'!L:L,'All Data'!N:N)</f>
        <v>#N/A</v>
      </c>
      <c r="D24" t="s">
        <v>2660</v>
      </c>
      <c r="F24" t="s">
        <v>538</v>
      </c>
      <c r="G24" t="s">
        <v>3000</v>
      </c>
      <c r="H24" t="e" vm="1">
        <v>#VALUE!</v>
      </c>
      <c r="I2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OTH-OTH-Bell Brook 1</v>
      </c>
      <c r="J24" t="e" vm="19">
        <v>#VALUE!</v>
      </c>
    </row>
    <row r="25" spans="1:10" x14ac:dyDescent="0.35">
      <c r="A25" t="s">
        <v>1624</v>
      </c>
      <c r="B25" s="3" t="e">
        <f>_xlfn.XLOOKUP(Locations[[#This Row],[Location Name]],'All Data'!L:L,'All Data'!M:M)</f>
        <v>#N/A</v>
      </c>
      <c r="C25" s="3" t="e">
        <f>_xlfn.XLOOKUP(Locations[[#This Row],[Location Name]],'All Data'!L:L,'All Data'!N:N)</f>
        <v>#N/A</v>
      </c>
      <c r="D25" t="s">
        <v>3553</v>
      </c>
      <c r="F25" t="s">
        <v>667</v>
      </c>
      <c r="G25" t="s">
        <v>3559</v>
      </c>
      <c r="H25" t="e" vm="1">
        <v>#VALUE!</v>
      </c>
      <c r="I2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1  :  Middle Street</v>
      </c>
      <c r="J25" t="e" vm="14">
        <v>#VALUE!</v>
      </c>
    </row>
    <row r="26" spans="1:10" x14ac:dyDescent="0.35">
      <c r="A26" t="s">
        <v>1849</v>
      </c>
      <c r="B26" s="3" t="e">
        <f>_xlfn.XLOOKUP(Locations[[#This Row],[Location Name]],'All Data'!L:L,'All Data'!M:M)</f>
        <v>#N/A</v>
      </c>
      <c r="C26" s="3" t="e">
        <f>_xlfn.XLOOKUP(Locations[[#This Row],[Location Name]],'All Data'!L:L,'All Data'!N:N)</f>
        <v>#N/A</v>
      </c>
      <c r="D26" t="s">
        <v>1849</v>
      </c>
      <c r="F26" t="s">
        <v>623</v>
      </c>
      <c r="G26" t="s">
        <v>3559</v>
      </c>
      <c r="H26" t="e" vm="1">
        <v>#VALUE!</v>
      </c>
      <c r="I2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2  :  Cross Leys culvert</v>
      </c>
      <c r="J26" t="e" vm="14">
        <v>#VALUE!</v>
      </c>
    </row>
    <row r="27" spans="1:10" x14ac:dyDescent="0.35">
      <c r="A27" t="s">
        <v>1845</v>
      </c>
      <c r="B27" s="3" t="e">
        <f>_xlfn.XLOOKUP(Locations[[#This Row],[Location Name]],'All Data'!L:L,'All Data'!M:M)</f>
        <v>#N/A</v>
      </c>
      <c r="C27" s="3" t="e">
        <f>_xlfn.XLOOKUP(Locations[[#This Row],[Location Name]],'All Data'!L:L,'All Data'!N:N)</f>
        <v>#N/A</v>
      </c>
      <c r="D27" t="s">
        <v>2358</v>
      </c>
      <c r="F27" t="s">
        <v>673</v>
      </c>
      <c r="G27" t="s">
        <v>3559</v>
      </c>
      <c r="H27" t="e" vm="1">
        <v>#VALUE!</v>
      </c>
      <c r="I2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3  :  Severn Trent Water processing plant outflow</v>
      </c>
      <c r="J27" t="e" vm="14">
        <v>#VALUE!</v>
      </c>
    </row>
    <row r="28" spans="1:10" x14ac:dyDescent="0.35">
      <c r="A28" t="s">
        <v>1573</v>
      </c>
      <c r="B28" s="3" t="e">
        <f>_xlfn.XLOOKUP(Locations[[#This Row],[Location Name]],'All Data'!L:L,'All Data'!M:M)</f>
        <v>#N/A</v>
      </c>
      <c r="C28" s="3" t="e">
        <f>_xlfn.XLOOKUP(Locations[[#This Row],[Location Name]],'All Data'!L:L,'All Data'!N:N)</f>
        <v>#N/A</v>
      </c>
      <c r="D28" t="s">
        <v>3548</v>
      </c>
      <c r="F28" t="s">
        <v>3661</v>
      </c>
      <c r="G28" t="s">
        <v>3559</v>
      </c>
      <c r="H28" t="e" vm="1">
        <v>#VALUE!</v>
      </c>
      <c r="I2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OTH-OTH-Site 4 : Heath Gate Ilmington</v>
      </c>
      <c r="J28" t="e" vm="14">
        <v>#VALUE!</v>
      </c>
    </row>
    <row r="29" spans="1:10" x14ac:dyDescent="0.35">
      <c r="A29" s="139" t="s">
        <v>3099</v>
      </c>
      <c r="B29" s="3" t="e">
        <f>_xlfn.XLOOKUP(Locations[[#This Row],[Location Name]],'All Data'!L:L,'All Data'!M:M)</f>
        <v>#N/A</v>
      </c>
      <c r="C29" s="3" t="e">
        <f>_xlfn.XLOOKUP(Locations[[#This Row],[Location Name]],'All Data'!L:L,'All Data'!N:N)</f>
        <v>#N/A</v>
      </c>
      <c r="D29" t="s">
        <v>3549</v>
      </c>
      <c r="F29" t="s">
        <v>530</v>
      </c>
      <c r="G29" t="s">
        <v>561</v>
      </c>
      <c r="H29" t="e" vm="1">
        <v>#VALUE!</v>
      </c>
      <c r="I2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OTH-OTH-The Ford, Langley</v>
      </c>
      <c r="J29" t="s">
        <v>3044</v>
      </c>
    </row>
    <row r="30" spans="1:10" x14ac:dyDescent="0.35">
      <c r="A30" t="s">
        <v>2210</v>
      </c>
      <c r="B30" s="3" t="e">
        <f>_xlfn.XLOOKUP(Locations[[#This Row],[Location Name]],'All Data'!L:L,'All Data'!M:M)</f>
        <v>#N/A</v>
      </c>
      <c r="C30" s="3" t="e">
        <f>_xlfn.XLOOKUP(Locations[[#This Row],[Location Name]],'All Data'!L:L,'All Data'!N:N)</f>
        <v>#N/A</v>
      </c>
      <c r="D30" t="s">
        <v>3549</v>
      </c>
      <c r="F30" t="s">
        <v>621</v>
      </c>
      <c r="G30" t="s">
        <v>621</v>
      </c>
      <c r="H30" t="e" vm="1">
        <v>#VALUE!</v>
      </c>
      <c r="I3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OTH-OTH-Preston Bagot Brook</v>
      </c>
      <c r="J30" t="e" vm="21">
        <v>#VALUE!</v>
      </c>
    </row>
    <row r="31" spans="1:10" x14ac:dyDescent="0.35">
      <c r="A31" t="s">
        <v>1570</v>
      </c>
      <c r="B31" s="3" t="e">
        <f>_xlfn.XLOOKUP(Locations[[#This Row],[Location Name]],'All Data'!L:L,'All Data'!M:M)</f>
        <v>#N/A</v>
      </c>
      <c r="C31" s="3" t="e">
        <f>_xlfn.XLOOKUP(Locations[[#This Row],[Location Name]],'All Data'!L:L,'All Data'!N:N)</f>
        <v>#N/A</v>
      </c>
      <c r="D31" t="s">
        <v>3549</v>
      </c>
      <c r="F31" t="s">
        <v>618</v>
      </c>
      <c r="G31" t="s">
        <v>618</v>
      </c>
      <c r="H31" t="e" vm="1">
        <v>#VALUE!</v>
      </c>
      <c r="I3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OTH-OTH-Preston Bagot Canal</v>
      </c>
      <c r="J31" t="e" vm="21">
        <v>#VALUE!</v>
      </c>
    </row>
    <row r="32" spans="1:10" x14ac:dyDescent="0.35">
      <c r="A32" t="s">
        <v>1766</v>
      </c>
      <c r="B32" s="3" t="e">
        <f>_xlfn.XLOOKUP(Locations[[#This Row],[Location Name]],'All Data'!L:L,'All Data'!M:M)</f>
        <v>#N/A</v>
      </c>
      <c r="C32" s="3" t="e">
        <f>_xlfn.XLOOKUP(Locations[[#This Row],[Location Name]],'All Data'!L:L,'All Data'!N:N)</f>
        <v>#N/A</v>
      </c>
      <c r="D32" t="s">
        <v>1766</v>
      </c>
      <c r="F32" t="s">
        <v>541</v>
      </c>
      <c r="G32" t="s">
        <v>2995</v>
      </c>
      <c r="H32" t="e" vm="1">
        <v>#VALUE!</v>
      </c>
      <c r="I3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OTH-OTH-Sherbourne Brook 1</v>
      </c>
      <c r="J32" t="e" vm="23">
        <v>#VALUE!</v>
      </c>
    </row>
    <row r="33" spans="1:10" x14ac:dyDescent="0.35">
      <c r="A33" t="s">
        <v>1535</v>
      </c>
      <c r="B33" s="3" t="e">
        <f>_xlfn.XLOOKUP(Locations[[#This Row],[Location Name]],'All Data'!L:L,'All Data'!M:M)</f>
        <v>#N/A</v>
      </c>
      <c r="C33" s="3" t="e">
        <f>_xlfn.XLOOKUP(Locations[[#This Row],[Location Name]],'All Data'!L:L,'All Data'!N:N)</f>
        <v>#N/A</v>
      </c>
      <c r="D33" t="s">
        <v>3555</v>
      </c>
      <c r="F33" t="s">
        <v>941</v>
      </c>
      <c r="G33" t="s">
        <v>2995</v>
      </c>
      <c r="H33" t="e" vm="1">
        <v>#VALUE!</v>
      </c>
      <c r="I3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OTH-OTH-Sherbourne Brook 2</v>
      </c>
      <c r="J33" t="s">
        <v>191</v>
      </c>
    </row>
    <row r="34" spans="1:10" x14ac:dyDescent="0.35">
      <c r="A34" t="s">
        <v>1537</v>
      </c>
      <c r="B34" s="3" t="e">
        <f>_xlfn.XLOOKUP(Locations[[#This Row],[Location Name]],'All Data'!L:L,'All Data'!M:M)</f>
        <v>#N/A</v>
      </c>
      <c r="C34" s="3" t="e">
        <f>_xlfn.XLOOKUP(Locations[[#This Row],[Location Name]],'All Data'!L:L,'All Data'!N:N)</f>
        <v>#N/A</v>
      </c>
      <c r="D34" t="s">
        <v>3556</v>
      </c>
      <c r="F34" t="s">
        <v>3561</v>
      </c>
      <c r="G34" t="s">
        <v>3562</v>
      </c>
      <c r="H34" t="e" vm="1">
        <v>#VALUE!</v>
      </c>
      <c r="I3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ST-OTH-Clifford Chambers Mill Bridge</v>
      </c>
      <c r="J34" t="e" vm="22">
        <v>#VALUE!</v>
      </c>
    </row>
    <row r="35" spans="1:10" x14ac:dyDescent="0.35">
      <c r="A35" t="s">
        <v>603</v>
      </c>
      <c r="B35" s="3" t="e">
        <f>_xlfn.XLOOKUP(Locations[[#This Row],[Location Name]],'All Data'!L:L,'All Data'!M:M)</f>
        <v>#N/A</v>
      </c>
      <c r="C35" s="3" t="e">
        <f>_xlfn.XLOOKUP(Locations[[#This Row],[Location Name]],'All Data'!L:L,'All Data'!N:N)</f>
        <v>#N/A</v>
      </c>
      <c r="D35" t="s">
        <v>603</v>
      </c>
      <c r="F35" t="s">
        <v>3563</v>
      </c>
      <c r="G35" t="s">
        <v>3562</v>
      </c>
      <c r="H35" t="e" vm="1">
        <v>#VALUE!</v>
      </c>
      <c r="I3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ST-OTH-Clifford Chambers Road Bridge</v>
      </c>
      <c r="J35" t="e" vm="22">
        <v>#VALUE!</v>
      </c>
    </row>
    <row r="36" spans="1:10" x14ac:dyDescent="0.35">
      <c r="A36" t="s">
        <v>441</v>
      </c>
      <c r="B36" s="3" t="e">
        <f>_xlfn.XLOOKUP(Locations[[#This Row],[Location Name]],'All Data'!L:L,'All Data'!M:M)</f>
        <v>#N/A</v>
      </c>
      <c r="C36" s="3" t="e">
        <f>_xlfn.XLOOKUP(Locations[[#This Row],[Location Name]],'All Data'!L:L,'All Data'!N:N)</f>
        <v>#N/A</v>
      </c>
      <c r="D36" t="s">
        <v>603</v>
      </c>
      <c r="F36" t="s">
        <v>875</v>
      </c>
      <c r="G36" t="s">
        <v>3562</v>
      </c>
      <c r="H36" t="e" vm="1">
        <v>#VALUE!</v>
      </c>
      <c r="I3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ST-OTH-Fell Mill Footbridge</v>
      </c>
      <c r="J36" t="e" vm="15">
        <v>#VALUE!</v>
      </c>
    </row>
    <row r="37" spans="1:10" x14ac:dyDescent="0.35">
      <c r="A37" t="s">
        <v>1834</v>
      </c>
      <c r="B37" s="3" t="e">
        <f>_xlfn.XLOOKUP(Locations[[#This Row],[Location Name]],'All Data'!L:L,'All Data'!M:M)</f>
        <v>#N/A</v>
      </c>
      <c r="C37" s="3" t="e">
        <f>_xlfn.XLOOKUP(Locations[[#This Row],[Location Name]],'All Data'!L:L,'All Data'!N:N)</f>
        <v>#N/A</v>
      </c>
      <c r="D37" t="s">
        <v>3555</v>
      </c>
      <c r="F37" t="s">
        <v>3564</v>
      </c>
      <c r="G37" t="s">
        <v>3562</v>
      </c>
      <c r="H37" t="e" vm="1">
        <v>#VALUE!</v>
      </c>
      <c r="I3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ST-OTH-Preston-on-Stour River Bridge</v>
      </c>
      <c r="J37" t="e" vm="20">
        <v>#VALUE!</v>
      </c>
    </row>
    <row r="38" spans="1:10" x14ac:dyDescent="0.35">
      <c r="A38" t="s">
        <v>1736</v>
      </c>
      <c r="B38" s="3" t="e">
        <f>_xlfn.XLOOKUP(Locations[[#This Row],[Location Name]],'All Data'!L:L,'All Data'!M:M)</f>
        <v>#N/A</v>
      </c>
      <c r="C38" s="3" t="e">
        <f>_xlfn.XLOOKUP(Locations[[#This Row],[Location Name]],'All Data'!L:L,'All Data'!N:N)</f>
        <v>#N/A</v>
      </c>
      <c r="D38" t="s">
        <v>3555</v>
      </c>
      <c r="F38" t="s">
        <v>3565</v>
      </c>
      <c r="G38" t="s">
        <v>3562</v>
      </c>
      <c r="H38" t="e" vm="1">
        <v>#VALUE!</v>
      </c>
      <c r="I3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Ascott Village</v>
      </c>
      <c r="J38" t="e" vm="25">
        <v>#VALUE!</v>
      </c>
    </row>
    <row r="39" spans="1:10" x14ac:dyDescent="0.35">
      <c r="A39" s="152" t="s">
        <v>3067</v>
      </c>
      <c r="B39" s="3" t="e">
        <f>_xlfn.XLOOKUP(Locations[[#This Row],[Location Name]],'All Data'!L:L,'All Data'!M:M)</f>
        <v>#N/A</v>
      </c>
      <c r="C39" s="3" t="e">
        <f>_xlfn.XLOOKUP(Locations[[#This Row],[Location Name]],'All Data'!L:L,'All Data'!N:N)</f>
        <v>#N/A</v>
      </c>
      <c r="D39" t="s">
        <v>3555</v>
      </c>
      <c r="F39" t="s">
        <v>3566</v>
      </c>
      <c r="G39" t="s">
        <v>3562</v>
      </c>
      <c r="H39" t="e" vm="1">
        <v>#VALUE!</v>
      </c>
      <c r="I3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Cherington Sewage Works</v>
      </c>
      <c r="J39" t="s">
        <v>3567</v>
      </c>
    </row>
    <row r="40" spans="1:10" x14ac:dyDescent="0.35">
      <c r="A40" t="s">
        <v>1672</v>
      </c>
      <c r="B40" s="3" t="e">
        <f>_xlfn.XLOOKUP(Locations[[#This Row],[Location Name]],'All Data'!L:L,'All Data'!M:M)</f>
        <v>#N/A</v>
      </c>
      <c r="C40" s="3" t="e">
        <f>_xlfn.XLOOKUP(Locations[[#This Row],[Location Name]],'All Data'!L:L,'All Data'!N:N)</f>
        <v>#N/A</v>
      </c>
      <c r="D40" t="s">
        <v>3555</v>
      </c>
      <c r="F40" t="s">
        <v>3568</v>
      </c>
      <c r="G40" t="s">
        <v>3562</v>
      </c>
      <c r="H40" t="e" vm="1">
        <v>#VALUE!</v>
      </c>
      <c r="I4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Newbold Mill</v>
      </c>
      <c r="J40" t="e" vm="27">
        <v>#VALUE!</v>
      </c>
    </row>
    <row r="41" spans="1:10" x14ac:dyDescent="0.35">
      <c r="A41" t="s">
        <v>2291</v>
      </c>
      <c r="B41" s="3" t="e">
        <f>_xlfn.XLOOKUP(Locations[[#This Row],[Location Name]],'All Data'!L:L,'All Data'!M:M)</f>
        <v>#N/A</v>
      </c>
      <c r="C41" s="3" t="e">
        <f>_xlfn.XLOOKUP(Locations[[#This Row],[Location Name]],'All Data'!L:L,'All Data'!N:N)</f>
        <v>#N/A</v>
      </c>
      <c r="D41" t="s">
        <v>2103</v>
      </c>
      <c r="F41" t="s">
        <v>2006</v>
      </c>
      <c r="G41" t="s">
        <v>3562</v>
      </c>
      <c r="H41" t="e" vm="1">
        <v>#VALUE!</v>
      </c>
      <c r="I4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Shipston Mill Bridge</v>
      </c>
      <c r="J41" t="e" vm="15">
        <v>#VALUE!</v>
      </c>
    </row>
    <row r="42" spans="1:10" x14ac:dyDescent="0.35">
      <c r="A42" t="s">
        <v>2412</v>
      </c>
      <c r="B42" s="3" t="e">
        <f>_xlfn.XLOOKUP(Locations[[#This Row],[Location Name]],'All Data'!L:L,'All Data'!M:M)</f>
        <v>#N/A</v>
      </c>
      <c r="C42" s="3" t="e">
        <f>_xlfn.XLOOKUP(Locations[[#This Row],[Location Name]],'All Data'!L:L,'All Data'!N:N)</f>
        <v>#N/A</v>
      </c>
      <c r="D42" t="s">
        <v>2103</v>
      </c>
      <c r="F42" t="s">
        <v>3569</v>
      </c>
      <c r="G42" t="s">
        <v>3562</v>
      </c>
      <c r="H42" t="e" vm="1">
        <v>#VALUE!</v>
      </c>
      <c r="I4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Stretton-on-Fosse Sewage Works</v>
      </c>
      <c r="J42" t="e" vm="30">
        <v>#VALUE!</v>
      </c>
    </row>
    <row r="43" spans="1:10" x14ac:dyDescent="0.35">
      <c r="A43" s="139" t="s">
        <v>3145</v>
      </c>
      <c r="B43" s="3" t="e">
        <f>_xlfn.XLOOKUP(Locations[[#This Row],[Location Name]],'All Data'!L:L,'All Data'!M:M)</f>
        <v>#N/A</v>
      </c>
      <c r="C43" s="3" t="e">
        <f>_xlfn.XLOOKUP(Locations[[#This Row],[Location Name]],'All Data'!L:L,'All Data'!N:N)</f>
        <v>#N/A</v>
      </c>
      <c r="D43" t="s">
        <v>3660</v>
      </c>
      <c r="F43" t="s">
        <v>548</v>
      </c>
      <c r="G43" t="s">
        <v>3562</v>
      </c>
      <c r="H43" t="e" vm="1">
        <v>#VALUE!</v>
      </c>
      <c r="I4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Stretton-on-Fosse Village</v>
      </c>
      <c r="J43" t="e" vm="30">
        <v>#VALUE!</v>
      </c>
    </row>
    <row r="44" spans="1:10" x14ac:dyDescent="0.35">
      <c r="A44" t="s">
        <v>1066</v>
      </c>
      <c r="B44" s="3" t="e">
        <f>_xlfn.XLOOKUP(Locations[[#This Row],[Location Name]],'All Data'!L:L,'All Data'!M:M)</f>
        <v>#N/A</v>
      </c>
      <c r="C44" s="3" t="e">
        <f>_xlfn.XLOOKUP(Locations[[#This Row],[Location Name]],'All Data'!L:L,'All Data'!N:N)</f>
        <v>#N/A</v>
      </c>
      <c r="D44" t="s">
        <v>2103</v>
      </c>
      <c r="F44" t="s">
        <v>925</v>
      </c>
      <c r="G44" t="s">
        <v>3562</v>
      </c>
      <c r="H44" t="e" vm="1">
        <v>#VALUE!</v>
      </c>
      <c r="I4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Whichford</v>
      </c>
      <c r="J44" t="e" vm="24">
        <v>#VALUE!</v>
      </c>
    </row>
    <row r="45" spans="1:10" x14ac:dyDescent="0.35">
      <c r="A45" t="s">
        <v>1394</v>
      </c>
      <c r="B45" s="3" t="e">
        <f>_xlfn.XLOOKUP(Locations[[#This Row],[Location Name]],'All Data'!L:L,'All Data'!M:M)</f>
        <v>#N/A</v>
      </c>
      <c r="C45" s="3" t="e">
        <f>_xlfn.XLOOKUP(Locations[[#This Row],[Location Name]],'All Data'!L:L,'All Data'!N:N)</f>
        <v>#N/A</v>
      </c>
      <c r="D45" t="s">
        <v>3560</v>
      </c>
      <c r="F45" t="s">
        <v>521</v>
      </c>
      <c r="G45" t="s">
        <v>3562</v>
      </c>
      <c r="H45" t="e" vm="1">
        <v>#VALUE!</v>
      </c>
      <c r="I4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ST-OTH-Stour Willington</v>
      </c>
      <c r="J45" t="s">
        <v>3570</v>
      </c>
    </row>
    <row r="46" spans="1:10" x14ac:dyDescent="0.35">
      <c r="A46" t="s">
        <v>1064</v>
      </c>
      <c r="B46" s="3" t="e">
        <f>_xlfn.XLOOKUP(Locations[[#This Row],[Location Name]],'All Data'!L:L,'All Data'!M:M)</f>
        <v>#N/A</v>
      </c>
      <c r="C46" s="3" t="e">
        <f>_xlfn.XLOOKUP(Locations[[#This Row],[Location Name]],'All Data'!L:L,'All Data'!N:N)</f>
        <v>#N/A</v>
      </c>
      <c r="D46" t="s">
        <v>1244</v>
      </c>
      <c r="F46" t="s">
        <v>2643</v>
      </c>
      <c r="G46" t="s">
        <v>3571</v>
      </c>
      <c r="H46" t="e" vm="1">
        <v>#VALUE!</v>
      </c>
      <c r="I4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OTH-OTH-R.Stowe - Lower Fields Farm, Old Brickyard Lane</v>
      </c>
      <c r="J46" t="e" vm="17">
        <v>#VALUE!</v>
      </c>
    </row>
    <row r="47" spans="1:10" x14ac:dyDescent="0.35">
      <c r="A47" t="s">
        <v>2468</v>
      </c>
      <c r="B47" s="3" t="e">
        <f>_xlfn.XLOOKUP(Locations[[#This Row],[Location Name]],'All Data'!L:L,'All Data'!M:M)</f>
        <v>#N/A</v>
      </c>
      <c r="C47" s="3" t="e">
        <f>_xlfn.XLOOKUP(Locations[[#This Row],[Location Name]],'All Data'!L:L,'All Data'!N:N)</f>
        <v>#N/A</v>
      </c>
      <c r="D47" t="s">
        <v>2250</v>
      </c>
      <c r="F47" t="s">
        <v>2646</v>
      </c>
      <c r="G47" t="s">
        <v>3571</v>
      </c>
      <c r="H47" t="e" vm="1">
        <v>#VALUE!</v>
      </c>
      <c r="I4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OTH-OTH-R.Stowe - New Zealand Spinney, off Napton Rd</v>
      </c>
      <c r="J47" t="e" vm="18">
        <v>#VALUE!</v>
      </c>
    </row>
    <row r="48" spans="1:10" x14ac:dyDescent="0.35">
      <c r="A48" t="s">
        <v>2250</v>
      </c>
      <c r="B48" s="3" t="e">
        <f>_xlfn.XLOOKUP(Locations[[#This Row],[Location Name]],'All Data'!L:L,'All Data'!M:M)</f>
        <v>#N/A</v>
      </c>
      <c r="C48" s="3" t="e">
        <f>_xlfn.XLOOKUP(Locations[[#This Row],[Location Name]],'All Data'!L:L,'All Data'!N:N)</f>
        <v>#N/A</v>
      </c>
      <c r="D48" t="s">
        <v>2250</v>
      </c>
      <c r="F48" t="s">
        <v>3666</v>
      </c>
      <c r="G48" t="s">
        <v>3571</v>
      </c>
      <c r="H48" t="e" vm="1">
        <v>#VALUE!</v>
      </c>
      <c r="I4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OTH-OTH-R.Stowe - Welsh Rd East, Southam</v>
      </c>
      <c r="J48" t="e" vm="18">
        <v>#VALUE!</v>
      </c>
    </row>
    <row r="49" spans="1:10" x14ac:dyDescent="0.35">
      <c r="A49" t="s">
        <v>817</v>
      </c>
      <c r="B49" s="3" t="e">
        <f>_xlfn.XLOOKUP(Locations[[#This Row],[Location Name]],'All Data'!L:L,'All Data'!M:M)</f>
        <v>#N/A</v>
      </c>
      <c r="C49" s="3" t="e">
        <f>_xlfn.XLOOKUP(Locations[[#This Row],[Location Name]],'All Data'!L:L,'All Data'!N:N)</f>
        <v>#N/A</v>
      </c>
      <c r="D49" t="s">
        <v>915</v>
      </c>
      <c r="F49" t="s">
        <v>2660</v>
      </c>
      <c r="G49" t="s">
        <v>3572</v>
      </c>
      <c r="H49" t="e" vm="1">
        <v>#VALUE!</v>
      </c>
      <c r="I4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OTH-OTH-High Street Brailes</v>
      </c>
      <c r="J49" t="e" vm="5">
        <v>#VALUE!</v>
      </c>
    </row>
    <row r="50" spans="1:10" x14ac:dyDescent="0.35">
      <c r="A50" t="s">
        <v>1454</v>
      </c>
      <c r="B50" s="3" t="e">
        <f>_xlfn.XLOOKUP(Locations[[#This Row],[Location Name]],'All Data'!L:L,'All Data'!M:M)</f>
        <v>#N/A</v>
      </c>
      <c r="C50" s="3" t="e">
        <f>_xlfn.XLOOKUP(Locations[[#This Row],[Location Name]],'All Data'!L:L,'All Data'!N:N)</f>
        <v>#N/A</v>
      </c>
      <c r="D50" t="s">
        <v>915</v>
      </c>
      <c r="F50" t="s">
        <v>2564</v>
      </c>
      <c r="G50" t="s">
        <v>3572</v>
      </c>
      <c r="H50" t="e" vm="1">
        <v>#VALUE!</v>
      </c>
      <c r="I5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OTH-OTH-New Barn Farm Brailes</v>
      </c>
      <c r="J50" t="e" vm="5">
        <v>#VALUE!</v>
      </c>
    </row>
    <row r="51" spans="1:10" x14ac:dyDescent="0.35">
      <c r="A51" t="s">
        <v>1539</v>
      </c>
      <c r="B51" s="3" t="e">
        <f>_xlfn.XLOOKUP(Locations[[#This Row],[Location Name]],'All Data'!L:L,'All Data'!M:M)</f>
        <v>#N/A</v>
      </c>
      <c r="C51" s="3" t="e">
        <f>_xlfn.XLOOKUP(Locations[[#This Row],[Location Name]],'All Data'!L:L,'All Data'!N:N)</f>
        <v>#N/A</v>
      </c>
      <c r="D51" t="s">
        <v>915</v>
      </c>
      <c r="F51" t="s">
        <v>27</v>
      </c>
      <c r="G51" t="s">
        <v>3552</v>
      </c>
      <c r="H51" t="e" vm="4">
        <v>#VALUE!</v>
      </c>
      <c r="I5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AV-OTH-Abbey Mill</v>
      </c>
      <c r="J51" t="e" vm="4">
        <v>#VALUE!</v>
      </c>
    </row>
    <row r="52" spans="1:10" x14ac:dyDescent="0.35">
      <c r="A52" t="s">
        <v>2358</v>
      </c>
      <c r="B52" s="3" t="e">
        <f>_xlfn.XLOOKUP(Locations[[#This Row],[Location Name]],'All Data'!L:L,'All Data'!M:M)</f>
        <v>#N/A</v>
      </c>
      <c r="C52" s="3" t="e">
        <f>_xlfn.XLOOKUP(Locations[[#This Row],[Location Name]],'All Data'!L:L,'All Data'!N:N)</f>
        <v>#N/A</v>
      </c>
      <c r="D52" t="s">
        <v>2358</v>
      </c>
      <c r="F52" t="s">
        <v>572</v>
      </c>
      <c r="G52" t="s">
        <v>3552</v>
      </c>
      <c r="H52" t="e" vm="4">
        <v>#VALUE!</v>
      </c>
      <c r="I5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AV-OTH-Black Bear</v>
      </c>
      <c r="J52" t="e" vm="4">
        <v>#VALUE!</v>
      </c>
    </row>
    <row r="53" spans="1:10" x14ac:dyDescent="0.35">
      <c r="A53" t="s">
        <v>251</v>
      </c>
      <c r="B53" s="3" t="e">
        <f>_xlfn.XLOOKUP(Locations[[#This Row],[Location Name]],'All Data'!L:L,'All Data'!M:M)</f>
        <v>#N/A</v>
      </c>
      <c r="C53" s="3" t="e">
        <f>_xlfn.XLOOKUP(Locations[[#This Row],[Location Name]],'All Data'!L:L,'All Data'!N:N)</f>
        <v>#N/A</v>
      </c>
      <c r="D53" t="s">
        <v>3561</v>
      </c>
      <c r="F53" t="s">
        <v>3553</v>
      </c>
      <c r="G53" t="s">
        <v>3552</v>
      </c>
      <c r="H53" t="e" vm="4">
        <v>#VALUE!</v>
      </c>
      <c r="I5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AV-OTH-Bredon Dock Lane</v>
      </c>
      <c r="J53" t="e" vm="11">
        <v>#VALUE!</v>
      </c>
    </row>
    <row r="54" spans="1:10" x14ac:dyDescent="0.35">
      <c r="A54" t="s">
        <v>266</v>
      </c>
      <c r="B54" s="3" t="e">
        <f>_xlfn.XLOOKUP(Locations[[#This Row],[Location Name]],'All Data'!L:L,'All Data'!M:M)</f>
        <v>#N/A</v>
      </c>
      <c r="C54" s="3" t="e">
        <f>_xlfn.XLOOKUP(Locations[[#This Row],[Location Name]],'All Data'!L:L,'All Data'!N:N)</f>
        <v>#N/A</v>
      </c>
      <c r="D54" t="s">
        <v>3561</v>
      </c>
      <c r="F54" t="s">
        <v>1849</v>
      </c>
      <c r="G54" t="s">
        <v>3552</v>
      </c>
      <c r="H54" t="e" vm="4">
        <v>#VALUE!</v>
      </c>
      <c r="I5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AV-OTH-Bredon Marina</v>
      </c>
      <c r="J54" t="e" vm="11">
        <v>#VALUE!</v>
      </c>
    </row>
    <row r="55" spans="1:10" x14ac:dyDescent="0.35">
      <c r="A55" t="s">
        <v>429</v>
      </c>
      <c r="B55" s="3" t="e">
        <f>_xlfn.XLOOKUP(Locations[[#This Row],[Location Name]],'All Data'!L:L,'All Data'!M:M)</f>
        <v>#N/A</v>
      </c>
      <c r="C55" s="3" t="e">
        <f>_xlfn.XLOOKUP(Locations[[#This Row],[Location Name]],'All Data'!L:L,'All Data'!N:N)</f>
        <v>#N/A</v>
      </c>
      <c r="D55" t="s">
        <v>3563</v>
      </c>
      <c r="F55" t="s">
        <v>595</v>
      </c>
      <c r="G55" t="s">
        <v>3552</v>
      </c>
      <c r="H55" t="e" vm="4">
        <v>#VALUE!</v>
      </c>
      <c r="I5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AV-OTH-Lower Lode</v>
      </c>
      <c r="J55" t="e" vm="4">
        <v>#VALUE!</v>
      </c>
    </row>
    <row r="56" spans="1:10" x14ac:dyDescent="0.35">
      <c r="A56" t="s">
        <v>334</v>
      </c>
      <c r="B56" s="3" t="e">
        <f>_xlfn.XLOOKUP(Locations[[#This Row],[Location Name]],'All Data'!L:L,'All Data'!M:M)</f>
        <v>#N/A</v>
      </c>
      <c r="C56" s="3" t="e">
        <f>_xlfn.XLOOKUP(Locations[[#This Row],[Location Name]],'All Data'!L:L,'All Data'!N:N)</f>
        <v>#N/A</v>
      </c>
      <c r="D56" t="s">
        <v>3561</v>
      </c>
      <c r="F56" t="s">
        <v>56</v>
      </c>
      <c r="G56" t="s">
        <v>3552</v>
      </c>
      <c r="H56" t="e" vm="4">
        <v>#VALUE!</v>
      </c>
      <c r="I5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AV-OTH-Twyning Fleet</v>
      </c>
      <c r="J56" t="s">
        <v>3573</v>
      </c>
    </row>
    <row r="57" spans="1:10" x14ac:dyDescent="0.35">
      <c r="A57" t="s">
        <v>2401</v>
      </c>
      <c r="B57" s="3" t="e">
        <f>_xlfn.XLOOKUP(Locations[[#This Row],[Location Name]],'All Data'!L:L,'All Data'!M:M)</f>
        <v>#N/A</v>
      </c>
      <c r="C57" s="3" t="e">
        <f>_xlfn.XLOOKUP(Locations[[#This Row],[Location Name]],'All Data'!L:L,'All Data'!N:N)</f>
        <v>#N/A</v>
      </c>
      <c r="D57" t="s">
        <v>2358</v>
      </c>
      <c r="F57" t="s">
        <v>1766</v>
      </c>
      <c r="G57" t="s">
        <v>3574</v>
      </c>
      <c r="H57" t="e" vm="4">
        <v>#VALUE!</v>
      </c>
      <c r="I5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A38</v>
      </c>
      <c r="J57" t="s">
        <v>191</v>
      </c>
    </row>
    <row r="58" spans="1:10" x14ac:dyDescent="0.35">
      <c r="A58" t="s">
        <v>1915</v>
      </c>
      <c r="B58" s="3" t="e">
        <f>_xlfn.XLOOKUP(Locations[[#This Row],[Location Name]],'All Data'!L:L,'All Data'!M:M)</f>
        <v>#N/A</v>
      </c>
      <c r="C58" s="3" t="e">
        <f>_xlfn.XLOOKUP(Locations[[#This Row],[Location Name]],'All Data'!L:L,'All Data'!N:N)</f>
        <v>#N/A</v>
      </c>
      <c r="D58" t="s">
        <v>623</v>
      </c>
      <c r="F58" t="s">
        <v>3555</v>
      </c>
      <c r="G58" t="s">
        <v>3574</v>
      </c>
      <c r="H58" t="e" vm="4">
        <v>#VALUE!</v>
      </c>
      <c r="I5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Back Lane Beckford</v>
      </c>
      <c r="J58" t="s">
        <v>3575</v>
      </c>
    </row>
    <row r="59" spans="1:10" x14ac:dyDescent="0.35">
      <c r="A59" t="s">
        <v>626</v>
      </c>
      <c r="B59" s="3" t="e">
        <f>_xlfn.XLOOKUP(Locations[[#This Row],[Location Name]],'All Data'!L:L,'All Data'!M:M)</f>
        <v>#N/A</v>
      </c>
      <c r="C59" s="3" t="e">
        <f>_xlfn.XLOOKUP(Locations[[#This Row],[Location Name]],'All Data'!L:L,'All Data'!N:N)</f>
        <v>#N/A</v>
      </c>
      <c r="D59" t="s">
        <v>623</v>
      </c>
      <c r="F59" t="s">
        <v>3556</v>
      </c>
      <c r="G59" t="s">
        <v>3574</v>
      </c>
      <c r="H59" t="e" vm="4">
        <v>#VALUE!</v>
      </c>
      <c r="I5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Beckford Sewage Works</v>
      </c>
      <c r="J59" t="s">
        <v>3575</v>
      </c>
    </row>
    <row r="60" spans="1:10" x14ac:dyDescent="0.35">
      <c r="A60" s="152" t="s">
        <v>2841</v>
      </c>
      <c r="B60" s="3" t="e">
        <f>_xlfn.XLOOKUP(Locations[[#This Row],[Location Name]],'All Data'!L:L,'All Data'!M:M)</f>
        <v>#N/A</v>
      </c>
      <c r="C60" s="3" t="e">
        <f>_xlfn.XLOOKUP(Locations[[#This Row],[Location Name]],'All Data'!L:L,'All Data'!N:N)</f>
        <v>#N/A</v>
      </c>
      <c r="D60" t="s">
        <v>623</v>
      </c>
      <c r="F60" t="s">
        <v>603</v>
      </c>
      <c r="G60" t="s">
        <v>3574</v>
      </c>
      <c r="H60" t="e" vm="4">
        <v>#VALUE!</v>
      </c>
      <c r="I6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Bredon Rd</v>
      </c>
      <c r="J60" t="e" vm="4">
        <v>#VALUE!</v>
      </c>
    </row>
    <row r="61" spans="1:10" x14ac:dyDescent="0.35">
      <c r="A61" t="s">
        <v>2374</v>
      </c>
      <c r="B61" s="3" t="e">
        <f>_xlfn.XLOOKUP(Locations[[#This Row],[Location Name]],'All Data'!L:L,'All Data'!M:M)</f>
        <v>#N/A</v>
      </c>
      <c r="C61" s="3" t="e">
        <f>_xlfn.XLOOKUP(Locations[[#This Row],[Location Name]],'All Data'!L:L,'All Data'!N:N)</f>
        <v>#N/A</v>
      </c>
      <c r="D61" t="s">
        <v>2374</v>
      </c>
      <c r="F61" t="s">
        <v>3660</v>
      </c>
      <c r="G61" t="s">
        <v>3574</v>
      </c>
      <c r="H61" t="e" vm="4">
        <v>#VALUE!</v>
      </c>
      <c r="I6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Crashmore Lane</v>
      </c>
      <c r="J61" t="e" vm="4">
        <v>#VALUE!</v>
      </c>
    </row>
    <row r="62" spans="1:10" x14ac:dyDescent="0.35">
      <c r="A62" t="s">
        <v>875</v>
      </c>
      <c r="B62" s="3" t="e">
        <f>_xlfn.XLOOKUP(Locations[[#This Row],[Location Name]],'All Data'!L:L,'All Data'!M:M)</f>
        <v>#N/A</v>
      </c>
      <c r="C62" s="3" t="e">
        <f>_xlfn.XLOOKUP(Locations[[#This Row],[Location Name]],'All Data'!L:L,'All Data'!N:N)</f>
        <v>#N/A</v>
      </c>
      <c r="D62" t="s">
        <v>875</v>
      </c>
      <c r="F62" t="s">
        <v>2103</v>
      </c>
      <c r="G62" t="s">
        <v>3574</v>
      </c>
      <c r="H62" t="e" vm="4">
        <v>#VALUE!</v>
      </c>
      <c r="I6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M5 Bridge</v>
      </c>
      <c r="J62" t="e" vm="4">
        <v>#VALUE!</v>
      </c>
    </row>
    <row r="63" spans="1:10" x14ac:dyDescent="0.35">
      <c r="A63" t="s">
        <v>1928</v>
      </c>
      <c r="B63" s="3" t="e">
        <f>_xlfn.XLOOKUP(Locations[[#This Row],[Location Name]],'All Data'!L:L,'All Data'!M:M)</f>
        <v>#N/A</v>
      </c>
      <c r="C63" s="3" t="e">
        <f>_xlfn.XLOOKUP(Locations[[#This Row],[Location Name]],'All Data'!L:L,'All Data'!N:N)</f>
        <v>#N/A</v>
      </c>
      <c r="D63" t="s">
        <v>875</v>
      </c>
      <c r="F63" t="s">
        <v>3560</v>
      </c>
      <c r="G63" t="s">
        <v>3574</v>
      </c>
      <c r="H63" t="e" vm="4">
        <v>#VALUE!</v>
      </c>
      <c r="I6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Mitton Bridge</v>
      </c>
      <c r="J63" t="e" vm="4">
        <v>#VALUE!</v>
      </c>
    </row>
    <row r="64" spans="1:10" x14ac:dyDescent="0.35">
      <c r="A64" s="139" t="s">
        <v>3288</v>
      </c>
      <c r="B64" s="3" t="e">
        <f>_xlfn.XLOOKUP(Locations[[#This Row],[Location Name]],'All Data'!L:L,'All Data'!M:M)</f>
        <v>#N/A</v>
      </c>
      <c r="C64" s="3" t="e">
        <f>_xlfn.XLOOKUP(Locations[[#This Row],[Location Name]],'All Data'!L:L,'All Data'!N:N)</f>
        <v>#N/A</v>
      </c>
      <c r="D64" t="s">
        <v>875</v>
      </c>
      <c r="F64" t="s">
        <v>1244</v>
      </c>
      <c r="G64" t="s">
        <v>3574</v>
      </c>
      <c r="H64" t="e" vm="4">
        <v>#VALUE!</v>
      </c>
      <c r="I6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CA-OTH-Carrant Mitton Path</v>
      </c>
      <c r="J64" t="e" vm="4">
        <v>#VALUE!</v>
      </c>
    </row>
    <row r="65" spans="1:10" x14ac:dyDescent="0.35">
      <c r="A65" s="152" t="s">
        <v>3097</v>
      </c>
      <c r="B65" s="3" t="e">
        <f>_xlfn.XLOOKUP(Locations[[#This Row],[Location Name]],'All Data'!L:L,'All Data'!M:M)</f>
        <v>#N/A</v>
      </c>
      <c r="C65" s="3" t="e">
        <f>_xlfn.XLOOKUP(Locations[[#This Row],[Location Name]],'All Data'!L:L,'All Data'!N:N)</f>
        <v>#N/A</v>
      </c>
      <c r="D65" t="s">
        <v>875</v>
      </c>
      <c r="F65" t="s">
        <v>3665</v>
      </c>
      <c r="G65" t="s">
        <v>3188</v>
      </c>
      <c r="H65" t="e" vm="4">
        <v>#VALUE!</v>
      </c>
      <c r="I6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OTH-OTH-Isbourne Silk Mill Lane</v>
      </c>
      <c r="J65" t="e" vm="8">
        <v>#VALUE!</v>
      </c>
    </row>
    <row r="66" spans="1:10" x14ac:dyDescent="0.35">
      <c r="A66" t="s">
        <v>1968</v>
      </c>
      <c r="B66" s="3" t="e">
        <f>_xlfn.XLOOKUP(Locations[[#This Row],[Location Name]],'All Data'!L:L,'All Data'!M:M)</f>
        <v>#N/A</v>
      </c>
      <c r="C66" s="3" t="e">
        <f>_xlfn.XLOOKUP(Locations[[#This Row],[Location Name]],'All Data'!L:L,'All Data'!N:N)</f>
        <v>#N/A</v>
      </c>
      <c r="D66" t="s">
        <v>875</v>
      </c>
      <c r="F66" t="s">
        <v>3434</v>
      </c>
      <c r="G66" t="s">
        <v>3188</v>
      </c>
      <c r="H66" t="e" vm="4">
        <v>#VALUE!</v>
      </c>
      <c r="I6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OTH-OTH-Isbourne Winchcombe A</v>
      </c>
      <c r="J66" t="s">
        <v>3664</v>
      </c>
    </row>
    <row r="67" spans="1:10" x14ac:dyDescent="0.35">
      <c r="A67" t="s">
        <v>500</v>
      </c>
      <c r="B67" s="3" t="e">
        <f>_xlfn.XLOOKUP(Locations[[#This Row],[Location Name]],'All Data'!L:L,'All Data'!M:M)</f>
        <v>#N/A</v>
      </c>
      <c r="C67" s="3" t="e">
        <f>_xlfn.XLOOKUP(Locations[[#This Row],[Location Name]],'All Data'!L:L,'All Data'!N:N)</f>
        <v>#N/A</v>
      </c>
      <c r="D67" t="s">
        <v>875</v>
      </c>
      <c r="F67" t="s">
        <v>3662</v>
      </c>
      <c r="G67" t="s">
        <v>3188</v>
      </c>
      <c r="H67" t="e" vm="4">
        <v>#VALUE!</v>
      </c>
      <c r="I6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OTH-OTH-Isbourne Winchcombe B</v>
      </c>
      <c r="J67" t="e" vm="8">
        <v>#VALUE!</v>
      </c>
    </row>
    <row r="68" spans="1:10" x14ac:dyDescent="0.35">
      <c r="A68" t="s">
        <v>478</v>
      </c>
      <c r="B68" s="3" t="e">
        <f>_xlfn.XLOOKUP(Locations[[#This Row],[Location Name]],'All Data'!L:L,'All Data'!M:M)</f>
        <v>#N/A</v>
      </c>
      <c r="C68" s="3" t="e">
        <f>_xlfn.XLOOKUP(Locations[[#This Row],[Location Name]],'All Data'!L:L,'All Data'!N:N)</f>
        <v>#N/A</v>
      </c>
      <c r="D68" t="s">
        <v>478</v>
      </c>
      <c r="F68" t="s">
        <v>3479</v>
      </c>
      <c r="G68" t="s">
        <v>3188</v>
      </c>
      <c r="H68" t="e" vm="4">
        <v>#VALUE!</v>
      </c>
      <c r="I6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OTH-OTH-Isbourne Winchcombe C</v>
      </c>
      <c r="J68" t="e" vm="8">
        <v>#VALUE!</v>
      </c>
    </row>
    <row r="69" spans="1:10" x14ac:dyDescent="0.35">
      <c r="A69" t="s">
        <v>1951</v>
      </c>
      <c r="B69" s="3" t="e">
        <f>_xlfn.XLOOKUP(Locations[[#This Row],[Location Name]],'All Data'!L:L,'All Data'!M:M)</f>
        <v>#N/A</v>
      </c>
      <c r="C69" s="3" t="e">
        <f>_xlfn.XLOOKUP(Locations[[#This Row],[Location Name]],'All Data'!L:L,'All Data'!N:N)</f>
        <v>#N/A</v>
      </c>
      <c r="D69" t="s">
        <v>623</v>
      </c>
      <c r="F69" t="s">
        <v>3663</v>
      </c>
      <c r="G69" t="s">
        <v>3188</v>
      </c>
      <c r="H69" t="e" vm="4">
        <v>#VALUE!</v>
      </c>
      <c r="I6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OTH-OTH-Isbourne Winchcombe D</v>
      </c>
      <c r="J69" t="e" vm="8">
        <v>#VALUE!</v>
      </c>
    </row>
    <row r="70" spans="1:10" x14ac:dyDescent="0.35">
      <c r="A70" s="139" t="s">
        <v>3072</v>
      </c>
      <c r="B70" s="3" t="e">
        <f>_xlfn.XLOOKUP(Locations[[#This Row],[Location Name]],'All Data'!L:L,'All Data'!M:M)</f>
        <v>#N/A</v>
      </c>
      <c r="C70" s="3" t="e">
        <f>_xlfn.XLOOKUP(Locations[[#This Row],[Location Name]],'All Data'!L:L,'All Data'!N:N)</f>
        <v>#N/A</v>
      </c>
      <c r="D70" t="s">
        <v>3661</v>
      </c>
      <c r="F70" t="s">
        <v>3551</v>
      </c>
      <c r="G70" t="s">
        <v>3551</v>
      </c>
      <c r="H70" t="e" vm="4">
        <v>#VALUE!</v>
      </c>
      <c r="I7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SW-OTH-Swilgate</v>
      </c>
      <c r="J70" t="e" vm="4">
        <v>#VALUE!</v>
      </c>
    </row>
    <row r="71" spans="1:10" x14ac:dyDescent="0.35">
      <c r="A71" t="s">
        <v>678</v>
      </c>
      <c r="B71" s="3" t="e">
        <f>_xlfn.XLOOKUP(Locations[[#This Row],[Location Name]],'All Data'!L:L,'All Data'!M:M)</f>
        <v>#N/A</v>
      </c>
      <c r="C71" s="3" t="e">
        <f>_xlfn.XLOOKUP(Locations[[#This Row],[Location Name]],'All Data'!L:L,'All Data'!N:N)</f>
        <v>#N/A</v>
      </c>
      <c r="D71" t="s">
        <v>667</v>
      </c>
      <c r="F71" t="s">
        <v>1409</v>
      </c>
      <c r="G71" t="s">
        <v>3551</v>
      </c>
      <c r="H71" t="e" vm="4">
        <v>#VALUE!</v>
      </c>
      <c r="I7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SW-OTH-Swillgate TNR 2nd bridge</v>
      </c>
      <c r="J71" t="e" vm="4">
        <v>#VALUE!</v>
      </c>
    </row>
    <row r="72" spans="1:10" x14ac:dyDescent="0.35">
      <c r="A72" t="s">
        <v>2140</v>
      </c>
      <c r="B72" s="3" t="e">
        <f>_xlfn.XLOOKUP(Locations[[#This Row],[Location Name]],'All Data'!L:L,'All Data'!M:M)</f>
        <v>#N/A</v>
      </c>
      <c r="C72" s="3" t="e">
        <f>_xlfn.XLOOKUP(Locations[[#This Row],[Location Name]],'All Data'!L:L,'All Data'!N:N)</f>
        <v>#N/A</v>
      </c>
      <c r="D72" t="s">
        <v>673</v>
      </c>
      <c r="F72" t="s">
        <v>784</v>
      </c>
      <c r="G72" t="s">
        <v>3552</v>
      </c>
      <c r="H72" t="e" vm="6">
        <v>#VALUE!</v>
      </c>
      <c r="I7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AV-OTH-Avon Smiths Meadow Wyre Piddle</v>
      </c>
      <c r="J72" t="e" vm="13">
        <v>#VALUE!</v>
      </c>
    </row>
    <row r="73" spans="1:10" x14ac:dyDescent="0.35">
      <c r="A73" t="s">
        <v>1826</v>
      </c>
      <c r="B73" s="3" t="e">
        <f>_xlfn.XLOOKUP(Locations[[#This Row],[Location Name]],'All Data'!L:L,'All Data'!M:M)</f>
        <v>#N/A</v>
      </c>
      <c r="C73" s="3" t="e">
        <f>_xlfn.XLOOKUP(Locations[[#This Row],[Location Name]],'All Data'!L:L,'All Data'!N:N)</f>
        <v>#N/A</v>
      </c>
      <c r="D73" t="s">
        <v>673</v>
      </c>
      <c r="F73" t="s">
        <v>2374</v>
      </c>
      <c r="G73" t="s">
        <v>3552</v>
      </c>
      <c r="H73" t="e" vm="6">
        <v>#VALUE!</v>
      </c>
      <c r="I7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AV-OTH-Dock Lane Bredon</v>
      </c>
      <c r="J73" t="e" vm="11">
        <v>#VALUE!</v>
      </c>
    </row>
    <row r="74" spans="1:10" x14ac:dyDescent="0.35">
      <c r="A74" t="s">
        <v>2428</v>
      </c>
      <c r="B74" s="3" t="e">
        <f>_xlfn.XLOOKUP(Locations[[#This Row],[Location Name]],'All Data'!L:L,'All Data'!M:M)</f>
        <v>#N/A</v>
      </c>
      <c r="C74" s="3" t="e">
        <f>_xlfn.XLOOKUP(Locations[[#This Row],[Location Name]],'All Data'!L:L,'All Data'!N:N)</f>
        <v>#N/A</v>
      </c>
      <c r="D74" t="s">
        <v>623</v>
      </c>
      <c r="F74" t="s">
        <v>478</v>
      </c>
      <c r="G74" t="s">
        <v>3552</v>
      </c>
      <c r="H74" t="e" vm="6">
        <v>#VALUE!</v>
      </c>
      <c r="I7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AV-OTH-Fladbury Paddle Club</v>
      </c>
      <c r="J74" t="e" vm="16">
        <v>#VALUE!</v>
      </c>
    </row>
    <row r="75" spans="1:10" x14ac:dyDescent="0.35">
      <c r="A75" t="s">
        <v>2430</v>
      </c>
      <c r="B75" s="3" t="e">
        <f>_xlfn.XLOOKUP(Locations[[#This Row],[Location Name]],'All Data'!L:L,'All Data'!M:M)</f>
        <v>#N/A</v>
      </c>
      <c r="C75" s="3" t="e">
        <f>_xlfn.XLOOKUP(Locations[[#This Row],[Location Name]],'All Data'!L:L,'All Data'!N:N)</f>
        <v>#N/A</v>
      </c>
      <c r="D75" t="s">
        <v>667</v>
      </c>
      <c r="F75" t="s">
        <v>938</v>
      </c>
      <c r="G75" t="s">
        <v>3552</v>
      </c>
      <c r="H75" t="e" vm="6">
        <v>#VALUE!</v>
      </c>
      <c r="I7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AV-OTH-Pershore Bridges</v>
      </c>
      <c r="J75" t="e" vm="7">
        <v>#VALUE!</v>
      </c>
    </row>
    <row r="76" spans="1:10" x14ac:dyDescent="0.35">
      <c r="A76" t="s">
        <v>2436</v>
      </c>
      <c r="B76" s="3" t="e">
        <f>_xlfn.XLOOKUP(Locations[[#This Row],[Location Name]],'All Data'!L:L,'All Data'!M:M)</f>
        <v>#N/A</v>
      </c>
      <c r="C76" s="3" t="e">
        <f>_xlfn.XLOOKUP(Locations[[#This Row],[Location Name]],'All Data'!L:L,'All Data'!N:N)</f>
        <v>#N/A</v>
      </c>
      <c r="D76" t="s">
        <v>673</v>
      </c>
      <c r="F76" t="s">
        <v>3576</v>
      </c>
      <c r="G76" t="s">
        <v>3552</v>
      </c>
      <c r="H76" t="e" vm="6">
        <v>#VALUE!</v>
      </c>
      <c r="I7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AV-OTH-Pershore Leisure Centre</v>
      </c>
      <c r="J76" t="e" vm="7">
        <v>#VALUE!</v>
      </c>
    </row>
    <row r="77" spans="1:10" x14ac:dyDescent="0.35">
      <c r="A77" t="s">
        <v>2283</v>
      </c>
      <c r="B77" s="3" t="e">
        <f>_xlfn.XLOOKUP(Locations[[#This Row],[Location Name]],'All Data'!L:L,'All Data'!M:M)</f>
        <v>#N/A</v>
      </c>
      <c r="C77" s="3" t="e">
        <f>_xlfn.XLOOKUP(Locations[[#This Row],[Location Name]],'All Data'!L:L,'All Data'!N:N)</f>
        <v>#N/A</v>
      </c>
      <c r="D77" t="s">
        <v>623</v>
      </c>
      <c r="F77" t="s">
        <v>3316</v>
      </c>
      <c r="G77" t="s">
        <v>3552</v>
      </c>
      <c r="H77" t="e" vm="6">
        <v>#VALUE!</v>
      </c>
      <c r="I7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AV-OTH-Quay Lane Great Comberton</v>
      </c>
      <c r="J77" t="e" vm="7">
        <v>#VALUE!</v>
      </c>
    </row>
    <row r="78" spans="1:10" x14ac:dyDescent="0.35">
      <c r="A78" t="s">
        <v>2286</v>
      </c>
      <c r="B78" s="3" t="e">
        <f>_xlfn.XLOOKUP(Locations[[#This Row],[Location Name]],'All Data'!L:L,'All Data'!M:M)</f>
        <v>#N/A</v>
      </c>
      <c r="C78" s="3" t="e">
        <f>_xlfn.XLOOKUP(Locations[[#This Row],[Location Name]],'All Data'!L:L,'All Data'!N:N)</f>
        <v>#N/A</v>
      </c>
      <c r="D78" t="s">
        <v>667</v>
      </c>
      <c r="F78" t="s">
        <v>2174</v>
      </c>
      <c r="G78" t="s">
        <v>3552</v>
      </c>
      <c r="H78" t="e" vm="6">
        <v>#VALUE!</v>
      </c>
      <c r="I7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AV-OTH-SSC Bredons Norton</v>
      </c>
      <c r="J78" t="s">
        <v>3579</v>
      </c>
    </row>
    <row r="79" spans="1:10" x14ac:dyDescent="0.35">
      <c r="A79" t="s">
        <v>2288</v>
      </c>
      <c r="B79" s="3" t="e">
        <f>_xlfn.XLOOKUP(Locations[[#This Row],[Location Name]],'All Data'!L:L,'All Data'!M:M)</f>
        <v>#N/A</v>
      </c>
      <c r="C79" s="3" t="e">
        <f>_xlfn.XLOOKUP(Locations[[#This Row],[Location Name]],'All Data'!L:L,'All Data'!N:N)</f>
        <v>#N/A</v>
      </c>
      <c r="D79" t="s">
        <v>673</v>
      </c>
      <c r="F79" t="s">
        <v>915</v>
      </c>
      <c r="G79" t="s">
        <v>3580</v>
      </c>
      <c r="H79" t="e" vm="6">
        <v>#VALUE!</v>
      </c>
      <c r="I7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OTH-OTH-Mill Bridge Peopleton</v>
      </c>
      <c r="J79" t="s">
        <v>3581</v>
      </c>
    </row>
    <row r="80" spans="1:10" x14ac:dyDescent="0.35">
      <c r="A80" s="152" t="s">
        <v>3233</v>
      </c>
      <c r="B80" s="3" t="e">
        <f>_xlfn.XLOOKUP(Locations[[#This Row],[Location Name]],'All Data'!L:L,'All Data'!M:M)</f>
        <v>#N/A</v>
      </c>
      <c r="C80" s="3" t="e">
        <f>_xlfn.XLOOKUP(Locations[[#This Row],[Location Name]],'All Data'!L:L,'All Data'!N:N)</f>
        <v>#N/A</v>
      </c>
      <c r="D80" t="s">
        <v>3316</v>
      </c>
      <c r="F80" t="s">
        <v>775</v>
      </c>
      <c r="G80" t="s">
        <v>3580</v>
      </c>
      <c r="H80" t="e" vm="6">
        <v>#VALUE!</v>
      </c>
      <c r="I8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OTH-OTH-Walcot Lane, Bow Brook Ford</v>
      </c>
      <c r="J80" t="e" vm="7">
        <v>#VALUE!</v>
      </c>
    </row>
    <row r="81" spans="1:10" x14ac:dyDescent="0.35">
      <c r="A81" t="s">
        <v>39</v>
      </c>
      <c r="B81" s="3" t="e">
        <f>_xlfn.XLOOKUP(Locations[[#This Row],[Location Name]],'All Data'!L:L,'All Data'!M:M)</f>
        <v>#N/A</v>
      </c>
      <c r="C81" s="3" t="e">
        <f>_xlfn.XLOOKUP(Locations[[#This Row],[Location Name]],'All Data'!L:L,'All Data'!N:N)</f>
        <v>#N/A</v>
      </c>
      <c r="D81" t="s">
        <v>39</v>
      </c>
      <c r="F81" t="s">
        <v>1680</v>
      </c>
      <c r="G81" t="s">
        <v>3582</v>
      </c>
      <c r="H81" t="e" vm="6">
        <v>#VALUE!</v>
      </c>
      <c r="I8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Long Lane Pinvin</v>
      </c>
      <c r="J81" t="s">
        <v>3583</v>
      </c>
    </row>
    <row r="82" spans="1:10" x14ac:dyDescent="0.35">
      <c r="A82" t="s">
        <v>36</v>
      </c>
      <c r="B82" s="3" t="e">
        <f>_xlfn.XLOOKUP(Locations[[#This Row],[Location Name]],'All Data'!L:L,'All Data'!M:M)</f>
        <v>#N/A</v>
      </c>
      <c r="C82" s="3" t="e">
        <f>_xlfn.XLOOKUP(Locations[[#This Row],[Location Name]],'All Data'!L:L,'All Data'!N:N)</f>
        <v>#N/A</v>
      </c>
      <c r="D82" t="s">
        <v>36</v>
      </c>
      <c r="F82" t="s">
        <v>1686</v>
      </c>
      <c r="G82" t="s">
        <v>3582</v>
      </c>
      <c r="H82" t="e" vm="6">
        <v>#VALUE!</v>
      </c>
      <c r="I8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North of Radford</v>
      </c>
      <c r="J82" t="s">
        <v>3584</v>
      </c>
    </row>
    <row r="83" spans="1:10" x14ac:dyDescent="0.35">
      <c r="A83" s="139" t="s">
        <v>3150</v>
      </c>
      <c r="B83" s="3" t="e">
        <f>_xlfn.XLOOKUP(Locations[[#This Row],[Location Name]],'All Data'!L:L,'All Data'!M:M)</f>
        <v>#N/A</v>
      </c>
      <c r="C83" s="3" t="e">
        <f>_xlfn.XLOOKUP(Locations[[#This Row],[Location Name]],'All Data'!L:L,'All Data'!N:N)</f>
        <v>#N/A</v>
      </c>
      <c r="D83" t="s">
        <v>3661</v>
      </c>
      <c r="F83" t="s">
        <v>1683</v>
      </c>
      <c r="G83" t="s">
        <v>3582</v>
      </c>
      <c r="H83" t="e" vm="6">
        <v>#VALUE!</v>
      </c>
      <c r="I8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Norton Beachamp Bridge</v>
      </c>
      <c r="J83" t="s">
        <v>3585</v>
      </c>
    </row>
    <row r="84" spans="1:10" x14ac:dyDescent="0.35">
      <c r="A84" s="139" t="s">
        <v>3183</v>
      </c>
      <c r="B84" s="3" t="e">
        <f>_xlfn.XLOOKUP(Locations[[#This Row],[Location Name]],'All Data'!L:L,'All Data'!M:M)</f>
        <v>#N/A</v>
      </c>
      <c r="C84" s="3" t="e">
        <f>_xlfn.XLOOKUP(Locations[[#This Row],[Location Name]],'All Data'!L:L,'All Data'!N:N)</f>
        <v>#N/A</v>
      </c>
      <c r="D84" t="s">
        <v>3661</v>
      </c>
      <c r="F84" t="s">
        <v>787</v>
      </c>
      <c r="G84" t="s">
        <v>3582</v>
      </c>
      <c r="H84" t="e" vm="6">
        <v>#VALUE!</v>
      </c>
      <c r="I8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OTH-OTH-Piddle Brook Wyre Piddle Bridge</v>
      </c>
      <c r="J84" t="e" vm="13">
        <v>#VALUE!</v>
      </c>
    </row>
    <row r="85" spans="1:10" x14ac:dyDescent="0.35">
      <c r="A85" t="s">
        <v>2561</v>
      </c>
      <c r="B85" s="3" t="e">
        <f>_xlfn.XLOOKUP(Locations[[#This Row],[Location Name]],'All Data'!L:L,'All Data'!M:M)</f>
        <v>#N/A</v>
      </c>
      <c r="C85" s="3" t="e">
        <f>_xlfn.XLOOKUP(Locations[[#This Row],[Location Name]],'All Data'!L:L,'All Data'!N:N)</f>
        <v>#N/A</v>
      </c>
      <c r="D85" t="s">
        <v>2660</v>
      </c>
      <c r="F85" t="s">
        <v>1907</v>
      </c>
      <c r="G85" t="s">
        <v>3587</v>
      </c>
      <c r="H85" t="e" vm="6">
        <v>#VALUE!</v>
      </c>
      <c r="I8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Atch Lench Road, Church Lench.</v>
      </c>
      <c r="J85" t="e" vm="29">
        <v>#VALUE!</v>
      </c>
    </row>
    <row r="86" spans="1:10" x14ac:dyDescent="0.35">
      <c r="A86" s="152" t="s">
        <v>3058</v>
      </c>
      <c r="B86" s="3" t="e">
        <f>_xlfn.XLOOKUP(Locations[[#This Row],[Location Name]],'All Data'!L:L,'All Data'!M:M)</f>
        <v>#N/A</v>
      </c>
      <c r="C86" s="3" t="e">
        <f>_xlfn.XLOOKUP(Locations[[#This Row],[Location Name]],'All Data'!L:L,'All Data'!N:N)</f>
        <v>#N/A</v>
      </c>
      <c r="D86" t="s">
        <v>2660</v>
      </c>
      <c r="F86" t="s">
        <v>1698</v>
      </c>
      <c r="G86" t="s">
        <v>3587</v>
      </c>
      <c r="H86" t="e" vm="6">
        <v>#VALUE!</v>
      </c>
      <c r="I8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north of Bishampton</v>
      </c>
      <c r="J86" t="e" vm="31">
        <v>#VALUE!</v>
      </c>
    </row>
    <row r="87" spans="1:10" x14ac:dyDescent="0.35">
      <c r="A87" t="s">
        <v>2660</v>
      </c>
      <c r="B87" s="3" t="e">
        <f>_xlfn.XLOOKUP(Locations[[#This Row],[Location Name]],'All Data'!L:L,'All Data'!M:M)</f>
        <v>#N/A</v>
      </c>
      <c r="C87" s="3" t="e">
        <f>_xlfn.XLOOKUP(Locations[[#This Row],[Location Name]],'All Data'!L:L,'All Data'!N:N)</f>
        <v>#N/A</v>
      </c>
      <c r="D87" t="s">
        <v>2660</v>
      </c>
      <c r="F87" t="s">
        <v>1689</v>
      </c>
      <c r="G87" t="s">
        <v>3587</v>
      </c>
      <c r="H87" t="e" vm="6">
        <v>#VALUE!</v>
      </c>
      <c r="I87"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Rous Church Lench</v>
      </c>
      <c r="J87" t="e" vm="29">
        <v>#VALUE!</v>
      </c>
    </row>
    <row r="88" spans="1:10" x14ac:dyDescent="0.35">
      <c r="A88" t="s">
        <v>2736</v>
      </c>
      <c r="B88" s="3" t="e">
        <f>_xlfn.XLOOKUP(Locations[[#This Row],[Location Name]],'All Data'!L:L,'All Data'!M:M)</f>
        <v>#N/A</v>
      </c>
      <c r="C88" s="3" t="e">
        <f>_xlfn.XLOOKUP(Locations[[#This Row],[Location Name]],'All Data'!L:L,'All Data'!N:N)</f>
        <v>#N/A</v>
      </c>
      <c r="D88" t="s">
        <v>2660</v>
      </c>
      <c r="F88" t="s">
        <v>1695</v>
      </c>
      <c r="G88" t="s">
        <v>3587</v>
      </c>
      <c r="H88" t="e" vm="6">
        <v>#VALUE!</v>
      </c>
      <c r="I88"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Rous Lench Bishampton</v>
      </c>
      <c r="J88" t="e" vm="32">
        <v>#VALUE!</v>
      </c>
    </row>
    <row r="89" spans="1:10" x14ac:dyDescent="0.35">
      <c r="A89" t="s">
        <v>2612</v>
      </c>
      <c r="B89" s="3" t="e">
        <f>_xlfn.XLOOKUP(Locations[[#This Row],[Location Name]],'All Data'!L:L,'All Data'!M:M)</f>
        <v>#N/A</v>
      </c>
      <c r="C89" s="3" t="e">
        <f>_xlfn.XLOOKUP(Locations[[#This Row],[Location Name]],'All Data'!L:L,'All Data'!N:N)</f>
        <v>#N/A</v>
      </c>
      <c r="D89" t="s">
        <v>2660</v>
      </c>
      <c r="F89" t="s">
        <v>1904</v>
      </c>
      <c r="G89" t="s">
        <v>3587</v>
      </c>
      <c r="H89" t="e" vm="6">
        <v>#VALUE!</v>
      </c>
      <c r="I89"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OTH-OTH-Whitsun Brook. Low road, Church Lench</v>
      </c>
      <c r="J89" t="e" vm="29">
        <v>#VALUE!</v>
      </c>
    </row>
    <row r="90" spans="1:10" x14ac:dyDescent="0.35">
      <c r="A90" t="s">
        <v>210</v>
      </c>
      <c r="B90" s="3" t="e">
        <f>_xlfn.XLOOKUP(Locations[[#This Row],[Location Name]],'All Data'!L:L,'All Data'!M:M)</f>
        <v>#N/A</v>
      </c>
      <c r="C90" s="3" t="e">
        <f>_xlfn.XLOOKUP(Locations[[#This Row],[Location Name]],'All Data'!L:L,'All Data'!N:N)</f>
        <v>#N/A</v>
      </c>
      <c r="D90" t="s">
        <v>667</v>
      </c>
      <c r="I90"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1" spans="1:10" x14ac:dyDescent="0.35">
      <c r="A91" s="139" t="s">
        <v>3445</v>
      </c>
      <c r="B91" s="3" t="e">
        <f>_xlfn.XLOOKUP(Locations[[#This Row],[Location Name]],'All Data'!L:L,'All Data'!M:M)</f>
        <v>#N/A</v>
      </c>
      <c r="C91" s="3" t="e">
        <f>_xlfn.XLOOKUP(Locations[[#This Row],[Location Name]],'All Data'!L:L,'All Data'!N:N)</f>
        <v>#N/A</v>
      </c>
      <c r="D91" t="s">
        <v>3661</v>
      </c>
      <c r="I91"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2" spans="1:10" x14ac:dyDescent="0.35">
      <c r="A92" s="139" t="s">
        <v>3512</v>
      </c>
      <c r="B92" s="3" t="e">
        <f>_xlfn.XLOOKUP(Locations[[#This Row],[Location Name]],'All Data'!L:L,'All Data'!M:M)</f>
        <v>#N/A</v>
      </c>
      <c r="C92" s="3" t="e">
        <f>_xlfn.XLOOKUP(Locations[[#This Row],[Location Name]],'All Data'!L:L,'All Data'!N:N)</f>
        <v>#N/A</v>
      </c>
      <c r="D92" t="s">
        <v>3661</v>
      </c>
      <c r="I92"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3" spans="1:10" x14ac:dyDescent="0.35">
      <c r="A93" s="139" t="s">
        <v>3441</v>
      </c>
      <c r="B93" s="3" t="e">
        <f>_xlfn.XLOOKUP(Locations[[#This Row],[Location Name]],'All Data'!L:L,'All Data'!M:M)</f>
        <v>#N/A</v>
      </c>
      <c r="C93" s="3" t="e">
        <f>_xlfn.XLOOKUP(Locations[[#This Row],[Location Name]],'All Data'!L:L,'All Data'!N:N)</f>
        <v>#N/A</v>
      </c>
      <c r="D93" t="s">
        <v>667</v>
      </c>
      <c r="I93"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4" spans="1:10" x14ac:dyDescent="0.35">
      <c r="A94" s="152" t="s">
        <v>3443</v>
      </c>
      <c r="B94" s="3" t="e">
        <f>_xlfn.XLOOKUP(Locations[[#This Row],[Location Name]],'All Data'!L:L,'All Data'!M:M)</f>
        <v>#N/A</v>
      </c>
      <c r="C94" s="3" t="e">
        <f>_xlfn.XLOOKUP(Locations[[#This Row],[Location Name]],'All Data'!L:L,'All Data'!N:N)</f>
        <v>#N/A</v>
      </c>
      <c r="D94" t="s">
        <v>673</v>
      </c>
      <c r="I94"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5" spans="1:10" x14ac:dyDescent="0.35">
      <c r="A95" s="152" t="s">
        <v>3188</v>
      </c>
      <c r="B95" s="3" t="e">
        <f>_xlfn.XLOOKUP(Locations[[#This Row],[Location Name]],'All Data'!L:L,'All Data'!M:M)</f>
        <v>#N/A</v>
      </c>
      <c r="C95" s="3" t="e">
        <f>_xlfn.XLOOKUP(Locations[[#This Row],[Location Name]],'All Data'!L:L,'All Data'!N:N)</f>
        <v>#N/A</v>
      </c>
      <c r="D95" t="s">
        <v>3665</v>
      </c>
      <c r="I95"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6" spans="1:10" x14ac:dyDescent="0.35">
      <c r="A96" s="139" t="s">
        <v>3434</v>
      </c>
      <c r="B96" s="3" t="e">
        <f>_xlfn.XLOOKUP(Locations[[#This Row],[Location Name]],'All Data'!L:L,'All Data'!M:M)</f>
        <v>#N/A</v>
      </c>
      <c r="C96" s="3" t="e">
        <f>_xlfn.XLOOKUP(Locations[[#This Row],[Location Name]],'All Data'!L:L,'All Data'!N:N)</f>
        <v>#N/A</v>
      </c>
      <c r="D96" t="s">
        <v>3434</v>
      </c>
      <c r="I96" t="str">
        <f>IF(LocationsKey[[#This Row],[Waterway]]="Avon","AV",IF(LocationsKey[[#This Row],[Waterway]]="Stour","ST",IF(LocationsKey[[#This Row],[Waterway]]="Carrant","CA",IF(LocationsKey[[#This Row],[Waterway]]="Swilgate","SW","OTH"))))&amp;"-"&amp;IF(LocationsKey[[#This Row],[District]]="Tewkesbury","TWK",IF(LocationsKey[[#This Row],[District]]="Stratford","SUA",IF(LocationsKey[[#This Row],[District]]="Shipston","SHP",IF(LocationsKey[[#This Row],[District]]="Pershore","PER",IF(LocationsKey[[#This Row],[District]]="Henley-in-Arden","HEN","OTH")))))&amp;"-"&amp;LocationsKey[[#This Row],[Site Name]]</f>
        <v>OTH-OTH-</v>
      </c>
    </row>
    <row r="97" spans="1:4" x14ac:dyDescent="0.35">
      <c r="A97" s="152" t="s">
        <v>3479</v>
      </c>
      <c r="B97" s="3" t="e">
        <f>_xlfn.XLOOKUP(Locations[[#This Row],[Location Name]],'All Data'!L:L,'All Data'!M:M)</f>
        <v>#N/A</v>
      </c>
      <c r="C97" s="3" t="e">
        <f>_xlfn.XLOOKUP(Locations[[#This Row],[Location Name]],'All Data'!L:L,'All Data'!N:N)</f>
        <v>#N/A</v>
      </c>
      <c r="D97" t="s">
        <v>3479</v>
      </c>
    </row>
    <row r="98" spans="1:4" x14ac:dyDescent="0.35">
      <c r="A98" s="139" t="s">
        <v>3044</v>
      </c>
      <c r="B98" s="3" t="e">
        <f>_xlfn.XLOOKUP(Locations[[#This Row],[Location Name]],'All Data'!L:L,'All Data'!M:M)</f>
        <v>#N/A</v>
      </c>
      <c r="C98" s="3" t="e">
        <f>_xlfn.XLOOKUP(Locations[[#This Row],[Location Name]],'All Data'!L:L,'All Data'!N:N)</f>
        <v>#N/A</v>
      </c>
      <c r="D98" t="s">
        <v>530</v>
      </c>
    </row>
    <row r="99" spans="1:4" x14ac:dyDescent="0.35">
      <c r="A99" t="s">
        <v>561</v>
      </c>
      <c r="B99" s="3" t="e">
        <f>_xlfn.XLOOKUP(Locations[[#This Row],[Location Name]],'All Data'!L:L,'All Data'!M:M)</f>
        <v>#N/A</v>
      </c>
      <c r="C99" s="3" t="e">
        <f>_xlfn.XLOOKUP(Locations[[#This Row],[Location Name]],'All Data'!L:L,'All Data'!N:N)</f>
        <v>#N/A</v>
      </c>
      <c r="D99" t="s">
        <v>530</v>
      </c>
    </row>
    <row r="100" spans="1:4" x14ac:dyDescent="0.35">
      <c r="A100" t="s">
        <v>595</v>
      </c>
      <c r="B100" s="3" t="e">
        <f>_xlfn.XLOOKUP(Locations[[#This Row],[Location Name]],'All Data'!L:L,'All Data'!M:M)</f>
        <v>#N/A</v>
      </c>
      <c r="C100" s="3" t="e">
        <f>_xlfn.XLOOKUP(Locations[[#This Row],[Location Name]],'All Data'!L:L,'All Data'!N:N)</f>
        <v>#N/A</v>
      </c>
      <c r="D100" t="s">
        <v>595</v>
      </c>
    </row>
    <row r="101" spans="1:4" x14ac:dyDescent="0.35">
      <c r="A101" t="s">
        <v>212</v>
      </c>
      <c r="B101" s="3" t="e">
        <f>_xlfn.XLOOKUP(Locations[[#This Row],[Location Name]],'All Data'!L:L,'All Data'!M:M)</f>
        <v>#N/A</v>
      </c>
      <c r="C101" s="3" t="e">
        <f>_xlfn.XLOOKUP(Locations[[#This Row],[Location Name]],'All Data'!L:L,'All Data'!N:N)</f>
        <v>#N/A</v>
      </c>
      <c r="D101" t="s">
        <v>212</v>
      </c>
    </row>
    <row r="102" spans="1:4" x14ac:dyDescent="0.35">
      <c r="A102" s="139" t="s">
        <v>2953</v>
      </c>
      <c r="B102" s="3" t="e">
        <f>_xlfn.XLOOKUP(Locations[[#This Row],[Location Name]],'All Data'!L:L,'All Data'!M:M)</f>
        <v>#N/A</v>
      </c>
      <c r="C102" s="3" t="e">
        <f>_xlfn.XLOOKUP(Locations[[#This Row],[Location Name]],'All Data'!L:L,'All Data'!N:N)</f>
        <v>#N/A</v>
      </c>
      <c r="D102" t="s">
        <v>67</v>
      </c>
    </row>
    <row r="103" spans="1:4" x14ac:dyDescent="0.35">
      <c r="A103" t="s">
        <v>2494</v>
      </c>
      <c r="B103" s="3" t="e">
        <f>_xlfn.XLOOKUP(Locations[[#This Row],[Location Name]],'All Data'!L:L,'All Data'!M:M)</f>
        <v>#N/A</v>
      </c>
      <c r="C103" s="3" t="e">
        <f>_xlfn.XLOOKUP(Locations[[#This Row],[Location Name]],'All Data'!L:L,'All Data'!N:N)</f>
        <v>#N/A</v>
      </c>
      <c r="D103" t="s">
        <v>67</v>
      </c>
    </row>
    <row r="104" spans="1:4" x14ac:dyDescent="0.35">
      <c r="A104" t="s">
        <v>2530</v>
      </c>
      <c r="B104" s="3" t="e">
        <f>_xlfn.XLOOKUP(Locations[[#This Row],[Location Name]],'All Data'!L:L,'All Data'!M:M)</f>
        <v>#N/A</v>
      </c>
      <c r="C104" s="3" t="e">
        <f>_xlfn.XLOOKUP(Locations[[#This Row],[Location Name]],'All Data'!L:L,'All Data'!N:N)</f>
        <v>#N/A</v>
      </c>
      <c r="D104" t="s">
        <v>67</v>
      </c>
    </row>
    <row r="105" spans="1:4" x14ac:dyDescent="0.35">
      <c r="A105" t="s">
        <v>2681</v>
      </c>
      <c r="B105" s="3" t="e">
        <f>_xlfn.XLOOKUP(Locations[[#This Row],[Location Name]],'All Data'!L:L,'All Data'!M:M)</f>
        <v>#N/A</v>
      </c>
      <c r="C105" s="3" t="e">
        <f>_xlfn.XLOOKUP(Locations[[#This Row],[Location Name]],'All Data'!L:L,'All Data'!N:N)</f>
        <v>#N/A</v>
      </c>
      <c r="D105" t="s">
        <v>71</v>
      </c>
    </row>
    <row r="106" spans="1:4" x14ac:dyDescent="0.35">
      <c r="A106" t="s">
        <v>670</v>
      </c>
      <c r="B106" s="3" t="e">
        <f>_xlfn.XLOOKUP(Locations[[#This Row],[Location Name]],'All Data'!L:L,'All Data'!M:M)</f>
        <v>#N/A</v>
      </c>
      <c r="C106" s="3" t="e">
        <f>_xlfn.XLOOKUP(Locations[[#This Row],[Location Name]],'All Data'!L:L,'All Data'!N:N)</f>
        <v>#N/A</v>
      </c>
      <c r="D106" t="s">
        <v>667</v>
      </c>
    </row>
    <row r="107" spans="1:4" x14ac:dyDescent="0.35">
      <c r="A107" s="139" t="s">
        <v>2843</v>
      </c>
      <c r="B107" s="3" t="e">
        <f>_xlfn.XLOOKUP(Locations[[#This Row],[Location Name]],'All Data'!L:L,'All Data'!M:M)</f>
        <v>#N/A</v>
      </c>
      <c r="C107" s="3" t="e">
        <f>_xlfn.XLOOKUP(Locations[[#This Row],[Location Name]],'All Data'!L:L,'All Data'!N:N)</f>
        <v>#N/A</v>
      </c>
      <c r="D107" t="s">
        <v>667</v>
      </c>
    </row>
    <row r="108" spans="1:4" x14ac:dyDescent="0.35">
      <c r="A108" t="s">
        <v>915</v>
      </c>
      <c r="B108" s="3" t="e">
        <f>_xlfn.XLOOKUP(Locations[[#This Row],[Location Name]],'All Data'!L:L,'All Data'!M:M)</f>
        <v>#N/A</v>
      </c>
      <c r="C108" s="3" t="e">
        <f>_xlfn.XLOOKUP(Locations[[#This Row],[Location Name]],'All Data'!L:L,'All Data'!N:N)</f>
        <v>#N/A</v>
      </c>
      <c r="D108" t="s">
        <v>915</v>
      </c>
    </row>
    <row r="109" spans="1:4" x14ac:dyDescent="0.35">
      <c r="A109" t="s">
        <v>1015</v>
      </c>
      <c r="B109" s="3" t="e">
        <f>_xlfn.XLOOKUP(Locations[[#This Row],[Location Name]],'All Data'!L:L,'All Data'!M:M)</f>
        <v>#N/A</v>
      </c>
      <c r="C109" s="3" t="e">
        <f>_xlfn.XLOOKUP(Locations[[#This Row],[Location Name]],'All Data'!L:L,'All Data'!N:N)</f>
        <v>#N/A</v>
      </c>
      <c r="D109" t="s">
        <v>915</v>
      </c>
    </row>
    <row r="110" spans="1:4" x14ac:dyDescent="0.35">
      <c r="A110" t="s">
        <v>736</v>
      </c>
      <c r="B110" s="3" t="e">
        <f>_xlfn.XLOOKUP(Locations[[#This Row],[Location Name]],'All Data'!L:L,'All Data'!M:M)</f>
        <v>#N/A</v>
      </c>
      <c r="C110" s="3" t="e">
        <f>_xlfn.XLOOKUP(Locations[[#This Row],[Location Name]],'All Data'!L:L,'All Data'!N:N)</f>
        <v>#N/A</v>
      </c>
      <c r="D110" t="s">
        <v>915</v>
      </c>
    </row>
    <row r="111" spans="1:4" x14ac:dyDescent="0.35">
      <c r="A111" t="s">
        <v>205</v>
      </c>
      <c r="B111" s="3" t="e">
        <f>_xlfn.XLOOKUP(Locations[[#This Row],[Location Name]],'All Data'!L:L,'All Data'!M:M)</f>
        <v>#N/A</v>
      </c>
      <c r="C111" s="3" t="e">
        <f>_xlfn.XLOOKUP(Locations[[#This Row],[Location Name]],'All Data'!L:L,'All Data'!N:N)</f>
        <v>#N/A</v>
      </c>
      <c r="D111" t="s">
        <v>3568</v>
      </c>
    </row>
    <row r="112" spans="1:4" x14ac:dyDescent="0.35">
      <c r="A112" s="139" t="s">
        <v>3060</v>
      </c>
      <c r="B112" s="3" t="e">
        <f>_xlfn.XLOOKUP(Locations[[#This Row],[Location Name]],'All Data'!L:L,'All Data'!M:M)</f>
        <v>#N/A</v>
      </c>
      <c r="C112" s="3" t="e">
        <f>_xlfn.XLOOKUP(Locations[[#This Row],[Location Name]],'All Data'!L:L,'All Data'!N:N)</f>
        <v>#N/A</v>
      </c>
      <c r="D112" t="s">
        <v>2564</v>
      </c>
    </row>
    <row r="113" spans="1:4" x14ac:dyDescent="0.35">
      <c r="A113" s="152" t="s">
        <v>2916</v>
      </c>
      <c r="B113" s="3" t="e">
        <f>_xlfn.XLOOKUP(Locations[[#This Row],[Location Name]],'All Data'!L:L,'All Data'!M:M)</f>
        <v>#N/A</v>
      </c>
      <c r="C113" s="3" t="e">
        <f>_xlfn.XLOOKUP(Locations[[#This Row],[Location Name]],'All Data'!L:L,'All Data'!N:N)</f>
        <v>#N/A</v>
      </c>
      <c r="D113" t="s">
        <v>2564</v>
      </c>
    </row>
    <row r="114" spans="1:4" x14ac:dyDescent="0.35">
      <c r="A114" t="s">
        <v>2772</v>
      </c>
      <c r="B114" s="3" t="e">
        <f>_xlfn.XLOOKUP(Locations[[#This Row],[Location Name]],'All Data'!L:L,'All Data'!M:M)</f>
        <v>#N/A</v>
      </c>
      <c r="C114" s="3" t="e">
        <f>_xlfn.XLOOKUP(Locations[[#This Row],[Location Name]],'All Data'!L:L,'All Data'!N:N)</f>
        <v>#N/A</v>
      </c>
      <c r="D114" t="s">
        <v>2564</v>
      </c>
    </row>
    <row r="115" spans="1:4" x14ac:dyDescent="0.35">
      <c r="A115" s="152" t="s">
        <v>3398</v>
      </c>
      <c r="B115" s="3" t="e">
        <f>_xlfn.XLOOKUP(Locations[[#This Row],[Location Name]],'All Data'!L:L,'All Data'!M:M)</f>
        <v>#N/A</v>
      </c>
      <c r="C115" s="3" t="e">
        <f>_xlfn.XLOOKUP(Locations[[#This Row],[Location Name]],'All Data'!L:L,'All Data'!N:N)</f>
        <v>#N/A</v>
      </c>
      <c r="D115" t="s">
        <v>2564</v>
      </c>
    </row>
    <row r="116" spans="1:4" x14ac:dyDescent="0.35">
      <c r="A116" t="s">
        <v>2564</v>
      </c>
      <c r="B116" s="3" t="e">
        <f>_xlfn.XLOOKUP(Locations[[#This Row],[Location Name]],'All Data'!L:L,'All Data'!M:M)</f>
        <v>#N/A</v>
      </c>
      <c r="C116" s="3" t="e">
        <f>_xlfn.XLOOKUP(Locations[[#This Row],[Location Name]],'All Data'!L:L,'All Data'!N:N)</f>
        <v>#N/A</v>
      </c>
      <c r="D116" t="s">
        <v>2564</v>
      </c>
    </row>
    <row r="117" spans="1:4" x14ac:dyDescent="0.35">
      <c r="A117" t="s">
        <v>2615</v>
      </c>
      <c r="B117" s="3" t="e">
        <f>_xlfn.XLOOKUP(Locations[[#This Row],[Location Name]],'All Data'!L:L,'All Data'!M:M)</f>
        <v>#N/A</v>
      </c>
      <c r="C117" s="3" t="e">
        <f>_xlfn.XLOOKUP(Locations[[#This Row],[Location Name]],'All Data'!L:L,'All Data'!N:N)</f>
        <v>#N/A</v>
      </c>
      <c r="D117" t="s">
        <v>2564</v>
      </c>
    </row>
    <row r="118" spans="1:4" x14ac:dyDescent="0.35">
      <c r="A118" t="s">
        <v>2738</v>
      </c>
      <c r="B118" s="3" t="e">
        <f>_xlfn.XLOOKUP(Locations[[#This Row],[Location Name]],'All Data'!L:L,'All Data'!M:M)</f>
        <v>#N/A</v>
      </c>
      <c r="C118" s="3" t="e">
        <f>_xlfn.XLOOKUP(Locations[[#This Row],[Location Name]],'All Data'!L:L,'All Data'!N:N)</f>
        <v>#N/A</v>
      </c>
      <c r="D118" t="s">
        <v>2564</v>
      </c>
    </row>
    <row r="119" spans="1:4" x14ac:dyDescent="0.35">
      <c r="A119" t="s">
        <v>2704</v>
      </c>
      <c r="B119" s="3" t="e">
        <f>_xlfn.XLOOKUP(Locations[[#This Row],[Location Name]],'All Data'!L:L,'All Data'!M:M)</f>
        <v>#N/A</v>
      </c>
      <c r="C119" s="3" t="e">
        <f>_xlfn.XLOOKUP(Locations[[#This Row],[Location Name]],'All Data'!L:L,'All Data'!N:N)</f>
        <v>#N/A</v>
      </c>
      <c r="D119" t="s">
        <v>2564</v>
      </c>
    </row>
    <row r="120" spans="1:4" x14ac:dyDescent="0.35">
      <c r="A120" t="s">
        <v>141</v>
      </c>
      <c r="B120" s="3" t="e">
        <f>_xlfn.XLOOKUP(Locations[[#This Row],[Location Name]],'All Data'!L:L,'All Data'!M:M)</f>
        <v>#N/A</v>
      </c>
      <c r="C120" s="3" t="e">
        <f>_xlfn.XLOOKUP(Locations[[#This Row],[Location Name]],'All Data'!L:L,'All Data'!N:N)</f>
        <v>#N/A</v>
      </c>
      <c r="D120" t="s">
        <v>3568</v>
      </c>
    </row>
    <row r="121" spans="1:4" x14ac:dyDescent="0.35">
      <c r="A121" t="s">
        <v>938</v>
      </c>
      <c r="B121" s="3" t="e">
        <f>_xlfn.XLOOKUP(Locations[[#This Row],[Location Name]],'All Data'!L:L,'All Data'!M:M)</f>
        <v>#N/A</v>
      </c>
      <c r="C121" s="3" t="e">
        <f>_xlfn.XLOOKUP(Locations[[#This Row],[Location Name]],'All Data'!L:L,'All Data'!N:N)</f>
        <v>#N/A</v>
      </c>
      <c r="D121" t="s">
        <v>938</v>
      </c>
    </row>
    <row r="122" spans="1:4" x14ac:dyDescent="0.35">
      <c r="A122" t="s">
        <v>586</v>
      </c>
      <c r="B122" s="3" t="e">
        <f>_xlfn.XLOOKUP(Locations[[#This Row],[Location Name]],'All Data'!L:L,'All Data'!M:M)</f>
        <v>#N/A</v>
      </c>
      <c r="C122" s="3" t="e">
        <f>_xlfn.XLOOKUP(Locations[[#This Row],[Location Name]],'All Data'!L:L,'All Data'!N:N)</f>
        <v>#N/A</v>
      </c>
      <c r="D122" t="s">
        <v>3576</v>
      </c>
    </row>
    <row r="123" spans="1:4" x14ac:dyDescent="0.35">
      <c r="A123" t="s">
        <v>2236</v>
      </c>
      <c r="B123" s="3" t="e">
        <f>_xlfn.XLOOKUP(Locations[[#This Row],[Location Name]],'All Data'!L:L,'All Data'!M:M)</f>
        <v>#N/A</v>
      </c>
      <c r="C123" s="3" t="e">
        <f>_xlfn.XLOOKUP(Locations[[#This Row],[Location Name]],'All Data'!L:L,'All Data'!N:N)</f>
        <v>#N/A</v>
      </c>
      <c r="D123" t="s">
        <v>787</v>
      </c>
    </row>
    <row r="124" spans="1:4" x14ac:dyDescent="0.35">
      <c r="A124" t="s">
        <v>1680</v>
      </c>
      <c r="B124" s="3" t="e">
        <f>_xlfn.XLOOKUP(Locations[[#This Row],[Location Name]],'All Data'!L:L,'All Data'!M:M)</f>
        <v>#N/A</v>
      </c>
      <c r="C124" s="3" t="e">
        <f>_xlfn.XLOOKUP(Locations[[#This Row],[Location Name]],'All Data'!L:L,'All Data'!N:N)</f>
        <v>#N/A</v>
      </c>
      <c r="D124" t="s">
        <v>1680</v>
      </c>
    </row>
    <row r="125" spans="1:4" x14ac:dyDescent="0.35">
      <c r="A125" t="s">
        <v>1686</v>
      </c>
      <c r="B125" s="3" t="e">
        <f>_xlfn.XLOOKUP(Locations[[#This Row],[Location Name]],'All Data'!L:L,'All Data'!M:M)</f>
        <v>#N/A</v>
      </c>
      <c r="C125" s="3" t="e">
        <f>_xlfn.XLOOKUP(Locations[[#This Row],[Location Name]],'All Data'!L:L,'All Data'!N:N)</f>
        <v>#N/A</v>
      </c>
      <c r="D125" t="s">
        <v>1686</v>
      </c>
    </row>
    <row r="126" spans="1:4" x14ac:dyDescent="0.35">
      <c r="A126" t="s">
        <v>1683</v>
      </c>
      <c r="B126" s="3" t="e">
        <f>_xlfn.XLOOKUP(Locations[[#This Row],[Location Name]],'All Data'!L:L,'All Data'!M:M)</f>
        <v>#N/A</v>
      </c>
      <c r="C126" s="3" t="e">
        <f>_xlfn.XLOOKUP(Locations[[#This Row],[Location Name]],'All Data'!L:L,'All Data'!N:N)</f>
        <v>#N/A</v>
      </c>
      <c r="D126" t="s">
        <v>1683</v>
      </c>
    </row>
    <row r="127" spans="1:4" x14ac:dyDescent="0.35">
      <c r="A127" t="s">
        <v>787</v>
      </c>
      <c r="B127" s="3" t="e">
        <f>_xlfn.XLOOKUP(Locations[[#This Row],[Location Name]],'All Data'!L:L,'All Data'!M:M)</f>
        <v>#N/A</v>
      </c>
      <c r="C127" s="3" t="e">
        <f>_xlfn.XLOOKUP(Locations[[#This Row],[Location Name]],'All Data'!L:L,'All Data'!N:N)</f>
        <v>#N/A</v>
      </c>
      <c r="D127" t="s">
        <v>787</v>
      </c>
    </row>
    <row r="128" spans="1:4" x14ac:dyDescent="0.35">
      <c r="A128" s="139" t="s">
        <v>3229</v>
      </c>
      <c r="B128" s="3" t="e">
        <f>_xlfn.XLOOKUP(Locations[[#This Row],[Location Name]],'All Data'!L:L,'All Data'!M:M)</f>
        <v>#N/A</v>
      </c>
      <c r="C128" s="3" t="e">
        <f>_xlfn.XLOOKUP(Locations[[#This Row],[Location Name]],'All Data'!L:L,'All Data'!N:N)</f>
        <v>#N/A</v>
      </c>
      <c r="D128" t="s">
        <v>787</v>
      </c>
    </row>
    <row r="129" spans="1:4" x14ac:dyDescent="0.35">
      <c r="A129" s="154" t="s">
        <v>2439</v>
      </c>
      <c r="B129" s="3" t="e">
        <f>_xlfn.XLOOKUP(Locations[[#This Row],[Location Name]],'All Data'!L:L,'All Data'!M:M)</f>
        <v>#N/A</v>
      </c>
      <c r="C129" s="3" t="e">
        <f>_xlfn.XLOOKUP(Locations[[#This Row],[Location Name]],'All Data'!L:L,'All Data'!N:N)</f>
        <v>#N/A</v>
      </c>
      <c r="D129" t="s">
        <v>787</v>
      </c>
    </row>
    <row r="130" spans="1:4" x14ac:dyDescent="0.35">
      <c r="A130" t="s">
        <v>2386</v>
      </c>
      <c r="B130" s="3" t="e">
        <f>_xlfn.XLOOKUP(Locations[[#This Row],[Location Name]],'All Data'!L:L,'All Data'!M:M)</f>
        <v>#N/A</v>
      </c>
      <c r="C130" s="3" t="e">
        <f>_xlfn.XLOOKUP(Locations[[#This Row],[Location Name]],'All Data'!L:L,'All Data'!N:N)</f>
        <v>#N/A</v>
      </c>
      <c r="D130" t="s">
        <v>787</v>
      </c>
    </row>
    <row r="131" spans="1:4" x14ac:dyDescent="0.35">
      <c r="A131" s="139" t="s">
        <v>3028</v>
      </c>
      <c r="B131" s="3" t="e">
        <f>_xlfn.XLOOKUP(Locations[[#This Row],[Location Name]],'All Data'!L:L,'All Data'!M:M)</f>
        <v>#N/A</v>
      </c>
      <c r="C131" s="3" t="e">
        <f>_xlfn.XLOOKUP(Locations[[#This Row],[Location Name]],'All Data'!L:L,'All Data'!N:N)</f>
        <v>#N/A</v>
      </c>
      <c r="D131" t="s">
        <v>787</v>
      </c>
    </row>
    <row r="132" spans="1:4" x14ac:dyDescent="0.35">
      <c r="A132" t="s">
        <v>2496</v>
      </c>
      <c r="B132" s="3" t="e">
        <f>_xlfn.XLOOKUP(Locations[[#This Row],[Location Name]],'All Data'!L:L,'All Data'!M:M)</f>
        <v>#N/A</v>
      </c>
      <c r="C132" s="3" t="e">
        <f>_xlfn.XLOOKUP(Locations[[#This Row],[Location Name]],'All Data'!L:L,'All Data'!N:N)</f>
        <v>#N/A</v>
      </c>
      <c r="D132" t="s">
        <v>787</v>
      </c>
    </row>
    <row r="133" spans="1:4" x14ac:dyDescent="0.35">
      <c r="A133" t="s">
        <v>2338</v>
      </c>
      <c r="B133" s="3" t="e">
        <f>_xlfn.XLOOKUP(Locations[[#This Row],[Location Name]],'All Data'!L:L,'All Data'!M:M)</f>
        <v>#N/A</v>
      </c>
      <c r="C133" s="3" t="e">
        <f>_xlfn.XLOOKUP(Locations[[#This Row],[Location Name]],'All Data'!L:L,'All Data'!N:N)</f>
        <v>#N/A</v>
      </c>
      <c r="D133" t="s">
        <v>787</v>
      </c>
    </row>
    <row r="134" spans="1:4" x14ac:dyDescent="0.35">
      <c r="A134" t="s">
        <v>2452</v>
      </c>
      <c r="B134" s="3" t="e">
        <f>_xlfn.XLOOKUP(Locations[[#This Row],[Location Name]],'All Data'!L:L,'All Data'!M:M)</f>
        <v>#N/A</v>
      </c>
      <c r="C134" s="3" t="e">
        <f>_xlfn.XLOOKUP(Locations[[#This Row],[Location Name]],'All Data'!L:L,'All Data'!N:N)</f>
        <v>#N/A</v>
      </c>
      <c r="D134" t="s">
        <v>2452</v>
      </c>
    </row>
    <row r="135" spans="1:4" x14ac:dyDescent="0.35">
      <c r="A135" t="s">
        <v>71</v>
      </c>
      <c r="B135" s="3" t="e">
        <f>_xlfn.XLOOKUP(Locations[[#This Row],[Location Name]],'All Data'!L:L,'All Data'!M:M)</f>
        <v>#N/A</v>
      </c>
      <c r="C135" s="3" t="e">
        <f>_xlfn.XLOOKUP(Locations[[#This Row],[Location Name]],'All Data'!L:L,'All Data'!N:N)</f>
        <v>#N/A</v>
      </c>
      <c r="D135" t="s">
        <v>71</v>
      </c>
    </row>
    <row r="136" spans="1:4" x14ac:dyDescent="0.35">
      <c r="A136" t="s">
        <v>3577</v>
      </c>
      <c r="B136" s="3" t="e">
        <f>_xlfn.XLOOKUP(Locations[[#This Row],[Location Name]],'All Data'!L:L,'All Data'!M:M)</f>
        <v>#N/A</v>
      </c>
      <c r="C136" s="3" t="e">
        <f>_xlfn.XLOOKUP(Locations[[#This Row],[Location Name]],'All Data'!L:L,'All Data'!N:N)</f>
        <v>#N/A</v>
      </c>
      <c r="D136" t="s">
        <v>71</v>
      </c>
    </row>
    <row r="137" spans="1:4" x14ac:dyDescent="0.35">
      <c r="A137" t="s">
        <v>3578</v>
      </c>
      <c r="B137" s="3" t="e">
        <f>_xlfn.XLOOKUP(Locations[[#This Row],[Location Name]],'All Data'!L:L,'All Data'!M:M)</f>
        <v>#N/A</v>
      </c>
      <c r="C137" s="3" t="e">
        <f>_xlfn.XLOOKUP(Locations[[#This Row],[Location Name]],'All Data'!L:L,'All Data'!N:N)</f>
        <v>#N/A</v>
      </c>
      <c r="D137" t="s">
        <v>71</v>
      </c>
    </row>
    <row r="138" spans="1:4" x14ac:dyDescent="0.35">
      <c r="A138" t="s">
        <v>621</v>
      </c>
      <c r="B138" s="3" t="e">
        <f>_xlfn.XLOOKUP(Locations[[#This Row],[Location Name]],'All Data'!L:L,'All Data'!M:M)</f>
        <v>#N/A</v>
      </c>
      <c r="C138" s="3" t="e">
        <f>_xlfn.XLOOKUP(Locations[[#This Row],[Location Name]],'All Data'!L:L,'All Data'!N:N)</f>
        <v>#N/A</v>
      </c>
      <c r="D138" t="s">
        <v>621</v>
      </c>
    </row>
    <row r="139" spans="1:4" x14ac:dyDescent="0.35">
      <c r="A139" t="s">
        <v>618</v>
      </c>
      <c r="B139" s="3" t="e">
        <f>_xlfn.XLOOKUP(Locations[[#This Row],[Location Name]],'All Data'!L:L,'All Data'!M:M)</f>
        <v>#N/A</v>
      </c>
      <c r="C139" s="3" t="e">
        <f>_xlfn.XLOOKUP(Locations[[#This Row],[Location Name]],'All Data'!L:L,'All Data'!N:N)</f>
        <v>#N/A</v>
      </c>
      <c r="D139" t="s">
        <v>618</v>
      </c>
    </row>
    <row r="140" spans="1:4" x14ac:dyDescent="0.35">
      <c r="A140" t="s">
        <v>146</v>
      </c>
      <c r="B140" s="3" t="e">
        <f>_xlfn.XLOOKUP(Locations[[#This Row],[Location Name]],'All Data'!L:L,'All Data'!M:M)</f>
        <v>#N/A</v>
      </c>
      <c r="C140" s="3" t="e">
        <f>_xlfn.XLOOKUP(Locations[[#This Row],[Location Name]],'All Data'!L:L,'All Data'!N:N)</f>
        <v>#N/A</v>
      </c>
      <c r="D140" t="s">
        <v>3564</v>
      </c>
    </row>
    <row r="141" spans="1:4" x14ac:dyDescent="0.35">
      <c r="A141" t="s">
        <v>128</v>
      </c>
      <c r="B141" s="3" t="e">
        <f>_xlfn.XLOOKUP(Locations[[#This Row],[Location Name]],'All Data'!L:L,'All Data'!M:M)</f>
        <v>#N/A</v>
      </c>
      <c r="C141" s="3" t="e">
        <f>_xlfn.XLOOKUP(Locations[[#This Row],[Location Name]],'All Data'!L:L,'All Data'!N:N)</f>
        <v>#N/A</v>
      </c>
      <c r="D141" t="s">
        <v>3564</v>
      </c>
    </row>
    <row r="142" spans="1:4" x14ac:dyDescent="0.35">
      <c r="A142" t="s">
        <v>184</v>
      </c>
      <c r="B142" s="3" t="e">
        <f>_xlfn.XLOOKUP(Locations[[#This Row],[Location Name]],'All Data'!L:L,'All Data'!M:M)</f>
        <v>#N/A</v>
      </c>
      <c r="C142" s="3" t="e">
        <f>_xlfn.XLOOKUP(Locations[[#This Row],[Location Name]],'All Data'!L:L,'All Data'!N:N)</f>
        <v>#N/A</v>
      </c>
      <c r="D142" t="s">
        <v>3564</v>
      </c>
    </row>
    <row r="143" spans="1:4" x14ac:dyDescent="0.35">
      <c r="A143" t="s">
        <v>164</v>
      </c>
      <c r="B143" s="3" t="e">
        <f>_xlfn.XLOOKUP(Locations[[#This Row],[Location Name]],'All Data'!L:L,'All Data'!M:M)</f>
        <v>#N/A</v>
      </c>
      <c r="C143" s="3" t="e">
        <f>_xlfn.XLOOKUP(Locations[[#This Row],[Location Name]],'All Data'!L:L,'All Data'!N:N)</f>
        <v>#N/A</v>
      </c>
      <c r="D143" t="s">
        <v>3564</v>
      </c>
    </row>
    <row r="144" spans="1:4" x14ac:dyDescent="0.35">
      <c r="A144" t="s">
        <v>274</v>
      </c>
      <c r="B144" s="3" t="e">
        <f>_xlfn.XLOOKUP(Locations[[#This Row],[Location Name]],'All Data'!L:L,'All Data'!M:M)</f>
        <v>#N/A</v>
      </c>
      <c r="C144" s="3" t="e">
        <f>_xlfn.XLOOKUP(Locations[[#This Row],[Location Name]],'All Data'!L:L,'All Data'!N:N)</f>
        <v>#N/A</v>
      </c>
      <c r="D144" t="s">
        <v>3564</v>
      </c>
    </row>
    <row r="145" spans="1:4" x14ac:dyDescent="0.35">
      <c r="A145" s="139" t="s">
        <v>3316</v>
      </c>
      <c r="B145" s="3" t="e">
        <f>_xlfn.XLOOKUP(Locations[[#This Row],[Location Name]],'All Data'!L:L,'All Data'!M:M)</f>
        <v>#N/A</v>
      </c>
      <c r="C145" s="3" t="e">
        <f>_xlfn.XLOOKUP(Locations[[#This Row],[Location Name]],'All Data'!L:L,'All Data'!N:N)</f>
        <v>#N/A</v>
      </c>
      <c r="D145" t="s">
        <v>3316</v>
      </c>
    </row>
    <row r="146" spans="1:4" x14ac:dyDescent="0.35">
      <c r="A146" t="s">
        <v>2643</v>
      </c>
      <c r="B146" s="3" t="e">
        <f>_xlfn.XLOOKUP(Locations[[#This Row],[Location Name]],'All Data'!L:L,'All Data'!M:M)</f>
        <v>#N/A</v>
      </c>
      <c r="C146" s="3" t="e">
        <f>_xlfn.XLOOKUP(Locations[[#This Row],[Location Name]],'All Data'!L:L,'All Data'!N:N)</f>
        <v>#N/A</v>
      </c>
      <c r="D146" t="s">
        <v>2643</v>
      </c>
    </row>
    <row r="147" spans="1:4" x14ac:dyDescent="0.35">
      <c r="A147" t="s">
        <v>2646</v>
      </c>
      <c r="B147" s="3" t="e">
        <f>_xlfn.XLOOKUP(Locations[[#This Row],[Location Name]],'All Data'!L:L,'All Data'!M:M)</f>
        <v>#N/A</v>
      </c>
      <c r="C147" s="3" t="e">
        <f>_xlfn.XLOOKUP(Locations[[#This Row],[Location Name]],'All Data'!L:L,'All Data'!N:N)</f>
        <v>#N/A</v>
      </c>
      <c r="D147" t="s">
        <v>2646</v>
      </c>
    </row>
    <row r="148" spans="1:4" x14ac:dyDescent="0.35">
      <c r="A148" s="139" t="s">
        <v>3422</v>
      </c>
      <c r="B148" s="3" t="e">
        <f>_xlfn.XLOOKUP(Locations[[#This Row],[Location Name]],'All Data'!L:L,'All Data'!M:M)</f>
        <v>#N/A</v>
      </c>
      <c r="C148" s="3" t="e">
        <f>_xlfn.XLOOKUP(Locations[[#This Row],[Location Name]],'All Data'!L:L,'All Data'!N:N)</f>
        <v>#N/A</v>
      </c>
      <c r="D148" t="s">
        <v>2643</v>
      </c>
    </row>
    <row r="149" spans="1:4" x14ac:dyDescent="0.35">
      <c r="A149" s="152" t="s">
        <v>3379</v>
      </c>
      <c r="B149" s="3" t="e">
        <f>_xlfn.XLOOKUP(Locations[[#This Row],[Location Name]],'All Data'!L:L,'All Data'!M:M)</f>
        <v>#N/A</v>
      </c>
      <c r="C149" s="3" t="e">
        <f>_xlfn.XLOOKUP(Locations[[#This Row],[Location Name]],'All Data'!L:L,'All Data'!N:N)</f>
        <v>#N/A</v>
      </c>
      <c r="D149" t="s">
        <v>2643</v>
      </c>
    </row>
    <row r="150" spans="1:4" x14ac:dyDescent="0.35">
      <c r="A150" s="152" t="s">
        <v>3178</v>
      </c>
      <c r="B150" s="3" t="e">
        <f>_xlfn.XLOOKUP(Locations[[#This Row],[Location Name]],'All Data'!L:L,'All Data'!M:M)</f>
        <v>#N/A</v>
      </c>
      <c r="C150" s="3" t="e">
        <f>_xlfn.XLOOKUP(Locations[[#This Row],[Location Name]],'All Data'!L:L,'All Data'!N:N)</f>
        <v>#N/A</v>
      </c>
      <c r="D150" t="s">
        <v>2643</v>
      </c>
    </row>
    <row r="151" spans="1:4" x14ac:dyDescent="0.35">
      <c r="A151" s="152" t="s">
        <v>2835</v>
      </c>
      <c r="B151" s="3" t="e">
        <f>_xlfn.XLOOKUP(Locations[[#This Row],[Location Name]],'All Data'!L:L,'All Data'!M:M)</f>
        <v>#N/A</v>
      </c>
      <c r="C151" s="3" t="e">
        <f>_xlfn.XLOOKUP(Locations[[#This Row],[Location Name]],'All Data'!L:L,'All Data'!N:N)</f>
        <v>#N/A</v>
      </c>
      <c r="D151" t="s">
        <v>2643</v>
      </c>
    </row>
    <row r="152" spans="1:4" x14ac:dyDescent="0.35">
      <c r="A152" s="152" t="s">
        <v>3426</v>
      </c>
      <c r="B152" s="3" t="e">
        <f>_xlfn.XLOOKUP(Locations[[#This Row],[Location Name]],'All Data'!L:L,'All Data'!M:M)</f>
        <v>#N/A</v>
      </c>
      <c r="C152" s="3" t="e">
        <f>_xlfn.XLOOKUP(Locations[[#This Row],[Location Name]],'All Data'!L:L,'All Data'!N:N)</f>
        <v>#N/A</v>
      </c>
      <c r="D152" t="s">
        <v>3666</v>
      </c>
    </row>
    <row r="153" spans="1:4" x14ac:dyDescent="0.35">
      <c r="A153" s="152" t="s">
        <v>2943</v>
      </c>
      <c r="B153" s="3" t="e">
        <f>_xlfn.XLOOKUP(Locations[[#This Row],[Location Name]],'All Data'!L:L,'All Data'!M:M)</f>
        <v>#N/A</v>
      </c>
      <c r="C153" s="3" t="e">
        <f>_xlfn.XLOOKUP(Locations[[#This Row],[Location Name]],'All Data'!L:L,'All Data'!N:N)</f>
        <v>#N/A</v>
      </c>
      <c r="D153" t="s">
        <v>2643</v>
      </c>
    </row>
    <row r="154" spans="1:4" x14ac:dyDescent="0.35">
      <c r="A154" s="139" t="s">
        <v>2892</v>
      </c>
      <c r="B154" s="3" t="e">
        <f>_xlfn.XLOOKUP(Locations[[#This Row],[Location Name]],'All Data'!L:L,'All Data'!M:M)</f>
        <v>#N/A</v>
      </c>
      <c r="C154" s="3" t="e">
        <f>_xlfn.XLOOKUP(Locations[[#This Row],[Location Name]],'All Data'!L:L,'All Data'!N:N)</f>
        <v>#N/A</v>
      </c>
      <c r="D154" t="s">
        <v>2643</v>
      </c>
    </row>
    <row r="155" spans="1:4" x14ac:dyDescent="0.35">
      <c r="A155" s="139" t="s">
        <v>2838</v>
      </c>
      <c r="B155" s="3" t="e">
        <f>_xlfn.XLOOKUP(Locations[[#This Row],[Location Name]],'All Data'!L:L,'All Data'!M:M)</f>
        <v>#N/A</v>
      </c>
      <c r="C155" s="3" t="e">
        <f>_xlfn.XLOOKUP(Locations[[#This Row],[Location Name]],'All Data'!L:L,'All Data'!N:N)</f>
        <v>#N/A</v>
      </c>
      <c r="D155" t="s">
        <v>2646</v>
      </c>
    </row>
    <row r="156" spans="1:4" x14ac:dyDescent="0.35">
      <c r="A156" s="152" t="s">
        <v>3384</v>
      </c>
      <c r="B156" s="3" t="e">
        <f>_xlfn.XLOOKUP(Locations[[#This Row],[Location Name]],'All Data'!L:L,'All Data'!M:M)</f>
        <v>#N/A</v>
      </c>
      <c r="C156" s="3" t="e">
        <f>_xlfn.XLOOKUP(Locations[[#This Row],[Location Name]],'All Data'!L:L,'All Data'!N:N)</f>
        <v>#N/A</v>
      </c>
      <c r="D156" t="s">
        <v>3666</v>
      </c>
    </row>
    <row r="157" spans="1:4" x14ac:dyDescent="0.35">
      <c r="A157" s="152" t="s">
        <v>3164</v>
      </c>
      <c r="B157" s="3" t="e">
        <f>_xlfn.XLOOKUP(Locations[[#This Row],[Location Name]],'All Data'!L:L,'All Data'!M:M)</f>
        <v>#N/A</v>
      </c>
      <c r="C157" s="3" t="e">
        <f>_xlfn.XLOOKUP(Locations[[#This Row],[Location Name]],'All Data'!L:L,'All Data'!N:N)</f>
        <v>#N/A</v>
      </c>
      <c r="D157" t="s">
        <v>3316</v>
      </c>
    </row>
    <row r="158" spans="1:4" x14ac:dyDescent="0.35">
      <c r="A158" t="s">
        <v>709</v>
      </c>
      <c r="B158" s="3" t="e">
        <f>_xlfn.XLOOKUP(Locations[[#This Row],[Location Name]],'All Data'!L:L,'All Data'!M:M)</f>
        <v>#N/A</v>
      </c>
      <c r="C158" s="3" t="e">
        <f>_xlfn.XLOOKUP(Locations[[#This Row],[Location Name]],'All Data'!L:L,'All Data'!N:N)</f>
        <v>#N/A</v>
      </c>
      <c r="D158" t="s">
        <v>3566</v>
      </c>
    </row>
    <row r="159" spans="1:4" x14ac:dyDescent="0.35">
      <c r="A159" t="s">
        <v>2212</v>
      </c>
      <c r="B159" s="3" t="e">
        <f>_xlfn.XLOOKUP(Locations[[#This Row],[Location Name]],'All Data'!L:L,'All Data'!M:M)</f>
        <v>#N/A</v>
      </c>
      <c r="C159" s="3" t="e">
        <f>_xlfn.XLOOKUP(Locations[[#This Row],[Location Name]],'All Data'!L:L,'All Data'!N:N)</f>
        <v>#N/A</v>
      </c>
      <c r="D159" t="s">
        <v>2252</v>
      </c>
    </row>
    <row r="160" spans="1:4" x14ac:dyDescent="0.35">
      <c r="A160" t="s">
        <v>2316</v>
      </c>
      <c r="B160" s="3" t="e">
        <f>_xlfn.XLOOKUP(Locations[[#This Row],[Location Name]],'All Data'!L:L,'All Data'!M:M)</f>
        <v>#N/A</v>
      </c>
      <c r="C160" s="3" t="e">
        <f>_xlfn.XLOOKUP(Locations[[#This Row],[Location Name]],'All Data'!L:L,'All Data'!N:N)</f>
        <v>#N/A</v>
      </c>
      <c r="D160" t="s">
        <v>2252</v>
      </c>
    </row>
    <row r="161" spans="1:4" x14ac:dyDescent="0.35">
      <c r="A161" t="s">
        <v>2345</v>
      </c>
      <c r="B161" s="3" t="e">
        <f>_xlfn.XLOOKUP(Locations[[#This Row],[Location Name]],'All Data'!L:L,'All Data'!M:M)</f>
        <v>#N/A</v>
      </c>
      <c r="C161" s="3" t="e">
        <f>_xlfn.XLOOKUP(Locations[[#This Row],[Location Name]],'All Data'!L:L,'All Data'!N:N)</f>
        <v>#N/A</v>
      </c>
      <c r="D161" t="s">
        <v>2252</v>
      </c>
    </row>
    <row r="162" spans="1:4" x14ac:dyDescent="0.35">
      <c r="A162" t="s">
        <v>2475</v>
      </c>
      <c r="B162" s="3" t="e">
        <f>_xlfn.XLOOKUP(Locations[[#This Row],[Location Name]],'All Data'!L:L,'All Data'!M:M)</f>
        <v>#N/A</v>
      </c>
      <c r="C162" s="3" t="e">
        <f>_xlfn.XLOOKUP(Locations[[#This Row],[Location Name]],'All Data'!L:L,'All Data'!N:N)</f>
        <v>#N/A</v>
      </c>
      <c r="D162" t="s">
        <v>2252</v>
      </c>
    </row>
    <row r="163" spans="1:4" x14ac:dyDescent="0.35">
      <c r="A163" t="s">
        <v>2319</v>
      </c>
      <c r="B163" s="3" t="e">
        <f>_xlfn.XLOOKUP(Locations[[#This Row],[Location Name]],'All Data'!L:L,'All Data'!M:M)</f>
        <v>#N/A</v>
      </c>
      <c r="C163" s="3" t="e">
        <f>_xlfn.XLOOKUP(Locations[[#This Row],[Location Name]],'All Data'!L:L,'All Data'!N:N)</f>
        <v>#N/A</v>
      </c>
      <c r="D163" t="s">
        <v>2174</v>
      </c>
    </row>
    <row r="164" spans="1:4" x14ac:dyDescent="0.35">
      <c r="A164" s="152" t="s">
        <v>3303</v>
      </c>
      <c r="B164" s="3" t="e">
        <f>_xlfn.XLOOKUP(Locations[[#This Row],[Location Name]],'All Data'!L:L,'All Data'!M:M)</f>
        <v>#N/A</v>
      </c>
      <c r="C164" s="3" t="e">
        <f>_xlfn.XLOOKUP(Locations[[#This Row],[Location Name]],'All Data'!L:L,'All Data'!N:N)</f>
        <v>#N/A</v>
      </c>
      <c r="D164" t="s">
        <v>2174</v>
      </c>
    </row>
    <row r="165" spans="1:4" x14ac:dyDescent="0.35">
      <c r="A165" s="139" t="s">
        <v>2936</v>
      </c>
      <c r="B165" s="3" t="e">
        <f>_xlfn.XLOOKUP(Locations[[#This Row],[Location Name]],'All Data'!L:L,'All Data'!M:M)</f>
        <v>#N/A</v>
      </c>
      <c r="C165" s="3" t="e">
        <f>_xlfn.XLOOKUP(Locations[[#This Row],[Location Name]],'All Data'!L:L,'All Data'!N:N)</f>
        <v>#N/A</v>
      </c>
      <c r="D165" t="s">
        <v>673</v>
      </c>
    </row>
    <row r="166" spans="1:4" x14ac:dyDescent="0.35">
      <c r="A166" t="s">
        <v>676</v>
      </c>
      <c r="B166" s="3" t="e">
        <f>_xlfn.XLOOKUP(Locations[[#This Row],[Location Name]],'All Data'!L:L,'All Data'!M:M)</f>
        <v>#N/A</v>
      </c>
      <c r="C166" s="3" t="e">
        <f>_xlfn.XLOOKUP(Locations[[#This Row],[Location Name]],'All Data'!L:L,'All Data'!N:N)</f>
        <v>#N/A</v>
      </c>
      <c r="D166" t="s">
        <v>673</v>
      </c>
    </row>
    <row r="167" spans="1:4" x14ac:dyDescent="0.35">
      <c r="A167" t="s">
        <v>3586</v>
      </c>
      <c r="B167" s="3" t="e">
        <f>_xlfn.XLOOKUP(Locations[[#This Row],[Location Name]],'All Data'!L:L,'All Data'!M:M)</f>
        <v>#N/A</v>
      </c>
      <c r="C167" s="3" t="e">
        <f>_xlfn.XLOOKUP(Locations[[#This Row],[Location Name]],'All Data'!L:L,'All Data'!N:N)</f>
        <v>#N/A</v>
      </c>
      <c r="D167" t="s">
        <v>541</v>
      </c>
    </row>
    <row r="168" spans="1:4" x14ac:dyDescent="0.35">
      <c r="A168" s="152" t="s">
        <v>2995</v>
      </c>
      <c r="B168" s="3" t="e">
        <f>_xlfn.XLOOKUP(Locations[[#This Row],[Location Name]],'All Data'!L:L,'All Data'!M:M)</f>
        <v>#N/A</v>
      </c>
      <c r="C168" s="3" t="e">
        <f>_xlfn.XLOOKUP(Locations[[#This Row],[Location Name]],'All Data'!L:L,'All Data'!N:N)</f>
        <v>#N/A</v>
      </c>
      <c r="D168" t="s">
        <v>941</v>
      </c>
    </row>
    <row r="169" spans="1:4" x14ac:dyDescent="0.35">
      <c r="A169" t="s">
        <v>541</v>
      </c>
      <c r="B169" s="3" t="e">
        <f>_xlfn.XLOOKUP(Locations[[#This Row],[Location Name]],'All Data'!L:L,'All Data'!M:M)</f>
        <v>#N/A</v>
      </c>
      <c r="C169" s="3" t="e">
        <f>_xlfn.XLOOKUP(Locations[[#This Row],[Location Name]],'All Data'!L:L,'All Data'!N:N)</f>
        <v>#N/A</v>
      </c>
      <c r="D169" t="s">
        <v>541</v>
      </c>
    </row>
    <row r="170" spans="1:4" x14ac:dyDescent="0.35">
      <c r="A170" t="s">
        <v>941</v>
      </c>
      <c r="B170" s="3" t="e">
        <f>_xlfn.XLOOKUP(Locations[[#This Row],[Location Name]],'All Data'!L:L,'All Data'!M:M)</f>
        <v>#N/A</v>
      </c>
      <c r="C170" s="3" t="e">
        <f>_xlfn.XLOOKUP(Locations[[#This Row],[Location Name]],'All Data'!L:L,'All Data'!N:N)</f>
        <v>#N/A</v>
      </c>
      <c r="D170" t="s">
        <v>941</v>
      </c>
    </row>
    <row r="171" spans="1:4" x14ac:dyDescent="0.35">
      <c r="A171" t="s">
        <v>435</v>
      </c>
      <c r="B171" s="3" t="e">
        <f>_xlfn.XLOOKUP(Locations[[#This Row],[Location Name]],'All Data'!L:L,'All Data'!M:M)</f>
        <v>#N/A</v>
      </c>
      <c r="C171" s="3" t="e">
        <f>_xlfn.XLOOKUP(Locations[[#This Row],[Location Name]],'All Data'!L:L,'All Data'!N:N)</f>
        <v>#N/A</v>
      </c>
      <c r="D171" t="s">
        <v>2006</v>
      </c>
    </row>
    <row r="172" spans="1:4" x14ac:dyDescent="0.35">
      <c r="A172" s="139" t="s">
        <v>3358</v>
      </c>
      <c r="B172" s="3" t="e">
        <f>_xlfn.XLOOKUP(Locations[[#This Row],[Location Name]],'All Data'!L:L,'All Data'!M:M)</f>
        <v>#N/A</v>
      </c>
      <c r="C172" s="3" t="e">
        <f>_xlfn.XLOOKUP(Locations[[#This Row],[Location Name]],'All Data'!L:L,'All Data'!N:N)</f>
        <v>#N/A</v>
      </c>
      <c r="D172" t="s">
        <v>2006</v>
      </c>
    </row>
    <row r="173" spans="1:4" x14ac:dyDescent="0.35">
      <c r="A173" t="s">
        <v>667</v>
      </c>
      <c r="B173" s="3" t="e">
        <f>_xlfn.XLOOKUP(Locations[[#This Row],[Location Name]],'All Data'!L:L,'All Data'!M:M)</f>
        <v>#N/A</v>
      </c>
      <c r="C173" s="3" t="e">
        <f>_xlfn.XLOOKUP(Locations[[#This Row],[Location Name]],'All Data'!L:L,'All Data'!N:N)</f>
        <v>#N/A</v>
      </c>
      <c r="D173" t="s">
        <v>667</v>
      </c>
    </row>
    <row r="174" spans="1:4" x14ac:dyDescent="0.35">
      <c r="A174" t="s">
        <v>623</v>
      </c>
      <c r="B174" s="3" t="e">
        <f>_xlfn.XLOOKUP(Locations[[#This Row],[Location Name]],'All Data'!L:L,'All Data'!M:M)</f>
        <v>#N/A</v>
      </c>
      <c r="C174" s="3" t="e">
        <f>_xlfn.XLOOKUP(Locations[[#This Row],[Location Name]],'All Data'!L:L,'All Data'!N:N)</f>
        <v>#N/A</v>
      </c>
      <c r="D174" t="s">
        <v>623</v>
      </c>
    </row>
    <row r="175" spans="1:4" x14ac:dyDescent="0.35">
      <c r="A175" t="s">
        <v>673</v>
      </c>
      <c r="B175" s="3" t="e">
        <f>_xlfn.XLOOKUP(Locations[[#This Row],[Location Name]],'All Data'!L:L,'All Data'!M:M)</f>
        <v>#N/A</v>
      </c>
      <c r="C175" s="3" t="e">
        <f>_xlfn.XLOOKUP(Locations[[#This Row],[Location Name]],'All Data'!L:L,'All Data'!N:N)</f>
        <v>#N/A</v>
      </c>
      <c r="D175" t="s">
        <v>673</v>
      </c>
    </row>
    <row r="176" spans="1:4" x14ac:dyDescent="0.35">
      <c r="A176" t="s">
        <v>2121</v>
      </c>
      <c r="B176" s="3" t="e">
        <f>_xlfn.XLOOKUP(Locations[[#This Row],[Location Name]],'All Data'!L:L,'All Data'!M:M)</f>
        <v>#N/A</v>
      </c>
      <c r="C176" s="3" t="e">
        <f>_xlfn.XLOOKUP(Locations[[#This Row],[Location Name]],'All Data'!L:L,'All Data'!N:N)</f>
        <v>#N/A</v>
      </c>
      <c r="D176" t="s">
        <v>2174</v>
      </c>
    </row>
    <row r="177" spans="1:4" x14ac:dyDescent="0.35">
      <c r="A177" t="s">
        <v>2217</v>
      </c>
      <c r="B177" s="3" t="e">
        <f>_xlfn.XLOOKUP(Locations[[#This Row],[Location Name]],'All Data'!L:L,'All Data'!M:M)</f>
        <v>#N/A</v>
      </c>
      <c r="C177" s="3" t="e">
        <f>_xlfn.XLOOKUP(Locations[[#This Row],[Location Name]],'All Data'!L:L,'All Data'!N:N)</f>
        <v>#N/A</v>
      </c>
      <c r="D177" t="s">
        <v>2174</v>
      </c>
    </row>
    <row r="178" spans="1:4" x14ac:dyDescent="0.35">
      <c r="A178" t="s">
        <v>1917</v>
      </c>
      <c r="B178" s="3" t="e">
        <f>_xlfn.XLOOKUP(Locations[[#This Row],[Location Name]],'All Data'!L:L,'All Data'!M:M)</f>
        <v>#N/A</v>
      </c>
      <c r="C178" s="3" t="e">
        <f>_xlfn.XLOOKUP(Locations[[#This Row],[Location Name]],'All Data'!L:L,'All Data'!N:N)</f>
        <v>#N/A</v>
      </c>
      <c r="D178" t="s">
        <v>673</v>
      </c>
    </row>
    <row r="179" spans="1:4" x14ac:dyDescent="0.35">
      <c r="A179" t="s">
        <v>927</v>
      </c>
      <c r="B179" s="3" t="e">
        <f>_xlfn.XLOOKUP(Locations[[#This Row],[Location Name]],'All Data'!L:L,'All Data'!M:M)</f>
        <v>#N/A</v>
      </c>
      <c r="C179" s="3" t="e">
        <f>_xlfn.XLOOKUP(Locations[[#This Row],[Location Name]],'All Data'!L:L,'All Data'!N:N)</f>
        <v>#N/A</v>
      </c>
      <c r="D179" t="s">
        <v>3565</v>
      </c>
    </row>
    <row r="180" spans="1:4" x14ac:dyDescent="0.35">
      <c r="A180" t="s">
        <v>161</v>
      </c>
      <c r="B180" s="3" t="e">
        <f>_xlfn.XLOOKUP(Locations[[#This Row],[Location Name]],'All Data'!L:L,'All Data'!M:M)</f>
        <v>#N/A</v>
      </c>
      <c r="C180" s="3" t="e">
        <f>_xlfn.XLOOKUP(Locations[[#This Row],[Location Name]],'All Data'!L:L,'All Data'!N:N)</f>
        <v>#N/A</v>
      </c>
      <c r="D180" t="s">
        <v>2006</v>
      </c>
    </row>
    <row r="181" spans="1:4" x14ac:dyDescent="0.35">
      <c r="A181" s="150" t="s">
        <v>124</v>
      </c>
      <c r="B181" s="3" t="e">
        <f>_xlfn.XLOOKUP(Locations[[#This Row],[Location Name]],'All Data'!L:L,'All Data'!M:M)</f>
        <v>#N/A</v>
      </c>
      <c r="C181" s="3" t="e">
        <f>_xlfn.XLOOKUP(Locations[[#This Row],[Location Name]],'All Data'!L:L,'All Data'!N:N)</f>
        <v>#N/A</v>
      </c>
      <c r="D181" t="s">
        <v>3568</v>
      </c>
    </row>
    <row r="182" spans="1:4" x14ac:dyDescent="0.35">
      <c r="A182" s="150" t="s">
        <v>155</v>
      </c>
      <c r="B182" s="3" t="e">
        <f>_xlfn.XLOOKUP(Locations[[#This Row],[Location Name]],'All Data'!L:L,'All Data'!M:M)</f>
        <v>#N/A</v>
      </c>
      <c r="C182" s="3" t="e">
        <f>_xlfn.XLOOKUP(Locations[[#This Row],[Location Name]],'All Data'!L:L,'All Data'!N:N)</f>
        <v>#N/A</v>
      </c>
      <c r="D182" t="s">
        <v>2006</v>
      </c>
    </row>
    <row r="183" spans="1:4" x14ac:dyDescent="0.35">
      <c r="A183" s="150" t="s">
        <v>424</v>
      </c>
      <c r="B183" s="3" t="e">
        <f>_xlfn.XLOOKUP(Locations[[#This Row],[Location Name]],'All Data'!L:L,'All Data'!M:M)</f>
        <v>#N/A</v>
      </c>
      <c r="C183" s="3" t="e">
        <f>_xlfn.XLOOKUP(Locations[[#This Row],[Location Name]],'All Data'!L:L,'All Data'!N:N)</f>
        <v>#N/A</v>
      </c>
      <c r="D183" t="s">
        <v>875</v>
      </c>
    </row>
    <row r="184" spans="1:4" x14ac:dyDescent="0.35">
      <c r="A184" s="150" t="s">
        <v>225</v>
      </c>
      <c r="B184" s="3" t="e">
        <f>_xlfn.XLOOKUP(Locations[[#This Row],[Location Name]],'All Data'!L:L,'All Data'!M:M)</f>
        <v>#N/A</v>
      </c>
      <c r="C184" s="3" t="e">
        <f>_xlfn.XLOOKUP(Locations[[#This Row],[Location Name]],'All Data'!L:L,'All Data'!N:N)</f>
        <v>#N/A</v>
      </c>
      <c r="D184" t="s">
        <v>2006</v>
      </c>
    </row>
    <row r="185" spans="1:4" x14ac:dyDescent="0.35">
      <c r="A185" s="150" t="s">
        <v>337</v>
      </c>
      <c r="B185" s="3" t="e">
        <f>_xlfn.XLOOKUP(Locations[[#This Row],[Location Name]],'All Data'!L:L,'All Data'!M:M)</f>
        <v>#N/A</v>
      </c>
      <c r="C185" s="3" t="e">
        <f>_xlfn.XLOOKUP(Locations[[#This Row],[Location Name]],'All Data'!L:L,'All Data'!N:N)</f>
        <v>#N/A</v>
      </c>
      <c r="D185" t="s">
        <v>3569</v>
      </c>
    </row>
    <row r="186" spans="1:4" x14ac:dyDescent="0.35">
      <c r="A186" s="150" t="s">
        <v>548</v>
      </c>
      <c r="B186" s="3" t="e">
        <f>_xlfn.XLOOKUP(Locations[[#This Row],[Location Name]],'All Data'!L:L,'All Data'!M:M)</f>
        <v>#N/A</v>
      </c>
      <c r="C186" s="3" t="e">
        <f>_xlfn.XLOOKUP(Locations[[#This Row],[Location Name]],'All Data'!L:L,'All Data'!N:N)</f>
        <v>#N/A</v>
      </c>
      <c r="D186" t="s">
        <v>548</v>
      </c>
    </row>
    <row r="187" spans="1:4" x14ac:dyDescent="0.35">
      <c r="A187" s="150" t="s">
        <v>385</v>
      </c>
      <c r="B187" s="3" t="e">
        <f>_xlfn.XLOOKUP(Locations[[#This Row],[Location Name]],'All Data'!L:L,'All Data'!M:M)</f>
        <v>#N/A</v>
      </c>
      <c r="C187" s="3" t="e">
        <f>_xlfn.XLOOKUP(Locations[[#This Row],[Location Name]],'All Data'!L:L,'All Data'!N:N)</f>
        <v>#N/A</v>
      </c>
      <c r="D187" t="s">
        <v>548</v>
      </c>
    </row>
    <row r="188" spans="1:4" x14ac:dyDescent="0.35">
      <c r="A188" s="150" t="s">
        <v>925</v>
      </c>
      <c r="B188" s="3" t="e">
        <f>_xlfn.XLOOKUP(Locations[[#This Row],[Location Name]],'All Data'!L:L,'All Data'!M:M)</f>
        <v>#N/A</v>
      </c>
      <c r="C188" s="3" t="e">
        <f>_xlfn.XLOOKUP(Locations[[#This Row],[Location Name]],'All Data'!L:L,'All Data'!N:N)</f>
        <v>#N/A</v>
      </c>
      <c r="D188" t="s">
        <v>925</v>
      </c>
    </row>
    <row r="189" spans="1:4" x14ac:dyDescent="0.35">
      <c r="A189" s="150" t="s">
        <v>980</v>
      </c>
      <c r="B189" s="3" t="e">
        <f>_xlfn.XLOOKUP(Locations[[#This Row],[Location Name]],'All Data'!L:L,'All Data'!M:M)</f>
        <v>#N/A</v>
      </c>
      <c r="C189" s="3" t="e">
        <f>_xlfn.XLOOKUP(Locations[[#This Row],[Location Name]],'All Data'!L:L,'All Data'!N:N)</f>
        <v>#N/A</v>
      </c>
      <c r="D189" t="s">
        <v>925</v>
      </c>
    </row>
    <row r="190" spans="1:4" x14ac:dyDescent="0.35">
      <c r="A190" s="150" t="s">
        <v>521</v>
      </c>
      <c r="B190" s="3" t="e">
        <f>_xlfn.XLOOKUP(Locations[[#This Row],[Location Name]],'All Data'!L:L,'All Data'!M:M)</f>
        <v>#N/A</v>
      </c>
      <c r="C190" s="3" t="e">
        <f>_xlfn.XLOOKUP(Locations[[#This Row],[Location Name]],'All Data'!L:L,'All Data'!N:N)</f>
        <v>#N/A</v>
      </c>
      <c r="D190" t="s">
        <v>521</v>
      </c>
    </row>
    <row r="191" spans="1:4" x14ac:dyDescent="0.35">
      <c r="A191" s="150" t="s">
        <v>323</v>
      </c>
      <c r="B191" s="3" t="e">
        <f>_xlfn.XLOOKUP(Locations[[#This Row],[Location Name]],'All Data'!L:L,'All Data'!M:M)</f>
        <v>#N/A</v>
      </c>
      <c r="C191" s="3" t="e">
        <f>_xlfn.XLOOKUP(Locations[[#This Row],[Location Name]],'All Data'!L:L,'All Data'!N:N)</f>
        <v>#N/A</v>
      </c>
      <c r="D191" t="s">
        <v>3566</v>
      </c>
    </row>
    <row r="192" spans="1:4" x14ac:dyDescent="0.35">
      <c r="A192" s="150" t="s">
        <v>202</v>
      </c>
      <c r="B192" s="3" t="e">
        <f>_xlfn.XLOOKUP(Locations[[#This Row],[Location Name]],'All Data'!L:L,'All Data'!M:M)</f>
        <v>#N/A</v>
      </c>
      <c r="C192" s="3" t="e">
        <f>_xlfn.XLOOKUP(Locations[[#This Row],[Location Name]],'All Data'!L:L,'All Data'!N:N)</f>
        <v>#N/A</v>
      </c>
      <c r="D192" t="s">
        <v>2006</v>
      </c>
    </row>
    <row r="193" spans="1:4" x14ac:dyDescent="0.35">
      <c r="A193" s="150" t="s">
        <v>157</v>
      </c>
      <c r="B193" s="3" t="e">
        <f>_xlfn.XLOOKUP(Locations[[#This Row],[Location Name]],'All Data'!L:L,'All Data'!M:M)</f>
        <v>#N/A</v>
      </c>
      <c r="C193" s="3" t="e">
        <f>_xlfn.XLOOKUP(Locations[[#This Row],[Location Name]],'All Data'!L:L,'All Data'!N:N)</f>
        <v>#N/A</v>
      </c>
      <c r="D193" t="s">
        <v>3568</v>
      </c>
    </row>
    <row r="194" spans="1:4" x14ac:dyDescent="0.35">
      <c r="A194" s="150" t="s">
        <v>222</v>
      </c>
      <c r="B194" s="3" t="e">
        <f>_xlfn.XLOOKUP(Locations[[#This Row],[Location Name]],'All Data'!L:L,'All Data'!M:M)</f>
        <v>#N/A</v>
      </c>
      <c r="C194" s="3" t="e">
        <f>_xlfn.XLOOKUP(Locations[[#This Row],[Location Name]],'All Data'!L:L,'All Data'!N:N)</f>
        <v>#N/A</v>
      </c>
      <c r="D194" t="s">
        <v>3568</v>
      </c>
    </row>
    <row r="195" spans="1:4" x14ac:dyDescent="0.35">
      <c r="A195" s="150" t="s">
        <v>364</v>
      </c>
      <c r="B195" s="3" t="e">
        <f>_xlfn.XLOOKUP(Locations[[#This Row],[Location Name]],'All Data'!L:L,'All Data'!M:M)</f>
        <v>#N/A</v>
      </c>
      <c r="C195" s="3" t="e">
        <f>_xlfn.XLOOKUP(Locations[[#This Row],[Location Name]],'All Data'!L:L,'All Data'!N:N)</f>
        <v>#N/A</v>
      </c>
      <c r="D195" t="s">
        <v>3568</v>
      </c>
    </row>
    <row r="196" spans="1:4" x14ac:dyDescent="0.35">
      <c r="A196" s="150" t="s">
        <v>467</v>
      </c>
      <c r="B196" s="3" t="e">
        <f>_xlfn.XLOOKUP(Locations[[#This Row],[Location Name]],'All Data'!L:L,'All Data'!M:M)</f>
        <v>#N/A</v>
      </c>
      <c r="C196" s="3" t="e">
        <f>_xlfn.XLOOKUP(Locations[[#This Row],[Location Name]],'All Data'!L:L,'All Data'!N:N)</f>
        <v>#N/A</v>
      </c>
      <c r="D196" t="s">
        <v>3568</v>
      </c>
    </row>
    <row r="197" spans="1:4" x14ac:dyDescent="0.35">
      <c r="A197" s="150" t="s">
        <v>367</v>
      </c>
      <c r="B197" s="3" t="e">
        <f>_xlfn.XLOOKUP(Locations[[#This Row],[Location Name]],'All Data'!L:L,'All Data'!M:M)</f>
        <v>#N/A</v>
      </c>
      <c r="C197" s="3" t="e">
        <f>_xlfn.XLOOKUP(Locations[[#This Row],[Location Name]],'All Data'!L:L,'All Data'!N:N)</f>
        <v>#N/A</v>
      </c>
      <c r="D197" t="s">
        <v>3568</v>
      </c>
    </row>
    <row r="198" spans="1:4" x14ac:dyDescent="0.35">
      <c r="A198" s="148" t="s">
        <v>2875</v>
      </c>
      <c r="B198" s="3" t="e">
        <f>_xlfn.XLOOKUP(Locations[[#This Row],[Location Name]],'All Data'!L:L,'All Data'!M:M)</f>
        <v>#N/A</v>
      </c>
      <c r="C198" s="3" t="e">
        <f>_xlfn.XLOOKUP(Locations[[#This Row],[Location Name]],'All Data'!L:L,'All Data'!N:N)</f>
        <v>#N/A</v>
      </c>
      <c r="D198" t="s">
        <v>2006</v>
      </c>
    </row>
    <row r="199" spans="1:4" x14ac:dyDescent="0.35">
      <c r="A199" s="150" t="s">
        <v>321</v>
      </c>
      <c r="B199" s="3" t="e">
        <f>_xlfn.XLOOKUP(Locations[[#This Row],[Location Name]],'All Data'!L:L,'All Data'!M:M)</f>
        <v>#N/A</v>
      </c>
      <c r="C199" s="3" t="e">
        <f>_xlfn.XLOOKUP(Locations[[#This Row],[Location Name]],'All Data'!L:L,'All Data'!N:N)</f>
        <v>#N/A</v>
      </c>
      <c r="D199" t="s">
        <v>2006</v>
      </c>
    </row>
    <row r="200" spans="1:4" x14ac:dyDescent="0.35">
      <c r="A200" s="150" t="s">
        <v>1416</v>
      </c>
      <c r="B200" s="3" t="e">
        <f>_xlfn.XLOOKUP(Locations[[#This Row],[Location Name]],'All Data'!L:L,'All Data'!M:M)</f>
        <v>#N/A</v>
      </c>
      <c r="C200" s="3" t="e">
        <f>_xlfn.XLOOKUP(Locations[[#This Row],[Location Name]],'All Data'!L:L,'All Data'!N:N)</f>
        <v>#N/A</v>
      </c>
      <c r="D200" t="s">
        <v>3554</v>
      </c>
    </row>
    <row r="201" spans="1:4" x14ac:dyDescent="0.35">
      <c r="A201" s="148" t="s">
        <v>2846</v>
      </c>
      <c r="B201" s="3" t="e">
        <f>_xlfn.XLOOKUP(Locations[[#This Row],[Location Name]],'All Data'!L:L,'All Data'!M:M)</f>
        <v>#N/A</v>
      </c>
      <c r="C201" s="3" t="e">
        <f>_xlfn.XLOOKUP(Locations[[#This Row],[Location Name]],'All Data'!L:L,'All Data'!N:N)</f>
        <v>#N/A</v>
      </c>
      <c r="D201" t="s">
        <v>673</v>
      </c>
    </row>
    <row r="202" spans="1:4" x14ac:dyDescent="0.35">
      <c r="A202" s="148" t="s">
        <v>3203</v>
      </c>
      <c r="B202" s="3" t="e">
        <f>_xlfn.XLOOKUP(Locations[[#This Row],[Location Name]],'All Data'!L:L,'All Data'!M:M)</f>
        <v>#N/A</v>
      </c>
      <c r="C202" s="3" t="e">
        <f>_xlfn.XLOOKUP(Locations[[#This Row],[Location Name]],'All Data'!L:L,'All Data'!N:N)</f>
        <v>#N/A</v>
      </c>
      <c r="D202" t="s">
        <v>2660</v>
      </c>
    </row>
    <row r="203" spans="1:4" x14ac:dyDescent="0.35">
      <c r="A203" s="150" t="s">
        <v>2811</v>
      </c>
      <c r="B203" s="3" t="e">
        <f>_xlfn.XLOOKUP(Locations[[#This Row],[Location Name]],'All Data'!L:L,'All Data'!M:M)</f>
        <v>#N/A</v>
      </c>
      <c r="C203" s="3" t="e">
        <f>_xlfn.XLOOKUP(Locations[[#This Row],[Location Name]],'All Data'!L:L,'All Data'!N:N)</f>
        <v>#N/A</v>
      </c>
      <c r="D203" t="s">
        <v>2660</v>
      </c>
    </row>
    <row r="204" spans="1:4" x14ac:dyDescent="0.35">
      <c r="A204" s="149" t="s">
        <v>3106</v>
      </c>
      <c r="B204" s="3" t="e">
        <f>_xlfn.XLOOKUP(Locations[[#This Row],[Location Name]],'All Data'!L:L,'All Data'!M:M)</f>
        <v>#N/A</v>
      </c>
      <c r="C204" s="3" t="e">
        <f>_xlfn.XLOOKUP(Locations[[#This Row],[Location Name]],'All Data'!L:L,'All Data'!N:N)</f>
        <v>#N/A</v>
      </c>
      <c r="D204" t="s">
        <v>2660</v>
      </c>
    </row>
    <row r="205" spans="1:4" x14ac:dyDescent="0.35">
      <c r="A205" s="149" t="s">
        <v>2864</v>
      </c>
      <c r="B205" s="3" t="e">
        <f>_xlfn.XLOOKUP(Locations[[#This Row],[Location Name]],'All Data'!L:L,'All Data'!M:M)</f>
        <v>#N/A</v>
      </c>
      <c r="C205" s="3" t="e">
        <f>_xlfn.XLOOKUP(Locations[[#This Row],[Location Name]],'All Data'!L:L,'All Data'!N:N)</f>
        <v>#N/A</v>
      </c>
      <c r="D205" t="s">
        <v>2660</v>
      </c>
    </row>
    <row r="206" spans="1:4" x14ac:dyDescent="0.35">
      <c r="A206" s="149" t="s">
        <v>3396</v>
      </c>
      <c r="B206" s="3" t="e">
        <f>_xlfn.XLOOKUP(Locations[[#This Row],[Location Name]],'All Data'!L:L,'All Data'!M:M)</f>
        <v>#N/A</v>
      </c>
      <c r="C206" s="3" t="e">
        <f>_xlfn.XLOOKUP(Locations[[#This Row],[Location Name]],'All Data'!L:L,'All Data'!N:N)</f>
        <v>#N/A</v>
      </c>
      <c r="D206" t="s">
        <v>2660</v>
      </c>
    </row>
    <row r="207" spans="1:4" x14ac:dyDescent="0.35">
      <c r="A207" s="149" t="s">
        <v>3205</v>
      </c>
      <c r="B207" s="3" t="e">
        <f>_xlfn.XLOOKUP(Locations[[#This Row],[Location Name]],'All Data'!L:L,'All Data'!M:M)</f>
        <v>#N/A</v>
      </c>
      <c r="C207" s="3" t="e">
        <f>_xlfn.XLOOKUP(Locations[[#This Row],[Location Name]],'All Data'!L:L,'All Data'!N:N)</f>
        <v>#N/A</v>
      </c>
      <c r="D207" t="s">
        <v>2564</v>
      </c>
    </row>
    <row r="208" spans="1:4" x14ac:dyDescent="0.35">
      <c r="A208" s="150" t="s">
        <v>2813</v>
      </c>
      <c r="B208" s="3" t="e">
        <f>_xlfn.XLOOKUP(Locations[[#This Row],[Location Name]],'All Data'!L:L,'All Data'!M:M)</f>
        <v>#N/A</v>
      </c>
      <c r="C208" s="3" t="e">
        <f>_xlfn.XLOOKUP(Locations[[#This Row],[Location Name]],'All Data'!L:L,'All Data'!N:N)</f>
        <v>#N/A</v>
      </c>
      <c r="D208" t="s">
        <v>2564</v>
      </c>
    </row>
    <row r="209" spans="1:4" x14ac:dyDescent="0.35">
      <c r="A209" s="148" t="s">
        <v>3011</v>
      </c>
      <c r="B209" s="3" t="e">
        <f>_xlfn.XLOOKUP(Locations[[#This Row],[Location Name]],'All Data'!L:L,'All Data'!M:M)</f>
        <v>#N/A</v>
      </c>
      <c r="C209" s="3" t="e">
        <f>_xlfn.XLOOKUP(Locations[[#This Row],[Location Name]],'All Data'!L:L,'All Data'!N:N)</f>
        <v>#N/A</v>
      </c>
      <c r="D209" t="s">
        <v>2660</v>
      </c>
    </row>
    <row r="210" spans="1:4" x14ac:dyDescent="0.35">
      <c r="A210" s="149" t="s">
        <v>3298</v>
      </c>
      <c r="B210" s="3" t="e">
        <f>_xlfn.XLOOKUP(Locations[[#This Row],[Location Name]],'All Data'!L:L,'All Data'!M:M)</f>
        <v>#N/A</v>
      </c>
      <c r="C210" s="3" t="e">
        <f>_xlfn.XLOOKUP(Locations[[#This Row],[Location Name]],'All Data'!L:L,'All Data'!N:N)</f>
        <v>#N/A</v>
      </c>
      <c r="D210" t="s">
        <v>2660</v>
      </c>
    </row>
    <row r="211" spans="1:4" x14ac:dyDescent="0.35">
      <c r="A211" s="149" t="s">
        <v>2970</v>
      </c>
      <c r="B211" s="3" t="e">
        <f>_xlfn.XLOOKUP(Locations[[#This Row],[Location Name]],'All Data'!L:L,'All Data'!M:M)</f>
        <v>#N/A</v>
      </c>
      <c r="C211" s="3" t="e">
        <f>_xlfn.XLOOKUP(Locations[[#This Row],[Location Name]],'All Data'!L:L,'All Data'!N:N)</f>
        <v>#N/A</v>
      </c>
      <c r="D211" t="s">
        <v>2660</v>
      </c>
    </row>
    <row r="212" spans="1:4" x14ac:dyDescent="0.35">
      <c r="A212" s="148" t="s">
        <v>3531</v>
      </c>
      <c r="B212" s="3" t="e">
        <f>_xlfn.XLOOKUP(Locations[[#This Row],[Location Name]],'All Data'!L:L,'All Data'!M:M)</f>
        <v>#N/A</v>
      </c>
      <c r="C212" s="3" t="e">
        <f>_xlfn.XLOOKUP(Locations[[#This Row],[Location Name]],'All Data'!L:L,'All Data'!N:N)</f>
        <v>#N/A</v>
      </c>
      <c r="D212" t="s">
        <v>2564</v>
      </c>
    </row>
    <row r="213" spans="1:4" x14ac:dyDescent="0.35">
      <c r="A213" s="148" t="s">
        <v>2965</v>
      </c>
      <c r="B213" s="3" t="e">
        <f>_xlfn.XLOOKUP(Locations[[#This Row],[Location Name]],'All Data'!L:L,'All Data'!M:M)</f>
        <v>#N/A</v>
      </c>
      <c r="C213" s="3" t="e">
        <f>_xlfn.XLOOKUP(Locations[[#This Row],[Location Name]],'All Data'!L:L,'All Data'!N:N)</f>
        <v>#N/A</v>
      </c>
      <c r="D213" t="s">
        <v>2564</v>
      </c>
    </row>
    <row r="214" spans="1:4" x14ac:dyDescent="0.35">
      <c r="A214" s="149" t="s">
        <v>3009</v>
      </c>
      <c r="B214" s="3" t="e">
        <f>_xlfn.XLOOKUP(Locations[[#This Row],[Location Name]],'All Data'!L:L,'All Data'!M:M)</f>
        <v>#N/A</v>
      </c>
      <c r="C214" s="3" t="e">
        <f>_xlfn.XLOOKUP(Locations[[#This Row],[Location Name]],'All Data'!L:L,'All Data'!N:N)</f>
        <v>#N/A</v>
      </c>
      <c r="D214" t="s">
        <v>2564</v>
      </c>
    </row>
    <row r="215" spans="1:4" x14ac:dyDescent="0.35">
      <c r="A215" s="148" t="s">
        <v>3293</v>
      </c>
      <c r="B215" s="3" t="e">
        <f>_xlfn.XLOOKUP(Locations[[#This Row],[Location Name]],'All Data'!L:L,'All Data'!M:M)</f>
        <v>#N/A</v>
      </c>
      <c r="C215" s="3" t="e">
        <f>_xlfn.XLOOKUP(Locations[[#This Row],[Location Name]],'All Data'!L:L,'All Data'!N:N)</f>
        <v>#N/A</v>
      </c>
      <c r="D215" t="s">
        <v>2564</v>
      </c>
    </row>
    <row r="216" spans="1:4" x14ac:dyDescent="0.35">
      <c r="A216" s="148" t="s">
        <v>3103</v>
      </c>
      <c r="B216" s="3" t="e">
        <f>_xlfn.XLOOKUP(Locations[[#This Row],[Location Name]],'All Data'!L:L,'All Data'!M:M)</f>
        <v>#N/A</v>
      </c>
      <c r="C216" s="3" t="e">
        <f>_xlfn.XLOOKUP(Locations[[#This Row],[Location Name]],'All Data'!L:L,'All Data'!N:N)</f>
        <v>#N/A</v>
      </c>
      <c r="D216" t="s">
        <v>2564</v>
      </c>
    </row>
    <row r="217" spans="1:4" x14ac:dyDescent="0.35">
      <c r="A217" s="150" t="s">
        <v>286</v>
      </c>
      <c r="B217" s="3" t="e">
        <f>_xlfn.XLOOKUP(Locations[[#This Row],[Location Name]],'All Data'!L:L,'All Data'!M:M)</f>
        <v>#N/A</v>
      </c>
      <c r="C217" s="3" t="e">
        <f>_xlfn.XLOOKUP(Locations[[#This Row],[Location Name]],'All Data'!L:L,'All Data'!N:N)</f>
        <v>#N/A</v>
      </c>
      <c r="D217" t="s">
        <v>286</v>
      </c>
    </row>
    <row r="218" spans="1:4" x14ac:dyDescent="0.35">
      <c r="A218" s="150" t="s">
        <v>415</v>
      </c>
      <c r="B218" s="3" t="e">
        <f>_xlfn.XLOOKUP(Locations[[#This Row],[Location Name]],'All Data'!L:L,'All Data'!M:M)</f>
        <v>#N/A</v>
      </c>
      <c r="C218" s="3" t="e">
        <f>_xlfn.XLOOKUP(Locations[[#This Row],[Location Name]],'All Data'!L:L,'All Data'!N:N)</f>
        <v>#N/A</v>
      </c>
      <c r="D218" t="s">
        <v>3551</v>
      </c>
    </row>
    <row r="219" spans="1:4" x14ac:dyDescent="0.35">
      <c r="A219" s="150" t="s">
        <v>486</v>
      </c>
      <c r="B219" s="3" t="e">
        <f>_xlfn.XLOOKUP(Locations[[#This Row],[Location Name]],'All Data'!L:L,'All Data'!M:M)</f>
        <v>#N/A</v>
      </c>
      <c r="C219" s="3" t="e">
        <f>_xlfn.XLOOKUP(Locations[[#This Row],[Location Name]],'All Data'!L:L,'All Data'!N:N)</f>
        <v>#N/A</v>
      </c>
      <c r="D219" t="s">
        <v>3551</v>
      </c>
    </row>
    <row r="220" spans="1:4" x14ac:dyDescent="0.35">
      <c r="A220" s="150" t="s">
        <v>85</v>
      </c>
      <c r="B220" s="3" t="e">
        <f>_xlfn.XLOOKUP(Locations[[#This Row],[Location Name]],'All Data'!L:L,'All Data'!M:M)</f>
        <v>#N/A</v>
      </c>
      <c r="C220" s="3" t="e">
        <f>_xlfn.XLOOKUP(Locations[[#This Row],[Location Name]],'All Data'!L:L,'All Data'!N:N)</f>
        <v>#N/A</v>
      </c>
      <c r="D220" t="s">
        <v>3551</v>
      </c>
    </row>
    <row r="221" spans="1:4" x14ac:dyDescent="0.35">
      <c r="A221" s="153" t="s">
        <v>2019</v>
      </c>
      <c r="B221" s="3" t="e">
        <f>_xlfn.XLOOKUP(Locations[[#This Row],[Location Name]],'All Data'!L:L,'All Data'!M:M)</f>
        <v>#N/A</v>
      </c>
      <c r="C221" s="3" t="e">
        <f>_xlfn.XLOOKUP(Locations[[#This Row],[Location Name]],'All Data'!L:L,'All Data'!N:N)</f>
        <v>#N/A</v>
      </c>
      <c r="D221" t="s">
        <v>3550</v>
      </c>
    </row>
    <row r="222" spans="1:4" x14ac:dyDescent="0.35">
      <c r="A222" s="150" t="s">
        <v>1409</v>
      </c>
      <c r="B222" s="3" t="e">
        <f>_xlfn.XLOOKUP(Locations[[#This Row],[Location Name]],'All Data'!L:L,'All Data'!M:M)</f>
        <v>#N/A</v>
      </c>
      <c r="C222" s="3" t="e">
        <f>_xlfn.XLOOKUP(Locations[[#This Row],[Location Name]],'All Data'!L:L,'All Data'!N:N)</f>
        <v>#N/A</v>
      </c>
      <c r="D222" t="s">
        <v>1409</v>
      </c>
    </row>
    <row r="223" spans="1:4" x14ac:dyDescent="0.35">
      <c r="A223" s="150" t="s">
        <v>121</v>
      </c>
      <c r="B223" s="3" t="e">
        <f>_xlfn.XLOOKUP(Locations[[#This Row],[Location Name]],'All Data'!L:L,'All Data'!M:M)</f>
        <v>#N/A</v>
      </c>
      <c r="C223" s="3" t="e">
        <f>_xlfn.XLOOKUP(Locations[[#This Row],[Location Name]],'All Data'!L:L,'All Data'!N:N)</f>
        <v>#N/A</v>
      </c>
      <c r="D223" t="s">
        <v>121</v>
      </c>
    </row>
    <row r="224" spans="1:4" x14ac:dyDescent="0.35">
      <c r="A224" s="150" t="s">
        <v>2052</v>
      </c>
      <c r="B224" s="3" t="e">
        <f>_xlfn.XLOOKUP(Locations[[#This Row],[Location Name]],'All Data'!L:L,'All Data'!M:M)</f>
        <v>#N/A</v>
      </c>
      <c r="C224" s="3" t="e">
        <f>_xlfn.XLOOKUP(Locations[[#This Row],[Location Name]],'All Data'!L:L,'All Data'!N:N)</f>
        <v>#N/A</v>
      </c>
      <c r="D224" t="s">
        <v>2358</v>
      </c>
    </row>
    <row r="225" spans="1:4" x14ac:dyDescent="0.35">
      <c r="A225" s="149" t="s">
        <v>3198</v>
      </c>
      <c r="B225" s="3" t="e">
        <f>_xlfn.XLOOKUP(Locations[[#This Row],[Location Name]],'All Data'!L:L,'All Data'!M:M)</f>
        <v>#N/A</v>
      </c>
      <c r="C225" s="3" t="e">
        <f>_xlfn.XLOOKUP(Locations[[#This Row],[Location Name]],'All Data'!L:L,'All Data'!N:N)</f>
        <v>#N/A</v>
      </c>
      <c r="D225" t="s">
        <v>2358</v>
      </c>
    </row>
    <row r="226" spans="1:4" x14ac:dyDescent="0.35">
      <c r="A226" s="150" t="s">
        <v>2458</v>
      </c>
      <c r="B226" s="3" t="e">
        <f>_xlfn.XLOOKUP(Locations[[#This Row],[Location Name]],'All Data'!L:L,'All Data'!M:M)</f>
        <v>#N/A</v>
      </c>
      <c r="C226" s="3" t="e">
        <f>_xlfn.XLOOKUP(Locations[[#This Row],[Location Name]],'All Data'!L:L,'All Data'!N:N)</f>
        <v>#N/A</v>
      </c>
      <c r="D226" t="s">
        <v>2358</v>
      </c>
    </row>
    <row r="227" spans="1:4" x14ac:dyDescent="0.35">
      <c r="A227" s="150" t="s">
        <v>190</v>
      </c>
      <c r="B227" s="3" t="e">
        <f>_xlfn.XLOOKUP(Locations[[#This Row],[Location Name]],'All Data'!L:L,'All Data'!M:M)</f>
        <v>#N/A</v>
      </c>
      <c r="C227" s="3" t="e">
        <f>_xlfn.XLOOKUP(Locations[[#This Row],[Location Name]],'All Data'!L:L,'All Data'!N:N)</f>
        <v>#N/A</v>
      </c>
      <c r="D227" t="s">
        <v>3557</v>
      </c>
    </row>
    <row r="228" spans="1:4" x14ac:dyDescent="0.35">
      <c r="A228" s="149" t="s">
        <v>3092</v>
      </c>
      <c r="B228" s="3" t="e">
        <f>_xlfn.XLOOKUP(Locations[[#This Row],[Location Name]],'All Data'!L:L,'All Data'!M:M)</f>
        <v>#N/A</v>
      </c>
      <c r="C228" s="3" t="e">
        <f>_xlfn.XLOOKUP(Locations[[#This Row],[Location Name]],'All Data'!L:L,'All Data'!N:N)</f>
        <v>#N/A</v>
      </c>
      <c r="D228" t="s">
        <v>530</v>
      </c>
    </row>
    <row r="229" spans="1:4" x14ac:dyDescent="0.35">
      <c r="A229" s="150" t="s">
        <v>530</v>
      </c>
      <c r="B229" s="3" t="e">
        <f>_xlfn.XLOOKUP(Locations[[#This Row],[Location Name]],'All Data'!L:L,'All Data'!M:M)</f>
        <v>#N/A</v>
      </c>
      <c r="C229" s="3" t="e">
        <f>_xlfn.XLOOKUP(Locations[[#This Row],[Location Name]],'All Data'!L:L,'All Data'!N:N)</f>
        <v>#N/A</v>
      </c>
      <c r="D229" t="s">
        <v>530</v>
      </c>
    </row>
    <row r="230" spans="1:4" x14ac:dyDescent="0.35">
      <c r="A230" s="150" t="s">
        <v>56</v>
      </c>
      <c r="B230" s="3" t="e">
        <f>_xlfn.XLOOKUP(Locations[[#This Row],[Location Name]],'All Data'!L:L,'All Data'!M:M)</f>
        <v>#N/A</v>
      </c>
      <c r="C230" s="3" t="e">
        <f>_xlfn.XLOOKUP(Locations[[#This Row],[Location Name]],'All Data'!L:L,'All Data'!N:N)</f>
        <v>#N/A</v>
      </c>
      <c r="D230" t="s">
        <v>56</v>
      </c>
    </row>
    <row r="231" spans="1:4" x14ac:dyDescent="0.35">
      <c r="A231" s="150" t="s">
        <v>2062</v>
      </c>
      <c r="B231" s="3" t="e">
        <f>_xlfn.XLOOKUP(Locations[[#This Row],[Location Name]],'All Data'!L:L,'All Data'!M:M)</f>
        <v>#N/A</v>
      </c>
      <c r="C231" s="3" t="e">
        <f>_xlfn.XLOOKUP(Locations[[#This Row],[Location Name]],'All Data'!L:L,'All Data'!N:N)</f>
        <v>#N/A</v>
      </c>
      <c r="D231" t="s">
        <v>56</v>
      </c>
    </row>
    <row r="232" spans="1:4" x14ac:dyDescent="0.35">
      <c r="A232" s="150" t="s">
        <v>2181</v>
      </c>
      <c r="B232" s="3" t="e">
        <f>_xlfn.XLOOKUP(Locations[[#This Row],[Location Name]],'All Data'!L:L,'All Data'!M:M)</f>
        <v>#N/A</v>
      </c>
      <c r="C232" s="3" t="e">
        <f>_xlfn.XLOOKUP(Locations[[#This Row],[Location Name]],'All Data'!L:L,'All Data'!N:N)</f>
        <v>#N/A</v>
      </c>
      <c r="D232" t="s">
        <v>56</v>
      </c>
    </row>
    <row r="233" spans="1:4" x14ac:dyDescent="0.35">
      <c r="A233" s="150" t="s">
        <v>945</v>
      </c>
      <c r="B233" s="3" t="e">
        <f>_xlfn.XLOOKUP(Locations[[#This Row],[Location Name]],'All Data'!L:L,'All Data'!M:M)</f>
        <v>#N/A</v>
      </c>
      <c r="C233" s="3" t="e">
        <f>_xlfn.XLOOKUP(Locations[[#This Row],[Location Name]],'All Data'!L:L,'All Data'!N:N)</f>
        <v>#N/A</v>
      </c>
      <c r="D233" t="s">
        <v>775</v>
      </c>
    </row>
    <row r="234" spans="1:4" x14ac:dyDescent="0.35">
      <c r="A234" s="150" t="s">
        <v>775</v>
      </c>
      <c r="B234" s="3" t="e">
        <f>_xlfn.XLOOKUP(Locations[[#This Row],[Location Name]],'All Data'!L:L,'All Data'!M:M)</f>
        <v>#N/A</v>
      </c>
      <c r="C234" s="3" t="e">
        <f>_xlfn.XLOOKUP(Locations[[#This Row],[Location Name]],'All Data'!L:L,'All Data'!N:N)</f>
        <v>#N/A</v>
      </c>
      <c r="D234" t="s">
        <v>775</v>
      </c>
    </row>
    <row r="235" spans="1:4" x14ac:dyDescent="0.35">
      <c r="A235" s="150" t="s">
        <v>41</v>
      </c>
      <c r="B235" s="3" t="e">
        <f>_xlfn.XLOOKUP(Locations[[#This Row],[Location Name]],'All Data'!L:L,'All Data'!M:M)</f>
        <v>#N/A</v>
      </c>
      <c r="C235" s="3" t="e">
        <f>_xlfn.XLOOKUP(Locations[[#This Row],[Location Name]],'All Data'!L:L,'All Data'!N:N)</f>
        <v>#N/A</v>
      </c>
      <c r="D235" t="s">
        <v>41</v>
      </c>
    </row>
    <row r="236" spans="1:4" x14ac:dyDescent="0.35">
      <c r="A236" s="150" t="s">
        <v>43</v>
      </c>
      <c r="B236" s="3" t="e">
        <f>_xlfn.XLOOKUP(Locations[[#This Row],[Location Name]],'All Data'!L:L,'All Data'!M:M)</f>
        <v>#N/A</v>
      </c>
      <c r="C236" s="3" t="e">
        <f>_xlfn.XLOOKUP(Locations[[#This Row],[Location Name]],'All Data'!L:L,'All Data'!N:N)</f>
        <v>#N/A</v>
      </c>
      <c r="D236" t="s">
        <v>3558</v>
      </c>
    </row>
    <row r="237" spans="1:4" x14ac:dyDescent="0.35">
      <c r="A237" s="150" t="s">
        <v>1907</v>
      </c>
      <c r="B237" s="3" t="e">
        <f>_xlfn.XLOOKUP(Locations[[#This Row],[Location Name]],'All Data'!L:L,'All Data'!M:M)</f>
        <v>#N/A</v>
      </c>
      <c r="C237" s="3" t="e">
        <f>_xlfn.XLOOKUP(Locations[[#This Row],[Location Name]],'All Data'!L:L,'All Data'!N:N)</f>
        <v>#N/A</v>
      </c>
      <c r="D237" t="s">
        <v>1907</v>
      </c>
    </row>
    <row r="238" spans="1:4" x14ac:dyDescent="0.35">
      <c r="A238" s="150" t="s">
        <v>1692</v>
      </c>
      <c r="B238" s="3" t="e">
        <f>_xlfn.XLOOKUP(Locations[[#This Row],[Location Name]],'All Data'!L:L,'All Data'!M:M)</f>
        <v>#N/A</v>
      </c>
      <c r="C238" s="3" t="e">
        <f>_xlfn.XLOOKUP(Locations[[#This Row],[Location Name]],'All Data'!L:L,'All Data'!N:N)</f>
        <v>#N/A</v>
      </c>
      <c r="D238" t="s">
        <v>1907</v>
      </c>
    </row>
    <row r="239" spans="1:4" x14ac:dyDescent="0.35">
      <c r="A239" s="150" t="s">
        <v>1698</v>
      </c>
      <c r="B239" s="3" t="e">
        <f>_xlfn.XLOOKUP(Locations[[#This Row],[Location Name]],'All Data'!L:L,'All Data'!M:M)</f>
        <v>#N/A</v>
      </c>
      <c r="C239" s="3" t="e">
        <f>_xlfn.XLOOKUP(Locations[[#This Row],[Location Name]],'All Data'!L:L,'All Data'!N:N)</f>
        <v>#N/A</v>
      </c>
      <c r="D239" t="s">
        <v>1698</v>
      </c>
    </row>
    <row r="240" spans="1:4" x14ac:dyDescent="0.35">
      <c r="A240" s="150" t="s">
        <v>1689</v>
      </c>
      <c r="B240" s="3" t="e">
        <f>_xlfn.XLOOKUP(Locations[[#This Row],[Location Name]],'All Data'!L:L,'All Data'!M:M)</f>
        <v>#N/A</v>
      </c>
      <c r="C240" s="3" t="e">
        <f>_xlfn.XLOOKUP(Locations[[#This Row],[Location Name]],'All Data'!L:L,'All Data'!N:N)</f>
        <v>#N/A</v>
      </c>
      <c r="D240" t="s">
        <v>1689</v>
      </c>
    </row>
    <row r="241" spans="1:4" x14ac:dyDescent="0.35">
      <c r="A241" s="150" t="s">
        <v>1695</v>
      </c>
      <c r="B241" s="3" t="e">
        <f>_xlfn.XLOOKUP(Locations[[#This Row],[Location Name]],'All Data'!L:L,'All Data'!M:M)</f>
        <v>#N/A</v>
      </c>
      <c r="C241" s="3" t="e">
        <f>_xlfn.XLOOKUP(Locations[[#This Row],[Location Name]],'All Data'!L:L,'All Data'!N:N)</f>
        <v>#N/A</v>
      </c>
      <c r="D241" t="s">
        <v>1695</v>
      </c>
    </row>
    <row r="242" spans="1:4" x14ac:dyDescent="0.35">
      <c r="A242" s="150" t="s">
        <v>1904</v>
      </c>
      <c r="B242" s="3" t="e">
        <f>_xlfn.XLOOKUP(Locations[[#This Row],[Location Name]],'All Data'!L:L,'All Data'!M:M)</f>
        <v>#N/A</v>
      </c>
      <c r="C242" s="3" t="e">
        <f>_xlfn.XLOOKUP(Locations[[#This Row],[Location Name]],'All Data'!L:L,'All Data'!N:N)</f>
        <v>#N/A</v>
      </c>
      <c r="D242" t="s">
        <v>1904</v>
      </c>
    </row>
    <row r="243" spans="1:4" x14ac:dyDescent="0.35">
      <c r="A243" s="148" t="s">
        <v>3438</v>
      </c>
      <c r="B243" s="3" t="e">
        <f>_xlfn.XLOOKUP(Locations[[#This Row],[Location Name]],'All Data'!L:L,'All Data'!M:M)</f>
        <v>#N/A</v>
      </c>
      <c r="C243" s="3" t="e">
        <f>_xlfn.XLOOKUP(Locations[[#This Row],[Location Name]],'All Data'!L:L,'All Data'!N:N)</f>
        <v>#N/A</v>
      </c>
      <c r="D243" t="s">
        <v>3662</v>
      </c>
    </row>
    <row r="244" spans="1:4" x14ac:dyDescent="0.35">
      <c r="A244" s="149" t="s">
        <v>3429</v>
      </c>
      <c r="B244" s="3" t="e">
        <f>_xlfn.XLOOKUP(Locations[[#This Row],[Location Name]],'All Data'!L:L,'All Data'!M:M)</f>
        <v>#N/A</v>
      </c>
      <c r="C244" s="3" t="e">
        <f>_xlfn.XLOOKUP(Locations[[#This Row],[Location Name]],'All Data'!L:L,'All Data'!N:N)</f>
        <v>#N/A</v>
      </c>
      <c r="D244" t="s">
        <v>3479</v>
      </c>
    </row>
    <row r="245" spans="1:4" x14ac:dyDescent="0.35">
      <c r="A245" s="148" t="s">
        <v>3431</v>
      </c>
      <c r="B245" s="3" t="e">
        <f>_xlfn.XLOOKUP(Locations[[#This Row],[Location Name]],'All Data'!L:L,'All Data'!M:M)</f>
        <v>#N/A</v>
      </c>
      <c r="C245" s="3" t="e">
        <f>_xlfn.XLOOKUP(Locations[[#This Row],[Location Name]],'All Data'!L:L,'All Data'!N:N)</f>
        <v>#N/A</v>
      </c>
      <c r="D245" t="s">
        <v>3663</v>
      </c>
    </row>
    <row r="246" spans="1:4" x14ac:dyDescent="0.35">
      <c r="A246" s="150" t="s">
        <v>2755</v>
      </c>
      <c r="B246" s="3" t="e">
        <f>_xlfn.XLOOKUP(Locations[[#This Row],[Location Name]],'All Data'!L:L,'All Data'!M:M)</f>
        <v>#N/A</v>
      </c>
      <c r="C246" s="3" t="e">
        <f>_xlfn.XLOOKUP(Locations[[#This Row],[Location Name]],'All Data'!L:L,'All Data'!N:N)</f>
        <v>#N/A</v>
      </c>
      <c r="D246" t="s">
        <v>787</v>
      </c>
    </row>
    <row r="247" spans="1:4" x14ac:dyDescent="0.35">
      <c r="A247" s="151"/>
      <c r="B247" s="3" t="e">
        <f>_xlfn.XLOOKUP(Locations[[#This Row],[Location Name]],'All Data'!L:L,'All Data'!M:M)</f>
        <v>#N/A</v>
      </c>
      <c r="C247" s="3" t="e">
        <f>_xlfn.XLOOKUP(Locations[[#This Row],[Location Name]],'All Data'!L:L,'All Data'!N:N)</f>
        <v>#N/A</v>
      </c>
    </row>
  </sheetData>
  <phoneticPr fontId="17" type="noConversion"/>
  <conditionalFormatting sqref="B2:C1048576">
    <cfRule type="cellIs" dxfId="37" priority="1" operator="equal">
      <formula>0</formula>
    </cfRule>
  </conditionalFormatting>
  <dataValidations count="1">
    <dataValidation type="list" allowBlank="1" showInputMessage="1" showErrorMessage="1" sqref="D3:D247" xr:uid="{237AADC8-F4CD-4857-A510-56D0F845E6E1}">
      <formula1>$F$3:$F$301</formula1>
    </dataValidation>
  </dataValidations>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09FA-FCE8-4FB2-8DE0-509B32FC351D}">
  <sheetPr>
    <pageSetUpPr fitToPage="1"/>
  </sheetPr>
  <dimension ref="A1:CE133"/>
  <sheetViews>
    <sheetView topLeftCell="A99" zoomScale="85" zoomScaleNormal="85" workbookViewId="0">
      <pane xSplit="10" topLeftCell="K1" activePane="topRight" state="frozen"/>
      <selection pane="topRight" activeCell="AW11" sqref="AW11"/>
    </sheetView>
  </sheetViews>
  <sheetFormatPr defaultRowHeight="14.5" x14ac:dyDescent="0.35"/>
  <cols>
    <col min="1" max="1" width="2.08984375" customWidth="1"/>
    <col min="2" max="2" width="24.81640625" customWidth="1"/>
    <col min="3" max="3" width="11.7265625" customWidth="1"/>
    <col min="4" max="4" width="13.26953125" customWidth="1"/>
    <col min="5" max="5" width="16.6328125" customWidth="1"/>
    <col min="6" max="6" width="20.26953125" customWidth="1"/>
    <col min="7" max="7" width="17.08984375" customWidth="1"/>
    <col min="8" max="8" width="8.26953125" customWidth="1"/>
    <col min="9" max="9" width="14.6328125" customWidth="1"/>
    <col min="10" max="10" width="12.08984375" bestFit="1" customWidth="1"/>
    <col min="11" max="11" width="19.7265625" customWidth="1"/>
    <col min="12" max="12" width="21.08984375" customWidth="1"/>
    <col min="13" max="13" width="19.7265625" customWidth="1"/>
    <col min="14" max="14" width="19.81640625" customWidth="1"/>
    <col min="15" max="15" width="8.26953125" bestFit="1" customWidth="1"/>
    <col min="16" max="16" width="8.6328125" bestFit="1" customWidth="1"/>
    <col min="17" max="17" width="14" customWidth="1"/>
    <col min="18" max="18" width="11" bestFit="1" customWidth="1"/>
    <col min="19" max="19" width="13.81640625" customWidth="1"/>
    <col min="20" max="20" width="8.26953125" bestFit="1" customWidth="1"/>
    <col min="21" max="21" width="7.81640625" bestFit="1" customWidth="1"/>
    <col min="22" max="22" width="14.6328125" customWidth="1"/>
    <col min="23" max="23" width="11" bestFit="1" customWidth="1"/>
    <col min="24" max="24" width="14.08984375" customWidth="1"/>
    <col min="25" max="25" width="8.26953125" bestFit="1" customWidth="1"/>
    <col min="26" max="26" width="7.81640625" bestFit="1" customWidth="1"/>
    <col min="27" max="27" width="14.81640625" customWidth="1"/>
    <col min="28" max="28" width="11" bestFit="1" customWidth="1"/>
    <col min="29" max="29" width="14.36328125" customWidth="1"/>
    <col min="30" max="30" width="8.26953125" bestFit="1" customWidth="1"/>
    <col min="31" max="31" width="7.81640625" bestFit="1" customWidth="1"/>
    <col min="32" max="32" width="15.36328125" customWidth="1"/>
    <col min="33" max="33" width="11.7265625" customWidth="1"/>
    <col min="34" max="34" width="11.36328125" customWidth="1"/>
    <col min="37" max="37" width="11.81640625" customWidth="1"/>
    <col min="38" max="38" width="15.26953125" customWidth="1"/>
    <col min="39" max="39" width="11.26953125" customWidth="1"/>
    <col min="40" max="40" width="12.6328125" customWidth="1"/>
    <col min="41" max="41" width="16.08984375" customWidth="1"/>
    <col min="44" max="44" width="14.6328125" bestFit="1" customWidth="1"/>
    <col min="47" max="47" width="10.26953125" bestFit="1" customWidth="1"/>
    <col min="51" max="51" width="15.6328125" bestFit="1" customWidth="1"/>
    <col min="52" max="52" width="11.36328125" customWidth="1"/>
    <col min="54" max="54" width="11.6328125" customWidth="1"/>
    <col min="55" max="55" width="10.08984375" bestFit="1" customWidth="1"/>
    <col min="61" max="61" width="11.08984375" bestFit="1" customWidth="1"/>
    <col min="62" max="62" width="9.08984375" customWidth="1"/>
    <col min="82" max="82" width="10.81640625" bestFit="1" customWidth="1"/>
  </cols>
  <sheetData>
    <row r="1" spans="2:83" ht="15" thickBot="1" x14ac:dyDescent="0.4"/>
    <row r="2" spans="2:83" x14ac:dyDescent="0.35">
      <c r="B2" s="14" t="s">
        <v>3588</v>
      </c>
      <c r="C2" s="13"/>
      <c r="D2" s="213" t="s">
        <v>3589</v>
      </c>
      <c r="E2" s="214"/>
      <c r="F2" s="214"/>
      <c r="G2" s="214"/>
      <c r="H2" s="214"/>
      <c r="I2" s="214"/>
      <c r="J2" s="214"/>
      <c r="K2" s="232"/>
    </row>
    <row r="3" spans="2:83" x14ac:dyDescent="0.35">
      <c r="B3" s="15" t="s">
        <v>3590</v>
      </c>
      <c r="C3" s="13"/>
      <c r="D3" s="16" t="s">
        <v>3591</v>
      </c>
      <c r="E3" s="144" t="s">
        <v>3592</v>
      </c>
      <c r="F3" s="233" t="s">
        <v>3593</v>
      </c>
      <c r="G3" s="234"/>
      <c r="H3" s="233" t="s">
        <v>3594</v>
      </c>
      <c r="I3" s="234"/>
      <c r="J3" s="235" t="s">
        <v>3595</v>
      </c>
      <c r="K3" s="236"/>
    </row>
    <row r="4" spans="2:83" ht="15" thickBot="1" x14ac:dyDescent="0.4">
      <c r="B4" s="17" t="s">
        <v>3596</v>
      </c>
      <c r="C4" s="13"/>
      <c r="D4" s="101" t="s">
        <v>3597</v>
      </c>
      <c r="E4" s="145" t="s">
        <v>3598</v>
      </c>
      <c r="F4" s="237" t="s">
        <v>3599</v>
      </c>
      <c r="G4" s="238"/>
      <c r="H4" s="237" t="s">
        <v>3600</v>
      </c>
      <c r="I4" s="238"/>
      <c r="J4" s="239" t="s">
        <v>3601</v>
      </c>
      <c r="K4" s="240"/>
    </row>
    <row r="5" spans="2:83" ht="15" thickBot="1" x14ac:dyDescent="0.4">
      <c r="B5" s="18" t="s">
        <v>3602</v>
      </c>
      <c r="C5" s="13"/>
      <c r="D5" s="13" t="s">
        <v>3603</v>
      </c>
      <c r="E5" s="13"/>
      <c r="F5" s="106" t="s">
        <v>3604</v>
      </c>
      <c r="G5" s="13"/>
      <c r="H5" s="13"/>
      <c r="I5" s="13"/>
      <c r="J5" s="97"/>
      <c r="K5" s="97"/>
    </row>
    <row r="6" spans="2:83" x14ac:dyDescent="0.35">
      <c r="B6" s="241" t="s">
        <v>3667</v>
      </c>
      <c r="D6" s="99" t="s">
        <v>3605</v>
      </c>
      <c r="E6" s="99"/>
      <c r="F6" s="106" t="s">
        <v>3606</v>
      </c>
      <c r="M6" s="13"/>
      <c r="N6" s="13"/>
      <c r="O6" s="13"/>
      <c r="P6" s="13"/>
      <c r="Q6" s="13"/>
      <c r="R6" s="13"/>
      <c r="S6" s="13"/>
      <c r="T6" s="13"/>
      <c r="U6" s="13"/>
      <c r="V6" s="13"/>
      <c r="W6" s="13"/>
      <c r="X6" s="13"/>
      <c r="Y6" s="13"/>
      <c r="Z6" s="13"/>
      <c r="AA6" s="13"/>
      <c r="AB6" s="13"/>
      <c r="AC6" s="13"/>
      <c r="AD6" s="13"/>
      <c r="AE6" s="13"/>
      <c r="AF6" s="13"/>
      <c r="AG6" s="13"/>
      <c r="AH6" s="13"/>
    </row>
    <row r="7" spans="2:83" ht="15" thickBot="1" x14ac:dyDescent="0.4">
      <c r="B7" s="242"/>
      <c r="D7" s="99" t="s">
        <v>3607</v>
      </c>
      <c r="L7" s="13"/>
      <c r="M7" s="13"/>
      <c r="N7" s="13"/>
      <c r="O7" s="13"/>
      <c r="P7" s="13"/>
      <c r="Q7" s="13"/>
      <c r="R7" s="13"/>
      <c r="S7" s="13"/>
      <c r="T7" s="13"/>
      <c r="U7" s="13"/>
      <c r="V7" s="13"/>
      <c r="W7" s="13"/>
      <c r="X7" s="13"/>
      <c r="Y7" s="13"/>
      <c r="Z7" s="13"/>
      <c r="AA7" s="13"/>
      <c r="AB7" s="13"/>
      <c r="AC7" s="13"/>
      <c r="AD7" s="13"/>
      <c r="AE7" s="13"/>
      <c r="AF7" s="13"/>
      <c r="AG7" s="13"/>
      <c r="AH7" s="13"/>
    </row>
    <row r="8" spans="2:83" ht="15" thickBot="1" x14ac:dyDescent="0.4">
      <c r="B8" s="212" t="s">
        <v>3608</v>
      </c>
      <c r="C8" s="212"/>
      <c r="D8" s="212"/>
      <c r="E8" s="212"/>
      <c r="F8" s="212"/>
      <c r="M8" s="13"/>
      <c r="N8" s="13"/>
      <c r="O8" s="266" t="s">
        <v>3609</v>
      </c>
      <c r="P8" s="267"/>
      <c r="Q8" s="267"/>
      <c r="R8" s="267"/>
      <c r="S8" s="267"/>
      <c r="T8" s="267"/>
      <c r="U8" s="267"/>
      <c r="V8" s="267"/>
      <c r="W8" s="267"/>
      <c r="X8" s="267"/>
      <c r="Y8" s="267"/>
      <c r="Z8" s="267"/>
      <c r="AA8" s="267"/>
      <c r="AB8" s="267"/>
      <c r="AC8" s="267"/>
      <c r="AD8" s="267"/>
      <c r="AE8" s="267"/>
      <c r="AF8" s="267"/>
      <c r="AG8" s="267"/>
      <c r="AH8" s="268"/>
    </row>
    <row r="9" spans="2:83" ht="15" thickBot="1" x14ac:dyDescent="0.4">
      <c r="B9" s="212"/>
      <c r="C9" s="212"/>
      <c r="D9" s="212"/>
      <c r="E9" s="212"/>
      <c r="F9" s="212"/>
      <c r="M9" s="19"/>
      <c r="N9" s="19"/>
      <c r="O9" s="259">
        <v>2023</v>
      </c>
      <c r="P9" s="260"/>
      <c r="Q9" s="260"/>
      <c r="R9" s="260"/>
      <c r="S9" s="260"/>
      <c r="T9" s="260"/>
      <c r="U9" s="260"/>
      <c r="V9" s="260"/>
      <c r="W9" s="260"/>
      <c r="X9" s="260"/>
      <c r="Y9" s="260"/>
      <c r="Z9" s="260"/>
      <c r="AA9" s="260"/>
      <c r="AB9" s="260"/>
      <c r="AC9" s="260"/>
      <c r="AD9" s="246">
        <v>2024</v>
      </c>
      <c r="AE9" s="247"/>
      <c r="AF9" s="247"/>
      <c r="AG9" s="247"/>
      <c r="AH9" s="247"/>
      <c r="AI9" s="248"/>
      <c r="AJ9" s="248"/>
      <c r="AK9" s="248"/>
      <c r="AL9" s="248"/>
      <c r="AM9" s="248"/>
      <c r="AN9" s="248"/>
      <c r="AO9" s="248"/>
      <c r="AP9" s="248"/>
      <c r="AQ9" s="248"/>
      <c r="AR9" s="248"/>
      <c r="AS9" s="248"/>
      <c r="AT9" s="248"/>
      <c r="AU9" s="248"/>
      <c r="AV9" s="248"/>
      <c r="AW9" s="248"/>
      <c r="AX9" s="248"/>
      <c r="AY9" s="248"/>
      <c r="AZ9" s="248"/>
      <c r="BA9" s="248"/>
      <c r="BB9" s="248"/>
      <c r="BC9" s="249"/>
      <c r="BD9" s="277">
        <v>2025</v>
      </c>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8"/>
    </row>
    <row r="10" spans="2:83" ht="15" thickBot="1" x14ac:dyDescent="0.4">
      <c r="B10" s="13"/>
      <c r="C10" s="13"/>
      <c r="D10" s="13"/>
      <c r="E10" s="13"/>
      <c r="F10" s="13"/>
      <c r="G10" s="13"/>
      <c r="H10" s="221" t="s">
        <v>3610</v>
      </c>
      <c r="I10" s="222"/>
      <c r="J10" s="222"/>
      <c r="K10" s="222"/>
      <c r="L10" s="222"/>
      <c r="M10" s="222"/>
      <c r="N10" s="222"/>
      <c r="O10" s="223" t="s">
        <v>3611</v>
      </c>
      <c r="P10" s="224"/>
      <c r="Q10" s="224"/>
      <c r="R10" s="224"/>
      <c r="S10" s="225"/>
      <c r="T10" s="226" t="s">
        <v>3612</v>
      </c>
      <c r="U10" s="227"/>
      <c r="V10" s="227"/>
      <c r="W10" s="227"/>
      <c r="X10" s="228"/>
      <c r="Y10" s="243" t="s">
        <v>3613</v>
      </c>
      <c r="Z10" s="244"/>
      <c r="AA10" s="244"/>
      <c r="AB10" s="244"/>
      <c r="AC10" s="245"/>
      <c r="AD10" s="209" t="s">
        <v>3614</v>
      </c>
      <c r="AE10" s="210"/>
      <c r="AF10" s="210"/>
      <c r="AG10" s="210"/>
      <c r="AH10" s="211"/>
      <c r="AI10" s="265" t="s">
        <v>3611</v>
      </c>
      <c r="AJ10" s="224"/>
      <c r="AK10" s="224"/>
      <c r="AL10" s="224"/>
      <c r="AM10" s="224"/>
      <c r="AN10" s="224"/>
      <c r="AO10" s="225"/>
      <c r="AP10" s="227" t="s">
        <v>3612</v>
      </c>
      <c r="AQ10" s="227"/>
      <c r="AR10" s="227"/>
      <c r="AS10" s="227"/>
      <c r="AT10" s="227"/>
      <c r="AU10" s="227"/>
      <c r="AV10" s="228"/>
      <c r="AW10" s="243" t="s">
        <v>3613</v>
      </c>
      <c r="AX10" s="244"/>
      <c r="AY10" s="244"/>
      <c r="AZ10" s="244"/>
      <c r="BA10" s="244"/>
      <c r="BB10" s="244"/>
      <c r="BC10" s="245"/>
      <c r="BD10" s="210" t="s">
        <v>3614</v>
      </c>
      <c r="BE10" s="210"/>
      <c r="BF10" s="210"/>
      <c r="BG10" s="210"/>
      <c r="BH10" s="210"/>
      <c r="BI10" s="210"/>
      <c r="BJ10" s="171"/>
      <c r="BK10" s="279" t="s">
        <v>3611</v>
      </c>
      <c r="BL10" s="279"/>
      <c r="BM10" s="279"/>
      <c r="BN10" s="279"/>
      <c r="BO10" s="279"/>
      <c r="BP10" s="279"/>
      <c r="BQ10" s="280"/>
      <c r="BR10" s="281" t="s">
        <v>3612</v>
      </c>
      <c r="BS10" s="282"/>
      <c r="BT10" s="282"/>
      <c r="BU10" s="282"/>
      <c r="BV10" s="282"/>
      <c r="BW10" s="282"/>
      <c r="BX10" s="283"/>
      <c r="BY10" s="284" t="s">
        <v>3613</v>
      </c>
      <c r="BZ10" s="285"/>
      <c r="CA10" s="285"/>
      <c r="CB10" s="285"/>
      <c r="CC10" s="285"/>
      <c r="CD10" s="285"/>
      <c r="CE10" s="286"/>
    </row>
    <row r="11" spans="2:83" ht="70" x14ac:dyDescent="0.35">
      <c r="B11" s="158" t="s">
        <v>7</v>
      </c>
      <c r="C11" s="21" t="s">
        <v>12</v>
      </c>
      <c r="D11" s="21" t="s">
        <v>13</v>
      </c>
      <c r="E11" s="21" t="s">
        <v>8</v>
      </c>
      <c r="F11" s="21" t="s">
        <v>9</v>
      </c>
      <c r="G11" s="163" t="s">
        <v>3615</v>
      </c>
      <c r="H11" s="21" t="s">
        <v>3616</v>
      </c>
      <c r="I11" s="21" t="s">
        <v>3591</v>
      </c>
      <c r="J11" s="21" t="s">
        <v>3597</v>
      </c>
      <c r="K11" s="172" t="s">
        <v>3617</v>
      </c>
      <c r="L11" s="172" t="s">
        <v>3618</v>
      </c>
      <c r="M11" s="172" t="str">
        <f>"N Pollution Rank 
("&amp;COUNTA(B12:B89)&amp;" = Least Polluted)"</f>
        <v>N Pollution Rank 
(78 = Least Polluted)</v>
      </c>
      <c r="N11" s="172" t="str">
        <f>"P Pollution Rank 
("&amp;COUNTA(B12:B89)&amp;" = Least Polluted)"</f>
        <v>P Pollution Rank 
(78 = Least Polluted)</v>
      </c>
      <c r="O11" s="158" t="s">
        <v>3616</v>
      </c>
      <c r="P11" s="21" t="s">
        <v>3591</v>
      </c>
      <c r="Q11" s="172" t="s">
        <v>3619</v>
      </c>
      <c r="R11" s="21" t="s">
        <v>3597</v>
      </c>
      <c r="S11" s="173" t="s">
        <v>3620</v>
      </c>
      <c r="T11" s="21" t="s">
        <v>3616</v>
      </c>
      <c r="U11" s="21" t="s">
        <v>3591</v>
      </c>
      <c r="V11" s="172" t="s">
        <v>3619</v>
      </c>
      <c r="W11" s="21" t="s">
        <v>3597</v>
      </c>
      <c r="X11" s="173" t="s">
        <v>3620</v>
      </c>
      <c r="Y11" s="21" t="s">
        <v>3616</v>
      </c>
      <c r="Z11" s="21" t="s">
        <v>3591</v>
      </c>
      <c r="AA11" s="172" t="s">
        <v>3619</v>
      </c>
      <c r="AB11" s="21" t="s">
        <v>3597</v>
      </c>
      <c r="AC11" s="173" t="s">
        <v>3620</v>
      </c>
      <c r="AD11" s="158" t="s">
        <v>3616</v>
      </c>
      <c r="AE11" s="21" t="s">
        <v>3591</v>
      </c>
      <c r="AF11" s="172" t="s">
        <v>3619</v>
      </c>
      <c r="AG11" s="21" t="s">
        <v>3597</v>
      </c>
      <c r="AH11" s="173" t="s">
        <v>3620</v>
      </c>
      <c r="AI11" s="21" t="s">
        <v>3616</v>
      </c>
      <c r="AJ11" s="21" t="s">
        <v>3591</v>
      </c>
      <c r="AK11" s="172" t="s">
        <v>3619</v>
      </c>
      <c r="AL11" s="172" t="s">
        <v>3621</v>
      </c>
      <c r="AM11" s="21" t="s">
        <v>3597</v>
      </c>
      <c r="AN11" s="172" t="s">
        <v>3620</v>
      </c>
      <c r="AO11" s="173" t="s">
        <v>3622</v>
      </c>
      <c r="AP11" s="21" t="s">
        <v>3616</v>
      </c>
      <c r="AQ11" s="21" t="s">
        <v>3591</v>
      </c>
      <c r="AR11" s="172" t="s">
        <v>3619</v>
      </c>
      <c r="AS11" s="172" t="s">
        <v>3621</v>
      </c>
      <c r="AT11" s="21" t="s">
        <v>3597</v>
      </c>
      <c r="AU11" s="172" t="s">
        <v>3620</v>
      </c>
      <c r="AV11" s="173" t="s">
        <v>3622</v>
      </c>
      <c r="AW11" s="174" t="s">
        <v>3616</v>
      </c>
      <c r="AX11" s="21" t="s">
        <v>3591</v>
      </c>
      <c r="AY11" s="172" t="s">
        <v>3619</v>
      </c>
      <c r="AZ11" s="172" t="s">
        <v>3621</v>
      </c>
      <c r="BA11" s="21" t="s">
        <v>3597</v>
      </c>
      <c r="BB11" s="172" t="s">
        <v>3620</v>
      </c>
      <c r="BC11" s="163" t="s">
        <v>3622</v>
      </c>
      <c r="BD11" s="21" t="s">
        <v>3616</v>
      </c>
      <c r="BE11" s="21" t="s">
        <v>3591</v>
      </c>
      <c r="BF11" s="172" t="s">
        <v>3619</v>
      </c>
      <c r="BG11" s="172" t="s">
        <v>3621</v>
      </c>
      <c r="BH11" s="21" t="s">
        <v>3597</v>
      </c>
      <c r="BI11" s="172" t="s">
        <v>3620</v>
      </c>
      <c r="BJ11" s="173" t="s">
        <v>3622</v>
      </c>
      <c r="BK11" s="175" t="s">
        <v>3616</v>
      </c>
      <c r="BL11" s="175" t="s">
        <v>3591</v>
      </c>
      <c r="BM11" s="176" t="s">
        <v>3619</v>
      </c>
      <c r="BN11" s="176" t="s">
        <v>3621</v>
      </c>
      <c r="BO11" s="175" t="s">
        <v>3597</v>
      </c>
      <c r="BP11" s="176" t="s">
        <v>3620</v>
      </c>
      <c r="BQ11" s="177" t="s">
        <v>3622</v>
      </c>
      <c r="BR11" s="175" t="s">
        <v>3616</v>
      </c>
      <c r="BS11" s="175" t="s">
        <v>3591</v>
      </c>
      <c r="BT11" s="176" t="s">
        <v>3619</v>
      </c>
      <c r="BU11" s="176" t="s">
        <v>3621</v>
      </c>
      <c r="BV11" s="175" t="s">
        <v>3597</v>
      </c>
      <c r="BW11" s="176" t="s">
        <v>3620</v>
      </c>
      <c r="BX11" s="177" t="s">
        <v>3622</v>
      </c>
      <c r="BY11" s="21" t="s">
        <v>3616</v>
      </c>
      <c r="BZ11" s="21" t="s">
        <v>3591</v>
      </c>
      <c r="CA11" s="172" t="s">
        <v>3619</v>
      </c>
      <c r="CB11" s="172" t="s">
        <v>3621</v>
      </c>
      <c r="CC11" s="21" t="s">
        <v>3597</v>
      </c>
      <c r="CD11" s="172" t="s">
        <v>3620</v>
      </c>
      <c r="CE11" s="163" t="s">
        <v>3622</v>
      </c>
    </row>
    <row r="12" spans="2:83" x14ac:dyDescent="0.35">
      <c r="B12" s="159" t="s">
        <v>27</v>
      </c>
      <c r="C12" s="113">
        <f>IFERROR(AVERAGEIF(AllData[Site Name], Tables!B12, AllData[Latitude]), "Unknown")</f>
        <v>51.991313075757589</v>
      </c>
      <c r="D12" s="113">
        <f>IFERROR(AVERAGEIF(AllData[Site Name], Tables!B12, AllData[Longitude]), "Unknown")</f>
        <v>-2.1621998181818181</v>
      </c>
      <c r="E12" s="13" t="e" vm="4">
        <f>_xlfn.XLOOKUP(B12,LocationsKey[Site Name], LocationsKey[District])</f>
        <v>#VALUE!</v>
      </c>
      <c r="F12" s="13" t="e" vm="4">
        <f>_xlfn.XLOOKUP(B12,LocationsKey[Site Name], LocationsKey[Town])</f>
        <v>#VALUE!</v>
      </c>
      <c r="G12" s="25" t="str">
        <f>_xlfn.XLOOKUP(B12,LocationsKey[Site Name],LocationsKey[Waterway])</f>
        <v>Avon</v>
      </c>
      <c r="H12" s="157">
        <f>COUNTIF(AllData[Site Name], Tables!B12)</f>
        <v>81</v>
      </c>
      <c r="I12" s="160">
        <f>AVERAGE(P12,U12,Z12,AE12,AJ12,AQ12,AX12,BE12,BL12,BS12,BZ12)</f>
        <v>6.6511460761460759</v>
      </c>
      <c r="J12" s="161">
        <f>AVERAGE(R12,W12,AB12,AG12, AM12,AT12,BA12,BH12,BO12,BV12,CC12)</f>
        <v>0.71062118783993788</v>
      </c>
      <c r="K12" s="27" cm="1">
        <f t="array" ref="K12">SUM(COUNTIFS(AllData[Site Name], B12, AllData[Nitrate Pollution Category], {"High","Very high"}))/COUNTIFS(AllData[Site Name], B12, AllData[Nitrate (PPM)], "&lt;&gt;0")</f>
        <v>1</v>
      </c>
      <c r="L12" s="27" cm="1">
        <f t="array" ref="L12">SUM(COUNTIFS(AllData[Site Name], B12, AllData[Phosphate Pollution Category], {"High","Very high"}))/COUNTIFS(AllData[Site Name], B12, AllData[Phosphate (PPM)], "&lt;&gt;0")</f>
        <v>1</v>
      </c>
      <c r="M12" s="157">
        <f>RANK(I12,$I$12:$I$98)</f>
        <v>37</v>
      </c>
      <c r="N12" s="157">
        <f>RANK(J12,$J$12:$J$98)</f>
        <v>24</v>
      </c>
      <c r="O12" s="26">
        <f>COUNTIFS(AllData[Site Name], Tables!$B12, AllData[Season], "Summer", AllData[Year], "2023")</f>
        <v>10</v>
      </c>
      <c r="P12" s="160">
        <f>IFERROR(AVERAGEIFS(AllData[Nitrate (PPM)], AllData[Site Name], $B12, AllData[Season], "Summer", AllData[Year], "2023"), "")</f>
        <v>8.6</v>
      </c>
      <c r="Q12" s="27">
        <f>IFERROR((P12-$I12)/$I12, "")</f>
        <v>0.29301024237662859</v>
      </c>
      <c r="R12" s="161">
        <f>IFERROR(AVERAGEIFS(AllData[Phosphate (PPM)], AllData[Site Name], $B12, AllData[Season], "Summer", AllData[Year], "2023"),"")</f>
        <v>1.032</v>
      </c>
      <c r="S12" s="28">
        <f>IFERROR((R12-$J12)/$J12, "")</f>
        <v>0.45225053468635151</v>
      </c>
      <c r="T12" s="26">
        <f>COUNTIFS(AllData[Site Name], Tables!$B12, AllData[Season], "Autumn", AllData[Year], "2023")</f>
        <v>13</v>
      </c>
      <c r="U12" s="160">
        <f>IFERROR(AVERAGEIFS(AllData[Nitrate (PPM)], AllData[Site Name], $B12, AllData[Season], "Autumn", AllData[Year], "2023"), "")</f>
        <v>7.9230769230769234</v>
      </c>
      <c r="V12" s="27">
        <f>IFERROR((U12-$I12)/$I12, "")</f>
        <v>0.19123483868329832</v>
      </c>
      <c r="W12" s="161">
        <f>IFERROR(AVERAGEIFS(AllData[Phosphate (PPM)], AllData[Site Name], $B12, AllData[Season], "Autumn", AllData[Year], "2023"),"")</f>
        <v>0.9276923076923077</v>
      </c>
      <c r="X12" s="28">
        <f>IFERROR((W12-$J12)/$J12, "")</f>
        <v>0.30546671499086159</v>
      </c>
      <c r="Y12" s="26">
        <f>COUNTIFS(AllData[Site Name], Tables!$B12, AllData[Season], "Winter", AllData[Year], "2023")</f>
        <v>13</v>
      </c>
      <c r="Z12" s="160">
        <f>IFERROR(AVERAGEIFS(AllData[Nitrate (PPM)], AllData[Site Name], $B12, AllData[Season], "Winter", AllData[Year], "2023"), "")</f>
        <v>5.615384615384615</v>
      </c>
      <c r="AA12" s="27">
        <f>IFERROR((Z12-$I12)/$I12, "")</f>
        <v>-0.15572676481669157</v>
      </c>
      <c r="AB12" s="161">
        <f>IFERROR(AVERAGEIFS(AllData[Phosphate (PPM)], AllData[Site Name], $B12, AllData[Season], "Winter", AllData[Year], "2023"),"")</f>
        <v>0.68846153846153857</v>
      </c>
      <c r="AC12" s="28">
        <f>IFERROR((AB12-$J12)/$J12, "")</f>
        <v>-3.1183490947909381E-2</v>
      </c>
      <c r="AD12" s="26">
        <f>COUNTIFS(AllData[Site Name], Tables!$B12, AllData[Season], "Spring", AllData[Year], "2024")</f>
        <v>12</v>
      </c>
      <c r="AE12" s="160">
        <f>IFERROR(AVERAGEIFS(AllData[Nitrate (PPM)], AllData[Site Name], $B12, AllData[Season], "Spring", AllData[Year], "2024"), "")</f>
        <v>7.166666666666667</v>
      </c>
      <c r="AF12" s="27">
        <f>IFERROR((AE12-$I12)/$I12, "")</f>
        <v>7.7508535313857235E-2</v>
      </c>
      <c r="AG12" s="161">
        <f>IFERROR(AVERAGEIFS(AllData[Phosphate (PPM)], AllData[Site Name], $B12, AllData[Season], "Spring", AllData[Year], "2024"),"")</f>
        <v>0.60083333333333333</v>
      </c>
      <c r="AH12" s="28">
        <f>IFERROR((AG12-$J12)/$J12, "")</f>
        <v>-0.15449561086170913</v>
      </c>
      <c r="AI12" s="166">
        <f>COUNTIFS(AllData[Site Name], Tables!$B12, AllData[Season], "Summer", AllData[Year], "2024")</f>
        <v>11</v>
      </c>
      <c r="AJ12" s="167">
        <f>IFERROR(AVERAGEIFS(AllData[Nitrate (PPM)], AllData[Site Name], $B12, AllData[Season], "Summer", AllData[Year], "2024"), "")</f>
        <v>9.1818181818181817</v>
      </c>
      <c r="AK12" s="168">
        <f>IFERROR((AJ12-$I12)/$I12, "")</f>
        <v>0.38048662241056541</v>
      </c>
      <c r="AL12" s="168">
        <f>IFERROR((AJ12-P12)/P12, "")</f>
        <v>6.7653276955602568E-2</v>
      </c>
      <c r="AM12" s="169">
        <f>IFERROR(AVERAGEIFS(AllData[Phosphate (PPM)], AllData[Site Name], $B12, AllData[Season], "Summer", AllData[Year], "2024"),"")</f>
        <v>0.84545454545454557</v>
      </c>
      <c r="AN12" s="168">
        <f>IFERROR((AM12-$J12)/$J12, "")</f>
        <v>0.18974013148194771</v>
      </c>
      <c r="AO12" s="170">
        <f>IFERROR((AM12-R12)/R12,"")</f>
        <v>-0.18076109936575044</v>
      </c>
      <c r="AP12" s="157">
        <f>COUNTIFS(AllData[Site Name], Tables!$B12, AllData[Season], "Autumn", AllData[Year], "2024")</f>
        <v>8</v>
      </c>
      <c r="AQ12" s="160">
        <f>IFERROR(AVERAGEIFS(AllData[Nitrate (PPM)], AllData[Site Name], $B12, AllData[Season], "Autumn", AllData[Year], "2024"), "")</f>
        <v>8.5</v>
      </c>
      <c r="AR12" s="27">
        <f>IFERROR((AQ12-$I12)/$I12, "")</f>
        <v>0.27797523955829573</v>
      </c>
      <c r="AS12" s="27">
        <f>IFERROR((AQ12-$U12)/$U12, "")</f>
        <v>7.2815533980582492E-2</v>
      </c>
      <c r="AT12" s="161">
        <f>IFERROR(AVERAGEIFS(AllData[Phosphate (PPM)], AllData[Site Name], B12, AllData[Season], "Autumn", AllData[Year], "2024"), "")</f>
        <v>0.63874999999999993</v>
      </c>
      <c r="AU12" s="27">
        <f>IFERROR((AT12-$J12)/$J12, "")</f>
        <v>-0.10113853776074913</v>
      </c>
      <c r="AV12" s="28">
        <f>IFERROR((AT12-$W12)/$W12,"")</f>
        <v>-0.3114635157545606</v>
      </c>
      <c r="AW12" s="165">
        <f>COUNTIFS(AllData[Site Name], Tables!$B12, AllData[Season], "Winter", AllData[Year], "2024")</f>
        <v>9</v>
      </c>
      <c r="AX12" s="160">
        <f>IFERROR(AVERAGEIFS(AllData[Nitrate (PPM)], AllData[Site Name], $B12, AllData[Season], "Winter", AllData[Year], "2024"), "")</f>
        <v>4.2222222222222223</v>
      </c>
      <c r="AY12" s="27">
        <f>IFERROR((AX12-$I12)/$I12, "")</f>
        <v>-0.36518876989261123</v>
      </c>
      <c r="AZ12" s="27">
        <f>IFERROR((AX12-Z12)/Z12, "")</f>
        <v>-0.24809741248097406</v>
      </c>
      <c r="BA12" s="161">
        <f>IFERROR(AVERAGEIFS(AllData[Phosphate (PPM)], AllData[Site Name], $B12, AllData[Season], "Winter", AllData[Year], "2024"), "")</f>
        <v>0.51777777777777778</v>
      </c>
      <c r="BB12" s="27">
        <f>IFERROR((BA12-$J12)/$J12, "")</f>
        <v>-0.27137300908285983</v>
      </c>
      <c r="BC12" s="44">
        <f>IFERROR((BA12-AB12)/AB12,"")</f>
        <v>-0.24792054624456869</v>
      </c>
      <c r="BD12" s="186">
        <f>COUNTIFS(AllData[Site Name], Tables!$B12, AllData[Season], "Spring", AllData[Year], "2025")</f>
        <v>5</v>
      </c>
      <c r="BE12" s="167">
        <f>IFERROR(AVERAGEIFS(AllData[Nitrate (PPM)], AllData[Site Name], $B12, AllData[Season], "Spring", AllData[Year], "2025"), "")</f>
        <v>2</v>
      </c>
      <c r="BF12" s="168">
        <f>IFERROR((BE12-$I12)/$I12, "")</f>
        <v>-0.69929994363334214</v>
      </c>
      <c r="BG12" s="168">
        <f>IFERROR((BE12-AE12)/AE12, "")</f>
        <v>-0.72093023255813959</v>
      </c>
      <c r="BH12" s="169">
        <f>IFERROR(AVERAGEIFS(AllData[Phosphate (PPM)], AllData[Site Name], $B12, AllData[Season], "Spring", AllData[Year], "2025"), "")</f>
        <v>0.434</v>
      </c>
      <c r="BI12" s="168">
        <f>IFERROR((BH12-$J12)/$J12, "")</f>
        <v>-0.38926673250593358</v>
      </c>
      <c r="BJ12" s="168">
        <f>IFERROR((BH12-AG12)/AG12,"")</f>
        <v>-0.27766990291262134</v>
      </c>
      <c r="BK12" s="166">
        <f>COUNTIFS(AllData[Site Name], Tables!$B12, AllData[Season], "Summer", AllData[Year], "2025")</f>
        <v>0</v>
      </c>
      <c r="BL12" s="167" t="str">
        <f>IFERROR(AVERAGEIFS(AllData[Nitrate (PPM)], AllData[Site Name], $B12, AllData[Season], "Summer", AllData[Year], "2025"), "")</f>
        <v/>
      </c>
      <c r="BM12" s="168" t="str">
        <f>IFERROR((BL12-$I12)/$I12, "")</f>
        <v/>
      </c>
      <c r="BN12" s="168" t="str">
        <f>IFERROR((BL12-AJ12)/AJ12, "")</f>
        <v/>
      </c>
      <c r="BO12" s="169" t="str">
        <f>IFERROR(AVERAGEIFS(AllData[Phosphate (PPM)], AllData[Site Name], $B12, AllData[Season], "Summer", AllData[Year], "2025"),"")</f>
        <v/>
      </c>
      <c r="BP12" s="168" t="str">
        <f>IFERROR((BO12-$J12)/$J12, "")</f>
        <v/>
      </c>
      <c r="BQ12" s="168" t="str">
        <f>IFERROR((BO12-AM12)/AM12,"")</f>
        <v/>
      </c>
      <c r="BR12" s="166">
        <f>COUNTIFS(AllData[Site Name], Tables!$B12, AllData[Season], "Autumn", AllData[Year], "2025")</f>
        <v>0</v>
      </c>
      <c r="BS12" s="167" t="str">
        <f>IFERROR(AVERAGEIFS(AllData[Nitrate (PPM)], AllData[Site Name], $B12, AllData[Season], "Autumn", AllData[Year], "2025"), "")</f>
        <v/>
      </c>
      <c r="BT12" s="168" t="str">
        <f>IFERROR((BS12-$I12)/$I12, "")</f>
        <v/>
      </c>
      <c r="BU12" s="168" t="str">
        <f>IFERROR((BS12-AQ12)/AQ12, "")</f>
        <v/>
      </c>
      <c r="BV12" s="169" t="str">
        <f>IFERROR(AVERAGEIFS(AllData[Phosphate (PPM)], AllData[Site Name], AD12, AllData[Season], "Autumn", AllData[Year], "2025"), "")</f>
        <v/>
      </c>
      <c r="BW12" s="168" t="str">
        <f>IFERROR((BV12-$J12)/$J12, "")</f>
        <v/>
      </c>
      <c r="BX12" s="170" t="str">
        <f>IFERROR((BV12-AT12)/AT12,"")</f>
        <v/>
      </c>
      <c r="BY12" s="165">
        <f>COUNTIFS(AllData[Site Name], Tables!$B12, AllData[Season], "Winter", AllData[Year], "2025")</f>
        <v>0</v>
      </c>
      <c r="BZ12" s="160" t="str">
        <f>IFERROR(AVERAGEIFS(AllData[Nitrate (PPM)], AllData[Site Name], $B12, AllData[Season], "Winter", AllData[Year], "2025"), "")</f>
        <v/>
      </c>
      <c r="CA12" s="27" t="str">
        <f>IFERROR((BZ12-$I12)/$I12, "")</f>
        <v/>
      </c>
      <c r="CB12" s="27" t="str">
        <f>IFERROR((BZ12-AX12)/AX12, "")</f>
        <v/>
      </c>
      <c r="CC12" s="161" t="str">
        <f>IFERROR(AVERAGEIFS(AllData[Phosphate (PPM)], AllData[Site Name], $B12, AllData[Season], "Winter", AllData[Year], "2025"), "")</f>
        <v/>
      </c>
      <c r="CD12" s="27" t="str">
        <f>IFERROR((CC12-$J12)/$J12, "")</f>
        <v/>
      </c>
      <c r="CE12" s="44" t="str">
        <f>IFERROR((CC12-BA12)/BA12,"")</f>
        <v/>
      </c>
    </row>
    <row r="13" spans="2:83" x14ac:dyDescent="0.35">
      <c r="B13" s="159" t="s">
        <v>288</v>
      </c>
      <c r="C13" s="113">
        <f>IFERROR(AVERAGEIF(AllData[Site Name], Tables!B13, AllData[Latitude]), "Unknown")</f>
        <v>52.21226301333337</v>
      </c>
      <c r="D13" s="113">
        <f>IFERROR(AVERAGEIF(AllData[Site Name], Tables!B13, AllData[Longitude]), "Unknown")</f>
        <v>-1.6595226800000011</v>
      </c>
      <c r="E13" s="13" t="e" vm="1">
        <f>_xlfn.XLOOKUP(B13,LocationsKey[Site Name], LocationsKey[District])</f>
        <v>#VALUE!</v>
      </c>
      <c r="F13" s="13" t="e" vm="2">
        <f>_xlfn.XLOOKUP(B13,LocationsKey[Site Name], LocationsKey[Town])</f>
        <v>#VALUE!</v>
      </c>
      <c r="G13" s="25" t="str">
        <f>_xlfn.XLOOKUP(B13,LocationsKey[Site Name],LocationsKey[Waterway])</f>
        <v>Avon</v>
      </c>
      <c r="H13" s="157">
        <f>COUNTIF(AllData[Site Name], Tables!B13)</f>
        <v>77</v>
      </c>
      <c r="I13" s="160">
        <f t="shared" ref="I13:I76" si="0">AVERAGE(P13,U13,Z13,AE13,AJ13,AQ13,AX13,BE13,BL13,BS13,BZ13)</f>
        <v>7.0204212454212458</v>
      </c>
      <c r="J13" s="161">
        <f t="shared" ref="J13:J76" si="1">AVERAGE(R13,W13,AB13,AG13, AM13,AT13,BA13,BH13,BO13,BV13,CC13)</f>
        <v>0.47420133437990575</v>
      </c>
      <c r="K13" s="27" cm="1">
        <f t="array" ref="K13">SUM(COUNTIFS(AllData[Site Name], B13, AllData[Nitrate Pollution Category], {"High","Very high"}))/COUNTIFS(AllData[Site Name], B13, AllData[Nitrate (PPM)], "&lt;&gt;0")</f>
        <v>0.98684210526315785</v>
      </c>
      <c r="L13" s="27" cm="1">
        <f t="array" ref="L13">SUM(COUNTIFS(AllData[Site Name], B13, AllData[Phosphate Pollution Category], {"High","Very high"}))/COUNTIFS(AllData[Site Name], B13, AllData[Phosphate (PPM)], "&lt;&gt;0")</f>
        <v>1</v>
      </c>
      <c r="M13" s="157">
        <f t="shared" ref="M13:M76" si="2">RANK(I13,$I$12:$I$98)</f>
        <v>30</v>
      </c>
      <c r="N13" s="157">
        <f t="shared" ref="N13:N76" si="3">RANK(J13,$J$12:$J$98)</f>
        <v>56</v>
      </c>
      <c r="O13" s="26">
        <f>COUNTIFS(AllData[Site Name], Tables!$B13, AllData[Season], "Summer", AllData[Year], "2023")</f>
        <v>0</v>
      </c>
      <c r="P13" s="160" t="str">
        <f>IFERROR(AVERAGEIFS(AllData[Nitrate (PPM)], AllData[Site Name], $B13, AllData[Season], "Summer", AllData[Year], "2023"), "")</f>
        <v/>
      </c>
      <c r="Q13" s="27" t="str">
        <f t="shared" ref="Q13:Q76" si="4">IFERROR((P13-$I13)/$I13, "")</f>
        <v/>
      </c>
      <c r="R13" s="161" t="str">
        <f>IFERROR(AVERAGEIFS(AllData[Phosphate (PPM)], AllData[Site Name], $B13, AllData[Season], "Summer", AllData[Year], "2023"),"")</f>
        <v/>
      </c>
      <c r="S13" s="28" t="str">
        <f t="shared" ref="S13:S76" si="5">IFERROR((R13-$J13)/$J13, "")</f>
        <v/>
      </c>
      <c r="T13" s="26">
        <f>COUNTIFS(AllData[Site Name], Tables!$B13, AllData[Season], "Autumn", AllData[Year], "2023")</f>
        <v>4</v>
      </c>
      <c r="U13" s="160">
        <f>IFERROR(AVERAGEIFS(AllData[Nitrate (PPM)], AllData[Site Name], $B13, AllData[Season], "Autumn", AllData[Year], "2023"), "")</f>
        <v>6.25</v>
      </c>
      <c r="V13" s="27">
        <f t="shared" ref="V13:V76" si="6">IFERROR((U13-$I13)/$I13, "")</f>
        <v>-0.10974003104496306</v>
      </c>
      <c r="W13" s="161">
        <f>IFERROR(AVERAGEIFS(AllData[Phosphate (PPM)], AllData[Site Name], $B13, AllData[Season], "Autumn", AllData[Year], "2023"),"")</f>
        <v>0.44750000000000001</v>
      </c>
      <c r="X13" s="28">
        <f t="shared" ref="X13:X76" si="7">IFERROR((W13-$J13)/$J13, "")</f>
        <v>-5.6308011901362559E-2</v>
      </c>
      <c r="Y13" s="26">
        <f>COUNTIFS(AllData[Site Name], Tables!$B13, AllData[Season], "Winter", AllData[Year], "2023")</f>
        <v>14</v>
      </c>
      <c r="Z13" s="160">
        <f>IFERROR(AVERAGEIFS(AllData[Nitrate (PPM)], AllData[Site Name], $B13, AllData[Season], "Winter", AllData[Year], "2023"), "")</f>
        <v>4.5</v>
      </c>
      <c r="AA13" s="27">
        <f t="shared" ref="AA13:AA76" si="8">IFERROR((Z13-$I13)/$I13, "")</f>
        <v>-0.35901282235237342</v>
      </c>
      <c r="AB13" s="161">
        <f>IFERROR(AVERAGEIFS(AllData[Phosphate (PPM)], AllData[Site Name], $B13, AllData[Season], "Winter", AllData[Year], "2023"),"")</f>
        <v>0.63142857142857134</v>
      </c>
      <c r="AC13" s="28">
        <f t="shared" ref="AC13:AC76" si="9">IFERROR((AB13-$J13)/$J13, "")</f>
        <v>0.33156219868985692</v>
      </c>
      <c r="AD13" s="26">
        <f>COUNTIFS(AllData[Site Name], Tables!$B13, AllData[Season], "Spring", AllData[Year], "2024")</f>
        <v>13</v>
      </c>
      <c r="AE13" s="160">
        <f>IFERROR(AVERAGEIFS(AllData[Nitrate (PPM)], AllData[Site Name], $B13, AllData[Season], "Spring", AllData[Year], "2024"), "")</f>
        <v>5.7692307692307692</v>
      </c>
      <c r="AF13" s="27">
        <f t="shared" ref="AF13:AF76" si="10">IFERROR((AE13-$I13)/$I13, "")</f>
        <v>-0.17822156711842746</v>
      </c>
      <c r="AG13" s="161">
        <f>IFERROR(AVERAGEIFS(AllData[Phosphate (PPM)], AllData[Site Name], $B13, AllData[Season], "Spring", AllData[Year], "2024"),"")</f>
        <v>0.41153846153846152</v>
      </c>
      <c r="AH13" s="28">
        <f t="shared" ref="AH13:AH76" si="11">IFERROR((AG13-$J13)/$J13, "")</f>
        <v>-0.13214402469656897</v>
      </c>
      <c r="AI13" s="165">
        <f>COUNTIFS(AllData[Site Name], Tables!$B13, AllData[Season], "Summer", AllData[Year], "2024")</f>
        <v>13</v>
      </c>
      <c r="AJ13" s="160">
        <f>IFERROR(AVERAGEIFS(AllData[Nitrate (PPM)], AllData[Site Name], $B13, AllData[Season], "Summer", AllData[Year], "2024"), "")</f>
        <v>7.3192307692307699</v>
      </c>
      <c r="AK13" s="27">
        <f t="shared" ref="AK13:AK76" si="12">IFERROR((AJ13-$I13)/$I13, "")</f>
        <v>4.2562905182421805E-2</v>
      </c>
      <c r="AL13" s="27" t="str">
        <f t="shared" ref="AL13:AL76" si="13">IFERROR((AJ13-P13)/P13, "")</f>
        <v/>
      </c>
      <c r="AM13" s="161">
        <f>IFERROR(AVERAGEIFS(AllData[Phosphate (PPM)], AllData[Site Name], $B13, AllData[Season], "Summer", AllData[Year], "2024"),"")</f>
        <v>0.4869230769230769</v>
      </c>
      <c r="AN13" s="27">
        <f t="shared" ref="AN13:AN76" si="14">IFERROR((AM13-$J13)/$J13, "")</f>
        <v>2.6827724050601572E-2</v>
      </c>
      <c r="AO13" s="28" t="str">
        <f t="shared" ref="AO13:AO76" si="15">IFERROR((AM13-R13)/R13,"")</f>
        <v/>
      </c>
      <c r="AP13" s="157">
        <f>COUNTIFS(AllData[Site Name], Tables!$B13, AllData[Season], "Autumn", AllData[Year], "2024")</f>
        <v>13</v>
      </c>
      <c r="AQ13" s="160">
        <f>IFERROR(AVERAGEIFS(AllData[Nitrate (PPM)], AllData[Site Name], $B13, AllData[Season], "Autumn", AllData[Year], "2024"), "")</f>
        <v>8.8461538461538467</v>
      </c>
      <c r="AR13" s="27">
        <f t="shared" ref="AR13:AR76" si="16">IFERROR((AQ13-$I13)/$I13, "")</f>
        <v>0.26006026375174468</v>
      </c>
      <c r="AS13" s="27">
        <f t="shared" ref="AS13:AS38" si="17">IFERROR((AQ13-$U13)/$U13, "")</f>
        <v>0.41538461538461546</v>
      </c>
      <c r="AT13" s="161">
        <f>IFERROR(AVERAGEIFS(AllData[Phosphate (PPM)], AllData[Site Name], B13, AllData[Season], "Autumn", AllData[Year], "2024"), "")</f>
        <v>0.49076923076923068</v>
      </c>
      <c r="AU13" s="27">
        <f t="shared" ref="AU13:AU76" si="18">IFERROR((AT13-$J13)/$J13, "")</f>
        <v>3.4938527558110125E-2</v>
      </c>
      <c r="AV13" s="28">
        <f t="shared" ref="AV13:AV38" si="19">IFERROR((AT13-$W13)/$W13,"")</f>
        <v>9.6691018478727755E-2</v>
      </c>
      <c r="AW13" s="165">
        <f>COUNTIFS(AllData[Site Name], Tables!$B13, AllData[Season], "Winter", AllData[Year], "2024")</f>
        <v>12</v>
      </c>
      <c r="AX13" s="160">
        <f>IFERROR(AVERAGEIFS(AllData[Nitrate (PPM)], AllData[Site Name], $B13, AllData[Season], "Winter", AllData[Year], "2024"), "")</f>
        <v>5.833333333333333</v>
      </c>
      <c r="AY13" s="27">
        <f t="shared" ref="AY13:AY76" si="20">IFERROR((AX13-$I13)/$I13, "")</f>
        <v>-0.16909069564196558</v>
      </c>
      <c r="AZ13" s="27">
        <f t="shared" ref="AZ13:AZ76" si="21">IFERROR((AX13-Z13)/Z13, "")</f>
        <v>0.29629629629629622</v>
      </c>
      <c r="BA13" s="161">
        <f>IFERROR(AVERAGEIFS(AllData[Phosphate (PPM)], AllData[Site Name], $B13, AllData[Season], "Winter", AllData[Year], "2024"), "")</f>
        <v>0.45750000000000002</v>
      </c>
      <c r="BB13" s="27">
        <f t="shared" ref="BB13:BB76" si="22">IFERROR((BA13-$J13)/$J13, "")</f>
        <v>-3.5219922781839913E-2</v>
      </c>
      <c r="BC13" s="44">
        <f t="shared" ref="BC13:BC76" si="23">IFERROR((BA13-AB13)/AB13,"")</f>
        <v>-0.27545248868778266</v>
      </c>
      <c r="BD13" s="157">
        <f>COUNTIFS(AllData[Site Name], Tables!$B13, AllData[Season], "Spring", AllData[Year], "2025")</f>
        <v>8</v>
      </c>
      <c r="BE13" s="160">
        <f>IFERROR(AVERAGEIFS(AllData[Nitrate (PPM)], AllData[Site Name], $B13, AllData[Season], "Spring", AllData[Year], "2025"), "")</f>
        <v>10.625</v>
      </c>
      <c r="BF13" s="27">
        <f t="shared" ref="BF13:BF76" si="24">IFERROR((BE13-$I13)/$I13, "")</f>
        <v>0.51344194722356273</v>
      </c>
      <c r="BG13" s="27">
        <f t="shared" ref="BG13:BG76" si="25">IFERROR((BE13-AE13)/AE13, "")</f>
        <v>0.84166666666666667</v>
      </c>
      <c r="BH13" s="161">
        <f>IFERROR(AVERAGEIFS(AllData[Phosphate (PPM)], AllData[Site Name], $B13, AllData[Season], "Spring", AllData[Year], "2025"), "")</f>
        <v>0.39375000000000004</v>
      </c>
      <c r="BI13" s="27">
        <f t="shared" ref="BI13:BI76" si="26">IFERROR((BH13-$J13)/$J13, "")</f>
        <v>-0.16965649091879659</v>
      </c>
      <c r="BJ13" s="27">
        <f t="shared" ref="BJ13:BJ76" si="27">IFERROR((BH13-AG13)/AG13,"")</f>
        <v>-4.3224299065420406E-2</v>
      </c>
      <c r="BK13" s="165">
        <f>COUNTIFS(AllData[Site Name], Tables!$B13, AllData[Season], "Summer", AllData[Year], "2025")</f>
        <v>0</v>
      </c>
      <c r="BL13" s="160" t="str">
        <f>IFERROR(AVERAGEIFS(AllData[Nitrate (PPM)], AllData[Site Name], $B13, AllData[Season], "Summer", AllData[Year], "2025"), "")</f>
        <v/>
      </c>
      <c r="BM13" s="27" t="str">
        <f t="shared" ref="BM13:BM76" si="28">IFERROR((BL13-$I13)/$I13, "")</f>
        <v/>
      </c>
      <c r="BN13" s="27" t="str">
        <f t="shared" ref="BN13:BN76" si="29">IFERROR((BL13-AJ13)/AJ13, "")</f>
        <v/>
      </c>
      <c r="BO13" s="161" t="str">
        <f>IFERROR(AVERAGEIFS(AllData[Phosphate (PPM)], AllData[Site Name], $B13, AllData[Season], "Summer", AllData[Year], "2025"),"")</f>
        <v/>
      </c>
      <c r="BP13" s="27" t="str">
        <f t="shared" ref="BP13:BP76" si="30">IFERROR((BO13-$J13)/$J13, "")</f>
        <v/>
      </c>
      <c r="BQ13" s="27" t="str">
        <f t="shared" ref="BQ13:BQ76" si="31">IFERROR((BO13-AM13)/AM13,"")</f>
        <v/>
      </c>
      <c r="BR13" s="165">
        <f>COUNTIFS(AllData[Site Name], Tables!$B13, AllData[Season], "Autumn", AllData[Year], "2025")</f>
        <v>0</v>
      </c>
      <c r="BS13" s="160" t="str">
        <f>IFERROR(AVERAGEIFS(AllData[Nitrate (PPM)], AllData[Site Name], $B13, AllData[Season], "Autumn", AllData[Year], "2025"), "")</f>
        <v/>
      </c>
      <c r="BT13" s="27" t="str">
        <f t="shared" ref="BT13:BT76" si="32">IFERROR((BS13-$I13)/$I13, "")</f>
        <v/>
      </c>
      <c r="BU13" s="27" t="str">
        <f t="shared" ref="BU13:BU76" si="33">IFERROR((BS13-AQ13)/AQ13, "")</f>
        <v/>
      </c>
      <c r="BV13" s="161" t="str">
        <f>IFERROR(AVERAGEIFS(AllData[Phosphate (PPM)], AllData[Site Name], AD13, AllData[Season], "Autumn", AllData[Year], "2025"), "")</f>
        <v/>
      </c>
      <c r="BW13" s="27" t="str">
        <f t="shared" ref="BW13:BW76" si="34">IFERROR((BV13-$J13)/$J13, "")</f>
        <v/>
      </c>
      <c r="BX13" s="28" t="str">
        <f t="shared" ref="BX13:BX76" si="35">IFERROR((BV13-AT13)/AT13,"")</f>
        <v/>
      </c>
      <c r="BY13" s="165">
        <f>COUNTIFS(AllData[Site Name], Tables!$B13, AllData[Season], "Winter", AllData[Year], "2025")</f>
        <v>0</v>
      </c>
      <c r="BZ13" s="160" t="str">
        <f>IFERROR(AVERAGEIFS(AllData[Nitrate (PPM)], AllData[Site Name], $B13, AllData[Season], "Winter", AllData[Year], "2025"), "")</f>
        <v/>
      </c>
      <c r="CA13" s="27" t="str">
        <f t="shared" ref="CA13:CA76" si="36">IFERROR((BZ13-$I13)/$I13, "")</f>
        <v/>
      </c>
      <c r="CB13" s="27" t="str">
        <f t="shared" ref="CB13:CB21" si="37">IFERROR((BZ13-AX13)/AX13, "")</f>
        <v/>
      </c>
      <c r="CC13" s="161" t="str">
        <f>IFERROR(AVERAGEIFS(AllData[Phosphate (PPM)], AllData[Site Name], $B13, AllData[Season], "Winter", AllData[Year], "2025"), "")</f>
        <v/>
      </c>
      <c r="CD13" s="27" t="str">
        <f t="shared" ref="CD13:CD76" si="38">IFERROR((CC13-$J13)/$J13, "")</f>
        <v/>
      </c>
      <c r="CE13" s="44" t="str">
        <f t="shared" ref="CE13:CE21" si="39">IFERROR((CC13-BA13)/BA13,"")</f>
        <v/>
      </c>
    </row>
    <row r="14" spans="2:83" x14ac:dyDescent="0.35">
      <c r="B14" s="159" t="s">
        <v>784</v>
      </c>
      <c r="C14" s="113">
        <f>IFERROR(AVERAGEIF(AllData[Site Name], Tables!B14, AllData[Latitude]), "Unknown")</f>
        <v>52.123126101694929</v>
      </c>
      <c r="D14" s="113">
        <f>IFERROR(AVERAGEIF(AllData[Site Name], Tables!B14, AllData[Longitude]), "Unknown")</f>
        <v>-2.0572511355932215</v>
      </c>
      <c r="E14" s="13" t="e" vm="6">
        <f>_xlfn.XLOOKUP(B14,LocationsKey[Site Name], LocationsKey[District])</f>
        <v>#VALUE!</v>
      </c>
      <c r="F14" s="13" t="e" vm="13">
        <f>_xlfn.XLOOKUP(B14,LocationsKey[Site Name], LocationsKey[Town])</f>
        <v>#VALUE!</v>
      </c>
      <c r="G14" s="25" t="str">
        <f>_xlfn.XLOOKUP(B14,LocationsKey[Site Name],LocationsKey[Waterway])</f>
        <v>Avon</v>
      </c>
      <c r="H14" s="157">
        <f>COUNTIF(AllData[Site Name], Tables!B14)</f>
        <v>59</v>
      </c>
      <c r="I14" s="160">
        <f t="shared" si="0"/>
        <v>7.8717948717948731</v>
      </c>
      <c r="J14" s="161">
        <f t="shared" si="1"/>
        <v>0.58511904761904765</v>
      </c>
      <c r="K14" s="27" cm="1">
        <f t="array" ref="K14">SUM(COUNTIFS(AllData[Site Name], B14, AllData[Nitrate Pollution Category], {"High","Very high"}))/COUNTIFS(AllData[Site Name], B14, AllData[Nitrate (PPM)], "&lt;&gt;0")</f>
        <v>1</v>
      </c>
      <c r="L14" s="27" cm="1">
        <f t="array" ref="L14">SUM(COUNTIFS(AllData[Site Name], B14, AllData[Phosphate Pollution Category], {"High","Very high"}))/COUNTIFS(AllData[Site Name], B14, AllData[Phosphate (PPM)], "&lt;&gt;0")</f>
        <v>1</v>
      </c>
      <c r="M14" s="157">
        <f t="shared" si="2"/>
        <v>19</v>
      </c>
      <c r="N14" s="157">
        <f t="shared" si="3"/>
        <v>33</v>
      </c>
      <c r="O14" s="26">
        <f>COUNTIFS(AllData[Site Name], Tables!$B14, AllData[Season], "Summer", AllData[Year], "2023")</f>
        <v>0</v>
      </c>
      <c r="P14" s="160" t="str">
        <f>IFERROR(AVERAGEIFS(AllData[Nitrate (PPM)], AllData[Site Name], $B14, AllData[Season], "Summer", AllData[Year], "2023"), "")</f>
        <v/>
      </c>
      <c r="Q14" s="27" t="str">
        <f t="shared" si="4"/>
        <v/>
      </c>
      <c r="R14" s="161" t="str">
        <f>IFERROR(AVERAGEIFS(AllData[Phosphate (PPM)], AllData[Site Name], $B14, AllData[Season], "Summer", AllData[Year], "2023"),"")</f>
        <v/>
      </c>
      <c r="S14" s="28" t="str">
        <f t="shared" si="5"/>
        <v/>
      </c>
      <c r="T14" s="26">
        <f>COUNTIFS(AllData[Site Name], Tables!$B14, AllData[Season], "Autumn", AllData[Year], "2023")</f>
        <v>0</v>
      </c>
      <c r="U14" s="160" t="str">
        <f>IFERROR(AVERAGEIFS(AllData[Nitrate (PPM)], AllData[Site Name], $B14, AllData[Season], "Autumn", AllData[Year], "2023"), "")</f>
        <v/>
      </c>
      <c r="V14" s="27" t="str">
        <f t="shared" si="6"/>
        <v/>
      </c>
      <c r="W14" s="161" t="str">
        <f>IFERROR(AVERAGEIFS(AllData[Phosphate (PPM)], AllData[Site Name], $B14, AllData[Season], "Autumn", AllData[Year], "2023"),"")</f>
        <v/>
      </c>
      <c r="X14" s="28" t="str">
        <f t="shared" si="7"/>
        <v/>
      </c>
      <c r="Y14" s="26">
        <f>COUNTIFS(AllData[Site Name], Tables!$B14, AllData[Season], "Winter", AllData[Year], "2023")</f>
        <v>0</v>
      </c>
      <c r="Z14" s="160" t="str">
        <f>IFERROR(AVERAGEIFS(AllData[Nitrate (PPM)], AllData[Site Name], $B14, AllData[Season], "Winter", AllData[Year], "2023"), "")</f>
        <v/>
      </c>
      <c r="AA14" s="27" t="str">
        <f t="shared" si="8"/>
        <v/>
      </c>
      <c r="AB14" s="161" t="str">
        <f>IFERROR(AVERAGEIFS(AllData[Phosphate (PPM)], AllData[Site Name], $B14, AllData[Season], "Winter", AllData[Year], "2023"),"")</f>
        <v/>
      </c>
      <c r="AC14" s="28" t="str">
        <f t="shared" si="9"/>
        <v/>
      </c>
      <c r="AD14" s="26">
        <f>COUNTIFS(AllData[Site Name], Tables!$B14, AllData[Season], "Spring", AllData[Year], "2024")</f>
        <v>13</v>
      </c>
      <c r="AE14" s="160">
        <f>IFERROR(AVERAGEIFS(AllData[Nitrate (PPM)], AllData[Site Name], $B14, AllData[Season], "Spring", AllData[Year], "2024"), "")</f>
        <v>6.4615384615384617</v>
      </c>
      <c r="AF14" s="27">
        <f t="shared" si="10"/>
        <v>-0.17915309446254085</v>
      </c>
      <c r="AG14" s="161">
        <f>IFERROR(AVERAGEIFS(AllData[Phosphate (PPM)], AllData[Site Name], $B14, AllData[Season], "Spring", AllData[Year], "2024"),"")</f>
        <v>0.51923076923076927</v>
      </c>
      <c r="AH14" s="28">
        <f t="shared" si="11"/>
        <v>-0.1126066202363252</v>
      </c>
      <c r="AI14" s="165">
        <f>COUNTIFS(AllData[Site Name], Tables!$B14, AllData[Season], "Summer", AllData[Year], "2024")</f>
        <v>14</v>
      </c>
      <c r="AJ14" s="160">
        <f>IFERROR(AVERAGEIFS(AllData[Nitrate (PPM)], AllData[Site Name], $B14, AllData[Season], "Summer", AllData[Year], "2024"), "")</f>
        <v>8.5</v>
      </c>
      <c r="AK14" s="27">
        <f t="shared" si="12"/>
        <v>7.9804560260586133E-2</v>
      </c>
      <c r="AL14" s="27" t="str">
        <f t="shared" si="13"/>
        <v/>
      </c>
      <c r="AM14" s="161">
        <f>IFERROR(AVERAGEIFS(AllData[Phosphate (PPM)], AllData[Site Name], $B14, AllData[Season], "Summer", AllData[Year], "2024"),"")</f>
        <v>0.83785714285714274</v>
      </c>
      <c r="AN14" s="27">
        <f t="shared" si="14"/>
        <v>0.43194303153611369</v>
      </c>
      <c r="AO14" s="28" t="str">
        <f t="shared" si="15"/>
        <v/>
      </c>
      <c r="AP14" s="157">
        <f>COUNTIFS(AllData[Site Name], Tables!$B14, AllData[Season], "Autumn", AllData[Year], "2024")</f>
        <v>13</v>
      </c>
      <c r="AQ14" s="160">
        <f>IFERROR(AVERAGEIFS(AllData[Nitrate (PPM)], AllData[Site Name], $B14, AllData[Season], "Autumn", AllData[Year], "2024"), "")</f>
        <v>8.2307692307692299</v>
      </c>
      <c r="AR14" s="27">
        <f t="shared" si="16"/>
        <v>4.5602605863191897E-2</v>
      </c>
      <c r="AS14" s="27" t="str">
        <f t="shared" si="17"/>
        <v/>
      </c>
      <c r="AT14" s="161">
        <f>IFERROR(AVERAGEIFS(AllData[Phosphate (PPM)], AllData[Site Name], B14, AllData[Season], "Autumn", AllData[Year], "2024"), "")</f>
        <v>0.65076923076923088</v>
      </c>
      <c r="AU14" s="27">
        <f t="shared" si="18"/>
        <v>0.11219970263713919</v>
      </c>
      <c r="AV14" s="28" t="str">
        <f t="shared" si="19"/>
        <v/>
      </c>
      <c r="AW14" s="165">
        <f>COUNTIFS(AllData[Site Name], Tables!$B14, AllData[Season], "Winter", AllData[Year], "2024")</f>
        <v>12</v>
      </c>
      <c r="AX14" s="160">
        <f>IFERROR(AVERAGEIFS(AllData[Nitrate (PPM)], AllData[Site Name], $B14, AllData[Season], "Winter", AllData[Year], "2024"), "")</f>
        <v>6.166666666666667</v>
      </c>
      <c r="AY14" s="27">
        <f t="shared" si="20"/>
        <v>-0.21661237785016296</v>
      </c>
      <c r="AZ14" s="27" t="str">
        <f t="shared" si="21"/>
        <v/>
      </c>
      <c r="BA14" s="161">
        <f>IFERROR(AVERAGEIFS(AllData[Phosphate (PPM)], AllData[Site Name], $B14, AllData[Season], "Winter", AllData[Year], "2024"), "")</f>
        <v>0.4991666666666667</v>
      </c>
      <c r="BB14" s="27">
        <f t="shared" si="22"/>
        <v>-0.14689725330620548</v>
      </c>
      <c r="BC14" s="44" t="str">
        <f t="shared" si="23"/>
        <v/>
      </c>
      <c r="BD14" s="157">
        <f>COUNTIFS(AllData[Site Name], Tables!$B14, AllData[Season], "Spring", AllData[Year], "2025")</f>
        <v>7</v>
      </c>
      <c r="BE14" s="160">
        <f>IFERROR(AVERAGEIFS(AllData[Nitrate (PPM)], AllData[Site Name], $B14, AllData[Season], "Spring", AllData[Year], "2025"), "")</f>
        <v>10</v>
      </c>
      <c r="BF14" s="27">
        <f t="shared" si="24"/>
        <v>0.27035830618892487</v>
      </c>
      <c r="BG14" s="27">
        <f t="shared" si="25"/>
        <v>0.54761904761904756</v>
      </c>
      <c r="BH14" s="161">
        <f>IFERROR(AVERAGEIFS(AllData[Phosphate (PPM)], AllData[Site Name], $B14, AllData[Season], "Spring", AllData[Year], "2025"), "")</f>
        <v>0.41857142857142859</v>
      </c>
      <c r="BI14" s="27">
        <f t="shared" si="26"/>
        <v>-0.2846388606307223</v>
      </c>
      <c r="BJ14" s="27">
        <f t="shared" si="27"/>
        <v>-0.19386243386243387</v>
      </c>
      <c r="BK14" s="165">
        <f>COUNTIFS(AllData[Site Name], Tables!$B14, AllData[Season], "Summer", AllData[Year], "2025")</f>
        <v>0</v>
      </c>
      <c r="BL14" s="160" t="str">
        <f>IFERROR(AVERAGEIFS(AllData[Nitrate (PPM)], AllData[Site Name], $B14, AllData[Season], "Summer", AllData[Year], "2025"), "")</f>
        <v/>
      </c>
      <c r="BM14" s="27" t="str">
        <f t="shared" si="28"/>
        <v/>
      </c>
      <c r="BN14" s="27" t="str">
        <f t="shared" si="29"/>
        <v/>
      </c>
      <c r="BO14" s="161" t="str">
        <f>IFERROR(AVERAGEIFS(AllData[Phosphate (PPM)], AllData[Site Name], $B14, AllData[Season], "Summer", AllData[Year], "2025"),"")</f>
        <v/>
      </c>
      <c r="BP14" s="27" t="str">
        <f t="shared" si="30"/>
        <v/>
      </c>
      <c r="BQ14" s="27" t="str">
        <f t="shared" si="31"/>
        <v/>
      </c>
      <c r="BR14" s="165">
        <f>COUNTIFS(AllData[Site Name], Tables!$B14, AllData[Season], "Autumn", AllData[Year], "2025")</f>
        <v>0</v>
      </c>
      <c r="BS14" s="160" t="str">
        <f>IFERROR(AVERAGEIFS(AllData[Nitrate (PPM)], AllData[Site Name], $B14, AllData[Season], "Autumn", AllData[Year], "2025"), "")</f>
        <v/>
      </c>
      <c r="BT14" s="27" t="str">
        <f t="shared" si="32"/>
        <v/>
      </c>
      <c r="BU14" s="27" t="str">
        <f t="shared" si="33"/>
        <v/>
      </c>
      <c r="BV14" s="161" t="str">
        <f>IFERROR(AVERAGEIFS(AllData[Phosphate (PPM)], AllData[Site Name], AD14, AllData[Season], "Autumn", AllData[Year], "2025"), "")</f>
        <v/>
      </c>
      <c r="BW14" s="27" t="str">
        <f t="shared" si="34"/>
        <v/>
      </c>
      <c r="BX14" s="28" t="str">
        <f t="shared" si="35"/>
        <v/>
      </c>
      <c r="BY14" s="165">
        <f>COUNTIFS(AllData[Site Name], Tables!$B14, AllData[Season], "Winter", AllData[Year], "2025")</f>
        <v>0</v>
      </c>
      <c r="BZ14" s="160" t="str">
        <f>IFERROR(AVERAGEIFS(AllData[Nitrate (PPM)], AllData[Site Name], $B14, AllData[Season], "Winter", AllData[Year], "2025"), "")</f>
        <v/>
      </c>
      <c r="CA14" s="27" t="str">
        <f t="shared" si="36"/>
        <v/>
      </c>
      <c r="CB14" s="27" t="str">
        <f t="shared" si="37"/>
        <v/>
      </c>
      <c r="CC14" s="161" t="str">
        <f>IFERROR(AVERAGEIFS(AllData[Phosphate (PPM)], AllData[Site Name], $B14, AllData[Season], "Winter", AllData[Year], "2025"), "")</f>
        <v/>
      </c>
      <c r="CD14" s="27" t="str">
        <f t="shared" si="38"/>
        <v/>
      </c>
      <c r="CE14" s="44" t="str">
        <f t="shared" si="39"/>
        <v/>
      </c>
    </row>
    <row r="15" spans="2:83" x14ac:dyDescent="0.35">
      <c r="B15" s="159" t="s">
        <v>67</v>
      </c>
      <c r="C15" s="113">
        <f>IFERROR(AVERAGEIF(AllData[Site Name], Tables!B15, AllData[Latitude]), "Unknown")</f>
        <v>51.566927775862098</v>
      </c>
      <c r="D15" s="113">
        <f>IFERROR(AVERAGEIF(AllData[Site Name], Tables!B15, AllData[Longitude]), "Unknown")</f>
        <v>-7.2113336724137929</v>
      </c>
      <c r="E15" s="13" t="e" vm="1">
        <f>_xlfn.XLOOKUP(B15,LocationsKey[Site Name], LocationsKey[District])</f>
        <v>#VALUE!</v>
      </c>
      <c r="F15" s="13" t="e" vm="12">
        <f>_xlfn.XLOOKUP(B15,LocationsKey[Site Name], LocationsKey[Town])</f>
        <v>#VALUE!</v>
      </c>
      <c r="G15" s="25" t="str">
        <f>_xlfn.XLOOKUP(B15,LocationsKey[Site Name],LocationsKey[Waterway])</f>
        <v>Avon</v>
      </c>
      <c r="H15" s="157">
        <f>COUNTIF(AllData[Site Name], Tables!B15)</f>
        <v>60</v>
      </c>
      <c r="I15" s="160">
        <f t="shared" si="0"/>
        <v>8.0343434343434357</v>
      </c>
      <c r="J15" s="161">
        <f t="shared" si="1"/>
        <v>0.53288699494949499</v>
      </c>
      <c r="K15" s="27" cm="1">
        <f t="array" ref="K15">SUM(COUNTIFS(AllData[Site Name], B15, AllData[Nitrate Pollution Category], {"High","Very high"}))/COUNTIFS(AllData[Site Name], B15, AllData[Nitrate (PPM)], "&lt;&gt;0")</f>
        <v>1</v>
      </c>
      <c r="L15" s="27" cm="1">
        <f t="array" ref="L15">SUM(COUNTIFS(AllData[Site Name], B15, AllData[Phosphate Pollution Category], {"High","Very high"}))/COUNTIFS(AllData[Site Name], B15, AllData[Phosphate (PPM)], "&lt;&gt;0")</f>
        <v>0.98333333333333328</v>
      </c>
      <c r="M15" s="157">
        <f t="shared" si="2"/>
        <v>15</v>
      </c>
      <c r="N15" s="157">
        <f t="shared" si="3"/>
        <v>43</v>
      </c>
      <c r="O15" s="26">
        <f>COUNTIFS(AllData[Site Name], Tables!$B15, AllData[Season], "Summer", AllData[Year], "2023")</f>
        <v>5</v>
      </c>
      <c r="P15" s="160">
        <f>IFERROR(AVERAGEIFS(AllData[Nitrate (PPM)], AllData[Site Name], $B15, AllData[Season], "Summer", AllData[Year], "2023"), "")</f>
        <v>10</v>
      </c>
      <c r="Q15" s="27">
        <f t="shared" si="4"/>
        <v>0.24465677646467165</v>
      </c>
      <c r="R15" s="161">
        <f>IFERROR(AVERAGEIFS(AllData[Phosphate (PPM)], AllData[Site Name], $B15, AllData[Season], "Summer", AllData[Year], "2023"),"")</f>
        <v>0.51</v>
      </c>
      <c r="S15" s="28">
        <f t="shared" si="5"/>
        <v>-4.2949058930710292E-2</v>
      </c>
      <c r="T15" s="26">
        <f>COUNTIFS(AllData[Site Name], Tables!$B15, AllData[Season], "Autumn", AllData[Year], "2023")</f>
        <v>12</v>
      </c>
      <c r="U15" s="160">
        <f>IFERROR(AVERAGEIFS(AllData[Nitrate (PPM)], AllData[Site Name], $B15, AllData[Season], "Autumn", AllData[Year], "2023"), "")</f>
        <v>10.833333333333334</v>
      </c>
      <c r="V15" s="27">
        <f t="shared" si="6"/>
        <v>0.34837817450339437</v>
      </c>
      <c r="W15" s="161">
        <f>IFERROR(AVERAGEIFS(AllData[Phosphate (PPM)], AllData[Site Name], $B15, AllData[Season], "Autumn", AllData[Year], "2023"),"")</f>
        <v>0.82000000000000017</v>
      </c>
      <c r="X15" s="28">
        <f t="shared" si="7"/>
        <v>0.5387877876016034</v>
      </c>
      <c r="Y15" s="26">
        <f>COUNTIFS(AllData[Site Name], Tables!$B15, AllData[Season], "Winter", AllData[Year], "2023")</f>
        <v>5</v>
      </c>
      <c r="Z15" s="160">
        <f>IFERROR(AVERAGEIFS(AllData[Nitrate (PPM)], AllData[Site Name], $B15, AllData[Season], "Winter", AllData[Year], "2023"), "")</f>
        <v>5.4</v>
      </c>
      <c r="AA15" s="27">
        <f t="shared" si="8"/>
        <v>-0.32788534070907727</v>
      </c>
      <c r="AB15" s="161">
        <f>IFERROR(AVERAGEIFS(AllData[Phosphate (PPM)], AllData[Site Name], $B15, AllData[Season], "Winter", AllData[Year], "2023"),"")</f>
        <v>0.52400000000000002</v>
      </c>
      <c r="AC15" s="28">
        <f t="shared" si="9"/>
        <v>-1.6677072313121922E-2</v>
      </c>
      <c r="AD15" s="26">
        <f>COUNTIFS(AllData[Site Name], Tables!$B15, AllData[Season], "Spring", AllData[Year], "2024")</f>
        <v>9</v>
      </c>
      <c r="AE15" s="160">
        <f>IFERROR(AVERAGEIFS(AllData[Nitrate (PPM)], AllData[Site Name], $B15, AllData[Season], "Spring", AllData[Year], "2024"), "")</f>
        <v>7.7777777777777777</v>
      </c>
      <c r="AF15" s="27">
        <f t="shared" si="10"/>
        <v>-3.1933618305255387E-2</v>
      </c>
      <c r="AG15" s="161">
        <f>IFERROR(AVERAGEIFS(AllData[Phosphate (PPM)], AllData[Site Name], $B15, AllData[Season], "Spring", AllData[Year], "2024"),"")</f>
        <v>0.43777777777777777</v>
      </c>
      <c r="AH15" s="28">
        <f t="shared" si="11"/>
        <v>-0.17847914862461844</v>
      </c>
      <c r="AI15" s="165">
        <f>COUNTIFS(AllData[Site Name], Tables!$B15, AllData[Season], "Summer", AllData[Year], "2024")</f>
        <v>5</v>
      </c>
      <c r="AJ15" s="160">
        <f>IFERROR(AVERAGEIFS(AllData[Nitrate (PPM)], AllData[Site Name], $B15, AllData[Season], "Summer", AllData[Year], "2024"), "")</f>
        <v>7</v>
      </c>
      <c r="AK15" s="27">
        <f t="shared" si="12"/>
        <v>-0.12874025647472984</v>
      </c>
      <c r="AL15" s="27">
        <f t="shared" si="13"/>
        <v>-0.3</v>
      </c>
      <c r="AM15" s="161">
        <f>IFERROR(AVERAGEIFS(AllData[Phosphate (PPM)], AllData[Site Name], $B15, AllData[Season], "Summer", AllData[Year], "2024"),"")</f>
        <v>0.52200000000000002</v>
      </c>
      <c r="AN15" s="27">
        <f t="shared" si="14"/>
        <v>-2.0430213258491689E-2</v>
      </c>
      <c r="AO15" s="28">
        <f t="shared" si="15"/>
        <v>2.3529411764705903E-2</v>
      </c>
      <c r="AP15" s="157">
        <f>COUNTIFS(AllData[Site Name], Tables!$B15, AllData[Season], "Autumn", AllData[Year], "2024")</f>
        <v>11</v>
      </c>
      <c r="AQ15" s="160">
        <f>IFERROR(AVERAGEIFS(AllData[Nitrate (PPM)], AllData[Site Name], $B15, AllData[Season], "Autumn", AllData[Year], "2024"), "")</f>
        <v>5.3636363636363633</v>
      </c>
      <c r="AR15" s="27">
        <f t="shared" si="16"/>
        <v>-0.33241136535076704</v>
      </c>
      <c r="AS15" s="27">
        <f t="shared" si="17"/>
        <v>-0.50489510489510492</v>
      </c>
      <c r="AT15" s="161">
        <f>IFERROR(AVERAGEIFS(AllData[Phosphate (PPM)], AllData[Site Name], B15, AllData[Season], "Autumn", AllData[Year], "2024"), "")</f>
        <v>0.56181818181818188</v>
      </c>
      <c r="AU15" s="27">
        <f t="shared" si="18"/>
        <v>5.4291411017506418E-2</v>
      </c>
      <c r="AV15" s="28">
        <f t="shared" si="19"/>
        <v>-0.31485587583148567</v>
      </c>
      <c r="AW15" s="165">
        <f>COUNTIFS(AllData[Site Name], Tables!$B15, AllData[Season], "Winter", AllData[Year], "2024")</f>
        <v>8</v>
      </c>
      <c r="AX15" s="160">
        <f>IFERROR(AVERAGEIFS(AllData[Nitrate (PPM)], AllData[Site Name], $B15, AllData[Season], "Winter", AllData[Year], "2024"), "")</f>
        <v>6.5</v>
      </c>
      <c r="AY15" s="27">
        <f t="shared" si="20"/>
        <v>-0.19097309529796341</v>
      </c>
      <c r="AZ15" s="27">
        <f t="shared" si="21"/>
        <v>0.20370370370370364</v>
      </c>
      <c r="BA15" s="161">
        <f>IFERROR(AVERAGEIFS(AllData[Phosphate (PPM)], AllData[Site Name], $B15, AllData[Season], "Winter", AllData[Year], "2024"), "")</f>
        <v>0.54749999999999999</v>
      </c>
      <c r="BB15" s="27">
        <f t="shared" si="22"/>
        <v>2.7422333794972734E-2</v>
      </c>
      <c r="BC15" s="44">
        <f t="shared" si="23"/>
        <v>4.4847328244274738E-2</v>
      </c>
      <c r="BD15" s="157">
        <f>COUNTIFS(AllData[Site Name], Tables!$B15, AllData[Season], "Spring", AllData[Year], "2025")</f>
        <v>5</v>
      </c>
      <c r="BE15" s="160">
        <f>IFERROR(AVERAGEIFS(AllData[Nitrate (PPM)], AllData[Site Name], $B15, AllData[Season], "Spring", AllData[Year], "2025"), "")</f>
        <v>11.4</v>
      </c>
      <c r="BF15" s="27">
        <f t="shared" si="24"/>
        <v>0.41890872516972572</v>
      </c>
      <c r="BG15" s="27">
        <f t="shared" si="25"/>
        <v>0.4657142857142858</v>
      </c>
      <c r="BH15" s="161">
        <f>IFERROR(AVERAGEIFS(AllData[Phosphate (PPM)], AllData[Site Name], $B15, AllData[Season], "Spring", AllData[Year], "2025"), "")</f>
        <v>0.34</v>
      </c>
      <c r="BI15" s="27">
        <f t="shared" si="26"/>
        <v>-0.36196603928714016</v>
      </c>
      <c r="BJ15" s="27">
        <f t="shared" si="27"/>
        <v>-0.22335025380710652</v>
      </c>
      <c r="BK15" s="165">
        <f>COUNTIFS(AllData[Site Name], Tables!$B15, AllData[Season], "Summer", AllData[Year], "2025")</f>
        <v>0</v>
      </c>
      <c r="BL15" s="160" t="str">
        <f>IFERROR(AVERAGEIFS(AllData[Nitrate (PPM)], AllData[Site Name], $B15, AllData[Season], "Summer", AllData[Year], "2025"), "")</f>
        <v/>
      </c>
      <c r="BM15" s="27" t="str">
        <f t="shared" si="28"/>
        <v/>
      </c>
      <c r="BN15" s="27" t="str">
        <f t="shared" si="29"/>
        <v/>
      </c>
      <c r="BO15" s="161" t="str">
        <f>IFERROR(AVERAGEIFS(AllData[Phosphate (PPM)], AllData[Site Name], $B15, AllData[Season], "Summer", AllData[Year], "2025"),"")</f>
        <v/>
      </c>
      <c r="BP15" s="27" t="str">
        <f t="shared" si="30"/>
        <v/>
      </c>
      <c r="BQ15" s="27" t="str">
        <f t="shared" si="31"/>
        <v/>
      </c>
      <c r="BR15" s="165">
        <f>COUNTIFS(AllData[Site Name], Tables!$B15, AllData[Season], "Autumn", AllData[Year], "2025")</f>
        <v>0</v>
      </c>
      <c r="BS15" s="160" t="str">
        <f>IFERROR(AVERAGEIFS(AllData[Nitrate (PPM)], AllData[Site Name], $B15, AllData[Season], "Autumn", AllData[Year], "2025"), "")</f>
        <v/>
      </c>
      <c r="BT15" s="27" t="str">
        <f t="shared" si="32"/>
        <v/>
      </c>
      <c r="BU15" s="27" t="str">
        <f t="shared" si="33"/>
        <v/>
      </c>
      <c r="BV15" s="161" t="str">
        <f>IFERROR(AVERAGEIFS(AllData[Phosphate (PPM)], AllData[Site Name], AD15, AllData[Season], "Autumn", AllData[Year], "2025"), "")</f>
        <v/>
      </c>
      <c r="BW15" s="27" t="str">
        <f t="shared" si="34"/>
        <v/>
      </c>
      <c r="BX15" s="28" t="str">
        <f t="shared" si="35"/>
        <v/>
      </c>
      <c r="BY15" s="165">
        <f>COUNTIFS(AllData[Site Name], Tables!$B15, AllData[Season], "Winter", AllData[Year], "2025")</f>
        <v>0</v>
      </c>
      <c r="BZ15" s="160" t="str">
        <f>IFERROR(AVERAGEIFS(AllData[Nitrate (PPM)], AllData[Site Name], $B15, AllData[Season], "Winter", AllData[Year], "2025"), "")</f>
        <v/>
      </c>
      <c r="CA15" s="27" t="str">
        <f t="shared" si="36"/>
        <v/>
      </c>
      <c r="CB15" s="27" t="str">
        <f t="shared" si="37"/>
        <v/>
      </c>
      <c r="CC15" s="161" t="str">
        <f>IFERROR(AVERAGEIFS(AllData[Phosphate (PPM)], AllData[Site Name], $B15, AllData[Season], "Winter", AllData[Year], "2025"), "")</f>
        <v/>
      </c>
      <c r="CD15" s="27" t="str">
        <f t="shared" si="38"/>
        <v/>
      </c>
      <c r="CE15" s="44" t="str">
        <f t="shared" si="39"/>
        <v/>
      </c>
    </row>
    <row r="16" spans="2:83" x14ac:dyDescent="0.35">
      <c r="B16" s="159" t="s">
        <v>51</v>
      </c>
      <c r="C16" s="113">
        <f>IFERROR(AVERAGEIF(AllData[Site Name], Tables!B16, AllData[Latitude]), "Unknown")</f>
        <v>52.16120999999999</v>
      </c>
      <c r="D16" s="113">
        <f>IFERROR(AVERAGEIF(AllData[Site Name], Tables!B16, AllData[Longitude]), "Unknown")</f>
        <v>-1.8301499999999999</v>
      </c>
      <c r="E16" s="13" t="e" vm="1">
        <f>_xlfn.XLOOKUP(B16,LocationsKey[Site Name], LocationsKey[District])</f>
        <v>#VALUE!</v>
      </c>
      <c r="F16" s="13" t="str">
        <f>_xlfn.XLOOKUP(B16,LocationsKey[Site Name], LocationsKey[Town])</f>
        <v>Barton</v>
      </c>
      <c r="G16" s="25" t="str">
        <f>_xlfn.XLOOKUP(B16,LocationsKey[Site Name],LocationsKey[Waterway])</f>
        <v>Avon</v>
      </c>
      <c r="H16" s="157">
        <f>COUNTIF(AllData[Site Name], Tables!B16)</f>
        <v>13</v>
      </c>
      <c r="I16" s="160">
        <f t="shared" si="0"/>
        <v>7.7666666666666666</v>
      </c>
      <c r="J16" s="161">
        <f t="shared" si="1"/>
        <v>0.61777777777777776</v>
      </c>
      <c r="K16" s="27" cm="1">
        <f t="array" ref="K16">SUM(COUNTIFS(AllData[Site Name], B16, AllData[Nitrate Pollution Category], {"High","Very high"}))/COUNTIFS(AllData[Site Name], B16, AllData[Nitrate (PPM)], "&lt;&gt;0")</f>
        <v>0.92307692307692313</v>
      </c>
      <c r="L16" s="27" cm="1">
        <f t="array" ref="L16">SUM(COUNTIFS(AllData[Site Name], B16, AllData[Phosphate Pollution Category], {"High","Very high"}))/COUNTIFS(AllData[Site Name], B16, AllData[Phosphate (PPM)], "&lt;&gt;0")</f>
        <v>1</v>
      </c>
      <c r="M16" s="157">
        <f t="shared" si="2"/>
        <v>22</v>
      </c>
      <c r="N16" s="157">
        <f t="shared" si="3"/>
        <v>29</v>
      </c>
      <c r="O16" s="26">
        <f>COUNTIFS(AllData[Site Name], Tables!$B16, AllData[Season], "Summer", AllData[Year], "2023")</f>
        <v>5</v>
      </c>
      <c r="P16" s="160">
        <f>IFERROR(AVERAGEIFS(AllData[Nitrate (PPM)], AllData[Site Name], $B16, AllData[Season], "Summer", AllData[Year], "2023"), "")</f>
        <v>5</v>
      </c>
      <c r="Q16" s="27">
        <f t="shared" si="4"/>
        <v>-0.35622317596566522</v>
      </c>
      <c r="R16" s="161">
        <f>IFERROR(AVERAGEIFS(AllData[Phosphate (PPM)], AllData[Site Name], $B16, AllData[Season], "Summer", AllData[Year], "2023"),"")</f>
        <v>0.65199999999999991</v>
      </c>
      <c r="S16" s="28">
        <f t="shared" si="5"/>
        <v>5.5395683453237303E-2</v>
      </c>
      <c r="T16" s="26">
        <f>COUNTIFS(AllData[Site Name], Tables!$B16, AllData[Season], "Autumn", AllData[Year], "2023")</f>
        <v>3</v>
      </c>
      <c r="U16" s="160">
        <f>IFERROR(AVERAGEIFS(AllData[Nitrate (PPM)], AllData[Site Name], $B16, AllData[Season], "Autumn", AllData[Year], "2023"), "")</f>
        <v>5.5</v>
      </c>
      <c r="V16" s="27">
        <f t="shared" si="6"/>
        <v>-0.29184549356223177</v>
      </c>
      <c r="W16" s="161">
        <f>IFERROR(AVERAGEIFS(AllData[Phosphate (PPM)], AllData[Site Name], $B16, AllData[Season], "Autumn", AllData[Year], "2023"),"")</f>
        <v>0.72333333333333327</v>
      </c>
      <c r="X16" s="28">
        <f t="shared" si="7"/>
        <v>0.17086330935251792</v>
      </c>
      <c r="Y16" s="26">
        <f>COUNTIFS(AllData[Site Name], Tables!$B16, AllData[Season], "Winter", AllData[Year], "2023")</f>
        <v>5</v>
      </c>
      <c r="Z16" s="160">
        <f>IFERROR(AVERAGEIFS(AllData[Nitrate (PPM)], AllData[Site Name], $B16, AllData[Season], "Winter", AllData[Year], "2023"), "")</f>
        <v>12.8</v>
      </c>
      <c r="AA16" s="27">
        <f t="shared" si="8"/>
        <v>0.6480686695278971</v>
      </c>
      <c r="AB16" s="161">
        <f>IFERROR(AVERAGEIFS(AllData[Phosphate (PPM)], AllData[Site Name], $B16, AllData[Season], "Winter", AllData[Year], "2023"),"")</f>
        <v>0.47800000000000004</v>
      </c>
      <c r="AC16" s="28">
        <f t="shared" si="9"/>
        <v>-0.22625899280575532</v>
      </c>
      <c r="AD16" s="26">
        <f>COUNTIFS(AllData[Site Name], Tables!$B16, AllData[Season], "Spring", AllData[Year], "2024")</f>
        <v>0</v>
      </c>
      <c r="AE16" s="160" t="str">
        <f>IFERROR(AVERAGEIFS(AllData[Nitrate (PPM)], AllData[Site Name], $B16, AllData[Season], "Spring", AllData[Year], "2024"), "")</f>
        <v/>
      </c>
      <c r="AF16" s="27" t="str">
        <f t="shared" si="10"/>
        <v/>
      </c>
      <c r="AG16" s="161" t="str">
        <f>IFERROR(AVERAGEIFS(AllData[Phosphate (PPM)], AllData[Site Name], $B16, AllData[Season], "Spring", AllData[Year], "2024"),"")</f>
        <v/>
      </c>
      <c r="AH16" s="28" t="str">
        <f t="shared" si="11"/>
        <v/>
      </c>
      <c r="AI16" s="165">
        <f>COUNTIFS(AllData[Site Name], Tables!$B16, AllData[Season], "Summer", AllData[Year], "2024")</f>
        <v>0</v>
      </c>
      <c r="AJ16" s="160" t="str">
        <f>IFERROR(AVERAGEIFS(AllData[Nitrate (PPM)], AllData[Site Name], $B16, AllData[Season], "Summer", AllData[Year], "2024"), "")</f>
        <v/>
      </c>
      <c r="AK16" s="27" t="str">
        <f t="shared" si="12"/>
        <v/>
      </c>
      <c r="AL16" s="27" t="str">
        <f t="shared" si="13"/>
        <v/>
      </c>
      <c r="AM16" s="161" t="str">
        <f>IFERROR(AVERAGEIFS(AllData[Phosphate (PPM)], AllData[Site Name], $B16, AllData[Season], "Summer", AllData[Year], "2024"),"")</f>
        <v/>
      </c>
      <c r="AN16" s="27" t="str">
        <f t="shared" si="14"/>
        <v/>
      </c>
      <c r="AO16" s="28" t="str">
        <f t="shared" si="15"/>
        <v/>
      </c>
      <c r="AP16" s="157">
        <f>COUNTIFS(AllData[Site Name], Tables!$B16, AllData[Season], "Autumn", AllData[Year], "2024")</f>
        <v>0</v>
      </c>
      <c r="AQ16" s="160" t="str">
        <f>IFERROR(AVERAGEIFS(AllData[Nitrate (PPM)], AllData[Site Name], $B16, AllData[Season], "Autumn", AllData[Year], "2024"), "")</f>
        <v/>
      </c>
      <c r="AR16" s="27" t="str">
        <f t="shared" si="16"/>
        <v/>
      </c>
      <c r="AS16" s="27" t="str">
        <f t="shared" si="17"/>
        <v/>
      </c>
      <c r="AT16" s="161" t="str">
        <f>IFERROR(AVERAGEIFS(AllData[Phosphate (PPM)], AllData[Site Name], B16, AllData[Season], "Autumn", AllData[Year], "2024"), "")</f>
        <v/>
      </c>
      <c r="AU16" s="27" t="str">
        <f t="shared" si="18"/>
        <v/>
      </c>
      <c r="AV16" s="28" t="str">
        <f t="shared" si="19"/>
        <v/>
      </c>
      <c r="AW16" s="165">
        <f>COUNTIFS(AllData[Site Name], Tables!$B16, AllData[Season], "Winter", AllData[Year], "2024")</f>
        <v>0</v>
      </c>
      <c r="AX16" s="160" t="str">
        <f>IFERROR(AVERAGEIFS(AllData[Nitrate (PPM)], AllData[Site Name], $B16, AllData[Season], "Winter", AllData[Year], "2024"), "")</f>
        <v/>
      </c>
      <c r="AY16" s="27" t="str">
        <f t="shared" si="20"/>
        <v/>
      </c>
      <c r="AZ16" s="27" t="str">
        <f t="shared" si="21"/>
        <v/>
      </c>
      <c r="BA16" s="161" t="str">
        <f>IFERROR(AVERAGEIFS(AllData[Phosphate (PPM)], AllData[Site Name], $B16, AllData[Season], "Winter", AllData[Year], "2024"), "")</f>
        <v/>
      </c>
      <c r="BB16" s="27" t="str">
        <f t="shared" si="22"/>
        <v/>
      </c>
      <c r="BC16" s="44" t="str">
        <f t="shared" si="23"/>
        <v/>
      </c>
      <c r="BD16" s="157">
        <f>COUNTIFS(AllData[Site Name], Tables!$B16, AllData[Season], "Spring", AllData[Year], "2025")</f>
        <v>0</v>
      </c>
      <c r="BE16" s="160" t="str">
        <f>IFERROR(AVERAGEIFS(AllData[Nitrate (PPM)], AllData[Site Name], $B16, AllData[Season], "Spring", AllData[Year], "2025"), "")</f>
        <v/>
      </c>
      <c r="BF16" s="27" t="str">
        <f t="shared" si="24"/>
        <v/>
      </c>
      <c r="BG16" s="27" t="str">
        <f t="shared" si="25"/>
        <v/>
      </c>
      <c r="BH16" s="161" t="str">
        <f>IFERROR(AVERAGEIFS(AllData[Phosphate (PPM)], AllData[Site Name], $B16, AllData[Season], "Spring", AllData[Year], "2025"), "")</f>
        <v/>
      </c>
      <c r="BI16" s="27" t="str">
        <f t="shared" si="26"/>
        <v/>
      </c>
      <c r="BJ16" s="27" t="str">
        <f t="shared" si="27"/>
        <v/>
      </c>
      <c r="BK16" s="165">
        <f>COUNTIFS(AllData[Site Name], Tables!$B16, AllData[Season], "Summer", AllData[Year], "2025")</f>
        <v>0</v>
      </c>
      <c r="BL16" s="160" t="str">
        <f>IFERROR(AVERAGEIFS(AllData[Nitrate (PPM)], AllData[Site Name], $B16, AllData[Season], "Summer", AllData[Year], "2025"), "")</f>
        <v/>
      </c>
      <c r="BM16" s="27" t="str">
        <f t="shared" si="28"/>
        <v/>
      </c>
      <c r="BN16" s="27" t="str">
        <f t="shared" si="29"/>
        <v/>
      </c>
      <c r="BO16" s="161" t="str">
        <f>IFERROR(AVERAGEIFS(AllData[Phosphate (PPM)], AllData[Site Name], $B16, AllData[Season], "Summer", AllData[Year], "2025"),"")</f>
        <v/>
      </c>
      <c r="BP16" s="27" t="str">
        <f t="shared" si="30"/>
        <v/>
      </c>
      <c r="BQ16" s="27" t="str">
        <f t="shared" si="31"/>
        <v/>
      </c>
      <c r="BR16" s="165">
        <f>COUNTIFS(AllData[Site Name], Tables!$B16, AllData[Season], "Autumn", AllData[Year], "2025")</f>
        <v>0</v>
      </c>
      <c r="BS16" s="160" t="str">
        <f>IFERROR(AVERAGEIFS(AllData[Nitrate (PPM)], AllData[Site Name], $B16, AllData[Season], "Autumn", AllData[Year], "2025"), "")</f>
        <v/>
      </c>
      <c r="BT16" s="27" t="str">
        <f t="shared" si="32"/>
        <v/>
      </c>
      <c r="BU16" s="27" t="str">
        <f t="shared" si="33"/>
        <v/>
      </c>
      <c r="BV16" s="161" t="str">
        <f>IFERROR(AVERAGEIFS(AllData[Phosphate (PPM)], AllData[Site Name], AD16, AllData[Season], "Autumn", AllData[Year], "2025"), "")</f>
        <v/>
      </c>
      <c r="BW16" s="27" t="str">
        <f t="shared" si="34"/>
        <v/>
      </c>
      <c r="BX16" s="28" t="str">
        <f t="shared" si="35"/>
        <v/>
      </c>
      <c r="BY16" s="165">
        <f>COUNTIFS(AllData[Site Name], Tables!$B16, AllData[Season], "Winter", AllData[Year], "2025")</f>
        <v>0</v>
      </c>
      <c r="BZ16" s="160" t="str">
        <f>IFERROR(AVERAGEIFS(AllData[Nitrate (PPM)], AllData[Site Name], $B16, AllData[Season], "Winter", AllData[Year], "2025"), "")</f>
        <v/>
      </c>
      <c r="CA16" s="27" t="str">
        <f t="shared" si="36"/>
        <v/>
      </c>
      <c r="CB16" s="27" t="str">
        <f t="shared" si="37"/>
        <v/>
      </c>
      <c r="CC16" s="161" t="str">
        <f>IFERROR(AVERAGEIFS(AllData[Phosphate (PPM)], AllData[Site Name], $B16, AllData[Season], "Winter", AllData[Year], "2025"), "")</f>
        <v/>
      </c>
      <c r="CD16" s="27" t="str">
        <f t="shared" si="38"/>
        <v/>
      </c>
      <c r="CE16" s="44" t="str">
        <f t="shared" si="39"/>
        <v/>
      </c>
    </row>
    <row r="17" spans="2:83" x14ac:dyDescent="0.35">
      <c r="B17" s="159" t="s">
        <v>538</v>
      </c>
      <c r="C17" s="113">
        <f>IFERROR(AVERAGEIF(AllData[Site Name], Tables!B17, AllData[Latitude]), "Unknown")</f>
        <v>52.24489999999998</v>
      </c>
      <c r="D17" s="113">
        <f>IFERROR(AVERAGEIF(AllData[Site Name], Tables!B17, AllData[Longitude]), "Unknown")</f>
        <v>-1.6617000000000013</v>
      </c>
      <c r="E17" s="13" t="e" vm="1">
        <f>_xlfn.XLOOKUP(B17,LocationsKey[Site Name], LocationsKey[District])</f>
        <v>#VALUE!</v>
      </c>
      <c r="F17" s="13" t="e" vm="19">
        <f>_xlfn.XLOOKUP(B17,LocationsKey[Site Name], LocationsKey[Town])</f>
        <v>#VALUE!</v>
      </c>
      <c r="G17" s="25" t="str">
        <f>_xlfn.XLOOKUP(B17,LocationsKey[Site Name],LocationsKey[Waterway])</f>
        <v>Bell Brook</v>
      </c>
      <c r="H17" s="157">
        <f>COUNTIF(AllData[Site Name], Tables!B17)</f>
        <v>59</v>
      </c>
      <c r="I17" s="160">
        <f t="shared" si="0"/>
        <v>6.9009462759462759</v>
      </c>
      <c r="J17" s="161">
        <f t="shared" si="1"/>
        <v>0.4959654234654236</v>
      </c>
      <c r="K17" s="27" cm="1">
        <f t="array" ref="K17">SUM(COUNTIFS(AllData[Site Name], B17, AllData[Nitrate Pollution Category], {"High","Very high"}))/COUNTIFS(AllData[Site Name], B17, AllData[Nitrate (PPM)], "&lt;&gt;0")</f>
        <v>1</v>
      </c>
      <c r="L17" s="27" cm="1">
        <f t="array" ref="L17">SUM(COUNTIFS(AllData[Site Name], B17, AllData[Phosphate Pollution Category], {"High","Very high"}))/COUNTIFS(AllData[Site Name], B17, AllData[Phosphate (PPM)], "&lt;&gt;0")</f>
        <v>0.96551724137931039</v>
      </c>
      <c r="M17" s="157">
        <f t="shared" si="2"/>
        <v>34</v>
      </c>
      <c r="N17" s="157">
        <f t="shared" si="3"/>
        <v>50</v>
      </c>
      <c r="O17" s="26">
        <f>COUNTIFS(AllData[Site Name], Tables!$B17, AllData[Season], "Summer", AllData[Year], "2023")</f>
        <v>0</v>
      </c>
      <c r="P17" s="160" t="str">
        <f>IFERROR(AVERAGEIFS(AllData[Nitrate (PPM)], AllData[Site Name], $B17, AllData[Season], "Summer", AllData[Year], "2023"), "")</f>
        <v/>
      </c>
      <c r="Q17" s="27" t="str">
        <f t="shared" si="4"/>
        <v/>
      </c>
      <c r="R17" s="161" t="str">
        <f>IFERROR(AVERAGEIFS(AllData[Phosphate (PPM)], AllData[Site Name], $B17, AllData[Season], "Summer", AllData[Year], "2023"),"")</f>
        <v/>
      </c>
      <c r="S17" s="28" t="str">
        <f t="shared" si="5"/>
        <v/>
      </c>
      <c r="T17" s="26">
        <f>COUNTIFS(AllData[Site Name], Tables!$B17, AllData[Season], "Autumn", AllData[Year], "2023")</f>
        <v>0</v>
      </c>
      <c r="U17" s="160" t="str">
        <f>IFERROR(AVERAGEIFS(AllData[Nitrate (PPM)], AllData[Site Name], $B17, AllData[Season], "Autumn", AllData[Year], "2023"), "")</f>
        <v/>
      </c>
      <c r="V17" s="27" t="str">
        <f t="shared" si="6"/>
        <v/>
      </c>
      <c r="W17" s="161" t="str">
        <f>IFERROR(AVERAGEIFS(AllData[Phosphate (PPM)], AllData[Site Name], $B17, AllData[Season], "Autumn", AllData[Year], "2023"),"")</f>
        <v/>
      </c>
      <c r="X17" s="28" t="str">
        <f t="shared" si="7"/>
        <v/>
      </c>
      <c r="Y17" s="26">
        <f>COUNTIFS(AllData[Site Name], Tables!$B17, AllData[Season], "Winter", AllData[Year], "2023")</f>
        <v>7</v>
      </c>
      <c r="Z17" s="160">
        <f>IFERROR(AVERAGEIFS(AllData[Nitrate (PPM)], AllData[Site Name], $B17, AllData[Season], "Winter", AllData[Year], "2023"), "")</f>
        <v>6.1428571428571432</v>
      </c>
      <c r="AA17" s="27">
        <f t="shared" si="8"/>
        <v>-0.10985292491429828</v>
      </c>
      <c r="AB17" s="161">
        <f>IFERROR(AVERAGEIFS(AllData[Phosphate (PPM)], AllData[Site Name], $B17, AllData[Season], "Winter", AllData[Year], "2023"),"")</f>
        <v>0.61285714285714299</v>
      </c>
      <c r="AC17" s="28">
        <f t="shared" si="9"/>
        <v>0.23568521889080546</v>
      </c>
      <c r="AD17" s="26">
        <f>COUNTIFS(AllData[Site Name], Tables!$B17, AllData[Season], "Spring", AllData[Year], "2024")</f>
        <v>13</v>
      </c>
      <c r="AE17" s="160">
        <f>IFERROR(AVERAGEIFS(AllData[Nitrate (PPM)], AllData[Site Name], $B17, AllData[Season], "Spring", AllData[Year], "2024"), "")</f>
        <v>4.6923076923076925</v>
      </c>
      <c r="AF17" s="27">
        <f t="shared" si="10"/>
        <v>-0.32004865641932984</v>
      </c>
      <c r="AG17" s="161">
        <f>IFERROR(AVERAGEIFS(AllData[Phosphate (PPM)], AllData[Site Name], $B17, AllData[Season], "Spring", AllData[Year], "2024"),"")</f>
        <v>0.45692307692307693</v>
      </c>
      <c r="AH17" s="28">
        <f t="shared" si="11"/>
        <v>-7.8719895974902615E-2</v>
      </c>
      <c r="AI17" s="165">
        <f>COUNTIFS(AllData[Site Name], Tables!$B17, AllData[Season], "Summer", AllData[Year], "2024")</f>
        <v>13</v>
      </c>
      <c r="AJ17" s="160">
        <f>IFERROR(AVERAGEIFS(AllData[Nitrate (PPM)], AllData[Site Name], $B17, AllData[Season], "Summer", AllData[Year], "2024"), "")</f>
        <v>9.1538461538461533</v>
      </c>
      <c r="AK17" s="27">
        <f t="shared" si="12"/>
        <v>0.3264624571491761</v>
      </c>
      <c r="AL17" s="27" t="str">
        <f t="shared" si="13"/>
        <v/>
      </c>
      <c r="AM17" s="161">
        <f>IFERROR(AVERAGEIFS(AllData[Phosphate (PPM)], AllData[Site Name], $B17, AllData[Season], "Summer", AllData[Year], "2024"),"")</f>
        <v>0.62538461538461554</v>
      </c>
      <c r="AN17" s="27">
        <f t="shared" si="14"/>
        <v>0.26094398076162345</v>
      </c>
      <c r="AO17" s="28" t="str">
        <f t="shared" si="15"/>
        <v/>
      </c>
      <c r="AP17" s="157">
        <f>COUNTIFS(AllData[Site Name], Tables!$B17, AllData[Season], "Autumn", AllData[Year], "2024")</f>
        <v>12</v>
      </c>
      <c r="AQ17" s="160">
        <f>IFERROR(AVERAGEIFS(AllData[Nitrate (PPM)], AllData[Site Name], $B17, AllData[Season], "Autumn", AllData[Year], "2024"), "")</f>
        <v>10.166666666666666</v>
      </c>
      <c r="AR17" s="27">
        <f t="shared" si="16"/>
        <v>0.4732279110914519</v>
      </c>
      <c r="AS17" s="27" t="str">
        <f t="shared" si="17"/>
        <v/>
      </c>
      <c r="AT17" s="161">
        <f>IFERROR(AVERAGEIFS(AllData[Phosphate (PPM)], AllData[Site Name], B17, AllData[Season], "Autumn", AllData[Year], "2024"), "")</f>
        <v>0.52181818181818185</v>
      </c>
      <c r="AU17" s="27">
        <f t="shared" si="18"/>
        <v>5.2126130430865766E-2</v>
      </c>
      <c r="AV17" s="28" t="str">
        <f t="shared" si="19"/>
        <v/>
      </c>
      <c r="AW17" s="165">
        <f>COUNTIFS(AllData[Site Name], Tables!$B17, AllData[Season], "Winter", AllData[Year], "2024")</f>
        <v>8</v>
      </c>
      <c r="AX17" s="160">
        <f>IFERROR(AVERAGEIFS(AllData[Nitrate (PPM)], AllData[Site Name], $B17, AllData[Season], "Winter", AllData[Year], "2024"), "")</f>
        <v>5.25</v>
      </c>
      <c r="AY17" s="27">
        <f t="shared" si="20"/>
        <v>-0.23923476722326661</v>
      </c>
      <c r="AZ17" s="27">
        <f t="shared" si="21"/>
        <v>-0.14534883720930239</v>
      </c>
      <c r="BA17" s="161">
        <f>IFERROR(AVERAGEIFS(AllData[Phosphate (PPM)], AllData[Site Name], $B17, AllData[Season], "Winter", AllData[Year], "2024"), "")</f>
        <v>0.37714285714285717</v>
      </c>
      <c r="BB17" s="27">
        <f t="shared" si="22"/>
        <v>-0.23957832683642752</v>
      </c>
      <c r="BC17" s="44">
        <f t="shared" si="23"/>
        <v>-0.38461538461538469</v>
      </c>
      <c r="BD17" s="157">
        <f>COUNTIFS(AllData[Site Name], Tables!$B17, AllData[Season], "Spring", AllData[Year], "2025")</f>
        <v>6</v>
      </c>
      <c r="BE17" s="160">
        <f>IFERROR(AVERAGEIFS(AllData[Nitrate (PPM)], AllData[Site Name], $B17, AllData[Season], "Spring", AllData[Year], "2025"), "")</f>
        <v>6</v>
      </c>
      <c r="BF17" s="27">
        <f t="shared" si="24"/>
        <v>-0.13055401968373326</v>
      </c>
      <c r="BG17" s="27">
        <f t="shared" si="25"/>
        <v>0.27868852459016386</v>
      </c>
      <c r="BH17" s="161">
        <f>IFERROR(AVERAGEIFS(AllData[Phosphate (PPM)], AllData[Site Name], $B17, AllData[Season], "Spring", AllData[Year], "2025"), "")</f>
        <v>0.38166666666666665</v>
      </c>
      <c r="BI17" s="27">
        <f t="shared" si="26"/>
        <v>-0.23045710727196556</v>
      </c>
      <c r="BJ17" s="27">
        <f t="shared" si="27"/>
        <v>-0.16470258136924809</v>
      </c>
      <c r="BK17" s="165">
        <f>COUNTIFS(AllData[Site Name], Tables!$B17, AllData[Season], "Summer", AllData[Year], "2025")</f>
        <v>0</v>
      </c>
      <c r="BL17" s="160" t="str">
        <f>IFERROR(AVERAGEIFS(AllData[Nitrate (PPM)], AllData[Site Name], $B17, AllData[Season], "Summer", AllData[Year], "2025"), "")</f>
        <v/>
      </c>
      <c r="BM17" s="27" t="str">
        <f t="shared" si="28"/>
        <v/>
      </c>
      <c r="BN17" s="27" t="str">
        <f t="shared" si="29"/>
        <v/>
      </c>
      <c r="BO17" s="161" t="str">
        <f>IFERROR(AVERAGEIFS(AllData[Phosphate (PPM)], AllData[Site Name], $B17, AllData[Season], "Summer", AllData[Year], "2025"),"")</f>
        <v/>
      </c>
      <c r="BP17" s="27" t="str">
        <f t="shared" si="30"/>
        <v/>
      </c>
      <c r="BQ17" s="27" t="str">
        <f t="shared" si="31"/>
        <v/>
      </c>
      <c r="BR17" s="165">
        <f>COUNTIFS(AllData[Site Name], Tables!$B17, AllData[Season], "Autumn", AllData[Year], "2025")</f>
        <v>0</v>
      </c>
      <c r="BS17" s="160" t="str">
        <f>IFERROR(AVERAGEIFS(AllData[Nitrate (PPM)], AllData[Site Name], $B17, AllData[Season], "Autumn", AllData[Year], "2025"), "")</f>
        <v/>
      </c>
      <c r="BT17" s="27" t="str">
        <f t="shared" si="32"/>
        <v/>
      </c>
      <c r="BU17" s="27" t="str">
        <f t="shared" si="33"/>
        <v/>
      </c>
      <c r="BV17" s="161" t="str">
        <f>IFERROR(AVERAGEIFS(AllData[Phosphate (PPM)], AllData[Site Name], AD17, AllData[Season], "Autumn", AllData[Year], "2025"), "")</f>
        <v/>
      </c>
      <c r="BW17" s="27" t="str">
        <f t="shared" si="34"/>
        <v/>
      </c>
      <c r="BX17" s="28" t="str">
        <f t="shared" si="35"/>
        <v/>
      </c>
      <c r="BY17" s="165">
        <f>COUNTIFS(AllData[Site Name], Tables!$B17, AllData[Season], "Winter", AllData[Year], "2025")</f>
        <v>0</v>
      </c>
      <c r="BZ17" s="160" t="str">
        <f>IFERROR(AVERAGEIFS(AllData[Nitrate (PPM)], AllData[Site Name], $B17, AllData[Season], "Winter", AllData[Year], "2025"), "")</f>
        <v/>
      </c>
      <c r="CA17" s="27" t="str">
        <f t="shared" si="36"/>
        <v/>
      </c>
      <c r="CB17" s="27" t="str">
        <f t="shared" si="37"/>
        <v/>
      </c>
      <c r="CC17" s="161" t="str">
        <f>IFERROR(AVERAGEIFS(AllData[Phosphate (PPM)], AllData[Site Name], $B17, AllData[Season], "Winter", AllData[Year], "2025"), "")</f>
        <v/>
      </c>
      <c r="CD17" s="27" t="str">
        <f t="shared" si="38"/>
        <v/>
      </c>
      <c r="CE17" s="44" t="str">
        <f t="shared" si="39"/>
        <v/>
      </c>
    </row>
    <row r="18" spans="2:83" x14ac:dyDescent="0.35">
      <c r="B18" s="159" t="s">
        <v>572</v>
      </c>
      <c r="C18" s="113">
        <f>IFERROR(AVERAGEIF(AllData[Site Name], Tables!B18, AllData[Latitude]), "Unknown")</f>
        <v>51.997466254237274</v>
      </c>
      <c r="D18" s="113">
        <f>IFERROR(AVERAGEIF(AllData[Site Name], Tables!B18, AllData[Longitude]), "Unknown")</f>
        <v>-2.1561788644067801</v>
      </c>
      <c r="E18" s="13" t="e" vm="4">
        <f>_xlfn.XLOOKUP(B18,LocationsKey[Site Name], LocationsKey[District])</f>
        <v>#VALUE!</v>
      </c>
      <c r="F18" s="13" t="e" vm="4">
        <f>_xlfn.XLOOKUP(B18,LocationsKey[Site Name], LocationsKey[Town])</f>
        <v>#VALUE!</v>
      </c>
      <c r="G18" s="25" t="str">
        <f>_xlfn.XLOOKUP(B18,LocationsKey[Site Name],LocationsKey[Waterway])</f>
        <v>Avon</v>
      </c>
      <c r="H18" s="157">
        <f>COUNTIF(AllData[Site Name], Tables!B18)</f>
        <v>66</v>
      </c>
      <c r="I18" s="160">
        <f t="shared" si="0"/>
        <v>7.7729700854700852</v>
      </c>
      <c r="J18" s="161">
        <f t="shared" si="1"/>
        <v>0.86110424297924304</v>
      </c>
      <c r="K18" s="27" cm="1">
        <f t="array" ref="K18">SUM(COUNTIFS(AllData[Site Name], B18, AllData[Nitrate Pollution Category], {"High","Very high"}))/COUNTIFS(AllData[Site Name], B18, AllData[Nitrate (PPM)], "&lt;&gt;0")</f>
        <v>1</v>
      </c>
      <c r="L18" s="27" cm="1">
        <f t="array" ref="L18">SUM(COUNTIFS(AllData[Site Name], B18, AllData[Phosphate Pollution Category], {"High","Very high"}))/COUNTIFS(AllData[Site Name], B18, AllData[Phosphate (PPM)], "&lt;&gt;0")</f>
        <v>0.95454545454545459</v>
      </c>
      <c r="M18" s="157">
        <f t="shared" si="2"/>
        <v>21</v>
      </c>
      <c r="N18" s="157">
        <f t="shared" si="3"/>
        <v>17</v>
      </c>
      <c r="O18" s="26">
        <f>COUNTIFS(AllData[Site Name], Tables!$B18, AllData[Season], "Summer", AllData[Year], "2023")</f>
        <v>0</v>
      </c>
      <c r="P18" s="160" t="str">
        <f>IFERROR(AVERAGEIFS(AllData[Nitrate (PPM)], AllData[Site Name], $B18, AllData[Season], "Summer", AllData[Year], "2023"), "")</f>
        <v/>
      </c>
      <c r="Q18" s="27" t="str">
        <f t="shared" si="4"/>
        <v/>
      </c>
      <c r="R18" s="161" t="str">
        <f>IFERROR(AVERAGEIFS(AllData[Phosphate (PPM)], AllData[Site Name], $B18, AllData[Season], "Summer", AllData[Year], "2023"),"")</f>
        <v/>
      </c>
      <c r="S18" s="28" t="str">
        <f t="shared" si="5"/>
        <v/>
      </c>
      <c r="T18" s="26">
        <f>COUNTIFS(AllData[Site Name], Tables!$B18, AllData[Season], "Autumn", AllData[Year], "2023")</f>
        <v>0</v>
      </c>
      <c r="U18" s="160" t="str">
        <f>IFERROR(AVERAGEIFS(AllData[Nitrate (PPM)], AllData[Site Name], $B18, AllData[Season], "Autumn", AllData[Year], "2023"), "")</f>
        <v/>
      </c>
      <c r="V18" s="27" t="str">
        <f t="shared" si="6"/>
        <v/>
      </c>
      <c r="W18" s="161" t="str">
        <f>IFERROR(AVERAGEIFS(AllData[Phosphate (PPM)], AllData[Site Name], $B18, AllData[Season], "Autumn", AllData[Year], "2023"),"")</f>
        <v/>
      </c>
      <c r="X18" s="28" t="str">
        <f t="shared" si="7"/>
        <v/>
      </c>
      <c r="Y18" s="26">
        <f>COUNTIFS(AllData[Site Name], Tables!$B18, AllData[Season], "Winter", AllData[Year], "2023")</f>
        <v>6</v>
      </c>
      <c r="Z18" s="160">
        <f>IFERROR(AVERAGEIFS(AllData[Nitrate (PPM)], AllData[Site Name], $B18, AllData[Season], "Winter", AllData[Year], "2023"), "")</f>
        <v>6.5</v>
      </c>
      <c r="AA18" s="27">
        <f t="shared" si="8"/>
        <v>-0.16376881313999034</v>
      </c>
      <c r="AB18" s="161">
        <f>IFERROR(AVERAGEIFS(AllData[Phosphate (PPM)], AllData[Site Name], $B18, AllData[Season], "Winter", AllData[Year], "2023"),"")</f>
        <v>0.87333333333333318</v>
      </c>
      <c r="AC18" s="28">
        <f t="shared" si="9"/>
        <v>1.4201637552940181E-2</v>
      </c>
      <c r="AD18" s="26">
        <f>COUNTIFS(AllData[Site Name], Tables!$B18, AllData[Season], "Spring", AllData[Year], "2024")</f>
        <v>13</v>
      </c>
      <c r="AE18" s="160">
        <f>IFERROR(AVERAGEIFS(AllData[Nitrate (PPM)], AllData[Site Name], $B18, AllData[Season], "Spring", AllData[Year], "2024"), "")</f>
        <v>6.1538461538461542</v>
      </c>
      <c r="AF18" s="27">
        <f t="shared" si="10"/>
        <v>-0.20830183492543461</v>
      </c>
      <c r="AG18" s="161">
        <f>IFERROR(AVERAGEIFS(AllData[Phosphate (PPM)], AllData[Site Name], $B18, AllData[Season], "Spring", AllData[Year], "2024"),"")</f>
        <v>0.57538461538461561</v>
      </c>
      <c r="AH18" s="28">
        <f t="shared" si="11"/>
        <v>-0.33180608494750469</v>
      </c>
      <c r="AI18" s="165">
        <f>COUNTIFS(AllData[Site Name], Tables!$B18, AllData[Season], "Summer", AllData[Year], "2024")</f>
        <v>13</v>
      </c>
      <c r="AJ18" s="160">
        <f>IFERROR(AVERAGEIFS(AllData[Nitrate (PPM)], AllData[Site Name], $B18, AllData[Season], "Summer", AllData[Year], "2024"), "")</f>
        <v>9.6923076923076916</v>
      </c>
      <c r="AK18" s="27">
        <f t="shared" si="12"/>
        <v>0.24692460999244034</v>
      </c>
      <c r="AL18" s="27" t="str">
        <f t="shared" si="13"/>
        <v/>
      </c>
      <c r="AM18" s="161">
        <f>IFERROR(AVERAGEIFS(AllData[Phosphate (PPM)], AllData[Site Name], $B18, AllData[Season], "Summer", AllData[Year], "2024"),"")</f>
        <v>1.0415384615384617</v>
      </c>
      <c r="AN18" s="27">
        <f t="shared" si="14"/>
        <v>0.20953818312978406</v>
      </c>
      <c r="AO18" s="28" t="str">
        <f t="shared" si="15"/>
        <v/>
      </c>
      <c r="AP18" s="157">
        <f>COUNTIFS(AllData[Site Name], Tables!$B18, AllData[Season], "Autumn", AllData[Year], "2024")</f>
        <v>14</v>
      </c>
      <c r="AQ18" s="160">
        <f>IFERROR(AVERAGEIFS(AllData[Nitrate (PPM)], AllData[Site Name], $B18, AllData[Season], "Autumn", AllData[Year], "2024"), "")</f>
        <v>9.5</v>
      </c>
      <c r="AR18" s="27">
        <f t="shared" si="16"/>
        <v>0.22218404233386027</v>
      </c>
      <c r="AS18" s="27" t="str">
        <f t="shared" si="17"/>
        <v/>
      </c>
      <c r="AT18" s="161">
        <f>IFERROR(AVERAGEIFS(AllData[Phosphate (PPM)], AllData[Site Name], B18, AllData[Season], "Autumn", AllData[Year], "2024"), "")</f>
        <v>1.3092857142857142</v>
      </c>
      <c r="AU18" s="27">
        <f t="shared" si="18"/>
        <v>0.52047295662585014</v>
      </c>
      <c r="AV18" s="28" t="str">
        <f t="shared" si="19"/>
        <v/>
      </c>
      <c r="AW18" s="165">
        <f>COUNTIFS(AllData[Site Name], Tables!$B18, AllData[Season], "Winter", AllData[Year], "2024")</f>
        <v>12</v>
      </c>
      <c r="AX18" s="160">
        <f>IFERROR(AVERAGEIFS(AllData[Nitrate (PPM)], AllData[Site Name], $B18, AllData[Season], "Winter", AllData[Year], "2024"), "")</f>
        <v>6.916666666666667</v>
      </c>
      <c r="AY18" s="27">
        <f t="shared" si="20"/>
        <v>-0.11016424987973328</v>
      </c>
      <c r="AZ18" s="27">
        <f t="shared" si="21"/>
        <v>6.4102564102564152E-2</v>
      </c>
      <c r="BA18" s="161">
        <f>IFERROR(AVERAGEIFS(AllData[Phosphate (PPM)], AllData[Site Name], $B18, AllData[Season], "Winter", AllData[Year], "2024"), "")</f>
        <v>0.71583333333333332</v>
      </c>
      <c r="BB18" s="27">
        <f t="shared" si="22"/>
        <v>-0.1687030470820842</v>
      </c>
      <c r="BC18" s="44">
        <f t="shared" si="23"/>
        <v>-0.18034351145038155</v>
      </c>
      <c r="BD18" s="157">
        <f>COUNTIFS(AllData[Site Name], Tables!$B18, AllData[Season], "Spring", AllData[Year], "2025")</f>
        <v>8</v>
      </c>
      <c r="BE18" s="160">
        <f>IFERROR(AVERAGEIFS(AllData[Nitrate (PPM)], AllData[Site Name], $B18, AllData[Season], "Spring", AllData[Year], "2025"), "")</f>
        <v>7.875</v>
      </c>
      <c r="BF18" s="27">
        <f t="shared" si="24"/>
        <v>1.312624561885785E-2</v>
      </c>
      <c r="BG18" s="27">
        <f t="shared" si="25"/>
        <v>0.27968749999999992</v>
      </c>
      <c r="BH18" s="161">
        <f>IFERROR(AVERAGEIFS(AllData[Phosphate (PPM)], AllData[Site Name], $B18, AllData[Season], "Spring", AllData[Year], "2025"), "")</f>
        <v>0.65125</v>
      </c>
      <c r="BI18" s="27">
        <f t="shared" si="26"/>
        <v>-0.2437036452789858</v>
      </c>
      <c r="BJ18" s="27">
        <f t="shared" si="27"/>
        <v>0.13185160427807444</v>
      </c>
      <c r="BK18" s="165">
        <f>COUNTIFS(AllData[Site Name], Tables!$B18, AllData[Season], "Summer", AllData[Year], "2025")</f>
        <v>0</v>
      </c>
      <c r="BL18" s="160" t="str">
        <f>IFERROR(AVERAGEIFS(AllData[Nitrate (PPM)], AllData[Site Name], $B18, AllData[Season], "Summer", AllData[Year], "2025"), "")</f>
        <v/>
      </c>
      <c r="BM18" s="27" t="str">
        <f t="shared" si="28"/>
        <v/>
      </c>
      <c r="BN18" s="27" t="str">
        <f t="shared" si="29"/>
        <v/>
      </c>
      <c r="BO18" s="161" t="str">
        <f>IFERROR(AVERAGEIFS(AllData[Phosphate (PPM)], AllData[Site Name], $B18, AllData[Season], "Summer", AllData[Year], "2025"),"")</f>
        <v/>
      </c>
      <c r="BP18" s="27" t="str">
        <f t="shared" si="30"/>
        <v/>
      </c>
      <c r="BQ18" s="27" t="str">
        <f t="shared" si="31"/>
        <v/>
      </c>
      <c r="BR18" s="165">
        <f>COUNTIFS(AllData[Site Name], Tables!$B18, AllData[Season], "Autumn", AllData[Year], "2025")</f>
        <v>0</v>
      </c>
      <c r="BS18" s="160" t="str">
        <f>IFERROR(AVERAGEIFS(AllData[Nitrate (PPM)], AllData[Site Name], $B18, AllData[Season], "Autumn", AllData[Year], "2025"), "")</f>
        <v/>
      </c>
      <c r="BT18" s="27" t="str">
        <f t="shared" si="32"/>
        <v/>
      </c>
      <c r="BU18" s="27" t="str">
        <f t="shared" si="33"/>
        <v/>
      </c>
      <c r="BV18" s="161" t="str">
        <f>IFERROR(AVERAGEIFS(AllData[Phosphate (PPM)], AllData[Site Name], AD18, AllData[Season], "Autumn", AllData[Year], "2025"), "")</f>
        <v/>
      </c>
      <c r="BW18" s="27" t="str">
        <f t="shared" si="34"/>
        <v/>
      </c>
      <c r="BX18" s="28" t="str">
        <f t="shared" si="35"/>
        <v/>
      </c>
      <c r="BY18" s="165">
        <f>COUNTIFS(AllData[Site Name], Tables!$B18, AllData[Season], "Winter", AllData[Year], "2025")</f>
        <v>0</v>
      </c>
      <c r="BZ18" s="160" t="str">
        <f>IFERROR(AVERAGEIFS(AllData[Nitrate (PPM)], AllData[Site Name], $B18, AllData[Season], "Winter", AllData[Year], "2025"), "")</f>
        <v/>
      </c>
      <c r="CA18" s="27" t="str">
        <f t="shared" si="36"/>
        <v/>
      </c>
      <c r="CB18" s="27" t="str">
        <f t="shared" si="37"/>
        <v/>
      </c>
      <c r="CC18" s="161" t="str">
        <f>IFERROR(AVERAGEIFS(AllData[Phosphate (PPM)], AllData[Site Name], $B18, AllData[Season], "Winter", AllData[Year], "2025"), "")</f>
        <v/>
      </c>
      <c r="CD18" s="27" t="str">
        <f t="shared" si="38"/>
        <v/>
      </c>
      <c r="CE18" s="44" t="str">
        <f t="shared" si="39"/>
        <v/>
      </c>
    </row>
    <row r="19" spans="2:83" x14ac:dyDescent="0.35">
      <c r="B19" s="159" t="s">
        <v>3553</v>
      </c>
      <c r="C19" s="113">
        <f>IFERROR(AVERAGEIF(AllData[Site Name], Tables!B19, AllData[Latitude]), "Unknown")</f>
        <v>52.033540000000002</v>
      </c>
      <c r="D19" s="113">
        <f>IFERROR(AVERAGEIF(AllData[Site Name], Tables!B19, AllData[Longitude]), "Unknown")</f>
        <v>-2.116123</v>
      </c>
      <c r="E19" s="13" t="e" vm="4">
        <f>_xlfn.XLOOKUP(B19,LocationsKey[Site Name], LocationsKey[District])</f>
        <v>#VALUE!</v>
      </c>
      <c r="F19" s="13" t="e" vm="11">
        <f>_xlfn.XLOOKUP(B19,LocationsKey[Site Name], LocationsKey[Town])</f>
        <v>#VALUE!</v>
      </c>
      <c r="G19" s="25" t="str">
        <f>_xlfn.XLOOKUP(B19,LocationsKey[Site Name],LocationsKey[Waterway])</f>
        <v>Avon</v>
      </c>
      <c r="H19" s="157">
        <f>COUNTIF(AllData[Site Name], Tables!B19)</f>
        <v>1</v>
      </c>
      <c r="I19" s="160">
        <f t="shared" si="0"/>
        <v>10</v>
      </c>
      <c r="J19" s="161">
        <f t="shared" si="1"/>
        <v>0.88</v>
      </c>
      <c r="K19" s="27" cm="1">
        <f t="array" ref="K19">SUM(COUNTIFS(AllData[Site Name], B19, AllData[Nitrate Pollution Category], {"High","Very high"}))/COUNTIFS(AllData[Site Name], B19, AllData[Nitrate (PPM)], "&lt;&gt;0")</f>
        <v>1</v>
      </c>
      <c r="L19" s="27" cm="1">
        <f t="array" ref="L19">SUM(COUNTIFS(AllData[Site Name], B19, AllData[Phosphate Pollution Category], {"High","Very high"}))/COUNTIFS(AllData[Site Name], B19, AllData[Phosphate (PPM)], "&lt;&gt;0")</f>
        <v>1</v>
      </c>
      <c r="M19" s="157">
        <f t="shared" si="2"/>
        <v>6</v>
      </c>
      <c r="N19" s="157">
        <f t="shared" si="3"/>
        <v>16</v>
      </c>
      <c r="O19" s="26">
        <f>COUNTIFS(AllData[Site Name], Tables!$B19, AllData[Season], "Summer", AllData[Year], "2023")</f>
        <v>0</v>
      </c>
      <c r="P19" s="160" t="str">
        <f>IFERROR(AVERAGEIFS(AllData[Nitrate (PPM)], AllData[Site Name], $B19, AllData[Season], "Summer", AllData[Year], "2023"), "")</f>
        <v/>
      </c>
      <c r="Q19" s="27" t="str">
        <f t="shared" si="4"/>
        <v/>
      </c>
      <c r="R19" s="161" t="str">
        <f>IFERROR(AVERAGEIFS(AllData[Phosphate (PPM)], AllData[Site Name], $B19, AllData[Season], "Summer", AllData[Year], "2023"),"")</f>
        <v/>
      </c>
      <c r="S19" s="28" t="str">
        <f t="shared" si="5"/>
        <v/>
      </c>
      <c r="T19" s="26">
        <f>COUNTIFS(AllData[Site Name], Tables!$B19, AllData[Season], "Autumn", AllData[Year], "2023")</f>
        <v>0</v>
      </c>
      <c r="U19" s="160" t="str">
        <f>IFERROR(AVERAGEIFS(AllData[Nitrate (PPM)], AllData[Site Name], $B19, AllData[Season], "Autumn", AllData[Year], "2023"), "")</f>
        <v/>
      </c>
      <c r="V19" s="27" t="str">
        <f t="shared" si="6"/>
        <v/>
      </c>
      <c r="W19" s="161" t="str">
        <f>IFERROR(AVERAGEIFS(AllData[Phosphate (PPM)], AllData[Site Name], $B19, AllData[Season], "Autumn", AllData[Year], "2023"),"")</f>
        <v/>
      </c>
      <c r="X19" s="28" t="str">
        <f t="shared" si="7"/>
        <v/>
      </c>
      <c r="Y19" s="26">
        <f>COUNTIFS(AllData[Site Name], Tables!$B19, AllData[Season], "Winter", AllData[Year], "2023")</f>
        <v>0</v>
      </c>
      <c r="Z19" s="160" t="str">
        <f>IFERROR(AVERAGEIFS(AllData[Nitrate (PPM)], AllData[Site Name], $B19, AllData[Season], "Winter", AllData[Year], "2023"), "")</f>
        <v/>
      </c>
      <c r="AA19" s="27" t="str">
        <f t="shared" si="8"/>
        <v/>
      </c>
      <c r="AB19" s="161" t="str">
        <f>IFERROR(AVERAGEIFS(AllData[Phosphate (PPM)], AllData[Site Name], $B19, AllData[Season], "Winter", AllData[Year], "2023"),"")</f>
        <v/>
      </c>
      <c r="AC19" s="28" t="str">
        <f t="shared" si="9"/>
        <v/>
      </c>
      <c r="AD19" s="26">
        <f>COUNTIFS(AllData[Site Name], Tables!$B19, AllData[Season], "Spring", AllData[Year], "2024")</f>
        <v>0</v>
      </c>
      <c r="AE19" s="160" t="str">
        <f>IFERROR(AVERAGEIFS(AllData[Nitrate (PPM)], AllData[Site Name], $B19, AllData[Season], "Spring", AllData[Year], "2024"), "")</f>
        <v/>
      </c>
      <c r="AF19" s="27" t="str">
        <f t="shared" si="10"/>
        <v/>
      </c>
      <c r="AG19" s="161" t="str">
        <f>IFERROR(AVERAGEIFS(AllData[Phosphate (PPM)], AllData[Site Name], $B19, AllData[Season], "Spring", AllData[Year], "2024"),"")</f>
        <v/>
      </c>
      <c r="AH19" s="28" t="str">
        <f t="shared" si="11"/>
        <v/>
      </c>
      <c r="AI19" s="165">
        <f>COUNTIFS(AllData[Site Name], Tables!$B19, AllData[Season], "Summer", AllData[Year], "2024")</f>
        <v>1</v>
      </c>
      <c r="AJ19" s="160">
        <f>IFERROR(AVERAGEIFS(AllData[Nitrate (PPM)], AllData[Site Name], $B19, AllData[Season], "Summer", AllData[Year], "2024"), "")</f>
        <v>10</v>
      </c>
      <c r="AK19" s="27">
        <f t="shared" si="12"/>
        <v>0</v>
      </c>
      <c r="AL19" s="27" t="str">
        <f t="shared" si="13"/>
        <v/>
      </c>
      <c r="AM19" s="161">
        <f>IFERROR(AVERAGEIFS(AllData[Phosphate (PPM)], AllData[Site Name], $B19, AllData[Season], "Summer", AllData[Year], "2024"),"")</f>
        <v>0.88</v>
      </c>
      <c r="AN19" s="27">
        <f t="shared" si="14"/>
        <v>0</v>
      </c>
      <c r="AO19" s="28" t="str">
        <f t="shared" si="15"/>
        <v/>
      </c>
      <c r="AP19" s="157">
        <f>COUNTIFS(AllData[Site Name], Tables!$B19, AllData[Season], "Autumn", AllData[Year], "2024")</f>
        <v>0</v>
      </c>
      <c r="AQ19" s="160" t="str">
        <f>IFERROR(AVERAGEIFS(AllData[Nitrate (PPM)], AllData[Site Name], $B19, AllData[Season], "Autumn", AllData[Year], "2024"), "")</f>
        <v/>
      </c>
      <c r="AR19" s="27" t="str">
        <f t="shared" si="16"/>
        <v/>
      </c>
      <c r="AS19" s="27" t="str">
        <f t="shared" si="17"/>
        <v/>
      </c>
      <c r="AT19" s="161" t="str">
        <f>IFERROR(AVERAGEIFS(AllData[Phosphate (PPM)], AllData[Site Name], B19, AllData[Season], "Autumn", AllData[Year], "2024"), "")</f>
        <v/>
      </c>
      <c r="AU19" s="27" t="str">
        <f t="shared" si="18"/>
        <v/>
      </c>
      <c r="AV19" s="28" t="str">
        <f t="shared" si="19"/>
        <v/>
      </c>
      <c r="AW19" s="165">
        <f>COUNTIFS(AllData[Site Name], Tables!$B19, AllData[Season], "Winter", AllData[Year], "2024")</f>
        <v>0</v>
      </c>
      <c r="AX19" s="160" t="str">
        <f>IFERROR(AVERAGEIFS(AllData[Nitrate (PPM)], AllData[Site Name], $B19, AllData[Season], "Winter", AllData[Year], "2024"), "")</f>
        <v/>
      </c>
      <c r="AY19" s="27" t="str">
        <f t="shared" si="20"/>
        <v/>
      </c>
      <c r="AZ19" s="27" t="str">
        <f t="shared" si="21"/>
        <v/>
      </c>
      <c r="BA19" s="161" t="str">
        <f>IFERROR(AVERAGEIFS(AllData[Phosphate (PPM)], AllData[Site Name], $B19, AllData[Season], "Winter", AllData[Year], "2024"), "")</f>
        <v/>
      </c>
      <c r="BB19" s="27" t="str">
        <f t="shared" si="22"/>
        <v/>
      </c>
      <c r="BC19" s="44" t="str">
        <f t="shared" si="23"/>
        <v/>
      </c>
      <c r="BD19" s="157">
        <f>COUNTIFS(AllData[Site Name], Tables!$B19, AllData[Season], "Spring", AllData[Year], "2025")</f>
        <v>0</v>
      </c>
      <c r="BE19" s="160" t="str">
        <f>IFERROR(AVERAGEIFS(AllData[Nitrate (PPM)], AllData[Site Name], $B19, AllData[Season], "Spring", AllData[Year], "2025"), "")</f>
        <v/>
      </c>
      <c r="BF19" s="27" t="str">
        <f t="shared" si="24"/>
        <v/>
      </c>
      <c r="BG19" s="27" t="str">
        <f t="shared" si="25"/>
        <v/>
      </c>
      <c r="BH19" s="161" t="str">
        <f>IFERROR(AVERAGEIFS(AllData[Phosphate (PPM)], AllData[Site Name], $B19, AllData[Season], "Spring", AllData[Year], "2025"), "")</f>
        <v/>
      </c>
      <c r="BI19" s="27" t="str">
        <f t="shared" si="26"/>
        <v/>
      </c>
      <c r="BJ19" s="27" t="str">
        <f t="shared" si="27"/>
        <v/>
      </c>
      <c r="BK19" s="165">
        <f>COUNTIFS(AllData[Site Name], Tables!$B19, AllData[Season], "Summer", AllData[Year], "2025")</f>
        <v>0</v>
      </c>
      <c r="BL19" s="160" t="str">
        <f>IFERROR(AVERAGEIFS(AllData[Nitrate (PPM)], AllData[Site Name], $B19, AllData[Season], "Summer", AllData[Year], "2025"), "")</f>
        <v/>
      </c>
      <c r="BM19" s="27" t="str">
        <f t="shared" si="28"/>
        <v/>
      </c>
      <c r="BN19" s="27" t="str">
        <f t="shared" si="29"/>
        <v/>
      </c>
      <c r="BO19" s="161" t="str">
        <f>IFERROR(AVERAGEIFS(AllData[Phosphate (PPM)], AllData[Site Name], $B19, AllData[Season], "Summer", AllData[Year], "2025"),"")</f>
        <v/>
      </c>
      <c r="BP19" s="27" t="str">
        <f t="shared" si="30"/>
        <v/>
      </c>
      <c r="BQ19" s="27" t="str">
        <f t="shared" si="31"/>
        <v/>
      </c>
      <c r="BR19" s="165">
        <f>COUNTIFS(AllData[Site Name], Tables!$B19, AllData[Season], "Autumn", AllData[Year], "2025")</f>
        <v>0</v>
      </c>
      <c r="BS19" s="160" t="str">
        <f>IFERROR(AVERAGEIFS(AllData[Nitrate (PPM)], AllData[Site Name], $B19, AllData[Season], "Autumn", AllData[Year], "2025"), "")</f>
        <v/>
      </c>
      <c r="BT19" s="27" t="str">
        <f t="shared" si="32"/>
        <v/>
      </c>
      <c r="BU19" s="27" t="str">
        <f t="shared" si="33"/>
        <v/>
      </c>
      <c r="BV19" s="161" t="str">
        <f>IFERROR(AVERAGEIFS(AllData[Phosphate (PPM)], AllData[Site Name], AD19, AllData[Season], "Autumn", AllData[Year], "2025"), "")</f>
        <v/>
      </c>
      <c r="BW19" s="27" t="str">
        <f t="shared" si="34"/>
        <v/>
      </c>
      <c r="BX19" s="28" t="str">
        <f t="shared" si="35"/>
        <v/>
      </c>
      <c r="BY19" s="165">
        <f>COUNTIFS(AllData[Site Name], Tables!$B19, AllData[Season], "Winter", AllData[Year], "2025")</f>
        <v>0</v>
      </c>
      <c r="BZ19" s="160" t="str">
        <f>IFERROR(AVERAGEIFS(AllData[Nitrate (PPM)], AllData[Site Name], $B19, AllData[Season], "Winter", AllData[Year], "2025"), "")</f>
        <v/>
      </c>
      <c r="CA19" s="27" t="str">
        <f t="shared" si="36"/>
        <v/>
      </c>
      <c r="CB19" s="27" t="str">
        <f t="shared" si="37"/>
        <v/>
      </c>
      <c r="CC19" s="161" t="str">
        <f>IFERROR(AVERAGEIFS(AllData[Phosphate (PPM)], AllData[Site Name], $B19, AllData[Season], "Winter", AllData[Year], "2025"), "")</f>
        <v/>
      </c>
      <c r="CD19" s="27" t="str">
        <f t="shared" si="38"/>
        <v/>
      </c>
      <c r="CE19" s="44" t="str">
        <f t="shared" si="39"/>
        <v/>
      </c>
    </row>
    <row r="20" spans="2:83" x14ac:dyDescent="0.35">
      <c r="B20" s="159" t="s">
        <v>1849</v>
      </c>
      <c r="C20" s="113">
        <f>IFERROR(AVERAGEIF(AllData[Site Name], Tables!B20, AllData[Latitude]), "Unknown")</f>
        <v>52.033057272727277</v>
      </c>
      <c r="D20" s="113">
        <f>IFERROR(AVERAGEIF(AllData[Site Name], Tables!B20, AllData[Longitude]), "Unknown")</f>
        <v>-2.1161551818181823</v>
      </c>
      <c r="E20" s="13" t="e" vm="4">
        <f>_xlfn.XLOOKUP(B20,LocationsKey[Site Name], LocationsKey[District])</f>
        <v>#VALUE!</v>
      </c>
      <c r="F20" s="13" t="e" vm="11">
        <f>_xlfn.XLOOKUP(B20,LocationsKey[Site Name], LocationsKey[Town])</f>
        <v>#VALUE!</v>
      </c>
      <c r="G20" s="25" t="str">
        <f>_xlfn.XLOOKUP(B20,LocationsKey[Site Name],LocationsKey[Waterway])</f>
        <v>Avon</v>
      </c>
      <c r="H20" s="157">
        <f>COUNTIF(AllData[Site Name], Tables!B20)</f>
        <v>13</v>
      </c>
      <c r="I20" s="160">
        <f t="shared" si="0"/>
        <v>7.9047619047619051</v>
      </c>
      <c r="J20" s="161">
        <f t="shared" si="1"/>
        <v>0.83488095238095239</v>
      </c>
      <c r="K20" s="27" cm="1">
        <f t="array" ref="K20">SUM(COUNTIFS(AllData[Site Name], B20, AllData[Nitrate Pollution Category], {"High","Very high"}))/COUNTIFS(AllData[Site Name], B20, AllData[Nitrate (PPM)], "&lt;&gt;0")</f>
        <v>0.92307692307692313</v>
      </c>
      <c r="L20" s="27" cm="1">
        <f t="array" ref="L20">SUM(COUNTIFS(AllData[Site Name], B20, AllData[Phosphate Pollution Category], {"High","Very high"}))/COUNTIFS(AllData[Site Name], B20, AllData[Phosphate (PPM)], "&lt;&gt;0")</f>
        <v>1</v>
      </c>
      <c r="M20" s="157">
        <f t="shared" si="2"/>
        <v>18</v>
      </c>
      <c r="N20" s="157">
        <f t="shared" si="3"/>
        <v>19</v>
      </c>
      <c r="O20" s="26">
        <f>COUNTIFS(AllData[Site Name], Tables!$B20, AllData[Season], "Summer", AllData[Year], "2023")</f>
        <v>0</v>
      </c>
      <c r="P20" s="160" t="str">
        <f>IFERROR(AVERAGEIFS(AllData[Nitrate (PPM)], AllData[Site Name], $B20, AllData[Season], "Summer", AllData[Year], "2023"), "")</f>
        <v/>
      </c>
      <c r="Q20" s="27" t="str">
        <f t="shared" si="4"/>
        <v/>
      </c>
      <c r="R20" s="161" t="str">
        <f>IFERROR(AVERAGEIFS(AllData[Phosphate (PPM)], AllData[Site Name], $B20, AllData[Season], "Summer", AllData[Year], "2023"),"")</f>
        <v/>
      </c>
      <c r="S20" s="28" t="str">
        <f t="shared" si="5"/>
        <v/>
      </c>
      <c r="T20" s="26">
        <f>COUNTIFS(AllData[Site Name], Tables!$B20, AllData[Season], "Autumn", AllData[Year], "2023")</f>
        <v>0</v>
      </c>
      <c r="U20" s="160" t="str">
        <f>IFERROR(AVERAGEIFS(AllData[Nitrate (PPM)], AllData[Site Name], $B20, AllData[Season], "Autumn", AllData[Year], "2023"), "")</f>
        <v/>
      </c>
      <c r="V20" s="27" t="str">
        <f t="shared" si="6"/>
        <v/>
      </c>
      <c r="W20" s="161" t="str">
        <f>IFERROR(AVERAGEIFS(AllData[Phosphate (PPM)], AllData[Site Name], $B20, AllData[Season], "Autumn", AllData[Year], "2023"),"")</f>
        <v/>
      </c>
      <c r="X20" s="28" t="str">
        <f t="shared" si="7"/>
        <v/>
      </c>
      <c r="Y20" s="26">
        <f>COUNTIFS(AllData[Site Name], Tables!$B20, AllData[Season], "Winter", AllData[Year], "2023")</f>
        <v>0</v>
      </c>
      <c r="Z20" s="160" t="str">
        <f>IFERROR(AVERAGEIFS(AllData[Nitrate (PPM)], AllData[Site Name], $B20, AllData[Season], "Winter", AllData[Year], "2023"), "")</f>
        <v/>
      </c>
      <c r="AA20" s="27" t="str">
        <f t="shared" si="8"/>
        <v/>
      </c>
      <c r="AB20" s="161" t="str">
        <f>IFERROR(AVERAGEIFS(AllData[Phosphate (PPM)], AllData[Site Name], $B20, AllData[Season], "Winter", AllData[Year], "2023"),"")</f>
        <v/>
      </c>
      <c r="AC20" s="28" t="str">
        <f t="shared" si="9"/>
        <v/>
      </c>
      <c r="AD20" s="26">
        <f>COUNTIFS(AllData[Site Name], Tables!$B20, AllData[Season], "Spring", AllData[Year], "2024")</f>
        <v>0</v>
      </c>
      <c r="AE20" s="160" t="str">
        <f>IFERROR(AVERAGEIFS(AllData[Nitrate (PPM)], AllData[Site Name], $B20, AllData[Season], "Spring", AllData[Year], "2024"), "")</f>
        <v/>
      </c>
      <c r="AF20" s="27" t="str">
        <f t="shared" si="10"/>
        <v/>
      </c>
      <c r="AG20" s="161" t="str">
        <f>IFERROR(AVERAGEIFS(AllData[Phosphate (PPM)], AllData[Site Name], $B20, AllData[Season], "Spring", AllData[Year], "2024"),"")</f>
        <v/>
      </c>
      <c r="AH20" s="28" t="str">
        <f t="shared" si="11"/>
        <v/>
      </c>
      <c r="AI20" s="165">
        <f>COUNTIFS(AllData[Site Name], Tables!$B20, AllData[Season], "Summer", AllData[Year], "2024")</f>
        <v>7</v>
      </c>
      <c r="AJ20" s="160">
        <f>IFERROR(AVERAGEIFS(AllData[Nitrate (PPM)], AllData[Site Name], $B20, AllData[Season], "Summer", AllData[Year], "2024"), "")</f>
        <v>8.1428571428571423</v>
      </c>
      <c r="AK20" s="27">
        <f t="shared" si="12"/>
        <v>3.0120481927710736E-2</v>
      </c>
      <c r="AL20" s="27" t="str">
        <f t="shared" si="13"/>
        <v/>
      </c>
      <c r="AM20" s="161">
        <f>IFERROR(AVERAGEIFS(AllData[Phosphate (PPM)], AllData[Site Name], $B20, AllData[Season], "Summer", AllData[Year], "2024"),"")</f>
        <v>1.0514285714285714</v>
      </c>
      <c r="AN20" s="27">
        <f t="shared" si="14"/>
        <v>0.2593754456010266</v>
      </c>
      <c r="AO20" s="28" t="str">
        <f t="shared" si="15"/>
        <v/>
      </c>
      <c r="AP20" s="157">
        <f>COUNTIFS(AllData[Site Name], Tables!$B20, AllData[Season], "Autumn", AllData[Year], "2024")</f>
        <v>6</v>
      </c>
      <c r="AQ20" s="160">
        <f>IFERROR(AVERAGEIFS(AllData[Nitrate (PPM)], AllData[Site Name], $B20, AllData[Season], "Autumn", AllData[Year], "2024"), "")</f>
        <v>7.666666666666667</v>
      </c>
      <c r="AR20" s="27">
        <f t="shared" si="16"/>
        <v>-3.0120481927710847E-2</v>
      </c>
      <c r="AS20" s="27" t="str">
        <f t="shared" si="17"/>
        <v/>
      </c>
      <c r="AT20" s="161">
        <f>IFERROR(AVERAGEIFS(AllData[Phosphate (PPM)], AllData[Site Name], B20, AllData[Season], "Autumn", AllData[Year], "2024"), "")</f>
        <v>0.61833333333333329</v>
      </c>
      <c r="AU20" s="27">
        <f t="shared" si="18"/>
        <v>-0.25937544560102671</v>
      </c>
      <c r="AV20" s="28" t="str">
        <f t="shared" si="19"/>
        <v/>
      </c>
      <c r="AW20" s="165">
        <f>COUNTIFS(AllData[Site Name], Tables!$B20, AllData[Season], "Winter", AllData[Year], "2024")</f>
        <v>0</v>
      </c>
      <c r="AX20" s="160" t="str">
        <f>IFERROR(AVERAGEIFS(AllData[Nitrate (PPM)], AllData[Site Name], $B20, AllData[Season], "Winter", AllData[Year], "2024"), "")</f>
        <v/>
      </c>
      <c r="AY20" s="27" t="str">
        <f t="shared" si="20"/>
        <v/>
      </c>
      <c r="AZ20" s="27" t="str">
        <f t="shared" si="21"/>
        <v/>
      </c>
      <c r="BA20" s="161" t="str">
        <f>IFERROR(AVERAGEIFS(AllData[Phosphate (PPM)], AllData[Site Name], $B20, AllData[Season], "Winter", AllData[Year], "2024"), "")</f>
        <v/>
      </c>
      <c r="BB20" s="27" t="str">
        <f t="shared" si="22"/>
        <v/>
      </c>
      <c r="BC20" s="44" t="str">
        <f t="shared" si="23"/>
        <v/>
      </c>
      <c r="BD20" s="157">
        <f>COUNTIFS(AllData[Site Name], Tables!$B20, AllData[Season], "Spring", AllData[Year], "2025")</f>
        <v>0</v>
      </c>
      <c r="BE20" s="160" t="str">
        <f>IFERROR(AVERAGEIFS(AllData[Nitrate (PPM)], AllData[Site Name], $B20, AllData[Season], "Spring", AllData[Year], "2025"), "")</f>
        <v/>
      </c>
      <c r="BF20" s="27" t="str">
        <f t="shared" si="24"/>
        <v/>
      </c>
      <c r="BG20" s="27" t="str">
        <f t="shared" si="25"/>
        <v/>
      </c>
      <c r="BH20" s="161" t="str">
        <f>IFERROR(AVERAGEIFS(AllData[Phosphate (PPM)], AllData[Site Name], $B20, AllData[Season], "Spring", AllData[Year], "2025"), "")</f>
        <v/>
      </c>
      <c r="BI20" s="27" t="str">
        <f t="shared" si="26"/>
        <v/>
      </c>
      <c r="BJ20" s="27" t="str">
        <f t="shared" si="27"/>
        <v/>
      </c>
      <c r="BK20" s="165">
        <f>COUNTIFS(AllData[Site Name], Tables!$B20, AllData[Season], "Summer", AllData[Year], "2025")</f>
        <v>0</v>
      </c>
      <c r="BL20" s="160" t="str">
        <f>IFERROR(AVERAGEIFS(AllData[Nitrate (PPM)], AllData[Site Name], $B20, AllData[Season], "Summer", AllData[Year], "2025"), "")</f>
        <v/>
      </c>
      <c r="BM20" s="27" t="str">
        <f t="shared" si="28"/>
        <v/>
      </c>
      <c r="BN20" s="27" t="str">
        <f t="shared" si="29"/>
        <v/>
      </c>
      <c r="BO20" s="161" t="str">
        <f>IFERROR(AVERAGEIFS(AllData[Phosphate (PPM)], AllData[Site Name], $B20, AllData[Season], "Summer", AllData[Year], "2025"),"")</f>
        <v/>
      </c>
      <c r="BP20" s="27" t="str">
        <f t="shared" si="30"/>
        <v/>
      </c>
      <c r="BQ20" s="27" t="str">
        <f t="shared" si="31"/>
        <v/>
      </c>
      <c r="BR20" s="165">
        <f>COUNTIFS(AllData[Site Name], Tables!$B20, AllData[Season], "Autumn", AllData[Year], "2025")</f>
        <v>0</v>
      </c>
      <c r="BS20" s="160" t="str">
        <f>IFERROR(AVERAGEIFS(AllData[Nitrate (PPM)], AllData[Site Name], $B20, AllData[Season], "Autumn", AllData[Year], "2025"), "")</f>
        <v/>
      </c>
      <c r="BT20" s="27" t="str">
        <f t="shared" si="32"/>
        <v/>
      </c>
      <c r="BU20" s="27" t="str">
        <f t="shared" si="33"/>
        <v/>
      </c>
      <c r="BV20" s="161" t="str">
        <f>IFERROR(AVERAGEIFS(AllData[Phosphate (PPM)], AllData[Site Name], AD20, AllData[Season], "Autumn", AllData[Year], "2025"), "")</f>
        <v/>
      </c>
      <c r="BW20" s="27" t="str">
        <f t="shared" si="34"/>
        <v/>
      </c>
      <c r="BX20" s="28" t="str">
        <f t="shared" si="35"/>
        <v/>
      </c>
      <c r="BY20" s="165">
        <f>COUNTIFS(AllData[Site Name], Tables!$B20, AllData[Season], "Winter", AllData[Year], "2025")</f>
        <v>0</v>
      </c>
      <c r="BZ20" s="160" t="str">
        <f>IFERROR(AVERAGEIFS(AllData[Nitrate (PPM)], AllData[Site Name], $B20, AllData[Season], "Winter", AllData[Year], "2025"), "")</f>
        <v/>
      </c>
      <c r="CA20" s="27" t="str">
        <f t="shared" si="36"/>
        <v/>
      </c>
      <c r="CB20" s="27" t="str">
        <f t="shared" si="37"/>
        <v/>
      </c>
      <c r="CC20" s="161" t="str">
        <f>IFERROR(AVERAGEIFS(AllData[Phosphate (PPM)], AllData[Site Name], $B20, AllData[Season], "Winter", AllData[Year], "2025"), "")</f>
        <v/>
      </c>
      <c r="CD20" s="27" t="str">
        <f t="shared" si="38"/>
        <v/>
      </c>
      <c r="CE20" s="44" t="str">
        <f t="shared" si="39"/>
        <v/>
      </c>
    </row>
    <row r="21" spans="2:83" x14ac:dyDescent="0.35">
      <c r="B21" s="159" t="s">
        <v>1766</v>
      </c>
      <c r="C21" s="113" t="str">
        <f>IFERROR(AVERAGEIF(AllData[Site Name], Tables!B21, AllData[Latitude]), "Unknown")</f>
        <v>Unknown</v>
      </c>
      <c r="D21" s="113" t="str">
        <f>IFERROR(AVERAGEIF(AllData[Site Name], Tables!B21, AllData[Longitude]), "Unknown")</f>
        <v>Unknown</v>
      </c>
      <c r="E21" s="13" t="e" vm="4">
        <f>_xlfn.XLOOKUP(B21,LocationsKey[Site Name], LocationsKey[District])</f>
        <v>#VALUE!</v>
      </c>
      <c r="F21" s="13" t="str">
        <f>_xlfn.XLOOKUP(B21,LocationsKey[Site Name], LocationsKey[Town])</f>
        <v>Unknown</v>
      </c>
      <c r="G21" s="25" t="str">
        <f>_xlfn.XLOOKUP(B21,LocationsKey[Site Name],LocationsKey[Waterway])</f>
        <v>Carrant</v>
      </c>
      <c r="H21" s="157">
        <f>COUNTIF(AllData[Site Name], Tables!B21)</f>
        <v>1</v>
      </c>
      <c r="I21" s="160">
        <f t="shared" si="0"/>
        <v>5</v>
      </c>
      <c r="J21" s="161">
        <f t="shared" si="1"/>
        <v>0.8</v>
      </c>
      <c r="K21" s="27" cm="1">
        <f t="array" ref="K21">SUM(COUNTIFS(AllData[Site Name], B21, AllData[Nitrate Pollution Category], {"High","Very high"}))/COUNTIFS(AllData[Site Name], B21, AllData[Nitrate (PPM)], "&lt;&gt;0")</f>
        <v>1</v>
      </c>
      <c r="L21" s="27" cm="1">
        <f t="array" ref="L21">SUM(COUNTIFS(AllData[Site Name], B21, AllData[Phosphate Pollution Category], {"High","Very high"}))/COUNTIFS(AllData[Site Name], B21, AllData[Phosphate (PPM)], "&lt;&gt;0")</f>
        <v>1</v>
      </c>
      <c r="M21" s="157">
        <f t="shared" si="2"/>
        <v>51</v>
      </c>
      <c r="N21" s="157">
        <f t="shared" si="3"/>
        <v>21</v>
      </c>
      <c r="O21" s="26">
        <f>COUNTIFS(AllData[Site Name], Tables!$B21, AllData[Season], "Summer", AllData[Year], "2023")</f>
        <v>0</v>
      </c>
      <c r="P21" s="160" t="str">
        <f>IFERROR(AVERAGEIFS(AllData[Nitrate (PPM)], AllData[Site Name], $B21, AllData[Season], "Summer", AllData[Year], "2023"), "")</f>
        <v/>
      </c>
      <c r="Q21" s="27" t="str">
        <f t="shared" si="4"/>
        <v/>
      </c>
      <c r="R21" s="161" t="str">
        <f>IFERROR(AVERAGEIFS(AllData[Phosphate (PPM)], AllData[Site Name], $B21, AllData[Season], "Summer", AllData[Year], "2023"),"")</f>
        <v/>
      </c>
      <c r="S21" s="28" t="str">
        <f t="shared" si="5"/>
        <v/>
      </c>
      <c r="T21" s="26">
        <f>COUNTIFS(AllData[Site Name], Tables!$B21, AllData[Season], "Autumn", AllData[Year], "2023")</f>
        <v>0</v>
      </c>
      <c r="U21" s="160" t="str">
        <f>IFERROR(AVERAGEIFS(AllData[Nitrate (PPM)], AllData[Site Name], $B21, AllData[Season], "Autumn", AllData[Year], "2023"), "")</f>
        <v/>
      </c>
      <c r="V21" s="27" t="str">
        <f t="shared" si="6"/>
        <v/>
      </c>
      <c r="W21" s="161" t="str">
        <f>IFERROR(AVERAGEIFS(AllData[Phosphate (PPM)], AllData[Site Name], $B21, AllData[Season], "Autumn", AllData[Year], "2023"),"")</f>
        <v/>
      </c>
      <c r="X21" s="28" t="str">
        <f t="shared" si="7"/>
        <v/>
      </c>
      <c r="Y21" s="26">
        <f>COUNTIFS(AllData[Site Name], Tables!$B21, AllData[Season], "Winter", AllData[Year], "2023")</f>
        <v>0</v>
      </c>
      <c r="Z21" s="160" t="str">
        <f>IFERROR(AVERAGEIFS(AllData[Nitrate (PPM)], AllData[Site Name], $B21, AllData[Season], "Winter", AllData[Year], "2023"), "")</f>
        <v/>
      </c>
      <c r="AA21" s="27" t="str">
        <f t="shared" si="8"/>
        <v/>
      </c>
      <c r="AB21" s="161" t="str">
        <f>IFERROR(AVERAGEIFS(AllData[Phosphate (PPM)], AllData[Site Name], $B21, AllData[Season], "Winter", AllData[Year], "2023"),"")</f>
        <v/>
      </c>
      <c r="AC21" s="28" t="str">
        <f t="shared" si="9"/>
        <v/>
      </c>
      <c r="AD21" s="26">
        <f>COUNTIFS(AllData[Site Name], Tables!$B21, AllData[Season], "Spring", AllData[Year], "2024")</f>
        <v>0</v>
      </c>
      <c r="AE21" s="160" t="str">
        <f>IFERROR(AVERAGEIFS(AllData[Nitrate (PPM)], AllData[Site Name], $B21, AllData[Season], "Spring", AllData[Year], "2024"), "")</f>
        <v/>
      </c>
      <c r="AF21" s="27" t="str">
        <f t="shared" si="10"/>
        <v/>
      </c>
      <c r="AG21" s="161" t="str">
        <f>IFERROR(AVERAGEIFS(AllData[Phosphate (PPM)], AllData[Site Name], $B21, AllData[Season], "Spring", AllData[Year], "2024"),"")</f>
        <v/>
      </c>
      <c r="AH21" s="28" t="str">
        <f t="shared" si="11"/>
        <v/>
      </c>
      <c r="AI21" s="165">
        <f>COUNTIFS(AllData[Site Name], Tables!$B21, AllData[Season], "Summer", AllData[Year], "2024")</f>
        <v>1</v>
      </c>
      <c r="AJ21" s="160">
        <f>IFERROR(AVERAGEIFS(AllData[Nitrate (PPM)], AllData[Site Name], $B21, AllData[Season], "Summer", AllData[Year], "2024"), "")</f>
        <v>5</v>
      </c>
      <c r="AK21" s="27">
        <f t="shared" si="12"/>
        <v>0</v>
      </c>
      <c r="AL21" s="27" t="str">
        <f t="shared" si="13"/>
        <v/>
      </c>
      <c r="AM21" s="161">
        <f>IFERROR(AVERAGEIFS(AllData[Phosphate (PPM)], AllData[Site Name], $B21, AllData[Season], "Summer", AllData[Year], "2024"),"")</f>
        <v>0.8</v>
      </c>
      <c r="AN21" s="27">
        <f t="shared" si="14"/>
        <v>0</v>
      </c>
      <c r="AO21" s="28" t="str">
        <f t="shared" si="15"/>
        <v/>
      </c>
      <c r="AP21" s="157">
        <f>COUNTIFS(AllData[Site Name], Tables!$B21, AllData[Season], "Autumn", AllData[Year], "2024")</f>
        <v>0</v>
      </c>
      <c r="AQ21" s="160" t="str">
        <f>IFERROR(AVERAGEIFS(AllData[Nitrate (PPM)], AllData[Site Name], $B21, AllData[Season], "Autumn", AllData[Year], "2024"), "")</f>
        <v/>
      </c>
      <c r="AR21" s="27" t="str">
        <f t="shared" si="16"/>
        <v/>
      </c>
      <c r="AS21" s="27" t="str">
        <f t="shared" si="17"/>
        <v/>
      </c>
      <c r="AT21" s="161" t="str">
        <f>IFERROR(AVERAGEIFS(AllData[Phosphate (PPM)], AllData[Site Name], B21, AllData[Season], "Autumn", AllData[Year], "2024"), "")</f>
        <v/>
      </c>
      <c r="AU21" s="27" t="str">
        <f t="shared" si="18"/>
        <v/>
      </c>
      <c r="AV21" s="28" t="str">
        <f t="shared" si="19"/>
        <v/>
      </c>
      <c r="AW21" s="165">
        <f>COUNTIFS(AllData[Site Name], Tables!$B21, AllData[Season], "Winter", AllData[Year], "2024")</f>
        <v>0</v>
      </c>
      <c r="AX21" s="160" t="str">
        <f>IFERROR(AVERAGEIFS(AllData[Nitrate (PPM)], AllData[Site Name], $B21, AllData[Season], "Winter", AllData[Year], "2024"), "")</f>
        <v/>
      </c>
      <c r="AY21" s="27" t="str">
        <f t="shared" si="20"/>
        <v/>
      </c>
      <c r="AZ21" s="27" t="str">
        <f t="shared" si="21"/>
        <v/>
      </c>
      <c r="BA21" s="161" t="str">
        <f>IFERROR(AVERAGEIFS(AllData[Phosphate (PPM)], AllData[Site Name], $B21, AllData[Season], "Winter", AllData[Year], "2024"), "")</f>
        <v/>
      </c>
      <c r="BB21" s="27" t="str">
        <f t="shared" si="22"/>
        <v/>
      </c>
      <c r="BC21" s="44" t="str">
        <f t="shared" si="23"/>
        <v/>
      </c>
      <c r="BD21" s="157">
        <f>COUNTIFS(AllData[Site Name], Tables!$B21, AllData[Season], "Spring", AllData[Year], "2025")</f>
        <v>0</v>
      </c>
      <c r="BE21" s="160" t="str">
        <f>IFERROR(AVERAGEIFS(AllData[Nitrate (PPM)], AllData[Site Name], $B21, AllData[Season], "Spring", AllData[Year], "2025"), "")</f>
        <v/>
      </c>
      <c r="BF21" s="27" t="str">
        <f t="shared" si="24"/>
        <v/>
      </c>
      <c r="BG21" s="27" t="str">
        <f t="shared" si="25"/>
        <v/>
      </c>
      <c r="BH21" s="161" t="str">
        <f>IFERROR(AVERAGEIFS(AllData[Phosphate (PPM)], AllData[Site Name], $B21, AllData[Season], "Spring", AllData[Year], "2025"), "")</f>
        <v/>
      </c>
      <c r="BI21" s="27" t="str">
        <f t="shared" si="26"/>
        <v/>
      </c>
      <c r="BJ21" s="27" t="str">
        <f t="shared" si="27"/>
        <v/>
      </c>
      <c r="BK21" s="165">
        <f>COUNTIFS(AllData[Site Name], Tables!$B21, AllData[Season], "Summer", AllData[Year], "2025")</f>
        <v>0</v>
      </c>
      <c r="BL21" s="160" t="str">
        <f>IFERROR(AVERAGEIFS(AllData[Nitrate (PPM)], AllData[Site Name], $B21, AllData[Season], "Summer", AllData[Year], "2025"), "")</f>
        <v/>
      </c>
      <c r="BM21" s="27" t="str">
        <f t="shared" si="28"/>
        <v/>
      </c>
      <c r="BN21" s="27" t="str">
        <f t="shared" si="29"/>
        <v/>
      </c>
      <c r="BO21" s="161" t="str">
        <f>IFERROR(AVERAGEIFS(AllData[Phosphate (PPM)], AllData[Site Name], $B21, AllData[Season], "Summer", AllData[Year], "2025"),"")</f>
        <v/>
      </c>
      <c r="BP21" s="27" t="str">
        <f t="shared" si="30"/>
        <v/>
      </c>
      <c r="BQ21" s="27" t="str">
        <f t="shared" si="31"/>
        <v/>
      </c>
      <c r="BR21" s="165">
        <f>COUNTIFS(AllData[Site Name], Tables!$B21, AllData[Season], "Autumn", AllData[Year], "2025")</f>
        <v>0</v>
      </c>
      <c r="BS21" s="160" t="str">
        <f>IFERROR(AVERAGEIFS(AllData[Nitrate (PPM)], AllData[Site Name], $B21, AllData[Season], "Autumn", AllData[Year], "2025"), "")</f>
        <v/>
      </c>
      <c r="BT21" s="27" t="str">
        <f t="shared" si="32"/>
        <v/>
      </c>
      <c r="BU21" s="27" t="str">
        <f t="shared" si="33"/>
        <v/>
      </c>
      <c r="BV21" s="161" t="str">
        <f>IFERROR(AVERAGEIFS(AllData[Phosphate (PPM)], AllData[Site Name], AD21, AllData[Season], "Autumn", AllData[Year], "2025"), "")</f>
        <v/>
      </c>
      <c r="BW21" s="27" t="str">
        <f t="shared" si="34"/>
        <v/>
      </c>
      <c r="BX21" s="28" t="str">
        <f t="shared" si="35"/>
        <v/>
      </c>
      <c r="BY21" s="165">
        <f>COUNTIFS(AllData[Site Name], Tables!$B21, AllData[Season], "Winter", AllData[Year], "2025")</f>
        <v>0</v>
      </c>
      <c r="BZ21" s="160" t="str">
        <f>IFERROR(AVERAGEIFS(AllData[Nitrate (PPM)], AllData[Site Name], $B21, AllData[Season], "Winter", AllData[Year], "2025"), "")</f>
        <v/>
      </c>
      <c r="CA21" s="27" t="str">
        <f t="shared" si="36"/>
        <v/>
      </c>
      <c r="CB21" s="27" t="str">
        <f t="shared" si="37"/>
        <v/>
      </c>
      <c r="CC21" s="161" t="str">
        <f>IFERROR(AVERAGEIFS(AllData[Phosphate (PPM)], AllData[Site Name], $B21, AllData[Season], "Winter", AllData[Year], "2025"), "")</f>
        <v/>
      </c>
      <c r="CD21" s="27" t="str">
        <f t="shared" si="38"/>
        <v/>
      </c>
      <c r="CE21" s="44" t="str">
        <f t="shared" si="39"/>
        <v/>
      </c>
    </row>
    <row r="22" spans="2:83" x14ac:dyDescent="0.35">
      <c r="B22" s="159" t="s">
        <v>3555</v>
      </c>
      <c r="C22" s="113">
        <f>IFERROR(AVERAGEIF(AllData[Site Name], Tables!B22, AllData[Latitude]), "Unknown")</f>
        <v>52.018128913043483</v>
      </c>
      <c r="D22" s="113">
        <f>IFERROR(AVERAGEIF(AllData[Site Name], Tables!B22, AllData[Longitude]), "Unknown")</f>
        <v>-2.0388751739130435</v>
      </c>
      <c r="E22" s="13" t="e" vm="4">
        <f>_xlfn.XLOOKUP(B22,LocationsKey[Site Name], LocationsKey[District])</f>
        <v>#VALUE!</v>
      </c>
      <c r="F22" s="13" t="str">
        <f>_xlfn.XLOOKUP(B22,LocationsKey[Site Name], LocationsKey[Town])</f>
        <v>Beckford</v>
      </c>
      <c r="G22" s="25" t="str">
        <f>_xlfn.XLOOKUP(B22,LocationsKey[Site Name],LocationsKey[Waterway])</f>
        <v>Carrant</v>
      </c>
      <c r="H22" s="157">
        <f>COUNTIF(AllData[Site Name], Tables!B22)</f>
        <v>23</v>
      </c>
      <c r="I22" s="160">
        <f t="shared" si="0"/>
        <v>7.5551587301587304</v>
      </c>
      <c r="J22" s="161">
        <f t="shared" si="1"/>
        <v>0.21645238095238092</v>
      </c>
      <c r="K22" s="27" cm="1">
        <f t="array" ref="K22">SUM(COUNTIFS(AllData[Site Name], B22, AllData[Nitrate Pollution Category], {"High","Very high"}))/COUNTIFS(AllData[Site Name], B22, AllData[Nitrate (PPM)], "&lt;&gt;0")</f>
        <v>1</v>
      </c>
      <c r="L22" s="27" cm="1">
        <f t="array" ref="L22">SUM(COUNTIFS(AllData[Site Name], B22, AllData[Phosphate Pollution Category], {"High","Very high"}))/COUNTIFS(AllData[Site Name], B22, AllData[Phosphate (PPM)], "&lt;&gt;0")</f>
        <v>0.68421052631578949</v>
      </c>
      <c r="M22" s="157">
        <f t="shared" si="2"/>
        <v>25</v>
      </c>
      <c r="N22" s="157">
        <f t="shared" si="3"/>
        <v>78</v>
      </c>
      <c r="O22" s="26">
        <f>COUNTIFS(AllData[Site Name], Tables!$B22, AllData[Season], "Summer", AllData[Year], "2023")</f>
        <v>0</v>
      </c>
      <c r="P22" s="160" t="str">
        <f>IFERROR(AVERAGEIFS(AllData[Nitrate (PPM)], AllData[Site Name], $B22, AllData[Season], "Summer", AllData[Year], "2023"), "")</f>
        <v/>
      </c>
      <c r="Q22" s="27" t="str">
        <f t="shared" si="4"/>
        <v/>
      </c>
      <c r="R22" s="161" t="str">
        <f>IFERROR(AVERAGEIFS(AllData[Phosphate (PPM)], AllData[Site Name], $B22, AllData[Season], "Summer", AllData[Year], "2023"),"")</f>
        <v/>
      </c>
      <c r="S22" s="28" t="str">
        <f t="shared" si="5"/>
        <v/>
      </c>
      <c r="T22" s="26">
        <f>COUNTIFS(AllData[Site Name], Tables!$B22, AllData[Season], "Autumn", AllData[Year], "2023")</f>
        <v>0</v>
      </c>
      <c r="U22" s="160" t="str">
        <f>IFERROR(AVERAGEIFS(AllData[Nitrate (PPM)], AllData[Site Name], $B22, AllData[Season], "Autumn", AllData[Year], "2023"), "")</f>
        <v/>
      </c>
      <c r="V22" s="27" t="str">
        <f t="shared" si="6"/>
        <v/>
      </c>
      <c r="W22" s="161" t="str">
        <f>IFERROR(AVERAGEIFS(AllData[Phosphate (PPM)], AllData[Site Name], $B22, AllData[Season], "Autumn", AllData[Year], "2023"),"")</f>
        <v/>
      </c>
      <c r="X22" s="28" t="str">
        <f t="shared" si="7"/>
        <v/>
      </c>
      <c r="Y22" s="26">
        <f>COUNTIFS(AllData[Site Name], Tables!$B22, AllData[Season], "Winter", AllData[Year], "2023")</f>
        <v>0</v>
      </c>
      <c r="Z22" s="160" t="str">
        <f>IFERROR(AVERAGEIFS(AllData[Nitrate (PPM)], AllData[Site Name], $B22, AllData[Season], "Winter", AllData[Year], "2023"), "")</f>
        <v/>
      </c>
      <c r="AA22" s="27" t="str">
        <f t="shared" si="8"/>
        <v/>
      </c>
      <c r="AB22" s="161" t="str">
        <f>IFERROR(AVERAGEIFS(AllData[Phosphate (PPM)], AllData[Site Name], $B22, AllData[Season], "Winter", AllData[Year], "2023"),"")</f>
        <v/>
      </c>
      <c r="AC22" s="28" t="str">
        <f t="shared" si="9"/>
        <v/>
      </c>
      <c r="AD22" s="26">
        <f>COUNTIFS(AllData[Site Name], Tables!$B22, AllData[Season], "Spring", AllData[Year], "2024")</f>
        <v>0</v>
      </c>
      <c r="AE22" s="160" t="str">
        <f>IFERROR(AVERAGEIFS(AllData[Nitrate (PPM)], AllData[Site Name], $B22, AllData[Season], "Spring", AllData[Year], "2024"), "")</f>
        <v/>
      </c>
      <c r="AF22" s="27" t="str">
        <f t="shared" si="10"/>
        <v/>
      </c>
      <c r="AG22" s="161" t="str">
        <f>IFERROR(AVERAGEIFS(AllData[Phosphate (PPM)], AllData[Site Name], $B22, AllData[Season], "Spring", AllData[Year], "2024"),"")</f>
        <v/>
      </c>
      <c r="AH22" s="28" t="str">
        <f t="shared" si="11"/>
        <v/>
      </c>
      <c r="AI22" s="165">
        <f>COUNTIFS(AllData[Site Name], Tables!$B22, AllData[Season], "Summer", AllData[Year], "2024")</f>
        <v>9</v>
      </c>
      <c r="AJ22" s="160">
        <f>IFERROR(AVERAGEIFS(AllData[Nitrate (PPM)], AllData[Site Name], $B22, AllData[Season], "Summer", AllData[Year], "2024"), "")</f>
        <v>7.7777777777777777</v>
      </c>
      <c r="AK22" s="27">
        <f t="shared" si="12"/>
        <v>2.9465833289563481E-2</v>
      </c>
      <c r="AL22" s="27" t="str">
        <f t="shared" si="13"/>
        <v/>
      </c>
      <c r="AM22" s="161">
        <f>IFERROR(AVERAGEIFS(AllData[Phosphate (PPM)], AllData[Site Name], $B22, AllData[Season], "Summer", AllData[Year], "2024"),"")</f>
        <v>0.58666666666666656</v>
      </c>
      <c r="AN22" s="27">
        <f t="shared" si="14"/>
        <v>1.7103728962710369</v>
      </c>
      <c r="AO22" s="28" t="str">
        <f t="shared" si="15"/>
        <v/>
      </c>
      <c r="AP22" s="157">
        <f>COUNTIFS(AllData[Site Name], Tables!$B22, AllData[Season], "Autumn", AllData[Year], "2024")</f>
        <v>5</v>
      </c>
      <c r="AQ22" s="160">
        <f>IFERROR(AVERAGEIFS(AllData[Nitrate (PPM)], AllData[Site Name], $B22, AllData[Season], "Autumn", AllData[Year], "2024"), "")</f>
        <v>5.8</v>
      </c>
      <c r="AR22" s="27">
        <f t="shared" si="16"/>
        <v>-0.23231262146121126</v>
      </c>
      <c r="AS22" s="27" t="str">
        <f t="shared" si="17"/>
        <v/>
      </c>
      <c r="AT22" s="161">
        <f>IFERROR(AVERAGEIFS(AllData[Phosphate (PPM)], AllData[Site Name], B22, AllData[Season], "Autumn", AllData[Year], "2024"), "")</f>
        <v>0.12200000000000003</v>
      </c>
      <c r="AU22" s="27">
        <f t="shared" si="18"/>
        <v>-0.4363656363436364</v>
      </c>
      <c r="AV22" s="28" t="str">
        <f t="shared" si="19"/>
        <v/>
      </c>
      <c r="AW22" s="165">
        <f>COUNTIFS(AllData[Site Name], Tables!$B22, AllData[Season], "Winter", AllData[Year], "2024")</f>
        <v>7</v>
      </c>
      <c r="AX22" s="160">
        <f>IFERROR(AVERAGEIFS(AllData[Nitrate (PPM)], AllData[Site Name], $B22, AllData[Season], "Winter", AllData[Year], "2024"), "")</f>
        <v>7.1428571428571432</v>
      </c>
      <c r="AY22" s="27">
        <f t="shared" si="20"/>
        <v>-5.4572193917747765E-2</v>
      </c>
      <c r="AZ22" s="27" t="str">
        <f t="shared" si="21"/>
        <v/>
      </c>
      <c r="BA22" s="161">
        <f>IFERROR(AVERAGEIFS(AllData[Phosphate (PPM)], AllData[Site Name], $B22, AllData[Season], "Winter", AllData[Year], "2024"), "")</f>
        <v>7.7142857142857152E-2</v>
      </c>
      <c r="BB22" s="27">
        <f t="shared" si="22"/>
        <v>-0.64360356396436025</v>
      </c>
      <c r="BC22" s="44" t="str">
        <f t="shared" si="23"/>
        <v/>
      </c>
      <c r="BD22" s="157">
        <f>COUNTIFS(AllData[Site Name], Tables!$B22, AllData[Season], "Spring", AllData[Year], "2025")</f>
        <v>2</v>
      </c>
      <c r="BE22" s="160">
        <f>IFERROR(AVERAGEIFS(AllData[Nitrate (PPM)], AllData[Site Name], $B22, AllData[Season], "Spring", AllData[Year], "2025"), "")</f>
        <v>9.5</v>
      </c>
      <c r="BF22" s="27">
        <f t="shared" si="24"/>
        <v>0.2574189820893954</v>
      </c>
      <c r="BG22" s="27" t="str">
        <f t="shared" si="25"/>
        <v/>
      </c>
      <c r="BH22" s="161">
        <f>IFERROR(AVERAGEIFS(AllData[Phosphate (PPM)], AllData[Site Name], $B22, AllData[Season], "Spring", AllData[Year], "2025"), "")</f>
        <v>0.08</v>
      </c>
      <c r="BI22" s="27">
        <f t="shared" si="26"/>
        <v>-0.63040369596304036</v>
      </c>
      <c r="BJ22" s="27" t="str">
        <f t="shared" si="27"/>
        <v/>
      </c>
      <c r="BK22" s="165">
        <f>COUNTIFS(AllData[Site Name], Tables!$B22, AllData[Season], "Summer", AllData[Year], "2025")</f>
        <v>0</v>
      </c>
      <c r="BL22" s="160" t="str">
        <f>IFERROR(AVERAGEIFS(AllData[Nitrate (PPM)], AllData[Site Name], $B22, AllData[Season], "Summer", AllData[Year], "2025"), "")</f>
        <v/>
      </c>
      <c r="BM22" s="27" t="str">
        <f t="shared" si="28"/>
        <v/>
      </c>
      <c r="BN22" s="27" t="str">
        <f t="shared" si="29"/>
        <v/>
      </c>
      <c r="BO22" s="161" t="str">
        <f>IFERROR(AVERAGEIFS(AllData[Phosphate (PPM)], AllData[Site Name], $B22, AllData[Season], "Summer", AllData[Year], "2025"),"")</f>
        <v/>
      </c>
      <c r="BP22" s="27" t="str">
        <f t="shared" si="30"/>
        <v/>
      </c>
      <c r="BQ22" s="27" t="str">
        <f t="shared" si="31"/>
        <v/>
      </c>
      <c r="BR22" s="165">
        <f>COUNTIFS(AllData[Site Name], Tables!$B22, AllData[Season], "Autumn", AllData[Year], "2025")</f>
        <v>0</v>
      </c>
      <c r="BS22" s="160" t="str">
        <f>IFERROR(AVERAGEIFS(AllData[Nitrate (PPM)], AllData[Site Name], $B22, AllData[Season], "Autumn", AllData[Year], "2025"), "")</f>
        <v/>
      </c>
      <c r="BT22" s="27" t="str">
        <f t="shared" si="32"/>
        <v/>
      </c>
      <c r="BU22" s="27" t="str">
        <f t="shared" si="33"/>
        <v/>
      </c>
      <c r="BV22" s="161" t="str">
        <f>IFERROR(AVERAGEIFS(AllData[Phosphate (PPM)], AllData[Site Name], AD22, AllData[Season], "Autumn", AllData[Year], "2025"), "")</f>
        <v/>
      </c>
      <c r="BW22" s="27" t="str">
        <f t="shared" si="34"/>
        <v/>
      </c>
      <c r="BX22" s="28" t="str">
        <f t="shared" si="35"/>
        <v/>
      </c>
      <c r="BY22" s="165">
        <f>COUNTIFS(AllData[Site Name], Tables!$B22, AllData[Season], "Winter", AllData[Year], "2025")</f>
        <v>0</v>
      </c>
      <c r="BZ22" s="160" t="str">
        <f>IFERROR(AVERAGEIFS(AllData[Nitrate (PPM)], AllData[Site Name], $B22, AllData[Season], "Winter", AllData[Year], "2025"), "")</f>
        <v/>
      </c>
      <c r="CA22" s="27" t="str">
        <f t="shared" si="36"/>
        <v/>
      </c>
      <c r="CB22" s="27" t="str">
        <f t="shared" ref="CB22:CB77" si="40">IFERROR((BZ22-AX22)/AX22, "")</f>
        <v/>
      </c>
      <c r="CC22" s="161" t="str">
        <f>IFERROR(AVERAGEIFS(AllData[Phosphate (PPM)], AllData[Site Name], $B22, AllData[Season], "Winter", AllData[Year], "2025"), "")</f>
        <v/>
      </c>
      <c r="CD22" s="27" t="str">
        <f t="shared" si="38"/>
        <v/>
      </c>
      <c r="CE22" s="44" t="str">
        <f t="shared" ref="CE22:CE77" si="41">IFERROR((CC22-BA22)/BA22,"")</f>
        <v/>
      </c>
    </row>
    <row r="23" spans="2:83" x14ac:dyDescent="0.35">
      <c r="B23" s="159" t="s">
        <v>3556</v>
      </c>
      <c r="C23" s="113">
        <f>IFERROR(AVERAGEIF(AllData[Site Name], Tables!B23, AllData[Latitude]), "Unknown")</f>
        <v>52.015557999999999</v>
      </c>
      <c r="D23" s="113">
        <f>IFERROR(AVERAGEIF(AllData[Site Name], Tables!B23, AllData[Longitude]), "Unknown")</f>
        <v>-2.0442779999999998</v>
      </c>
      <c r="E23" s="13" t="e" vm="4">
        <f>_xlfn.XLOOKUP(B23,LocationsKey[Site Name], LocationsKey[District])</f>
        <v>#VALUE!</v>
      </c>
      <c r="F23" s="13" t="str">
        <f>_xlfn.XLOOKUP(B23,LocationsKey[Site Name], LocationsKey[Town])</f>
        <v>Beckford</v>
      </c>
      <c r="G23" s="25" t="str">
        <f>_xlfn.XLOOKUP(B23,LocationsKey[Site Name],LocationsKey[Waterway])</f>
        <v>Carrant</v>
      </c>
      <c r="H23" s="157">
        <f>COUNTIF(AllData[Site Name], Tables!B23)</f>
        <v>1</v>
      </c>
      <c r="I23" s="160">
        <f t="shared" si="0"/>
        <v>6</v>
      </c>
      <c r="J23" s="161">
        <f t="shared" si="1"/>
        <v>0.82</v>
      </c>
      <c r="K23" s="27" cm="1">
        <f t="array" ref="K23">SUM(COUNTIFS(AllData[Site Name], B23, AllData[Nitrate Pollution Category], {"High","Very high"}))/COUNTIFS(AllData[Site Name], B23, AllData[Nitrate (PPM)], "&lt;&gt;0")</f>
        <v>1</v>
      </c>
      <c r="L23" s="27" cm="1">
        <f t="array" ref="L23">SUM(COUNTIFS(AllData[Site Name], B23, AllData[Phosphate Pollution Category], {"High","Very high"}))/COUNTIFS(AllData[Site Name], B23, AllData[Phosphate (PPM)], "&lt;&gt;0")</f>
        <v>1</v>
      </c>
      <c r="M23" s="157">
        <f t="shared" si="2"/>
        <v>41</v>
      </c>
      <c r="N23" s="157">
        <f t="shared" si="3"/>
        <v>20</v>
      </c>
      <c r="O23" s="26">
        <f>COUNTIFS(AllData[Site Name], Tables!$B23, AllData[Season], "Summer", AllData[Year], "2023")</f>
        <v>0</v>
      </c>
      <c r="P23" s="160" t="str">
        <f>IFERROR(AVERAGEIFS(AllData[Nitrate (PPM)], AllData[Site Name], $B23, AllData[Season], "Summer", AllData[Year], "2023"), "")</f>
        <v/>
      </c>
      <c r="Q23" s="27" t="str">
        <f t="shared" si="4"/>
        <v/>
      </c>
      <c r="R23" s="161" t="str">
        <f>IFERROR(AVERAGEIFS(AllData[Phosphate (PPM)], AllData[Site Name], $B23, AllData[Season], "Summer", AllData[Year], "2023"),"")</f>
        <v/>
      </c>
      <c r="S23" s="28" t="str">
        <f t="shared" si="5"/>
        <v/>
      </c>
      <c r="T23" s="26">
        <f>COUNTIFS(AllData[Site Name], Tables!$B23, AllData[Season], "Autumn", AllData[Year], "2023")</f>
        <v>0</v>
      </c>
      <c r="U23" s="160" t="str">
        <f>IFERROR(AVERAGEIFS(AllData[Nitrate (PPM)], AllData[Site Name], $B23, AllData[Season], "Autumn", AllData[Year], "2023"), "")</f>
        <v/>
      </c>
      <c r="V23" s="27" t="str">
        <f t="shared" si="6"/>
        <v/>
      </c>
      <c r="W23" s="161" t="str">
        <f>IFERROR(AVERAGEIFS(AllData[Phosphate (PPM)], AllData[Site Name], $B23, AllData[Season], "Autumn", AllData[Year], "2023"),"")</f>
        <v/>
      </c>
      <c r="X23" s="28" t="str">
        <f t="shared" si="7"/>
        <v/>
      </c>
      <c r="Y23" s="26">
        <f>COUNTIFS(AllData[Site Name], Tables!$B23, AllData[Season], "Winter", AllData[Year], "2023")</f>
        <v>0</v>
      </c>
      <c r="Z23" s="160" t="str">
        <f>IFERROR(AVERAGEIFS(AllData[Nitrate (PPM)], AllData[Site Name], $B23, AllData[Season], "Winter", AllData[Year], "2023"), "")</f>
        <v/>
      </c>
      <c r="AA23" s="27" t="str">
        <f t="shared" si="8"/>
        <v/>
      </c>
      <c r="AB23" s="161" t="str">
        <f>IFERROR(AVERAGEIFS(AllData[Phosphate (PPM)], AllData[Site Name], $B23, AllData[Season], "Winter", AllData[Year], "2023"),"")</f>
        <v/>
      </c>
      <c r="AC23" s="28" t="str">
        <f t="shared" si="9"/>
        <v/>
      </c>
      <c r="AD23" s="26">
        <f>COUNTIFS(AllData[Site Name], Tables!$B23, AllData[Season], "Spring", AllData[Year], "2024")</f>
        <v>0</v>
      </c>
      <c r="AE23" s="160" t="str">
        <f>IFERROR(AVERAGEIFS(AllData[Nitrate (PPM)], AllData[Site Name], $B23, AllData[Season], "Spring", AllData[Year], "2024"), "")</f>
        <v/>
      </c>
      <c r="AF23" s="27" t="str">
        <f t="shared" si="10"/>
        <v/>
      </c>
      <c r="AG23" s="161" t="str">
        <f>IFERROR(AVERAGEIFS(AllData[Phosphate (PPM)], AllData[Site Name], $B23, AllData[Season], "Spring", AllData[Year], "2024"),"")</f>
        <v/>
      </c>
      <c r="AH23" s="28" t="str">
        <f t="shared" si="11"/>
        <v/>
      </c>
      <c r="AI23" s="165">
        <f>COUNTIFS(AllData[Site Name], Tables!$B23, AllData[Season], "Summer", AllData[Year], "2024")</f>
        <v>1</v>
      </c>
      <c r="AJ23" s="160">
        <f>IFERROR(AVERAGEIFS(AllData[Nitrate (PPM)], AllData[Site Name], $B23, AllData[Season], "Summer", AllData[Year], "2024"), "")</f>
        <v>6</v>
      </c>
      <c r="AK23" s="27">
        <f t="shared" si="12"/>
        <v>0</v>
      </c>
      <c r="AL23" s="27" t="str">
        <f t="shared" si="13"/>
        <v/>
      </c>
      <c r="AM23" s="161">
        <f>IFERROR(AVERAGEIFS(AllData[Phosphate (PPM)], AllData[Site Name], $B23, AllData[Season], "Summer", AllData[Year], "2024"),"")</f>
        <v>0.82</v>
      </c>
      <c r="AN23" s="27">
        <f t="shared" si="14"/>
        <v>0</v>
      </c>
      <c r="AO23" s="28" t="str">
        <f t="shared" si="15"/>
        <v/>
      </c>
      <c r="AP23" s="157">
        <f>COUNTIFS(AllData[Site Name], Tables!$B23, AllData[Season], "Autumn", AllData[Year], "2024")</f>
        <v>0</v>
      </c>
      <c r="AQ23" s="160" t="str">
        <f>IFERROR(AVERAGEIFS(AllData[Nitrate (PPM)], AllData[Site Name], $B23, AllData[Season], "Autumn", AllData[Year], "2024"), "")</f>
        <v/>
      </c>
      <c r="AR23" s="27" t="str">
        <f t="shared" si="16"/>
        <v/>
      </c>
      <c r="AS23" s="27" t="str">
        <f t="shared" si="17"/>
        <v/>
      </c>
      <c r="AT23" s="161" t="str">
        <f>IFERROR(AVERAGEIFS(AllData[Phosphate (PPM)], AllData[Site Name], B23, AllData[Season], "Autumn", AllData[Year], "2024"), "")</f>
        <v/>
      </c>
      <c r="AU23" s="27" t="str">
        <f t="shared" si="18"/>
        <v/>
      </c>
      <c r="AV23" s="28" t="str">
        <f t="shared" si="19"/>
        <v/>
      </c>
      <c r="AW23" s="165">
        <f>COUNTIFS(AllData[Site Name], Tables!$B23, AllData[Season], "Winter", AllData[Year], "2024")</f>
        <v>0</v>
      </c>
      <c r="AX23" s="160" t="str">
        <f>IFERROR(AVERAGEIFS(AllData[Nitrate (PPM)], AllData[Site Name], $B23, AllData[Season], "Winter", AllData[Year], "2024"), "")</f>
        <v/>
      </c>
      <c r="AY23" s="27" t="str">
        <f t="shared" si="20"/>
        <v/>
      </c>
      <c r="AZ23" s="27" t="str">
        <f t="shared" si="21"/>
        <v/>
      </c>
      <c r="BA23" s="161" t="str">
        <f>IFERROR(AVERAGEIFS(AllData[Phosphate (PPM)], AllData[Site Name], $B23, AllData[Season], "Winter", AllData[Year], "2024"), "")</f>
        <v/>
      </c>
      <c r="BB23" s="27" t="str">
        <f t="shared" si="22"/>
        <v/>
      </c>
      <c r="BC23" s="44" t="str">
        <f t="shared" si="23"/>
        <v/>
      </c>
      <c r="BD23" s="157">
        <f>COUNTIFS(AllData[Site Name], Tables!$B23, AllData[Season], "Spring", AllData[Year], "2025")</f>
        <v>0</v>
      </c>
      <c r="BE23" s="160" t="str">
        <f>IFERROR(AVERAGEIFS(AllData[Nitrate (PPM)], AllData[Site Name], $B23, AllData[Season], "Spring", AllData[Year], "2025"), "")</f>
        <v/>
      </c>
      <c r="BF23" s="27" t="str">
        <f t="shared" si="24"/>
        <v/>
      </c>
      <c r="BG23" s="27" t="str">
        <f t="shared" si="25"/>
        <v/>
      </c>
      <c r="BH23" s="161" t="str">
        <f>IFERROR(AVERAGEIFS(AllData[Phosphate (PPM)], AllData[Site Name], $B23, AllData[Season], "Spring", AllData[Year], "2025"), "")</f>
        <v/>
      </c>
      <c r="BI23" s="27" t="str">
        <f t="shared" si="26"/>
        <v/>
      </c>
      <c r="BJ23" s="27" t="str">
        <f t="shared" si="27"/>
        <v/>
      </c>
      <c r="BK23" s="165">
        <f>COUNTIFS(AllData[Site Name], Tables!$B23, AllData[Season], "Summer", AllData[Year], "2025")</f>
        <v>0</v>
      </c>
      <c r="BL23" s="160" t="str">
        <f>IFERROR(AVERAGEIFS(AllData[Nitrate (PPM)], AllData[Site Name], $B23, AllData[Season], "Summer", AllData[Year], "2025"), "")</f>
        <v/>
      </c>
      <c r="BM23" s="27" t="str">
        <f t="shared" si="28"/>
        <v/>
      </c>
      <c r="BN23" s="27" t="str">
        <f t="shared" si="29"/>
        <v/>
      </c>
      <c r="BO23" s="161" t="str">
        <f>IFERROR(AVERAGEIFS(AllData[Phosphate (PPM)], AllData[Site Name], $B23, AllData[Season], "Summer", AllData[Year], "2025"),"")</f>
        <v/>
      </c>
      <c r="BP23" s="27" t="str">
        <f t="shared" si="30"/>
        <v/>
      </c>
      <c r="BQ23" s="27" t="str">
        <f t="shared" si="31"/>
        <v/>
      </c>
      <c r="BR23" s="165">
        <f>COUNTIFS(AllData[Site Name], Tables!$B23, AllData[Season], "Autumn", AllData[Year], "2025")</f>
        <v>0</v>
      </c>
      <c r="BS23" s="160" t="str">
        <f>IFERROR(AVERAGEIFS(AllData[Nitrate (PPM)], AllData[Site Name], $B23, AllData[Season], "Autumn", AllData[Year], "2025"), "")</f>
        <v/>
      </c>
      <c r="BT23" s="27" t="str">
        <f t="shared" si="32"/>
        <v/>
      </c>
      <c r="BU23" s="27" t="str">
        <f t="shared" si="33"/>
        <v/>
      </c>
      <c r="BV23" s="161" t="str">
        <f>IFERROR(AVERAGEIFS(AllData[Phosphate (PPM)], AllData[Site Name], AD23, AllData[Season], "Autumn", AllData[Year], "2025"), "")</f>
        <v/>
      </c>
      <c r="BW23" s="27" t="str">
        <f t="shared" si="34"/>
        <v/>
      </c>
      <c r="BX23" s="28" t="str">
        <f t="shared" si="35"/>
        <v/>
      </c>
      <c r="BY23" s="165">
        <f>COUNTIFS(AllData[Site Name], Tables!$B23, AllData[Season], "Winter", AllData[Year], "2025")</f>
        <v>0</v>
      </c>
      <c r="BZ23" s="160" t="str">
        <f>IFERROR(AVERAGEIFS(AllData[Nitrate (PPM)], AllData[Site Name], $B23, AllData[Season], "Winter", AllData[Year], "2025"), "")</f>
        <v/>
      </c>
      <c r="CA23" s="27" t="str">
        <f t="shared" si="36"/>
        <v/>
      </c>
      <c r="CB23" s="27" t="str">
        <f t="shared" si="40"/>
        <v/>
      </c>
      <c r="CC23" s="161" t="str">
        <f>IFERROR(AVERAGEIFS(AllData[Phosphate (PPM)], AllData[Site Name], $B23, AllData[Season], "Winter", AllData[Year], "2025"), "")</f>
        <v/>
      </c>
      <c r="CD23" s="27" t="str">
        <f t="shared" si="38"/>
        <v/>
      </c>
      <c r="CE23" s="44" t="str">
        <f t="shared" si="41"/>
        <v/>
      </c>
    </row>
    <row r="24" spans="2:83" x14ac:dyDescent="0.35">
      <c r="B24" s="159" t="s">
        <v>603</v>
      </c>
      <c r="C24" s="113">
        <f>IFERROR(AVERAGEIF(AllData[Site Name], Tables!B24, AllData[Latitude]), "Unknown")</f>
        <v>51.996322536231894</v>
      </c>
      <c r="D24" s="113">
        <f>IFERROR(AVERAGEIF(AllData[Site Name], Tables!B24, AllData[Longitude]), "Unknown")</f>
        <v>-2.1558410144927538</v>
      </c>
      <c r="E24" s="13" t="e" vm="4">
        <f>_xlfn.XLOOKUP(B24,LocationsKey[Site Name], LocationsKey[District])</f>
        <v>#VALUE!</v>
      </c>
      <c r="F24" s="13" t="e" vm="4">
        <f>_xlfn.XLOOKUP(B24,LocationsKey[Site Name], LocationsKey[Town])</f>
        <v>#VALUE!</v>
      </c>
      <c r="G24" s="25" t="str">
        <f>_xlfn.XLOOKUP(B24,LocationsKey[Site Name],LocationsKey[Waterway])</f>
        <v>Carrant</v>
      </c>
      <c r="H24" s="157">
        <f>COUNTIF(AllData[Site Name], Tables!B24)</f>
        <v>83</v>
      </c>
      <c r="I24" s="160">
        <f t="shared" si="0"/>
        <v>5.1204403235653233</v>
      </c>
      <c r="J24" s="161">
        <f t="shared" si="1"/>
        <v>0.44491758241758239</v>
      </c>
      <c r="K24" s="27" cm="1">
        <f t="array" ref="K24">SUM(COUNTIFS(AllData[Site Name], B24, AllData[Nitrate Pollution Category], {"High","Very high"}))/COUNTIFS(AllData[Site Name], B24, AllData[Nitrate (PPM)], "&lt;&gt;0")</f>
        <v>1</v>
      </c>
      <c r="L24" s="27" cm="1">
        <f t="array" ref="L24">SUM(COUNTIFS(AllData[Site Name], B24, AllData[Phosphate Pollution Category], {"High","Very high"}))/COUNTIFS(AllData[Site Name], B24, AllData[Phosphate (PPM)], "&lt;&gt;0")</f>
        <v>1</v>
      </c>
      <c r="M24" s="157">
        <f t="shared" si="2"/>
        <v>48</v>
      </c>
      <c r="N24" s="157">
        <f t="shared" si="3"/>
        <v>59</v>
      </c>
      <c r="O24" s="26">
        <f>COUNTIFS(AllData[Site Name], Tables!$B24, AllData[Season], "Summer", AllData[Year], "2023")</f>
        <v>2</v>
      </c>
      <c r="P24" s="160">
        <f>IFERROR(AVERAGEIFS(AllData[Nitrate (PPM)], AllData[Site Name], $B24, AllData[Season], "Summer", AllData[Year], "2023"), "")</f>
        <v>6</v>
      </c>
      <c r="Q24" s="27">
        <f t="shared" si="4"/>
        <v>0.17177422660054478</v>
      </c>
      <c r="R24" s="161">
        <f>IFERROR(AVERAGEIFS(AllData[Phosphate (PPM)], AllData[Site Name], $B24, AllData[Season], "Summer", AllData[Year], "2023"),"")</f>
        <v>0.64</v>
      </c>
      <c r="S24" s="28">
        <f t="shared" si="5"/>
        <v>0.43846866316764443</v>
      </c>
      <c r="T24" s="26">
        <f>COUNTIFS(AllData[Site Name], Tables!$B24, AllData[Season], "Autumn", AllData[Year], "2023")</f>
        <v>9</v>
      </c>
      <c r="U24" s="160">
        <f>IFERROR(AVERAGEIFS(AllData[Nitrate (PPM)], AllData[Site Name], $B24, AllData[Season], "Autumn", AllData[Year], "2023"), "")</f>
        <v>6.5555555555555554</v>
      </c>
      <c r="V24" s="27">
        <f t="shared" si="6"/>
        <v>0.28027184017466927</v>
      </c>
      <c r="W24" s="161">
        <f>IFERROR(AVERAGEIFS(AllData[Phosphate (PPM)], AllData[Site Name], $B24, AllData[Season], "Autumn", AllData[Year], "2023"),"")</f>
        <v>0.54333333333333333</v>
      </c>
      <c r="X24" s="28">
        <f t="shared" si="7"/>
        <v>0.22119995883503146</v>
      </c>
      <c r="Y24" s="26">
        <f>COUNTIFS(AllData[Site Name], Tables!$B24, AllData[Season], "Winter", AllData[Year], "2023")</f>
        <v>13</v>
      </c>
      <c r="Z24" s="160">
        <f>IFERROR(AVERAGEIFS(AllData[Nitrate (PPM)], AllData[Site Name], $B24, AllData[Season], "Winter", AllData[Year], "2023"), "")</f>
        <v>4.8461538461538458</v>
      </c>
      <c r="AA24" s="27">
        <f t="shared" si="8"/>
        <v>-5.3566970822636971E-2</v>
      </c>
      <c r="AB24" s="161">
        <f>IFERROR(AVERAGEIFS(AllData[Phosphate (PPM)], AllData[Site Name], $B24, AllData[Season], "Winter", AllData[Year], "2023"),"")</f>
        <v>0.40846153846153849</v>
      </c>
      <c r="AC24" s="28">
        <f t="shared" si="9"/>
        <v>-8.1938870021611501E-2</v>
      </c>
      <c r="AD24" s="26">
        <f>COUNTIFS(AllData[Site Name], Tables!$B24, AllData[Season], "Spring", AllData[Year], "2024")</f>
        <v>13</v>
      </c>
      <c r="AE24" s="160">
        <f>IFERROR(AVERAGEIFS(AllData[Nitrate (PPM)], AllData[Site Name], $B24, AllData[Season], "Spring", AllData[Year], "2024"), "")</f>
        <v>5.615384615384615</v>
      </c>
      <c r="AF24" s="27">
        <f t="shared" si="10"/>
        <v>9.6660494126150812E-2</v>
      </c>
      <c r="AG24" s="161">
        <f>IFERROR(AVERAGEIFS(AllData[Phosphate (PPM)], AllData[Site Name], $B24, AllData[Season], "Spring", AllData[Year], "2024"),"")</f>
        <v>0.29230769230769232</v>
      </c>
      <c r="AH24" s="28">
        <f t="shared" si="11"/>
        <v>-0.34300710095708542</v>
      </c>
      <c r="AI24" s="165">
        <f>COUNTIFS(AllData[Site Name], Tables!$B24, AllData[Season], "Summer", AllData[Year], "2024")</f>
        <v>14</v>
      </c>
      <c r="AJ24" s="160">
        <f>IFERROR(AVERAGEIFS(AllData[Nitrate (PPM)], AllData[Site Name], $B24, AllData[Season], "Summer", AllData[Year], "2024"), "")</f>
        <v>5.0714285714285712</v>
      </c>
      <c r="AK24" s="27">
        <f t="shared" si="12"/>
        <v>-9.571784659063387E-3</v>
      </c>
      <c r="AL24" s="27">
        <f t="shared" si="13"/>
        <v>-0.15476190476190479</v>
      </c>
      <c r="AM24" s="161">
        <f>IFERROR(AVERAGEIFS(AllData[Phosphate (PPM)], AllData[Site Name], $B24, AllData[Season], "Summer", AllData[Year], "2024"),"")</f>
        <v>0.5485714285714286</v>
      </c>
      <c r="AN24" s="27">
        <f t="shared" si="14"/>
        <v>0.23297313985798099</v>
      </c>
      <c r="AO24" s="28">
        <f t="shared" si="15"/>
        <v>-0.14285714285714282</v>
      </c>
      <c r="AP24" s="157">
        <f>COUNTIFS(AllData[Site Name], Tables!$B24, AllData[Season], "Autumn", AllData[Year], "2024")</f>
        <v>12</v>
      </c>
      <c r="AQ24" s="160">
        <f>IFERROR(AVERAGEIFS(AllData[Nitrate (PPM)], AllData[Site Name], $B24, AllData[Season], "Autumn", AllData[Year], "2024"), "")</f>
        <v>5.166666666666667</v>
      </c>
      <c r="AR24" s="27">
        <f t="shared" si="16"/>
        <v>9.0278062393580657E-3</v>
      </c>
      <c r="AS24" s="27">
        <f t="shared" si="17"/>
        <v>-0.21186440677966095</v>
      </c>
      <c r="AT24" s="161">
        <f>IFERROR(AVERAGEIFS(AllData[Phosphate (PPM)], AllData[Site Name], B24, AllData[Season], "Autumn", AllData[Year], "2024"), "")</f>
        <v>0.45333333333333331</v>
      </c>
      <c r="AU24" s="27">
        <f t="shared" si="18"/>
        <v>1.8915303077081412E-2</v>
      </c>
      <c r="AV24" s="28">
        <f t="shared" si="19"/>
        <v>-0.16564417177914115</v>
      </c>
      <c r="AW24" s="165">
        <f>COUNTIFS(AllData[Site Name], Tables!$B24, AllData[Season], "Winter", AllData[Year], "2024")</f>
        <v>12</v>
      </c>
      <c r="AX24" s="160">
        <f>IFERROR(AVERAGEIFS(AllData[Nitrate (PPM)], AllData[Site Name], $B24, AllData[Season], "Winter", AllData[Year], "2024"), "")</f>
        <v>3.5833333333333335</v>
      </c>
      <c r="AY24" s="27">
        <f t="shared" si="20"/>
        <v>-0.30019039244689683</v>
      </c>
      <c r="AZ24" s="27">
        <f t="shared" si="21"/>
        <v>-0.26058201058201053</v>
      </c>
      <c r="BA24" s="161">
        <f>IFERROR(AVERAGEIFS(AllData[Phosphate (PPM)], AllData[Site Name], $B24, AllData[Season], "Winter", AllData[Year], "2024"), "")</f>
        <v>0.33833333333333337</v>
      </c>
      <c r="BB24" s="27">
        <f t="shared" si="22"/>
        <v>-0.23955953483585454</v>
      </c>
      <c r="BC24" s="44">
        <f t="shared" si="23"/>
        <v>-0.17168863779033267</v>
      </c>
      <c r="BD24" s="157">
        <f>COUNTIFS(AllData[Site Name], Tables!$B24, AllData[Season], "Spring", AllData[Year], "2025")</f>
        <v>8</v>
      </c>
      <c r="BE24" s="160">
        <f>IFERROR(AVERAGEIFS(AllData[Nitrate (PPM)], AllData[Site Name], $B24, AllData[Season], "Spring", AllData[Year], "2025"), "")</f>
        <v>4.125</v>
      </c>
      <c r="BF24" s="27">
        <f t="shared" si="24"/>
        <v>-0.19440521921212547</v>
      </c>
      <c r="BG24" s="27">
        <f t="shared" si="25"/>
        <v>-0.26541095890410954</v>
      </c>
      <c r="BH24" s="161">
        <f>IFERROR(AVERAGEIFS(AllData[Phosphate (PPM)], AllData[Site Name], $B24, AllData[Season], "Spring", AllData[Year], "2025"), "")</f>
        <v>0.33500000000000002</v>
      </c>
      <c r="BI24" s="27">
        <f t="shared" si="26"/>
        <v>-0.24705155912318608</v>
      </c>
      <c r="BJ24" s="27">
        <f t="shared" si="27"/>
        <v>0.14605263157894738</v>
      </c>
      <c r="BK24" s="165">
        <f>COUNTIFS(AllData[Site Name], Tables!$B24, AllData[Season], "Summer", AllData[Year], "2025")</f>
        <v>0</v>
      </c>
      <c r="BL24" s="160" t="str">
        <f>IFERROR(AVERAGEIFS(AllData[Nitrate (PPM)], AllData[Site Name], $B24, AllData[Season], "Summer", AllData[Year], "2025"), "")</f>
        <v/>
      </c>
      <c r="BM24" s="27" t="str">
        <f t="shared" si="28"/>
        <v/>
      </c>
      <c r="BN24" s="27" t="str">
        <f t="shared" si="29"/>
        <v/>
      </c>
      <c r="BO24" s="161" t="str">
        <f>IFERROR(AVERAGEIFS(AllData[Phosphate (PPM)], AllData[Site Name], $B24, AllData[Season], "Summer", AllData[Year], "2025"),"")</f>
        <v/>
      </c>
      <c r="BP24" s="27" t="str">
        <f t="shared" si="30"/>
        <v/>
      </c>
      <c r="BQ24" s="27" t="str">
        <f t="shared" si="31"/>
        <v/>
      </c>
      <c r="BR24" s="165">
        <f>COUNTIFS(AllData[Site Name], Tables!$B24, AllData[Season], "Autumn", AllData[Year], "2025")</f>
        <v>0</v>
      </c>
      <c r="BS24" s="160" t="str">
        <f>IFERROR(AVERAGEIFS(AllData[Nitrate (PPM)], AllData[Site Name], $B24, AllData[Season], "Autumn", AllData[Year], "2025"), "")</f>
        <v/>
      </c>
      <c r="BT24" s="27" t="str">
        <f t="shared" si="32"/>
        <v/>
      </c>
      <c r="BU24" s="27" t="str">
        <f t="shared" si="33"/>
        <v/>
      </c>
      <c r="BV24" s="161" t="str">
        <f>IFERROR(AVERAGEIFS(AllData[Phosphate (PPM)], AllData[Site Name], AD24, AllData[Season], "Autumn", AllData[Year], "2025"), "")</f>
        <v/>
      </c>
      <c r="BW24" s="27" t="str">
        <f t="shared" si="34"/>
        <v/>
      </c>
      <c r="BX24" s="28" t="str">
        <f t="shared" si="35"/>
        <v/>
      </c>
      <c r="BY24" s="165">
        <f>COUNTIFS(AllData[Site Name], Tables!$B24, AllData[Season], "Winter", AllData[Year], "2025")</f>
        <v>0</v>
      </c>
      <c r="BZ24" s="160" t="str">
        <f>IFERROR(AVERAGEIFS(AllData[Nitrate (PPM)], AllData[Site Name], $B24, AllData[Season], "Winter", AllData[Year], "2025"), "")</f>
        <v/>
      </c>
      <c r="CA24" s="27" t="str">
        <f t="shared" si="36"/>
        <v/>
      </c>
      <c r="CB24" s="27" t="str">
        <f t="shared" si="40"/>
        <v/>
      </c>
      <c r="CC24" s="161" t="str">
        <f>IFERROR(AVERAGEIFS(AllData[Phosphate (PPM)], AllData[Site Name], $B24, AllData[Season], "Winter", AllData[Year], "2025"), "")</f>
        <v/>
      </c>
      <c r="CD24" s="27" t="str">
        <f t="shared" si="38"/>
        <v/>
      </c>
      <c r="CE24" s="44" t="str">
        <f t="shared" si="41"/>
        <v/>
      </c>
    </row>
    <row r="25" spans="2:83" x14ac:dyDescent="0.35">
      <c r="B25" s="159" t="s">
        <v>3660</v>
      </c>
      <c r="C25" s="113">
        <v>52.011600000000001</v>
      </c>
      <c r="D25" s="113">
        <v>-2.1206</v>
      </c>
      <c r="E25" s="13" t="e" vm="4">
        <f>_xlfn.XLOOKUP(B25,LocationsKey[Site Name], LocationsKey[District])</f>
        <v>#VALUE!</v>
      </c>
      <c r="F25" s="13" t="e" vm="4">
        <f>_xlfn.XLOOKUP(B25,LocationsKey[Site Name], LocationsKey[Town])</f>
        <v>#VALUE!</v>
      </c>
      <c r="G25" s="25" t="str">
        <f>_xlfn.XLOOKUP(B25,LocationsKey[Site Name],LocationsKey[Waterway])</f>
        <v>Carrant</v>
      </c>
      <c r="H25" s="157">
        <f>COUNTIF(AllData[Site Name], Tables!B25)</f>
        <v>1</v>
      </c>
      <c r="I25" s="160">
        <f t="shared" si="0"/>
        <v>5</v>
      </c>
      <c r="J25" s="161">
        <f t="shared" si="1"/>
        <v>0.4</v>
      </c>
      <c r="K25" s="27" cm="1">
        <f t="array" ref="K25">SUM(COUNTIFS(AllData[Site Name], B25, AllData[Nitrate Pollution Category], {"High","Very high"}))/COUNTIFS(AllData[Site Name], B25, AllData[Nitrate (PPM)], "&lt;&gt;0")</f>
        <v>1</v>
      </c>
      <c r="L25" s="27" cm="1">
        <f t="array" ref="L25">SUM(COUNTIFS(AllData[Site Name], B25, AllData[Phosphate Pollution Category], {"High","Very high"}))/COUNTIFS(AllData[Site Name], B25, AllData[Phosphate (PPM)], "&lt;&gt;0")</f>
        <v>1</v>
      </c>
      <c r="M25" s="157">
        <f t="shared" si="2"/>
        <v>51</v>
      </c>
      <c r="N25" s="157">
        <f t="shared" si="3"/>
        <v>65</v>
      </c>
      <c r="O25" s="26">
        <f>COUNTIFS(AllData[Site Name], Tables!$B25, AllData[Season], "Summer", AllData[Year], "2023")</f>
        <v>0</v>
      </c>
      <c r="P25" s="160" t="str">
        <f>IFERROR(AVERAGEIFS(AllData[Nitrate (PPM)], AllData[Site Name], $B25, AllData[Season], "Summer", AllData[Year], "2023"), "")</f>
        <v/>
      </c>
      <c r="Q25" s="27" t="str">
        <f t="shared" si="4"/>
        <v/>
      </c>
      <c r="R25" s="161" t="str">
        <f>IFERROR(AVERAGEIFS(AllData[Phosphate (PPM)], AllData[Site Name], $B25, AllData[Season], "Summer", AllData[Year], "2023"),"")</f>
        <v/>
      </c>
      <c r="S25" s="28" t="str">
        <f t="shared" si="5"/>
        <v/>
      </c>
      <c r="T25" s="26">
        <f>COUNTIFS(AllData[Site Name], Tables!$B25, AllData[Season], "Autumn", AllData[Year], "2023")</f>
        <v>0</v>
      </c>
      <c r="U25" s="160" t="str">
        <f>IFERROR(AVERAGEIFS(AllData[Nitrate (PPM)], AllData[Site Name], $B25, AllData[Season], "Autumn", AllData[Year], "2023"), "")</f>
        <v/>
      </c>
      <c r="V25" s="27" t="str">
        <f t="shared" si="6"/>
        <v/>
      </c>
      <c r="W25" s="161" t="str">
        <f>IFERROR(AVERAGEIFS(AllData[Phosphate (PPM)], AllData[Site Name], $B25, AllData[Season], "Autumn", AllData[Year], "2023"),"")</f>
        <v/>
      </c>
      <c r="X25" s="28" t="str">
        <f t="shared" si="7"/>
        <v/>
      </c>
      <c r="Y25" s="26">
        <f>COUNTIFS(AllData[Site Name], Tables!$B25, AllData[Season], "Winter", AllData[Year], "2023")</f>
        <v>0</v>
      </c>
      <c r="Z25" s="160" t="str">
        <f>IFERROR(AVERAGEIFS(AllData[Nitrate (PPM)], AllData[Site Name], $B25, AllData[Season], "Winter", AllData[Year], "2023"), "")</f>
        <v/>
      </c>
      <c r="AA25" s="27" t="str">
        <f t="shared" si="8"/>
        <v/>
      </c>
      <c r="AB25" s="161" t="str">
        <f>IFERROR(AVERAGEIFS(AllData[Phosphate (PPM)], AllData[Site Name], $B25, AllData[Season], "Winter", AllData[Year], "2023"),"")</f>
        <v/>
      </c>
      <c r="AC25" s="28" t="str">
        <f t="shared" si="9"/>
        <v/>
      </c>
      <c r="AD25" s="26">
        <f>COUNTIFS(AllData[Site Name], Tables!$B25, AllData[Season], "Spring", AllData[Year], "2024")</f>
        <v>0</v>
      </c>
      <c r="AE25" s="160" t="str">
        <f>IFERROR(AVERAGEIFS(AllData[Nitrate (PPM)], AllData[Site Name], $B25, AllData[Season], "Spring", AllData[Year], "2024"), "")</f>
        <v/>
      </c>
      <c r="AF25" s="27" t="str">
        <f t="shared" si="10"/>
        <v/>
      </c>
      <c r="AG25" s="161" t="str">
        <f>IFERROR(AVERAGEIFS(AllData[Phosphate (PPM)], AllData[Site Name], $B25, AllData[Season], "Spring", AllData[Year], "2024"),"")</f>
        <v/>
      </c>
      <c r="AH25" s="28" t="str">
        <f t="shared" si="11"/>
        <v/>
      </c>
      <c r="AI25" s="165">
        <f>COUNTIFS(AllData[Site Name], Tables!$B25, AllData[Season], "Summer", AllData[Year], "2024")</f>
        <v>0</v>
      </c>
      <c r="AJ25" s="160" t="str">
        <f>IFERROR(AVERAGEIFS(AllData[Nitrate (PPM)], AllData[Site Name], $B25, AllData[Season], "Summer", AllData[Year], "2024"), "")</f>
        <v/>
      </c>
      <c r="AK25" s="27" t="str">
        <f t="shared" si="12"/>
        <v/>
      </c>
      <c r="AL25" s="27" t="str">
        <f t="shared" si="13"/>
        <v/>
      </c>
      <c r="AM25" s="161" t="str">
        <f>IFERROR(AVERAGEIFS(AllData[Phosphate (PPM)], AllData[Site Name], $B25, AllData[Season], "Summer", AllData[Year], "2024"),"")</f>
        <v/>
      </c>
      <c r="AN25" s="27" t="str">
        <f t="shared" si="14"/>
        <v/>
      </c>
      <c r="AO25" s="28" t="str">
        <f t="shared" si="15"/>
        <v/>
      </c>
      <c r="AP25" s="157">
        <f>COUNTIFS(AllData[Site Name], Tables!$B25, AllData[Season], "Autumn", AllData[Year], "2024")</f>
        <v>0</v>
      </c>
      <c r="AQ25" s="160" t="str">
        <f>IFERROR(AVERAGEIFS(AllData[Nitrate (PPM)], AllData[Site Name], $B25, AllData[Season], "Autumn", AllData[Year], "2024"), "")</f>
        <v/>
      </c>
      <c r="AR25" s="27" t="str">
        <f t="shared" si="16"/>
        <v/>
      </c>
      <c r="AS25" s="27" t="str">
        <f t="shared" si="17"/>
        <v/>
      </c>
      <c r="AT25" s="161" t="str">
        <f>IFERROR(AVERAGEIFS(AllData[Phosphate (PPM)], AllData[Site Name], B25, AllData[Season], "Autumn", AllData[Year], "2024"), "")</f>
        <v/>
      </c>
      <c r="AU25" s="27" t="str">
        <f t="shared" si="18"/>
        <v/>
      </c>
      <c r="AV25" s="28" t="str">
        <f t="shared" si="19"/>
        <v/>
      </c>
      <c r="AW25" s="165">
        <f>COUNTIFS(AllData[Site Name], Tables!$B25, AllData[Season], "Winter", AllData[Year], "2024")</f>
        <v>1</v>
      </c>
      <c r="AX25" s="160">
        <f>IFERROR(AVERAGEIFS(AllData[Nitrate (PPM)], AllData[Site Name], $B25, AllData[Season], "Winter", AllData[Year], "2024"), "")</f>
        <v>5</v>
      </c>
      <c r="AY25" s="27">
        <f t="shared" si="20"/>
        <v>0</v>
      </c>
      <c r="AZ25" s="27" t="str">
        <f t="shared" si="21"/>
        <v/>
      </c>
      <c r="BA25" s="161">
        <f>IFERROR(AVERAGEIFS(AllData[Phosphate (PPM)], AllData[Site Name], $B25, AllData[Season], "Winter", AllData[Year], "2024"), "")</f>
        <v>0.4</v>
      </c>
      <c r="BB25" s="27">
        <f t="shared" si="22"/>
        <v>0</v>
      </c>
      <c r="BC25" s="44" t="str">
        <f t="shared" si="23"/>
        <v/>
      </c>
      <c r="BD25" s="157">
        <f>COUNTIFS(AllData[Site Name], Tables!$B25, AllData[Season], "Spring", AllData[Year], "2025")</f>
        <v>0</v>
      </c>
      <c r="BE25" s="160" t="str">
        <f>IFERROR(AVERAGEIFS(AllData[Nitrate (PPM)], AllData[Site Name], $B25, AllData[Season], "Spring", AllData[Year], "2025"), "")</f>
        <v/>
      </c>
      <c r="BF25" s="27" t="str">
        <f t="shared" si="24"/>
        <v/>
      </c>
      <c r="BG25" s="27" t="str">
        <f t="shared" si="25"/>
        <v/>
      </c>
      <c r="BH25" s="161" t="str">
        <f>IFERROR(AVERAGEIFS(AllData[Phosphate (PPM)], AllData[Site Name], $B25, AllData[Season], "Spring", AllData[Year], "2025"), "")</f>
        <v/>
      </c>
      <c r="BI25" s="27" t="str">
        <f t="shared" si="26"/>
        <v/>
      </c>
      <c r="BJ25" s="27" t="str">
        <f t="shared" si="27"/>
        <v/>
      </c>
      <c r="BK25" s="165">
        <f>COUNTIFS(AllData[Site Name], Tables!$B25, AllData[Season], "Summer", AllData[Year], "2025")</f>
        <v>0</v>
      </c>
      <c r="BL25" s="160" t="str">
        <f>IFERROR(AVERAGEIFS(AllData[Nitrate (PPM)], AllData[Site Name], $B25, AllData[Season], "Summer", AllData[Year], "2025"), "")</f>
        <v/>
      </c>
      <c r="BM25" s="27" t="str">
        <f t="shared" si="28"/>
        <v/>
      </c>
      <c r="BN25" s="27" t="str">
        <f t="shared" si="29"/>
        <v/>
      </c>
      <c r="BO25" s="161" t="str">
        <f>IFERROR(AVERAGEIFS(AllData[Phosphate (PPM)], AllData[Site Name], $B25, AllData[Season], "Summer", AllData[Year], "2025"),"")</f>
        <v/>
      </c>
      <c r="BP25" s="27" t="str">
        <f t="shared" si="30"/>
        <v/>
      </c>
      <c r="BQ25" s="27" t="str">
        <f t="shared" si="31"/>
        <v/>
      </c>
      <c r="BR25" s="165">
        <f>COUNTIFS(AllData[Site Name], Tables!$B25, AllData[Season], "Autumn", AllData[Year], "2025")</f>
        <v>0</v>
      </c>
      <c r="BS25" s="160" t="str">
        <f>IFERROR(AVERAGEIFS(AllData[Nitrate (PPM)], AllData[Site Name], $B25, AllData[Season], "Autumn", AllData[Year], "2025"), "")</f>
        <v/>
      </c>
      <c r="BT25" s="27" t="str">
        <f t="shared" si="32"/>
        <v/>
      </c>
      <c r="BU25" s="27" t="str">
        <f t="shared" si="33"/>
        <v/>
      </c>
      <c r="BV25" s="161" t="str">
        <f>IFERROR(AVERAGEIFS(AllData[Phosphate (PPM)], AllData[Site Name], AD25, AllData[Season], "Autumn", AllData[Year], "2025"), "")</f>
        <v/>
      </c>
      <c r="BW25" s="27" t="str">
        <f t="shared" si="34"/>
        <v/>
      </c>
      <c r="BX25" s="28" t="str">
        <f t="shared" si="35"/>
        <v/>
      </c>
      <c r="BY25" s="165">
        <f>COUNTIFS(AllData[Site Name], Tables!$B25, AllData[Season], "Winter", AllData[Year], "2025")</f>
        <v>0</v>
      </c>
      <c r="BZ25" s="160" t="str">
        <f>IFERROR(AVERAGEIFS(AllData[Nitrate (PPM)], AllData[Site Name], $B25, AllData[Season], "Winter", AllData[Year], "2025"), "")</f>
        <v/>
      </c>
      <c r="CA25" s="27" t="str">
        <f t="shared" si="36"/>
        <v/>
      </c>
      <c r="CB25" s="27" t="str">
        <f t="shared" si="40"/>
        <v/>
      </c>
      <c r="CC25" s="161" t="str">
        <f>IFERROR(AVERAGEIFS(AllData[Phosphate (PPM)], AllData[Site Name], $B25, AllData[Season], "Winter", AllData[Year], "2025"), "")</f>
        <v/>
      </c>
      <c r="CD25" s="27" t="str">
        <f t="shared" si="38"/>
        <v/>
      </c>
      <c r="CE25" s="44" t="str">
        <f t="shared" si="41"/>
        <v/>
      </c>
    </row>
    <row r="26" spans="2:83" x14ac:dyDescent="0.35">
      <c r="B26" s="159" t="s">
        <v>2103</v>
      </c>
      <c r="C26" s="113">
        <f>IFERROR(AVERAGEIF(AllData[Site Name], Tables!B26, AllData[Latitude]), "Unknown")</f>
        <v>52.012994652173923</v>
      </c>
      <c r="D26" s="113">
        <f>IFERROR(AVERAGEIF(AllData[Site Name], Tables!B26, AllData[Longitude]), "Unknown")</f>
        <v>-2.1224405652173912</v>
      </c>
      <c r="E26" s="13" t="e" vm="4">
        <f>_xlfn.XLOOKUP(B26,LocationsKey[Site Name], LocationsKey[District])</f>
        <v>#VALUE!</v>
      </c>
      <c r="F26" s="13" t="e" vm="4">
        <f>_xlfn.XLOOKUP(B26,LocationsKey[Site Name], LocationsKey[Town])</f>
        <v>#VALUE!</v>
      </c>
      <c r="G26" s="25" t="str">
        <f>_xlfn.XLOOKUP(B26,LocationsKey[Site Name],LocationsKey[Waterway])</f>
        <v>Carrant</v>
      </c>
      <c r="H26" s="157">
        <f>COUNTIF(AllData[Site Name], Tables!B26)</f>
        <v>39</v>
      </c>
      <c r="I26" s="160">
        <f t="shared" si="0"/>
        <v>6.1663492063492065</v>
      </c>
      <c r="J26" s="161">
        <f t="shared" si="1"/>
        <v>0.538745238095238</v>
      </c>
      <c r="K26" s="27" cm="1">
        <f t="array" ref="K26">SUM(COUNTIFS(AllData[Site Name], B26, AllData[Nitrate Pollution Category], {"High","Very high"}))/COUNTIFS(AllData[Site Name], B26, AllData[Nitrate (PPM)], "&lt;&gt;0")</f>
        <v>1</v>
      </c>
      <c r="L26" s="27" cm="1">
        <f t="array" ref="L26">SUM(COUNTIFS(AllData[Site Name], B26, AllData[Phosphate Pollution Category], {"High","Very high"}))/COUNTIFS(AllData[Site Name], B26, AllData[Phosphate (PPM)], "&lt;&gt;0")</f>
        <v>1</v>
      </c>
      <c r="M26" s="157">
        <f t="shared" si="2"/>
        <v>40</v>
      </c>
      <c r="N26" s="157">
        <f t="shared" si="3"/>
        <v>41</v>
      </c>
      <c r="O26" s="26">
        <f>COUNTIFS(AllData[Site Name], Tables!$B26, AllData[Season], "Summer", AllData[Year], "2023")</f>
        <v>0</v>
      </c>
      <c r="P26" s="160" t="str">
        <f>IFERROR(AVERAGEIFS(AllData[Nitrate (PPM)], AllData[Site Name], $B26, AllData[Season], "Summer", AllData[Year], "2023"), "")</f>
        <v/>
      </c>
      <c r="Q26" s="27" t="str">
        <f t="shared" si="4"/>
        <v/>
      </c>
      <c r="R26" s="161" t="str">
        <f>IFERROR(AVERAGEIFS(AllData[Phosphate (PPM)], AllData[Site Name], $B26, AllData[Season], "Summer", AllData[Year], "2023"),"")</f>
        <v/>
      </c>
      <c r="S26" s="28" t="str">
        <f t="shared" si="5"/>
        <v/>
      </c>
      <c r="T26" s="26">
        <f>COUNTIFS(AllData[Site Name], Tables!$B26, AllData[Season], "Autumn", AllData[Year], "2023")</f>
        <v>0</v>
      </c>
      <c r="U26" s="160" t="str">
        <f>IFERROR(AVERAGEIFS(AllData[Nitrate (PPM)], AllData[Site Name], $B26, AllData[Season], "Autumn", AllData[Year], "2023"), "")</f>
        <v/>
      </c>
      <c r="V26" s="27" t="str">
        <f t="shared" si="6"/>
        <v/>
      </c>
      <c r="W26" s="161" t="str">
        <f>IFERROR(AVERAGEIFS(AllData[Phosphate (PPM)], AllData[Site Name], $B26, AllData[Season], "Autumn", AllData[Year], "2023"),"")</f>
        <v/>
      </c>
      <c r="X26" s="28" t="str">
        <f t="shared" si="7"/>
        <v/>
      </c>
      <c r="Y26" s="26">
        <f>COUNTIFS(AllData[Site Name], Tables!$B26, AllData[Season], "Winter", AllData[Year], "2023")</f>
        <v>0</v>
      </c>
      <c r="Z26" s="160" t="str">
        <f>IFERROR(AVERAGEIFS(AllData[Nitrate (PPM)], AllData[Site Name], $B26, AllData[Season], "Winter", AllData[Year], "2023"), "")</f>
        <v/>
      </c>
      <c r="AA26" s="27" t="str">
        <f t="shared" si="8"/>
        <v/>
      </c>
      <c r="AB26" s="161" t="str">
        <f>IFERROR(AVERAGEIFS(AllData[Phosphate (PPM)], AllData[Site Name], $B26, AllData[Season], "Winter", AllData[Year], "2023"),"")</f>
        <v/>
      </c>
      <c r="AC26" s="28" t="str">
        <f t="shared" si="9"/>
        <v/>
      </c>
      <c r="AD26" s="26">
        <f>COUNTIFS(AllData[Site Name], Tables!$B26, AllData[Season], "Spring", AllData[Year], "2024")</f>
        <v>8</v>
      </c>
      <c r="AE26" s="160">
        <f>IFERROR(AVERAGEIFS(AllData[Nitrate (PPM)], AllData[Site Name], $B26, AllData[Season], "Spring", AllData[Year], "2024"), "")</f>
        <v>7</v>
      </c>
      <c r="AF26" s="27">
        <f t="shared" si="10"/>
        <v>0.13519357495881382</v>
      </c>
      <c r="AG26" s="161">
        <f>IFERROR(AVERAGEIFS(AllData[Phosphate (PPM)], AllData[Site Name], $B26, AllData[Season], "Spring", AllData[Year], "2024"),"")</f>
        <v>0.34124999999999994</v>
      </c>
      <c r="AH26" s="28">
        <f t="shared" si="11"/>
        <v>-0.36658372850494758</v>
      </c>
      <c r="AI26" s="165">
        <f>COUNTIFS(AllData[Site Name], Tables!$B26, AllData[Season], "Summer", AllData[Year], "2024")</f>
        <v>14</v>
      </c>
      <c r="AJ26" s="160">
        <f>IFERROR(AVERAGEIFS(AllData[Nitrate (PPM)], AllData[Site Name], $B26, AllData[Season], "Summer", AllData[Year], "2024"), "")</f>
        <v>6.1428571428571432</v>
      </c>
      <c r="AK26" s="27">
        <f t="shared" si="12"/>
        <v>-3.8097199341020991E-3</v>
      </c>
      <c r="AL26" s="27" t="str">
        <f t="shared" si="13"/>
        <v/>
      </c>
      <c r="AM26" s="161">
        <f>IFERROR(AVERAGEIFS(AllData[Phosphate (PPM)], AllData[Site Name], $B26, AllData[Season], "Summer", AllData[Year], "2024"),"")</f>
        <v>0.77714285714285725</v>
      </c>
      <c r="AN26" s="27">
        <f t="shared" si="14"/>
        <v>0.44250529227968033</v>
      </c>
      <c r="AO26" s="28" t="str">
        <f t="shared" si="15"/>
        <v/>
      </c>
      <c r="AP26" s="157">
        <f>COUNTIFS(AllData[Site Name], Tables!$B26, AllData[Season], "Autumn", AllData[Year], "2024")</f>
        <v>9</v>
      </c>
      <c r="AQ26" s="160">
        <f>IFERROR(AVERAGEIFS(AllData[Nitrate (PPM)], AllData[Site Name], $B26, AllData[Season], "Autumn", AllData[Year], "2024"), "")</f>
        <v>7.2222222222222223</v>
      </c>
      <c r="AR26" s="27">
        <f t="shared" si="16"/>
        <v>0.17123146622734761</v>
      </c>
      <c r="AS26" s="27" t="str">
        <f t="shared" si="17"/>
        <v/>
      </c>
      <c r="AT26" s="161">
        <f>IFERROR(AVERAGEIFS(AllData[Phosphate (PPM)], AllData[Site Name], B26, AllData[Season], "Autumn", AllData[Year], "2024"), "")</f>
        <v>0.66999999999999993</v>
      </c>
      <c r="AU26" s="27">
        <f t="shared" si="18"/>
        <v>0.24363048176317997</v>
      </c>
      <c r="AV26" s="28" t="str">
        <f t="shared" si="19"/>
        <v/>
      </c>
      <c r="AW26" s="165">
        <f>COUNTIFS(AllData[Site Name], Tables!$B26, AllData[Season], "Winter", AllData[Year], "2024")</f>
        <v>5</v>
      </c>
      <c r="AX26" s="160">
        <f>IFERROR(AVERAGEIFS(AllData[Nitrate (PPM)], AllData[Site Name], $B26, AllData[Season], "Winter", AllData[Year], "2024"), "")</f>
        <v>3.8</v>
      </c>
      <c r="AY26" s="27">
        <f t="shared" si="20"/>
        <v>-0.38375205930807255</v>
      </c>
      <c r="AZ26" s="27" t="str">
        <f t="shared" si="21"/>
        <v/>
      </c>
      <c r="BA26" s="161">
        <f>IFERROR(AVERAGEIFS(AllData[Phosphate (PPM)], AllData[Site Name], $B26, AllData[Season], "Winter", AllData[Year], "2024"), "")</f>
        <v>0.47199999999999998</v>
      </c>
      <c r="BB26" s="27">
        <f t="shared" si="22"/>
        <v>-0.12389016807131198</v>
      </c>
      <c r="BC26" s="44" t="str">
        <f t="shared" si="23"/>
        <v/>
      </c>
      <c r="BD26" s="157">
        <f>COUNTIFS(AllData[Site Name], Tables!$B26, AllData[Season], "Spring", AllData[Year], "2025")</f>
        <v>3</v>
      </c>
      <c r="BE26" s="160">
        <f>IFERROR(AVERAGEIFS(AllData[Nitrate (PPM)], AllData[Site Name], $B26, AllData[Season], "Spring", AllData[Year], "2025"), "")</f>
        <v>6.666666666666667</v>
      </c>
      <c r="BF26" s="27">
        <f t="shared" si="24"/>
        <v>8.1136738056013208E-2</v>
      </c>
      <c r="BG26" s="27">
        <f t="shared" si="25"/>
        <v>-4.7619047619047575E-2</v>
      </c>
      <c r="BH26" s="161">
        <f>IFERROR(AVERAGEIFS(AllData[Phosphate (PPM)], AllData[Site Name], $B26, AllData[Season], "Spring", AllData[Year], "2025"), "")</f>
        <v>0.43333333333333329</v>
      </c>
      <c r="BI26" s="27">
        <f t="shared" si="26"/>
        <v>-0.19566187746660002</v>
      </c>
      <c r="BJ26" s="27">
        <f t="shared" si="27"/>
        <v>0.26984126984126994</v>
      </c>
      <c r="BK26" s="165">
        <f>COUNTIFS(AllData[Site Name], Tables!$B26, AllData[Season], "Summer", AllData[Year], "2025")</f>
        <v>0</v>
      </c>
      <c r="BL26" s="160" t="str">
        <f>IFERROR(AVERAGEIFS(AllData[Nitrate (PPM)], AllData[Site Name], $B26, AllData[Season], "Summer", AllData[Year], "2025"), "")</f>
        <v/>
      </c>
      <c r="BM26" s="27" t="str">
        <f t="shared" si="28"/>
        <v/>
      </c>
      <c r="BN26" s="27" t="str">
        <f t="shared" si="29"/>
        <v/>
      </c>
      <c r="BO26" s="161" t="str">
        <f>IFERROR(AVERAGEIFS(AllData[Phosphate (PPM)], AllData[Site Name], $B26, AllData[Season], "Summer", AllData[Year], "2025"),"")</f>
        <v/>
      </c>
      <c r="BP26" s="27" t="str">
        <f t="shared" si="30"/>
        <v/>
      </c>
      <c r="BQ26" s="27" t="str">
        <f t="shared" si="31"/>
        <v/>
      </c>
      <c r="BR26" s="165">
        <f>COUNTIFS(AllData[Site Name], Tables!$B26, AllData[Season], "Autumn", AllData[Year], "2025")</f>
        <v>0</v>
      </c>
      <c r="BS26" s="160" t="str">
        <f>IFERROR(AVERAGEIFS(AllData[Nitrate (PPM)], AllData[Site Name], $B26, AllData[Season], "Autumn", AllData[Year], "2025"), "")</f>
        <v/>
      </c>
      <c r="BT26" s="27" t="str">
        <f t="shared" si="32"/>
        <v/>
      </c>
      <c r="BU26" s="27" t="str">
        <f t="shared" si="33"/>
        <v/>
      </c>
      <c r="BV26" s="161" t="str">
        <f>IFERROR(AVERAGEIFS(AllData[Phosphate (PPM)], AllData[Site Name], AD26, AllData[Season], "Autumn", AllData[Year], "2025"), "")</f>
        <v/>
      </c>
      <c r="BW26" s="27" t="str">
        <f t="shared" si="34"/>
        <v/>
      </c>
      <c r="BX26" s="28" t="str">
        <f t="shared" si="35"/>
        <v/>
      </c>
      <c r="BY26" s="165">
        <f>COUNTIFS(AllData[Site Name], Tables!$B26, AllData[Season], "Winter", AllData[Year], "2025")</f>
        <v>0</v>
      </c>
      <c r="BZ26" s="160" t="str">
        <f>IFERROR(AVERAGEIFS(AllData[Nitrate (PPM)], AllData[Site Name], $B26, AllData[Season], "Winter", AllData[Year], "2025"), "")</f>
        <v/>
      </c>
      <c r="CA26" s="27" t="str">
        <f t="shared" si="36"/>
        <v/>
      </c>
      <c r="CB26" s="27" t="str">
        <f t="shared" si="40"/>
        <v/>
      </c>
      <c r="CC26" s="161" t="str">
        <f>IFERROR(AVERAGEIFS(AllData[Phosphate (PPM)], AllData[Site Name], $B26, AllData[Season], "Winter", AllData[Year], "2025"), "")</f>
        <v/>
      </c>
      <c r="CD26" s="27" t="str">
        <f t="shared" si="38"/>
        <v/>
      </c>
      <c r="CE26" s="44" t="str">
        <f t="shared" si="41"/>
        <v/>
      </c>
    </row>
    <row r="27" spans="2:83" x14ac:dyDescent="0.35">
      <c r="B27" s="159" t="s">
        <v>3560</v>
      </c>
      <c r="C27" s="113">
        <f>IFERROR(AVERAGEIF(AllData[Site Name], Tables!B27, AllData[Latitude]), "Unknown")</f>
        <v>51.999974666666667</v>
      </c>
      <c r="D27" s="113">
        <f>IFERROR(AVERAGEIF(AllData[Site Name], Tables!B27, AllData[Longitude]), "Unknown")</f>
        <v>-2.141273</v>
      </c>
      <c r="E27" s="13" t="e" vm="4">
        <f>_xlfn.XLOOKUP(B27,LocationsKey[Site Name], LocationsKey[District])</f>
        <v>#VALUE!</v>
      </c>
      <c r="F27" s="13" t="e" vm="4">
        <f>_xlfn.XLOOKUP(B27,LocationsKey[Site Name], LocationsKey[Town])</f>
        <v>#VALUE!</v>
      </c>
      <c r="G27" s="25" t="str">
        <f>_xlfn.XLOOKUP(B27,LocationsKey[Site Name],LocationsKey[Waterway])</f>
        <v>Carrant</v>
      </c>
      <c r="H27" s="157">
        <f>COUNTIF(AllData[Site Name], Tables!B27)</f>
        <v>3</v>
      </c>
      <c r="I27" s="160">
        <f t="shared" si="0"/>
        <v>6.666666666666667</v>
      </c>
      <c r="J27" s="161">
        <f t="shared" si="1"/>
        <v>0.5066666666666666</v>
      </c>
      <c r="K27" s="27" cm="1">
        <f t="array" ref="K27">SUM(COUNTIFS(AllData[Site Name], B27, AllData[Nitrate Pollution Category], {"High","Very high"}))/COUNTIFS(AllData[Site Name], B27, AllData[Nitrate (PPM)], "&lt;&gt;0")</f>
        <v>1</v>
      </c>
      <c r="L27" s="27" cm="1">
        <f t="array" ref="L27">SUM(COUNTIFS(AllData[Site Name], B27, AllData[Phosphate Pollution Category], {"High","Very high"}))/COUNTIFS(AllData[Site Name], B27, AllData[Phosphate (PPM)], "&lt;&gt;0")</f>
        <v>1</v>
      </c>
      <c r="M27" s="157">
        <f t="shared" si="2"/>
        <v>36</v>
      </c>
      <c r="N27" s="157">
        <f t="shared" si="3"/>
        <v>48</v>
      </c>
      <c r="O27" s="26">
        <f>COUNTIFS(AllData[Site Name], Tables!$B27, AllData[Season], "Summer", AllData[Year], "2023")</f>
        <v>0</v>
      </c>
      <c r="P27" s="160" t="str">
        <f>IFERROR(AVERAGEIFS(AllData[Nitrate (PPM)], AllData[Site Name], $B27, AllData[Season], "Summer", AllData[Year], "2023"), "")</f>
        <v/>
      </c>
      <c r="Q27" s="27" t="str">
        <f t="shared" si="4"/>
        <v/>
      </c>
      <c r="R27" s="161" t="str">
        <f>IFERROR(AVERAGEIFS(AllData[Phosphate (PPM)], AllData[Site Name], $B27, AllData[Season], "Summer", AllData[Year], "2023"),"")</f>
        <v/>
      </c>
      <c r="S27" s="28" t="str">
        <f t="shared" si="5"/>
        <v/>
      </c>
      <c r="T27" s="26">
        <f>COUNTIFS(AllData[Site Name], Tables!$B27, AllData[Season], "Autumn", AllData[Year], "2023")</f>
        <v>0</v>
      </c>
      <c r="U27" s="160" t="str">
        <f>IFERROR(AVERAGEIFS(AllData[Nitrate (PPM)], AllData[Site Name], $B27, AllData[Season], "Autumn", AllData[Year], "2023"), "")</f>
        <v/>
      </c>
      <c r="V27" s="27" t="str">
        <f t="shared" si="6"/>
        <v/>
      </c>
      <c r="W27" s="161" t="str">
        <f>IFERROR(AVERAGEIFS(AllData[Phosphate (PPM)], AllData[Site Name], $B27, AllData[Season], "Autumn", AllData[Year], "2023"),"")</f>
        <v/>
      </c>
      <c r="X27" s="28" t="str">
        <f t="shared" si="7"/>
        <v/>
      </c>
      <c r="Y27" s="26">
        <f>COUNTIFS(AllData[Site Name], Tables!$B27, AllData[Season], "Winter", AllData[Year], "2023")</f>
        <v>0</v>
      </c>
      <c r="Z27" s="160" t="str">
        <f>IFERROR(AVERAGEIFS(AllData[Nitrate (PPM)], AllData[Site Name], $B27, AllData[Season], "Winter", AllData[Year], "2023"), "")</f>
        <v/>
      </c>
      <c r="AA27" s="27" t="str">
        <f t="shared" si="8"/>
        <v/>
      </c>
      <c r="AB27" s="161" t="str">
        <f>IFERROR(AVERAGEIFS(AllData[Phosphate (PPM)], AllData[Site Name], $B27, AllData[Season], "Winter", AllData[Year], "2023"),"")</f>
        <v/>
      </c>
      <c r="AC27" s="28" t="str">
        <f t="shared" si="9"/>
        <v/>
      </c>
      <c r="AD27" s="26">
        <f>COUNTIFS(AllData[Site Name], Tables!$B27, AllData[Season], "Spring", AllData[Year], "2024")</f>
        <v>0</v>
      </c>
      <c r="AE27" s="160" t="str">
        <f>IFERROR(AVERAGEIFS(AllData[Nitrate (PPM)], AllData[Site Name], $B27, AllData[Season], "Spring", AllData[Year], "2024"), "")</f>
        <v/>
      </c>
      <c r="AF27" s="27" t="str">
        <f t="shared" si="10"/>
        <v/>
      </c>
      <c r="AG27" s="161" t="str">
        <f>IFERROR(AVERAGEIFS(AllData[Phosphate (PPM)], AllData[Site Name], $B27, AllData[Season], "Spring", AllData[Year], "2024"),"")</f>
        <v/>
      </c>
      <c r="AH27" s="28" t="str">
        <f t="shared" si="11"/>
        <v/>
      </c>
      <c r="AI27" s="165">
        <f>COUNTIFS(AllData[Site Name], Tables!$B27, AllData[Season], "Summer", AllData[Year], "2024")</f>
        <v>3</v>
      </c>
      <c r="AJ27" s="160">
        <f>IFERROR(AVERAGEIFS(AllData[Nitrate (PPM)], AllData[Site Name], $B27, AllData[Season], "Summer", AllData[Year], "2024"), "")</f>
        <v>6.666666666666667</v>
      </c>
      <c r="AK27" s="27">
        <f t="shared" si="12"/>
        <v>0</v>
      </c>
      <c r="AL27" s="27" t="str">
        <f t="shared" si="13"/>
        <v/>
      </c>
      <c r="AM27" s="161">
        <f>IFERROR(AVERAGEIFS(AllData[Phosphate (PPM)], AllData[Site Name], $B27, AllData[Season], "Summer", AllData[Year], "2024"),"")</f>
        <v>0.5066666666666666</v>
      </c>
      <c r="AN27" s="27">
        <f t="shared" si="14"/>
        <v>0</v>
      </c>
      <c r="AO27" s="28" t="str">
        <f t="shared" si="15"/>
        <v/>
      </c>
      <c r="AP27" s="157">
        <f>COUNTIFS(AllData[Site Name], Tables!$B27, AllData[Season], "Autumn", AllData[Year], "2024")</f>
        <v>0</v>
      </c>
      <c r="AQ27" s="160" t="str">
        <f>IFERROR(AVERAGEIFS(AllData[Nitrate (PPM)], AllData[Site Name], $B27, AllData[Season], "Autumn", AllData[Year], "2024"), "")</f>
        <v/>
      </c>
      <c r="AR27" s="27" t="str">
        <f t="shared" si="16"/>
        <v/>
      </c>
      <c r="AS27" s="27" t="str">
        <f t="shared" si="17"/>
        <v/>
      </c>
      <c r="AT27" s="161" t="str">
        <f>IFERROR(AVERAGEIFS(AllData[Phosphate (PPM)], AllData[Site Name], B27, AllData[Season], "Autumn", AllData[Year], "2024"), "")</f>
        <v/>
      </c>
      <c r="AU27" s="27" t="str">
        <f t="shared" si="18"/>
        <v/>
      </c>
      <c r="AV27" s="28" t="str">
        <f t="shared" si="19"/>
        <v/>
      </c>
      <c r="AW27" s="165">
        <f>COUNTIFS(AllData[Site Name], Tables!$B27, AllData[Season], "Winter", AllData[Year], "2024")</f>
        <v>0</v>
      </c>
      <c r="AX27" s="160" t="str">
        <f>IFERROR(AVERAGEIFS(AllData[Nitrate (PPM)], AllData[Site Name], $B27, AllData[Season], "Winter", AllData[Year], "2024"), "")</f>
        <v/>
      </c>
      <c r="AY27" s="27" t="str">
        <f t="shared" si="20"/>
        <v/>
      </c>
      <c r="AZ27" s="27" t="str">
        <f t="shared" si="21"/>
        <v/>
      </c>
      <c r="BA27" s="161" t="str">
        <f>IFERROR(AVERAGEIFS(AllData[Phosphate (PPM)], AllData[Site Name], $B27, AllData[Season], "Winter", AllData[Year], "2024"), "")</f>
        <v/>
      </c>
      <c r="BB27" s="27" t="str">
        <f t="shared" si="22"/>
        <v/>
      </c>
      <c r="BC27" s="44" t="str">
        <f t="shared" si="23"/>
        <v/>
      </c>
      <c r="BD27" s="157">
        <f>COUNTIFS(AllData[Site Name], Tables!$B27, AllData[Season], "Spring", AllData[Year], "2025")</f>
        <v>0</v>
      </c>
      <c r="BE27" s="160" t="str">
        <f>IFERROR(AVERAGEIFS(AllData[Nitrate (PPM)], AllData[Site Name], $B27, AllData[Season], "Spring", AllData[Year], "2025"), "")</f>
        <v/>
      </c>
      <c r="BF27" s="27" t="str">
        <f t="shared" si="24"/>
        <v/>
      </c>
      <c r="BG27" s="27" t="str">
        <f t="shared" si="25"/>
        <v/>
      </c>
      <c r="BH27" s="161" t="str">
        <f>IFERROR(AVERAGEIFS(AllData[Phosphate (PPM)], AllData[Site Name], $B27, AllData[Season], "Spring", AllData[Year], "2025"), "")</f>
        <v/>
      </c>
      <c r="BI27" s="27" t="str">
        <f t="shared" si="26"/>
        <v/>
      </c>
      <c r="BJ27" s="27" t="str">
        <f t="shared" si="27"/>
        <v/>
      </c>
      <c r="BK27" s="165">
        <f>COUNTIFS(AllData[Site Name], Tables!$B27, AllData[Season], "Summer", AllData[Year], "2025")</f>
        <v>0</v>
      </c>
      <c r="BL27" s="160" t="str">
        <f>IFERROR(AVERAGEIFS(AllData[Nitrate (PPM)], AllData[Site Name], $B27, AllData[Season], "Summer", AllData[Year], "2025"), "")</f>
        <v/>
      </c>
      <c r="BM27" s="27" t="str">
        <f t="shared" si="28"/>
        <v/>
      </c>
      <c r="BN27" s="27" t="str">
        <f t="shared" si="29"/>
        <v/>
      </c>
      <c r="BO27" s="161" t="str">
        <f>IFERROR(AVERAGEIFS(AllData[Phosphate (PPM)], AllData[Site Name], $B27, AllData[Season], "Summer", AllData[Year], "2025"),"")</f>
        <v/>
      </c>
      <c r="BP27" s="27" t="str">
        <f t="shared" si="30"/>
        <v/>
      </c>
      <c r="BQ27" s="27" t="str">
        <f t="shared" si="31"/>
        <v/>
      </c>
      <c r="BR27" s="165">
        <f>COUNTIFS(AllData[Site Name], Tables!$B27, AllData[Season], "Autumn", AllData[Year], "2025")</f>
        <v>0</v>
      </c>
      <c r="BS27" s="160" t="str">
        <f>IFERROR(AVERAGEIFS(AllData[Nitrate (PPM)], AllData[Site Name], $B27, AllData[Season], "Autumn", AllData[Year], "2025"), "")</f>
        <v/>
      </c>
      <c r="BT27" s="27" t="str">
        <f t="shared" si="32"/>
        <v/>
      </c>
      <c r="BU27" s="27" t="str">
        <f t="shared" si="33"/>
        <v/>
      </c>
      <c r="BV27" s="161" t="str">
        <f>IFERROR(AVERAGEIFS(AllData[Phosphate (PPM)], AllData[Site Name], AD27, AllData[Season], "Autumn", AllData[Year], "2025"), "")</f>
        <v/>
      </c>
      <c r="BW27" s="27" t="str">
        <f t="shared" si="34"/>
        <v/>
      </c>
      <c r="BX27" s="28" t="str">
        <f t="shared" si="35"/>
        <v/>
      </c>
      <c r="BY27" s="165">
        <f>COUNTIFS(AllData[Site Name], Tables!$B27, AllData[Season], "Winter", AllData[Year], "2025")</f>
        <v>0</v>
      </c>
      <c r="BZ27" s="160" t="str">
        <f>IFERROR(AVERAGEIFS(AllData[Nitrate (PPM)], AllData[Site Name], $B27, AllData[Season], "Winter", AllData[Year], "2025"), "")</f>
        <v/>
      </c>
      <c r="CA27" s="27" t="str">
        <f t="shared" si="36"/>
        <v/>
      </c>
      <c r="CB27" s="27" t="str">
        <f t="shared" si="40"/>
        <v/>
      </c>
      <c r="CC27" s="161" t="str">
        <f>IFERROR(AVERAGEIFS(AllData[Phosphate (PPM)], AllData[Site Name], $B27, AllData[Season], "Winter", AllData[Year], "2025"), "")</f>
        <v/>
      </c>
      <c r="CD27" s="27" t="str">
        <f t="shared" si="38"/>
        <v/>
      </c>
      <c r="CE27" s="44" t="str">
        <f t="shared" si="41"/>
        <v/>
      </c>
    </row>
    <row r="28" spans="2:83" x14ac:dyDescent="0.35">
      <c r="B28" s="159" t="s">
        <v>1244</v>
      </c>
      <c r="C28" s="113">
        <v>52.048665</v>
      </c>
      <c r="D28" s="113">
        <v>-1.7862663333333331</v>
      </c>
      <c r="E28" s="13" t="e" vm="4">
        <f>_xlfn.XLOOKUP(B28,LocationsKey[Site Name], LocationsKey[District])</f>
        <v>#VALUE!</v>
      </c>
      <c r="F28" s="13" t="e" vm="4">
        <f>_xlfn.XLOOKUP(B28,LocationsKey[Site Name], LocationsKey[Town])</f>
        <v>#VALUE!</v>
      </c>
      <c r="G28" s="25" t="str">
        <f>_xlfn.XLOOKUP(B28,LocationsKey[Site Name],LocationsKey[Waterway])</f>
        <v>Carrant</v>
      </c>
      <c r="H28" s="157">
        <f>COUNTIF(AllData[Site Name], Tables!B28)</f>
        <v>37</v>
      </c>
      <c r="I28" s="160">
        <f t="shared" si="0"/>
        <v>4.9023809523809518</v>
      </c>
      <c r="J28" s="161">
        <f t="shared" si="1"/>
        <v>0.44463095238095229</v>
      </c>
      <c r="K28" s="27" cm="1">
        <f t="array" ref="K28">SUM(COUNTIFS(AllData[Site Name], B28, AllData[Nitrate Pollution Category], {"High","Very high"}))/COUNTIFS(AllData[Site Name], B28, AllData[Nitrate (PPM)], "&lt;&gt;0")</f>
        <v>1</v>
      </c>
      <c r="L28" s="27" cm="1">
        <f t="array" ref="L28">SUM(COUNTIFS(AllData[Site Name], B28, AllData[Phosphate Pollution Category], {"High","Very high"}))/COUNTIFS(AllData[Site Name], B28, AllData[Phosphate (PPM)], "&lt;&gt;0")</f>
        <v>1</v>
      </c>
      <c r="M28" s="157">
        <f t="shared" si="2"/>
        <v>59</v>
      </c>
      <c r="N28" s="157">
        <f t="shared" si="3"/>
        <v>60</v>
      </c>
      <c r="O28" s="26">
        <f>COUNTIFS(AllData[Site Name], Tables!$B28, AllData[Season], "Summer", AllData[Year], "2023")</f>
        <v>0</v>
      </c>
      <c r="P28" s="160" t="str">
        <f>IFERROR(AVERAGEIFS(AllData[Nitrate (PPM)], AllData[Site Name], $B28, AllData[Season], "Summer", AllData[Year], "2023"), "")</f>
        <v/>
      </c>
      <c r="Q28" s="27" t="str">
        <f t="shared" si="4"/>
        <v/>
      </c>
      <c r="R28" s="161" t="str">
        <f>IFERROR(AVERAGEIFS(AllData[Phosphate (PPM)], AllData[Site Name], $B28, AllData[Season], "Summer", AllData[Year], "2023"),"")</f>
        <v/>
      </c>
      <c r="S28" s="28" t="str">
        <f t="shared" si="5"/>
        <v/>
      </c>
      <c r="T28" s="26">
        <f>COUNTIFS(AllData[Site Name], Tables!$B28, AllData[Season], "Autumn", AllData[Year], "2023")</f>
        <v>0</v>
      </c>
      <c r="U28" s="160" t="str">
        <f>IFERROR(AVERAGEIFS(AllData[Nitrate (PPM)], AllData[Site Name], $B28, AllData[Season], "Autumn", AllData[Year], "2023"), "")</f>
        <v/>
      </c>
      <c r="V28" s="27" t="str">
        <f t="shared" si="6"/>
        <v/>
      </c>
      <c r="W28" s="161" t="str">
        <f>IFERROR(AVERAGEIFS(AllData[Phosphate (PPM)], AllData[Site Name], $B28, AllData[Season], "Autumn", AllData[Year], "2023"),"")</f>
        <v/>
      </c>
      <c r="X28" s="28" t="str">
        <f t="shared" si="7"/>
        <v/>
      </c>
      <c r="Y28" s="26">
        <f>COUNTIFS(AllData[Site Name], Tables!$B28, AllData[Season], "Winter", AllData[Year], "2023")</f>
        <v>0</v>
      </c>
      <c r="Z28" s="160" t="str">
        <f>IFERROR(AVERAGEIFS(AllData[Nitrate (PPM)], AllData[Site Name], $B28, AllData[Season], "Winter", AllData[Year], "2023"), "")</f>
        <v/>
      </c>
      <c r="AA28" s="27" t="str">
        <f t="shared" si="8"/>
        <v/>
      </c>
      <c r="AB28" s="161" t="str">
        <f>IFERROR(AVERAGEIFS(AllData[Phosphate (PPM)], AllData[Site Name], $B28, AllData[Season], "Winter", AllData[Year], "2023"),"")</f>
        <v/>
      </c>
      <c r="AC28" s="28" t="str">
        <f t="shared" si="9"/>
        <v/>
      </c>
      <c r="AD28" s="26">
        <f>COUNTIFS(AllData[Site Name], Tables!$B28, AllData[Season], "Spring", AllData[Year], "2024")</f>
        <v>8</v>
      </c>
      <c r="AE28" s="160">
        <f>IFERROR(AVERAGEIFS(AllData[Nitrate (PPM)], AllData[Site Name], $B28, AllData[Season], "Spring", AllData[Year], "2024"), "")</f>
        <v>7.25</v>
      </c>
      <c r="AF28" s="27">
        <f t="shared" si="10"/>
        <v>0.47887323943661986</v>
      </c>
      <c r="AG28" s="161">
        <f>IFERROR(AVERAGEIFS(AllData[Phosphate (PPM)], AllData[Site Name], $B28, AllData[Season], "Spring", AllData[Year], "2024"),"")</f>
        <v>0.45374999999999999</v>
      </c>
      <c r="AH28" s="28">
        <f t="shared" si="11"/>
        <v>2.0509250582345078E-2</v>
      </c>
      <c r="AI28" s="165">
        <f>COUNTIFS(AllData[Site Name], Tables!$B28, AllData[Season], "Summer", AllData[Year], "2024")</f>
        <v>8</v>
      </c>
      <c r="AJ28" s="160">
        <f>IFERROR(AVERAGEIFS(AllData[Nitrate (PPM)], AllData[Site Name], $B28, AllData[Season], "Summer", AllData[Year], "2024"), "")</f>
        <v>5.5</v>
      </c>
      <c r="AK28" s="27">
        <f t="shared" si="12"/>
        <v>0.12190383681398749</v>
      </c>
      <c r="AL28" s="27" t="str">
        <f t="shared" si="13"/>
        <v/>
      </c>
      <c r="AM28" s="161">
        <f>IFERROR(AVERAGEIFS(AllData[Phosphate (PPM)], AllData[Site Name], $B28, AllData[Season], "Summer", AllData[Year], "2024"),"")</f>
        <v>0.43500000000000005</v>
      </c>
      <c r="AN28" s="27">
        <f t="shared" si="14"/>
        <v>-2.1660553160726882E-2</v>
      </c>
      <c r="AO28" s="28" t="str">
        <f t="shared" si="15"/>
        <v/>
      </c>
      <c r="AP28" s="157">
        <f>COUNTIFS(AllData[Site Name], Tables!$B28, AllData[Season], "Autumn", AllData[Year], "2024")</f>
        <v>14</v>
      </c>
      <c r="AQ28" s="160">
        <f>IFERROR(AVERAGEIFS(AllData[Nitrate (PPM)], AllData[Site Name], $B28, AllData[Season], "Autumn", AllData[Year], "2024"), "")</f>
        <v>3.9285714285714284</v>
      </c>
      <c r="AR28" s="27">
        <f t="shared" si="16"/>
        <v>-0.19864011656143754</v>
      </c>
      <c r="AS28" s="27" t="str">
        <f t="shared" si="17"/>
        <v/>
      </c>
      <c r="AT28" s="161">
        <f>IFERROR(AVERAGEIFS(AllData[Phosphate (PPM)], AllData[Site Name], B28, AllData[Season], "Autumn", AllData[Year], "2024"), "")</f>
        <v>0.52857142857142858</v>
      </c>
      <c r="AU28" s="27">
        <f t="shared" si="18"/>
        <v>0.18878684837612814</v>
      </c>
      <c r="AV28" s="28" t="str">
        <f t="shared" si="19"/>
        <v/>
      </c>
      <c r="AW28" s="165">
        <f>COUNTIFS(AllData[Site Name], Tables!$B28, AllData[Season], "Winter", AllData[Year], "2024")</f>
        <v>4</v>
      </c>
      <c r="AX28" s="160">
        <f>IFERROR(AVERAGEIFS(AllData[Nitrate (PPM)], AllData[Site Name], $B28, AllData[Season], "Winter", AllData[Year], "2024"), "")</f>
        <v>2.5</v>
      </c>
      <c r="AY28" s="27">
        <f t="shared" si="20"/>
        <v>-0.49004371053909657</v>
      </c>
      <c r="AZ28" s="27" t="str">
        <f t="shared" si="21"/>
        <v/>
      </c>
      <c r="BA28" s="161">
        <f>IFERROR(AVERAGEIFS(AllData[Phosphate (PPM)], AllData[Site Name], $B28, AllData[Season], "Winter", AllData[Year], "2024"), "")</f>
        <v>0.44249999999999995</v>
      </c>
      <c r="BB28" s="27">
        <f t="shared" si="22"/>
        <v>-4.7926316634982723E-3</v>
      </c>
      <c r="BC28" s="44" t="str">
        <f t="shared" si="23"/>
        <v/>
      </c>
      <c r="BD28" s="157">
        <f>COUNTIFS(AllData[Site Name], Tables!$B28, AllData[Season], "Spring", AllData[Year], "2025")</f>
        <v>3</v>
      </c>
      <c r="BE28" s="160">
        <f>IFERROR(AVERAGEIFS(AllData[Nitrate (PPM)], AllData[Site Name], $B28, AllData[Season], "Spring", AllData[Year], "2025"), "")</f>
        <v>5.333333333333333</v>
      </c>
      <c r="BF28" s="27">
        <f t="shared" si="24"/>
        <v>8.7906750849927204E-2</v>
      </c>
      <c r="BG28" s="27">
        <f t="shared" si="25"/>
        <v>-0.26436781609195409</v>
      </c>
      <c r="BH28" s="161">
        <f>IFERROR(AVERAGEIFS(AllData[Phosphate (PPM)], AllData[Site Name], $B28, AllData[Season], "Spring", AllData[Year], "2025"), "")</f>
        <v>0.36333333333333329</v>
      </c>
      <c r="BI28" s="27">
        <f t="shared" si="26"/>
        <v>-0.18284291413424719</v>
      </c>
      <c r="BJ28" s="27">
        <f t="shared" si="27"/>
        <v>-0.19926538108356298</v>
      </c>
      <c r="BK28" s="165">
        <f>COUNTIFS(AllData[Site Name], Tables!$B28, AllData[Season], "Summer", AllData[Year], "2025")</f>
        <v>0</v>
      </c>
      <c r="BL28" s="160" t="str">
        <f>IFERROR(AVERAGEIFS(AllData[Nitrate (PPM)], AllData[Site Name], $B28, AllData[Season], "Summer", AllData[Year], "2025"), "")</f>
        <v/>
      </c>
      <c r="BM28" s="27" t="str">
        <f t="shared" si="28"/>
        <v/>
      </c>
      <c r="BN28" s="27" t="str">
        <f t="shared" si="29"/>
        <v/>
      </c>
      <c r="BO28" s="161" t="str">
        <f>IFERROR(AVERAGEIFS(AllData[Phosphate (PPM)], AllData[Site Name], $B28, AllData[Season], "Summer", AllData[Year], "2025"),"")</f>
        <v/>
      </c>
      <c r="BP28" s="27" t="str">
        <f t="shared" si="30"/>
        <v/>
      </c>
      <c r="BQ28" s="27" t="str">
        <f t="shared" si="31"/>
        <v/>
      </c>
      <c r="BR28" s="165">
        <f>COUNTIFS(AllData[Site Name], Tables!$B28, AllData[Season], "Autumn", AllData[Year], "2025")</f>
        <v>0</v>
      </c>
      <c r="BS28" s="160" t="str">
        <f>IFERROR(AVERAGEIFS(AllData[Nitrate (PPM)], AllData[Site Name], $B28, AllData[Season], "Autumn", AllData[Year], "2025"), "")</f>
        <v/>
      </c>
      <c r="BT28" s="27" t="str">
        <f t="shared" si="32"/>
        <v/>
      </c>
      <c r="BU28" s="27" t="str">
        <f t="shared" si="33"/>
        <v/>
      </c>
      <c r="BV28" s="161" t="str">
        <f>IFERROR(AVERAGEIFS(AllData[Phosphate (PPM)], AllData[Site Name], AD28, AllData[Season], "Autumn", AllData[Year], "2025"), "")</f>
        <v/>
      </c>
      <c r="BW28" s="27" t="str">
        <f t="shared" si="34"/>
        <v/>
      </c>
      <c r="BX28" s="28" t="str">
        <f t="shared" si="35"/>
        <v/>
      </c>
      <c r="BY28" s="165">
        <f>COUNTIFS(AllData[Site Name], Tables!$B28, AllData[Season], "Winter", AllData[Year], "2025")</f>
        <v>0</v>
      </c>
      <c r="BZ28" s="160" t="str">
        <f>IFERROR(AVERAGEIFS(AllData[Nitrate (PPM)], AllData[Site Name], $B28, AllData[Season], "Winter", AllData[Year], "2025"), "")</f>
        <v/>
      </c>
      <c r="CA28" s="27" t="str">
        <f t="shared" si="36"/>
        <v/>
      </c>
      <c r="CB28" s="27" t="str">
        <f t="shared" si="40"/>
        <v/>
      </c>
      <c r="CC28" s="161" t="str">
        <f>IFERROR(AVERAGEIFS(AllData[Phosphate (PPM)], AllData[Site Name], $B28, AllData[Season], "Winter", AllData[Year], "2025"), "")</f>
        <v/>
      </c>
      <c r="CD28" s="27" t="str">
        <f t="shared" si="38"/>
        <v/>
      </c>
      <c r="CE28" s="44" t="str">
        <f t="shared" si="41"/>
        <v/>
      </c>
    </row>
    <row r="29" spans="2:83" x14ac:dyDescent="0.35">
      <c r="B29" s="159" t="s">
        <v>2250</v>
      </c>
      <c r="C29" s="113">
        <f>IFERROR(AVERAGEIF(AllData[Site Name], Tables!B29, AllData[Latitude]), "Unknown")</f>
        <v>52.198878750000006</v>
      </c>
      <c r="D29" s="113">
        <f>IFERROR(AVERAGEIF(AllData[Site Name], Tables!B29, AllData[Longitude]), "Unknown")</f>
        <v>-1.6653499999999999</v>
      </c>
      <c r="E29" s="13" t="e" vm="1">
        <f>_xlfn.XLOOKUP(B29,LocationsKey[Site Name], LocationsKey[District])</f>
        <v>#VALUE!</v>
      </c>
      <c r="F29" s="13" t="e" vm="3">
        <f>_xlfn.XLOOKUP(B29,LocationsKey[Site Name], LocationsKey[Town])</f>
        <v>#VALUE!</v>
      </c>
      <c r="G29" s="25" t="str">
        <f>_xlfn.XLOOKUP(B29,LocationsKey[Site Name],LocationsKey[Waterway])</f>
        <v>Avon</v>
      </c>
      <c r="H29" s="157">
        <f>COUNTIF(AllData[Site Name], Tables!B29)</f>
        <v>24</v>
      </c>
      <c r="I29" s="160">
        <f t="shared" si="0"/>
        <v>8.9206349206349209</v>
      </c>
      <c r="J29" s="161">
        <f t="shared" si="1"/>
        <v>0.48361904761904762</v>
      </c>
      <c r="K29" s="27" cm="1">
        <f t="array" ref="K29">SUM(COUNTIFS(AllData[Site Name], B29, AllData[Nitrate Pollution Category], {"High","Very high"}))/COUNTIFS(AllData[Site Name], B29, AllData[Nitrate (PPM)], "&lt;&gt;0")</f>
        <v>1</v>
      </c>
      <c r="L29" s="27" cm="1">
        <f t="array" ref="L29">SUM(COUNTIFS(AllData[Site Name], B29, AllData[Phosphate Pollution Category], {"High","Very high"}))/COUNTIFS(AllData[Site Name], B29, AllData[Phosphate (PPM)], "&lt;&gt;0")</f>
        <v>0.95833333333333337</v>
      </c>
      <c r="M29" s="157">
        <f t="shared" si="2"/>
        <v>12</v>
      </c>
      <c r="N29" s="157">
        <f t="shared" si="3"/>
        <v>53</v>
      </c>
      <c r="O29" s="26">
        <f>COUNTIFS(AllData[Site Name], Tables!$B29, AllData[Season], "Summer", AllData[Year], "2023")</f>
        <v>0</v>
      </c>
      <c r="P29" s="160" t="str">
        <f>IFERROR(AVERAGEIFS(AllData[Nitrate (PPM)], AllData[Site Name], $B29, AllData[Season], "Summer", AllData[Year], "2023"), "")</f>
        <v/>
      </c>
      <c r="Q29" s="27" t="str">
        <f t="shared" si="4"/>
        <v/>
      </c>
      <c r="R29" s="161" t="str">
        <f>IFERROR(AVERAGEIFS(AllData[Phosphate (PPM)], AllData[Site Name], $B29, AllData[Season], "Summer", AllData[Year], "2023"),"")</f>
        <v/>
      </c>
      <c r="S29" s="28" t="str">
        <f t="shared" si="5"/>
        <v/>
      </c>
      <c r="T29" s="26">
        <f>COUNTIFS(AllData[Site Name], Tables!$B29, AllData[Season], "Autumn", AllData[Year], "2023")</f>
        <v>0</v>
      </c>
      <c r="U29" s="160" t="str">
        <f>IFERROR(AVERAGEIFS(AllData[Nitrate (PPM)], AllData[Site Name], $B29, AllData[Season], "Autumn", AllData[Year], "2023"), "")</f>
        <v/>
      </c>
      <c r="V29" s="27" t="str">
        <f t="shared" si="6"/>
        <v/>
      </c>
      <c r="W29" s="161" t="str">
        <f>IFERROR(AVERAGEIFS(AllData[Phosphate (PPM)], AllData[Site Name], $B29, AllData[Season], "Autumn", AllData[Year], "2023"),"")</f>
        <v/>
      </c>
      <c r="X29" s="28" t="str">
        <f t="shared" si="7"/>
        <v/>
      </c>
      <c r="Y29" s="26">
        <f>COUNTIFS(AllData[Site Name], Tables!$B29, AllData[Season], "Winter", AllData[Year], "2023")</f>
        <v>0</v>
      </c>
      <c r="Z29" s="160" t="str">
        <f>IFERROR(AVERAGEIFS(AllData[Nitrate (PPM)], AllData[Site Name], $B29, AllData[Season], "Winter", AllData[Year], "2023"), "")</f>
        <v/>
      </c>
      <c r="AA29" s="27" t="str">
        <f t="shared" si="8"/>
        <v/>
      </c>
      <c r="AB29" s="161" t="str">
        <f>IFERROR(AVERAGEIFS(AllData[Phosphate (PPM)], AllData[Site Name], $B29, AllData[Season], "Winter", AllData[Year], "2023"),"")</f>
        <v/>
      </c>
      <c r="AC29" s="28" t="str">
        <f t="shared" si="9"/>
        <v/>
      </c>
      <c r="AD29" s="26">
        <f>COUNTIFS(AllData[Site Name], Tables!$B29, AllData[Season], "Spring", AllData[Year], "2024")</f>
        <v>0</v>
      </c>
      <c r="AE29" s="160" t="str">
        <f>IFERROR(AVERAGEIFS(AllData[Nitrate (PPM)], AllData[Site Name], $B29, AllData[Season], "Spring", AllData[Year], "2024"), "")</f>
        <v/>
      </c>
      <c r="AF29" s="27" t="str">
        <f t="shared" si="10"/>
        <v/>
      </c>
      <c r="AG29" s="161" t="str">
        <f>IFERROR(AVERAGEIFS(AllData[Phosphate (PPM)], AllData[Site Name], $B29, AllData[Season], "Spring", AllData[Year], "2024"),"")</f>
        <v/>
      </c>
      <c r="AH29" s="28" t="str">
        <f t="shared" si="11"/>
        <v/>
      </c>
      <c r="AI29" s="165">
        <f>COUNTIFS(AllData[Site Name], Tables!$B29, AllData[Season], "Summer", AllData[Year], "2024")</f>
        <v>0</v>
      </c>
      <c r="AJ29" s="160" t="str">
        <f>IFERROR(AVERAGEIFS(AllData[Nitrate (PPM)], AllData[Site Name], $B29, AllData[Season], "Summer", AllData[Year], "2024"), "")</f>
        <v/>
      </c>
      <c r="AK29" s="27" t="str">
        <f t="shared" si="12"/>
        <v/>
      </c>
      <c r="AL29" s="27" t="str">
        <f t="shared" si="13"/>
        <v/>
      </c>
      <c r="AM29" s="161" t="str">
        <f>IFERROR(AVERAGEIFS(AllData[Phosphate (PPM)], AllData[Site Name], $B29, AllData[Season], "Summer", AllData[Year], "2024"),"")</f>
        <v/>
      </c>
      <c r="AN29" s="27" t="str">
        <f t="shared" si="14"/>
        <v/>
      </c>
      <c r="AO29" s="28" t="str">
        <f t="shared" si="15"/>
        <v/>
      </c>
      <c r="AP29" s="157">
        <f>COUNTIFS(AllData[Site Name], Tables!$B29, AllData[Season], "Autumn", AllData[Year], "2024")</f>
        <v>7</v>
      </c>
      <c r="AQ29" s="160">
        <f>IFERROR(AVERAGEIFS(AllData[Nitrate (PPM)], AllData[Site Name], $B29, AllData[Season], "Autumn", AllData[Year], "2024"), "")</f>
        <v>11.428571428571429</v>
      </c>
      <c r="AR29" s="27">
        <f t="shared" si="16"/>
        <v>0.28113879003558717</v>
      </c>
      <c r="AS29" s="27" t="str">
        <f t="shared" si="17"/>
        <v/>
      </c>
      <c r="AT29" s="161">
        <f>IFERROR(AVERAGEIFS(AllData[Phosphate (PPM)], AllData[Site Name], B29, AllData[Season], "Autumn", AllData[Year], "2024"), "")</f>
        <v>0.67285714285714271</v>
      </c>
      <c r="AU29" s="27">
        <f t="shared" si="18"/>
        <v>0.39129578574241797</v>
      </c>
      <c r="AV29" s="28" t="str">
        <f t="shared" si="19"/>
        <v/>
      </c>
      <c r="AW29" s="165">
        <f>COUNTIFS(AllData[Site Name], Tables!$B29, AllData[Season], "Winter", AllData[Year], "2024")</f>
        <v>12</v>
      </c>
      <c r="AX29" s="160">
        <f>IFERROR(AVERAGEIFS(AllData[Nitrate (PPM)], AllData[Site Name], $B29, AllData[Season], "Winter", AllData[Year], "2024"), "")</f>
        <v>7.333333333333333</v>
      </c>
      <c r="AY29" s="27">
        <f t="shared" si="20"/>
        <v>-0.17793594306049829</v>
      </c>
      <c r="AZ29" s="27" t="str">
        <f t="shared" si="21"/>
        <v/>
      </c>
      <c r="BA29" s="161">
        <f>IFERROR(AVERAGEIFS(AllData[Phosphate (PPM)], AllData[Site Name], $B29, AllData[Season], "Winter", AllData[Year], "2024"), "")</f>
        <v>0.47000000000000003</v>
      </c>
      <c r="BB29" s="27">
        <f t="shared" si="22"/>
        <v>-2.8160693186293748E-2</v>
      </c>
      <c r="BC29" s="44" t="str">
        <f t="shared" si="23"/>
        <v/>
      </c>
      <c r="BD29" s="157">
        <f>COUNTIFS(AllData[Site Name], Tables!$B29, AllData[Season], "Spring", AllData[Year], "2025")</f>
        <v>5</v>
      </c>
      <c r="BE29" s="160">
        <f>IFERROR(AVERAGEIFS(AllData[Nitrate (PPM)], AllData[Site Name], $B29, AllData[Season], "Spring", AllData[Year], "2025"), "")</f>
        <v>8</v>
      </c>
      <c r="BF29" s="27">
        <f t="shared" si="24"/>
        <v>-0.103202846975089</v>
      </c>
      <c r="BG29" s="27" t="str">
        <f t="shared" si="25"/>
        <v/>
      </c>
      <c r="BH29" s="161">
        <f>IFERROR(AVERAGEIFS(AllData[Phosphate (PPM)], AllData[Site Name], $B29, AllData[Season], "Spring", AllData[Year], "2025"), "")</f>
        <v>0.308</v>
      </c>
      <c r="BI29" s="27">
        <f t="shared" si="26"/>
        <v>-0.36313509255612447</v>
      </c>
      <c r="BJ29" s="27" t="str">
        <f t="shared" si="27"/>
        <v/>
      </c>
      <c r="BK29" s="165">
        <f>COUNTIFS(AllData[Site Name], Tables!$B29, AllData[Season], "Summer", AllData[Year], "2025")</f>
        <v>0</v>
      </c>
      <c r="BL29" s="160" t="str">
        <f>IFERROR(AVERAGEIFS(AllData[Nitrate (PPM)], AllData[Site Name], $B29, AllData[Season], "Summer", AllData[Year], "2025"), "")</f>
        <v/>
      </c>
      <c r="BM29" s="27" t="str">
        <f t="shared" si="28"/>
        <v/>
      </c>
      <c r="BN29" s="27" t="str">
        <f t="shared" si="29"/>
        <v/>
      </c>
      <c r="BO29" s="161" t="str">
        <f>IFERROR(AVERAGEIFS(AllData[Phosphate (PPM)], AllData[Site Name], $B29, AllData[Season], "Summer", AllData[Year], "2025"),"")</f>
        <v/>
      </c>
      <c r="BP29" s="27" t="str">
        <f t="shared" si="30"/>
        <v/>
      </c>
      <c r="BQ29" s="27" t="str">
        <f t="shared" si="31"/>
        <v/>
      </c>
      <c r="BR29" s="165">
        <f>COUNTIFS(AllData[Site Name], Tables!$B29, AllData[Season], "Autumn", AllData[Year], "2025")</f>
        <v>0</v>
      </c>
      <c r="BS29" s="160" t="str">
        <f>IFERROR(AVERAGEIFS(AllData[Nitrate (PPM)], AllData[Site Name], $B29, AllData[Season], "Autumn", AllData[Year], "2025"), "")</f>
        <v/>
      </c>
      <c r="BT29" s="27" t="str">
        <f t="shared" si="32"/>
        <v/>
      </c>
      <c r="BU29" s="27" t="str">
        <f t="shared" si="33"/>
        <v/>
      </c>
      <c r="BV29" s="161" t="str">
        <f>IFERROR(AVERAGEIFS(AllData[Phosphate (PPM)], AllData[Site Name], AD29, AllData[Season], "Autumn", AllData[Year], "2025"), "")</f>
        <v/>
      </c>
      <c r="BW29" s="27" t="str">
        <f t="shared" si="34"/>
        <v/>
      </c>
      <c r="BX29" s="28" t="str">
        <f t="shared" si="35"/>
        <v/>
      </c>
      <c r="BY29" s="165">
        <f>COUNTIFS(AllData[Site Name], Tables!$B29, AllData[Season], "Winter", AllData[Year], "2025")</f>
        <v>0</v>
      </c>
      <c r="BZ29" s="160" t="str">
        <f>IFERROR(AVERAGEIFS(AllData[Nitrate (PPM)], AllData[Site Name], $B29, AllData[Season], "Winter", AllData[Year], "2025"), "")</f>
        <v/>
      </c>
      <c r="CA29" s="27" t="str">
        <f t="shared" si="36"/>
        <v/>
      </c>
      <c r="CB29" s="27" t="str">
        <f t="shared" si="40"/>
        <v/>
      </c>
      <c r="CC29" s="161" t="str">
        <f>IFERROR(AVERAGEIFS(AllData[Phosphate (PPM)], AllData[Site Name], $B29, AllData[Season], "Winter", AllData[Year], "2025"), "")</f>
        <v/>
      </c>
      <c r="CD29" s="27" t="str">
        <f t="shared" si="38"/>
        <v/>
      </c>
      <c r="CE29" s="44" t="str">
        <f t="shared" si="41"/>
        <v/>
      </c>
    </row>
    <row r="30" spans="2:83" x14ac:dyDescent="0.35">
      <c r="B30" s="159" t="s">
        <v>2358</v>
      </c>
      <c r="C30" s="113">
        <f>IFERROR(AVERAGEIF(AllData[Site Name], Tables!B30, AllData[Latitude]), "Unknown")</f>
        <v>52.047342199999981</v>
      </c>
      <c r="D30" s="113">
        <f>IFERROR(AVERAGEIF(AllData[Site Name], Tables!B30, AllData[Longitude]), "Unknown")</f>
        <v>-1.7964858000000001</v>
      </c>
      <c r="E30" s="13" t="e" vm="9">
        <f>_xlfn.XLOOKUP(B30,LocationsKey[Site Name], LocationsKey[District])</f>
        <v>#VALUE!</v>
      </c>
      <c r="F30" s="13" t="e" vm="10">
        <f>_xlfn.XLOOKUP(B30,LocationsKey[Site Name], LocationsKey[Town])</f>
        <v>#VALUE!</v>
      </c>
      <c r="G30" s="25" t="str">
        <f>_xlfn.XLOOKUP(B30,LocationsKey[Site Name],LocationsKey[Waterway])</f>
        <v>Cam Brook</v>
      </c>
      <c r="H30" s="157">
        <f>COUNTIF(AllData[Site Name], Tables!B30)</f>
        <v>37</v>
      </c>
      <c r="I30" s="160">
        <f t="shared" si="0"/>
        <v>3.9963873626373623</v>
      </c>
      <c r="J30" s="161">
        <f t="shared" si="1"/>
        <v>0.48377976190476185</v>
      </c>
      <c r="K30" s="27" cm="1">
        <f t="array" ref="K30">SUM(COUNTIFS(AllData[Site Name], B30, AllData[Nitrate Pollution Category], {"High","Very high"}))/COUNTIFS(AllData[Site Name], B30, AllData[Nitrate (PPM)], "&lt;&gt;0")</f>
        <v>0.97297297297297303</v>
      </c>
      <c r="L30" s="27" cm="1">
        <f t="array" ref="L30">SUM(COUNTIFS(AllData[Site Name], B30, AllData[Phosphate Pollution Category], {"High","Very high"}))/COUNTIFS(AllData[Site Name], B30, AllData[Phosphate (PPM)], "&lt;&gt;0")</f>
        <v>0.61111111111111116</v>
      </c>
      <c r="M30" s="157">
        <f t="shared" si="2"/>
        <v>67</v>
      </c>
      <c r="N30" s="157">
        <f t="shared" si="3"/>
        <v>52</v>
      </c>
      <c r="O30" s="26">
        <f>COUNTIFS(AllData[Site Name], Tables!$B30, AllData[Season], "Summer", AllData[Year], "2023")</f>
        <v>0</v>
      </c>
      <c r="P30" s="160" t="str">
        <f>IFERROR(AVERAGEIFS(AllData[Nitrate (PPM)], AllData[Site Name], $B30, AllData[Season], "Summer", AllData[Year], "2023"), "")</f>
        <v/>
      </c>
      <c r="Q30" s="27" t="str">
        <f t="shared" si="4"/>
        <v/>
      </c>
      <c r="R30" s="161" t="str">
        <f>IFERROR(AVERAGEIFS(AllData[Phosphate (PPM)], AllData[Site Name], $B30, AllData[Season], "Summer", AllData[Year], "2023"),"")</f>
        <v/>
      </c>
      <c r="S30" s="28" t="str">
        <f t="shared" si="5"/>
        <v/>
      </c>
      <c r="T30" s="26">
        <f>COUNTIFS(AllData[Site Name], Tables!$B30, AllData[Season], "Autumn", AllData[Year], "2023")</f>
        <v>0</v>
      </c>
      <c r="U30" s="160" t="str">
        <f>IFERROR(AVERAGEIFS(AllData[Nitrate (PPM)], AllData[Site Name], $B30, AllData[Season], "Autumn", AllData[Year], "2023"), "")</f>
        <v/>
      </c>
      <c r="V30" s="27" t="str">
        <f t="shared" si="6"/>
        <v/>
      </c>
      <c r="W30" s="161" t="str">
        <f>IFERROR(AVERAGEIFS(AllData[Phosphate (PPM)], AllData[Site Name], $B30, AllData[Season], "Autumn", AllData[Year], "2023"),"")</f>
        <v/>
      </c>
      <c r="X30" s="28" t="str">
        <f t="shared" si="7"/>
        <v/>
      </c>
      <c r="Y30" s="26">
        <f>COUNTIFS(AllData[Site Name], Tables!$B30, AllData[Season], "Winter", AllData[Year], "2023")</f>
        <v>0</v>
      </c>
      <c r="Z30" s="160" t="str">
        <f>IFERROR(AVERAGEIFS(AllData[Nitrate (PPM)], AllData[Site Name], $B30, AllData[Season], "Winter", AllData[Year], "2023"), "")</f>
        <v/>
      </c>
      <c r="AA30" s="27" t="str">
        <f t="shared" si="8"/>
        <v/>
      </c>
      <c r="AB30" s="161" t="str">
        <f>IFERROR(AVERAGEIFS(AllData[Phosphate (PPM)], AllData[Site Name], $B30, AllData[Season], "Winter", AllData[Year], "2023"),"")</f>
        <v/>
      </c>
      <c r="AC30" s="28" t="str">
        <f t="shared" si="9"/>
        <v/>
      </c>
      <c r="AD30" s="26">
        <f>COUNTIFS(AllData[Site Name], Tables!$B30, AllData[Season], "Spring", AllData[Year], "2024")</f>
        <v>0</v>
      </c>
      <c r="AE30" s="160" t="str">
        <f>IFERROR(AVERAGEIFS(AllData[Nitrate (PPM)], AllData[Site Name], $B30, AllData[Season], "Spring", AllData[Year], "2024"), "")</f>
        <v/>
      </c>
      <c r="AF30" s="27" t="str">
        <f t="shared" si="10"/>
        <v/>
      </c>
      <c r="AG30" s="161" t="str">
        <f>IFERROR(AVERAGEIFS(AllData[Phosphate (PPM)], AllData[Site Name], $B30, AllData[Season], "Spring", AllData[Year], "2024"),"")</f>
        <v/>
      </c>
      <c r="AH30" s="28" t="str">
        <f t="shared" si="11"/>
        <v/>
      </c>
      <c r="AI30" s="165">
        <f>COUNTIFS(AllData[Site Name], Tables!$B30, AllData[Season], "Summer", AllData[Year], "2024")</f>
        <v>5</v>
      </c>
      <c r="AJ30" s="160">
        <f>IFERROR(AVERAGEIFS(AllData[Nitrate (PPM)], AllData[Site Name], $B30, AllData[Season], "Summer", AllData[Year], "2024"), "")</f>
        <v>3.2</v>
      </c>
      <c r="AK30" s="27">
        <f t="shared" si="12"/>
        <v>-0.19927681938014061</v>
      </c>
      <c r="AL30" s="27" t="str">
        <f t="shared" si="13"/>
        <v/>
      </c>
      <c r="AM30" s="161">
        <f>IFERROR(AVERAGEIFS(AllData[Phosphate (PPM)], AllData[Site Name], $B30, AllData[Season], "Summer", AllData[Year], "2024"),"")</f>
        <v>0.9</v>
      </c>
      <c r="AN30" s="27">
        <f t="shared" si="14"/>
        <v>0.86035066133497407</v>
      </c>
      <c r="AO30" s="28" t="str">
        <f t="shared" si="15"/>
        <v/>
      </c>
      <c r="AP30" s="157">
        <f>COUNTIFS(AllData[Site Name], Tables!$B30, AllData[Season], "Autumn", AllData[Year], "2024")</f>
        <v>12</v>
      </c>
      <c r="AQ30" s="160">
        <f>IFERROR(AVERAGEIFS(AllData[Nitrate (PPM)], AllData[Site Name], $B30, AllData[Season], "Autumn", AllData[Year], "2024"), "")</f>
        <v>4.335</v>
      </c>
      <c r="AR30" s="27">
        <f t="shared" si="16"/>
        <v>8.4729683745965706E-2</v>
      </c>
      <c r="AS30" s="27" t="str">
        <f t="shared" si="17"/>
        <v/>
      </c>
      <c r="AT30" s="161">
        <f>IFERROR(AVERAGEIFS(AllData[Phosphate (PPM)], AllData[Site Name], B30, AllData[Season], "Autumn", AllData[Year], "2024"), "")</f>
        <v>0.70416666666666661</v>
      </c>
      <c r="AU30" s="27">
        <f t="shared" si="18"/>
        <v>0.45555213780375275</v>
      </c>
      <c r="AV30" s="28" t="str">
        <f t="shared" si="19"/>
        <v/>
      </c>
      <c r="AW30" s="165">
        <f>COUNTIFS(AllData[Site Name], Tables!$B30, AllData[Season], "Winter", AllData[Year], "2024")</f>
        <v>13</v>
      </c>
      <c r="AX30" s="160">
        <f>IFERROR(AVERAGEIFS(AllData[Nitrate (PPM)], AllData[Site Name], $B30, AllData[Season], "Winter", AllData[Year], "2024"), "")</f>
        <v>4.3076923076923075</v>
      </c>
      <c r="AY30" s="27">
        <f t="shared" si="20"/>
        <v>7.7896589295964463E-2</v>
      </c>
      <c r="AZ30" s="27" t="str">
        <f t="shared" si="21"/>
        <v/>
      </c>
      <c r="BA30" s="161">
        <f>IFERROR(AVERAGEIFS(AllData[Phosphate (PPM)], AllData[Site Name], $B30, AllData[Season], "Winter", AllData[Year], "2024"), "")</f>
        <v>0.26666666666666666</v>
      </c>
      <c r="BB30" s="27">
        <f t="shared" si="22"/>
        <v>-0.44878498923408178</v>
      </c>
      <c r="BC30" s="44" t="str">
        <f t="shared" si="23"/>
        <v/>
      </c>
      <c r="BD30" s="157">
        <f>COUNTIFS(AllData[Site Name], Tables!$B30, AllData[Season], "Spring", AllData[Year], "2025")</f>
        <v>7</v>
      </c>
      <c r="BE30" s="160">
        <f>IFERROR(AVERAGEIFS(AllData[Nitrate (PPM)], AllData[Site Name], $B30, AllData[Season], "Spring", AllData[Year], "2025"), "")</f>
        <v>4.1428571428571432</v>
      </c>
      <c r="BF30" s="27">
        <f t="shared" si="24"/>
        <v>3.6650546338210868E-2</v>
      </c>
      <c r="BG30" s="27" t="str">
        <f t="shared" si="25"/>
        <v/>
      </c>
      <c r="BH30" s="161">
        <f>IFERROR(AVERAGEIFS(AllData[Phosphate (PPM)], AllData[Site Name], $B30, AllData[Season], "Spring", AllData[Year], "2025"), "")</f>
        <v>6.4285714285714293E-2</v>
      </c>
      <c r="BI30" s="27">
        <f t="shared" si="26"/>
        <v>-0.86711780990464471</v>
      </c>
      <c r="BJ30" s="27" t="str">
        <f t="shared" si="27"/>
        <v/>
      </c>
      <c r="BK30" s="165">
        <f>COUNTIFS(AllData[Site Name], Tables!$B30, AllData[Season], "Summer", AllData[Year], "2025")</f>
        <v>0</v>
      </c>
      <c r="BL30" s="160" t="str">
        <f>IFERROR(AVERAGEIFS(AllData[Nitrate (PPM)], AllData[Site Name], $B30, AllData[Season], "Summer", AllData[Year], "2025"), "")</f>
        <v/>
      </c>
      <c r="BM30" s="27" t="str">
        <f t="shared" si="28"/>
        <v/>
      </c>
      <c r="BN30" s="27" t="str">
        <f t="shared" si="29"/>
        <v/>
      </c>
      <c r="BO30" s="161" t="str">
        <f>IFERROR(AVERAGEIFS(AllData[Phosphate (PPM)], AllData[Site Name], $B30, AllData[Season], "Summer", AllData[Year], "2025"),"")</f>
        <v/>
      </c>
      <c r="BP30" s="27" t="str">
        <f t="shared" si="30"/>
        <v/>
      </c>
      <c r="BQ30" s="27" t="str">
        <f t="shared" si="31"/>
        <v/>
      </c>
      <c r="BR30" s="165">
        <f>COUNTIFS(AllData[Site Name], Tables!$B30, AllData[Season], "Autumn", AllData[Year], "2025")</f>
        <v>0</v>
      </c>
      <c r="BS30" s="160" t="str">
        <f>IFERROR(AVERAGEIFS(AllData[Nitrate (PPM)], AllData[Site Name], $B30, AllData[Season], "Autumn", AllData[Year], "2025"), "")</f>
        <v/>
      </c>
      <c r="BT30" s="27" t="str">
        <f t="shared" si="32"/>
        <v/>
      </c>
      <c r="BU30" s="27" t="str">
        <f t="shared" si="33"/>
        <v/>
      </c>
      <c r="BV30" s="161" t="str">
        <f>IFERROR(AVERAGEIFS(AllData[Phosphate (PPM)], AllData[Site Name], AD30, AllData[Season], "Autumn", AllData[Year], "2025"), "")</f>
        <v/>
      </c>
      <c r="BW30" s="27" t="str">
        <f t="shared" si="34"/>
        <v/>
      </c>
      <c r="BX30" s="28" t="str">
        <f t="shared" si="35"/>
        <v/>
      </c>
      <c r="BY30" s="165">
        <f>COUNTIFS(AllData[Site Name], Tables!$B30, AllData[Season], "Winter", AllData[Year], "2025")</f>
        <v>0</v>
      </c>
      <c r="BZ30" s="160" t="str">
        <f>IFERROR(AVERAGEIFS(AllData[Nitrate (PPM)], AllData[Site Name], $B30, AllData[Season], "Winter", AllData[Year], "2025"), "")</f>
        <v/>
      </c>
      <c r="CA30" s="27" t="str">
        <f t="shared" si="36"/>
        <v/>
      </c>
      <c r="CB30" s="27" t="str">
        <f t="shared" si="40"/>
        <v/>
      </c>
      <c r="CC30" s="161" t="str">
        <f>IFERROR(AVERAGEIFS(AllData[Phosphate (PPM)], AllData[Site Name], $B30, AllData[Season], "Winter", AllData[Year], "2025"), "")</f>
        <v/>
      </c>
      <c r="CD30" s="27" t="str">
        <f t="shared" si="38"/>
        <v/>
      </c>
      <c r="CE30" s="44" t="str">
        <f t="shared" si="41"/>
        <v/>
      </c>
    </row>
    <row r="31" spans="2:83" x14ac:dyDescent="0.35">
      <c r="B31" s="159" t="s">
        <v>3548</v>
      </c>
      <c r="C31" s="113" t="str">
        <f>IFERROR(AVERAGEIF(AllData[Site Name], Tables!B31, AllData[Latitude]), "Unknown")</f>
        <v>Unknown</v>
      </c>
      <c r="D31" s="113" t="str">
        <f>IFERROR(AVERAGEIF(AllData[Site Name], Tables!B31, AllData[Longitude]), "Unknown")</f>
        <v>Unknown</v>
      </c>
      <c r="E31" s="13" t="e" vm="9">
        <f>_xlfn.XLOOKUP(B31,LocationsKey[Site Name], LocationsKey[District])</f>
        <v>#VALUE!</v>
      </c>
      <c r="F31" s="13" t="e" vm="10">
        <f>_xlfn.XLOOKUP(B31,LocationsKey[Site Name], LocationsKey[Town])</f>
        <v>#VALUE!</v>
      </c>
      <c r="G31" s="25" t="str">
        <f>_xlfn.XLOOKUP(B31,LocationsKey[Site Name],LocationsKey[Waterway])</f>
        <v>Cam Brook</v>
      </c>
      <c r="H31" s="157">
        <f>COUNTIF(AllData[Site Name], Tables!B31)</f>
        <v>41</v>
      </c>
      <c r="I31" s="160">
        <f t="shared" si="0"/>
        <v>4.3411276223776216</v>
      </c>
      <c r="J31" s="161">
        <f t="shared" si="1"/>
        <v>8.7343142968142967E-2</v>
      </c>
      <c r="K31" s="27" cm="1">
        <f t="array" ref="K31">SUM(COUNTIFS(AllData[Site Name], B31, AllData[Nitrate Pollution Category], {"High","Very high"}))/COUNTIFS(AllData[Site Name], B31, AllData[Nitrate (PPM)], "&lt;&gt;0")</f>
        <v>1</v>
      </c>
      <c r="L31" s="27" cm="1">
        <f t="array" ref="L31">SUM(COUNTIFS(AllData[Site Name], B31, AllData[Phosphate Pollution Category], {"High","Very high"}))/COUNTIFS(AllData[Site Name], B31, AllData[Phosphate (PPM)], "&lt;&gt;0")</f>
        <v>0.31707317073170732</v>
      </c>
      <c r="M31" s="157">
        <f t="shared" si="2"/>
        <v>63</v>
      </c>
      <c r="N31" s="157">
        <f t="shared" si="3"/>
        <v>83</v>
      </c>
      <c r="O31" s="26">
        <f>COUNTIFS(AllData[Site Name], Tables!$B31, AllData[Season], "Summer", AllData[Year], "2023")</f>
        <v>0</v>
      </c>
      <c r="P31" s="160" t="str">
        <f>IFERROR(AVERAGEIFS(AllData[Nitrate (PPM)], AllData[Site Name], $B31, AllData[Season], "Summer", AllData[Year], "2023"), "")</f>
        <v/>
      </c>
      <c r="Q31" s="27" t="str">
        <f t="shared" si="4"/>
        <v/>
      </c>
      <c r="R31" s="161" t="str">
        <f>IFERROR(AVERAGEIFS(AllData[Phosphate (PPM)], AllData[Site Name], $B31, AllData[Season], "Summer", AllData[Year], "2023"),"")</f>
        <v/>
      </c>
      <c r="S31" s="28" t="str">
        <f t="shared" si="5"/>
        <v/>
      </c>
      <c r="T31" s="26">
        <f>COUNTIFS(AllData[Site Name], Tables!$B31, AllData[Season], "Autumn", AllData[Year], "2023")</f>
        <v>0</v>
      </c>
      <c r="U31" s="160" t="str">
        <f>IFERROR(AVERAGEIFS(AllData[Nitrate (PPM)], AllData[Site Name], $B31, AllData[Season], "Autumn", AllData[Year], "2023"), "")</f>
        <v/>
      </c>
      <c r="V31" s="27" t="str">
        <f t="shared" si="6"/>
        <v/>
      </c>
      <c r="W31" s="161" t="str">
        <f>IFERROR(AVERAGEIFS(AllData[Phosphate (PPM)], AllData[Site Name], $B31, AllData[Season], "Autumn", AllData[Year], "2023"),"")</f>
        <v/>
      </c>
      <c r="X31" s="28" t="str">
        <f t="shared" si="7"/>
        <v/>
      </c>
      <c r="Y31" s="26">
        <f>COUNTIFS(AllData[Site Name], Tables!$B31, AllData[Season], "Winter", AllData[Year], "2023")</f>
        <v>0</v>
      </c>
      <c r="Z31" s="160" t="str">
        <f>IFERROR(AVERAGEIFS(AllData[Nitrate (PPM)], AllData[Site Name], $B31, AllData[Season], "Winter", AllData[Year], "2023"), "")</f>
        <v/>
      </c>
      <c r="AA31" s="27" t="str">
        <f t="shared" si="8"/>
        <v/>
      </c>
      <c r="AB31" s="161" t="str">
        <f>IFERROR(AVERAGEIFS(AllData[Phosphate (PPM)], AllData[Site Name], $B31, AllData[Season], "Winter", AllData[Year], "2023"),"")</f>
        <v/>
      </c>
      <c r="AC31" s="28" t="str">
        <f t="shared" si="9"/>
        <v/>
      </c>
      <c r="AD31" s="26">
        <f>COUNTIFS(AllData[Site Name], Tables!$B31, AllData[Season], "Spring", AllData[Year], "2024")</f>
        <v>0</v>
      </c>
      <c r="AE31" s="160" t="str">
        <f>IFERROR(AVERAGEIFS(AllData[Nitrate (PPM)], AllData[Site Name], $B31, AllData[Season], "Spring", AllData[Year], "2024"), "")</f>
        <v/>
      </c>
      <c r="AF31" s="27" t="str">
        <f t="shared" si="10"/>
        <v/>
      </c>
      <c r="AG31" s="161" t="str">
        <f>IFERROR(AVERAGEIFS(AllData[Phosphate (PPM)], AllData[Site Name], $B31, AllData[Season], "Spring", AllData[Year], "2024"),"")</f>
        <v/>
      </c>
      <c r="AH31" s="28" t="str">
        <f t="shared" si="11"/>
        <v/>
      </c>
      <c r="AI31" s="165">
        <f>COUNTIFS(AllData[Site Name], Tables!$B31, AllData[Season], "Summer", AllData[Year], "2024")</f>
        <v>9</v>
      </c>
      <c r="AJ31" s="160">
        <f>IFERROR(AVERAGEIFS(AllData[Nitrate (PPM)], AllData[Site Name], $B31, AllData[Season], "Summer", AllData[Year], "2024"), "")</f>
        <v>5</v>
      </c>
      <c r="AK31" s="27">
        <f t="shared" si="12"/>
        <v>0.15177447772464153</v>
      </c>
      <c r="AL31" s="27" t="str">
        <f t="shared" si="13"/>
        <v/>
      </c>
      <c r="AM31" s="161">
        <f>IFERROR(AVERAGEIFS(AllData[Phosphate (PPM)], AllData[Site Name], $B31, AllData[Season], "Summer", AllData[Year], "2024"),"")</f>
        <v>0.11222222222222222</v>
      </c>
      <c r="AN31" s="27">
        <f t="shared" si="14"/>
        <v>0.28484295857264386</v>
      </c>
      <c r="AO31" s="28" t="str">
        <f t="shared" si="15"/>
        <v/>
      </c>
      <c r="AP31" s="157">
        <f>COUNTIFS(AllData[Site Name], Tables!$B31, AllData[Season], "Autumn", AllData[Year], "2024")</f>
        <v>13</v>
      </c>
      <c r="AQ31" s="160">
        <f>IFERROR(AVERAGEIFS(AllData[Nitrate (PPM)], AllData[Site Name], $B31, AllData[Season], "Autumn", AllData[Year], "2024"), "")</f>
        <v>4.3076923076923075</v>
      </c>
      <c r="AR31" s="27">
        <f t="shared" si="16"/>
        <v>-7.7019884218473443E-3</v>
      </c>
      <c r="AS31" s="27" t="str">
        <f t="shared" si="17"/>
        <v/>
      </c>
      <c r="AT31" s="161">
        <f>IFERROR(AVERAGEIFS(AllData[Phosphate (PPM)], AllData[Site Name], B31, AllData[Season], "Autumn", AllData[Year], "2024"), "")</f>
        <v>9.6923076923076903E-2</v>
      </c>
      <c r="AU31" s="27">
        <f t="shared" si="18"/>
        <v>0.10968158036662438</v>
      </c>
      <c r="AV31" s="28" t="str">
        <f t="shared" si="19"/>
        <v/>
      </c>
      <c r="AW31" s="165">
        <f>COUNTIFS(AllData[Site Name], Tables!$B31, AllData[Season], "Winter", AllData[Year], "2024")</f>
        <v>11</v>
      </c>
      <c r="AX31" s="160">
        <f>IFERROR(AVERAGEIFS(AllData[Nitrate (PPM)], AllData[Site Name], $B31, AllData[Season], "Winter", AllData[Year], "2024"), "")</f>
        <v>4.1818181818181817</v>
      </c>
      <c r="AY31" s="27">
        <f t="shared" si="20"/>
        <v>-3.6697709539390756E-2</v>
      </c>
      <c r="AZ31" s="27" t="str">
        <f t="shared" si="21"/>
        <v/>
      </c>
      <c r="BA31" s="161">
        <f>IFERROR(AVERAGEIFS(AllData[Phosphate (PPM)], AllData[Site Name], $B31, AllData[Season], "Winter", AllData[Year], "2024"), "")</f>
        <v>8.2727272727272733E-2</v>
      </c>
      <c r="BB31" s="27">
        <f t="shared" si="22"/>
        <v>-5.2847539990103179E-2</v>
      </c>
      <c r="BC31" s="44" t="str">
        <f t="shared" si="23"/>
        <v/>
      </c>
      <c r="BD31" s="157">
        <f>COUNTIFS(AllData[Site Name], Tables!$B31, AllData[Season], "Spring", AllData[Year], "2025")</f>
        <v>8</v>
      </c>
      <c r="BE31" s="160">
        <f>IFERROR(AVERAGEIFS(AllData[Nitrate (PPM)], AllData[Site Name], $B31, AllData[Season], "Spring", AllData[Year], "2025"), "")</f>
        <v>3.875</v>
      </c>
      <c r="BF31" s="27">
        <f t="shared" si="24"/>
        <v>-0.10737477976340282</v>
      </c>
      <c r="BG31" s="27" t="str">
        <f t="shared" si="25"/>
        <v/>
      </c>
      <c r="BH31" s="161">
        <f>IFERROR(AVERAGEIFS(AllData[Phosphate (PPM)], AllData[Site Name], $B31, AllData[Season], "Spring", AllData[Year], "2025"), "")</f>
        <v>5.7499999999999996E-2</v>
      </c>
      <c r="BI31" s="27">
        <f t="shared" si="26"/>
        <v>-0.3416769989491652</v>
      </c>
      <c r="BJ31" s="27" t="str">
        <f t="shared" si="27"/>
        <v/>
      </c>
      <c r="BK31" s="165">
        <f>COUNTIFS(AllData[Site Name], Tables!$B31, AllData[Season], "Summer", AllData[Year], "2025")</f>
        <v>0</v>
      </c>
      <c r="BL31" s="160" t="str">
        <f>IFERROR(AVERAGEIFS(AllData[Nitrate (PPM)], AllData[Site Name], $B31, AllData[Season], "Summer", AllData[Year], "2025"), "")</f>
        <v/>
      </c>
      <c r="BM31" s="27" t="str">
        <f t="shared" si="28"/>
        <v/>
      </c>
      <c r="BN31" s="27" t="str">
        <f t="shared" si="29"/>
        <v/>
      </c>
      <c r="BO31" s="161" t="str">
        <f>IFERROR(AVERAGEIFS(AllData[Phosphate (PPM)], AllData[Site Name], $B31, AllData[Season], "Summer", AllData[Year], "2025"),"")</f>
        <v/>
      </c>
      <c r="BP31" s="27" t="str">
        <f t="shared" si="30"/>
        <v/>
      </c>
      <c r="BQ31" s="27" t="str">
        <f t="shared" si="31"/>
        <v/>
      </c>
      <c r="BR31" s="165">
        <f>COUNTIFS(AllData[Site Name], Tables!$B31, AllData[Season], "Autumn", AllData[Year], "2025")</f>
        <v>0</v>
      </c>
      <c r="BS31" s="160" t="str">
        <f>IFERROR(AVERAGEIFS(AllData[Nitrate (PPM)], AllData[Site Name], $B31, AllData[Season], "Autumn", AllData[Year], "2025"), "")</f>
        <v/>
      </c>
      <c r="BT31" s="27" t="str">
        <f t="shared" si="32"/>
        <v/>
      </c>
      <c r="BU31" s="27" t="str">
        <f t="shared" si="33"/>
        <v/>
      </c>
      <c r="BV31" s="161" t="str">
        <f>IFERROR(AVERAGEIFS(AllData[Phosphate (PPM)], AllData[Site Name], AD31, AllData[Season], "Autumn", AllData[Year], "2025"), "")</f>
        <v/>
      </c>
      <c r="BW31" s="27" t="str">
        <f t="shared" si="34"/>
        <v/>
      </c>
      <c r="BX31" s="28" t="str">
        <f t="shared" si="35"/>
        <v/>
      </c>
      <c r="BY31" s="165">
        <f>COUNTIFS(AllData[Site Name], Tables!$B31, AllData[Season], "Winter", AllData[Year], "2025")</f>
        <v>0</v>
      </c>
      <c r="BZ31" s="160" t="str">
        <f>IFERROR(AVERAGEIFS(AllData[Nitrate (PPM)], AllData[Site Name], $B31, AllData[Season], "Winter", AllData[Year], "2025"), "")</f>
        <v/>
      </c>
      <c r="CA31" s="27" t="str">
        <f t="shared" si="36"/>
        <v/>
      </c>
      <c r="CB31" s="27" t="str">
        <f t="shared" si="40"/>
        <v/>
      </c>
      <c r="CC31" s="161" t="str">
        <f>IFERROR(AVERAGEIFS(AllData[Phosphate (PPM)], AllData[Site Name], $B31, AllData[Season], "Winter", AllData[Year], "2025"), "")</f>
        <v/>
      </c>
      <c r="CD31" s="27" t="str">
        <f t="shared" si="38"/>
        <v/>
      </c>
      <c r="CE31" s="44" t="str">
        <f t="shared" si="41"/>
        <v/>
      </c>
    </row>
    <row r="32" spans="2:83" x14ac:dyDescent="0.35">
      <c r="B32" s="159" t="s">
        <v>3549</v>
      </c>
      <c r="C32" s="113">
        <f>IFERROR(AVERAGEIF(AllData[Site Name], Tables!B32, AllData[Latitude]), "Unknown")</f>
        <v>52.052216999999999</v>
      </c>
      <c r="D32" s="113">
        <f>IFERROR(AVERAGEIF(AllData[Site Name], Tables!B32, AllData[Longitude]), "Unknown")</f>
        <v>-1.7616225000000001</v>
      </c>
      <c r="E32" s="13" t="e" vm="9">
        <f>_xlfn.XLOOKUP(B32,LocationsKey[Site Name], LocationsKey[District])</f>
        <v>#VALUE!</v>
      </c>
      <c r="F32" s="13" t="e" vm="10">
        <f>_xlfn.XLOOKUP(B32,LocationsKey[Site Name], LocationsKey[Town])</f>
        <v>#VALUE!</v>
      </c>
      <c r="G32" s="25" t="str">
        <f>_xlfn.XLOOKUP(B32,LocationsKey[Site Name],LocationsKey[Waterway])</f>
        <v>Cam Brook</v>
      </c>
      <c r="H32" s="157">
        <f>COUNTIF(AllData[Site Name], Tables!B32)</f>
        <v>41</v>
      </c>
      <c r="I32" s="160">
        <f t="shared" si="0"/>
        <v>3.2043269230769234</v>
      </c>
      <c r="J32" s="161">
        <f t="shared" si="1"/>
        <v>0.24433760683760683</v>
      </c>
      <c r="K32" s="27" cm="1">
        <f t="array" ref="K32">SUM(COUNTIFS(AllData[Site Name], B32, AllData[Nitrate Pollution Category], {"High","Very high"}))/COUNTIFS(AllData[Site Name], B32, AllData[Nitrate (PPM)], "&lt;&gt;0")</f>
        <v>0.92682926829268297</v>
      </c>
      <c r="L32" s="27" cm="1">
        <f t="array" ref="L32">SUM(COUNTIFS(AllData[Site Name], B32, AllData[Phosphate Pollution Category], {"High","Very high"}))/COUNTIFS(AllData[Site Name], B32, AllData[Phosphate (PPM)], "&lt;&gt;0")</f>
        <v>0.72499999999999998</v>
      </c>
      <c r="M32" s="157">
        <f t="shared" si="2"/>
        <v>70</v>
      </c>
      <c r="N32" s="157">
        <f t="shared" si="3"/>
        <v>77</v>
      </c>
      <c r="O32" s="26">
        <f>COUNTIFS(AllData[Site Name], Tables!$B32, AllData[Season], "Summer", AllData[Year], "2023")</f>
        <v>0</v>
      </c>
      <c r="P32" s="160" t="str">
        <f>IFERROR(AVERAGEIFS(AllData[Nitrate (PPM)], AllData[Site Name], $B32, AllData[Season], "Summer", AllData[Year], "2023"), "")</f>
        <v/>
      </c>
      <c r="Q32" s="27" t="str">
        <f t="shared" si="4"/>
        <v/>
      </c>
      <c r="R32" s="161" t="str">
        <f>IFERROR(AVERAGEIFS(AllData[Phosphate (PPM)], AllData[Site Name], $B32, AllData[Season], "Summer", AllData[Year], "2023"),"")</f>
        <v/>
      </c>
      <c r="S32" s="28" t="str">
        <f t="shared" si="5"/>
        <v/>
      </c>
      <c r="T32" s="26">
        <f>COUNTIFS(AllData[Site Name], Tables!$B32, AllData[Season], "Autumn", AllData[Year], "2023")</f>
        <v>0</v>
      </c>
      <c r="U32" s="160" t="str">
        <f>IFERROR(AVERAGEIFS(AllData[Nitrate (PPM)], AllData[Site Name], $B32, AllData[Season], "Autumn", AllData[Year], "2023"), "")</f>
        <v/>
      </c>
      <c r="V32" s="27" t="str">
        <f t="shared" si="6"/>
        <v/>
      </c>
      <c r="W32" s="161" t="str">
        <f>IFERROR(AVERAGEIFS(AllData[Phosphate (PPM)], AllData[Site Name], $B32, AllData[Season], "Autumn", AllData[Year], "2023"),"")</f>
        <v/>
      </c>
      <c r="X32" s="28" t="str">
        <f t="shared" si="7"/>
        <v/>
      </c>
      <c r="Y32" s="26">
        <f>COUNTIFS(AllData[Site Name], Tables!$B32, AllData[Season], "Winter", AllData[Year], "2023")</f>
        <v>0</v>
      </c>
      <c r="Z32" s="160" t="str">
        <f>IFERROR(AVERAGEIFS(AllData[Nitrate (PPM)], AllData[Site Name], $B32, AllData[Season], "Winter", AllData[Year], "2023"), "")</f>
        <v/>
      </c>
      <c r="AA32" s="27" t="str">
        <f t="shared" si="8"/>
        <v/>
      </c>
      <c r="AB32" s="161" t="str">
        <f>IFERROR(AVERAGEIFS(AllData[Phosphate (PPM)], AllData[Site Name], $B32, AllData[Season], "Winter", AllData[Year], "2023"),"")</f>
        <v/>
      </c>
      <c r="AC32" s="28" t="str">
        <f t="shared" si="9"/>
        <v/>
      </c>
      <c r="AD32" s="26">
        <f>COUNTIFS(AllData[Site Name], Tables!$B32, AllData[Season], "Spring", AllData[Year], "2024")</f>
        <v>0</v>
      </c>
      <c r="AE32" s="160" t="str">
        <f>IFERROR(AVERAGEIFS(AllData[Nitrate (PPM)], AllData[Site Name], $B32, AllData[Season], "Spring", AllData[Year], "2024"), "")</f>
        <v/>
      </c>
      <c r="AF32" s="27" t="str">
        <f t="shared" si="10"/>
        <v/>
      </c>
      <c r="AG32" s="161" t="str">
        <f>IFERROR(AVERAGEIFS(AllData[Phosphate (PPM)], AllData[Site Name], $B32, AllData[Season], "Spring", AllData[Year], "2024"),"")</f>
        <v/>
      </c>
      <c r="AH32" s="28" t="str">
        <f t="shared" si="11"/>
        <v/>
      </c>
      <c r="AI32" s="165">
        <f>COUNTIFS(AllData[Site Name], Tables!$B32, AllData[Season], "Summer", AllData[Year], "2024")</f>
        <v>9</v>
      </c>
      <c r="AJ32" s="160">
        <f>IFERROR(AVERAGEIFS(AllData[Nitrate (PPM)], AllData[Site Name], $B32, AllData[Season], "Summer", AllData[Year], "2024"), "")</f>
        <v>4</v>
      </c>
      <c r="AK32" s="27">
        <f t="shared" si="12"/>
        <v>0.24831207801950478</v>
      </c>
      <c r="AL32" s="27" t="str">
        <f t="shared" si="13"/>
        <v/>
      </c>
      <c r="AM32" s="161">
        <f>IFERROR(AVERAGEIFS(AllData[Phosphate (PPM)], AllData[Site Name], $B32, AllData[Season], "Summer", AllData[Year], "2024"),"")</f>
        <v>0.37888888888888883</v>
      </c>
      <c r="AN32" s="27">
        <f t="shared" si="14"/>
        <v>0.5506777437691297</v>
      </c>
      <c r="AO32" s="28" t="str">
        <f t="shared" si="15"/>
        <v/>
      </c>
      <c r="AP32" s="157">
        <f>COUNTIFS(AllData[Site Name], Tables!$B32, AllData[Season], "Autumn", AllData[Year], "2024")</f>
        <v>13</v>
      </c>
      <c r="AQ32" s="160">
        <f>IFERROR(AVERAGEIFS(AllData[Nitrate (PPM)], AllData[Site Name], $B32, AllData[Season], "Autumn", AllData[Year], "2024"), "")</f>
        <v>2.6923076923076925</v>
      </c>
      <c r="AR32" s="27">
        <f t="shared" si="16"/>
        <v>-0.15978994748687173</v>
      </c>
      <c r="AS32" s="27" t="str">
        <f t="shared" si="17"/>
        <v/>
      </c>
      <c r="AT32" s="161">
        <f>IFERROR(AVERAGEIFS(AllData[Phosphate (PPM)], AllData[Site Name], B32, AllData[Season], "Autumn", AllData[Year], "2024"), "")</f>
        <v>0.31846153846153846</v>
      </c>
      <c r="AU32" s="27">
        <f t="shared" si="18"/>
        <v>0.30336685614341935</v>
      </c>
      <c r="AV32" s="28" t="str">
        <f t="shared" si="19"/>
        <v/>
      </c>
      <c r="AW32" s="165">
        <f>COUNTIFS(AllData[Site Name], Tables!$B32, AllData[Season], "Winter", AllData[Year], "2024")</f>
        <v>12</v>
      </c>
      <c r="AX32" s="160">
        <f>IFERROR(AVERAGEIFS(AllData[Nitrate (PPM)], AllData[Site Name], $B32, AllData[Season], "Winter", AllData[Year], "2024"), "")</f>
        <v>4.125</v>
      </c>
      <c r="AY32" s="27">
        <f t="shared" si="20"/>
        <v>0.28732183045761428</v>
      </c>
      <c r="AZ32" s="27" t="str">
        <f t="shared" si="21"/>
        <v/>
      </c>
      <c r="BA32" s="161">
        <f>IFERROR(AVERAGEIFS(AllData[Phosphate (PPM)], AllData[Site Name], $B32, AllData[Season], "Winter", AllData[Year], "2024"), "")</f>
        <v>0.17</v>
      </c>
      <c r="BB32" s="27">
        <f t="shared" si="22"/>
        <v>-0.3042413642326191</v>
      </c>
      <c r="BC32" s="44" t="str">
        <f t="shared" si="23"/>
        <v/>
      </c>
      <c r="BD32" s="157">
        <f>COUNTIFS(AllData[Site Name], Tables!$B32, AllData[Season], "Spring", AllData[Year], "2025")</f>
        <v>7</v>
      </c>
      <c r="BE32" s="160">
        <f>IFERROR(AVERAGEIFS(AllData[Nitrate (PPM)], AllData[Site Name], $B32, AllData[Season], "Spring", AllData[Year], "2025"), "")</f>
        <v>2</v>
      </c>
      <c r="BF32" s="27">
        <f t="shared" si="24"/>
        <v>-0.37584396099024764</v>
      </c>
      <c r="BG32" s="27" t="str">
        <f t="shared" si="25"/>
        <v/>
      </c>
      <c r="BH32" s="161">
        <f>IFERROR(AVERAGEIFS(AllData[Phosphate (PPM)], AllData[Site Name], $B32, AllData[Season], "Spring", AllData[Year], "2025"), "")</f>
        <v>0.11</v>
      </c>
      <c r="BI32" s="27">
        <f t="shared" si="26"/>
        <v>-0.54980323567992995</v>
      </c>
      <c r="BJ32" s="27" t="str">
        <f t="shared" si="27"/>
        <v/>
      </c>
      <c r="BK32" s="165">
        <f>COUNTIFS(AllData[Site Name], Tables!$B32, AllData[Season], "Summer", AllData[Year], "2025")</f>
        <v>0</v>
      </c>
      <c r="BL32" s="160" t="str">
        <f>IFERROR(AVERAGEIFS(AllData[Nitrate (PPM)], AllData[Site Name], $B32, AllData[Season], "Summer", AllData[Year], "2025"), "")</f>
        <v/>
      </c>
      <c r="BM32" s="27" t="str">
        <f t="shared" si="28"/>
        <v/>
      </c>
      <c r="BN32" s="27" t="str">
        <f t="shared" si="29"/>
        <v/>
      </c>
      <c r="BO32" s="161" t="str">
        <f>IFERROR(AVERAGEIFS(AllData[Phosphate (PPM)], AllData[Site Name], $B32, AllData[Season], "Summer", AllData[Year], "2025"),"")</f>
        <v/>
      </c>
      <c r="BP32" s="27" t="str">
        <f t="shared" si="30"/>
        <v/>
      </c>
      <c r="BQ32" s="27" t="str">
        <f t="shared" si="31"/>
        <v/>
      </c>
      <c r="BR32" s="165">
        <f>COUNTIFS(AllData[Site Name], Tables!$B32, AllData[Season], "Autumn", AllData[Year], "2025")</f>
        <v>0</v>
      </c>
      <c r="BS32" s="160" t="str">
        <f>IFERROR(AVERAGEIFS(AllData[Nitrate (PPM)], AllData[Site Name], $B32, AllData[Season], "Autumn", AllData[Year], "2025"), "")</f>
        <v/>
      </c>
      <c r="BT32" s="27" t="str">
        <f t="shared" si="32"/>
        <v/>
      </c>
      <c r="BU32" s="27" t="str">
        <f t="shared" si="33"/>
        <v/>
      </c>
      <c r="BV32" s="161" t="str">
        <f>IFERROR(AVERAGEIFS(AllData[Phosphate (PPM)], AllData[Site Name], AD32, AllData[Season], "Autumn", AllData[Year], "2025"), "")</f>
        <v/>
      </c>
      <c r="BW32" s="27" t="str">
        <f t="shared" si="34"/>
        <v/>
      </c>
      <c r="BX32" s="28" t="str">
        <f t="shared" si="35"/>
        <v/>
      </c>
      <c r="BY32" s="165">
        <f>COUNTIFS(AllData[Site Name], Tables!$B32, AllData[Season], "Winter", AllData[Year], "2025")</f>
        <v>0</v>
      </c>
      <c r="BZ32" s="160" t="str">
        <f>IFERROR(AVERAGEIFS(AllData[Nitrate (PPM)], AllData[Site Name], $B32, AllData[Season], "Winter", AllData[Year], "2025"), "")</f>
        <v/>
      </c>
      <c r="CA32" s="27" t="str">
        <f t="shared" si="36"/>
        <v/>
      </c>
      <c r="CB32" s="27" t="str">
        <f t="shared" si="40"/>
        <v/>
      </c>
      <c r="CC32" s="161" t="str">
        <f>IFERROR(AVERAGEIFS(AllData[Phosphate (PPM)], AllData[Site Name], $B32, AllData[Season], "Winter", AllData[Year], "2025"), "")</f>
        <v/>
      </c>
      <c r="CD32" s="27" t="str">
        <f t="shared" si="38"/>
        <v/>
      </c>
      <c r="CE32" s="44" t="str">
        <f t="shared" si="41"/>
        <v/>
      </c>
    </row>
    <row r="33" spans="2:83" x14ac:dyDescent="0.35">
      <c r="B33" s="159" t="s">
        <v>3561</v>
      </c>
      <c r="C33" s="113">
        <f>IFERROR(AVERAGEIF(AllData[Site Name], Tables!B33, AllData[Latitude]), "Unknown")</f>
        <v>52.166363596153808</v>
      </c>
      <c r="D33" s="113">
        <f>IFERROR(AVERAGEIF(AllData[Site Name], Tables!B33, AllData[Longitude]), "Unknown")</f>
        <v>-1.7080375384615398</v>
      </c>
      <c r="E33" s="13" t="e" vm="1">
        <f>_xlfn.XLOOKUP(B33,LocationsKey[Site Name], LocationsKey[District])</f>
        <v>#VALUE!</v>
      </c>
      <c r="F33" s="13" t="e" vm="22">
        <f>_xlfn.XLOOKUP(B33,LocationsKey[Site Name], LocationsKey[Town])</f>
        <v>#VALUE!</v>
      </c>
      <c r="G33" s="25" t="str">
        <f>_xlfn.XLOOKUP(B33,LocationsKey[Site Name],LocationsKey[Waterway])</f>
        <v>Stour</v>
      </c>
      <c r="H33" s="157">
        <f>COUNTIF(AllData[Site Name], Tables!B33)</f>
        <v>53</v>
      </c>
      <c r="I33" s="160">
        <f t="shared" si="0"/>
        <v>7.0173160173160172</v>
      </c>
      <c r="J33" s="161">
        <f t="shared" si="1"/>
        <v>0.32637301587301587</v>
      </c>
      <c r="K33" s="27" cm="1">
        <f t="array" ref="K33">SUM(COUNTIFS(AllData[Site Name], B33, AllData[Nitrate Pollution Category], {"High","Very high"}))/COUNTIFS(AllData[Site Name], B33, AllData[Nitrate (PPM)], "&lt;&gt;0")</f>
        <v>1</v>
      </c>
      <c r="L33" s="27" cm="1">
        <f t="array" ref="L33">SUM(COUNTIFS(AllData[Site Name], B33, AllData[Phosphate Pollution Category], {"High","Very high"}))/COUNTIFS(AllData[Site Name], B33, AllData[Phosphate (PPM)], "&lt;&gt;0")</f>
        <v>1</v>
      </c>
      <c r="M33" s="157">
        <f t="shared" si="2"/>
        <v>32</v>
      </c>
      <c r="N33" s="157">
        <f t="shared" si="3"/>
        <v>70</v>
      </c>
      <c r="O33" s="26">
        <f>COUNTIFS(AllData[Site Name], Tables!$B33, AllData[Season], "Summer", AllData[Year], "2023")</f>
        <v>0</v>
      </c>
      <c r="P33" s="160" t="str">
        <f>IFERROR(AVERAGEIFS(AllData[Nitrate (PPM)], AllData[Site Name], $B33, AllData[Season], "Summer", AllData[Year], "2023"), "")</f>
        <v/>
      </c>
      <c r="Q33" s="27" t="str">
        <f t="shared" si="4"/>
        <v/>
      </c>
      <c r="R33" s="161" t="str">
        <f>IFERROR(AVERAGEIFS(AllData[Phosphate (PPM)], AllData[Site Name], $B33, AllData[Season], "Summer", AllData[Year], "2023"),"")</f>
        <v/>
      </c>
      <c r="S33" s="28" t="str">
        <f t="shared" si="5"/>
        <v/>
      </c>
      <c r="T33" s="26">
        <f>COUNTIFS(AllData[Site Name], Tables!$B33, AllData[Season], "Autumn", AllData[Year], "2023")</f>
        <v>7</v>
      </c>
      <c r="U33" s="160">
        <f>IFERROR(AVERAGEIFS(AllData[Nitrate (PPM)], AllData[Site Name], $B33, AllData[Season], "Autumn", AllData[Year], "2023"), "")</f>
        <v>6.2857142857142856</v>
      </c>
      <c r="V33" s="27">
        <f t="shared" si="6"/>
        <v>-0.10425663170882171</v>
      </c>
      <c r="W33" s="161">
        <f>IFERROR(AVERAGEIFS(AllData[Phosphate (PPM)], AllData[Site Name], $B33, AllData[Season], "Autumn", AllData[Year], "2023"),"")</f>
        <v>0.33857142857142858</v>
      </c>
      <c r="X33" s="28">
        <f t="shared" si="7"/>
        <v>3.7375677844515266E-2</v>
      </c>
      <c r="Y33" s="26">
        <f>COUNTIFS(AllData[Site Name], Tables!$B33, AllData[Season], "Winter", AllData[Year], "2023")</f>
        <v>12</v>
      </c>
      <c r="Z33" s="160">
        <f>IFERROR(AVERAGEIFS(AllData[Nitrate (PPM)], AllData[Site Name], $B33, AllData[Season], "Winter", AllData[Year], "2023"), "")</f>
        <v>5.5</v>
      </c>
      <c r="AA33" s="27">
        <f t="shared" si="8"/>
        <v>-0.21622455274521898</v>
      </c>
      <c r="AB33" s="161">
        <f>IFERROR(AVERAGEIFS(AllData[Phosphate (PPM)], AllData[Site Name], $B33, AllData[Season], "Winter", AllData[Year], "2023"),"")</f>
        <v>0.33166666666666672</v>
      </c>
      <c r="AC33" s="28">
        <f t="shared" si="9"/>
        <v>1.6219633781582258E-2</v>
      </c>
      <c r="AD33" s="26">
        <f>COUNTIFS(AllData[Site Name], Tables!$B33, AllData[Season], "Spring", AllData[Year], "2024")</f>
        <v>11</v>
      </c>
      <c r="AE33" s="160">
        <f>IFERROR(AVERAGEIFS(AllData[Nitrate (PPM)], AllData[Site Name], $B33, AllData[Season], "Spring", AllData[Year], "2024"), "")</f>
        <v>7.8181818181818183</v>
      </c>
      <c r="AF33" s="27">
        <f t="shared" si="10"/>
        <v>0.11412708204811849</v>
      </c>
      <c r="AG33" s="161">
        <f>IFERROR(AVERAGEIFS(AllData[Phosphate (PPM)], AllData[Site Name], $B33, AllData[Season], "Spring", AllData[Year], "2024"),"")</f>
        <v>0.22909090909090912</v>
      </c>
      <c r="AH33" s="28">
        <f t="shared" si="11"/>
        <v>-0.29807031234456266</v>
      </c>
      <c r="AI33" s="165">
        <f>COUNTIFS(AllData[Site Name], Tables!$B33, AllData[Season], "Summer", AllData[Year], "2024")</f>
        <v>11</v>
      </c>
      <c r="AJ33" s="160">
        <f>IFERROR(AVERAGEIFS(AllData[Nitrate (PPM)], AllData[Site Name], $B33, AllData[Season], "Summer", AllData[Year], "2024"), "")</f>
        <v>7.5</v>
      </c>
      <c r="AK33" s="27">
        <f t="shared" si="12"/>
        <v>6.8784700801974116E-2</v>
      </c>
      <c r="AL33" s="27" t="str">
        <f t="shared" si="13"/>
        <v/>
      </c>
      <c r="AM33" s="161">
        <f>IFERROR(AVERAGEIFS(AllData[Phosphate (PPM)], AllData[Site Name], $B33, AllData[Season], "Summer", AllData[Year], "2024"),"")</f>
        <v>0.45090909090909082</v>
      </c>
      <c r="AN33" s="27">
        <f t="shared" si="14"/>
        <v>0.38157589316308255</v>
      </c>
      <c r="AO33" s="28" t="str">
        <f t="shared" si="15"/>
        <v/>
      </c>
      <c r="AP33" s="157">
        <f>COUNTIFS(AllData[Site Name], Tables!$B33, AllData[Season], "Autumn", AllData[Year], "2024")</f>
        <v>10</v>
      </c>
      <c r="AQ33" s="160">
        <f>IFERROR(AVERAGEIFS(AllData[Nitrate (PPM)], AllData[Site Name], $B33, AllData[Season], "Autumn", AllData[Year], "2024"), "")</f>
        <v>7</v>
      </c>
      <c r="AR33" s="27">
        <f t="shared" si="16"/>
        <v>-2.4676125848241623E-3</v>
      </c>
      <c r="AS33" s="27">
        <f t="shared" si="17"/>
        <v>0.11363636363636366</v>
      </c>
      <c r="AT33" s="161">
        <f>IFERROR(AVERAGEIFS(AllData[Phosphate (PPM)], AllData[Site Name], B33, AllData[Season], "Autumn", AllData[Year], "2024"), "")</f>
        <v>0.35799999999999998</v>
      </c>
      <c r="AU33" s="27">
        <f t="shared" si="18"/>
        <v>9.6904408725044341E-2</v>
      </c>
      <c r="AV33" s="28">
        <f t="shared" si="19"/>
        <v>5.7383966244725672E-2</v>
      </c>
      <c r="AW33" s="165">
        <f>COUNTIFS(AllData[Site Name], Tables!$B33, AllData[Season], "Winter", AllData[Year], "2024")</f>
        <v>2</v>
      </c>
      <c r="AX33" s="160">
        <f>IFERROR(AVERAGEIFS(AllData[Nitrate (PPM)], AllData[Site Name], $B33, AllData[Season], "Winter", AllData[Year], "2024"), "")</f>
        <v>8</v>
      </c>
      <c r="AY33" s="27">
        <f t="shared" si="20"/>
        <v>0.14003701418877237</v>
      </c>
      <c r="AZ33" s="27">
        <f t="shared" si="21"/>
        <v>0.45454545454545453</v>
      </c>
      <c r="BA33" s="161">
        <f>IFERROR(AVERAGEIFS(AllData[Phosphate (PPM)], AllData[Site Name], $B33, AllData[Season], "Winter", AllData[Year], "2024"), "")</f>
        <v>0.25</v>
      </c>
      <c r="BB33" s="27">
        <f t="shared" si="22"/>
        <v>-0.23400530116966173</v>
      </c>
      <c r="BC33" s="44">
        <f t="shared" si="23"/>
        <v>-0.24623115577889459</v>
      </c>
      <c r="BD33" s="157">
        <f>COUNTIFS(AllData[Site Name], Tables!$B33, AllData[Season], "Spring", AllData[Year], "2025")</f>
        <v>0</v>
      </c>
      <c r="BE33" s="160" t="str">
        <f>IFERROR(AVERAGEIFS(AllData[Nitrate (PPM)], AllData[Site Name], $B33, AllData[Season], "Spring", AllData[Year], "2025"), "")</f>
        <v/>
      </c>
      <c r="BF33" s="27" t="str">
        <f t="shared" si="24"/>
        <v/>
      </c>
      <c r="BG33" s="27" t="str">
        <f t="shared" si="25"/>
        <v/>
      </c>
      <c r="BH33" s="161" t="str">
        <f>IFERROR(AVERAGEIFS(AllData[Phosphate (PPM)], AllData[Site Name], $B33, AllData[Season], "Spring", AllData[Year], "2025"), "")</f>
        <v/>
      </c>
      <c r="BI33" s="27" t="str">
        <f t="shared" si="26"/>
        <v/>
      </c>
      <c r="BJ33" s="27" t="str">
        <f t="shared" si="27"/>
        <v/>
      </c>
      <c r="BK33" s="165">
        <f>COUNTIFS(AllData[Site Name], Tables!$B33, AllData[Season], "Summer", AllData[Year], "2025")</f>
        <v>0</v>
      </c>
      <c r="BL33" s="160" t="str">
        <f>IFERROR(AVERAGEIFS(AllData[Nitrate (PPM)], AllData[Site Name], $B33, AllData[Season], "Summer", AllData[Year], "2025"), "")</f>
        <v/>
      </c>
      <c r="BM33" s="27" t="str">
        <f t="shared" si="28"/>
        <v/>
      </c>
      <c r="BN33" s="27" t="str">
        <f t="shared" si="29"/>
        <v/>
      </c>
      <c r="BO33" s="161" t="str">
        <f>IFERROR(AVERAGEIFS(AllData[Phosphate (PPM)], AllData[Site Name], $B33, AllData[Season], "Summer", AllData[Year], "2025"),"")</f>
        <v/>
      </c>
      <c r="BP33" s="27" t="str">
        <f t="shared" si="30"/>
        <v/>
      </c>
      <c r="BQ33" s="27" t="str">
        <f t="shared" si="31"/>
        <v/>
      </c>
      <c r="BR33" s="165">
        <f>COUNTIFS(AllData[Site Name], Tables!$B33, AllData[Season], "Autumn", AllData[Year], "2025")</f>
        <v>0</v>
      </c>
      <c r="BS33" s="160" t="str">
        <f>IFERROR(AVERAGEIFS(AllData[Nitrate (PPM)], AllData[Site Name], $B33, AllData[Season], "Autumn", AllData[Year], "2025"), "")</f>
        <v/>
      </c>
      <c r="BT33" s="27" t="str">
        <f t="shared" si="32"/>
        <v/>
      </c>
      <c r="BU33" s="27" t="str">
        <f t="shared" si="33"/>
        <v/>
      </c>
      <c r="BV33" s="161" t="str">
        <f>IFERROR(AVERAGEIFS(AllData[Phosphate (PPM)], AllData[Site Name], AD33, AllData[Season], "Autumn", AllData[Year], "2025"), "")</f>
        <v/>
      </c>
      <c r="BW33" s="27" t="str">
        <f t="shared" si="34"/>
        <v/>
      </c>
      <c r="BX33" s="28" t="str">
        <f t="shared" si="35"/>
        <v/>
      </c>
      <c r="BY33" s="165">
        <f>COUNTIFS(AllData[Site Name], Tables!$B33, AllData[Season], "Winter", AllData[Year], "2025")</f>
        <v>0</v>
      </c>
      <c r="BZ33" s="160" t="str">
        <f>IFERROR(AVERAGEIFS(AllData[Nitrate (PPM)], AllData[Site Name], $B33, AllData[Season], "Winter", AllData[Year], "2025"), "")</f>
        <v/>
      </c>
      <c r="CA33" s="27" t="str">
        <f t="shared" si="36"/>
        <v/>
      </c>
      <c r="CB33" s="27" t="str">
        <f t="shared" si="40"/>
        <v/>
      </c>
      <c r="CC33" s="161" t="str">
        <f>IFERROR(AVERAGEIFS(AllData[Phosphate (PPM)], AllData[Site Name], $B33, AllData[Season], "Winter", AllData[Year], "2025"), "")</f>
        <v/>
      </c>
      <c r="CD33" s="27" t="str">
        <f t="shared" si="38"/>
        <v/>
      </c>
      <c r="CE33" s="44" t="str">
        <f t="shared" si="41"/>
        <v/>
      </c>
    </row>
    <row r="34" spans="2:83" x14ac:dyDescent="0.35">
      <c r="B34" s="159" t="s">
        <v>3563</v>
      </c>
      <c r="C34" s="113">
        <f>IFERROR(AVERAGEIF(AllData[Site Name], Tables!B34, AllData[Latitude]), "Unknown")</f>
        <v>52.172840000000001</v>
      </c>
      <c r="D34" s="113">
        <f>IFERROR(AVERAGEIF(AllData[Site Name], Tables!B34, AllData[Longitude]), "Unknown")</f>
        <v>-1.71377</v>
      </c>
      <c r="E34" s="13" t="e" vm="1">
        <f>_xlfn.XLOOKUP(B34,LocationsKey[Site Name], LocationsKey[District])</f>
        <v>#VALUE!</v>
      </c>
      <c r="F34" s="13" t="e" vm="22">
        <f>_xlfn.XLOOKUP(B34,LocationsKey[Site Name], LocationsKey[Town])</f>
        <v>#VALUE!</v>
      </c>
      <c r="G34" s="25" t="str">
        <f>_xlfn.XLOOKUP(B34,LocationsKey[Site Name],LocationsKey[Waterway])</f>
        <v>Stour</v>
      </c>
      <c r="H34" s="157">
        <f>COUNTIF(AllData[Site Name], Tables!B34)</f>
        <v>6</v>
      </c>
      <c r="I34" s="160">
        <f t="shared" si="0"/>
        <v>5.666666666666667</v>
      </c>
      <c r="J34" s="161">
        <f t="shared" si="1"/>
        <v>0.28999999999999998</v>
      </c>
      <c r="K34" s="27" cm="1">
        <f t="array" ref="K34">SUM(COUNTIFS(AllData[Site Name], B34, AllData[Nitrate Pollution Category], {"High","Very high"}))/COUNTIFS(AllData[Site Name], B34, AllData[Nitrate (PPM)], "&lt;&gt;0")</f>
        <v>1</v>
      </c>
      <c r="L34" s="27" cm="1">
        <f t="array" ref="L34">SUM(COUNTIFS(AllData[Site Name], B34, AllData[Phosphate Pollution Category], {"High","Very high"}))/COUNTIFS(AllData[Site Name], B34, AllData[Phosphate (PPM)], "&lt;&gt;0")</f>
        <v>1</v>
      </c>
      <c r="M34" s="157">
        <f t="shared" si="2"/>
        <v>44</v>
      </c>
      <c r="N34" s="157">
        <f t="shared" si="3"/>
        <v>72</v>
      </c>
      <c r="O34" s="26">
        <f>COUNTIFS(AllData[Site Name], Tables!$B34, AllData[Season], "Summer", AllData[Year], "2023")</f>
        <v>0</v>
      </c>
      <c r="P34" s="160" t="str">
        <f>IFERROR(AVERAGEIFS(AllData[Nitrate (PPM)], AllData[Site Name], $B34, AllData[Season], "Summer", AllData[Year], "2023"), "")</f>
        <v/>
      </c>
      <c r="Q34" s="27" t="str">
        <f t="shared" si="4"/>
        <v/>
      </c>
      <c r="R34" s="161" t="str">
        <f>IFERROR(AVERAGEIFS(AllData[Phosphate (PPM)], AllData[Site Name], $B34, AllData[Season], "Summer", AllData[Year], "2023"),"")</f>
        <v/>
      </c>
      <c r="S34" s="28" t="str">
        <f t="shared" si="5"/>
        <v/>
      </c>
      <c r="T34" s="26">
        <f>COUNTIFS(AllData[Site Name], Tables!$B34, AllData[Season], "Autumn", AllData[Year], "2023")</f>
        <v>0</v>
      </c>
      <c r="U34" s="160" t="str">
        <f>IFERROR(AVERAGEIFS(AllData[Nitrate (PPM)], AllData[Site Name], $B34, AllData[Season], "Autumn", AllData[Year], "2023"), "")</f>
        <v/>
      </c>
      <c r="V34" s="27" t="str">
        <f t="shared" si="6"/>
        <v/>
      </c>
      <c r="W34" s="161" t="str">
        <f>IFERROR(AVERAGEIFS(AllData[Phosphate (PPM)], AllData[Site Name], $B34, AllData[Season], "Autumn", AllData[Year], "2023"),"")</f>
        <v/>
      </c>
      <c r="X34" s="28" t="str">
        <f t="shared" si="7"/>
        <v/>
      </c>
      <c r="Y34" s="26">
        <f>COUNTIFS(AllData[Site Name], Tables!$B34, AllData[Season], "Winter", AllData[Year], "2023")</f>
        <v>6</v>
      </c>
      <c r="Z34" s="160">
        <f>IFERROR(AVERAGEIFS(AllData[Nitrate (PPM)], AllData[Site Name], $B34, AllData[Season], "Winter", AllData[Year], "2023"), "")</f>
        <v>5.666666666666667</v>
      </c>
      <c r="AA34" s="27">
        <f t="shared" si="8"/>
        <v>0</v>
      </c>
      <c r="AB34" s="161">
        <f>IFERROR(AVERAGEIFS(AllData[Phosphate (PPM)], AllData[Site Name], $B34, AllData[Season], "Winter", AllData[Year], "2023"),"")</f>
        <v>0.28999999999999998</v>
      </c>
      <c r="AC34" s="28">
        <f t="shared" si="9"/>
        <v>0</v>
      </c>
      <c r="AD34" s="26">
        <f>COUNTIFS(AllData[Site Name], Tables!$B34, AllData[Season], "Spring", AllData[Year], "2024")</f>
        <v>0</v>
      </c>
      <c r="AE34" s="160" t="str">
        <f>IFERROR(AVERAGEIFS(AllData[Nitrate (PPM)], AllData[Site Name], $B34, AllData[Season], "Spring", AllData[Year], "2024"), "")</f>
        <v/>
      </c>
      <c r="AF34" s="27" t="str">
        <f t="shared" si="10"/>
        <v/>
      </c>
      <c r="AG34" s="161" t="str">
        <f>IFERROR(AVERAGEIFS(AllData[Phosphate (PPM)], AllData[Site Name], $B34, AllData[Season], "Spring", AllData[Year], "2024"),"")</f>
        <v/>
      </c>
      <c r="AH34" s="28" t="str">
        <f t="shared" si="11"/>
        <v/>
      </c>
      <c r="AI34" s="165">
        <f>COUNTIFS(AllData[Site Name], Tables!$B34, AllData[Season], "Summer", AllData[Year], "2024")</f>
        <v>0</v>
      </c>
      <c r="AJ34" s="160" t="str">
        <f>IFERROR(AVERAGEIFS(AllData[Nitrate (PPM)], AllData[Site Name], $B34, AllData[Season], "Summer", AllData[Year], "2024"), "")</f>
        <v/>
      </c>
      <c r="AK34" s="27" t="str">
        <f t="shared" si="12"/>
        <v/>
      </c>
      <c r="AL34" s="27" t="str">
        <f t="shared" si="13"/>
        <v/>
      </c>
      <c r="AM34" s="161" t="str">
        <f>IFERROR(AVERAGEIFS(AllData[Phosphate (PPM)], AllData[Site Name], $B34, AllData[Season], "Summer", AllData[Year], "2024"),"")</f>
        <v/>
      </c>
      <c r="AN34" s="27" t="str">
        <f t="shared" si="14"/>
        <v/>
      </c>
      <c r="AO34" s="28" t="str">
        <f t="shared" si="15"/>
        <v/>
      </c>
      <c r="AP34" s="157">
        <f>COUNTIFS(AllData[Site Name], Tables!$B34, AllData[Season], "Autumn", AllData[Year], "2024")</f>
        <v>0</v>
      </c>
      <c r="AQ34" s="160" t="str">
        <f>IFERROR(AVERAGEIFS(AllData[Nitrate (PPM)], AllData[Site Name], $B34, AllData[Season], "Autumn", AllData[Year], "2024"), "")</f>
        <v/>
      </c>
      <c r="AR34" s="27" t="str">
        <f t="shared" si="16"/>
        <v/>
      </c>
      <c r="AS34" s="27" t="str">
        <f t="shared" si="17"/>
        <v/>
      </c>
      <c r="AT34" s="161" t="str">
        <f>IFERROR(AVERAGEIFS(AllData[Phosphate (PPM)], AllData[Site Name], B34, AllData[Season], "Autumn", AllData[Year], "2024"), "")</f>
        <v/>
      </c>
      <c r="AU34" s="27" t="str">
        <f t="shared" si="18"/>
        <v/>
      </c>
      <c r="AV34" s="28" t="str">
        <f t="shared" si="19"/>
        <v/>
      </c>
      <c r="AW34" s="165">
        <f>COUNTIFS(AllData[Site Name], Tables!$B34, AllData[Season], "Winter", AllData[Year], "2024")</f>
        <v>0</v>
      </c>
      <c r="AX34" s="160" t="str">
        <f>IFERROR(AVERAGEIFS(AllData[Nitrate (PPM)], AllData[Site Name], $B34, AllData[Season], "Winter", AllData[Year], "2024"), "")</f>
        <v/>
      </c>
      <c r="AY34" s="27" t="str">
        <f t="shared" si="20"/>
        <v/>
      </c>
      <c r="AZ34" s="27" t="str">
        <f t="shared" si="21"/>
        <v/>
      </c>
      <c r="BA34" s="161" t="str">
        <f>IFERROR(AVERAGEIFS(AllData[Phosphate (PPM)], AllData[Site Name], $B34, AllData[Season], "Winter", AllData[Year], "2024"), "")</f>
        <v/>
      </c>
      <c r="BB34" s="27" t="str">
        <f t="shared" si="22"/>
        <v/>
      </c>
      <c r="BC34" s="44" t="str">
        <f t="shared" si="23"/>
        <v/>
      </c>
      <c r="BD34" s="157">
        <f>COUNTIFS(AllData[Site Name], Tables!$B34, AllData[Season], "Spring", AllData[Year], "2025")</f>
        <v>0</v>
      </c>
      <c r="BE34" s="160" t="str">
        <f>IFERROR(AVERAGEIFS(AllData[Nitrate (PPM)], AllData[Site Name], $B34, AllData[Season], "Spring", AllData[Year], "2025"), "")</f>
        <v/>
      </c>
      <c r="BF34" s="27" t="str">
        <f t="shared" si="24"/>
        <v/>
      </c>
      <c r="BG34" s="27" t="str">
        <f t="shared" si="25"/>
        <v/>
      </c>
      <c r="BH34" s="161" t="str">
        <f>IFERROR(AVERAGEIFS(AllData[Phosphate (PPM)], AllData[Site Name], $B34, AllData[Season], "Spring", AllData[Year], "2025"), "")</f>
        <v/>
      </c>
      <c r="BI34" s="27" t="str">
        <f t="shared" si="26"/>
        <v/>
      </c>
      <c r="BJ34" s="27" t="str">
        <f t="shared" si="27"/>
        <v/>
      </c>
      <c r="BK34" s="165">
        <f>COUNTIFS(AllData[Site Name], Tables!$B34, AllData[Season], "Summer", AllData[Year], "2025")</f>
        <v>0</v>
      </c>
      <c r="BL34" s="160" t="str">
        <f>IFERROR(AVERAGEIFS(AllData[Nitrate (PPM)], AllData[Site Name], $B34, AllData[Season], "Summer", AllData[Year], "2025"), "")</f>
        <v/>
      </c>
      <c r="BM34" s="27" t="str">
        <f t="shared" si="28"/>
        <v/>
      </c>
      <c r="BN34" s="27" t="str">
        <f t="shared" si="29"/>
        <v/>
      </c>
      <c r="BO34" s="161" t="str">
        <f>IFERROR(AVERAGEIFS(AllData[Phosphate (PPM)], AllData[Site Name], $B34, AllData[Season], "Summer", AllData[Year], "2025"),"")</f>
        <v/>
      </c>
      <c r="BP34" s="27" t="str">
        <f t="shared" si="30"/>
        <v/>
      </c>
      <c r="BQ34" s="27" t="str">
        <f t="shared" si="31"/>
        <v/>
      </c>
      <c r="BR34" s="165">
        <f>COUNTIFS(AllData[Site Name], Tables!$B34, AllData[Season], "Autumn", AllData[Year], "2025")</f>
        <v>0</v>
      </c>
      <c r="BS34" s="160" t="str">
        <f>IFERROR(AVERAGEIFS(AllData[Nitrate (PPM)], AllData[Site Name], $B34, AllData[Season], "Autumn", AllData[Year], "2025"), "")</f>
        <v/>
      </c>
      <c r="BT34" s="27" t="str">
        <f t="shared" si="32"/>
        <v/>
      </c>
      <c r="BU34" s="27" t="str">
        <f t="shared" si="33"/>
        <v/>
      </c>
      <c r="BV34" s="161" t="str">
        <f>IFERROR(AVERAGEIFS(AllData[Phosphate (PPM)], AllData[Site Name], AD34, AllData[Season], "Autumn", AllData[Year], "2025"), "")</f>
        <v/>
      </c>
      <c r="BW34" s="27" t="str">
        <f t="shared" si="34"/>
        <v/>
      </c>
      <c r="BX34" s="28" t="str">
        <f t="shared" si="35"/>
        <v/>
      </c>
      <c r="BY34" s="165">
        <f>COUNTIFS(AllData[Site Name], Tables!$B34, AllData[Season], "Winter", AllData[Year], "2025")</f>
        <v>0</v>
      </c>
      <c r="BZ34" s="160" t="str">
        <f>IFERROR(AVERAGEIFS(AllData[Nitrate (PPM)], AllData[Site Name], $B34, AllData[Season], "Winter", AllData[Year], "2025"), "")</f>
        <v/>
      </c>
      <c r="CA34" s="27" t="str">
        <f t="shared" si="36"/>
        <v/>
      </c>
      <c r="CB34" s="27" t="str">
        <f t="shared" si="40"/>
        <v/>
      </c>
      <c r="CC34" s="161" t="str">
        <f>IFERROR(AVERAGEIFS(AllData[Phosphate (PPM)], AllData[Site Name], $B34, AllData[Season], "Winter", AllData[Year], "2025"), "")</f>
        <v/>
      </c>
      <c r="CD34" s="27" t="str">
        <f t="shared" si="38"/>
        <v/>
      </c>
      <c r="CE34" s="44" t="str">
        <f t="shared" si="41"/>
        <v/>
      </c>
    </row>
    <row r="35" spans="2:83" x14ac:dyDescent="0.35">
      <c r="B35" s="159" t="s">
        <v>2374</v>
      </c>
      <c r="C35" s="113">
        <f>IFERROR(AVERAGEIF(AllData[Site Name], Tables!B35, AllData[Latitude]), "Unknown")</f>
        <v>52.032915785714287</v>
      </c>
      <c r="D35" s="113">
        <f>IFERROR(AVERAGEIF(AllData[Site Name], Tables!B35, AllData[Longitude]), "Unknown")</f>
        <v>-2.1158323571428572</v>
      </c>
      <c r="E35" s="13" t="e" vm="6">
        <f>_xlfn.XLOOKUP(B35,LocationsKey[Site Name], LocationsKey[District])</f>
        <v>#VALUE!</v>
      </c>
      <c r="F35" s="13" t="e" vm="11">
        <f>_xlfn.XLOOKUP(B35,LocationsKey[Site Name], LocationsKey[Town])</f>
        <v>#VALUE!</v>
      </c>
      <c r="G35" s="25" t="str">
        <f>_xlfn.XLOOKUP(B35,LocationsKey[Site Name],LocationsKey[Waterway])</f>
        <v>Avon</v>
      </c>
      <c r="H35" s="157">
        <f>COUNTIF(AllData[Site Name], Tables!B35)</f>
        <v>19</v>
      </c>
      <c r="I35" s="160">
        <f t="shared" si="0"/>
        <v>5.4226190476190474</v>
      </c>
      <c r="J35" s="161">
        <f t="shared" si="1"/>
        <v>0.50071428571428578</v>
      </c>
      <c r="K35" s="27" cm="1">
        <f t="array" ref="K35">SUM(COUNTIFS(AllData[Site Name], B35, AllData[Nitrate Pollution Category], {"High","Very high"}))/COUNTIFS(AllData[Site Name], B35, AllData[Nitrate (PPM)], "&lt;&gt;0")</f>
        <v>1</v>
      </c>
      <c r="L35" s="27" cm="1">
        <f t="array" ref="L35">SUM(COUNTIFS(AllData[Site Name], B35, AllData[Phosphate Pollution Category], {"High","Very high"}))/COUNTIFS(AllData[Site Name], B35, AllData[Phosphate (PPM)], "&lt;&gt;0")</f>
        <v>0.94736842105263153</v>
      </c>
      <c r="M35" s="157">
        <f t="shared" si="2"/>
        <v>45</v>
      </c>
      <c r="N35" s="157">
        <f t="shared" si="3"/>
        <v>49</v>
      </c>
      <c r="O35" s="26">
        <f>COUNTIFS(AllData[Site Name], Tables!$B35, AllData[Season], "Summer", AllData[Year], "2023")</f>
        <v>0</v>
      </c>
      <c r="P35" s="160" t="str">
        <f>IFERROR(AVERAGEIFS(AllData[Nitrate (PPM)], AllData[Site Name], $B35, AllData[Season], "Summer", AllData[Year], "2023"), "")</f>
        <v/>
      </c>
      <c r="Q35" s="27" t="str">
        <f t="shared" si="4"/>
        <v/>
      </c>
      <c r="R35" s="161" t="str">
        <f>IFERROR(AVERAGEIFS(AllData[Phosphate (PPM)], AllData[Site Name], $B35, AllData[Season], "Summer", AllData[Year], "2023"),"")</f>
        <v/>
      </c>
      <c r="S35" s="28" t="str">
        <f t="shared" si="5"/>
        <v/>
      </c>
      <c r="T35" s="26">
        <f>COUNTIFS(AllData[Site Name], Tables!$B35, AllData[Season], "Autumn", AllData[Year], "2023")</f>
        <v>0</v>
      </c>
      <c r="U35" s="160" t="str">
        <f>IFERROR(AVERAGEIFS(AllData[Nitrate (PPM)], AllData[Site Name], $B35, AllData[Season], "Autumn", AllData[Year], "2023"), "")</f>
        <v/>
      </c>
      <c r="V35" s="27" t="str">
        <f t="shared" si="6"/>
        <v/>
      </c>
      <c r="W35" s="161" t="str">
        <f>IFERROR(AVERAGEIFS(AllData[Phosphate (PPM)], AllData[Site Name], $B35, AllData[Season], "Autumn", AllData[Year], "2023"),"")</f>
        <v/>
      </c>
      <c r="X35" s="28" t="str">
        <f t="shared" si="7"/>
        <v/>
      </c>
      <c r="Y35" s="26">
        <f>COUNTIFS(AllData[Site Name], Tables!$B35, AllData[Season], "Winter", AllData[Year], "2023")</f>
        <v>0</v>
      </c>
      <c r="Z35" s="160" t="str">
        <f>IFERROR(AVERAGEIFS(AllData[Nitrate (PPM)], AllData[Site Name], $B35, AllData[Season], "Winter", AllData[Year], "2023"), "")</f>
        <v/>
      </c>
      <c r="AA35" s="27" t="str">
        <f t="shared" si="8"/>
        <v/>
      </c>
      <c r="AB35" s="161" t="str">
        <f>IFERROR(AVERAGEIFS(AllData[Phosphate (PPM)], AllData[Site Name], $B35, AllData[Season], "Winter", AllData[Year], "2023"),"")</f>
        <v/>
      </c>
      <c r="AC35" s="28" t="str">
        <f t="shared" si="9"/>
        <v/>
      </c>
      <c r="AD35" s="26">
        <f>COUNTIFS(AllData[Site Name], Tables!$B35, AllData[Season], "Spring", AllData[Year], "2024")</f>
        <v>0</v>
      </c>
      <c r="AE35" s="160" t="str">
        <f>IFERROR(AVERAGEIFS(AllData[Nitrate (PPM)], AllData[Site Name], $B35, AllData[Season], "Spring", AllData[Year], "2024"), "")</f>
        <v/>
      </c>
      <c r="AF35" s="27" t="str">
        <f t="shared" si="10"/>
        <v/>
      </c>
      <c r="AG35" s="161" t="str">
        <f>IFERROR(AVERAGEIFS(AllData[Phosphate (PPM)], AllData[Site Name], $B35, AllData[Season], "Spring", AllData[Year], "2024"),"")</f>
        <v/>
      </c>
      <c r="AH35" s="28" t="str">
        <f t="shared" si="11"/>
        <v/>
      </c>
      <c r="AI35" s="165">
        <f>COUNTIFS(AllData[Site Name], Tables!$B35, AllData[Season], "Summer", AllData[Year], "2024")</f>
        <v>0</v>
      </c>
      <c r="AJ35" s="160" t="str">
        <f>IFERROR(AVERAGEIFS(AllData[Nitrate (PPM)], AllData[Site Name], $B35, AllData[Season], "Summer", AllData[Year], "2024"), "")</f>
        <v/>
      </c>
      <c r="AK35" s="27" t="str">
        <f t="shared" si="12"/>
        <v/>
      </c>
      <c r="AL35" s="27" t="str">
        <f t="shared" si="13"/>
        <v/>
      </c>
      <c r="AM35" s="161" t="str">
        <f>IFERROR(AVERAGEIFS(AllData[Phosphate (PPM)], AllData[Site Name], $B35, AllData[Season], "Summer", AllData[Year], "2024"),"")</f>
        <v/>
      </c>
      <c r="AN35" s="27" t="str">
        <f t="shared" si="14"/>
        <v/>
      </c>
      <c r="AO35" s="28" t="str">
        <f t="shared" si="15"/>
        <v/>
      </c>
      <c r="AP35" s="157">
        <f>COUNTIFS(AllData[Site Name], Tables!$B35, AllData[Season], "Autumn", AllData[Year], "2024")</f>
        <v>4</v>
      </c>
      <c r="AQ35" s="160">
        <f>IFERROR(AVERAGEIFS(AllData[Nitrate (PPM)], AllData[Site Name], $B35, AllData[Season], "Autumn", AllData[Year], "2024"), "")</f>
        <v>6</v>
      </c>
      <c r="AR35" s="27">
        <f t="shared" si="16"/>
        <v>0.1064763995609221</v>
      </c>
      <c r="AS35" s="27" t="str">
        <f t="shared" si="17"/>
        <v/>
      </c>
      <c r="AT35" s="161">
        <f>IFERROR(AVERAGEIFS(AllData[Phosphate (PPM)], AllData[Site Name], B35, AllData[Season], "Autumn", AllData[Year], "2024"), "")</f>
        <v>0.64249999999999996</v>
      </c>
      <c r="AU35" s="27">
        <f t="shared" si="18"/>
        <v>0.28316690442225367</v>
      </c>
      <c r="AV35" s="28" t="str">
        <f t="shared" si="19"/>
        <v/>
      </c>
      <c r="AW35" s="165">
        <f>COUNTIFS(AllData[Site Name], Tables!$B35, AllData[Season], "Winter", AllData[Year], "2024")</f>
        <v>8</v>
      </c>
      <c r="AX35" s="160">
        <f>IFERROR(AVERAGEIFS(AllData[Nitrate (PPM)], AllData[Site Name], $B35, AllData[Season], "Winter", AllData[Year], "2024"), "")</f>
        <v>3.125</v>
      </c>
      <c r="AY35" s="27">
        <f t="shared" si="20"/>
        <v>-0.42371020856201974</v>
      </c>
      <c r="AZ35" s="27" t="str">
        <f t="shared" si="21"/>
        <v/>
      </c>
      <c r="BA35" s="161">
        <f>IFERROR(AVERAGEIFS(AllData[Phosphate (PPM)], AllData[Site Name], $B35, AllData[Season], "Winter", AllData[Year], "2024"), "")</f>
        <v>0.52249999999999996</v>
      </c>
      <c r="BB35" s="27">
        <f t="shared" si="22"/>
        <v>4.3509272467902795E-2</v>
      </c>
      <c r="BC35" s="44" t="str">
        <f t="shared" si="23"/>
        <v/>
      </c>
      <c r="BD35" s="157">
        <f>COUNTIFS(AllData[Site Name], Tables!$B35, AllData[Season], "Spring", AllData[Year], "2025")</f>
        <v>7</v>
      </c>
      <c r="BE35" s="160">
        <f>IFERROR(AVERAGEIFS(AllData[Nitrate (PPM)], AllData[Site Name], $B35, AllData[Season], "Spring", AllData[Year], "2025"), "")</f>
        <v>7.1428571428571432</v>
      </c>
      <c r="BF35" s="27">
        <f t="shared" si="24"/>
        <v>0.31723380900109782</v>
      </c>
      <c r="BG35" s="27" t="str">
        <f t="shared" si="25"/>
        <v/>
      </c>
      <c r="BH35" s="161">
        <f>IFERROR(AVERAGEIFS(AllData[Phosphate (PPM)], AllData[Site Name], $B35, AllData[Season], "Spring", AllData[Year], "2025"), "")</f>
        <v>0.33714285714285713</v>
      </c>
      <c r="BI35" s="27">
        <f t="shared" si="26"/>
        <v>-0.32667617689015704</v>
      </c>
      <c r="BJ35" s="27" t="str">
        <f t="shared" si="27"/>
        <v/>
      </c>
      <c r="BK35" s="165">
        <f>COUNTIFS(AllData[Site Name], Tables!$B35, AllData[Season], "Summer", AllData[Year], "2025")</f>
        <v>0</v>
      </c>
      <c r="BL35" s="160" t="str">
        <f>IFERROR(AVERAGEIFS(AllData[Nitrate (PPM)], AllData[Site Name], $B35, AllData[Season], "Summer", AllData[Year], "2025"), "")</f>
        <v/>
      </c>
      <c r="BM35" s="27" t="str">
        <f t="shared" si="28"/>
        <v/>
      </c>
      <c r="BN35" s="27" t="str">
        <f t="shared" si="29"/>
        <v/>
      </c>
      <c r="BO35" s="161" t="str">
        <f>IFERROR(AVERAGEIFS(AllData[Phosphate (PPM)], AllData[Site Name], $B35, AllData[Season], "Summer", AllData[Year], "2025"),"")</f>
        <v/>
      </c>
      <c r="BP35" s="27" t="str">
        <f t="shared" si="30"/>
        <v/>
      </c>
      <c r="BQ35" s="27" t="str">
        <f t="shared" si="31"/>
        <v/>
      </c>
      <c r="BR35" s="165">
        <f>COUNTIFS(AllData[Site Name], Tables!$B35, AllData[Season], "Autumn", AllData[Year], "2025")</f>
        <v>0</v>
      </c>
      <c r="BS35" s="160" t="str">
        <f>IFERROR(AVERAGEIFS(AllData[Nitrate (PPM)], AllData[Site Name], $B35, AllData[Season], "Autumn", AllData[Year], "2025"), "")</f>
        <v/>
      </c>
      <c r="BT35" s="27" t="str">
        <f t="shared" si="32"/>
        <v/>
      </c>
      <c r="BU35" s="27" t="str">
        <f t="shared" si="33"/>
        <v/>
      </c>
      <c r="BV35" s="161" t="str">
        <f>IFERROR(AVERAGEIFS(AllData[Phosphate (PPM)], AllData[Site Name], AD35, AllData[Season], "Autumn", AllData[Year], "2025"), "")</f>
        <v/>
      </c>
      <c r="BW35" s="27" t="str">
        <f t="shared" si="34"/>
        <v/>
      </c>
      <c r="BX35" s="28" t="str">
        <f t="shared" si="35"/>
        <v/>
      </c>
      <c r="BY35" s="165">
        <f>COUNTIFS(AllData[Site Name], Tables!$B35, AllData[Season], "Winter", AllData[Year], "2025")</f>
        <v>0</v>
      </c>
      <c r="BZ35" s="160" t="str">
        <f>IFERROR(AVERAGEIFS(AllData[Nitrate (PPM)], AllData[Site Name], $B35, AllData[Season], "Winter", AllData[Year], "2025"), "")</f>
        <v/>
      </c>
      <c r="CA35" s="27" t="str">
        <f t="shared" si="36"/>
        <v/>
      </c>
      <c r="CB35" s="27" t="str">
        <f t="shared" si="40"/>
        <v/>
      </c>
      <c r="CC35" s="161" t="str">
        <f>IFERROR(AVERAGEIFS(AllData[Phosphate (PPM)], AllData[Site Name], $B35, AllData[Season], "Winter", AllData[Year], "2025"), "")</f>
        <v/>
      </c>
      <c r="CD35" s="27" t="str">
        <f t="shared" si="38"/>
        <v/>
      </c>
      <c r="CE35" s="44" t="str">
        <f t="shared" si="41"/>
        <v/>
      </c>
    </row>
    <row r="36" spans="2:83" x14ac:dyDescent="0.35">
      <c r="B36" s="159" t="s">
        <v>875</v>
      </c>
      <c r="C36" s="113">
        <f>IFERROR(AVERAGEIF(AllData[Site Name], Tables!B36, AllData[Latitude]), "Unknown")</f>
        <v>52.069044372881365</v>
      </c>
      <c r="D36" s="113">
        <f>IFERROR(AVERAGEIF(AllData[Site Name], Tables!B36, AllData[Longitude]), "Unknown")</f>
        <v>-1.6116270169491524</v>
      </c>
      <c r="E36" s="13" t="e" vm="1">
        <f>_xlfn.XLOOKUP(B36,LocationsKey[Site Name], LocationsKey[District])</f>
        <v>#VALUE!</v>
      </c>
      <c r="F36" s="13" t="e" vm="15">
        <f>_xlfn.XLOOKUP(B36,LocationsKey[Site Name], LocationsKey[Town])</f>
        <v>#VALUE!</v>
      </c>
      <c r="G36" s="25" t="str">
        <f>_xlfn.XLOOKUP(B36,LocationsKey[Site Name],LocationsKey[Waterway])</f>
        <v>Stour</v>
      </c>
      <c r="H36" s="157">
        <f>COUNTIF(AllData[Site Name], Tables!B36)</f>
        <v>60</v>
      </c>
      <c r="I36" s="160">
        <f t="shared" si="0"/>
        <v>4.3892135642135637</v>
      </c>
      <c r="J36" s="161">
        <f t="shared" si="1"/>
        <v>0.41185064935064936</v>
      </c>
      <c r="K36" s="27" cm="1">
        <f t="array" ref="K36">SUM(COUNTIFS(AllData[Site Name], B36, AllData[Nitrate Pollution Category], {"High","Very high"}))/COUNTIFS(AllData[Site Name], B36, AllData[Nitrate (PPM)], "&lt;&gt;0")</f>
        <v>0.8214285714285714</v>
      </c>
      <c r="L36" s="27" cm="1">
        <f t="array" ref="L36">SUM(COUNTIFS(AllData[Site Name], B36, AllData[Phosphate Pollution Category], {"High","Very high"}))/COUNTIFS(AllData[Site Name], B36, AllData[Phosphate (PPM)], "&lt;&gt;0")</f>
        <v>0.98333333333333328</v>
      </c>
      <c r="M36" s="157">
        <f t="shared" si="2"/>
        <v>61</v>
      </c>
      <c r="N36" s="157">
        <f t="shared" si="3"/>
        <v>64</v>
      </c>
      <c r="O36" s="26">
        <f>COUNTIFS(AllData[Site Name], Tables!$B36, AllData[Season], "Summer", AllData[Year], "2023")</f>
        <v>0</v>
      </c>
      <c r="P36" s="160" t="str">
        <f>IFERROR(AVERAGEIFS(AllData[Nitrate (PPM)], AllData[Site Name], $B36, AllData[Season], "Summer", AllData[Year], "2023"), "")</f>
        <v/>
      </c>
      <c r="Q36" s="27" t="str">
        <f t="shared" si="4"/>
        <v/>
      </c>
      <c r="R36" s="161" t="str">
        <f>IFERROR(AVERAGEIFS(AllData[Phosphate (PPM)], AllData[Site Name], $B36, AllData[Season], "Summer", AllData[Year], "2023"),"")</f>
        <v/>
      </c>
      <c r="S36" s="28" t="str">
        <f t="shared" si="5"/>
        <v/>
      </c>
      <c r="T36" s="26">
        <f>COUNTIFS(AllData[Site Name], Tables!$B36, AllData[Season], "Autumn", AllData[Year], "2023")</f>
        <v>0</v>
      </c>
      <c r="U36" s="160" t="str">
        <f>IFERROR(AVERAGEIFS(AllData[Nitrate (PPM)], AllData[Site Name], $B36, AllData[Season], "Autumn", AllData[Year], "2023"), "")</f>
        <v/>
      </c>
      <c r="V36" s="27" t="str">
        <f t="shared" si="6"/>
        <v/>
      </c>
      <c r="W36" s="161" t="str">
        <f>IFERROR(AVERAGEIFS(AllData[Phosphate (PPM)], AllData[Site Name], $B36, AllData[Season], "Autumn", AllData[Year], "2023"),"")</f>
        <v/>
      </c>
      <c r="X36" s="28" t="str">
        <f t="shared" si="7"/>
        <v/>
      </c>
      <c r="Y36" s="26">
        <f>COUNTIFS(AllData[Site Name], Tables!$B36, AllData[Season], "Winter", AllData[Year], "2023")</f>
        <v>8</v>
      </c>
      <c r="Z36" s="160">
        <f>IFERROR(AVERAGEIFS(AllData[Nitrate (PPM)], AllData[Site Name], $B36, AllData[Season], "Winter", AllData[Year], "2023"), "")</f>
        <v>6.75</v>
      </c>
      <c r="AA36" s="27">
        <f t="shared" si="8"/>
        <v>0.53786091773582445</v>
      </c>
      <c r="AB36" s="161">
        <f>IFERROR(AVERAGEIFS(AllData[Phosphate (PPM)], AllData[Site Name], $B36, AllData[Season], "Winter", AllData[Year], "2023"),"")</f>
        <v>0.33250000000000002</v>
      </c>
      <c r="AC36" s="28">
        <f t="shared" si="9"/>
        <v>-0.1926685061095782</v>
      </c>
      <c r="AD36" s="26">
        <f>COUNTIFS(AllData[Site Name], Tables!$B36, AllData[Season], "Spring", AllData[Year], "2024")</f>
        <v>10</v>
      </c>
      <c r="AE36" s="160">
        <f>IFERROR(AVERAGEIFS(AllData[Nitrate (PPM)], AllData[Site Name], $B36, AllData[Season], "Spring", AllData[Year], "2024"), "")</f>
        <v>7.2</v>
      </c>
      <c r="AF36" s="27">
        <f t="shared" si="10"/>
        <v>0.64038497891821278</v>
      </c>
      <c r="AG36" s="161">
        <f>IFERROR(AVERAGEIFS(AllData[Phosphate (PPM)], AllData[Site Name], $B36, AllData[Season], "Spring", AllData[Year], "2024"),"")</f>
        <v>0.34</v>
      </c>
      <c r="AH36" s="28">
        <f t="shared" si="11"/>
        <v>-0.17445802128498222</v>
      </c>
      <c r="AI36" s="165">
        <f>COUNTIFS(AllData[Site Name], Tables!$B36, AllData[Season], "Summer", AllData[Year], "2024")</f>
        <v>11</v>
      </c>
      <c r="AJ36" s="160">
        <f>IFERROR(AVERAGEIFS(AllData[Nitrate (PPM)], AllData[Site Name], $B36, AllData[Season], "Summer", AllData[Year], "2024"), "")</f>
        <v>5.9090909090909092</v>
      </c>
      <c r="AK36" s="27">
        <f t="shared" si="12"/>
        <v>0.34627555087984635</v>
      </c>
      <c r="AL36" s="27" t="str">
        <f t="shared" si="13"/>
        <v/>
      </c>
      <c r="AM36" s="161">
        <f>IFERROR(AVERAGEIFS(AllData[Phosphate (PPM)], AllData[Site Name], $B36, AllData[Season], "Summer", AllData[Year], "2024"),"")</f>
        <v>0.56181818181818188</v>
      </c>
      <c r="AN36" s="27">
        <f t="shared" si="14"/>
        <v>0.36413086322428079</v>
      </c>
      <c r="AO36" s="28" t="str">
        <f t="shared" si="15"/>
        <v/>
      </c>
      <c r="AP36" s="157">
        <f>COUNTIFS(AllData[Site Name], Tables!$B36, AllData[Season], "Autumn", AllData[Year], "2024")</f>
        <v>12</v>
      </c>
      <c r="AQ36" s="160">
        <f>IFERROR(AVERAGEIFS(AllData[Nitrate (PPM)], AllData[Site Name], $B36, AllData[Season], "Autumn", AllData[Year], "2024"), "")</f>
        <v>4.583333333333333</v>
      </c>
      <c r="AR36" s="27">
        <f t="shared" si="16"/>
        <v>4.4226549079880717E-2</v>
      </c>
      <c r="AS36" s="27" t="str">
        <f t="shared" si="17"/>
        <v/>
      </c>
      <c r="AT36" s="161">
        <f>IFERROR(AVERAGEIFS(AllData[Phosphate (PPM)], AllData[Site Name], B36, AllData[Season], "Autumn", AllData[Year], "2024"), "")</f>
        <v>0.44416666666666677</v>
      </c>
      <c r="AU36" s="27">
        <f t="shared" si="18"/>
        <v>7.8465379056628787E-2</v>
      </c>
      <c r="AV36" s="28" t="str">
        <f t="shared" si="19"/>
        <v/>
      </c>
      <c r="AW36" s="165">
        <f>COUNTIFS(AllData[Site Name], Tables!$B36, AllData[Season], "Winter", AllData[Year], "2024")</f>
        <v>12</v>
      </c>
      <c r="AX36" s="160">
        <f>IFERROR(AVERAGEIFS(AllData[Nitrate (PPM)], AllData[Site Name], $B36, AllData[Season], "Winter", AllData[Year], "2024"), "")</f>
        <v>1.25</v>
      </c>
      <c r="AY36" s="27">
        <f t="shared" si="20"/>
        <v>-0.71521094116003248</v>
      </c>
      <c r="AZ36" s="27">
        <f t="shared" si="21"/>
        <v>-0.81481481481481477</v>
      </c>
      <c r="BA36" s="161">
        <f>IFERROR(AVERAGEIFS(AllData[Phosphate (PPM)], AllData[Site Name], $B36, AllData[Season], "Winter", AllData[Year], "2024"), "")</f>
        <v>0.44833333333333342</v>
      </c>
      <c r="BB36" s="27">
        <f t="shared" si="22"/>
        <v>8.8582315070293183E-2</v>
      </c>
      <c r="BC36" s="44">
        <f t="shared" si="23"/>
        <v>0.34837092731829594</v>
      </c>
      <c r="BD36" s="157">
        <f>COUNTIFS(AllData[Site Name], Tables!$B36, AllData[Season], "Spring", AllData[Year], "2025")</f>
        <v>7</v>
      </c>
      <c r="BE36" s="160">
        <f>IFERROR(AVERAGEIFS(AllData[Nitrate (PPM)], AllData[Site Name], $B36, AllData[Season], "Spring", AllData[Year], "2025"), "")</f>
        <v>0.6428571428571429</v>
      </c>
      <c r="BF36" s="27">
        <f t="shared" si="24"/>
        <v>-0.85353705545373104</v>
      </c>
      <c r="BG36" s="27">
        <f t="shared" si="25"/>
        <v>-0.9107142857142857</v>
      </c>
      <c r="BH36" s="161">
        <f>IFERROR(AVERAGEIFS(AllData[Phosphate (PPM)], AllData[Site Name], $B36, AllData[Season], "Spring", AllData[Year], "2025"), "")</f>
        <v>0.34428571428571431</v>
      </c>
      <c r="BI36" s="27">
        <f t="shared" si="26"/>
        <v>-0.16405202995664167</v>
      </c>
      <c r="BJ36" s="27">
        <f t="shared" si="27"/>
        <v>1.2605042016806709E-2</v>
      </c>
      <c r="BK36" s="165">
        <f>COUNTIFS(AllData[Site Name], Tables!$B36, AllData[Season], "Summer", AllData[Year], "2025")</f>
        <v>0</v>
      </c>
      <c r="BL36" s="160" t="str">
        <f>IFERROR(AVERAGEIFS(AllData[Nitrate (PPM)], AllData[Site Name], $B36, AllData[Season], "Summer", AllData[Year], "2025"), "")</f>
        <v/>
      </c>
      <c r="BM36" s="27" t="str">
        <f t="shared" si="28"/>
        <v/>
      </c>
      <c r="BN36" s="27" t="str">
        <f t="shared" si="29"/>
        <v/>
      </c>
      <c r="BO36" s="161" t="str">
        <f>IFERROR(AVERAGEIFS(AllData[Phosphate (PPM)], AllData[Site Name], $B36, AllData[Season], "Summer", AllData[Year], "2025"),"")</f>
        <v/>
      </c>
      <c r="BP36" s="27" t="str">
        <f t="shared" si="30"/>
        <v/>
      </c>
      <c r="BQ36" s="27" t="str">
        <f t="shared" si="31"/>
        <v/>
      </c>
      <c r="BR36" s="165">
        <f>COUNTIFS(AllData[Site Name], Tables!$B36, AllData[Season], "Autumn", AllData[Year], "2025")</f>
        <v>0</v>
      </c>
      <c r="BS36" s="160" t="str">
        <f>IFERROR(AVERAGEIFS(AllData[Nitrate (PPM)], AllData[Site Name], $B36, AllData[Season], "Autumn", AllData[Year], "2025"), "")</f>
        <v/>
      </c>
      <c r="BT36" s="27" t="str">
        <f t="shared" si="32"/>
        <v/>
      </c>
      <c r="BU36" s="27" t="str">
        <f t="shared" si="33"/>
        <v/>
      </c>
      <c r="BV36" s="161" t="str">
        <f>IFERROR(AVERAGEIFS(AllData[Phosphate (PPM)], AllData[Site Name], AD36, AllData[Season], "Autumn", AllData[Year], "2025"), "")</f>
        <v/>
      </c>
      <c r="BW36" s="27" t="str">
        <f t="shared" si="34"/>
        <v/>
      </c>
      <c r="BX36" s="28" t="str">
        <f t="shared" si="35"/>
        <v/>
      </c>
      <c r="BY36" s="165">
        <f>COUNTIFS(AllData[Site Name], Tables!$B36, AllData[Season], "Winter", AllData[Year], "2025")</f>
        <v>0</v>
      </c>
      <c r="BZ36" s="160" t="str">
        <f>IFERROR(AVERAGEIFS(AllData[Nitrate (PPM)], AllData[Site Name], $B36, AllData[Season], "Winter", AllData[Year], "2025"), "")</f>
        <v/>
      </c>
      <c r="CA36" s="27" t="str">
        <f t="shared" si="36"/>
        <v/>
      </c>
      <c r="CB36" s="27" t="str">
        <f t="shared" si="40"/>
        <v/>
      </c>
      <c r="CC36" s="161" t="str">
        <f>IFERROR(AVERAGEIFS(AllData[Phosphate (PPM)], AllData[Site Name], $B36, AllData[Season], "Winter", AllData[Year], "2025"), "")</f>
        <v/>
      </c>
      <c r="CD36" s="27" t="str">
        <f t="shared" si="38"/>
        <v/>
      </c>
      <c r="CE36" s="44" t="str">
        <f t="shared" si="41"/>
        <v/>
      </c>
    </row>
    <row r="37" spans="2:83" x14ac:dyDescent="0.35">
      <c r="B37" s="159" t="s">
        <v>478</v>
      </c>
      <c r="C37" s="113">
        <f>IFERROR(AVERAGEIF(AllData[Site Name], Tables!B37, AllData[Latitude]), "Unknown")</f>
        <v>52.114730333333341</v>
      </c>
      <c r="D37" s="113">
        <f>IFERROR(AVERAGEIF(AllData[Site Name], Tables!B37, AllData[Longitude]), "Unknown")</f>
        <v>-2.0147456666666668</v>
      </c>
      <c r="E37" s="13" t="e" vm="6">
        <f>_xlfn.XLOOKUP(B37,LocationsKey[Site Name], LocationsKey[District])</f>
        <v>#VALUE!</v>
      </c>
      <c r="F37" s="13" t="e" vm="16">
        <f>_xlfn.XLOOKUP(B37,LocationsKey[Site Name], LocationsKey[Town])</f>
        <v>#VALUE!</v>
      </c>
      <c r="G37" s="25" t="str">
        <f>_xlfn.XLOOKUP(B37,LocationsKey[Site Name],LocationsKey[Waterway])</f>
        <v>Avon</v>
      </c>
      <c r="H37" s="157">
        <f>COUNTIF(AllData[Site Name], Tables!B37)</f>
        <v>3</v>
      </c>
      <c r="I37" s="160">
        <f t="shared" si="0"/>
        <v>5</v>
      </c>
      <c r="J37" s="161">
        <f t="shared" si="1"/>
        <v>0.36</v>
      </c>
      <c r="K37" s="27" cm="1">
        <f t="array" ref="K37">SUM(COUNTIFS(AllData[Site Name], B37, AllData[Nitrate Pollution Category], {"High","Very high"}))/COUNTIFS(AllData[Site Name], B37, AllData[Nitrate (PPM)], "&lt;&gt;0")</f>
        <v>1</v>
      </c>
      <c r="L37" s="27" cm="1">
        <f t="array" ref="L37">SUM(COUNTIFS(AllData[Site Name], B37, AllData[Phosphate Pollution Category], {"High","Very high"}))/COUNTIFS(AllData[Site Name], B37, AllData[Phosphate (PPM)], "&lt;&gt;0")</f>
        <v>0.66666666666666663</v>
      </c>
      <c r="M37" s="157">
        <f t="shared" si="2"/>
        <v>51</v>
      </c>
      <c r="N37" s="157">
        <f t="shared" si="3"/>
        <v>67</v>
      </c>
      <c r="O37" s="26">
        <f>COUNTIFS(AllData[Site Name], Tables!$B37, AllData[Season], "Summer", AllData[Year], "2023")</f>
        <v>0</v>
      </c>
      <c r="P37" s="160" t="str">
        <f>IFERROR(AVERAGEIFS(AllData[Nitrate (PPM)], AllData[Site Name], $B37, AllData[Season], "Summer", AllData[Year], "2023"), "")</f>
        <v/>
      </c>
      <c r="Q37" s="27" t="str">
        <f t="shared" si="4"/>
        <v/>
      </c>
      <c r="R37" s="161" t="str">
        <f>IFERROR(AVERAGEIFS(AllData[Phosphate (PPM)], AllData[Site Name], $B37, AllData[Season], "Summer", AllData[Year], "2023"),"")</f>
        <v/>
      </c>
      <c r="S37" s="28" t="str">
        <f t="shared" si="5"/>
        <v/>
      </c>
      <c r="T37" s="26">
        <f>COUNTIFS(AllData[Site Name], Tables!$B37, AllData[Season], "Autumn", AllData[Year], "2023")</f>
        <v>0</v>
      </c>
      <c r="U37" s="160" t="str">
        <f>IFERROR(AVERAGEIFS(AllData[Nitrate (PPM)], AllData[Site Name], $B37, AllData[Season], "Autumn", AllData[Year], "2023"), "")</f>
        <v/>
      </c>
      <c r="V37" s="27" t="str">
        <f t="shared" si="6"/>
        <v/>
      </c>
      <c r="W37" s="161" t="str">
        <f>IFERROR(AVERAGEIFS(AllData[Phosphate (PPM)], AllData[Site Name], $B37, AllData[Season], "Autumn", AllData[Year], "2023"),"")</f>
        <v/>
      </c>
      <c r="X37" s="28" t="str">
        <f t="shared" si="7"/>
        <v/>
      </c>
      <c r="Y37" s="26">
        <f>COUNTIFS(AllData[Site Name], Tables!$B37, AllData[Season], "Winter", AllData[Year], "2023")</f>
        <v>1</v>
      </c>
      <c r="Z37" s="160">
        <f>IFERROR(AVERAGEIFS(AllData[Nitrate (PPM)], AllData[Site Name], $B37, AllData[Season], "Winter", AllData[Year], "2023"), "")</f>
        <v>10</v>
      </c>
      <c r="AA37" s="27">
        <f t="shared" si="8"/>
        <v>1</v>
      </c>
      <c r="AB37" s="161">
        <f>IFERROR(AVERAGEIFS(AllData[Phosphate (PPM)], AllData[Site Name], $B37, AllData[Season], "Winter", AllData[Year], "2023"),"")</f>
        <v>0.6</v>
      </c>
      <c r="AC37" s="28">
        <f t="shared" si="9"/>
        <v>0.66666666666666663</v>
      </c>
      <c r="AD37" s="26">
        <f>COUNTIFS(AllData[Site Name], Tables!$B37, AllData[Season], "Spring", AllData[Year], "2024")</f>
        <v>0</v>
      </c>
      <c r="AE37" s="160" t="str">
        <f>IFERROR(AVERAGEIFS(AllData[Nitrate (PPM)], AllData[Site Name], $B37, AllData[Season], "Spring", AllData[Year], "2024"), "")</f>
        <v/>
      </c>
      <c r="AF37" s="27" t="str">
        <f t="shared" si="10"/>
        <v/>
      </c>
      <c r="AG37" s="161" t="str">
        <f>IFERROR(AVERAGEIFS(AllData[Phosphate (PPM)], AllData[Site Name], $B37, AllData[Season], "Spring", AllData[Year], "2024"),"")</f>
        <v/>
      </c>
      <c r="AH37" s="28" t="str">
        <f t="shared" si="11"/>
        <v/>
      </c>
      <c r="AI37" s="165">
        <f>COUNTIFS(AllData[Site Name], Tables!$B37, AllData[Season], "Summer", AllData[Year], "2024")</f>
        <v>0</v>
      </c>
      <c r="AJ37" s="160" t="str">
        <f>IFERROR(AVERAGEIFS(AllData[Nitrate (PPM)], AllData[Site Name], $B37, AllData[Season], "Summer", AllData[Year], "2024"), "")</f>
        <v/>
      </c>
      <c r="AK37" s="27" t="str">
        <f t="shared" si="12"/>
        <v/>
      </c>
      <c r="AL37" s="27" t="str">
        <f t="shared" si="13"/>
        <v/>
      </c>
      <c r="AM37" s="161" t="str">
        <f>IFERROR(AVERAGEIFS(AllData[Phosphate (PPM)], AllData[Site Name], $B37, AllData[Season], "Summer", AllData[Year], "2024"),"")</f>
        <v/>
      </c>
      <c r="AN37" s="27" t="str">
        <f t="shared" si="14"/>
        <v/>
      </c>
      <c r="AO37" s="28" t="str">
        <f t="shared" si="15"/>
        <v/>
      </c>
      <c r="AP37" s="157">
        <f>COUNTIFS(AllData[Site Name], Tables!$B37, AllData[Season], "Autumn", AllData[Year], "2024")</f>
        <v>0</v>
      </c>
      <c r="AQ37" s="160" t="str">
        <f>IFERROR(AVERAGEIFS(AllData[Nitrate (PPM)], AllData[Site Name], $B37, AllData[Season], "Autumn", AllData[Year], "2024"), "")</f>
        <v/>
      </c>
      <c r="AR37" s="27" t="str">
        <f t="shared" si="16"/>
        <v/>
      </c>
      <c r="AS37" s="27" t="str">
        <f t="shared" si="17"/>
        <v/>
      </c>
      <c r="AT37" s="161" t="str">
        <f>IFERROR(AVERAGEIFS(AllData[Phosphate (PPM)], AllData[Site Name], B37, AllData[Season], "Autumn", AllData[Year], "2024"), "")</f>
        <v/>
      </c>
      <c r="AU37" s="27" t="str">
        <f t="shared" si="18"/>
        <v/>
      </c>
      <c r="AV37" s="28" t="str">
        <f t="shared" si="19"/>
        <v/>
      </c>
      <c r="AW37" s="165">
        <f>COUNTIFS(AllData[Site Name], Tables!$B37, AllData[Season], "Winter", AllData[Year], "2024")</f>
        <v>0</v>
      </c>
      <c r="AX37" s="160" t="str">
        <f>IFERROR(AVERAGEIFS(AllData[Nitrate (PPM)], AllData[Site Name], $B37, AllData[Season], "Winter", AllData[Year], "2024"), "")</f>
        <v/>
      </c>
      <c r="AY37" s="27" t="str">
        <f t="shared" si="20"/>
        <v/>
      </c>
      <c r="AZ37" s="27" t="str">
        <f t="shared" si="21"/>
        <v/>
      </c>
      <c r="BA37" s="161" t="str">
        <f>IFERROR(AVERAGEIFS(AllData[Phosphate (PPM)], AllData[Site Name], $B37, AllData[Season], "Winter", AllData[Year], "2024"), "")</f>
        <v/>
      </c>
      <c r="BB37" s="27" t="str">
        <f t="shared" si="22"/>
        <v/>
      </c>
      <c r="BC37" s="44" t="str">
        <f t="shared" si="23"/>
        <v/>
      </c>
      <c r="BD37" s="157">
        <f>COUNTIFS(AllData[Site Name], Tables!$B37, AllData[Season], "Spring", AllData[Year], "2025")</f>
        <v>2</v>
      </c>
      <c r="BE37" s="160">
        <f>IFERROR(AVERAGEIFS(AllData[Nitrate (PPM)], AllData[Site Name], $B37, AllData[Season], "Spring", AllData[Year], "2025"), "")</f>
        <v>0</v>
      </c>
      <c r="BF37" s="27">
        <f t="shared" si="24"/>
        <v>-1</v>
      </c>
      <c r="BG37" s="27" t="str">
        <f t="shared" si="25"/>
        <v/>
      </c>
      <c r="BH37" s="161">
        <f>IFERROR(AVERAGEIFS(AllData[Phosphate (PPM)], AllData[Site Name], $B37, AllData[Season], "Spring", AllData[Year], "2025"), "")</f>
        <v>0.12</v>
      </c>
      <c r="BI37" s="27">
        <f t="shared" si="26"/>
        <v>-0.66666666666666663</v>
      </c>
      <c r="BJ37" s="27" t="str">
        <f t="shared" si="27"/>
        <v/>
      </c>
      <c r="BK37" s="165">
        <f>COUNTIFS(AllData[Site Name], Tables!$B37, AllData[Season], "Summer", AllData[Year], "2025")</f>
        <v>0</v>
      </c>
      <c r="BL37" s="160" t="str">
        <f>IFERROR(AVERAGEIFS(AllData[Nitrate (PPM)], AllData[Site Name], $B37, AllData[Season], "Summer", AllData[Year], "2025"), "")</f>
        <v/>
      </c>
      <c r="BM37" s="27" t="str">
        <f t="shared" si="28"/>
        <v/>
      </c>
      <c r="BN37" s="27" t="str">
        <f t="shared" si="29"/>
        <v/>
      </c>
      <c r="BO37" s="161" t="str">
        <f>IFERROR(AVERAGEIFS(AllData[Phosphate (PPM)], AllData[Site Name], $B37, AllData[Season], "Summer", AllData[Year], "2025"),"")</f>
        <v/>
      </c>
      <c r="BP37" s="27" t="str">
        <f t="shared" si="30"/>
        <v/>
      </c>
      <c r="BQ37" s="27" t="str">
        <f t="shared" si="31"/>
        <v/>
      </c>
      <c r="BR37" s="165">
        <f>COUNTIFS(AllData[Site Name], Tables!$B37, AllData[Season], "Autumn", AllData[Year], "2025")</f>
        <v>0</v>
      </c>
      <c r="BS37" s="160" t="str">
        <f>IFERROR(AVERAGEIFS(AllData[Nitrate (PPM)], AllData[Site Name], $B37, AllData[Season], "Autumn", AllData[Year], "2025"), "")</f>
        <v/>
      </c>
      <c r="BT37" s="27" t="str">
        <f t="shared" si="32"/>
        <v/>
      </c>
      <c r="BU37" s="27" t="str">
        <f t="shared" si="33"/>
        <v/>
      </c>
      <c r="BV37" s="161" t="str">
        <f>IFERROR(AVERAGEIFS(AllData[Phosphate (PPM)], AllData[Site Name], AD37, AllData[Season], "Autumn", AllData[Year], "2025"), "")</f>
        <v/>
      </c>
      <c r="BW37" s="27" t="str">
        <f t="shared" si="34"/>
        <v/>
      </c>
      <c r="BX37" s="28" t="str">
        <f t="shared" si="35"/>
        <v/>
      </c>
      <c r="BY37" s="165">
        <f>COUNTIFS(AllData[Site Name], Tables!$B37, AllData[Season], "Winter", AllData[Year], "2025")</f>
        <v>0</v>
      </c>
      <c r="BZ37" s="160" t="str">
        <f>IFERROR(AVERAGEIFS(AllData[Nitrate (PPM)], AllData[Site Name], $B37, AllData[Season], "Winter", AllData[Year], "2025"), "")</f>
        <v/>
      </c>
      <c r="CA37" s="27" t="str">
        <f t="shared" si="36"/>
        <v/>
      </c>
      <c r="CB37" s="27" t="str">
        <f t="shared" si="40"/>
        <v/>
      </c>
      <c r="CC37" s="161" t="str">
        <f>IFERROR(AVERAGEIFS(AllData[Phosphate (PPM)], AllData[Site Name], $B37, AllData[Season], "Winter", AllData[Year], "2025"), "")</f>
        <v/>
      </c>
      <c r="CD37" s="27" t="str">
        <f t="shared" si="38"/>
        <v/>
      </c>
      <c r="CE37" s="44" t="str">
        <f t="shared" si="41"/>
        <v/>
      </c>
    </row>
    <row r="38" spans="2:83" x14ac:dyDescent="0.35">
      <c r="B38" s="159" t="s">
        <v>39</v>
      </c>
      <c r="C38" s="113">
        <f>IFERROR(AVERAGEIF(AllData[Site Name], Tables!B38, AllData[Latitude]), "Unknown")</f>
        <v>52.211679999999973</v>
      </c>
      <c r="D38" s="113">
        <f>IFERROR(AVERAGEIF(AllData[Site Name], Tables!B38, AllData[Longitude]), "Unknown")</f>
        <v>-1.6244400000000001</v>
      </c>
      <c r="E38" s="13" t="e" vm="1">
        <f>_xlfn.XLOOKUP(B38,LocationsKey[Site Name], LocationsKey[District])</f>
        <v>#VALUE!</v>
      </c>
      <c r="F38" s="13" t="e" vm="33">
        <f>_xlfn.XLOOKUP(B38,LocationsKey[Site Name], LocationsKey[Town])</f>
        <v>#VALUE!</v>
      </c>
      <c r="G38" s="25" t="str">
        <f>_xlfn.XLOOKUP(B38,LocationsKey[Site Name],LocationsKey[Waterway])</f>
        <v>Avon</v>
      </c>
      <c r="H38" s="157">
        <f>COUNTIF(AllData[Site Name], Tables!B38)</f>
        <v>26</v>
      </c>
      <c r="I38" s="160">
        <f t="shared" si="0"/>
        <v>7.4567099567099575</v>
      </c>
      <c r="J38" s="161">
        <f t="shared" si="1"/>
        <v>0.58903138528138521</v>
      </c>
      <c r="K38" s="27" cm="1">
        <f t="array" ref="K38">SUM(COUNTIFS(AllData[Site Name], B38, AllData[Nitrate Pollution Category], {"High","Very high"}))/COUNTIFS(AllData[Site Name], B38, AllData[Nitrate (PPM)], "&lt;&gt;0")</f>
        <v>1</v>
      </c>
      <c r="L38" s="27" cm="1">
        <f t="array" ref="L38">SUM(COUNTIFS(AllData[Site Name], B38, AllData[Phosphate Pollution Category], {"High","Very high"}))/COUNTIFS(AllData[Site Name], B38, AllData[Phosphate (PPM)], "&lt;&gt;0")</f>
        <v>1</v>
      </c>
      <c r="M38" s="157">
        <f t="shared" si="2"/>
        <v>27</v>
      </c>
      <c r="N38" s="157">
        <f t="shared" si="3"/>
        <v>31</v>
      </c>
      <c r="O38" s="26">
        <f>COUNTIFS(AllData[Site Name], Tables!$B38, AllData[Season], "Summer", AllData[Year], "2023")</f>
        <v>7</v>
      </c>
      <c r="P38" s="160">
        <f>IFERROR(AVERAGEIFS(AllData[Nitrate (PPM)], AllData[Site Name], $B38, AllData[Season], "Summer", AllData[Year], "2023"), "")</f>
        <v>6.1428571428571432</v>
      </c>
      <c r="Q38" s="27">
        <f t="shared" si="4"/>
        <v>-0.17619738751814226</v>
      </c>
      <c r="R38" s="161">
        <f>IFERROR(AVERAGEIFS(AllData[Phosphate (PPM)], AllData[Site Name], $B38, AllData[Season], "Summer", AllData[Year], "2023"),"")</f>
        <v>0.59857142857142864</v>
      </c>
      <c r="S38" s="28">
        <f t="shared" si="5"/>
        <v>1.619615444682302E-2</v>
      </c>
      <c r="T38" s="26">
        <f>COUNTIFS(AllData[Site Name], Tables!$B38, AllData[Season], "Autumn", AllData[Year], "2023")</f>
        <v>11</v>
      </c>
      <c r="U38" s="160">
        <f>IFERROR(AVERAGEIFS(AllData[Nitrate (PPM)], AllData[Site Name], $B38, AllData[Season], "Autumn", AllData[Year], "2023"), "")</f>
        <v>4.7272727272727275</v>
      </c>
      <c r="V38" s="27">
        <f t="shared" si="6"/>
        <v>-0.36603773584905663</v>
      </c>
      <c r="W38" s="161">
        <f>IFERROR(AVERAGEIFS(AllData[Phosphate (PPM)], AllData[Site Name], $B38, AllData[Season], "Autumn", AllData[Year], "2023"),"")</f>
        <v>0.6272727272727272</v>
      </c>
      <c r="X38" s="28">
        <f t="shared" si="7"/>
        <v>6.4922418307258423E-2</v>
      </c>
      <c r="Y38" s="26">
        <f>COUNTIFS(AllData[Site Name], Tables!$B38, AllData[Season], "Winter", AllData[Year], "2023")</f>
        <v>8</v>
      </c>
      <c r="Z38" s="160">
        <f>IFERROR(AVERAGEIFS(AllData[Nitrate (PPM)], AllData[Site Name], $B38, AllData[Season], "Winter", AllData[Year], "2023"), "")</f>
        <v>11.5</v>
      </c>
      <c r="AA38" s="27">
        <f t="shared" si="8"/>
        <v>0.5422351233671987</v>
      </c>
      <c r="AB38" s="161">
        <f>IFERROR(AVERAGEIFS(AllData[Phosphate (PPM)], AllData[Site Name], $B38, AllData[Season], "Winter", AllData[Year], "2023"),"")</f>
        <v>0.54125000000000001</v>
      </c>
      <c r="AC38" s="28">
        <f t="shared" si="9"/>
        <v>-8.1118572754081061E-2</v>
      </c>
      <c r="AD38" s="26">
        <f>COUNTIFS(AllData[Site Name], Tables!$B38, AllData[Season], "Spring", AllData[Year], "2024")</f>
        <v>0</v>
      </c>
      <c r="AE38" s="160" t="str">
        <f>IFERROR(AVERAGEIFS(AllData[Nitrate (PPM)], AllData[Site Name], $B38, AllData[Season], "Spring", AllData[Year], "2024"), "")</f>
        <v/>
      </c>
      <c r="AF38" s="27" t="str">
        <f t="shared" si="10"/>
        <v/>
      </c>
      <c r="AG38" s="161" t="str">
        <f>IFERROR(AVERAGEIFS(AllData[Phosphate (PPM)], AllData[Site Name], $B38, AllData[Season], "Spring", AllData[Year], "2024"),"")</f>
        <v/>
      </c>
      <c r="AH38" s="28" t="str">
        <f t="shared" si="11"/>
        <v/>
      </c>
      <c r="AI38" s="165">
        <f>COUNTIFS(AllData[Site Name], Tables!$B38, AllData[Season], "Summer", AllData[Year], "2024")</f>
        <v>0</v>
      </c>
      <c r="AJ38" s="160" t="str">
        <f>IFERROR(AVERAGEIFS(AllData[Nitrate (PPM)], AllData[Site Name], $B38, AllData[Season], "Summer", AllData[Year], "2024"), "")</f>
        <v/>
      </c>
      <c r="AK38" s="27" t="str">
        <f t="shared" si="12"/>
        <v/>
      </c>
      <c r="AL38" s="27" t="str">
        <f t="shared" si="13"/>
        <v/>
      </c>
      <c r="AM38" s="161" t="str">
        <f>IFERROR(AVERAGEIFS(AllData[Phosphate (PPM)], AllData[Site Name], $B38, AllData[Season], "Summer", AllData[Year], "2024"),"")</f>
        <v/>
      </c>
      <c r="AN38" s="27" t="str">
        <f t="shared" si="14"/>
        <v/>
      </c>
      <c r="AO38" s="28" t="str">
        <f t="shared" si="15"/>
        <v/>
      </c>
      <c r="AP38" s="157">
        <f>COUNTIFS(AllData[Site Name], Tables!$B38, AllData[Season], "Autumn", AllData[Year], "2024")</f>
        <v>0</v>
      </c>
      <c r="AQ38" s="160" t="str">
        <f>IFERROR(AVERAGEIFS(AllData[Nitrate (PPM)], AllData[Site Name], $B38, AllData[Season], "Autumn", AllData[Year], "2024"), "")</f>
        <v/>
      </c>
      <c r="AR38" s="27" t="str">
        <f t="shared" si="16"/>
        <v/>
      </c>
      <c r="AS38" s="27" t="str">
        <f t="shared" si="17"/>
        <v/>
      </c>
      <c r="AT38" s="161" t="str">
        <f>IFERROR(AVERAGEIFS(AllData[Phosphate (PPM)], AllData[Site Name], B38, AllData[Season], "Autumn", AllData[Year], "2024"), "")</f>
        <v/>
      </c>
      <c r="AU38" s="27" t="str">
        <f t="shared" si="18"/>
        <v/>
      </c>
      <c r="AV38" s="28" t="str">
        <f t="shared" si="19"/>
        <v/>
      </c>
      <c r="AW38" s="165">
        <f>COUNTIFS(AllData[Site Name], Tables!$B38, AllData[Season], "Winter", AllData[Year], "2024")</f>
        <v>0</v>
      </c>
      <c r="AX38" s="160" t="str">
        <f>IFERROR(AVERAGEIFS(AllData[Nitrate (PPM)], AllData[Site Name], $B38, AllData[Season], "Winter", AllData[Year], "2024"), "")</f>
        <v/>
      </c>
      <c r="AY38" s="27" t="str">
        <f t="shared" si="20"/>
        <v/>
      </c>
      <c r="AZ38" s="27" t="str">
        <f t="shared" si="21"/>
        <v/>
      </c>
      <c r="BA38" s="161" t="str">
        <f>IFERROR(AVERAGEIFS(AllData[Phosphate (PPM)], AllData[Site Name], $B38, AllData[Season], "Winter", AllData[Year], "2024"), "")</f>
        <v/>
      </c>
      <c r="BB38" s="27" t="str">
        <f t="shared" si="22"/>
        <v/>
      </c>
      <c r="BC38" s="44" t="str">
        <f t="shared" si="23"/>
        <v/>
      </c>
      <c r="BD38" s="157">
        <f>COUNTIFS(AllData[Site Name], Tables!$B38, AllData[Season], "Spring", AllData[Year], "2025")</f>
        <v>0</v>
      </c>
      <c r="BE38" s="160" t="str">
        <f>IFERROR(AVERAGEIFS(AllData[Nitrate (PPM)], AllData[Site Name], $B38, AllData[Season], "Spring", AllData[Year], "2025"), "")</f>
        <v/>
      </c>
      <c r="BF38" s="27" t="str">
        <f t="shared" si="24"/>
        <v/>
      </c>
      <c r="BG38" s="27" t="str">
        <f t="shared" si="25"/>
        <v/>
      </c>
      <c r="BH38" s="161" t="str">
        <f>IFERROR(AVERAGEIFS(AllData[Phosphate (PPM)], AllData[Site Name], $B38, AllData[Season], "Spring", AllData[Year], "2025"), "")</f>
        <v/>
      </c>
      <c r="BI38" s="27" t="str">
        <f t="shared" si="26"/>
        <v/>
      </c>
      <c r="BJ38" s="27" t="str">
        <f t="shared" si="27"/>
        <v/>
      </c>
      <c r="BK38" s="165">
        <f>COUNTIFS(AllData[Site Name], Tables!$B38, AllData[Season], "Summer", AllData[Year], "2025")</f>
        <v>0</v>
      </c>
      <c r="BL38" s="160" t="str">
        <f>IFERROR(AVERAGEIFS(AllData[Nitrate (PPM)], AllData[Site Name], $B38, AllData[Season], "Summer", AllData[Year], "2025"), "")</f>
        <v/>
      </c>
      <c r="BM38" s="27" t="str">
        <f t="shared" si="28"/>
        <v/>
      </c>
      <c r="BN38" s="27" t="str">
        <f t="shared" si="29"/>
        <v/>
      </c>
      <c r="BO38" s="161" t="str">
        <f>IFERROR(AVERAGEIFS(AllData[Phosphate (PPM)], AllData[Site Name], $B38, AllData[Season], "Summer", AllData[Year], "2025"),"")</f>
        <v/>
      </c>
      <c r="BP38" s="27" t="str">
        <f t="shared" si="30"/>
        <v/>
      </c>
      <c r="BQ38" s="27" t="str">
        <f t="shared" si="31"/>
        <v/>
      </c>
      <c r="BR38" s="165">
        <f>COUNTIFS(AllData[Site Name], Tables!$B38, AllData[Season], "Autumn", AllData[Year], "2025")</f>
        <v>0</v>
      </c>
      <c r="BS38" s="160" t="str">
        <f>IFERROR(AVERAGEIFS(AllData[Nitrate (PPM)], AllData[Site Name], $B38, AllData[Season], "Autumn", AllData[Year], "2025"), "")</f>
        <v/>
      </c>
      <c r="BT38" s="27" t="str">
        <f t="shared" si="32"/>
        <v/>
      </c>
      <c r="BU38" s="27" t="str">
        <f t="shared" si="33"/>
        <v/>
      </c>
      <c r="BV38" s="161" t="str">
        <f>IFERROR(AVERAGEIFS(AllData[Phosphate (PPM)], AllData[Site Name], AD38, AllData[Season], "Autumn", AllData[Year], "2025"), "")</f>
        <v/>
      </c>
      <c r="BW38" s="27" t="str">
        <f t="shared" si="34"/>
        <v/>
      </c>
      <c r="BX38" s="28" t="str">
        <f t="shared" si="35"/>
        <v/>
      </c>
      <c r="BY38" s="165">
        <f>COUNTIFS(AllData[Site Name], Tables!$B38, AllData[Season], "Winter", AllData[Year], "2025")</f>
        <v>0</v>
      </c>
      <c r="BZ38" s="160" t="str">
        <f>IFERROR(AVERAGEIFS(AllData[Nitrate (PPM)], AllData[Site Name], $B38, AllData[Season], "Winter", AllData[Year], "2025"), "")</f>
        <v/>
      </c>
      <c r="CA38" s="27" t="str">
        <f t="shared" si="36"/>
        <v/>
      </c>
      <c r="CB38" s="27" t="str">
        <f t="shared" si="40"/>
        <v/>
      </c>
      <c r="CC38" s="161" t="str">
        <f>IFERROR(AVERAGEIFS(AllData[Phosphate (PPM)], AllData[Site Name], $B38, AllData[Season], "Winter", AllData[Year], "2025"), "")</f>
        <v/>
      </c>
      <c r="CD38" s="27" t="str">
        <f t="shared" si="38"/>
        <v/>
      </c>
      <c r="CE38" s="44" t="str">
        <f t="shared" si="41"/>
        <v/>
      </c>
    </row>
    <row r="39" spans="2:83" x14ac:dyDescent="0.35">
      <c r="B39" s="159" t="s">
        <v>36</v>
      </c>
      <c r="C39" s="113">
        <f>IFERROR(AVERAGEIF(AllData[Site Name], Tables!B39, AllData[Latitude]), "Unknown")</f>
        <v>52.23814999999999</v>
      </c>
      <c r="D39" s="113">
        <f>IFERROR(AVERAGEIF(AllData[Site Name], Tables!B39, AllData[Longitude]), "Unknown")</f>
        <v>-1.6245800000000008</v>
      </c>
      <c r="E39" s="13" t="e" vm="1">
        <f>_xlfn.XLOOKUP(B39,LocationsKey[Site Name], LocationsKey[District])</f>
        <v>#VALUE!</v>
      </c>
      <c r="F39" s="13" t="e" vm="34">
        <f>_xlfn.XLOOKUP(B39,LocationsKey[Site Name], LocationsKey[Town])</f>
        <v>#VALUE!</v>
      </c>
      <c r="G39" s="25" t="str">
        <f>_xlfn.XLOOKUP(B39,LocationsKey[Site Name],LocationsKey[Waterway])</f>
        <v>Avon</v>
      </c>
      <c r="H39" s="157">
        <f>COUNTIF(AllData[Site Name], Tables!B39)</f>
        <v>24</v>
      </c>
      <c r="I39" s="160">
        <f t="shared" si="0"/>
        <v>7.8088023088023091</v>
      </c>
      <c r="J39" s="161">
        <f t="shared" si="1"/>
        <v>0.57578643578643585</v>
      </c>
      <c r="K39" s="27" cm="1">
        <f t="array" ref="K39">SUM(COUNTIFS(AllData[Site Name], B39, AllData[Nitrate Pollution Category], {"High","Very high"}))/COUNTIFS(AllData[Site Name], B39, AllData[Nitrate (PPM)], "&lt;&gt;0")</f>
        <v>1</v>
      </c>
      <c r="L39" s="27" cm="1">
        <f t="array" ref="L39">SUM(COUNTIFS(AllData[Site Name], B39, AllData[Phosphate Pollution Category], {"High","Very high"}))/COUNTIFS(AllData[Site Name], B39, AllData[Phosphate (PPM)], "&lt;&gt;0")</f>
        <v>1</v>
      </c>
      <c r="M39" s="157">
        <f t="shared" si="2"/>
        <v>20</v>
      </c>
      <c r="N39" s="157">
        <f t="shared" si="3"/>
        <v>37</v>
      </c>
      <c r="O39" s="26">
        <f>COUNTIFS(AllData[Site Name], Tables!$B39, AllData[Season], "Summer", AllData[Year], "2023")</f>
        <v>7</v>
      </c>
      <c r="P39" s="160">
        <f>IFERROR(AVERAGEIFS(AllData[Nitrate (PPM)], AllData[Site Name], $B39, AllData[Season], "Summer", AllData[Year], "2023"), "")</f>
        <v>6.7142857142857144</v>
      </c>
      <c r="Q39" s="27">
        <f t="shared" si="4"/>
        <v>-0.14016446456620163</v>
      </c>
      <c r="R39" s="161">
        <f>IFERROR(AVERAGEIFS(AllData[Phosphate (PPM)], AllData[Site Name], $B39, AllData[Season], "Summer", AllData[Year], "2023"),"")</f>
        <v>0.58857142857142863</v>
      </c>
      <c r="S39" s="28">
        <f t="shared" si="5"/>
        <v>2.2204400781915698E-2</v>
      </c>
      <c r="T39" s="26">
        <f>COUNTIFS(AllData[Site Name], Tables!$B39, AllData[Season], "Autumn", AllData[Year], "2023")</f>
        <v>11</v>
      </c>
      <c r="U39" s="160">
        <f>IFERROR(AVERAGEIFS(AllData[Nitrate (PPM)], AllData[Site Name], $B39, AllData[Season], "Autumn", AllData[Year], "2023"), "")</f>
        <v>5.5454545454545459</v>
      </c>
      <c r="V39" s="27">
        <f t="shared" si="6"/>
        <v>-0.28984569897440632</v>
      </c>
      <c r="W39" s="161">
        <f>IFERROR(AVERAGEIFS(AllData[Phosphate (PPM)], AllData[Site Name], $B39, AllData[Season], "Autumn", AllData[Year], "2023"),"")</f>
        <v>0.61545454545454559</v>
      </c>
      <c r="X39" s="28">
        <f t="shared" si="7"/>
        <v>6.8893789784973306E-2</v>
      </c>
      <c r="Y39" s="26">
        <f>COUNTIFS(AllData[Site Name], Tables!$B39, AllData[Season], "Winter", AllData[Year], "2023")</f>
        <v>6</v>
      </c>
      <c r="Z39" s="160">
        <f>IFERROR(AVERAGEIFS(AllData[Nitrate (PPM)], AllData[Site Name], $B39, AllData[Season], "Winter", AllData[Year], "2023"), "")</f>
        <v>11.166666666666666</v>
      </c>
      <c r="AA39" s="27">
        <f t="shared" si="8"/>
        <v>0.43001016354060784</v>
      </c>
      <c r="AB39" s="161">
        <f>IFERROR(AVERAGEIFS(AllData[Phosphate (PPM)], AllData[Site Name], $B39, AllData[Season], "Winter", AllData[Year], "2023"),"")</f>
        <v>0.52333333333333332</v>
      </c>
      <c r="AC39" s="28">
        <f t="shared" si="9"/>
        <v>-9.1098190566889004E-2</v>
      </c>
      <c r="AD39" s="26">
        <f>COUNTIFS(AllData[Site Name], Tables!$B39, AllData[Season], "Spring", AllData[Year], "2024")</f>
        <v>0</v>
      </c>
      <c r="AE39" s="160" t="str">
        <f>IFERROR(AVERAGEIFS(AllData[Nitrate (PPM)], AllData[Site Name], $B39, AllData[Season], "Spring", AllData[Year], "2024"), "")</f>
        <v/>
      </c>
      <c r="AF39" s="27" t="str">
        <f t="shared" si="10"/>
        <v/>
      </c>
      <c r="AG39" s="161" t="str">
        <f>IFERROR(AVERAGEIFS(AllData[Phosphate (PPM)], AllData[Site Name], $B39, AllData[Season], "Spring", AllData[Year], "2024"),"")</f>
        <v/>
      </c>
      <c r="AH39" s="28" t="str">
        <f t="shared" si="11"/>
        <v/>
      </c>
      <c r="AI39" s="165">
        <f>COUNTIFS(AllData[Site Name], Tables!$B39, AllData[Season], "Summer", AllData[Year], "2024")</f>
        <v>0</v>
      </c>
      <c r="AJ39" s="160" t="str">
        <f>IFERROR(AVERAGEIFS(AllData[Nitrate (PPM)], AllData[Site Name], $B39, AllData[Season], "Summer", AllData[Year], "2024"), "")</f>
        <v/>
      </c>
      <c r="AK39" s="27" t="str">
        <f t="shared" si="12"/>
        <v/>
      </c>
      <c r="AL39" s="27" t="str">
        <f t="shared" si="13"/>
        <v/>
      </c>
      <c r="AM39" s="161" t="str">
        <f>IFERROR(AVERAGEIFS(AllData[Phosphate (PPM)], AllData[Site Name], $B39, AllData[Season], "Summer", AllData[Year], "2024"),"")</f>
        <v/>
      </c>
      <c r="AN39" s="27" t="str">
        <f t="shared" si="14"/>
        <v/>
      </c>
      <c r="AO39" s="28" t="str">
        <f t="shared" si="15"/>
        <v/>
      </c>
      <c r="AP39" s="157">
        <f>COUNTIFS(AllData[Site Name], Tables!$B39, AllData[Season], "Autumn", AllData[Year], "2024")</f>
        <v>0</v>
      </c>
      <c r="AQ39" s="160" t="str">
        <f>IFERROR(AVERAGEIFS(AllData[Nitrate (PPM)], AllData[Site Name], $B39, AllData[Season], "Autumn", AllData[Year], "2024"), "")</f>
        <v/>
      </c>
      <c r="AR39" s="27" t="str">
        <f t="shared" si="16"/>
        <v/>
      </c>
      <c r="AS39" s="27" t="str">
        <f t="shared" ref="AS39:AS100" si="42">IFERROR((AQ39-$U39)/$U39, "")</f>
        <v/>
      </c>
      <c r="AT39" s="161" t="str">
        <f>IFERROR(AVERAGEIFS(AllData[Phosphate (PPM)], AllData[Site Name], B39, AllData[Season], "Autumn", AllData[Year], "2024"), "")</f>
        <v/>
      </c>
      <c r="AU39" s="27" t="str">
        <f t="shared" si="18"/>
        <v/>
      </c>
      <c r="AV39" s="28" t="str">
        <f t="shared" ref="AV39:AV100" si="43">IFERROR((AT39-$W39)/$W39,"")</f>
        <v/>
      </c>
      <c r="AW39" s="165">
        <f>COUNTIFS(AllData[Site Name], Tables!$B39, AllData[Season], "Winter", AllData[Year], "2024")</f>
        <v>0</v>
      </c>
      <c r="AX39" s="160" t="str">
        <f>IFERROR(AVERAGEIFS(AllData[Nitrate (PPM)], AllData[Site Name], $B39, AllData[Season], "Winter", AllData[Year], "2024"), "")</f>
        <v/>
      </c>
      <c r="AY39" s="27" t="str">
        <f t="shared" si="20"/>
        <v/>
      </c>
      <c r="AZ39" s="27" t="str">
        <f t="shared" si="21"/>
        <v/>
      </c>
      <c r="BA39" s="161" t="str">
        <f>IFERROR(AVERAGEIFS(AllData[Phosphate (PPM)], AllData[Site Name], $B39, AllData[Season], "Winter", AllData[Year], "2024"), "")</f>
        <v/>
      </c>
      <c r="BB39" s="27" t="str">
        <f t="shared" si="22"/>
        <v/>
      </c>
      <c r="BC39" s="44" t="str">
        <f t="shared" si="23"/>
        <v/>
      </c>
      <c r="BD39" s="157">
        <f>COUNTIFS(AllData[Site Name], Tables!$B39, AllData[Season], "Spring", AllData[Year], "2025")</f>
        <v>0</v>
      </c>
      <c r="BE39" s="160" t="str">
        <f>IFERROR(AVERAGEIFS(AllData[Nitrate (PPM)], AllData[Site Name], $B39, AllData[Season], "Spring", AllData[Year], "2025"), "")</f>
        <v/>
      </c>
      <c r="BF39" s="27" t="str">
        <f t="shared" si="24"/>
        <v/>
      </c>
      <c r="BG39" s="27" t="str">
        <f t="shared" si="25"/>
        <v/>
      </c>
      <c r="BH39" s="161" t="str">
        <f>IFERROR(AVERAGEIFS(AllData[Phosphate (PPM)], AllData[Site Name], $B39, AllData[Season], "Spring", AllData[Year], "2025"), "")</f>
        <v/>
      </c>
      <c r="BI39" s="27" t="str">
        <f t="shared" si="26"/>
        <v/>
      </c>
      <c r="BJ39" s="27" t="str">
        <f t="shared" si="27"/>
        <v/>
      </c>
      <c r="BK39" s="165">
        <f>COUNTIFS(AllData[Site Name], Tables!$B39, AllData[Season], "Summer", AllData[Year], "2025")</f>
        <v>0</v>
      </c>
      <c r="BL39" s="160" t="str">
        <f>IFERROR(AVERAGEIFS(AllData[Nitrate (PPM)], AllData[Site Name], $B39, AllData[Season], "Summer", AllData[Year], "2025"), "")</f>
        <v/>
      </c>
      <c r="BM39" s="27" t="str">
        <f t="shared" si="28"/>
        <v/>
      </c>
      <c r="BN39" s="27" t="str">
        <f t="shared" si="29"/>
        <v/>
      </c>
      <c r="BO39" s="161" t="str">
        <f>IFERROR(AVERAGEIFS(AllData[Phosphate (PPM)], AllData[Site Name], $B39, AllData[Season], "Summer", AllData[Year], "2025"),"")</f>
        <v/>
      </c>
      <c r="BP39" s="27" t="str">
        <f t="shared" si="30"/>
        <v/>
      </c>
      <c r="BQ39" s="27" t="str">
        <f t="shared" si="31"/>
        <v/>
      </c>
      <c r="BR39" s="165">
        <f>COUNTIFS(AllData[Site Name], Tables!$B39, AllData[Season], "Autumn", AllData[Year], "2025")</f>
        <v>0</v>
      </c>
      <c r="BS39" s="160" t="str">
        <f>IFERROR(AVERAGEIFS(AllData[Nitrate (PPM)], AllData[Site Name], $B39, AllData[Season], "Autumn", AllData[Year], "2025"), "")</f>
        <v/>
      </c>
      <c r="BT39" s="27" t="str">
        <f t="shared" si="32"/>
        <v/>
      </c>
      <c r="BU39" s="27" t="str">
        <f t="shared" si="33"/>
        <v/>
      </c>
      <c r="BV39" s="161" t="str">
        <f>IFERROR(AVERAGEIFS(AllData[Phosphate (PPM)], AllData[Site Name], AD39, AllData[Season], "Autumn", AllData[Year], "2025"), "")</f>
        <v/>
      </c>
      <c r="BW39" s="27" t="str">
        <f t="shared" si="34"/>
        <v/>
      </c>
      <c r="BX39" s="28" t="str">
        <f t="shared" si="35"/>
        <v/>
      </c>
      <c r="BY39" s="165">
        <f>COUNTIFS(AllData[Site Name], Tables!$B39, AllData[Season], "Winter", AllData[Year], "2025")</f>
        <v>0</v>
      </c>
      <c r="BZ39" s="160" t="str">
        <f>IFERROR(AVERAGEIFS(AllData[Nitrate (PPM)], AllData[Site Name], $B39, AllData[Season], "Winter", AllData[Year], "2025"), "")</f>
        <v/>
      </c>
      <c r="CA39" s="27" t="str">
        <f t="shared" si="36"/>
        <v/>
      </c>
      <c r="CB39" s="27" t="str">
        <f t="shared" si="40"/>
        <v/>
      </c>
      <c r="CC39" s="161" t="str">
        <f>IFERROR(AVERAGEIFS(AllData[Phosphate (PPM)], AllData[Site Name], $B39, AllData[Season], "Winter", AllData[Year], "2025"), "")</f>
        <v/>
      </c>
      <c r="CD39" s="27" t="str">
        <f t="shared" si="38"/>
        <v/>
      </c>
      <c r="CE39" s="44" t="str">
        <f t="shared" si="41"/>
        <v/>
      </c>
    </row>
    <row r="40" spans="2:83" x14ac:dyDescent="0.35">
      <c r="B40" s="159" t="s">
        <v>2660</v>
      </c>
      <c r="C40" s="113">
        <f>IFERROR(AVERAGEIF(AllData[Site Name], Tables!B40, AllData[Latitude]), "Unknown")</f>
        <v>52.050777363636364</v>
      </c>
      <c r="D40" s="113">
        <f>IFERROR(AVERAGEIF(AllData[Site Name], Tables!B40, AllData[Longitude]), "Unknown")</f>
        <v>-1.5459150000000002</v>
      </c>
      <c r="E40" s="13" t="e" vm="1">
        <f>_xlfn.XLOOKUP(B40,LocationsKey[Site Name], LocationsKey[District])</f>
        <v>#VALUE!</v>
      </c>
      <c r="F40" s="13" t="e" vm="5">
        <f>_xlfn.XLOOKUP(B40,LocationsKey[Site Name], LocationsKey[Town])</f>
        <v>#VALUE!</v>
      </c>
      <c r="G40" s="25" t="str">
        <f>_xlfn.XLOOKUP(B40,LocationsKey[Site Name],LocationsKey[Waterway])</f>
        <v>Sutton Brook</v>
      </c>
      <c r="H40" s="157">
        <f>COUNTIF(AllData[Site Name], Tables!B40)</f>
        <v>19</v>
      </c>
      <c r="I40" s="160">
        <f t="shared" si="0"/>
        <v>5.1212121212121211</v>
      </c>
      <c r="J40" s="161">
        <f t="shared" si="1"/>
        <v>0.14166666666666666</v>
      </c>
      <c r="K40" s="27" cm="1">
        <f t="array" ref="K40">SUM(COUNTIFS(AllData[Site Name], B40, AllData[Nitrate Pollution Category], {"High","Very high"}))/COUNTIFS(AllData[Site Name], B40, AllData[Nitrate (PPM)], "&lt;&gt;0")</f>
        <v>0.94736842105263153</v>
      </c>
      <c r="L40" s="27" cm="1">
        <f t="array" ref="L40">SUM(COUNTIFS(AllData[Site Name], B40, AllData[Phosphate Pollution Category], {"High","Very high"}))/COUNTIFS(AllData[Site Name], B40, AllData[Phosphate (PPM)], "&lt;&gt;0")</f>
        <v>0.57894736842105265</v>
      </c>
      <c r="M40" s="157">
        <f t="shared" si="2"/>
        <v>47</v>
      </c>
      <c r="N40" s="157">
        <f t="shared" si="3"/>
        <v>82</v>
      </c>
      <c r="O40" s="26">
        <f>COUNTIFS(AllData[Site Name], Tables!$B40, AllData[Season], "Summer", AllData[Year], "2023")</f>
        <v>0</v>
      </c>
      <c r="P40" s="160" t="str">
        <f>IFERROR(AVERAGEIFS(AllData[Nitrate (PPM)], AllData[Site Name], $B40, AllData[Season], "Summer", AllData[Year], "2023"), "")</f>
        <v/>
      </c>
      <c r="Q40" s="27" t="str">
        <f t="shared" si="4"/>
        <v/>
      </c>
      <c r="R40" s="161" t="str">
        <f>IFERROR(AVERAGEIFS(AllData[Phosphate (PPM)], AllData[Site Name], $B40, AllData[Season], "Summer", AllData[Year], "2023"),"")</f>
        <v/>
      </c>
      <c r="S40" s="28" t="str">
        <f t="shared" si="5"/>
        <v/>
      </c>
      <c r="T40" s="26">
        <f>COUNTIFS(AllData[Site Name], Tables!$B40, AllData[Season], "Autumn", AllData[Year], "2023")</f>
        <v>0</v>
      </c>
      <c r="U40" s="160" t="str">
        <f>IFERROR(AVERAGEIFS(AllData[Nitrate (PPM)], AllData[Site Name], $B40, AllData[Season], "Autumn", AllData[Year], "2023"), "")</f>
        <v/>
      </c>
      <c r="V40" s="27" t="str">
        <f t="shared" si="6"/>
        <v/>
      </c>
      <c r="W40" s="161" t="str">
        <f>IFERROR(AVERAGEIFS(AllData[Phosphate (PPM)], AllData[Site Name], $B40, AllData[Season], "Autumn", AllData[Year], "2023"),"")</f>
        <v/>
      </c>
      <c r="X40" s="28" t="str">
        <f t="shared" si="7"/>
        <v/>
      </c>
      <c r="Y40" s="26">
        <f>COUNTIFS(AllData[Site Name], Tables!$B40, AllData[Season], "Winter", AllData[Year], "2023")</f>
        <v>0</v>
      </c>
      <c r="Z40" s="160" t="str">
        <f>IFERROR(AVERAGEIFS(AllData[Nitrate (PPM)], AllData[Site Name], $B40, AllData[Season], "Winter", AllData[Year], "2023"), "")</f>
        <v/>
      </c>
      <c r="AA40" s="27" t="str">
        <f t="shared" si="8"/>
        <v/>
      </c>
      <c r="AB40" s="161" t="str">
        <f>IFERROR(AVERAGEIFS(AllData[Phosphate (PPM)], AllData[Site Name], $B40, AllData[Season], "Winter", AllData[Year], "2023"),"")</f>
        <v/>
      </c>
      <c r="AC40" s="28" t="str">
        <f t="shared" si="9"/>
        <v/>
      </c>
      <c r="AD40" s="26">
        <f>COUNTIFS(AllData[Site Name], Tables!$B40, AllData[Season], "Spring", AllData[Year], "2024")</f>
        <v>0</v>
      </c>
      <c r="AE40" s="160" t="str">
        <f>IFERROR(AVERAGEIFS(AllData[Nitrate (PPM)], AllData[Site Name], $B40, AllData[Season], "Spring", AllData[Year], "2024"), "")</f>
        <v/>
      </c>
      <c r="AF40" s="27" t="str">
        <f t="shared" si="10"/>
        <v/>
      </c>
      <c r="AG40" s="161" t="str">
        <f>IFERROR(AVERAGEIFS(AllData[Phosphate (PPM)], AllData[Site Name], $B40, AllData[Season], "Spring", AllData[Year], "2024"),"")</f>
        <v/>
      </c>
      <c r="AH40" s="28" t="str">
        <f t="shared" si="11"/>
        <v/>
      </c>
      <c r="AI40" s="165">
        <f>COUNTIFS(AllData[Site Name], Tables!$B40, AllData[Season], "Summer", AllData[Year], "2024")</f>
        <v>0</v>
      </c>
      <c r="AJ40" s="160" t="str">
        <f>IFERROR(AVERAGEIFS(AllData[Nitrate (PPM)], AllData[Site Name], $B40, AllData[Season], "Summer", AllData[Year], "2024"), "")</f>
        <v/>
      </c>
      <c r="AK40" s="27" t="str">
        <f t="shared" si="12"/>
        <v/>
      </c>
      <c r="AL40" s="27" t="str">
        <f t="shared" si="13"/>
        <v/>
      </c>
      <c r="AM40" s="161" t="str">
        <f>IFERROR(AVERAGEIFS(AllData[Phosphate (PPM)], AllData[Site Name], $B40, AllData[Season], "Summer", AllData[Year], "2024"),"")</f>
        <v/>
      </c>
      <c r="AN40" s="27" t="str">
        <f t="shared" si="14"/>
        <v/>
      </c>
      <c r="AO40" s="28" t="str">
        <f t="shared" si="15"/>
        <v/>
      </c>
      <c r="AP40" s="157">
        <f>COUNTIFS(AllData[Site Name], Tables!$B40, AllData[Season], "Autumn", AllData[Year], "2024")</f>
        <v>1</v>
      </c>
      <c r="AQ40" s="160">
        <f>IFERROR(AVERAGEIFS(AllData[Nitrate (PPM)], AllData[Site Name], $B40, AllData[Season], "Autumn", AllData[Year], "2024"), "")</f>
        <v>5</v>
      </c>
      <c r="AR40" s="27">
        <f t="shared" si="16"/>
        <v>-2.3668639053254416E-2</v>
      </c>
      <c r="AS40" s="27" t="str">
        <f t="shared" si="42"/>
        <v/>
      </c>
      <c r="AT40" s="161" t="str">
        <f>IFERROR(AVERAGEIFS(AllData[Phosphate (PPM)], AllData[Site Name], B40, AllData[Season], "Autumn", AllData[Year], "2024"), "")</f>
        <v/>
      </c>
      <c r="AU40" s="27" t="str">
        <f t="shared" si="18"/>
        <v/>
      </c>
      <c r="AV40" s="28" t="str">
        <f t="shared" si="43"/>
        <v/>
      </c>
      <c r="AW40" s="165">
        <f>COUNTIFS(AllData[Site Name], Tables!$B40, AllData[Season], "Winter", AllData[Year], "2024")</f>
        <v>12</v>
      </c>
      <c r="AX40" s="160">
        <f>IFERROR(AVERAGEIFS(AllData[Nitrate (PPM)], AllData[Site Name], $B40, AllData[Season], "Winter", AllData[Year], "2024"), "")</f>
        <v>5.3636363636363633</v>
      </c>
      <c r="AY40" s="27">
        <f t="shared" si="20"/>
        <v>4.7337278106508833E-2</v>
      </c>
      <c r="AZ40" s="27" t="str">
        <f t="shared" si="21"/>
        <v/>
      </c>
      <c r="BA40" s="161">
        <f>IFERROR(AVERAGEIFS(AllData[Phosphate (PPM)], AllData[Site Name], $B40, AllData[Season], "Winter", AllData[Year], "2024"), "")</f>
        <v>0.13</v>
      </c>
      <c r="BB40" s="27">
        <f t="shared" si="22"/>
        <v>-8.2352941176470532E-2</v>
      </c>
      <c r="BC40" s="44" t="str">
        <f t="shared" si="23"/>
        <v/>
      </c>
      <c r="BD40" s="157">
        <f>COUNTIFS(AllData[Site Name], Tables!$B40, AllData[Season], "Spring", AllData[Year], "2025")</f>
        <v>6</v>
      </c>
      <c r="BE40" s="160">
        <f>IFERROR(AVERAGEIFS(AllData[Nitrate (PPM)], AllData[Site Name], $B40, AllData[Season], "Spring", AllData[Year], "2025"), "")</f>
        <v>5</v>
      </c>
      <c r="BF40" s="27">
        <f t="shared" si="24"/>
        <v>-2.3668639053254416E-2</v>
      </c>
      <c r="BG40" s="27" t="str">
        <f t="shared" si="25"/>
        <v/>
      </c>
      <c r="BH40" s="161">
        <f>IFERROR(AVERAGEIFS(AllData[Phosphate (PPM)], AllData[Site Name], $B40, AllData[Season], "Spring", AllData[Year], "2025"), "")</f>
        <v>0.15333333333333335</v>
      </c>
      <c r="BI40" s="27">
        <f t="shared" si="26"/>
        <v>8.2352941176470726E-2</v>
      </c>
      <c r="BJ40" s="27" t="str">
        <f t="shared" si="27"/>
        <v/>
      </c>
      <c r="BK40" s="165">
        <f>COUNTIFS(AllData[Site Name], Tables!$B40, AllData[Season], "Summer", AllData[Year], "2025")</f>
        <v>0</v>
      </c>
      <c r="BL40" s="160" t="str">
        <f>IFERROR(AVERAGEIFS(AllData[Nitrate (PPM)], AllData[Site Name], $B40, AllData[Season], "Summer", AllData[Year], "2025"), "")</f>
        <v/>
      </c>
      <c r="BM40" s="27" t="str">
        <f t="shared" si="28"/>
        <v/>
      </c>
      <c r="BN40" s="27" t="str">
        <f t="shared" si="29"/>
        <v/>
      </c>
      <c r="BO40" s="161" t="str">
        <f>IFERROR(AVERAGEIFS(AllData[Phosphate (PPM)], AllData[Site Name], $B40, AllData[Season], "Summer", AllData[Year], "2025"),"")</f>
        <v/>
      </c>
      <c r="BP40" s="27" t="str">
        <f t="shared" si="30"/>
        <v/>
      </c>
      <c r="BQ40" s="27" t="str">
        <f t="shared" si="31"/>
        <v/>
      </c>
      <c r="BR40" s="165">
        <f>COUNTIFS(AllData[Site Name], Tables!$B40, AllData[Season], "Autumn", AllData[Year], "2025")</f>
        <v>0</v>
      </c>
      <c r="BS40" s="160" t="str">
        <f>IFERROR(AVERAGEIFS(AllData[Nitrate (PPM)], AllData[Site Name], $B40, AllData[Season], "Autumn", AllData[Year], "2025"), "")</f>
        <v/>
      </c>
      <c r="BT40" s="27" t="str">
        <f t="shared" si="32"/>
        <v/>
      </c>
      <c r="BU40" s="27" t="str">
        <f t="shared" si="33"/>
        <v/>
      </c>
      <c r="BV40" s="161" t="str">
        <f>IFERROR(AVERAGEIFS(AllData[Phosphate (PPM)], AllData[Site Name], AD40, AllData[Season], "Autumn", AllData[Year], "2025"), "")</f>
        <v/>
      </c>
      <c r="BW40" s="27" t="str">
        <f t="shared" si="34"/>
        <v/>
      </c>
      <c r="BX40" s="28" t="str">
        <f t="shared" si="35"/>
        <v/>
      </c>
      <c r="BY40" s="165">
        <f>COUNTIFS(AllData[Site Name], Tables!$B40, AllData[Season], "Winter", AllData[Year], "2025")</f>
        <v>0</v>
      </c>
      <c r="BZ40" s="160" t="str">
        <f>IFERROR(AVERAGEIFS(AllData[Nitrate (PPM)], AllData[Site Name], $B40, AllData[Season], "Winter", AllData[Year], "2025"), "")</f>
        <v/>
      </c>
      <c r="CA40" s="27" t="str">
        <f t="shared" si="36"/>
        <v/>
      </c>
      <c r="CB40" s="27" t="str">
        <f t="shared" si="40"/>
        <v/>
      </c>
      <c r="CC40" s="161" t="str">
        <f>IFERROR(AVERAGEIFS(AllData[Phosphate (PPM)], AllData[Site Name], $B40, AllData[Season], "Winter", AllData[Year], "2025"), "")</f>
        <v/>
      </c>
      <c r="CD40" s="27" t="str">
        <f t="shared" si="38"/>
        <v/>
      </c>
      <c r="CE40" s="44" t="str">
        <f t="shared" si="41"/>
        <v/>
      </c>
    </row>
    <row r="41" spans="2:83" x14ac:dyDescent="0.35">
      <c r="B41" s="159" t="s">
        <v>3665</v>
      </c>
      <c r="C41" s="113">
        <f>IFERROR(AVERAGEIF(AllData[Site Name], Tables!B41, AllData[Latitude]), "Unknown")</f>
        <v>51.953673000000002</v>
      </c>
      <c r="D41" s="113">
        <f>IFERROR(AVERAGEIF(AllData[Site Name], Tables!B41, AllData[Longitude]), "Unknown")</f>
        <v>-1.9623280000000001</v>
      </c>
      <c r="E41" s="13" t="e" vm="4">
        <f>_xlfn.XLOOKUP(B41,LocationsKey[Site Name], LocationsKey[District])</f>
        <v>#VALUE!</v>
      </c>
      <c r="F41" s="13" t="e" vm="8">
        <f>_xlfn.XLOOKUP(B41,LocationsKey[Site Name], LocationsKey[Town])</f>
        <v>#VALUE!</v>
      </c>
      <c r="G41" s="25" t="str">
        <f>_xlfn.XLOOKUP(B41,LocationsKey[Site Name],LocationsKey[Waterway])</f>
        <v>Isbourne</v>
      </c>
      <c r="H41" s="157">
        <f>COUNTIF(AllData[Site Name], Tables!B41)</f>
        <v>1</v>
      </c>
      <c r="I41" s="160">
        <f t="shared" si="0"/>
        <v>4</v>
      </c>
      <c r="J41" s="161">
        <f t="shared" si="1"/>
        <v>0.15</v>
      </c>
      <c r="K41" s="27" cm="1">
        <f t="array" ref="K41">SUM(COUNTIFS(AllData[Site Name], B41, AllData[Nitrate Pollution Category], {"High","Very high"}))/COUNTIFS(AllData[Site Name], B41, AllData[Nitrate (PPM)], "&lt;&gt;0")</f>
        <v>1</v>
      </c>
      <c r="L41" s="27" cm="1">
        <f t="array" ref="L41">SUM(COUNTIFS(AllData[Site Name], B41, AllData[Phosphate Pollution Category], {"High","Very high"}))/COUNTIFS(AllData[Site Name], B41, AllData[Phosphate (PPM)], "&lt;&gt;0")</f>
        <v>1</v>
      </c>
      <c r="M41" s="157">
        <f t="shared" si="2"/>
        <v>65</v>
      </c>
      <c r="N41" s="157">
        <f t="shared" si="3"/>
        <v>81</v>
      </c>
      <c r="O41" s="26">
        <f>COUNTIFS(AllData[Site Name], Tables!$B41, AllData[Season], "Summer", AllData[Year], "2023")</f>
        <v>0</v>
      </c>
      <c r="P41" s="160" t="str">
        <f>IFERROR(AVERAGEIFS(AllData[Nitrate (PPM)], AllData[Site Name], $B41, AllData[Season], "Summer", AllData[Year], "2023"), "")</f>
        <v/>
      </c>
      <c r="Q41" s="27" t="str">
        <f t="shared" si="4"/>
        <v/>
      </c>
      <c r="R41" s="161" t="str">
        <f>IFERROR(AVERAGEIFS(AllData[Phosphate (PPM)], AllData[Site Name], $B41, AllData[Season], "Summer", AllData[Year], "2023"),"")</f>
        <v/>
      </c>
      <c r="S41" s="28" t="str">
        <f t="shared" si="5"/>
        <v/>
      </c>
      <c r="T41" s="26">
        <f>COUNTIFS(AllData[Site Name], Tables!$B41, AllData[Season], "Autumn", AllData[Year], "2023")</f>
        <v>0</v>
      </c>
      <c r="U41" s="160" t="str">
        <f>IFERROR(AVERAGEIFS(AllData[Nitrate (PPM)], AllData[Site Name], $B41, AllData[Season], "Autumn", AllData[Year], "2023"), "")</f>
        <v/>
      </c>
      <c r="V41" s="27" t="str">
        <f t="shared" si="6"/>
        <v/>
      </c>
      <c r="W41" s="161" t="str">
        <f>IFERROR(AVERAGEIFS(AllData[Phosphate (PPM)], AllData[Site Name], $B41, AllData[Season], "Autumn", AllData[Year], "2023"),"")</f>
        <v/>
      </c>
      <c r="X41" s="28" t="str">
        <f t="shared" si="7"/>
        <v/>
      </c>
      <c r="Y41" s="26">
        <f>COUNTIFS(AllData[Site Name], Tables!$B41, AllData[Season], "Winter", AllData[Year], "2023")</f>
        <v>0</v>
      </c>
      <c r="Z41" s="160" t="str">
        <f>IFERROR(AVERAGEIFS(AllData[Nitrate (PPM)], AllData[Site Name], $B41, AllData[Season], "Winter", AllData[Year], "2023"), "")</f>
        <v/>
      </c>
      <c r="AA41" s="27" t="str">
        <f t="shared" si="8"/>
        <v/>
      </c>
      <c r="AB41" s="161" t="str">
        <f>IFERROR(AVERAGEIFS(AllData[Phosphate (PPM)], AllData[Site Name], $B41, AllData[Season], "Winter", AllData[Year], "2023"),"")</f>
        <v/>
      </c>
      <c r="AC41" s="28" t="str">
        <f t="shared" si="9"/>
        <v/>
      </c>
      <c r="AD41" s="26">
        <f>COUNTIFS(AllData[Site Name], Tables!$B41, AllData[Season], "Spring", AllData[Year], "2024")</f>
        <v>0</v>
      </c>
      <c r="AE41" s="160" t="str">
        <f>IFERROR(AVERAGEIFS(AllData[Nitrate (PPM)], AllData[Site Name], $B41, AllData[Season], "Spring", AllData[Year], "2024"), "")</f>
        <v/>
      </c>
      <c r="AF41" s="27" t="str">
        <f t="shared" si="10"/>
        <v/>
      </c>
      <c r="AG41" s="161" t="str">
        <f>IFERROR(AVERAGEIFS(AllData[Phosphate (PPM)], AllData[Site Name], $B41, AllData[Season], "Spring", AllData[Year], "2024"),"")</f>
        <v/>
      </c>
      <c r="AH41" s="28" t="str">
        <f t="shared" si="11"/>
        <v/>
      </c>
      <c r="AI41" s="165">
        <f>COUNTIFS(AllData[Site Name], Tables!$B41, AllData[Season], "Summer", AllData[Year], "2024")</f>
        <v>0</v>
      </c>
      <c r="AJ41" s="160" t="str">
        <f>IFERROR(AVERAGEIFS(AllData[Nitrate (PPM)], AllData[Site Name], $B41, AllData[Season], "Summer", AllData[Year], "2024"), "")</f>
        <v/>
      </c>
      <c r="AK41" s="27" t="str">
        <f t="shared" si="12"/>
        <v/>
      </c>
      <c r="AL41" s="27" t="str">
        <f t="shared" si="13"/>
        <v/>
      </c>
      <c r="AM41" s="161" t="str">
        <f>IFERROR(AVERAGEIFS(AllData[Phosphate (PPM)], AllData[Site Name], $B41, AllData[Season], "Summer", AllData[Year], "2024"),"")</f>
        <v/>
      </c>
      <c r="AN41" s="27" t="str">
        <f t="shared" si="14"/>
        <v/>
      </c>
      <c r="AO41" s="28" t="str">
        <f t="shared" si="15"/>
        <v/>
      </c>
      <c r="AP41" s="157">
        <f>COUNTIFS(AllData[Site Name], Tables!$B41, AllData[Season], "Autumn", AllData[Year], "2024")</f>
        <v>0</v>
      </c>
      <c r="AQ41" s="160" t="str">
        <f>IFERROR(AVERAGEIFS(AllData[Nitrate (PPM)], AllData[Site Name], $B41, AllData[Season], "Autumn", AllData[Year], "2024"), "")</f>
        <v/>
      </c>
      <c r="AR41" s="27" t="str">
        <f t="shared" si="16"/>
        <v/>
      </c>
      <c r="AS41" s="27" t="str">
        <f t="shared" si="42"/>
        <v/>
      </c>
      <c r="AT41" s="161" t="str">
        <f>IFERROR(AVERAGEIFS(AllData[Phosphate (PPM)], AllData[Site Name], B41, AllData[Season], "Autumn", AllData[Year], "2024"), "")</f>
        <v/>
      </c>
      <c r="AU41" s="27" t="str">
        <f t="shared" si="18"/>
        <v/>
      </c>
      <c r="AV41" s="28" t="str">
        <f t="shared" si="43"/>
        <v/>
      </c>
      <c r="AW41" s="165">
        <f>COUNTIFS(AllData[Site Name], Tables!$B41, AllData[Season], "Winter", AllData[Year], "2024")</f>
        <v>0</v>
      </c>
      <c r="AX41" s="160" t="str">
        <f>IFERROR(AVERAGEIFS(AllData[Nitrate (PPM)], AllData[Site Name], $B41, AllData[Season], "Winter", AllData[Year], "2024"), "")</f>
        <v/>
      </c>
      <c r="AY41" s="27" t="str">
        <f t="shared" si="20"/>
        <v/>
      </c>
      <c r="AZ41" s="27" t="str">
        <f t="shared" si="21"/>
        <v/>
      </c>
      <c r="BA41" s="161" t="str">
        <f>IFERROR(AVERAGEIFS(AllData[Phosphate (PPM)], AllData[Site Name], $B41, AllData[Season], "Winter", AllData[Year], "2024"), "")</f>
        <v/>
      </c>
      <c r="BB41" s="27" t="str">
        <f t="shared" si="22"/>
        <v/>
      </c>
      <c r="BC41" s="44" t="str">
        <f t="shared" si="23"/>
        <v/>
      </c>
      <c r="BD41" s="157">
        <f>COUNTIFS(AllData[Site Name], Tables!$B41, AllData[Season], "Spring", AllData[Year], "2025")</f>
        <v>1</v>
      </c>
      <c r="BE41" s="160">
        <f>IFERROR(AVERAGEIFS(AllData[Nitrate (PPM)], AllData[Site Name], $B41, AllData[Season], "Spring", AllData[Year], "2025"), "")</f>
        <v>4</v>
      </c>
      <c r="BF41" s="27">
        <f t="shared" si="24"/>
        <v>0</v>
      </c>
      <c r="BG41" s="27" t="str">
        <f t="shared" si="25"/>
        <v/>
      </c>
      <c r="BH41" s="161">
        <f>IFERROR(AVERAGEIFS(AllData[Phosphate (PPM)], AllData[Site Name], $B41, AllData[Season], "Spring", AllData[Year], "2025"), "")</f>
        <v>0.15</v>
      </c>
      <c r="BI41" s="27">
        <f t="shared" si="26"/>
        <v>0</v>
      </c>
      <c r="BJ41" s="27" t="str">
        <f t="shared" si="27"/>
        <v/>
      </c>
      <c r="BK41" s="165">
        <f>COUNTIFS(AllData[Site Name], Tables!$B41, AllData[Season], "Summer", AllData[Year], "2025")</f>
        <v>0</v>
      </c>
      <c r="BL41" s="160" t="str">
        <f>IFERROR(AVERAGEIFS(AllData[Nitrate (PPM)], AllData[Site Name], $B41, AllData[Season], "Summer", AllData[Year], "2025"), "")</f>
        <v/>
      </c>
      <c r="BM41" s="27" t="str">
        <f t="shared" si="28"/>
        <v/>
      </c>
      <c r="BN41" s="27" t="str">
        <f t="shared" si="29"/>
        <v/>
      </c>
      <c r="BO41" s="161" t="str">
        <f>IFERROR(AVERAGEIFS(AllData[Phosphate (PPM)], AllData[Site Name], $B41, AllData[Season], "Summer", AllData[Year], "2025"),"")</f>
        <v/>
      </c>
      <c r="BP41" s="27" t="str">
        <f t="shared" si="30"/>
        <v/>
      </c>
      <c r="BQ41" s="27" t="str">
        <f t="shared" si="31"/>
        <v/>
      </c>
      <c r="BR41" s="165">
        <f>COUNTIFS(AllData[Site Name], Tables!$B41, AllData[Season], "Autumn", AllData[Year], "2025")</f>
        <v>0</v>
      </c>
      <c r="BS41" s="160" t="str">
        <f>IFERROR(AVERAGEIFS(AllData[Nitrate (PPM)], AllData[Site Name], $B41, AllData[Season], "Autumn", AllData[Year], "2025"), "")</f>
        <v/>
      </c>
      <c r="BT41" s="27" t="str">
        <f t="shared" si="32"/>
        <v/>
      </c>
      <c r="BU41" s="27" t="str">
        <f t="shared" si="33"/>
        <v/>
      </c>
      <c r="BV41" s="161" t="str">
        <f>IFERROR(AVERAGEIFS(AllData[Phosphate (PPM)], AllData[Site Name], AD41, AllData[Season], "Autumn", AllData[Year], "2025"), "")</f>
        <v/>
      </c>
      <c r="BW41" s="27" t="str">
        <f t="shared" si="34"/>
        <v/>
      </c>
      <c r="BX41" s="28" t="str">
        <f t="shared" si="35"/>
        <v/>
      </c>
      <c r="BY41" s="165">
        <f>COUNTIFS(AllData[Site Name], Tables!$B41, AllData[Season], "Winter", AllData[Year], "2025")</f>
        <v>0</v>
      </c>
      <c r="BZ41" s="160" t="str">
        <f>IFERROR(AVERAGEIFS(AllData[Nitrate (PPM)], AllData[Site Name], $B41, AllData[Season], "Winter", AllData[Year], "2025"), "")</f>
        <v/>
      </c>
      <c r="CA41" s="27" t="str">
        <f t="shared" si="36"/>
        <v/>
      </c>
      <c r="CB41" s="27" t="str">
        <f t="shared" si="40"/>
        <v/>
      </c>
      <c r="CC41" s="161" t="str">
        <f>IFERROR(AVERAGEIFS(AllData[Phosphate (PPM)], AllData[Site Name], $B41, AllData[Season], "Winter", AllData[Year], "2025"), "")</f>
        <v/>
      </c>
      <c r="CD41" s="27" t="str">
        <f t="shared" si="38"/>
        <v/>
      </c>
      <c r="CE41" s="44" t="str">
        <f t="shared" si="41"/>
        <v/>
      </c>
    </row>
    <row r="42" spans="2:83" x14ac:dyDescent="0.35">
      <c r="B42" s="159" t="s">
        <v>3434</v>
      </c>
      <c r="C42" s="113">
        <f>IFERROR(AVERAGEIF(AllData[Site Name], Tables!B42, AllData[Latitude]), "Unknown")</f>
        <v>51.939445666666671</v>
      </c>
      <c r="D42" s="113">
        <f>IFERROR(AVERAGEIF(AllData[Site Name], Tables!B42, AllData[Longitude]), "Unknown")</f>
        <v>-2.0030190000000001</v>
      </c>
      <c r="E42" s="13" t="e" vm="4">
        <f>_xlfn.XLOOKUP(B42,LocationsKey[Site Name], LocationsKey[District])</f>
        <v>#VALUE!</v>
      </c>
      <c r="F42" s="13" t="str">
        <f>_xlfn.XLOOKUP(B42,LocationsKey[Site Name], LocationsKey[Town])</f>
        <v>Winchcombe</v>
      </c>
      <c r="G42" s="25" t="str">
        <f>_xlfn.XLOOKUP(B42,LocationsKey[Site Name],LocationsKey[Waterway])</f>
        <v>Isbourne</v>
      </c>
      <c r="H42" s="157">
        <f>COUNTIF(AllData[Site Name], Tables!B42)</f>
        <v>3</v>
      </c>
      <c r="I42" s="160">
        <f t="shared" si="0"/>
        <v>3</v>
      </c>
      <c r="J42" s="161">
        <f t="shared" si="1"/>
        <v>0.08</v>
      </c>
      <c r="K42" s="27" cm="1">
        <f t="array" ref="K42">SUM(COUNTIFS(AllData[Site Name], B42, AllData[Nitrate Pollution Category], {"High","Very high"}))/COUNTIFS(AllData[Site Name], B42, AllData[Nitrate (PPM)], "&lt;&gt;0")</f>
        <v>1</v>
      </c>
      <c r="L42" s="27" cm="1">
        <f t="array" ref="L42">SUM(COUNTIFS(AllData[Site Name], B42, AllData[Phosphate Pollution Category], {"High","Very high"}))/COUNTIFS(AllData[Site Name], B42, AllData[Phosphate (PPM)], "&lt;&gt;0")</f>
        <v>0</v>
      </c>
      <c r="M42" s="157">
        <f t="shared" si="2"/>
        <v>73</v>
      </c>
      <c r="N42" s="157">
        <f t="shared" si="3"/>
        <v>84</v>
      </c>
      <c r="O42" s="26">
        <f>COUNTIFS(AllData[Site Name], Tables!$B42, AllData[Season], "Summer", AllData[Year], "2023")</f>
        <v>0</v>
      </c>
      <c r="P42" s="160" t="str">
        <f>IFERROR(AVERAGEIFS(AllData[Nitrate (PPM)], AllData[Site Name], $B42, AllData[Season], "Summer", AllData[Year], "2023"), "")</f>
        <v/>
      </c>
      <c r="Q42" s="27" t="str">
        <f t="shared" si="4"/>
        <v/>
      </c>
      <c r="R42" s="161" t="str">
        <f>IFERROR(AVERAGEIFS(AllData[Phosphate (PPM)], AllData[Site Name], $B42, AllData[Season], "Summer", AllData[Year], "2023"),"")</f>
        <v/>
      </c>
      <c r="S42" s="28" t="str">
        <f t="shared" si="5"/>
        <v/>
      </c>
      <c r="T42" s="26">
        <f>COUNTIFS(AllData[Site Name], Tables!$B42, AllData[Season], "Autumn", AllData[Year], "2023")</f>
        <v>0</v>
      </c>
      <c r="U42" s="160" t="str">
        <f>IFERROR(AVERAGEIFS(AllData[Nitrate (PPM)], AllData[Site Name], $B42, AllData[Season], "Autumn", AllData[Year], "2023"), "")</f>
        <v/>
      </c>
      <c r="V42" s="27" t="str">
        <f t="shared" si="6"/>
        <v/>
      </c>
      <c r="W42" s="161" t="str">
        <f>IFERROR(AVERAGEIFS(AllData[Phosphate (PPM)], AllData[Site Name], $B42, AllData[Season], "Autumn", AllData[Year], "2023"),"")</f>
        <v/>
      </c>
      <c r="X42" s="28" t="str">
        <f t="shared" si="7"/>
        <v/>
      </c>
      <c r="Y42" s="26">
        <f>COUNTIFS(AllData[Site Name], Tables!$B42, AllData[Season], "Winter", AllData[Year], "2023")</f>
        <v>0</v>
      </c>
      <c r="Z42" s="160" t="str">
        <f>IFERROR(AVERAGEIFS(AllData[Nitrate (PPM)], AllData[Site Name], $B42, AllData[Season], "Winter", AllData[Year], "2023"), "")</f>
        <v/>
      </c>
      <c r="AA42" s="27" t="str">
        <f t="shared" si="8"/>
        <v/>
      </c>
      <c r="AB42" s="161" t="str">
        <f>IFERROR(AVERAGEIFS(AllData[Phosphate (PPM)], AllData[Site Name], $B42, AllData[Season], "Winter", AllData[Year], "2023"),"")</f>
        <v/>
      </c>
      <c r="AC42" s="28" t="str">
        <f t="shared" si="9"/>
        <v/>
      </c>
      <c r="AD42" s="26">
        <f>COUNTIFS(AllData[Site Name], Tables!$B42, AllData[Season], "Spring", AllData[Year], "2024")</f>
        <v>0</v>
      </c>
      <c r="AE42" s="160" t="str">
        <f>IFERROR(AVERAGEIFS(AllData[Nitrate (PPM)], AllData[Site Name], $B42, AllData[Season], "Spring", AllData[Year], "2024"), "")</f>
        <v/>
      </c>
      <c r="AF42" s="27" t="str">
        <f t="shared" si="10"/>
        <v/>
      </c>
      <c r="AG42" s="161" t="str">
        <f>IFERROR(AVERAGEIFS(AllData[Phosphate (PPM)], AllData[Site Name], $B42, AllData[Season], "Spring", AllData[Year], "2024"),"")</f>
        <v/>
      </c>
      <c r="AH42" s="28" t="str">
        <f t="shared" si="11"/>
        <v/>
      </c>
      <c r="AI42" s="165">
        <f>COUNTIFS(AllData[Site Name], Tables!$B42, AllData[Season], "Summer", AllData[Year], "2024")</f>
        <v>0</v>
      </c>
      <c r="AJ42" s="160" t="str">
        <f>IFERROR(AVERAGEIFS(AllData[Nitrate (PPM)], AllData[Site Name], $B42, AllData[Season], "Summer", AllData[Year], "2024"), "")</f>
        <v/>
      </c>
      <c r="AK42" s="27" t="str">
        <f t="shared" si="12"/>
        <v/>
      </c>
      <c r="AL42" s="27" t="str">
        <f t="shared" si="13"/>
        <v/>
      </c>
      <c r="AM42" s="161" t="str">
        <f>IFERROR(AVERAGEIFS(AllData[Phosphate (PPM)], AllData[Site Name], $B42, AllData[Season], "Summer", AllData[Year], "2024"),"")</f>
        <v/>
      </c>
      <c r="AN42" s="27" t="str">
        <f t="shared" si="14"/>
        <v/>
      </c>
      <c r="AO42" s="28" t="str">
        <f t="shared" si="15"/>
        <v/>
      </c>
      <c r="AP42" s="157">
        <f>COUNTIFS(AllData[Site Name], Tables!$B42, AllData[Season], "Autumn", AllData[Year], "2024")</f>
        <v>0</v>
      </c>
      <c r="AQ42" s="160" t="str">
        <f>IFERROR(AVERAGEIFS(AllData[Nitrate (PPM)], AllData[Site Name], $B42, AllData[Season], "Autumn", AllData[Year], "2024"), "")</f>
        <v/>
      </c>
      <c r="AR42" s="27" t="str">
        <f t="shared" si="16"/>
        <v/>
      </c>
      <c r="AS42" s="27" t="str">
        <f t="shared" si="42"/>
        <v/>
      </c>
      <c r="AT42" s="161" t="str">
        <f>IFERROR(AVERAGEIFS(AllData[Phosphate (PPM)], AllData[Site Name], B42, AllData[Season], "Autumn", AllData[Year], "2024"), "")</f>
        <v/>
      </c>
      <c r="AU42" s="27" t="str">
        <f t="shared" si="18"/>
        <v/>
      </c>
      <c r="AV42" s="28" t="str">
        <f t="shared" si="43"/>
        <v/>
      </c>
      <c r="AW42" s="165">
        <f>COUNTIFS(AllData[Site Name], Tables!$B42, AllData[Season], "Winter", AllData[Year], "2024")</f>
        <v>0</v>
      </c>
      <c r="AX42" s="160" t="str">
        <f>IFERROR(AVERAGEIFS(AllData[Nitrate (PPM)], AllData[Site Name], $B42, AllData[Season], "Winter", AllData[Year], "2024"), "")</f>
        <v/>
      </c>
      <c r="AY42" s="27" t="str">
        <f t="shared" si="20"/>
        <v/>
      </c>
      <c r="AZ42" s="27" t="str">
        <f t="shared" si="21"/>
        <v/>
      </c>
      <c r="BA42" s="161" t="str">
        <f>IFERROR(AVERAGEIFS(AllData[Phosphate (PPM)], AllData[Site Name], $B42, AllData[Season], "Winter", AllData[Year], "2024"), "")</f>
        <v/>
      </c>
      <c r="BB42" s="27" t="str">
        <f t="shared" si="22"/>
        <v/>
      </c>
      <c r="BC42" s="44" t="str">
        <f t="shared" si="23"/>
        <v/>
      </c>
      <c r="BD42" s="157">
        <f>COUNTIFS(AllData[Site Name], Tables!$B42, AllData[Season], "Spring", AllData[Year], "2025")</f>
        <v>3</v>
      </c>
      <c r="BE42" s="160">
        <f>IFERROR(AVERAGEIFS(AllData[Nitrate (PPM)], AllData[Site Name], $B42, AllData[Season], "Spring", AllData[Year], "2025"), "")</f>
        <v>3</v>
      </c>
      <c r="BF42" s="27">
        <f t="shared" si="24"/>
        <v>0</v>
      </c>
      <c r="BG42" s="27" t="str">
        <f t="shared" si="25"/>
        <v/>
      </c>
      <c r="BH42" s="161">
        <f>IFERROR(AVERAGEIFS(AllData[Phosphate (PPM)], AllData[Site Name], $B42, AllData[Season], "Spring", AllData[Year], "2025"), "")</f>
        <v>0.08</v>
      </c>
      <c r="BI42" s="27">
        <f t="shared" si="26"/>
        <v>0</v>
      </c>
      <c r="BJ42" s="27" t="str">
        <f t="shared" si="27"/>
        <v/>
      </c>
      <c r="BK42" s="165">
        <f>COUNTIFS(AllData[Site Name], Tables!$B42, AllData[Season], "Summer", AllData[Year], "2025")</f>
        <v>0</v>
      </c>
      <c r="BL42" s="160" t="str">
        <f>IFERROR(AVERAGEIFS(AllData[Nitrate (PPM)], AllData[Site Name], $B42, AllData[Season], "Summer", AllData[Year], "2025"), "")</f>
        <v/>
      </c>
      <c r="BM42" s="27" t="str">
        <f t="shared" si="28"/>
        <v/>
      </c>
      <c r="BN42" s="27" t="str">
        <f t="shared" si="29"/>
        <v/>
      </c>
      <c r="BO42" s="161" t="str">
        <f>IFERROR(AVERAGEIFS(AllData[Phosphate (PPM)], AllData[Site Name], $B42, AllData[Season], "Summer", AllData[Year], "2025"),"")</f>
        <v/>
      </c>
      <c r="BP42" s="27" t="str">
        <f t="shared" si="30"/>
        <v/>
      </c>
      <c r="BQ42" s="27" t="str">
        <f t="shared" si="31"/>
        <v/>
      </c>
      <c r="BR42" s="165">
        <f>COUNTIFS(AllData[Site Name], Tables!$B42, AllData[Season], "Autumn", AllData[Year], "2025")</f>
        <v>0</v>
      </c>
      <c r="BS42" s="160" t="str">
        <f>IFERROR(AVERAGEIFS(AllData[Nitrate (PPM)], AllData[Site Name], $B42, AllData[Season], "Autumn", AllData[Year], "2025"), "")</f>
        <v/>
      </c>
      <c r="BT42" s="27" t="str">
        <f t="shared" si="32"/>
        <v/>
      </c>
      <c r="BU42" s="27" t="str">
        <f t="shared" si="33"/>
        <v/>
      </c>
      <c r="BV42" s="161" t="str">
        <f>IFERROR(AVERAGEIFS(AllData[Phosphate (PPM)], AllData[Site Name], AD42, AllData[Season], "Autumn", AllData[Year], "2025"), "")</f>
        <v/>
      </c>
      <c r="BW42" s="27" t="str">
        <f t="shared" si="34"/>
        <v/>
      </c>
      <c r="BX42" s="28" t="str">
        <f t="shared" si="35"/>
        <v/>
      </c>
      <c r="BY42" s="165">
        <f>COUNTIFS(AllData[Site Name], Tables!$B42, AllData[Season], "Winter", AllData[Year], "2025")</f>
        <v>0</v>
      </c>
      <c r="BZ42" s="160" t="str">
        <f>IFERROR(AVERAGEIFS(AllData[Nitrate (PPM)], AllData[Site Name], $B42, AllData[Season], "Winter", AllData[Year], "2025"), "")</f>
        <v/>
      </c>
      <c r="CA42" s="27" t="str">
        <f t="shared" si="36"/>
        <v/>
      </c>
      <c r="CB42" s="27" t="str">
        <f t="shared" si="40"/>
        <v/>
      </c>
      <c r="CC42" s="161" t="str">
        <f>IFERROR(AVERAGEIFS(AllData[Phosphate (PPM)], AllData[Site Name], $B42, AllData[Season], "Winter", AllData[Year], "2025"), "")</f>
        <v/>
      </c>
      <c r="CD42" s="27" t="str">
        <f t="shared" si="38"/>
        <v/>
      </c>
      <c r="CE42" s="44" t="str">
        <f t="shared" si="41"/>
        <v/>
      </c>
    </row>
    <row r="43" spans="2:83" x14ac:dyDescent="0.35">
      <c r="B43" s="159" t="s">
        <v>3662</v>
      </c>
      <c r="C43" s="113">
        <f>IFERROR(AVERAGEIF(AllData[Site Name], Tables!B43, AllData[Latitude]), "Unknown")</f>
        <v>51.958762</v>
      </c>
      <c r="D43" s="113">
        <f>IFERROR(AVERAGEIF(AllData[Site Name], Tables!B43, AllData[Longitude]), "Unknown")</f>
        <v>-1.970119</v>
      </c>
      <c r="E43" s="13" t="e" vm="4">
        <f>_xlfn.XLOOKUP(B43,LocationsKey[Site Name], LocationsKey[District])</f>
        <v>#VALUE!</v>
      </c>
      <c r="F43" s="13" t="e" vm="8">
        <f>_xlfn.XLOOKUP(B43,LocationsKey[Site Name], LocationsKey[Town])</f>
        <v>#VALUE!</v>
      </c>
      <c r="G43" s="25" t="str">
        <f>_xlfn.XLOOKUP(B43,LocationsKey[Site Name],LocationsKey[Waterway])</f>
        <v>Isbourne</v>
      </c>
      <c r="H43" s="157">
        <f>COUNTIF(AllData[Site Name], Tables!B43)</f>
        <v>3</v>
      </c>
      <c r="I43" s="160">
        <f t="shared" si="0"/>
        <v>4</v>
      </c>
      <c r="J43" s="161">
        <f t="shared" si="1"/>
        <v>0</v>
      </c>
      <c r="K43" s="27" cm="1">
        <f t="array" ref="K43">SUM(COUNTIFS(AllData[Site Name], B43, AllData[Nitrate Pollution Category], {"High","Very high"}))/COUNTIFS(AllData[Site Name], B43, AllData[Nitrate (PPM)], "&lt;&gt;0")</f>
        <v>1</v>
      </c>
      <c r="L43" s="27" t="e" cm="1">
        <f t="array" ref="L43">SUM(COUNTIFS(AllData[Site Name], B43, AllData[Phosphate Pollution Category], {"High","Very high"}))/COUNTIFS(AllData[Site Name], B43, AllData[Phosphate (PPM)], "&lt;&gt;0")</f>
        <v>#DIV/0!</v>
      </c>
      <c r="M43" s="157">
        <f t="shared" si="2"/>
        <v>65</v>
      </c>
      <c r="N43" s="157">
        <f t="shared" si="3"/>
        <v>87</v>
      </c>
      <c r="O43" s="26">
        <f>COUNTIFS(AllData[Site Name], Tables!$B43, AllData[Season], "Summer", AllData[Year], "2023")</f>
        <v>0</v>
      </c>
      <c r="P43" s="160" t="str">
        <f>IFERROR(AVERAGEIFS(AllData[Nitrate (PPM)], AllData[Site Name], $B43, AllData[Season], "Summer", AllData[Year], "2023"), "")</f>
        <v/>
      </c>
      <c r="Q43" s="27" t="str">
        <f t="shared" si="4"/>
        <v/>
      </c>
      <c r="R43" s="161" t="str">
        <f>IFERROR(AVERAGEIFS(AllData[Phosphate (PPM)], AllData[Site Name], $B43, AllData[Season], "Summer", AllData[Year], "2023"),"")</f>
        <v/>
      </c>
      <c r="S43" s="28" t="str">
        <f t="shared" si="5"/>
        <v/>
      </c>
      <c r="T43" s="26">
        <f>COUNTIFS(AllData[Site Name], Tables!$B43, AllData[Season], "Autumn", AllData[Year], "2023")</f>
        <v>0</v>
      </c>
      <c r="U43" s="160" t="str">
        <f>IFERROR(AVERAGEIFS(AllData[Nitrate (PPM)], AllData[Site Name], $B43, AllData[Season], "Autumn", AllData[Year], "2023"), "")</f>
        <v/>
      </c>
      <c r="V43" s="27" t="str">
        <f t="shared" si="6"/>
        <v/>
      </c>
      <c r="W43" s="161" t="str">
        <f>IFERROR(AVERAGEIFS(AllData[Phosphate (PPM)], AllData[Site Name], $B43, AllData[Season], "Autumn", AllData[Year], "2023"),"")</f>
        <v/>
      </c>
      <c r="X43" s="28" t="str">
        <f t="shared" si="7"/>
        <v/>
      </c>
      <c r="Y43" s="26">
        <f>COUNTIFS(AllData[Site Name], Tables!$B43, AllData[Season], "Winter", AllData[Year], "2023")</f>
        <v>0</v>
      </c>
      <c r="Z43" s="160" t="str">
        <f>IFERROR(AVERAGEIFS(AllData[Nitrate (PPM)], AllData[Site Name], $B43, AllData[Season], "Winter", AllData[Year], "2023"), "")</f>
        <v/>
      </c>
      <c r="AA43" s="27" t="str">
        <f t="shared" si="8"/>
        <v/>
      </c>
      <c r="AB43" s="161" t="str">
        <f>IFERROR(AVERAGEIFS(AllData[Phosphate (PPM)], AllData[Site Name], $B43, AllData[Season], "Winter", AllData[Year], "2023"),"")</f>
        <v/>
      </c>
      <c r="AC43" s="28" t="str">
        <f t="shared" si="9"/>
        <v/>
      </c>
      <c r="AD43" s="26">
        <f>COUNTIFS(AllData[Site Name], Tables!$B43, AllData[Season], "Spring", AllData[Year], "2024")</f>
        <v>0</v>
      </c>
      <c r="AE43" s="160" t="str">
        <f>IFERROR(AVERAGEIFS(AllData[Nitrate (PPM)], AllData[Site Name], $B43, AllData[Season], "Spring", AllData[Year], "2024"), "")</f>
        <v/>
      </c>
      <c r="AF43" s="27" t="str">
        <f t="shared" si="10"/>
        <v/>
      </c>
      <c r="AG43" s="161" t="str">
        <f>IFERROR(AVERAGEIFS(AllData[Phosphate (PPM)], AllData[Site Name], $B43, AllData[Season], "Spring", AllData[Year], "2024"),"")</f>
        <v/>
      </c>
      <c r="AH43" s="28" t="str">
        <f t="shared" si="11"/>
        <v/>
      </c>
      <c r="AI43" s="165">
        <f>COUNTIFS(AllData[Site Name], Tables!$B43, AllData[Season], "Summer", AllData[Year], "2024")</f>
        <v>0</v>
      </c>
      <c r="AJ43" s="160" t="str">
        <f>IFERROR(AVERAGEIFS(AllData[Nitrate (PPM)], AllData[Site Name], $B43, AllData[Season], "Summer", AllData[Year], "2024"), "")</f>
        <v/>
      </c>
      <c r="AK43" s="27" t="str">
        <f t="shared" si="12"/>
        <v/>
      </c>
      <c r="AL43" s="27" t="str">
        <f t="shared" si="13"/>
        <v/>
      </c>
      <c r="AM43" s="161" t="str">
        <f>IFERROR(AVERAGEIFS(AllData[Phosphate (PPM)], AllData[Site Name], $B43, AllData[Season], "Summer", AllData[Year], "2024"),"")</f>
        <v/>
      </c>
      <c r="AN43" s="27" t="str">
        <f t="shared" si="14"/>
        <v/>
      </c>
      <c r="AO43" s="28" t="str">
        <f t="shared" si="15"/>
        <v/>
      </c>
      <c r="AP43" s="157">
        <f>COUNTIFS(AllData[Site Name], Tables!$B43, AllData[Season], "Autumn", AllData[Year], "2024")</f>
        <v>0</v>
      </c>
      <c r="AQ43" s="160" t="str">
        <f>IFERROR(AVERAGEIFS(AllData[Nitrate (PPM)], AllData[Site Name], $B43, AllData[Season], "Autumn", AllData[Year], "2024"), "")</f>
        <v/>
      </c>
      <c r="AR43" s="27" t="str">
        <f t="shared" si="16"/>
        <v/>
      </c>
      <c r="AS43" s="27" t="str">
        <f t="shared" si="42"/>
        <v/>
      </c>
      <c r="AT43" s="161" t="str">
        <f>IFERROR(AVERAGEIFS(AllData[Phosphate (PPM)], AllData[Site Name], B43, AllData[Season], "Autumn", AllData[Year], "2024"), "")</f>
        <v/>
      </c>
      <c r="AU43" s="27" t="str">
        <f t="shared" si="18"/>
        <v/>
      </c>
      <c r="AV43" s="28" t="str">
        <f t="shared" si="43"/>
        <v/>
      </c>
      <c r="AW43" s="165">
        <f>COUNTIFS(AllData[Site Name], Tables!$B43, AllData[Season], "Winter", AllData[Year], "2024")</f>
        <v>0</v>
      </c>
      <c r="AX43" s="160" t="str">
        <f>IFERROR(AVERAGEIFS(AllData[Nitrate (PPM)], AllData[Site Name], $B43, AllData[Season], "Winter", AllData[Year], "2024"), "")</f>
        <v/>
      </c>
      <c r="AY43" s="27" t="str">
        <f t="shared" si="20"/>
        <v/>
      </c>
      <c r="AZ43" s="27" t="str">
        <f t="shared" si="21"/>
        <v/>
      </c>
      <c r="BA43" s="161" t="str">
        <f>IFERROR(AVERAGEIFS(AllData[Phosphate (PPM)], AllData[Site Name], $B43, AllData[Season], "Winter", AllData[Year], "2024"), "")</f>
        <v/>
      </c>
      <c r="BB43" s="27" t="str">
        <f t="shared" si="22"/>
        <v/>
      </c>
      <c r="BC43" s="44" t="str">
        <f t="shared" si="23"/>
        <v/>
      </c>
      <c r="BD43" s="157">
        <f>COUNTIFS(AllData[Site Name], Tables!$B43, AllData[Season], "Spring", AllData[Year], "2025")</f>
        <v>3</v>
      </c>
      <c r="BE43" s="160">
        <f>IFERROR(AVERAGEIFS(AllData[Nitrate (PPM)], AllData[Site Name], $B43, AllData[Season], "Spring", AllData[Year], "2025"), "")</f>
        <v>4</v>
      </c>
      <c r="BF43" s="27">
        <f t="shared" si="24"/>
        <v>0</v>
      </c>
      <c r="BG43" s="27" t="str">
        <f t="shared" si="25"/>
        <v/>
      </c>
      <c r="BH43" s="161">
        <f>IFERROR(AVERAGEIFS(AllData[Phosphate (PPM)], AllData[Site Name], $B43, AllData[Season], "Spring", AllData[Year], "2025"), "")</f>
        <v>0</v>
      </c>
      <c r="BI43" s="27" t="str">
        <f t="shared" si="26"/>
        <v/>
      </c>
      <c r="BJ43" s="27" t="str">
        <f t="shared" si="27"/>
        <v/>
      </c>
      <c r="BK43" s="165">
        <f>COUNTIFS(AllData[Site Name], Tables!$B43, AllData[Season], "Summer", AllData[Year], "2025")</f>
        <v>0</v>
      </c>
      <c r="BL43" s="160" t="str">
        <f>IFERROR(AVERAGEIFS(AllData[Nitrate (PPM)], AllData[Site Name], $B43, AllData[Season], "Summer", AllData[Year], "2025"), "")</f>
        <v/>
      </c>
      <c r="BM43" s="27" t="str">
        <f t="shared" si="28"/>
        <v/>
      </c>
      <c r="BN43" s="27" t="str">
        <f t="shared" si="29"/>
        <v/>
      </c>
      <c r="BO43" s="161" t="str">
        <f>IFERROR(AVERAGEIFS(AllData[Phosphate (PPM)], AllData[Site Name], $B43, AllData[Season], "Summer", AllData[Year], "2025"),"")</f>
        <v/>
      </c>
      <c r="BP43" s="27" t="str">
        <f t="shared" si="30"/>
        <v/>
      </c>
      <c r="BQ43" s="27" t="str">
        <f t="shared" si="31"/>
        <v/>
      </c>
      <c r="BR43" s="165">
        <f>COUNTIFS(AllData[Site Name], Tables!$B43, AllData[Season], "Autumn", AllData[Year], "2025")</f>
        <v>0</v>
      </c>
      <c r="BS43" s="160" t="str">
        <f>IFERROR(AVERAGEIFS(AllData[Nitrate (PPM)], AllData[Site Name], $B43, AllData[Season], "Autumn", AllData[Year], "2025"), "")</f>
        <v/>
      </c>
      <c r="BT43" s="27" t="str">
        <f t="shared" si="32"/>
        <v/>
      </c>
      <c r="BU43" s="27" t="str">
        <f t="shared" si="33"/>
        <v/>
      </c>
      <c r="BV43" s="161" t="str">
        <f>IFERROR(AVERAGEIFS(AllData[Phosphate (PPM)], AllData[Site Name], AD43, AllData[Season], "Autumn", AllData[Year], "2025"), "")</f>
        <v/>
      </c>
      <c r="BW43" s="27" t="str">
        <f t="shared" si="34"/>
        <v/>
      </c>
      <c r="BX43" s="28" t="str">
        <f t="shared" si="35"/>
        <v/>
      </c>
      <c r="BY43" s="165">
        <f>COUNTIFS(AllData[Site Name], Tables!$B43, AllData[Season], "Winter", AllData[Year], "2025")</f>
        <v>0</v>
      </c>
      <c r="BZ43" s="160" t="str">
        <f>IFERROR(AVERAGEIFS(AllData[Nitrate (PPM)], AllData[Site Name], $B43, AllData[Season], "Winter", AllData[Year], "2025"), "")</f>
        <v/>
      </c>
      <c r="CA43" s="27" t="str">
        <f t="shared" si="36"/>
        <v/>
      </c>
      <c r="CB43" s="27" t="str">
        <f t="shared" si="40"/>
        <v/>
      </c>
      <c r="CC43" s="161" t="str">
        <f>IFERROR(AVERAGEIFS(AllData[Phosphate (PPM)], AllData[Site Name], $B43, AllData[Season], "Winter", AllData[Year], "2025"), "")</f>
        <v/>
      </c>
      <c r="CD43" s="27" t="str">
        <f t="shared" si="38"/>
        <v/>
      </c>
      <c r="CE43" s="44" t="str">
        <f t="shared" si="41"/>
        <v/>
      </c>
    </row>
    <row r="44" spans="2:83" x14ac:dyDescent="0.35">
      <c r="B44" s="159" t="s">
        <v>3479</v>
      </c>
      <c r="C44" s="113">
        <f>IFERROR(AVERAGEIF(AllData[Site Name], Tables!B44, AllData[Latitude]), "Unknown")</f>
        <v>51.962673500000001</v>
      </c>
      <c r="D44" s="113">
        <f>IFERROR(AVERAGEIF(AllData[Site Name], Tables!B44, AllData[Longitude]), "Unknown")</f>
        <v>-1.9579365</v>
      </c>
      <c r="E44" s="13" t="e" vm="4">
        <f>_xlfn.XLOOKUP(B44,LocationsKey[Site Name], LocationsKey[District])</f>
        <v>#VALUE!</v>
      </c>
      <c r="F44" s="13" t="e" vm="8">
        <f>_xlfn.XLOOKUP(B44,LocationsKey[Site Name], LocationsKey[Town])</f>
        <v>#VALUE!</v>
      </c>
      <c r="G44" s="25" t="str">
        <f>_xlfn.XLOOKUP(B44,LocationsKey[Site Name],LocationsKey[Waterway])</f>
        <v>Isbourne</v>
      </c>
      <c r="H44" s="157">
        <f>COUNTIF(AllData[Site Name], Tables!B44)</f>
        <v>3</v>
      </c>
      <c r="I44" s="160">
        <f t="shared" si="0"/>
        <v>5</v>
      </c>
      <c r="J44" s="161">
        <f t="shared" si="1"/>
        <v>2.3333333333333334E-2</v>
      </c>
      <c r="K44" s="27" cm="1">
        <f t="array" ref="K44">SUM(COUNTIFS(AllData[Site Name], B44, AllData[Nitrate Pollution Category], {"High","Very high"}))/COUNTIFS(AllData[Site Name], B44, AllData[Nitrate (PPM)], "&lt;&gt;0")</f>
        <v>1</v>
      </c>
      <c r="L44" s="27" cm="1">
        <f t="array" ref="L44">SUM(COUNTIFS(AllData[Site Name], B44, AllData[Phosphate Pollution Category], {"High","Very high"}))/COUNTIFS(AllData[Site Name], B44, AllData[Phosphate (PPM)], "&lt;&gt;0")</f>
        <v>0</v>
      </c>
      <c r="M44" s="157">
        <f t="shared" si="2"/>
        <v>51</v>
      </c>
      <c r="N44" s="157">
        <f t="shared" si="3"/>
        <v>86</v>
      </c>
      <c r="O44" s="26">
        <f>COUNTIFS(AllData[Site Name], Tables!$B44, AllData[Season], "Summer", AllData[Year], "2023")</f>
        <v>0</v>
      </c>
      <c r="P44" s="160" t="str">
        <f>IFERROR(AVERAGEIFS(AllData[Nitrate (PPM)], AllData[Site Name], $B44, AllData[Season], "Summer", AllData[Year], "2023"), "")</f>
        <v/>
      </c>
      <c r="Q44" s="27" t="str">
        <f t="shared" si="4"/>
        <v/>
      </c>
      <c r="R44" s="161" t="str">
        <f>IFERROR(AVERAGEIFS(AllData[Phosphate (PPM)], AllData[Site Name], $B44, AllData[Season], "Summer", AllData[Year], "2023"),"")</f>
        <v/>
      </c>
      <c r="S44" s="28" t="str">
        <f t="shared" si="5"/>
        <v/>
      </c>
      <c r="T44" s="26">
        <f>COUNTIFS(AllData[Site Name], Tables!$B44, AllData[Season], "Autumn", AllData[Year], "2023")</f>
        <v>0</v>
      </c>
      <c r="U44" s="160" t="str">
        <f>IFERROR(AVERAGEIFS(AllData[Nitrate (PPM)], AllData[Site Name], $B44, AllData[Season], "Autumn", AllData[Year], "2023"), "")</f>
        <v/>
      </c>
      <c r="V44" s="27" t="str">
        <f t="shared" si="6"/>
        <v/>
      </c>
      <c r="W44" s="161" t="str">
        <f>IFERROR(AVERAGEIFS(AllData[Phosphate (PPM)], AllData[Site Name], $B44, AllData[Season], "Autumn", AllData[Year], "2023"),"")</f>
        <v/>
      </c>
      <c r="X44" s="28" t="str">
        <f t="shared" si="7"/>
        <v/>
      </c>
      <c r="Y44" s="26">
        <f>COUNTIFS(AllData[Site Name], Tables!$B44, AllData[Season], "Winter", AllData[Year], "2023")</f>
        <v>0</v>
      </c>
      <c r="Z44" s="160" t="str">
        <f>IFERROR(AVERAGEIFS(AllData[Nitrate (PPM)], AllData[Site Name], $B44, AllData[Season], "Winter", AllData[Year], "2023"), "")</f>
        <v/>
      </c>
      <c r="AA44" s="27" t="str">
        <f t="shared" si="8"/>
        <v/>
      </c>
      <c r="AB44" s="161" t="str">
        <f>IFERROR(AVERAGEIFS(AllData[Phosphate (PPM)], AllData[Site Name], $B44, AllData[Season], "Winter", AllData[Year], "2023"),"")</f>
        <v/>
      </c>
      <c r="AC44" s="28" t="str">
        <f t="shared" si="9"/>
        <v/>
      </c>
      <c r="AD44" s="26">
        <f>COUNTIFS(AllData[Site Name], Tables!$B44, AllData[Season], "Spring", AllData[Year], "2024")</f>
        <v>0</v>
      </c>
      <c r="AE44" s="160" t="str">
        <f>IFERROR(AVERAGEIFS(AllData[Nitrate (PPM)], AllData[Site Name], $B44, AllData[Season], "Spring", AllData[Year], "2024"), "")</f>
        <v/>
      </c>
      <c r="AF44" s="27" t="str">
        <f t="shared" si="10"/>
        <v/>
      </c>
      <c r="AG44" s="161" t="str">
        <f>IFERROR(AVERAGEIFS(AllData[Phosphate (PPM)], AllData[Site Name], $B44, AllData[Season], "Spring", AllData[Year], "2024"),"")</f>
        <v/>
      </c>
      <c r="AH44" s="28" t="str">
        <f t="shared" si="11"/>
        <v/>
      </c>
      <c r="AI44" s="165">
        <f>COUNTIFS(AllData[Site Name], Tables!$B44, AllData[Season], "Summer", AllData[Year], "2024")</f>
        <v>0</v>
      </c>
      <c r="AJ44" s="160" t="str">
        <f>IFERROR(AVERAGEIFS(AllData[Nitrate (PPM)], AllData[Site Name], $B44, AllData[Season], "Summer", AllData[Year], "2024"), "")</f>
        <v/>
      </c>
      <c r="AK44" s="27" t="str">
        <f t="shared" si="12"/>
        <v/>
      </c>
      <c r="AL44" s="27" t="str">
        <f t="shared" si="13"/>
        <v/>
      </c>
      <c r="AM44" s="161" t="str">
        <f>IFERROR(AVERAGEIFS(AllData[Phosphate (PPM)], AllData[Site Name], $B44, AllData[Season], "Summer", AllData[Year], "2024"),"")</f>
        <v/>
      </c>
      <c r="AN44" s="27" t="str">
        <f t="shared" si="14"/>
        <v/>
      </c>
      <c r="AO44" s="28" t="str">
        <f t="shared" si="15"/>
        <v/>
      </c>
      <c r="AP44" s="157">
        <f>COUNTIFS(AllData[Site Name], Tables!$B44, AllData[Season], "Autumn", AllData[Year], "2024")</f>
        <v>0</v>
      </c>
      <c r="AQ44" s="160" t="str">
        <f>IFERROR(AVERAGEIFS(AllData[Nitrate (PPM)], AllData[Site Name], $B44, AllData[Season], "Autumn", AllData[Year], "2024"), "")</f>
        <v/>
      </c>
      <c r="AR44" s="27" t="str">
        <f t="shared" si="16"/>
        <v/>
      </c>
      <c r="AS44" s="27" t="str">
        <f t="shared" si="42"/>
        <v/>
      </c>
      <c r="AT44" s="161" t="str">
        <f>IFERROR(AVERAGEIFS(AllData[Phosphate (PPM)], AllData[Site Name], B44, AllData[Season], "Autumn", AllData[Year], "2024"), "")</f>
        <v/>
      </c>
      <c r="AU44" s="27" t="str">
        <f t="shared" si="18"/>
        <v/>
      </c>
      <c r="AV44" s="28" t="str">
        <f t="shared" si="43"/>
        <v/>
      </c>
      <c r="AW44" s="165">
        <f>COUNTIFS(AllData[Site Name], Tables!$B44, AllData[Season], "Winter", AllData[Year], "2024")</f>
        <v>0</v>
      </c>
      <c r="AX44" s="160" t="str">
        <f>IFERROR(AVERAGEIFS(AllData[Nitrate (PPM)], AllData[Site Name], $B44, AllData[Season], "Winter", AllData[Year], "2024"), "")</f>
        <v/>
      </c>
      <c r="AY44" s="27" t="str">
        <f t="shared" si="20"/>
        <v/>
      </c>
      <c r="AZ44" s="27" t="str">
        <f t="shared" si="21"/>
        <v/>
      </c>
      <c r="BA44" s="161" t="str">
        <f>IFERROR(AVERAGEIFS(AllData[Phosphate (PPM)], AllData[Site Name], $B44, AllData[Season], "Winter", AllData[Year], "2024"), "")</f>
        <v/>
      </c>
      <c r="BB44" s="27" t="str">
        <f t="shared" si="22"/>
        <v/>
      </c>
      <c r="BC44" s="44" t="str">
        <f t="shared" si="23"/>
        <v/>
      </c>
      <c r="BD44" s="157">
        <f>COUNTIFS(AllData[Site Name], Tables!$B44, AllData[Season], "Spring", AllData[Year], "2025")</f>
        <v>3</v>
      </c>
      <c r="BE44" s="160">
        <f>IFERROR(AVERAGEIFS(AllData[Nitrate (PPM)], AllData[Site Name], $B44, AllData[Season], "Spring", AllData[Year], "2025"), "")</f>
        <v>5</v>
      </c>
      <c r="BF44" s="27">
        <f t="shared" si="24"/>
        <v>0</v>
      </c>
      <c r="BG44" s="27" t="str">
        <f t="shared" si="25"/>
        <v/>
      </c>
      <c r="BH44" s="161">
        <f>IFERROR(AVERAGEIFS(AllData[Phosphate (PPM)], AllData[Site Name], $B44, AllData[Season], "Spring", AllData[Year], "2025"), "")</f>
        <v>2.3333333333333334E-2</v>
      </c>
      <c r="BI44" s="27">
        <f t="shared" si="26"/>
        <v>0</v>
      </c>
      <c r="BJ44" s="27" t="str">
        <f t="shared" si="27"/>
        <v/>
      </c>
      <c r="BK44" s="165">
        <f>COUNTIFS(AllData[Site Name], Tables!$B44, AllData[Season], "Summer", AllData[Year], "2025")</f>
        <v>0</v>
      </c>
      <c r="BL44" s="160" t="str">
        <f>IFERROR(AVERAGEIFS(AllData[Nitrate (PPM)], AllData[Site Name], $B44, AllData[Season], "Summer", AllData[Year], "2025"), "")</f>
        <v/>
      </c>
      <c r="BM44" s="27" t="str">
        <f t="shared" si="28"/>
        <v/>
      </c>
      <c r="BN44" s="27" t="str">
        <f t="shared" si="29"/>
        <v/>
      </c>
      <c r="BO44" s="161" t="str">
        <f>IFERROR(AVERAGEIFS(AllData[Phosphate (PPM)], AllData[Site Name], $B44, AllData[Season], "Summer", AllData[Year], "2025"),"")</f>
        <v/>
      </c>
      <c r="BP44" s="27" t="str">
        <f t="shared" si="30"/>
        <v/>
      </c>
      <c r="BQ44" s="27" t="str">
        <f t="shared" si="31"/>
        <v/>
      </c>
      <c r="BR44" s="165">
        <f>COUNTIFS(AllData[Site Name], Tables!$B44, AllData[Season], "Autumn", AllData[Year], "2025")</f>
        <v>0</v>
      </c>
      <c r="BS44" s="160" t="str">
        <f>IFERROR(AVERAGEIFS(AllData[Nitrate (PPM)], AllData[Site Name], $B44, AllData[Season], "Autumn", AllData[Year], "2025"), "")</f>
        <v/>
      </c>
      <c r="BT44" s="27" t="str">
        <f t="shared" si="32"/>
        <v/>
      </c>
      <c r="BU44" s="27" t="str">
        <f t="shared" si="33"/>
        <v/>
      </c>
      <c r="BV44" s="161" t="str">
        <f>IFERROR(AVERAGEIFS(AllData[Phosphate (PPM)], AllData[Site Name], AD44, AllData[Season], "Autumn", AllData[Year], "2025"), "")</f>
        <v/>
      </c>
      <c r="BW44" s="27" t="str">
        <f t="shared" si="34"/>
        <v/>
      </c>
      <c r="BX44" s="28" t="str">
        <f t="shared" si="35"/>
        <v/>
      </c>
      <c r="BY44" s="165">
        <f>COUNTIFS(AllData[Site Name], Tables!$B44, AllData[Season], "Winter", AllData[Year], "2025")</f>
        <v>0</v>
      </c>
      <c r="BZ44" s="160" t="str">
        <f>IFERROR(AVERAGEIFS(AllData[Nitrate (PPM)], AllData[Site Name], $B44, AllData[Season], "Winter", AllData[Year], "2025"), "")</f>
        <v/>
      </c>
      <c r="CA44" s="27" t="str">
        <f t="shared" si="36"/>
        <v/>
      </c>
      <c r="CB44" s="27" t="str">
        <f t="shared" si="40"/>
        <v/>
      </c>
      <c r="CC44" s="161" t="str">
        <f>IFERROR(AVERAGEIFS(AllData[Phosphate (PPM)], AllData[Site Name], $B44, AllData[Season], "Winter", AllData[Year], "2025"), "")</f>
        <v/>
      </c>
      <c r="CD44" s="27" t="str">
        <f t="shared" si="38"/>
        <v/>
      </c>
      <c r="CE44" s="44" t="str">
        <f t="shared" si="41"/>
        <v/>
      </c>
    </row>
    <row r="45" spans="2:83" x14ac:dyDescent="0.35">
      <c r="B45" s="159" t="s">
        <v>3663</v>
      </c>
      <c r="C45" s="113">
        <f>IFERROR(AVERAGEIF(AllData[Site Name], Tables!B45, AllData[Latitude]), "Unknown")</f>
        <v>51.963180999999999</v>
      </c>
      <c r="D45" s="113">
        <f>IFERROR(AVERAGEIF(AllData[Site Name], Tables!B45, AllData[Longitude]), "Unknown")</f>
        <v>-1.9562710000000001</v>
      </c>
      <c r="E45" s="13" t="e" vm="4">
        <f>_xlfn.XLOOKUP(B45,LocationsKey[Site Name], LocationsKey[District])</f>
        <v>#VALUE!</v>
      </c>
      <c r="F45" s="13" t="e" vm="8">
        <f>_xlfn.XLOOKUP(B45,LocationsKey[Site Name], LocationsKey[Town])</f>
        <v>#VALUE!</v>
      </c>
      <c r="G45" s="25" t="str">
        <f>_xlfn.XLOOKUP(B45,LocationsKey[Site Name],LocationsKey[Waterway])</f>
        <v>Isbourne</v>
      </c>
      <c r="H45" s="157">
        <f>COUNTIF(AllData[Site Name], Tables!B45)</f>
        <v>1</v>
      </c>
      <c r="I45" s="160">
        <f t="shared" si="0"/>
        <v>5</v>
      </c>
      <c r="J45" s="161">
        <f t="shared" si="1"/>
        <v>0.04</v>
      </c>
      <c r="K45" s="27" cm="1">
        <f t="array" ref="K45">SUM(COUNTIFS(AllData[Site Name], B45, AllData[Nitrate Pollution Category], {"High","Very high"}))/COUNTIFS(AllData[Site Name], B45, AllData[Nitrate (PPM)], "&lt;&gt;0")</f>
        <v>1</v>
      </c>
      <c r="L45" s="27" cm="1">
        <f t="array" ref="L45">SUM(COUNTIFS(AllData[Site Name], B45, AllData[Phosphate Pollution Category], {"High","Very high"}))/COUNTIFS(AllData[Site Name], B45, AllData[Phosphate (PPM)], "&lt;&gt;0")</f>
        <v>0</v>
      </c>
      <c r="M45" s="157">
        <f t="shared" si="2"/>
        <v>51</v>
      </c>
      <c r="N45" s="157">
        <f t="shared" si="3"/>
        <v>85</v>
      </c>
      <c r="O45" s="26">
        <f>COUNTIFS(AllData[Site Name], Tables!$B45, AllData[Season], "Summer", AllData[Year], "2023")</f>
        <v>0</v>
      </c>
      <c r="P45" s="160" t="str">
        <f>IFERROR(AVERAGEIFS(AllData[Nitrate (PPM)], AllData[Site Name], $B45, AllData[Season], "Summer", AllData[Year], "2023"), "")</f>
        <v/>
      </c>
      <c r="Q45" s="27" t="str">
        <f t="shared" si="4"/>
        <v/>
      </c>
      <c r="R45" s="161" t="str">
        <f>IFERROR(AVERAGEIFS(AllData[Phosphate (PPM)], AllData[Site Name], $B45, AllData[Season], "Summer", AllData[Year], "2023"),"")</f>
        <v/>
      </c>
      <c r="S45" s="28" t="str">
        <f t="shared" si="5"/>
        <v/>
      </c>
      <c r="T45" s="26">
        <f>COUNTIFS(AllData[Site Name], Tables!$B45, AllData[Season], "Autumn", AllData[Year], "2023")</f>
        <v>0</v>
      </c>
      <c r="U45" s="160" t="str">
        <f>IFERROR(AVERAGEIFS(AllData[Nitrate (PPM)], AllData[Site Name], $B45, AllData[Season], "Autumn", AllData[Year], "2023"), "")</f>
        <v/>
      </c>
      <c r="V45" s="27" t="str">
        <f t="shared" si="6"/>
        <v/>
      </c>
      <c r="W45" s="161" t="str">
        <f>IFERROR(AVERAGEIFS(AllData[Phosphate (PPM)], AllData[Site Name], $B45, AllData[Season], "Autumn", AllData[Year], "2023"),"")</f>
        <v/>
      </c>
      <c r="X45" s="28" t="str">
        <f t="shared" si="7"/>
        <v/>
      </c>
      <c r="Y45" s="26">
        <f>COUNTIFS(AllData[Site Name], Tables!$B45, AllData[Season], "Winter", AllData[Year], "2023")</f>
        <v>0</v>
      </c>
      <c r="Z45" s="160" t="str">
        <f>IFERROR(AVERAGEIFS(AllData[Nitrate (PPM)], AllData[Site Name], $B45, AllData[Season], "Winter", AllData[Year], "2023"), "")</f>
        <v/>
      </c>
      <c r="AA45" s="27" t="str">
        <f t="shared" si="8"/>
        <v/>
      </c>
      <c r="AB45" s="161" t="str">
        <f>IFERROR(AVERAGEIFS(AllData[Phosphate (PPM)], AllData[Site Name], $B45, AllData[Season], "Winter", AllData[Year], "2023"),"")</f>
        <v/>
      </c>
      <c r="AC45" s="28" t="str">
        <f t="shared" si="9"/>
        <v/>
      </c>
      <c r="AD45" s="26">
        <f>COUNTIFS(AllData[Site Name], Tables!$B45, AllData[Season], "Spring", AllData[Year], "2024")</f>
        <v>0</v>
      </c>
      <c r="AE45" s="160" t="str">
        <f>IFERROR(AVERAGEIFS(AllData[Nitrate (PPM)], AllData[Site Name], $B45, AllData[Season], "Spring", AllData[Year], "2024"), "")</f>
        <v/>
      </c>
      <c r="AF45" s="27" t="str">
        <f t="shared" si="10"/>
        <v/>
      </c>
      <c r="AG45" s="161" t="str">
        <f>IFERROR(AVERAGEIFS(AllData[Phosphate (PPM)], AllData[Site Name], $B45, AllData[Season], "Spring", AllData[Year], "2024"),"")</f>
        <v/>
      </c>
      <c r="AH45" s="28" t="str">
        <f t="shared" si="11"/>
        <v/>
      </c>
      <c r="AI45" s="165">
        <f>COUNTIFS(AllData[Site Name], Tables!$B45, AllData[Season], "Summer", AllData[Year], "2024")</f>
        <v>0</v>
      </c>
      <c r="AJ45" s="160" t="str">
        <f>IFERROR(AVERAGEIFS(AllData[Nitrate (PPM)], AllData[Site Name], $B45, AllData[Season], "Summer", AllData[Year], "2024"), "")</f>
        <v/>
      </c>
      <c r="AK45" s="27" t="str">
        <f t="shared" si="12"/>
        <v/>
      </c>
      <c r="AL45" s="27" t="str">
        <f t="shared" si="13"/>
        <v/>
      </c>
      <c r="AM45" s="161" t="str">
        <f>IFERROR(AVERAGEIFS(AllData[Phosphate (PPM)], AllData[Site Name], $B45, AllData[Season], "Summer", AllData[Year], "2024"),"")</f>
        <v/>
      </c>
      <c r="AN45" s="27" t="str">
        <f t="shared" si="14"/>
        <v/>
      </c>
      <c r="AO45" s="28" t="str">
        <f t="shared" si="15"/>
        <v/>
      </c>
      <c r="AP45" s="157">
        <f>COUNTIFS(AllData[Site Name], Tables!$B45, AllData[Season], "Autumn", AllData[Year], "2024")</f>
        <v>0</v>
      </c>
      <c r="AQ45" s="160" t="str">
        <f>IFERROR(AVERAGEIFS(AllData[Nitrate (PPM)], AllData[Site Name], $B45, AllData[Season], "Autumn", AllData[Year], "2024"), "")</f>
        <v/>
      </c>
      <c r="AR45" s="27" t="str">
        <f t="shared" si="16"/>
        <v/>
      </c>
      <c r="AS45" s="27" t="str">
        <f t="shared" si="42"/>
        <v/>
      </c>
      <c r="AT45" s="161" t="str">
        <f>IFERROR(AVERAGEIFS(AllData[Phosphate (PPM)], AllData[Site Name], B45, AllData[Season], "Autumn", AllData[Year], "2024"), "")</f>
        <v/>
      </c>
      <c r="AU45" s="27" t="str">
        <f t="shared" si="18"/>
        <v/>
      </c>
      <c r="AV45" s="28" t="str">
        <f t="shared" si="43"/>
        <v/>
      </c>
      <c r="AW45" s="165">
        <f>COUNTIFS(AllData[Site Name], Tables!$B45, AllData[Season], "Winter", AllData[Year], "2024")</f>
        <v>0</v>
      </c>
      <c r="AX45" s="160" t="str">
        <f>IFERROR(AVERAGEIFS(AllData[Nitrate (PPM)], AllData[Site Name], $B45, AllData[Season], "Winter", AllData[Year], "2024"), "")</f>
        <v/>
      </c>
      <c r="AY45" s="27" t="str">
        <f t="shared" si="20"/>
        <v/>
      </c>
      <c r="AZ45" s="27" t="str">
        <f t="shared" si="21"/>
        <v/>
      </c>
      <c r="BA45" s="161" t="str">
        <f>IFERROR(AVERAGEIFS(AllData[Phosphate (PPM)], AllData[Site Name], $B45, AllData[Season], "Winter", AllData[Year], "2024"), "")</f>
        <v/>
      </c>
      <c r="BB45" s="27" t="str">
        <f t="shared" si="22"/>
        <v/>
      </c>
      <c r="BC45" s="44" t="str">
        <f t="shared" si="23"/>
        <v/>
      </c>
      <c r="BD45" s="157">
        <f>COUNTIFS(AllData[Site Name], Tables!$B45, AllData[Season], "Spring", AllData[Year], "2025")</f>
        <v>1</v>
      </c>
      <c r="BE45" s="160">
        <f>IFERROR(AVERAGEIFS(AllData[Nitrate (PPM)], AllData[Site Name], $B45, AllData[Season], "Spring", AllData[Year], "2025"), "")</f>
        <v>5</v>
      </c>
      <c r="BF45" s="27">
        <f t="shared" si="24"/>
        <v>0</v>
      </c>
      <c r="BG45" s="27" t="str">
        <f t="shared" si="25"/>
        <v/>
      </c>
      <c r="BH45" s="161">
        <f>IFERROR(AVERAGEIFS(AllData[Phosphate (PPM)], AllData[Site Name], $B45, AllData[Season], "Spring", AllData[Year], "2025"), "")</f>
        <v>0.04</v>
      </c>
      <c r="BI45" s="27">
        <f t="shared" si="26"/>
        <v>0</v>
      </c>
      <c r="BJ45" s="27" t="str">
        <f t="shared" si="27"/>
        <v/>
      </c>
      <c r="BK45" s="165">
        <f>COUNTIFS(AllData[Site Name], Tables!$B45, AllData[Season], "Summer", AllData[Year], "2025")</f>
        <v>0</v>
      </c>
      <c r="BL45" s="160" t="str">
        <f>IFERROR(AVERAGEIFS(AllData[Nitrate (PPM)], AllData[Site Name], $B45, AllData[Season], "Summer", AllData[Year], "2025"), "")</f>
        <v/>
      </c>
      <c r="BM45" s="27" t="str">
        <f t="shared" si="28"/>
        <v/>
      </c>
      <c r="BN45" s="27" t="str">
        <f t="shared" si="29"/>
        <v/>
      </c>
      <c r="BO45" s="161" t="str">
        <f>IFERROR(AVERAGEIFS(AllData[Phosphate (PPM)], AllData[Site Name], $B45, AllData[Season], "Summer", AllData[Year], "2025"),"")</f>
        <v/>
      </c>
      <c r="BP45" s="27" t="str">
        <f t="shared" si="30"/>
        <v/>
      </c>
      <c r="BQ45" s="27" t="str">
        <f t="shared" si="31"/>
        <v/>
      </c>
      <c r="BR45" s="165">
        <f>COUNTIFS(AllData[Site Name], Tables!$B45, AllData[Season], "Autumn", AllData[Year], "2025")</f>
        <v>0</v>
      </c>
      <c r="BS45" s="160" t="str">
        <f>IFERROR(AVERAGEIFS(AllData[Nitrate (PPM)], AllData[Site Name], $B45, AllData[Season], "Autumn", AllData[Year], "2025"), "")</f>
        <v/>
      </c>
      <c r="BT45" s="27" t="str">
        <f t="shared" si="32"/>
        <v/>
      </c>
      <c r="BU45" s="27" t="str">
        <f t="shared" si="33"/>
        <v/>
      </c>
      <c r="BV45" s="161" t="str">
        <f>IFERROR(AVERAGEIFS(AllData[Phosphate (PPM)], AllData[Site Name], AD45, AllData[Season], "Autumn", AllData[Year], "2025"), "")</f>
        <v/>
      </c>
      <c r="BW45" s="27" t="str">
        <f t="shared" si="34"/>
        <v/>
      </c>
      <c r="BX45" s="28" t="str">
        <f t="shared" si="35"/>
        <v/>
      </c>
      <c r="BY45" s="165">
        <f>COUNTIFS(AllData[Site Name], Tables!$B45, AllData[Season], "Winter", AllData[Year], "2025")</f>
        <v>0</v>
      </c>
      <c r="BZ45" s="160" t="str">
        <f>IFERROR(AVERAGEIFS(AllData[Nitrate (PPM)], AllData[Site Name], $B45, AllData[Season], "Winter", AllData[Year], "2025"), "")</f>
        <v/>
      </c>
      <c r="CA45" s="27" t="str">
        <f t="shared" si="36"/>
        <v/>
      </c>
      <c r="CB45" s="27" t="str">
        <f t="shared" si="40"/>
        <v/>
      </c>
      <c r="CC45" s="161" t="str">
        <f>IFERROR(AVERAGEIFS(AllData[Phosphate (PPM)], AllData[Site Name], $B45, AllData[Season], "Winter", AllData[Year], "2025"), "")</f>
        <v/>
      </c>
      <c r="CD45" s="27" t="str">
        <f t="shared" si="38"/>
        <v/>
      </c>
      <c r="CE45" s="44" t="str">
        <f t="shared" si="41"/>
        <v/>
      </c>
    </row>
    <row r="46" spans="2:83" x14ac:dyDescent="0.35">
      <c r="B46" s="159" t="s">
        <v>595</v>
      </c>
      <c r="C46" s="113">
        <f>IFERROR(AVERAGEIF(AllData[Site Name], Tables!B46, AllData[Latitude]), "Unknown")</f>
        <v>51.984916745098026</v>
      </c>
      <c r="D46" s="113">
        <f>IFERROR(AVERAGEIF(AllData[Site Name], Tables!B46, AllData[Longitude]), "Unknown")</f>
        <v>-2.1745787647058821</v>
      </c>
      <c r="E46" s="13" t="e" vm="4">
        <f>_xlfn.XLOOKUP(B46,LocationsKey[Site Name], LocationsKey[District])</f>
        <v>#VALUE!</v>
      </c>
      <c r="F46" s="13" t="e" vm="4">
        <f>_xlfn.XLOOKUP(B46,LocationsKey[Site Name], LocationsKey[Town])</f>
        <v>#VALUE!</v>
      </c>
      <c r="G46" s="25" t="str">
        <f>_xlfn.XLOOKUP(B46,LocationsKey[Site Name],LocationsKey[Waterway])</f>
        <v>Avon</v>
      </c>
      <c r="H46" s="157">
        <f>COUNTIF(AllData[Site Name], Tables!B46)</f>
        <v>52</v>
      </c>
      <c r="I46" s="160">
        <f t="shared" si="0"/>
        <v>10.119047619047619</v>
      </c>
      <c r="J46" s="161">
        <f t="shared" si="1"/>
        <v>0.58227705627705617</v>
      </c>
      <c r="K46" s="27" cm="1">
        <f t="array" ref="K46">SUM(COUNTIFS(AllData[Site Name], B46, AllData[Nitrate Pollution Category], {"High","Very high"}))/COUNTIFS(AllData[Site Name], B46, AllData[Nitrate (PPM)], "&lt;&gt;0")</f>
        <v>1</v>
      </c>
      <c r="L46" s="27" cm="1">
        <f t="array" ref="L46">SUM(COUNTIFS(AllData[Site Name], B46, AllData[Phosphate Pollution Category], {"High","Very high"}))/COUNTIFS(AllData[Site Name], B46, AllData[Phosphate (PPM)], "&lt;&gt;0")</f>
        <v>0.96153846153846156</v>
      </c>
      <c r="M46" s="157">
        <f t="shared" si="2"/>
        <v>4</v>
      </c>
      <c r="N46" s="157">
        <f t="shared" si="3"/>
        <v>34</v>
      </c>
      <c r="O46" s="26">
        <f>COUNTIFS(AllData[Site Name], Tables!$B46, AllData[Season], "Summer", AllData[Year], "2023")</f>
        <v>0</v>
      </c>
      <c r="P46" s="160" t="str">
        <f>IFERROR(AVERAGEIFS(AllData[Nitrate (PPM)], AllData[Site Name], $B46, AllData[Season], "Summer", AllData[Year], "2023"), "")</f>
        <v/>
      </c>
      <c r="Q46" s="27" t="str">
        <f t="shared" si="4"/>
        <v/>
      </c>
      <c r="R46" s="161" t="str">
        <f>IFERROR(AVERAGEIFS(AllData[Phosphate (PPM)], AllData[Site Name], $B46, AllData[Season], "Summer", AllData[Year], "2023"),"")</f>
        <v/>
      </c>
      <c r="S46" s="28" t="str">
        <f t="shared" si="5"/>
        <v/>
      </c>
      <c r="T46" s="26">
        <f>COUNTIFS(AllData[Site Name], Tables!$B46, AllData[Season], "Autumn", AllData[Year], "2023")</f>
        <v>0</v>
      </c>
      <c r="U46" s="160" t="str">
        <f>IFERROR(AVERAGEIFS(AllData[Nitrate (PPM)], AllData[Site Name], $B46, AllData[Season], "Autumn", AllData[Year], "2023"), "")</f>
        <v/>
      </c>
      <c r="V46" s="27" t="str">
        <f t="shared" si="6"/>
        <v/>
      </c>
      <c r="W46" s="161" t="str">
        <f>IFERROR(AVERAGEIFS(AllData[Phosphate (PPM)], AllData[Site Name], $B46, AllData[Season], "Autumn", AllData[Year], "2023"),"")</f>
        <v/>
      </c>
      <c r="X46" s="28" t="str">
        <f t="shared" si="7"/>
        <v/>
      </c>
      <c r="Y46" s="26">
        <f>COUNTIFS(AllData[Site Name], Tables!$B46, AllData[Season], "Winter", AllData[Year], "2023")</f>
        <v>2</v>
      </c>
      <c r="Z46" s="160">
        <f>IFERROR(AVERAGEIFS(AllData[Nitrate (PPM)], AllData[Site Name], $B46, AllData[Season], "Winter", AllData[Year], "2023"), "")</f>
        <v>10</v>
      </c>
      <c r="AA46" s="27">
        <f t="shared" si="8"/>
        <v>-1.1764705882352899E-2</v>
      </c>
      <c r="AB46" s="161">
        <f>IFERROR(AVERAGEIFS(AllData[Phosphate (PPM)], AllData[Site Name], $B46, AllData[Season], "Winter", AllData[Year], "2023"),"")</f>
        <v>0.39500000000000002</v>
      </c>
      <c r="AC46" s="28">
        <f t="shared" si="9"/>
        <v>-0.32162877492453851</v>
      </c>
      <c r="AD46" s="26">
        <f>COUNTIFS(AllData[Site Name], Tables!$B46, AllData[Season], "Spring", AllData[Year], "2024")</f>
        <v>10</v>
      </c>
      <c r="AE46" s="160">
        <f>IFERROR(AVERAGEIFS(AllData[Nitrate (PPM)], AllData[Site Name], $B46, AllData[Season], "Spring", AllData[Year], "2024"), "")</f>
        <v>11</v>
      </c>
      <c r="AF46" s="27">
        <f t="shared" si="10"/>
        <v>8.7058823529411813E-2</v>
      </c>
      <c r="AG46" s="161">
        <f>IFERROR(AVERAGEIFS(AllData[Phosphate (PPM)], AllData[Site Name], $B46, AllData[Season], "Spring", AllData[Year], "2024"),"")</f>
        <v>0.47099999999999997</v>
      </c>
      <c r="AH46" s="28">
        <f t="shared" si="11"/>
        <v>-0.19110671642900678</v>
      </c>
      <c r="AI46" s="165">
        <f>COUNTIFS(AllData[Site Name], Tables!$B46, AllData[Season], "Summer", AllData[Year], "2024")</f>
        <v>11</v>
      </c>
      <c r="AJ46" s="160">
        <f>IFERROR(AVERAGEIFS(AllData[Nitrate (PPM)], AllData[Site Name], $B46, AllData[Season], "Summer", AllData[Year], "2024"), "")</f>
        <v>10</v>
      </c>
      <c r="AK46" s="27">
        <f t="shared" si="12"/>
        <v>-1.1764705882352899E-2</v>
      </c>
      <c r="AL46" s="27" t="str">
        <f t="shared" si="13"/>
        <v/>
      </c>
      <c r="AM46" s="161">
        <f>IFERROR(AVERAGEIFS(AllData[Phosphate (PPM)], AllData[Site Name], $B46, AllData[Season], "Summer", AllData[Year], "2024"),"")</f>
        <v>0.89363636363636367</v>
      </c>
      <c r="AN46" s="27">
        <f t="shared" si="14"/>
        <v>0.53472707537210273</v>
      </c>
      <c r="AO46" s="28" t="str">
        <f t="shared" si="15"/>
        <v/>
      </c>
      <c r="AP46" s="157">
        <f>COUNTIFS(AllData[Site Name], Tables!$B46, AllData[Season], "Autumn", AllData[Year], "2024")</f>
        <v>11</v>
      </c>
      <c r="AQ46" s="160">
        <f>IFERROR(AVERAGEIFS(AllData[Nitrate (PPM)], AllData[Site Name], $B46, AllData[Season], "Autumn", AllData[Year], "2024"), "")</f>
        <v>11.363636363636363</v>
      </c>
      <c r="AR46" s="27">
        <f t="shared" si="16"/>
        <v>0.12299465240641713</v>
      </c>
      <c r="AS46" s="27" t="str">
        <f t="shared" si="42"/>
        <v/>
      </c>
      <c r="AT46" s="161">
        <f>IFERROR(AVERAGEIFS(AllData[Phosphate (PPM)], AllData[Site Name], B46, AllData[Season], "Autumn", AllData[Year], "2024"), "")</f>
        <v>0.90090909090909088</v>
      </c>
      <c r="AU46" s="27">
        <f t="shared" si="18"/>
        <v>0.54721722451043098</v>
      </c>
      <c r="AV46" s="28" t="str">
        <f t="shared" si="43"/>
        <v/>
      </c>
      <c r="AW46" s="165">
        <f>COUNTIFS(AllData[Site Name], Tables!$B46, AllData[Season], "Winter", AllData[Year], "2024")</f>
        <v>11</v>
      </c>
      <c r="AX46" s="160">
        <f>IFERROR(AVERAGEIFS(AllData[Nitrate (PPM)], AllData[Site Name], $B46, AllData[Season], "Winter", AllData[Year], "2024"), "")</f>
        <v>7.6363636363636367</v>
      </c>
      <c r="AY46" s="27">
        <f t="shared" si="20"/>
        <v>-0.24534759358288763</v>
      </c>
      <c r="AZ46" s="27">
        <f t="shared" si="21"/>
        <v>-0.23636363636363633</v>
      </c>
      <c r="BA46" s="161">
        <f>IFERROR(AVERAGEIFS(AllData[Phosphate (PPM)], AllData[Site Name], $B46, AllData[Season], "Winter", AllData[Year], "2024"), "")</f>
        <v>0.44454545454545452</v>
      </c>
      <c r="BB46" s="27">
        <f t="shared" si="22"/>
        <v>-0.23653963391967633</v>
      </c>
      <c r="BC46" s="44">
        <f t="shared" si="23"/>
        <v>0.12543153049482153</v>
      </c>
      <c r="BD46" s="157">
        <f>COUNTIFS(AllData[Site Name], Tables!$B46, AllData[Season], "Spring", AllData[Year], "2025")</f>
        <v>7</v>
      </c>
      <c r="BE46" s="160">
        <f>IFERROR(AVERAGEIFS(AllData[Nitrate (PPM)], AllData[Site Name], $B46, AllData[Season], "Spring", AllData[Year], "2025"), "")</f>
        <v>10.714285714285714</v>
      </c>
      <c r="BF46" s="27">
        <f t="shared" si="24"/>
        <v>5.8823529411764677E-2</v>
      </c>
      <c r="BG46" s="27">
        <f t="shared" si="25"/>
        <v>-2.5974025974026042E-2</v>
      </c>
      <c r="BH46" s="161">
        <f>IFERROR(AVERAGEIFS(AllData[Phosphate (PPM)], AllData[Site Name], $B46, AllData[Season], "Spring", AllData[Year], "2025"), "")</f>
        <v>0.38857142857142851</v>
      </c>
      <c r="BI46" s="27">
        <f t="shared" si="26"/>
        <v>-0.33266917460931111</v>
      </c>
      <c r="BJ46" s="27">
        <f t="shared" si="27"/>
        <v>-0.17500758265089483</v>
      </c>
      <c r="BK46" s="165">
        <f>COUNTIFS(AllData[Site Name], Tables!$B46, AllData[Season], "Summer", AllData[Year], "2025")</f>
        <v>0</v>
      </c>
      <c r="BL46" s="160" t="str">
        <f>IFERROR(AVERAGEIFS(AllData[Nitrate (PPM)], AllData[Site Name], $B46, AllData[Season], "Summer", AllData[Year], "2025"), "")</f>
        <v/>
      </c>
      <c r="BM46" s="27" t="str">
        <f t="shared" si="28"/>
        <v/>
      </c>
      <c r="BN46" s="27" t="str">
        <f t="shared" si="29"/>
        <v/>
      </c>
      <c r="BO46" s="161" t="str">
        <f>IFERROR(AVERAGEIFS(AllData[Phosphate (PPM)], AllData[Site Name], $B46, AllData[Season], "Summer", AllData[Year], "2025"),"")</f>
        <v/>
      </c>
      <c r="BP46" s="27" t="str">
        <f t="shared" si="30"/>
        <v/>
      </c>
      <c r="BQ46" s="27" t="str">
        <f t="shared" si="31"/>
        <v/>
      </c>
      <c r="BR46" s="165">
        <f>COUNTIFS(AllData[Site Name], Tables!$B46, AllData[Season], "Autumn", AllData[Year], "2025")</f>
        <v>0</v>
      </c>
      <c r="BS46" s="160" t="str">
        <f>IFERROR(AVERAGEIFS(AllData[Nitrate (PPM)], AllData[Site Name], $B46, AllData[Season], "Autumn", AllData[Year], "2025"), "")</f>
        <v/>
      </c>
      <c r="BT46" s="27" t="str">
        <f t="shared" si="32"/>
        <v/>
      </c>
      <c r="BU46" s="27" t="str">
        <f t="shared" si="33"/>
        <v/>
      </c>
      <c r="BV46" s="161" t="str">
        <f>IFERROR(AVERAGEIFS(AllData[Phosphate (PPM)], AllData[Site Name], AD46, AllData[Season], "Autumn", AllData[Year], "2025"), "")</f>
        <v/>
      </c>
      <c r="BW46" s="27" t="str">
        <f t="shared" si="34"/>
        <v/>
      </c>
      <c r="BX46" s="28" t="str">
        <f t="shared" si="35"/>
        <v/>
      </c>
      <c r="BY46" s="165">
        <f>COUNTIFS(AllData[Site Name], Tables!$B46, AllData[Season], "Winter", AllData[Year], "2025")</f>
        <v>0</v>
      </c>
      <c r="BZ46" s="160" t="str">
        <f>IFERROR(AVERAGEIFS(AllData[Nitrate (PPM)], AllData[Site Name], $B46, AllData[Season], "Winter", AllData[Year], "2025"), "")</f>
        <v/>
      </c>
      <c r="CA46" s="27" t="str">
        <f t="shared" si="36"/>
        <v/>
      </c>
      <c r="CB46" s="27" t="str">
        <f t="shared" si="40"/>
        <v/>
      </c>
      <c r="CC46" s="161" t="str">
        <f>IFERROR(AVERAGEIFS(AllData[Phosphate (PPM)], AllData[Site Name], $B46, AllData[Season], "Winter", AllData[Year], "2025"), "")</f>
        <v/>
      </c>
      <c r="CD46" s="27" t="str">
        <f t="shared" si="38"/>
        <v/>
      </c>
      <c r="CE46" s="44" t="str">
        <f t="shared" si="41"/>
        <v/>
      </c>
    </row>
    <row r="47" spans="2:83" x14ac:dyDescent="0.35">
      <c r="B47" s="159" t="s">
        <v>212</v>
      </c>
      <c r="C47" s="113">
        <f>IFERROR(AVERAGEIF(AllData[Site Name], Tables!B47, AllData[Latitude]), "Unknown")</f>
        <v>52.183699000000011</v>
      </c>
      <c r="D47" s="113">
        <f>IFERROR(AVERAGEIF(AllData[Site Name], Tables!B47, AllData[Longitude]), "Unknown")</f>
        <v>-1.7078160000000004</v>
      </c>
      <c r="E47" s="13" t="e" vm="1">
        <f>_xlfn.XLOOKUP(B47,LocationsKey[Site Name], LocationsKey[District])</f>
        <v>#VALUE!</v>
      </c>
      <c r="F47" s="13" t="e" vm="12">
        <f>_xlfn.XLOOKUP(B47,LocationsKey[Site Name], LocationsKey[Town])</f>
        <v>#VALUE!</v>
      </c>
      <c r="G47" s="25" t="str">
        <f>_xlfn.XLOOKUP(B47,LocationsKey[Site Name],LocationsKey[Waterway])</f>
        <v>Avon</v>
      </c>
      <c r="H47" s="157">
        <f>COUNTIF(AllData[Site Name], Tables!B47)</f>
        <v>23</v>
      </c>
      <c r="I47" s="160">
        <f t="shared" si="0"/>
        <v>8.0437499999999993</v>
      </c>
      <c r="J47" s="161">
        <f t="shared" si="1"/>
        <v>0.4336875</v>
      </c>
      <c r="K47" s="27" cm="1">
        <f t="array" ref="K47">SUM(COUNTIFS(AllData[Site Name], B47, AllData[Nitrate Pollution Category], {"High","Very high"}))/COUNTIFS(AllData[Site Name], B47, AllData[Nitrate (PPM)], "&lt;&gt;0")</f>
        <v>1</v>
      </c>
      <c r="L47" s="27" cm="1">
        <f t="array" ref="L47">SUM(COUNTIFS(AllData[Site Name], B47, AllData[Phosphate Pollution Category], {"High","Very high"}))/COUNTIFS(AllData[Site Name], B47, AllData[Phosphate (PPM)], "&lt;&gt;0")</f>
        <v>0.95652173913043481</v>
      </c>
      <c r="M47" s="157">
        <f t="shared" si="2"/>
        <v>14</v>
      </c>
      <c r="N47" s="157">
        <f t="shared" si="3"/>
        <v>61</v>
      </c>
      <c r="O47" s="26">
        <f>COUNTIFS(AllData[Site Name], Tables!$B47, AllData[Season], "Summer", AllData[Year], "2023")</f>
        <v>0</v>
      </c>
      <c r="P47" s="160" t="str">
        <f>IFERROR(AVERAGEIFS(AllData[Nitrate (PPM)], AllData[Site Name], $B47, AllData[Season], "Summer", AllData[Year], "2023"), "")</f>
        <v/>
      </c>
      <c r="Q47" s="27" t="str">
        <f t="shared" si="4"/>
        <v/>
      </c>
      <c r="R47" s="161" t="str">
        <f>IFERROR(AVERAGEIFS(AllData[Phosphate (PPM)], AllData[Site Name], $B47, AllData[Season], "Summer", AllData[Year], "2023"),"")</f>
        <v/>
      </c>
      <c r="S47" s="28" t="str">
        <f t="shared" si="5"/>
        <v/>
      </c>
      <c r="T47" s="26">
        <f>COUNTIFS(AllData[Site Name], Tables!$B47, AllData[Season], "Autumn", AllData[Year], "2023")</f>
        <v>8</v>
      </c>
      <c r="U47" s="160">
        <f>IFERROR(AVERAGEIFS(AllData[Nitrate (PPM)], AllData[Site Name], $B47, AllData[Season], "Autumn", AllData[Year], "2023"), "")</f>
        <v>10.625</v>
      </c>
      <c r="V47" s="27">
        <f t="shared" si="6"/>
        <v>0.32090132090132101</v>
      </c>
      <c r="W47" s="161">
        <f>IFERROR(AVERAGEIFS(AllData[Phosphate (PPM)], AllData[Site Name], $B47, AllData[Season], "Autumn", AllData[Year], "2023"),"")</f>
        <v>0.59375</v>
      </c>
      <c r="X47" s="28">
        <f t="shared" si="7"/>
        <v>0.36907335350915116</v>
      </c>
      <c r="Y47" s="26">
        <f>COUNTIFS(AllData[Site Name], Tables!$B47, AllData[Season], "Winter", AllData[Year], "2023")</f>
        <v>4</v>
      </c>
      <c r="Z47" s="160">
        <f>IFERROR(AVERAGEIFS(AllData[Nitrate (PPM)], AllData[Site Name], $B47, AllData[Season], "Winter", AllData[Year], "2023"), "")</f>
        <v>11.25</v>
      </c>
      <c r="AA47" s="27">
        <f t="shared" si="8"/>
        <v>0.3986013986013987</v>
      </c>
      <c r="AB47" s="161">
        <f>IFERROR(AVERAGEIFS(AllData[Phosphate (PPM)], AllData[Site Name], $B47, AllData[Season], "Winter", AllData[Year], "2023"),"")</f>
        <v>0.375</v>
      </c>
      <c r="AC47" s="28">
        <f t="shared" si="9"/>
        <v>-0.13532209252053612</v>
      </c>
      <c r="AD47" s="26">
        <f>COUNTIFS(AllData[Site Name], Tables!$B47, AllData[Season], "Spring", AllData[Year], "2024")</f>
        <v>10</v>
      </c>
      <c r="AE47" s="160">
        <f>IFERROR(AVERAGEIFS(AllData[Nitrate (PPM)], AllData[Site Name], $B47, AllData[Season], "Spring", AllData[Year], "2024"), "")</f>
        <v>5.3</v>
      </c>
      <c r="AF47" s="27">
        <f t="shared" si="10"/>
        <v>-0.34110334110334106</v>
      </c>
      <c r="AG47" s="161">
        <f>IFERROR(AVERAGEIFS(AllData[Phosphate (PPM)], AllData[Site Name], $B47, AllData[Season], "Spring", AllData[Year], "2024"),"")</f>
        <v>0.25600000000000001</v>
      </c>
      <c r="AH47" s="28">
        <f t="shared" si="11"/>
        <v>-0.40971321516068598</v>
      </c>
      <c r="AI47" s="165">
        <f>COUNTIFS(AllData[Site Name], Tables!$B47, AllData[Season], "Summer", AllData[Year], "2024")</f>
        <v>1</v>
      </c>
      <c r="AJ47" s="160">
        <f>IFERROR(AVERAGEIFS(AllData[Nitrate (PPM)], AllData[Site Name], $B47, AllData[Season], "Summer", AllData[Year], "2024"), "")</f>
        <v>5</v>
      </c>
      <c r="AK47" s="27">
        <f t="shared" si="12"/>
        <v>-0.37839937839937837</v>
      </c>
      <c r="AL47" s="27" t="str">
        <f t="shared" si="13"/>
        <v/>
      </c>
      <c r="AM47" s="161">
        <f>IFERROR(AVERAGEIFS(AllData[Phosphate (PPM)], AllData[Site Name], $B47, AllData[Season], "Summer", AllData[Year], "2024"),"")</f>
        <v>0.51</v>
      </c>
      <c r="AN47" s="27">
        <f t="shared" si="14"/>
        <v>0.17596195417207092</v>
      </c>
      <c r="AO47" s="28" t="str">
        <f t="shared" si="15"/>
        <v/>
      </c>
      <c r="AP47" s="157">
        <f>COUNTIFS(AllData[Site Name], Tables!$B47, AllData[Season], "Autumn", AllData[Year], "2024")</f>
        <v>0</v>
      </c>
      <c r="AQ47" s="160" t="str">
        <f>IFERROR(AVERAGEIFS(AllData[Nitrate (PPM)], AllData[Site Name], $B47, AllData[Season], "Autumn", AllData[Year], "2024"), "")</f>
        <v/>
      </c>
      <c r="AR47" s="27" t="str">
        <f t="shared" si="16"/>
        <v/>
      </c>
      <c r="AS47" s="27" t="str">
        <f t="shared" si="42"/>
        <v/>
      </c>
      <c r="AT47" s="161" t="str">
        <f>IFERROR(AVERAGEIFS(AllData[Phosphate (PPM)], AllData[Site Name], B47, AllData[Season], "Autumn", AllData[Year], "2024"), "")</f>
        <v/>
      </c>
      <c r="AU47" s="27" t="str">
        <f t="shared" si="18"/>
        <v/>
      </c>
      <c r="AV47" s="28" t="str">
        <f t="shared" si="43"/>
        <v/>
      </c>
      <c r="AW47" s="165">
        <f>COUNTIFS(AllData[Site Name], Tables!$B47, AllData[Season], "Winter", AllData[Year], "2024")</f>
        <v>0</v>
      </c>
      <c r="AX47" s="160" t="str">
        <f>IFERROR(AVERAGEIFS(AllData[Nitrate (PPM)], AllData[Site Name], $B47, AllData[Season], "Winter", AllData[Year], "2024"), "")</f>
        <v/>
      </c>
      <c r="AY47" s="27" t="str">
        <f t="shared" si="20"/>
        <v/>
      </c>
      <c r="AZ47" s="27" t="str">
        <f t="shared" si="21"/>
        <v/>
      </c>
      <c r="BA47" s="161" t="str">
        <f>IFERROR(AVERAGEIFS(AllData[Phosphate (PPM)], AllData[Site Name], $B47, AllData[Season], "Winter", AllData[Year], "2024"), "")</f>
        <v/>
      </c>
      <c r="BB47" s="27" t="str">
        <f t="shared" si="22"/>
        <v/>
      </c>
      <c r="BC47" s="44" t="str">
        <f t="shared" si="23"/>
        <v/>
      </c>
      <c r="BD47" s="157">
        <f>COUNTIFS(AllData[Site Name], Tables!$B47, AllData[Season], "Spring", AllData[Year], "2025")</f>
        <v>0</v>
      </c>
      <c r="BE47" s="160" t="str">
        <f>IFERROR(AVERAGEIFS(AllData[Nitrate (PPM)], AllData[Site Name], $B47, AllData[Season], "Spring", AllData[Year], "2025"), "")</f>
        <v/>
      </c>
      <c r="BF47" s="27" t="str">
        <f t="shared" si="24"/>
        <v/>
      </c>
      <c r="BG47" s="27" t="str">
        <f t="shared" si="25"/>
        <v/>
      </c>
      <c r="BH47" s="161" t="str">
        <f>IFERROR(AVERAGEIFS(AllData[Phosphate (PPM)], AllData[Site Name], $B47, AllData[Season], "Spring", AllData[Year], "2025"), "")</f>
        <v/>
      </c>
      <c r="BI47" s="27" t="str">
        <f t="shared" si="26"/>
        <v/>
      </c>
      <c r="BJ47" s="27" t="str">
        <f t="shared" si="27"/>
        <v/>
      </c>
      <c r="BK47" s="165">
        <f>COUNTIFS(AllData[Site Name], Tables!$B47, AllData[Season], "Summer", AllData[Year], "2025")</f>
        <v>0</v>
      </c>
      <c r="BL47" s="160" t="str">
        <f>IFERROR(AVERAGEIFS(AllData[Nitrate (PPM)], AllData[Site Name], $B47, AllData[Season], "Summer", AllData[Year], "2025"), "")</f>
        <v/>
      </c>
      <c r="BM47" s="27" t="str">
        <f t="shared" si="28"/>
        <v/>
      </c>
      <c r="BN47" s="27" t="str">
        <f t="shared" si="29"/>
        <v/>
      </c>
      <c r="BO47" s="161" t="str">
        <f>IFERROR(AVERAGEIFS(AllData[Phosphate (PPM)], AllData[Site Name], $B47, AllData[Season], "Summer", AllData[Year], "2025"),"")</f>
        <v/>
      </c>
      <c r="BP47" s="27" t="str">
        <f t="shared" si="30"/>
        <v/>
      </c>
      <c r="BQ47" s="27" t="str">
        <f t="shared" si="31"/>
        <v/>
      </c>
      <c r="BR47" s="165">
        <f>COUNTIFS(AllData[Site Name], Tables!$B47, AllData[Season], "Autumn", AllData[Year], "2025")</f>
        <v>0</v>
      </c>
      <c r="BS47" s="160" t="str">
        <f>IFERROR(AVERAGEIFS(AllData[Nitrate (PPM)], AllData[Site Name], $B47, AllData[Season], "Autumn", AllData[Year], "2025"), "")</f>
        <v/>
      </c>
      <c r="BT47" s="27" t="str">
        <f t="shared" si="32"/>
        <v/>
      </c>
      <c r="BU47" s="27" t="str">
        <f t="shared" si="33"/>
        <v/>
      </c>
      <c r="BV47" s="161" t="str">
        <f>IFERROR(AVERAGEIFS(AllData[Phosphate (PPM)], AllData[Site Name], AD47, AllData[Season], "Autumn", AllData[Year], "2025"), "")</f>
        <v/>
      </c>
      <c r="BW47" s="27" t="str">
        <f t="shared" si="34"/>
        <v/>
      </c>
      <c r="BX47" s="28" t="str">
        <f t="shared" si="35"/>
        <v/>
      </c>
      <c r="BY47" s="165">
        <f>COUNTIFS(AllData[Site Name], Tables!$B47, AllData[Season], "Winter", AllData[Year], "2025")</f>
        <v>0</v>
      </c>
      <c r="BZ47" s="160" t="str">
        <f>IFERROR(AVERAGEIFS(AllData[Nitrate (PPM)], AllData[Site Name], $B47, AllData[Season], "Winter", AllData[Year], "2025"), "")</f>
        <v/>
      </c>
      <c r="CA47" s="27" t="str">
        <f t="shared" si="36"/>
        <v/>
      </c>
      <c r="CB47" s="27" t="str">
        <f t="shared" si="40"/>
        <v/>
      </c>
      <c r="CC47" s="161" t="str">
        <f>IFERROR(AVERAGEIFS(AllData[Phosphate (PPM)], AllData[Site Name], $B47, AllData[Season], "Winter", AllData[Year], "2025"), "")</f>
        <v/>
      </c>
      <c r="CD47" s="27" t="str">
        <f t="shared" si="38"/>
        <v/>
      </c>
      <c r="CE47" s="44" t="str">
        <f t="shared" si="41"/>
        <v/>
      </c>
    </row>
    <row r="48" spans="2:83" x14ac:dyDescent="0.35">
      <c r="B48" s="159" t="s">
        <v>915</v>
      </c>
      <c r="C48" s="113">
        <f>IFERROR(AVERAGEIF(AllData[Site Name], Tables!B48, AllData[Latitude]), "Unknown")</f>
        <v>52.151811999999993</v>
      </c>
      <c r="D48" s="113">
        <f>IFERROR(AVERAGEIF(AllData[Site Name], Tables!B48, AllData[Longitude]), "Unknown")</f>
        <v>-2.0958865161290317</v>
      </c>
      <c r="E48" s="13" t="e" vm="6">
        <f>_xlfn.XLOOKUP(B48,LocationsKey[Site Name], LocationsKey[District])</f>
        <v>#VALUE!</v>
      </c>
      <c r="F48" s="13" t="str">
        <f>_xlfn.XLOOKUP(B48,LocationsKey[Site Name], LocationsKey[Town])</f>
        <v>Peopleton</v>
      </c>
      <c r="G48" s="25" t="str">
        <f>_xlfn.XLOOKUP(B48,LocationsKey[Site Name],LocationsKey[Waterway])</f>
        <v>Bow Brook</v>
      </c>
      <c r="H48" s="157">
        <f>COUNTIF(AllData[Site Name], Tables!B48)</f>
        <v>31</v>
      </c>
      <c r="I48" s="160">
        <f t="shared" si="0"/>
        <v>3.5119047619047619</v>
      </c>
      <c r="J48" s="161">
        <f t="shared" si="1"/>
        <v>0.62623015873015875</v>
      </c>
      <c r="K48" s="27" cm="1">
        <f t="array" ref="K48">SUM(COUNTIFS(AllData[Site Name], B48, AllData[Nitrate Pollution Category], {"High","Very high"}))/COUNTIFS(AllData[Site Name], B48, AllData[Nitrate (PPM)], "&lt;&gt;0")</f>
        <v>0.967741935483871</v>
      </c>
      <c r="L48" s="27" cm="1">
        <f t="array" ref="L48">SUM(COUNTIFS(AllData[Site Name], B48, AllData[Phosphate Pollution Category], {"High","Very high"}))/COUNTIFS(AllData[Site Name], B48, AllData[Phosphate (PPM)], "&lt;&gt;0")</f>
        <v>0.90322580645161288</v>
      </c>
      <c r="M48" s="157">
        <f t="shared" si="2"/>
        <v>68</v>
      </c>
      <c r="N48" s="157">
        <f t="shared" si="3"/>
        <v>28</v>
      </c>
      <c r="O48" s="26">
        <f>COUNTIFS(AllData[Site Name], Tables!$B48, AllData[Season], "Summer", AllData[Year], "2023")</f>
        <v>0</v>
      </c>
      <c r="P48" s="160" t="str">
        <f>IFERROR(AVERAGEIFS(AllData[Nitrate (PPM)], AllData[Site Name], $B48, AllData[Season], "Summer", AllData[Year], "2023"), "")</f>
        <v/>
      </c>
      <c r="Q48" s="27" t="str">
        <f t="shared" si="4"/>
        <v/>
      </c>
      <c r="R48" s="161" t="str">
        <f>IFERROR(AVERAGEIFS(AllData[Phosphate (PPM)], AllData[Site Name], $B48, AllData[Season], "Summer", AllData[Year], "2023"),"")</f>
        <v/>
      </c>
      <c r="S48" s="28" t="str">
        <f t="shared" si="5"/>
        <v/>
      </c>
      <c r="T48" s="26">
        <f>COUNTIFS(AllData[Site Name], Tables!$B48, AllData[Season], "Autumn", AllData[Year], "2023")</f>
        <v>0</v>
      </c>
      <c r="U48" s="160" t="str">
        <f>IFERROR(AVERAGEIFS(AllData[Nitrate (PPM)], AllData[Site Name], $B48, AllData[Season], "Autumn", AllData[Year], "2023"), "")</f>
        <v/>
      </c>
      <c r="V48" s="27" t="str">
        <f t="shared" si="6"/>
        <v/>
      </c>
      <c r="W48" s="161" t="str">
        <f>IFERROR(AVERAGEIFS(AllData[Phosphate (PPM)], AllData[Site Name], $B48, AllData[Season], "Autumn", AllData[Year], "2023"),"")</f>
        <v/>
      </c>
      <c r="X48" s="28" t="str">
        <f t="shared" si="7"/>
        <v/>
      </c>
      <c r="Y48" s="26">
        <f>COUNTIFS(AllData[Site Name], Tables!$B48, AllData[Season], "Winter", AllData[Year], "2023")</f>
        <v>1</v>
      </c>
      <c r="Z48" s="160" t="str">
        <f>IFERROR(AVERAGEIFS(AllData[Nitrate (PPM)], AllData[Site Name], $B48, AllData[Season], "Winter", AllData[Year], "2023"), "")</f>
        <v/>
      </c>
      <c r="AA48" s="27" t="str">
        <f t="shared" si="8"/>
        <v/>
      </c>
      <c r="AB48" s="161">
        <f>IFERROR(AVERAGEIFS(AllData[Phosphate (PPM)], AllData[Site Name], $B48, AllData[Season], "Winter", AllData[Year], "2023"),"")</f>
        <v>0.21</v>
      </c>
      <c r="AC48" s="28">
        <f t="shared" si="9"/>
        <v>-0.66466003421836395</v>
      </c>
      <c r="AD48" s="26">
        <f>COUNTIFS(AllData[Site Name], Tables!$B48, AllData[Season], "Spring", AllData[Year], "2024")</f>
        <v>7</v>
      </c>
      <c r="AE48" s="160">
        <f>IFERROR(AVERAGEIFS(AllData[Nitrate (PPM)], AllData[Site Name], $B48, AllData[Season], "Spring", AllData[Year], "2024"), "")</f>
        <v>4.8571428571428568</v>
      </c>
      <c r="AF48" s="27">
        <f t="shared" si="10"/>
        <v>0.38305084745762702</v>
      </c>
      <c r="AG48" s="161">
        <f>IFERROR(AVERAGEIFS(AllData[Phosphate (PPM)], AllData[Site Name], $B48, AllData[Season], "Spring", AllData[Year], "2024"),"")</f>
        <v>0.92428571428571427</v>
      </c>
      <c r="AH48" s="28">
        <f t="shared" si="11"/>
        <v>0.47595209429060253</v>
      </c>
      <c r="AI48" s="165">
        <f>COUNTIFS(AllData[Site Name], Tables!$B48, AllData[Season], "Summer", AllData[Year], "2024")</f>
        <v>6</v>
      </c>
      <c r="AJ48" s="160">
        <f>IFERROR(AVERAGEIFS(AllData[Nitrate (PPM)], AllData[Site Name], $B48, AllData[Season], "Summer", AllData[Year], "2024"), "")</f>
        <v>5</v>
      </c>
      <c r="AK48" s="27">
        <f t="shared" si="12"/>
        <v>0.42372881355932207</v>
      </c>
      <c r="AL48" s="27" t="str">
        <f t="shared" si="13"/>
        <v/>
      </c>
      <c r="AM48" s="161">
        <f>IFERROR(AVERAGEIFS(AllData[Phosphate (PPM)], AllData[Site Name], $B48, AllData[Season], "Summer", AllData[Year], "2024"),"")</f>
        <v>1.075</v>
      </c>
      <c r="AN48" s="27">
        <f t="shared" si="14"/>
        <v>0.71662125340599447</v>
      </c>
      <c r="AO48" s="28" t="str">
        <f t="shared" si="15"/>
        <v/>
      </c>
      <c r="AP48" s="157">
        <f>COUNTIFS(AllData[Site Name], Tables!$B48, AllData[Season], "Autumn", AllData[Year], "2024")</f>
        <v>7</v>
      </c>
      <c r="AQ48" s="160">
        <f>IFERROR(AVERAGEIFS(AllData[Nitrate (PPM)], AllData[Site Name], $B48, AllData[Season], "Autumn", AllData[Year], "2024"), "")</f>
        <v>3.2857142857142856</v>
      </c>
      <c r="AR48" s="27">
        <f t="shared" si="16"/>
        <v>-6.4406779661016975E-2</v>
      </c>
      <c r="AS48" s="27" t="str">
        <f t="shared" si="42"/>
        <v/>
      </c>
      <c r="AT48" s="161">
        <f>IFERROR(AVERAGEIFS(AllData[Phosphate (PPM)], AllData[Site Name], B48, AllData[Season], "Autumn", AllData[Year], "2024"), "")</f>
        <v>0.8214285714285714</v>
      </c>
      <c r="AU48" s="27">
        <f t="shared" si="18"/>
        <v>0.31170394778531135</v>
      </c>
      <c r="AV48" s="28" t="str">
        <f t="shared" si="43"/>
        <v/>
      </c>
      <c r="AW48" s="165">
        <f>COUNTIFS(AllData[Site Name], Tables!$B48, AllData[Season], "Winter", AllData[Year], "2024")</f>
        <v>6</v>
      </c>
      <c r="AX48" s="160">
        <f>IFERROR(AVERAGEIFS(AllData[Nitrate (PPM)], AllData[Site Name], $B48, AllData[Season], "Winter", AllData[Year], "2024"), "")</f>
        <v>1.9166666666666667</v>
      </c>
      <c r="AY48" s="27">
        <f t="shared" si="20"/>
        <v>-0.45423728813559322</v>
      </c>
      <c r="AZ48" s="27" t="str">
        <f t="shared" si="21"/>
        <v/>
      </c>
      <c r="BA48" s="161">
        <f>IFERROR(AVERAGEIFS(AllData[Phosphate (PPM)], AllData[Site Name], $B48, AllData[Season], "Winter", AllData[Year], "2024"), "")</f>
        <v>0.28666666666666668</v>
      </c>
      <c r="BB48" s="27">
        <f t="shared" si="22"/>
        <v>-0.54223433242506813</v>
      </c>
      <c r="BC48" s="44">
        <f t="shared" si="23"/>
        <v>0.36507936507936517</v>
      </c>
      <c r="BD48" s="157">
        <f>COUNTIFS(AllData[Site Name], Tables!$B48, AllData[Season], "Spring", AllData[Year], "2025")</f>
        <v>4</v>
      </c>
      <c r="BE48" s="160">
        <f>IFERROR(AVERAGEIFS(AllData[Nitrate (PPM)], AllData[Site Name], $B48, AllData[Season], "Spring", AllData[Year], "2025"), "")</f>
        <v>2.5</v>
      </c>
      <c r="BF48" s="27">
        <f t="shared" si="24"/>
        <v>-0.28813559322033899</v>
      </c>
      <c r="BG48" s="27">
        <f t="shared" si="25"/>
        <v>-0.48529411764705876</v>
      </c>
      <c r="BH48" s="161">
        <f>IFERROR(AVERAGEIFS(AllData[Phosphate (PPM)], AllData[Site Name], $B48, AllData[Season], "Spring", AllData[Year], "2025"), "")</f>
        <v>0.43999999999999995</v>
      </c>
      <c r="BI48" s="27">
        <f t="shared" si="26"/>
        <v>-0.29738292883847678</v>
      </c>
      <c r="BJ48" s="27">
        <f t="shared" si="27"/>
        <v>-0.52395672333848542</v>
      </c>
      <c r="BK48" s="165">
        <f>COUNTIFS(AllData[Site Name], Tables!$B48, AllData[Season], "Summer", AllData[Year], "2025")</f>
        <v>0</v>
      </c>
      <c r="BL48" s="160" t="str">
        <f>IFERROR(AVERAGEIFS(AllData[Nitrate (PPM)], AllData[Site Name], $B48, AllData[Season], "Summer", AllData[Year], "2025"), "")</f>
        <v/>
      </c>
      <c r="BM48" s="27" t="str">
        <f t="shared" si="28"/>
        <v/>
      </c>
      <c r="BN48" s="27" t="str">
        <f t="shared" si="29"/>
        <v/>
      </c>
      <c r="BO48" s="161" t="str">
        <f>IFERROR(AVERAGEIFS(AllData[Phosphate (PPM)], AllData[Site Name], $B48, AllData[Season], "Summer", AllData[Year], "2025"),"")</f>
        <v/>
      </c>
      <c r="BP48" s="27" t="str">
        <f t="shared" si="30"/>
        <v/>
      </c>
      <c r="BQ48" s="27" t="str">
        <f t="shared" si="31"/>
        <v/>
      </c>
      <c r="BR48" s="165">
        <f>COUNTIFS(AllData[Site Name], Tables!$B48, AllData[Season], "Autumn", AllData[Year], "2025")</f>
        <v>0</v>
      </c>
      <c r="BS48" s="160" t="str">
        <f>IFERROR(AVERAGEIFS(AllData[Nitrate (PPM)], AllData[Site Name], $B48, AllData[Season], "Autumn", AllData[Year], "2025"), "")</f>
        <v/>
      </c>
      <c r="BT48" s="27" t="str">
        <f t="shared" si="32"/>
        <v/>
      </c>
      <c r="BU48" s="27" t="str">
        <f t="shared" si="33"/>
        <v/>
      </c>
      <c r="BV48" s="161" t="str">
        <f>IFERROR(AVERAGEIFS(AllData[Phosphate (PPM)], AllData[Site Name], AD48, AllData[Season], "Autumn", AllData[Year], "2025"), "")</f>
        <v/>
      </c>
      <c r="BW48" s="27" t="str">
        <f t="shared" si="34"/>
        <v/>
      </c>
      <c r="BX48" s="28" t="str">
        <f t="shared" si="35"/>
        <v/>
      </c>
      <c r="BY48" s="165">
        <f>COUNTIFS(AllData[Site Name], Tables!$B48, AllData[Season], "Winter", AllData[Year], "2025")</f>
        <v>0</v>
      </c>
      <c r="BZ48" s="160" t="str">
        <f>IFERROR(AVERAGEIFS(AllData[Nitrate (PPM)], AllData[Site Name], $B48, AllData[Season], "Winter", AllData[Year], "2025"), "")</f>
        <v/>
      </c>
      <c r="CA48" s="27" t="str">
        <f t="shared" si="36"/>
        <v/>
      </c>
      <c r="CB48" s="27" t="str">
        <f t="shared" si="40"/>
        <v/>
      </c>
      <c r="CC48" s="161" t="str">
        <f>IFERROR(AVERAGEIFS(AllData[Phosphate (PPM)], AllData[Site Name], $B48, AllData[Season], "Winter", AllData[Year], "2025"), "")</f>
        <v/>
      </c>
      <c r="CD48" s="27" t="str">
        <f t="shared" si="38"/>
        <v/>
      </c>
      <c r="CE48" s="44" t="str">
        <f t="shared" si="41"/>
        <v/>
      </c>
    </row>
    <row r="49" spans="2:83" x14ac:dyDescent="0.35">
      <c r="B49" s="159" t="s">
        <v>2564</v>
      </c>
      <c r="C49" s="113">
        <f>IFERROR(AVERAGEIF(AllData[Site Name], Tables!B49, AllData[Latitude]), "Unknown")</f>
        <v>52.046251444444437</v>
      </c>
      <c r="D49" s="113">
        <f>IFERROR(AVERAGEIF(AllData[Site Name], Tables!B49, AllData[Longitude]), "Unknown")</f>
        <v>-1.5494355555555552</v>
      </c>
      <c r="E49" s="13" t="e" vm="1">
        <f>_xlfn.XLOOKUP(B49,LocationsKey[Site Name], LocationsKey[District])</f>
        <v>#VALUE!</v>
      </c>
      <c r="F49" s="13" t="e" vm="5">
        <f>_xlfn.XLOOKUP(B49,LocationsKey[Site Name], LocationsKey[Town])</f>
        <v>#VALUE!</v>
      </c>
      <c r="G49" s="25" t="str">
        <f>_xlfn.XLOOKUP(B49,LocationsKey[Site Name],LocationsKey[Waterway])</f>
        <v>Sutton Brook</v>
      </c>
      <c r="H49" s="157">
        <f>COUNTIF(AllData[Site Name], Tables!B49)</f>
        <v>19</v>
      </c>
      <c r="I49" s="160">
        <f t="shared" si="0"/>
        <v>5.0588888888888883</v>
      </c>
      <c r="J49" s="161">
        <f t="shared" si="1"/>
        <v>0.18916666666666668</v>
      </c>
      <c r="K49" s="27" cm="1">
        <f t="array" ref="K49">SUM(COUNTIFS(AllData[Site Name], B49, AllData[Nitrate Pollution Category], {"High","Very high"}))/COUNTIFS(AllData[Site Name], B49, AllData[Nitrate (PPM)], "&lt;&gt;0")</f>
        <v>0.94736842105263153</v>
      </c>
      <c r="L49" s="27" cm="1">
        <f t="array" ref="L49">SUM(COUNTIFS(AllData[Site Name], B49, AllData[Phosphate Pollution Category], {"High","Very high"}))/COUNTIFS(AllData[Site Name], B49, AllData[Phosphate (PPM)], "&lt;&gt;0")</f>
        <v>0.88888888888888884</v>
      </c>
      <c r="M49" s="157">
        <f t="shared" si="2"/>
        <v>49</v>
      </c>
      <c r="N49" s="157">
        <f t="shared" si="3"/>
        <v>79</v>
      </c>
      <c r="O49" s="26">
        <f>COUNTIFS(AllData[Site Name], Tables!$B49, AllData[Season], "Summer", AllData[Year], "2023")</f>
        <v>0</v>
      </c>
      <c r="P49" s="160" t="str">
        <f>IFERROR(AVERAGEIFS(AllData[Nitrate (PPM)], AllData[Site Name], $B49, AllData[Season], "Summer", AllData[Year], "2023"), "")</f>
        <v/>
      </c>
      <c r="Q49" s="27" t="str">
        <f t="shared" si="4"/>
        <v/>
      </c>
      <c r="R49" s="161" t="str">
        <f>IFERROR(AVERAGEIFS(AllData[Phosphate (PPM)], AllData[Site Name], $B49, AllData[Season], "Summer", AllData[Year], "2023"),"")</f>
        <v/>
      </c>
      <c r="S49" s="28" t="str">
        <f t="shared" si="5"/>
        <v/>
      </c>
      <c r="T49" s="26">
        <f>COUNTIFS(AllData[Site Name], Tables!$B49, AllData[Season], "Autumn", AllData[Year], "2023")</f>
        <v>0</v>
      </c>
      <c r="U49" s="160" t="str">
        <f>IFERROR(AVERAGEIFS(AllData[Nitrate (PPM)], AllData[Site Name], $B49, AllData[Season], "Autumn", AllData[Year], "2023"), "")</f>
        <v/>
      </c>
      <c r="V49" s="27" t="str">
        <f t="shared" si="6"/>
        <v/>
      </c>
      <c r="W49" s="161" t="str">
        <f>IFERROR(AVERAGEIFS(AllData[Phosphate (PPM)], AllData[Site Name], $B49, AllData[Season], "Autumn", AllData[Year], "2023"),"")</f>
        <v/>
      </c>
      <c r="X49" s="28" t="str">
        <f t="shared" si="7"/>
        <v/>
      </c>
      <c r="Y49" s="26">
        <f>COUNTIFS(AllData[Site Name], Tables!$B49, AllData[Season], "Winter", AllData[Year], "2023")</f>
        <v>0</v>
      </c>
      <c r="Z49" s="160" t="str">
        <f>IFERROR(AVERAGEIFS(AllData[Nitrate (PPM)], AllData[Site Name], $B49, AllData[Season], "Winter", AllData[Year], "2023"), "")</f>
        <v/>
      </c>
      <c r="AA49" s="27" t="str">
        <f t="shared" si="8"/>
        <v/>
      </c>
      <c r="AB49" s="161" t="str">
        <f>IFERROR(AVERAGEIFS(AllData[Phosphate (PPM)], AllData[Site Name], $B49, AllData[Season], "Winter", AllData[Year], "2023"),"")</f>
        <v/>
      </c>
      <c r="AC49" s="28" t="str">
        <f t="shared" si="9"/>
        <v/>
      </c>
      <c r="AD49" s="26">
        <f>COUNTIFS(AllData[Site Name], Tables!$B49, AllData[Season], "Spring", AllData[Year], "2024")</f>
        <v>0</v>
      </c>
      <c r="AE49" s="160" t="str">
        <f>IFERROR(AVERAGEIFS(AllData[Nitrate (PPM)], AllData[Site Name], $B49, AllData[Season], "Spring", AllData[Year], "2024"), "")</f>
        <v/>
      </c>
      <c r="AF49" s="27" t="str">
        <f t="shared" si="10"/>
        <v/>
      </c>
      <c r="AG49" s="161" t="str">
        <f>IFERROR(AVERAGEIFS(AllData[Phosphate (PPM)], AllData[Site Name], $B49, AllData[Season], "Spring", AllData[Year], "2024"),"")</f>
        <v/>
      </c>
      <c r="AH49" s="28" t="str">
        <f t="shared" si="11"/>
        <v/>
      </c>
      <c r="AI49" s="165">
        <f>COUNTIFS(AllData[Site Name], Tables!$B49, AllData[Season], "Summer", AllData[Year], "2024")</f>
        <v>0</v>
      </c>
      <c r="AJ49" s="160" t="str">
        <f>IFERROR(AVERAGEIFS(AllData[Nitrate (PPM)], AllData[Site Name], $B49, AllData[Season], "Summer", AllData[Year], "2024"), "")</f>
        <v/>
      </c>
      <c r="AK49" s="27" t="str">
        <f t="shared" si="12"/>
        <v/>
      </c>
      <c r="AL49" s="27" t="str">
        <f t="shared" si="13"/>
        <v/>
      </c>
      <c r="AM49" s="161" t="str">
        <f>IFERROR(AVERAGEIFS(AllData[Phosphate (PPM)], AllData[Site Name], $B49, AllData[Season], "Summer", AllData[Year], "2024"),"")</f>
        <v/>
      </c>
      <c r="AN49" s="27" t="str">
        <f t="shared" si="14"/>
        <v/>
      </c>
      <c r="AO49" s="28" t="str">
        <f t="shared" si="15"/>
        <v/>
      </c>
      <c r="AP49" s="157">
        <f>COUNTIFS(AllData[Site Name], Tables!$B49, AllData[Season], "Autumn", AllData[Year], "2024")</f>
        <v>1</v>
      </c>
      <c r="AQ49" s="160">
        <f>IFERROR(AVERAGEIFS(AllData[Nitrate (PPM)], AllData[Site Name], $B49, AllData[Season], "Autumn", AllData[Year], "2024"), "")</f>
        <v>5</v>
      </c>
      <c r="AR49" s="27">
        <f t="shared" si="16"/>
        <v>-1.164067647704799E-2</v>
      </c>
      <c r="AS49" s="27" t="str">
        <f t="shared" si="42"/>
        <v/>
      </c>
      <c r="AT49" s="161" t="str">
        <f>IFERROR(AVERAGEIFS(AllData[Phosphate (PPM)], AllData[Site Name], B49, AllData[Season], "Autumn", AllData[Year], "2024"), "")</f>
        <v/>
      </c>
      <c r="AU49" s="27" t="str">
        <f t="shared" si="18"/>
        <v/>
      </c>
      <c r="AV49" s="28" t="str">
        <f t="shared" si="43"/>
        <v/>
      </c>
      <c r="AW49" s="165">
        <f>COUNTIFS(AllData[Site Name], Tables!$B49, AllData[Season], "Winter", AllData[Year], "2024")</f>
        <v>12</v>
      </c>
      <c r="AX49" s="160">
        <f>IFERROR(AVERAGEIFS(AllData[Nitrate (PPM)], AllData[Site Name], $B49, AllData[Season], "Winter", AllData[Year], "2024"), "")</f>
        <v>4.4266666666666667</v>
      </c>
      <c r="AY49" s="27">
        <f t="shared" si="20"/>
        <v>-0.12497254557434648</v>
      </c>
      <c r="AZ49" s="27" t="str">
        <f t="shared" si="21"/>
        <v/>
      </c>
      <c r="BA49" s="161">
        <f>IFERROR(AVERAGEIFS(AllData[Phosphate (PPM)], AllData[Site Name], $B49, AllData[Season], "Winter", AllData[Year], "2024"), "")</f>
        <v>0.215</v>
      </c>
      <c r="BB49" s="27">
        <f t="shared" si="22"/>
        <v>0.1365638766519823</v>
      </c>
      <c r="BC49" s="44" t="str">
        <f t="shared" si="23"/>
        <v/>
      </c>
      <c r="BD49" s="157">
        <f>COUNTIFS(AllData[Site Name], Tables!$B49, AllData[Season], "Spring", AllData[Year], "2025")</f>
        <v>6</v>
      </c>
      <c r="BE49" s="160">
        <f>IFERROR(AVERAGEIFS(AllData[Nitrate (PPM)], AllData[Site Name], $B49, AllData[Season], "Spring", AllData[Year], "2025"), "")</f>
        <v>5.75</v>
      </c>
      <c r="BF49" s="27">
        <f t="shared" si="24"/>
        <v>0.13661322205139481</v>
      </c>
      <c r="BG49" s="27" t="str">
        <f t="shared" si="25"/>
        <v/>
      </c>
      <c r="BH49" s="161">
        <f>IFERROR(AVERAGEIFS(AllData[Phosphate (PPM)], AllData[Site Name], $B49, AllData[Season], "Spring", AllData[Year], "2025"), "")</f>
        <v>0.16333333333333336</v>
      </c>
      <c r="BI49" s="27">
        <f t="shared" si="26"/>
        <v>-0.1365638766519823</v>
      </c>
      <c r="BJ49" s="27" t="str">
        <f t="shared" si="27"/>
        <v/>
      </c>
      <c r="BK49" s="165">
        <f>COUNTIFS(AllData[Site Name], Tables!$B49, AllData[Season], "Summer", AllData[Year], "2025")</f>
        <v>0</v>
      </c>
      <c r="BL49" s="160" t="str">
        <f>IFERROR(AVERAGEIFS(AllData[Nitrate (PPM)], AllData[Site Name], $B49, AllData[Season], "Summer", AllData[Year], "2025"), "")</f>
        <v/>
      </c>
      <c r="BM49" s="27" t="str">
        <f t="shared" si="28"/>
        <v/>
      </c>
      <c r="BN49" s="27" t="str">
        <f t="shared" si="29"/>
        <v/>
      </c>
      <c r="BO49" s="161" t="str">
        <f>IFERROR(AVERAGEIFS(AllData[Phosphate (PPM)], AllData[Site Name], $B49, AllData[Season], "Summer", AllData[Year], "2025"),"")</f>
        <v/>
      </c>
      <c r="BP49" s="27" t="str">
        <f t="shared" si="30"/>
        <v/>
      </c>
      <c r="BQ49" s="27" t="str">
        <f t="shared" si="31"/>
        <v/>
      </c>
      <c r="BR49" s="165">
        <f>COUNTIFS(AllData[Site Name], Tables!$B49, AllData[Season], "Autumn", AllData[Year], "2025")</f>
        <v>0</v>
      </c>
      <c r="BS49" s="160" t="str">
        <f>IFERROR(AVERAGEIFS(AllData[Nitrate (PPM)], AllData[Site Name], $B49, AllData[Season], "Autumn", AllData[Year], "2025"), "")</f>
        <v/>
      </c>
      <c r="BT49" s="27" t="str">
        <f t="shared" si="32"/>
        <v/>
      </c>
      <c r="BU49" s="27" t="str">
        <f t="shared" si="33"/>
        <v/>
      </c>
      <c r="BV49" s="161" t="str">
        <f>IFERROR(AVERAGEIFS(AllData[Phosphate (PPM)], AllData[Site Name], AD49, AllData[Season], "Autumn", AllData[Year], "2025"), "")</f>
        <v/>
      </c>
      <c r="BW49" s="27" t="str">
        <f t="shared" si="34"/>
        <v/>
      </c>
      <c r="BX49" s="28" t="str">
        <f t="shared" si="35"/>
        <v/>
      </c>
      <c r="BY49" s="165">
        <f>COUNTIFS(AllData[Site Name], Tables!$B49, AllData[Season], "Winter", AllData[Year], "2025")</f>
        <v>0</v>
      </c>
      <c r="BZ49" s="160" t="str">
        <f>IFERROR(AVERAGEIFS(AllData[Nitrate (PPM)], AllData[Site Name], $B49, AllData[Season], "Winter", AllData[Year], "2025"), "")</f>
        <v/>
      </c>
      <c r="CA49" s="27" t="str">
        <f t="shared" si="36"/>
        <v/>
      </c>
      <c r="CB49" s="27" t="str">
        <f t="shared" si="40"/>
        <v/>
      </c>
      <c r="CC49" s="161" t="str">
        <f>IFERROR(AVERAGEIFS(AllData[Phosphate (PPM)], AllData[Site Name], $B49, AllData[Season], "Winter", AllData[Year], "2025"), "")</f>
        <v/>
      </c>
      <c r="CD49" s="27" t="str">
        <f t="shared" si="38"/>
        <v/>
      </c>
      <c r="CE49" s="44" t="str">
        <f t="shared" si="41"/>
        <v/>
      </c>
    </row>
    <row r="50" spans="2:83" x14ac:dyDescent="0.35">
      <c r="B50" s="159" t="s">
        <v>938</v>
      </c>
      <c r="C50" s="113">
        <f>IFERROR(AVERAGEIF(AllData[Site Name], Tables!B50, AllData[Latitude]), "Unknown")</f>
        <v>52.104196285714281</v>
      </c>
      <c r="D50" s="113">
        <f>IFERROR(AVERAGEIF(AllData[Site Name], Tables!B50, AllData[Longitude]), "Unknown")</f>
        <v>-2.0709292857142851</v>
      </c>
      <c r="E50" s="13" t="e" vm="6">
        <f>_xlfn.XLOOKUP(B50,LocationsKey[Site Name], LocationsKey[District])</f>
        <v>#VALUE!</v>
      </c>
      <c r="F50" s="13" t="e" vm="7">
        <f>_xlfn.XLOOKUP(B50,LocationsKey[Site Name], LocationsKey[Town])</f>
        <v>#VALUE!</v>
      </c>
      <c r="G50" s="25" t="str">
        <f>_xlfn.XLOOKUP(B50,LocationsKey[Site Name],LocationsKey[Waterway])</f>
        <v>Avon</v>
      </c>
      <c r="H50" s="157">
        <f>COUNTIF(AllData[Site Name], Tables!B50)</f>
        <v>7</v>
      </c>
      <c r="I50" s="160">
        <f t="shared" si="0"/>
        <v>7.25</v>
      </c>
      <c r="J50" s="161">
        <f t="shared" si="1"/>
        <v>0.57150000000000001</v>
      </c>
      <c r="K50" s="27" cm="1">
        <f t="array" ref="K50">SUM(COUNTIFS(AllData[Site Name], B50, AllData[Nitrate Pollution Category], {"High","Very high"}))/COUNTIFS(AllData[Site Name], B50, AllData[Nitrate (PPM)], "&lt;&gt;0")</f>
        <v>1</v>
      </c>
      <c r="L50" s="27" cm="1">
        <f t="array" ref="L50">SUM(COUNTIFS(AllData[Site Name], B50, AllData[Phosphate Pollution Category], {"High","Very high"}))/COUNTIFS(AllData[Site Name], B50, AllData[Phosphate (PPM)], "&lt;&gt;0")</f>
        <v>1</v>
      </c>
      <c r="M50" s="157">
        <f t="shared" si="2"/>
        <v>28</v>
      </c>
      <c r="N50" s="157">
        <f t="shared" si="3"/>
        <v>40</v>
      </c>
      <c r="O50" s="26">
        <f>COUNTIFS(AllData[Site Name], Tables!$B50, AllData[Season], "Summer", AllData[Year], "2023")</f>
        <v>0</v>
      </c>
      <c r="P50" s="160" t="str">
        <f>IFERROR(AVERAGEIFS(AllData[Nitrate (PPM)], AllData[Site Name], $B50, AllData[Season], "Summer", AllData[Year], "2023"), "")</f>
        <v/>
      </c>
      <c r="Q50" s="27" t="str">
        <f t="shared" si="4"/>
        <v/>
      </c>
      <c r="R50" s="161" t="str">
        <f>IFERROR(AVERAGEIFS(AllData[Phosphate (PPM)], AllData[Site Name], $B50, AllData[Season], "Summer", AllData[Year], "2023"),"")</f>
        <v/>
      </c>
      <c r="S50" s="28" t="str">
        <f t="shared" si="5"/>
        <v/>
      </c>
      <c r="T50" s="26">
        <f>COUNTIFS(AllData[Site Name], Tables!$B50, AllData[Season], "Autumn", AllData[Year], "2023")</f>
        <v>0</v>
      </c>
      <c r="U50" s="160" t="str">
        <f>IFERROR(AVERAGEIFS(AllData[Nitrate (PPM)], AllData[Site Name], $B50, AllData[Season], "Autumn", AllData[Year], "2023"), "")</f>
        <v/>
      </c>
      <c r="V50" s="27" t="str">
        <f t="shared" si="6"/>
        <v/>
      </c>
      <c r="W50" s="161" t="str">
        <f>IFERROR(AVERAGEIFS(AllData[Phosphate (PPM)], AllData[Site Name], $B50, AllData[Season], "Autumn", AllData[Year], "2023"),"")</f>
        <v/>
      </c>
      <c r="X50" s="28" t="str">
        <f t="shared" si="7"/>
        <v/>
      </c>
      <c r="Y50" s="26">
        <f>COUNTIFS(AllData[Site Name], Tables!$B50, AllData[Season], "Winter", AllData[Year], "2023")</f>
        <v>2</v>
      </c>
      <c r="Z50" s="160">
        <f>IFERROR(AVERAGEIFS(AllData[Nitrate (PPM)], AllData[Site Name], $B50, AllData[Season], "Winter", AllData[Year], "2023"), "")</f>
        <v>7.5</v>
      </c>
      <c r="AA50" s="27">
        <f t="shared" si="8"/>
        <v>3.4482758620689655E-2</v>
      </c>
      <c r="AB50" s="161">
        <f>IFERROR(AVERAGEIFS(AllData[Phosphate (PPM)], AllData[Site Name], $B50, AllData[Season], "Winter", AllData[Year], "2023"),"")</f>
        <v>0.60499999999999998</v>
      </c>
      <c r="AC50" s="28">
        <f t="shared" si="9"/>
        <v>5.861767279090109E-2</v>
      </c>
      <c r="AD50" s="26">
        <f>COUNTIFS(AllData[Site Name], Tables!$B50, AllData[Season], "Spring", AllData[Year], "2024")</f>
        <v>5</v>
      </c>
      <c r="AE50" s="160">
        <f>IFERROR(AVERAGEIFS(AllData[Nitrate (PPM)], AllData[Site Name], $B50, AllData[Season], "Spring", AllData[Year], "2024"), "")</f>
        <v>7</v>
      </c>
      <c r="AF50" s="27">
        <f t="shared" si="10"/>
        <v>-3.4482758620689655E-2</v>
      </c>
      <c r="AG50" s="161">
        <f>IFERROR(AVERAGEIFS(AllData[Phosphate (PPM)], AllData[Site Name], $B50, AllData[Season], "Spring", AllData[Year], "2024"),"")</f>
        <v>0.53800000000000003</v>
      </c>
      <c r="AH50" s="28">
        <f t="shared" si="11"/>
        <v>-5.861767279090109E-2</v>
      </c>
      <c r="AI50" s="165">
        <f>COUNTIFS(AllData[Site Name], Tables!$B50, AllData[Season], "Summer", AllData[Year], "2024")</f>
        <v>0</v>
      </c>
      <c r="AJ50" s="160" t="str">
        <f>IFERROR(AVERAGEIFS(AllData[Nitrate (PPM)], AllData[Site Name], $B50, AllData[Season], "Summer", AllData[Year], "2024"), "")</f>
        <v/>
      </c>
      <c r="AK50" s="27" t="str">
        <f t="shared" si="12"/>
        <v/>
      </c>
      <c r="AL50" s="27" t="str">
        <f t="shared" si="13"/>
        <v/>
      </c>
      <c r="AM50" s="161" t="str">
        <f>IFERROR(AVERAGEIFS(AllData[Phosphate (PPM)], AllData[Site Name], $B50, AllData[Season], "Summer", AllData[Year], "2024"),"")</f>
        <v/>
      </c>
      <c r="AN50" s="27" t="str">
        <f t="shared" si="14"/>
        <v/>
      </c>
      <c r="AO50" s="28" t="str">
        <f t="shared" si="15"/>
        <v/>
      </c>
      <c r="AP50" s="157">
        <f>COUNTIFS(AllData[Site Name], Tables!$B50, AllData[Season], "Autumn", AllData[Year], "2024")</f>
        <v>0</v>
      </c>
      <c r="AQ50" s="160" t="str">
        <f>IFERROR(AVERAGEIFS(AllData[Nitrate (PPM)], AllData[Site Name], $B50, AllData[Season], "Autumn", AllData[Year], "2024"), "")</f>
        <v/>
      </c>
      <c r="AR50" s="27" t="str">
        <f t="shared" si="16"/>
        <v/>
      </c>
      <c r="AS50" s="27" t="str">
        <f t="shared" si="42"/>
        <v/>
      </c>
      <c r="AT50" s="161" t="str">
        <f>IFERROR(AVERAGEIFS(AllData[Phosphate (PPM)], AllData[Site Name], B50, AllData[Season], "Autumn", AllData[Year], "2024"), "")</f>
        <v/>
      </c>
      <c r="AU50" s="27" t="str">
        <f t="shared" si="18"/>
        <v/>
      </c>
      <c r="AV50" s="28" t="str">
        <f t="shared" si="43"/>
        <v/>
      </c>
      <c r="AW50" s="165">
        <f>COUNTIFS(AllData[Site Name], Tables!$B50, AllData[Season], "Winter", AllData[Year], "2024")</f>
        <v>0</v>
      </c>
      <c r="AX50" s="160" t="str">
        <f>IFERROR(AVERAGEIFS(AllData[Nitrate (PPM)], AllData[Site Name], $B50, AllData[Season], "Winter", AllData[Year], "2024"), "")</f>
        <v/>
      </c>
      <c r="AY50" s="27" t="str">
        <f t="shared" si="20"/>
        <v/>
      </c>
      <c r="AZ50" s="27" t="str">
        <f t="shared" si="21"/>
        <v/>
      </c>
      <c r="BA50" s="161" t="str">
        <f>IFERROR(AVERAGEIFS(AllData[Phosphate (PPM)], AllData[Site Name], $B50, AllData[Season], "Winter", AllData[Year], "2024"), "")</f>
        <v/>
      </c>
      <c r="BB50" s="27" t="str">
        <f t="shared" si="22"/>
        <v/>
      </c>
      <c r="BC50" s="44" t="str">
        <f t="shared" si="23"/>
        <v/>
      </c>
      <c r="BD50" s="157">
        <f>COUNTIFS(AllData[Site Name], Tables!$B50, AllData[Season], "Spring", AllData[Year], "2025")</f>
        <v>0</v>
      </c>
      <c r="BE50" s="160" t="str">
        <f>IFERROR(AVERAGEIFS(AllData[Nitrate (PPM)], AllData[Site Name], $B50, AllData[Season], "Spring", AllData[Year], "2025"), "")</f>
        <v/>
      </c>
      <c r="BF50" s="27" t="str">
        <f t="shared" si="24"/>
        <v/>
      </c>
      <c r="BG50" s="27" t="str">
        <f t="shared" si="25"/>
        <v/>
      </c>
      <c r="BH50" s="161" t="str">
        <f>IFERROR(AVERAGEIFS(AllData[Phosphate (PPM)], AllData[Site Name], $B50, AllData[Season], "Spring", AllData[Year], "2025"), "")</f>
        <v/>
      </c>
      <c r="BI50" s="27" t="str">
        <f t="shared" si="26"/>
        <v/>
      </c>
      <c r="BJ50" s="27" t="str">
        <f t="shared" si="27"/>
        <v/>
      </c>
      <c r="BK50" s="165">
        <f>COUNTIFS(AllData[Site Name], Tables!$B50, AllData[Season], "Summer", AllData[Year], "2025")</f>
        <v>0</v>
      </c>
      <c r="BL50" s="160" t="str">
        <f>IFERROR(AVERAGEIFS(AllData[Nitrate (PPM)], AllData[Site Name], $B50, AllData[Season], "Summer", AllData[Year], "2025"), "")</f>
        <v/>
      </c>
      <c r="BM50" s="27" t="str">
        <f t="shared" si="28"/>
        <v/>
      </c>
      <c r="BN50" s="27" t="str">
        <f t="shared" si="29"/>
        <v/>
      </c>
      <c r="BO50" s="161" t="str">
        <f>IFERROR(AVERAGEIFS(AllData[Phosphate (PPM)], AllData[Site Name], $B50, AllData[Season], "Summer", AllData[Year], "2025"),"")</f>
        <v/>
      </c>
      <c r="BP50" s="27" t="str">
        <f t="shared" si="30"/>
        <v/>
      </c>
      <c r="BQ50" s="27" t="str">
        <f t="shared" si="31"/>
        <v/>
      </c>
      <c r="BR50" s="165">
        <f>COUNTIFS(AllData[Site Name], Tables!$B50, AllData[Season], "Autumn", AllData[Year], "2025")</f>
        <v>0</v>
      </c>
      <c r="BS50" s="160" t="str">
        <f>IFERROR(AVERAGEIFS(AllData[Nitrate (PPM)], AllData[Site Name], $B50, AllData[Season], "Autumn", AllData[Year], "2025"), "")</f>
        <v/>
      </c>
      <c r="BT50" s="27" t="str">
        <f t="shared" si="32"/>
        <v/>
      </c>
      <c r="BU50" s="27" t="str">
        <f t="shared" si="33"/>
        <v/>
      </c>
      <c r="BV50" s="161" t="str">
        <f>IFERROR(AVERAGEIFS(AllData[Phosphate (PPM)], AllData[Site Name], AD50, AllData[Season], "Autumn", AllData[Year], "2025"), "")</f>
        <v/>
      </c>
      <c r="BW50" s="27" t="str">
        <f t="shared" si="34"/>
        <v/>
      </c>
      <c r="BX50" s="28" t="str">
        <f t="shared" si="35"/>
        <v/>
      </c>
      <c r="BY50" s="165">
        <f>COUNTIFS(AllData[Site Name], Tables!$B50, AllData[Season], "Winter", AllData[Year], "2025")</f>
        <v>0</v>
      </c>
      <c r="BZ50" s="160" t="str">
        <f>IFERROR(AVERAGEIFS(AllData[Nitrate (PPM)], AllData[Site Name], $B50, AllData[Season], "Winter", AllData[Year], "2025"), "")</f>
        <v/>
      </c>
      <c r="CA50" s="27" t="str">
        <f t="shared" si="36"/>
        <v/>
      </c>
      <c r="CB50" s="27" t="str">
        <f t="shared" si="40"/>
        <v/>
      </c>
      <c r="CC50" s="161" t="str">
        <f>IFERROR(AVERAGEIFS(AllData[Phosphate (PPM)], AllData[Site Name], $B50, AllData[Season], "Winter", AllData[Year], "2025"), "")</f>
        <v/>
      </c>
      <c r="CD50" s="27" t="str">
        <f t="shared" si="38"/>
        <v/>
      </c>
      <c r="CE50" s="44" t="str">
        <f t="shared" si="41"/>
        <v/>
      </c>
    </row>
    <row r="51" spans="2:83" x14ac:dyDescent="0.35">
      <c r="B51" s="159" t="s">
        <v>3576</v>
      </c>
      <c r="C51" s="113">
        <f>IFERROR(AVERAGEIF(AllData[Site Name], Tables!B51, AllData[Latitude]), "Unknown")</f>
        <v>52.108220000000003</v>
      </c>
      <c r="D51" s="113">
        <f>IFERROR(AVERAGEIF(AllData[Site Name], Tables!B51, AllData[Longitude]), "Unknown")</f>
        <v>-2.0715195</v>
      </c>
      <c r="E51" s="13" t="e" vm="6">
        <f>_xlfn.XLOOKUP(B51,LocationsKey[Site Name], LocationsKey[District])</f>
        <v>#VALUE!</v>
      </c>
      <c r="F51" s="13" t="e" vm="7">
        <f>_xlfn.XLOOKUP(B51,LocationsKey[Site Name], LocationsKey[Town])</f>
        <v>#VALUE!</v>
      </c>
      <c r="G51" s="25" t="str">
        <f>_xlfn.XLOOKUP(B51,LocationsKey[Site Name],LocationsKey[Waterway])</f>
        <v>Avon</v>
      </c>
      <c r="H51" s="157">
        <f>COUNTIF(AllData[Site Name], Tables!B51)</f>
        <v>2</v>
      </c>
      <c r="I51" s="160">
        <f t="shared" si="0"/>
        <v>7.5</v>
      </c>
      <c r="J51" s="161">
        <f t="shared" si="1"/>
        <v>0.58000000000000007</v>
      </c>
      <c r="K51" s="27" cm="1">
        <f t="array" ref="K51">SUM(COUNTIFS(AllData[Site Name], B51, AllData[Nitrate Pollution Category], {"High","Very high"}))/COUNTIFS(AllData[Site Name], B51, AllData[Nitrate (PPM)], "&lt;&gt;0")</f>
        <v>1</v>
      </c>
      <c r="L51" s="27" cm="1">
        <f t="array" ref="L51">SUM(COUNTIFS(AllData[Site Name], B51, AllData[Phosphate Pollution Category], {"High","Very high"}))/COUNTIFS(AllData[Site Name], B51, AllData[Phosphate (PPM)], "&lt;&gt;0")</f>
        <v>1</v>
      </c>
      <c r="M51" s="157">
        <f t="shared" si="2"/>
        <v>26</v>
      </c>
      <c r="N51" s="157">
        <f t="shared" si="3"/>
        <v>35</v>
      </c>
      <c r="O51" s="26">
        <f>COUNTIFS(AllData[Site Name], Tables!$B51, AllData[Season], "Summer", AllData[Year], "2023")</f>
        <v>0</v>
      </c>
      <c r="P51" s="160" t="str">
        <f>IFERROR(AVERAGEIFS(AllData[Nitrate (PPM)], AllData[Site Name], $B51, AllData[Season], "Summer", AllData[Year], "2023"), "")</f>
        <v/>
      </c>
      <c r="Q51" s="27" t="str">
        <f t="shared" si="4"/>
        <v/>
      </c>
      <c r="R51" s="161" t="str">
        <f>IFERROR(AVERAGEIFS(AllData[Phosphate (PPM)], AllData[Site Name], $B51, AllData[Season], "Summer", AllData[Year], "2023"),"")</f>
        <v/>
      </c>
      <c r="S51" s="28" t="str">
        <f t="shared" si="5"/>
        <v/>
      </c>
      <c r="T51" s="26">
        <f>COUNTIFS(AllData[Site Name], Tables!$B51, AllData[Season], "Autumn", AllData[Year], "2023")</f>
        <v>0</v>
      </c>
      <c r="U51" s="160" t="str">
        <f>IFERROR(AVERAGEIFS(AllData[Nitrate (PPM)], AllData[Site Name], $B51, AllData[Season], "Autumn", AllData[Year], "2023"), "")</f>
        <v/>
      </c>
      <c r="V51" s="27" t="str">
        <f t="shared" si="6"/>
        <v/>
      </c>
      <c r="W51" s="161" t="str">
        <f>IFERROR(AVERAGEIFS(AllData[Phosphate (PPM)], AllData[Site Name], $B51, AllData[Season], "Autumn", AllData[Year], "2023"),"")</f>
        <v/>
      </c>
      <c r="X51" s="28" t="str">
        <f t="shared" si="7"/>
        <v/>
      </c>
      <c r="Y51" s="26">
        <f>COUNTIFS(AllData[Site Name], Tables!$B51, AllData[Season], "Winter", AllData[Year], "2023")</f>
        <v>2</v>
      </c>
      <c r="Z51" s="160">
        <f>IFERROR(AVERAGEIFS(AllData[Nitrate (PPM)], AllData[Site Name], $B51, AllData[Season], "Winter", AllData[Year], "2023"), "")</f>
        <v>7.5</v>
      </c>
      <c r="AA51" s="27">
        <f t="shared" si="8"/>
        <v>0</v>
      </c>
      <c r="AB51" s="161">
        <f>IFERROR(AVERAGEIFS(AllData[Phosphate (PPM)], AllData[Site Name], $B51, AllData[Season], "Winter", AllData[Year], "2023"),"")</f>
        <v>0.58000000000000007</v>
      </c>
      <c r="AC51" s="28">
        <f t="shared" si="9"/>
        <v>0</v>
      </c>
      <c r="AD51" s="26">
        <f>COUNTIFS(AllData[Site Name], Tables!$B51, AllData[Season], "Spring", AllData[Year], "2024")</f>
        <v>0</v>
      </c>
      <c r="AE51" s="160" t="str">
        <f>IFERROR(AVERAGEIFS(AllData[Nitrate (PPM)], AllData[Site Name], $B51, AllData[Season], "Spring", AllData[Year], "2024"), "")</f>
        <v/>
      </c>
      <c r="AF51" s="27" t="str">
        <f t="shared" si="10"/>
        <v/>
      </c>
      <c r="AG51" s="161" t="str">
        <f>IFERROR(AVERAGEIFS(AllData[Phosphate (PPM)], AllData[Site Name], $B51, AllData[Season], "Spring", AllData[Year], "2024"),"")</f>
        <v/>
      </c>
      <c r="AH51" s="28" t="str">
        <f t="shared" si="11"/>
        <v/>
      </c>
      <c r="AI51" s="165">
        <f>COUNTIFS(AllData[Site Name], Tables!$B51, AllData[Season], "Summer", AllData[Year], "2024")</f>
        <v>0</v>
      </c>
      <c r="AJ51" s="160" t="str">
        <f>IFERROR(AVERAGEIFS(AllData[Nitrate (PPM)], AllData[Site Name], $B51, AllData[Season], "Summer", AllData[Year], "2024"), "")</f>
        <v/>
      </c>
      <c r="AK51" s="27" t="str">
        <f t="shared" si="12"/>
        <v/>
      </c>
      <c r="AL51" s="27" t="str">
        <f t="shared" si="13"/>
        <v/>
      </c>
      <c r="AM51" s="161" t="str">
        <f>IFERROR(AVERAGEIFS(AllData[Phosphate (PPM)], AllData[Site Name], $B51, AllData[Season], "Summer", AllData[Year], "2024"),"")</f>
        <v/>
      </c>
      <c r="AN51" s="27" t="str">
        <f t="shared" si="14"/>
        <v/>
      </c>
      <c r="AO51" s="28" t="str">
        <f t="shared" si="15"/>
        <v/>
      </c>
      <c r="AP51" s="157">
        <f>COUNTIFS(AllData[Site Name], Tables!$B51, AllData[Season], "Autumn", AllData[Year], "2024")</f>
        <v>0</v>
      </c>
      <c r="AQ51" s="160" t="str">
        <f>IFERROR(AVERAGEIFS(AllData[Nitrate (PPM)], AllData[Site Name], $B51, AllData[Season], "Autumn", AllData[Year], "2024"), "")</f>
        <v/>
      </c>
      <c r="AR51" s="27" t="str">
        <f t="shared" si="16"/>
        <v/>
      </c>
      <c r="AS51" s="27" t="str">
        <f t="shared" si="42"/>
        <v/>
      </c>
      <c r="AT51" s="161" t="str">
        <f>IFERROR(AVERAGEIFS(AllData[Phosphate (PPM)], AllData[Site Name], B51, AllData[Season], "Autumn", AllData[Year], "2024"), "")</f>
        <v/>
      </c>
      <c r="AU51" s="27" t="str">
        <f t="shared" si="18"/>
        <v/>
      </c>
      <c r="AV51" s="28" t="str">
        <f t="shared" si="43"/>
        <v/>
      </c>
      <c r="AW51" s="165">
        <f>COUNTIFS(AllData[Site Name], Tables!$B51, AllData[Season], "Winter", AllData[Year], "2024")</f>
        <v>0</v>
      </c>
      <c r="AX51" s="160" t="str">
        <f>IFERROR(AVERAGEIFS(AllData[Nitrate (PPM)], AllData[Site Name], $B51, AllData[Season], "Winter", AllData[Year], "2024"), "")</f>
        <v/>
      </c>
      <c r="AY51" s="27" t="str">
        <f t="shared" si="20"/>
        <v/>
      </c>
      <c r="AZ51" s="27" t="str">
        <f t="shared" si="21"/>
        <v/>
      </c>
      <c r="BA51" s="161" t="str">
        <f>IFERROR(AVERAGEIFS(AllData[Phosphate (PPM)], AllData[Site Name], $B51, AllData[Season], "Winter", AllData[Year], "2024"), "")</f>
        <v/>
      </c>
      <c r="BB51" s="27" t="str">
        <f t="shared" si="22"/>
        <v/>
      </c>
      <c r="BC51" s="44" t="str">
        <f t="shared" si="23"/>
        <v/>
      </c>
      <c r="BD51" s="157">
        <f>COUNTIFS(AllData[Site Name], Tables!$B51, AllData[Season], "Spring", AllData[Year], "2025")</f>
        <v>0</v>
      </c>
      <c r="BE51" s="160" t="str">
        <f>IFERROR(AVERAGEIFS(AllData[Nitrate (PPM)], AllData[Site Name], $B51, AllData[Season], "Spring", AllData[Year], "2025"), "")</f>
        <v/>
      </c>
      <c r="BF51" s="27" t="str">
        <f t="shared" si="24"/>
        <v/>
      </c>
      <c r="BG51" s="27" t="str">
        <f t="shared" si="25"/>
        <v/>
      </c>
      <c r="BH51" s="161" t="str">
        <f>IFERROR(AVERAGEIFS(AllData[Phosphate (PPM)], AllData[Site Name], $B51, AllData[Season], "Spring", AllData[Year], "2025"), "")</f>
        <v/>
      </c>
      <c r="BI51" s="27" t="str">
        <f t="shared" si="26"/>
        <v/>
      </c>
      <c r="BJ51" s="27" t="str">
        <f t="shared" si="27"/>
        <v/>
      </c>
      <c r="BK51" s="165">
        <f>COUNTIFS(AllData[Site Name], Tables!$B51, AllData[Season], "Summer", AllData[Year], "2025")</f>
        <v>0</v>
      </c>
      <c r="BL51" s="160" t="str">
        <f>IFERROR(AVERAGEIFS(AllData[Nitrate (PPM)], AllData[Site Name], $B51, AllData[Season], "Summer", AllData[Year], "2025"), "")</f>
        <v/>
      </c>
      <c r="BM51" s="27" t="str">
        <f t="shared" si="28"/>
        <v/>
      </c>
      <c r="BN51" s="27" t="str">
        <f t="shared" si="29"/>
        <v/>
      </c>
      <c r="BO51" s="161" t="str">
        <f>IFERROR(AVERAGEIFS(AllData[Phosphate (PPM)], AllData[Site Name], $B51, AllData[Season], "Summer", AllData[Year], "2025"),"")</f>
        <v/>
      </c>
      <c r="BP51" s="27" t="str">
        <f t="shared" si="30"/>
        <v/>
      </c>
      <c r="BQ51" s="27" t="str">
        <f t="shared" si="31"/>
        <v/>
      </c>
      <c r="BR51" s="165">
        <f>COUNTIFS(AllData[Site Name], Tables!$B51, AllData[Season], "Autumn", AllData[Year], "2025")</f>
        <v>0</v>
      </c>
      <c r="BS51" s="160" t="str">
        <f>IFERROR(AVERAGEIFS(AllData[Nitrate (PPM)], AllData[Site Name], $B51, AllData[Season], "Autumn", AllData[Year], "2025"), "")</f>
        <v/>
      </c>
      <c r="BT51" s="27" t="str">
        <f t="shared" si="32"/>
        <v/>
      </c>
      <c r="BU51" s="27" t="str">
        <f t="shared" si="33"/>
        <v/>
      </c>
      <c r="BV51" s="161" t="str">
        <f>IFERROR(AVERAGEIFS(AllData[Phosphate (PPM)], AllData[Site Name], AD51, AllData[Season], "Autumn", AllData[Year], "2025"), "")</f>
        <v/>
      </c>
      <c r="BW51" s="27" t="str">
        <f t="shared" si="34"/>
        <v/>
      </c>
      <c r="BX51" s="28" t="str">
        <f t="shared" si="35"/>
        <v/>
      </c>
      <c r="BY51" s="165">
        <f>COUNTIFS(AllData[Site Name], Tables!$B51, AllData[Season], "Winter", AllData[Year], "2025")</f>
        <v>0</v>
      </c>
      <c r="BZ51" s="160" t="str">
        <f>IFERROR(AVERAGEIFS(AllData[Nitrate (PPM)], AllData[Site Name], $B51, AllData[Season], "Winter", AllData[Year], "2025"), "")</f>
        <v/>
      </c>
      <c r="CA51" s="27" t="str">
        <f t="shared" si="36"/>
        <v/>
      </c>
      <c r="CB51" s="27" t="str">
        <f t="shared" si="40"/>
        <v/>
      </c>
      <c r="CC51" s="161" t="str">
        <f>IFERROR(AVERAGEIFS(AllData[Phosphate (PPM)], AllData[Site Name], $B51, AllData[Season], "Winter", AllData[Year], "2025"), "")</f>
        <v/>
      </c>
      <c r="CD51" s="27" t="str">
        <f t="shared" si="38"/>
        <v/>
      </c>
      <c r="CE51" s="44" t="str">
        <f t="shared" si="41"/>
        <v/>
      </c>
    </row>
    <row r="52" spans="2:83" x14ac:dyDescent="0.35">
      <c r="B52" s="159" t="s">
        <v>1680</v>
      </c>
      <c r="C52" s="113">
        <f>IFERROR(AVERAGEIF(AllData[Site Name], Tables!B52, AllData[Latitude]), "Unknown")</f>
        <v>52.148406999999999</v>
      </c>
      <c r="D52" s="113">
        <f>IFERROR(AVERAGEIF(AllData[Site Name], Tables!B52, AllData[Longitude]), "Unknown")</f>
        <v>-2.055247</v>
      </c>
      <c r="E52" s="13" t="e" vm="6">
        <f>_xlfn.XLOOKUP(B52,LocationsKey[Site Name], LocationsKey[District])</f>
        <v>#VALUE!</v>
      </c>
      <c r="F52" s="13" t="str">
        <f>_xlfn.XLOOKUP(B52,LocationsKey[Site Name], LocationsKey[Town])</f>
        <v>Tilesford</v>
      </c>
      <c r="G52" s="25" t="str">
        <f>_xlfn.XLOOKUP(B52,LocationsKey[Site Name],LocationsKey[Waterway])</f>
        <v>Piddle Brook</v>
      </c>
      <c r="H52" s="157">
        <f>COUNTIF(AllData[Site Name], Tables!B52)</f>
        <v>1</v>
      </c>
      <c r="I52" s="160">
        <f t="shared" si="0"/>
        <v>8</v>
      </c>
      <c r="J52" s="161">
        <f t="shared" si="1"/>
        <v>1.32</v>
      </c>
      <c r="K52" s="27" cm="1">
        <f t="array" ref="K52">SUM(COUNTIFS(AllData[Site Name], B52, AllData[Nitrate Pollution Category], {"High","Very high"}))/COUNTIFS(AllData[Site Name], B52, AllData[Nitrate (PPM)], "&lt;&gt;0")</f>
        <v>1</v>
      </c>
      <c r="L52" s="27" cm="1">
        <f t="array" ref="L52">SUM(COUNTIFS(AllData[Site Name], B52, AllData[Phosphate Pollution Category], {"High","Very high"}))/COUNTIFS(AllData[Site Name], B52, AllData[Phosphate (PPM)], "&lt;&gt;0")</f>
        <v>1</v>
      </c>
      <c r="M52" s="157">
        <f t="shared" si="2"/>
        <v>16</v>
      </c>
      <c r="N52" s="157">
        <f t="shared" si="3"/>
        <v>12</v>
      </c>
      <c r="O52" s="26">
        <f>COUNTIFS(AllData[Site Name], Tables!$B52, AllData[Season], "Summer", AllData[Year], "2023")</f>
        <v>0</v>
      </c>
      <c r="P52" s="160" t="str">
        <f>IFERROR(AVERAGEIFS(AllData[Nitrate (PPM)], AllData[Site Name], $B52, AllData[Season], "Summer", AllData[Year], "2023"), "")</f>
        <v/>
      </c>
      <c r="Q52" s="27" t="str">
        <f t="shared" si="4"/>
        <v/>
      </c>
      <c r="R52" s="161" t="str">
        <f>IFERROR(AVERAGEIFS(AllData[Phosphate (PPM)], AllData[Site Name], $B52, AllData[Season], "Summer", AllData[Year], "2023"),"")</f>
        <v/>
      </c>
      <c r="S52" s="28" t="str">
        <f t="shared" si="5"/>
        <v/>
      </c>
      <c r="T52" s="26">
        <f>COUNTIFS(AllData[Site Name], Tables!$B52, AllData[Season], "Autumn", AllData[Year], "2023")</f>
        <v>0</v>
      </c>
      <c r="U52" s="160" t="str">
        <f>IFERROR(AVERAGEIFS(AllData[Nitrate (PPM)], AllData[Site Name], $B52, AllData[Season], "Autumn", AllData[Year], "2023"), "")</f>
        <v/>
      </c>
      <c r="V52" s="27" t="str">
        <f t="shared" si="6"/>
        <v/>
      </c>
      <c r="W52" s="161" t="str">
        <f>IFERROR(AVERAGEIFS(AllData[Phosphate (PPM)], AllData[Site Name], $B52, AllData[Season], "Autumn", AllData[Year], "2023"),"")</f>
        <v/>
      </c>
      <c r="X52" s="28" t="str">
        <f t="shared" si="7"/>
        <v/>
      </c>
      <c r="Y52" s="26">
        <f>COUNTIFS(AllData[Site Name], Tables!$B52, AllData[Season], "Winter", AllData[Year], "2023")</f>
        <v>0</v>
      </c>
      <c r="Z52" s="160" t="str">
        <f>IFERROR(AVERAGEIFS(AllData[Nitrate (PPM)], AllData[Site Name], $B52, AllData[Season], "Winter", AllData[Year], "2023"), "")</f>
        <v/>
      </c>
      <c r="AA52" s="27" t="str">
        <f t="shared" si="8"/>
        <v/>
      </c>
      <c r="AB52" s="161" t="str">
        <f>IFERROR(AVERAGEIFS(AllData[Phosphate (PPM)], AllData[Site Name], $B52, AllData[Season], "Winter", AllData[Year], "2023"),"")</f>
        <v/>
      </c>
      <c r="AC52" s="28" t="str">
        <f t="shared" si="9"/>
        <v/>
      </c>
      <c r="AD52" s="26">
        <f>COUNTIFS(AllData[Site Name], Tables!$B52, AllData[Season], "Spring", AllData[Year], "2024")</f>
        <v>0</v>
      </c>
      <c r="AE52" s="160" t="str">
        <f>IFERROR(AVERAGEIFS(AllData[Nitrate (PPM)], AllData[Site Name], $B52, AllData[Season], "Spring", AllData[Year], "2024"), "")</f>
        <v/>
      </c>
      <c r="AF52" s="27" t="str">
        <f t="shared" si="10"/>
        <v/>
      </c>
      <c r="AG52" s="161" t="str">
        <f>IFERROR(AVERAGEIFS(AllData[Phosphate (PPM)], AllData[Site Name], $B52, AllData[Season], "Spring", AllData[Year], "2024"),"")</f>
        <v/>
      </c>
      <c r="AH52" s="28" t="str">
        <f t="shared" si="11"/>
        <v/>
      </c>
      <c r="AI52" s="165">
        <f>COUNTIFS(AllData[Site Name], Tables!$B52, AllData[Season], "Summer", AllData[Year], "2024")</f>
        <v>1</v>
      </c>
      <c r="AJ52" s="160">
        <f>IFERROR(AVERAGEIFS(AllData[Nitrate (PPM)], AllData[Site Name], $B52, AllData[Season], "Summer", AllData[Year], "2024"), "")</f>
        <v>8</v>
      </c>
      <c r="AK52" s="27">
        <f t="shared" si="12"/>
        <v>0</v>
      </c>
      <c r="AL52" s="27" t="str">
        <f t="shared" si="13"/>
        <v/>
      </c>
      <c r="AM52" s="161">
        <f>IFERROR(AVERAGEIFS(AllData[Phosphate (PPM)], AllData[Site Name], $B52, AllData[Season], "Summer", AllData[Year], "2024"),"")</f>
        <v>1.32</v>
      </c>
      <c r="AN52" s="27">
        <f t="shared" si="14"/>
        <v>0</v>
      </c>
      <c r="AO52" s="28" t="str">
        <f t="shared" si="15"/>
        <v/>
      </c>
      <c r="AP52" s="157">
        <f>COUNTIFS(AllData[Site Name], Tables!$B52, AllData[Season], "Autumn", AllData[Year], "2024")</f>
        <v>0</v>
      </c>
      <c r="AQ52" s="160" t="str">
        <f>IFERROR(AVERAGEIFS(AllData[Nitrate (PPM)], AllData[Site Name], $B52, AllData[Season], "Autumn", AllData[Year], "2024"), "")</f>
        <v/>
      </c>
      <c r="AR52" s="27" t="str">
        <f t="shared" si="16"/>
        <v/>
      </c>
      <c r="AS52" s="27" t="str">
        <f t="shared" si="42"/>
        <v/>
      </c>
      <c r="AT52" s="161" t="str">
        <f>IFERROR(AVERAGEIFS(AllData[Phosphate (PPM)], AllData[Site Name], B52, AllData[Season], "Autumn", AllData[Year], "2024"), "")</f>
        <v/>
      </c>
      <c r="AU52" s="27" t="str">
        <f t="shared" si="18"/>
        <v/>
      </c>
      <c r="AV52" s="28" t="str">
        <f t="shared" si="43"/>
        <v/>
      </c>
      <c r="AW52" s="165">
        <f>COUNTIFS(AllData[Site Name], Tables!$B52, AllData[Season], "Winter", AllData[Year], "2024")</f>
        <v>0</v>
      </c>
      <c r="AX52" s="160" t="str">
        <f>IFERROR(AVERAGEIFS(AllData[Nitrate (PPM)], AllData[Site Name], $B52, AllData[Season], "Winter", AllData[Year], "2024"), "")</f>
        <v/>
      </c>
      <c r="AY52" s="27" t="str">
        <f t="shared" si="20"/>
        <v/>
      </c>
      <c r="AZ52" s="27" t="str">
        <f t="shared" si="21"/>
        <v/>
      </c>
      <c r="BA52" s="161" t="str">
        <f>IFERROR(AVERAGEIFS(AllData[Phosphate (PPM)], AllData[Site Name], $B52, AllData[Season], "Winter", AllData[Year], "2024"), "")</f>
        <v/>
      </c>
      <c r="BB52" s="27" t="str">
        <f t="shared" si="22"/>
        <v/>
      </c>
      <c r="BC52" s="44" t="str">
        <f t="shared" si="23"/>
        <v/>
      </c>
      <c r="BD52" s="157">
        <f>COUNTIFS(AllData[Site Name], Tables!$B52, AllData[Season], "Spring", AllData[Year], "2025")</f>
        <v>0</v>
      </c>
      <c r="BE52" s="160" t="str">
        <f>IFERROR(AVERAGEIFS(AllData[Nitrate (PPM)], AllData[Site Name], $B52, AllData[Season], "Spring", AllData[Year], "2025"), "")</f>
        <v/>
      </c>
      <c r="BF52" s="27" t="str">
        <f t="shared" si="24"/>
        <v/>
      </c>
      <c r="BG52" s="27" t="str">
        <f t="shared" si="25"/>
        <v/>
      </c>
      <c r="BH52" s="161" t="str">
        <f>IFERROR(AVERAGEIFS(AllData[Phosphate (PPM)], AllData[Site Name], $B52, AllData[Season], "Spring", AllData[Year], "2025"), "")</f>
        <v/>
      </c>
      <c r="BI52" s="27" t="str">
        <f t="shared" si="26"/>
        <v/>
      </c>
      <c r="BJ52" s="27" t="str">
        <f t="shared" si="27"/>
        <v/>
      </c>
      <c r="BK52" s="165">
        <f>COUNTIFS(AllData[Site Name], Tables!$B52, AllData[Season], "Summer", AllData[Year], "2025")</f>
        <v>0</v>
      </c>
      <c r="BL52" s="160" t="str">
        <f>IFERROR(AVERAGEIFS(AllData[Nitrate (PPM)], AllData[Site Name], $B52, AllData[Season], "Summer", AllData[Year], "2025"), "")</f>
        <v/>
      </c>
      <c r="BM52" s="27" t="str">
        <f t="shared" si="28"/>
        <v/>
      </c>
      <c r="BN52" s="27" t="str">
        <f t="shared" si="29"/>
        <v/>
      </c>
      <c r="BO52" s="161" t="str">
        <f>IFERROR(AVERAGEIFS(AllData[Phosphate (PPM)], AllData[Site Name], $B52, AllData[Season], "Summer", AllData[Year], "2025"),"")</f>
        <v/>
      </c>
      <c r="BP52" s="27" t="str">
        <f t="shared" si="30"/>
        <v/>
      </c>
      <c r="BQ52" s="27" t="str">
        <f t="shared" si="31"/>
        <v/>
      </c>
      <c r="BR52" s="165">
        <f>COUNTIFS(AllData[Site Name], Tables!$B52, AllData[Season], "Autumn", AllData[Year], "2025")</f>
        <v>0</v>
      </c>
      <c r="BS52" s="160" t="str">
        <f>IFERROR(AVERAGEIFS(AllData[Nitrate (PPM)], AllData[Site Name], $B52, AllData[Season], "Autumn", AllData[Year], "2025"), "")</f>
        <v/>
      </c>
      <c r="BT52" s="27" t="str">
        <f t="shared" si="32"/>
        <v/>
      </c>
      <c r="BU52" s="27" t="str">
        <f t="shared" si="33"/>
        <v/>
      </c>
      <c r="BV52" s="161" t="str">
        <f>IFERROR(AVERAGEIFS(AllData[Phosphate (PPM)], AllData[Site Name], AD52, AllData[Season], "Autumn", AllData[Year], "2025"), "")</f>
        <v/>
      </c>
      <c r="BW52" s="27" t="str">
        <f t="shared" si="34"/>
        <v/>
      </c>
      <c r="BX52" s="28" t="str">
        <f t="shared" si="35"/>
        <v/>
      </c>
      <c r="BY52" s="165">
        <f>COUNTIFS(AllData[Site Name], Tables!$B52, AllData[Season], "Winter", AllData[Year], "2025")</f>
        <v>0</v>
      </c>
      <c r="BZ52" s="160" t="str">
        <f>IFERROR(AVERAGEIFS(AllData[Nitrate (PPM)], AllData[Site Name], $B52, AllData[Season], "Winter", AllData[Year], "2025"), "")</f>
        <v/>
      </c>
      <c r="CA52" s="27" t="str">
        <f t="shared" si="36"/>
        <v/>
      </c>
      <c r="CB52" s="27" t="str">
        <f t="shared" si="40"/>
        <v/>
      </c>
      <c r="CC52" s="161" t="str">
        <f>IFERROR(AVERAGEIFS(AllData[Phosphate (PPM)], AllData[Site Name], $B52, AllData[Season], "Winter", AllData[Year], "2025"), "")</f>
        <v/>
      </c>
      <c r="CD52" s="27" t="str">
        <f t="shared" si="38"/>
        <v/>
      </c>
      <c r="CE52" s="44" t="str">
        <f t="shared" si="41"/>
        <v/>
      </c>
    </row>
    <row r="53" spans="2:83" x14ac:dyDescent="0.35">
      <c r="B53" s="159" t="s">
        <v>1686</v>
      </c>
      <c r="C53" s="113">
        <f>IFERROR(AVERAGEIF(AllData[Site Name], Tables!B53, AllData[Latitude]), "Unknown")</f>
        <v>52.196624999999997</v>
      </c>
      <c r="D53" s="113">
        <f>IFERROR(AVERAGEIF(AllData[Site Name], Tables!B53, AllData[Longitude]), "Unknown")</f>
        <v>-1.9924109999999999</v>
      </c>
      <c r="E53" s="13" t="e" vm="6">
        <f>_xlfn.XLOOKUP(B53,LocationsKey[Site Name], LocationsKey[District])</f>
        <v>#VALUE!</v>
      </c>
      <c r="F53" s="13" t="str">
        <f>_xlfn.XLOOKUP(B53,LocationsKey[Site Name], LocationsKey[Town])</f>
        <v>Radford</v>
      </c>
      <c r="G53" s="25" t="str">
        <f>_xlfn.XLOOKUP(B53,LocationsKey[Site Name],LocationsKey[Waterway])</f>
        <v>Piddle Brook</v>
      </c>
      <c r="H53" s="157">
        <f>COUNTIF(AllData[Site Name], Tables!B53)</f>
        <v>1</v>
      </c>
      <c r="I53" s="160">
        <f t="shared" si="0"/>
        <v>10</v>
      </c>
      <c r="J53" s="161">
        <f t="shared" si="1"/>
        <v>1.04</v>
      </c>
      <c r="K53" s="27" cm="1">
        <f t="array" ref="K53">SUM(COUNTIFS(AllData[Site Name], B53, AllData[Nitrate Pollution Category], {"High","Very high"}))/COUNTIFS(AllData[Site Name], B53, AllData[Nitrate (PPM)], "&lt;&gt;0")</f>
        <v>1</v>
      </c>
      <c r="L53" s="27" cm="1">
        <f t="array" ref="L53">SUM(COUNTIFS(AllData[Site Name], B53, AllData[Phosphate Pollution Category], {"High","Very high"}))/COUNTIFS(AllData[Site Name], B53, AllData[Phosphate (PPM)], "&lt;&gt;0")</f>
        <v>1</v>
      </c>
      <c r="M53" s="157">
        <f t="shared" si="2"/>
        <v>6</v>
      </c>
      <c r="N53" s="157">
        <f t="shared" si="3"/>
        <v>14</v>
      </c>
      <c r="O53" s="26">
        <f>COUNTIFS(AllData[Site Name], Tables!$B53, AllData[Season], "Summer", AllData[Year], "2023")</f>
        <v>0</v>
      </c>
      <c r="P53" s="160" t="str">
        <f>IFERROR(AVERAGEIFS(AllData[Nitrate (PPM)], AllData[Site Name], $B53, AllData[Season], "Summer", AllData[Year], "2023"), "")</f>
        <v/>
      </c>
      <c r="Q53" s="27" t="str">
        <f t="shared" si="4"/>
        <v/>
      </c>
      <c r="R53" s="161" t="str">
        <f>IFERROR(AVERAGEIFS(AllData[Phosphate (PPM)], AllData[Site Name], $B53, AllData[Season], "Summer", AllData[Year], "2023"),"")</f>
        <v/>
      </c>
      <c r="S53" s="28" t="str">
        <f t="shared" si="5"/>
        <v/>
      </c>
      <c r="T53" s="26">
        <f>COUNTIFS(AllData[Site Name], Tables!$B53, AllData[Season], "Autumn", AllData[Year], "2023")</f>
        <v>0</v>
      </c>
      <c r="U53" s="160" t="str">
        <f>IFERROR(AVERAGEIFS(AllData[Nitrate (PPM)], AllData[Site Name], $B53, AllData[Season], "Autumn", AllData[Year], "2023"), "")</f>
        <v/>
      </c>
      <c r="V53" s="27" t="str">
        <f t="shared" si="6"/>
        <v/>
      </c>
      <c r="W53" s="161" t="str">
        <f>IFERROR(AVERAGEIFS(AllData[Phosphate (PPM)], AllData[Site Name], $B53, AllData[Season], "Autumn", AllData[Year], "2023"),"")</f>
        <v/>
      </c>
      <c r="X53" s="28" t="str">
        <f t="shared" si="7"/>
        <v/>
      </c>
      <c r="Y53" s="26">
        <f>COUNTIFS(AllData[Site Name], Tables!$B53, AllData[Season], "Winter", AllData[Year], "2023")</f>
        <v>0</v>
      </c>
      <c r="Z53" s="160" t="str">
        <f>IFERROR(AVERAGEIFS(AllData[Nitrate (PPM)], AllData[Site Name], $B53, AllData[Season], "Winter", AllData[Year], "2023"), "")</f>
        <v/>
      </c>
      <c r="AA53" s="27" t="str">
        <f t="shared" si="8"/>
        <v/>
      </c>
      <c r="AB53" s="161" t="str">
        <f>IFERROR(AVERAGEIFS(AllData[Phosphate (PPM)], AllData[Site Name], $B53, AllData[Season], "Winter", AllData[Year], "2023"),"")</f>
        <v/>
      </c>
      <c r="AC53" s="28" t="str">
        <f t="shared" si="9"/>
        <v/>
      </c>
      <c r="AD53" s="26">
        <f>COUNTIFS(AllData[Site Name], Tables!$B53, AllData[Season], "Spring", AllData[Year], "2024")</f>
        <v>0</v>
      </c>
      <c r="AE53" s="160" t="str">
        <f>IFERROR(AVERAGEIFS(AllData[Nitrate (PPM)], AllData[Site Name], $B53, AllData[Season], "Spring", AllData[Year], "2024"), "")</f>
        <v/>
      </c>
      <c r="AF53" s="27" t="str">
        <f t="shared" si="10"/>
        <v/>
      </c>
      <c r="AG53" s="161" t="str">
        <f>IFERROR(AVERAGEIFS(AllData[Phosphate (PPM)], AllData[Site Name], $B53, AllData[Season], "Spring", AllData[Year], "2024"),"")</f>
        <v/>
      </c>
      <c r="AH53" s="28" t="str">
        <f t="shared" si="11"/>
        <v/>
      </c>
      <c r="AI53" s="165">
        <f>COUNTIFS(AllData[Site Name], Tables!$B53, AllData[Season], "Summer", AllData[Year], "2024")</f>
        <v>1</v>
      </c>
      <c r="AJ53" s="160">
        <f>IFERROR(AVERAGEIFS(AllData[Nitrate (PPM)], AllData[Site Name], $B53, AllData[Season], "Summer", AllData[Year], "2024"), "")</f>
        <v>10</v>
      </c>
      <c r="AK53" s="27">
        <f t="shared" si="12"/>
        <v>0</v>
      </c>
      <c r="AL53" s="27" t="str">
        <f t="shared" si="13"/>
        <v/>
      </c>
      <c r="AM53" s="161">
        <f>IFERROR(AVERAGEIFS(AllData[Phosphate (PPM)], AllData[Site Name], $B53, AllData[Season], "Summer", AllData[Year], "2024"),"")</f>
        <v>1.04</v>
      </c>
      <c r="AN53" s="27">
        <f t="shared" si="14"/>
        <v>0</v>
      </c>
      <c r="AO53" s="28" t="str">
        <f t="shared" si="15"/>
        <v/>
      </c>
      <c r="AP53" s="157">
        <f>COUNTIFS(AllData[Site Name], Tables!$B53, AllData[Season], "Autumn", AllData[Year], "2024")</f>
        <v>0</v>
      </c>
      <c r="AQ53" s="160" t="str">
        <f>IFERROR(AVERAGEIFS(AllData[Nitrate (PPM)], AllData[Site Name], $B53, AllData[Season], "Autumn", AllData[Year], "2024"), "")</f>
        <v/>
      </c>
      <c r="AR53" s="27" t="str">
        <f t="shared" si="16"/>
        <v/>
      </c>
      <c r="AS53" s="27" t="str">
        <f t="shared" si="42"/>
        <v/>
      </c>
      <c r="AT53" s="161" t="str">
        <f>IFERROR(AVERAGEIFS(AllData[Phosphate (PPM)], AllData[Site Name], B53, AllData[Season], "Autumn", AllData[Year], "2024"), "")</f>
        <v/>
      </c>
      <c r="AU53" s="27" t="str">
        <f t="shared" si="18"/>
        <v/>
      </c>
      <c r="AV53" s="28" t="str">
        <f t="shared" si="43"/>
        <v/>
      </c>
      <c r="AW53" s="165">
        <f>COUNTIFS(AllData[Site Name], Tables!$B53, AllData[Season], "Winter", AllData[Year], "2024")</f>
        <v>0</v>
      </c>
      <c r="AX53" s="160" t="str">
        <f>IFERROR(AVERAGEIFS(AllData[Nitrate (PPM)], AllData[Site Name], $B53, AllData[Season], "Winter", AllData[Year], "2024"), "")</f>
        <v/>
      </c>
      <c r="AY53" s="27" t="str">
        <f t="shared" si="20"/>
        <v/>
      </c>
      <c r="AZ53" s="27" t="str">
        <f t="shared" si="21"/>
        <v/>
      </c>
      <c r="BA53" s="161" t="str">
        <f>IFERROR(AVERAGEIFS(AllData[Phosphate (PPM)], AllData[Site Name], $B53, AllData[Season], "Winter", AllData[Year], "2024"), "")</f>
        <v/>
      </c>
      <c r="BB53" s="27" t="str">
        <f t="shared" si="22"/>
        <v/>
      </c>
      <c r="BC53" s="44" t="str">
        <f t="shared" si="23"/>
        <v/>
      </c>
      <c r="BD53" s="157">
        <f>COUNTIFS(AllData[Site Name], Tables!$B53, AllData[Season], "Spring", AllData[Year], "2025")</f>
        <v>0</v>
      </c>
      <c r="BE53" s="160" t="str">
        <f>IFERROR(AVERAGEIFS(AllData[Nitrate (PPM)], AllData[Site Name], $B53, AllData[Season], "Spring", AllData[Year], "2025"), "")</f>
        <v/>
      </c>
      <c r="BF53" s="27" t="str">
        <f t="shared" si="24"/>
        <v/>
      </c>
      <c r="BG53" s="27" t="str">
        <f t="shared" si="25"/>
        <v/>
      </c>
      <c r="BH53" s="161" t="str">
        <f>IFERROR(AVERAGEIFS(AllData[Phosphate (PPM)], AllData[Site Name], $B53, AllData[Season], "Spring", AllData[Year], "2025"), "")</f>
        <v/>
      </c>
      <c r="BI53" s="27" t="str">
        <f t="shared" si="26"/>
        <v/>
      </c>
      <c r="BJ53" s="27" t="str">
        <f t="shared" si="27"/>
        <v/>
      </c>
      <c r="BK53" s="165">
        <f>COUNTIFS(AllData[Site Name], Tables!$B53, AllData[Season], "Summer", AllData[Year], "2025")</f>
        <v>0</v>
      </c>
      <c r="BL53" s="160" t="str">
        <f>IFERROR(AVERAGEIFS(AllData[Nitrate (PPM)], AllData[Site Name], $B53, AllData[Season], "Summer", AllData[Year], "2025"), "")</f>
        <v/>
      </c>
      <c r="BM53" s="27" t="str">
        <f t="shared" si="28"/>
        <v/>
      </c>
      <c r="BN53" s="27" t="str">
        <f t="shared" si="29"/>
        <v/>
      </c>
      <c r="BO53" s="161" t="str">
        <f>IFERROR(AVERAGEIFS(AllData[Phosphate (PPM)], AllData[Site Name], $B53, AllData[Season], "Summer", AllData[Year], "2025"),"")</f>
        <v/>
      </c>
      <c r="BP53" s="27" t="str">
        <f t="shared" si="30"/>
        <v/>
      </c>
      <c r="BQ53" s="27" t="str">
        <f t="shared" si="31"/>
        <v/>
      </c>
      <c r="BR53" s="165">
        <f>COUNTIFS(AllData[Site Name], Tables!$B53, AllData[Season], "Autumn", AllData[Year], "2025")</f>
        <v>0</v>
      </c>
      <c r="BS53" s="160" t="str">
        <f>IFERROR(AVERAGEIFS(AllData[Nitrate (PPM)], AllData[Site Name], $B53, AllData[Season], "Autumn", AllData[Year], "2025"), "")</f>
        <v/>
      </c>
      <c r="BT53" s="27" t="str">
        <f t="shared" si="32"/>
        <v/>
      </c>
      <c r="BU53" s="27" t="str">
        <f t="shared" si="33"/>
        <v/>
      </c>
      <c r="BV53" s="161" t="str">
        <f>IFERROR(AVERAGEIFS(AllData[Phosphate (PPM)], AllData[Site Name], AD53, AllData[Season], "Autumn", AllData[Year], "2025"), "")</f>
        <v/>
      </c>
      <c r="BW53" s="27" t="str">
        <f t="shared" si="34"/>
        <v/>
      </c>
      <c r="BX53" s="28" t="str">
        <f t="shared" si="35"/>
        <v/>
      </c>
      <c r="BY53" s="165">
        <f>COUNTIFS(AllData[Site Name], Tables!$B53, AllData[Season], "Winter", AllData[Year], "2025")</f>
        <v>0</v>
      </c>
      <c r="BZ53" s="160" t="str">
        <f>IFERROR(AVERAGEIFS(AllData[Nitrate (PPM)], AllData[Site Name], $B53, AllData[Season], "Winter", AllData[Year], "2025"), "")</f>
        <v/>
      </c>
      <c r="CA53" s="27" t="str">
        <f t="shared" si="36"/>
        <v/>
      </c>
      <c r="CB53" s="27" t="str">
        <f t="shared" si="40"/>
        <v/>
      </c>
      <c r="CC53" s="161" t="str">
        <f>IFERROR(AVERAGEIFS(AllData[Phosphate (PPM)], AllData[Site Name], $B53, AllData[Season], "Winter", AllData[Year], "2025"), "")</f>
        <v/>
      </c>
      <c r="CD53" s="27" t="str">
        <f t="shared" si="38"/>
        <v/>
      </c>
      <c r="CE53" s="44" t="str">
        <f t="shared" si="41"/>
        <v/>
      </c>
    </row>
    <row r="54" spans="2:83" x14ac:dyDescent="0.35">
      <c r="B54" s="159" t="s">
        <v>1683</v>
      </c>
      <c r="C54" s="113">
        <f>IFERROR(AVERAGEIF(AllData[Site Name], Tables!B54, AllData[Latitude]), "Unknown")</f>
        <v>52.169983999999999</v>
      </c>
      <c r="D54" s="113">
        <f>IFERROR(AVERAGEIF(AllData[Site Name], Tables!B54, AllData[Longitude]), "Unknown")</f>
        <v>-2.058351</v>
      </c>
      <c r="E54" s="13" t="e" vm="6">
        <f>_xlfn.XLOOKUP(B54,LocationsKey[Site Name], LocationsKey[District])</f>
        <v>#VALUE!</v>
      </c>
      <c r="F54" s="13" t="str">
        <f>_xlfn.XLOOKUP(B54,LocationsKey[Site Name], LocationsKey[Town])</f>
        <v>Norton Beauchamp</v>
      </c>
      <c r="G54" s="25" t="str">
        <f>_xlfn.XLOOKUP(B54,LocationsKey[Site Name],LocationsKey[Waterway])</f>
        <v>Piddle Brook</v>
      </c>
      <c r="H54" s="157">
        <f>COUNTIF(AllData[Site Name], Tables!B54)</f>
        <v>1</v>
      </c>
      <c r="I54" s="160">
        <f t="shared" si="0"/>
        <v>5</v>
      </c>
      <c r="J54" s="161">
        <f t="shared" si="1"/>
        <v>1.45</v>
      </c>
      <c r="K54" s="27" cm="1">
        <f t="array" ref="K54">SUM(COUNTIFS(AllData[Site Name], B54, AllData[Nitrate Pollution Category], {"High","Very high"}))/COUNTIFS(AllData[Site Name], B54, AllData[Nitrate (PPM)], "&lt;&gt;0")</f>
        <v>1</v>
      </c>
      <c r="L54" s="27" cm="1">
        <f t="array" ref="L54">SUM(COUNTIFS(AllData[Site Name], B54, AllData[Phosphate Pollution Category], {"High","Very high"}))/COUNTIFS(AllData[Site Name], B54, AllData[Phosphate (PPM)], "&lt;&gt;0")</f>
        <v>1</v>
      </c>
      <c r="M54" s="157">
        <f t="shared" si="2"/>
        <v>51</v>
      </c>
      <c r="N54" s="157">
        <f t="shared" si="3"/>
        <v>9</v>
      </c>
      <c r="O54" s="26">
        <f>COUNTIFS(AllData[Site Name], Tables!$B54, AllData[Season], "Summer", AllData[Year], "2023")</f>
        <v>0</v>
      </c>
      <c r="P54" s="160" t="str">
        <f>IFERROR(AVERAGEIFS(AllData[Nitrate (PPM)], AllData[Site Name], $B54, AllData[Season], "Summer", AllData[Year], "2023"), "")</f>
        <v/>
      </c>
      <c r="Q54" s="27" t="str">
        <f t="shared" si="4"/>
        <v/>
      </c>
      <c r="R54" s="161" t="str">
        <f>IFERROR(AVERAGEIFS(AllData[Phosphate (PPM)], AllData[Site Name], $B54, AllData[Season], "Summer", AllData[Year], "2023"),"")</f>
        <v/>
      </c>
      <c r="S54" s="28" t="str">
        <f t="shared" si="5"/>
        <v/>
      </c>
      <c r="T54" s="26">
        <f>COUNTIFS(AllData[Site Name], Tables!$B54, AllData[Season], "Autumn", AllData[Year], "2023")</f>
        <v>0</v>
      </c>
      <c r="U54" s="160" t="str">
        <f>IFERROR(AVERAGEIFS(AllData[Nitrate (PPM)], AllData[Site Name], $B54, AllData[Season], "Autumn", AllData[Year], "2023"), "")</f>
        <v/>
      </c>
      <c r="V54" s="27" t="str">
        <f t="shared" si="6"/>
        <v/>
      </c>
      <c r="W54" s="161" t="str">
        <f>IFERROR(AVERAGEIFS(AllData[Phosphate (PPM)], AllData[Site Name], $B54, AllData[Season], "Autumn", AllData[Year], "2023"),"")</f>
        <v/>
      </c>
      <c r="X54" s="28" t="str">
        <f t="shared" si="7"/>
        <v/>
      </c>
      <c r="Y54" s="26">
        <f>COUNTIFS(AllData[Site Name], Tables!$B54, AllData[Season], "Winter", AllData[Year], "2023")</f>
        <v>0</v>
      </c>
      <c r="Z54" s="160" t="str">
        <f>IFERROR(AVERAGEIFS(AllData[Nitrate (PPM)], AllData[Site Name], $B54, AllData[Season], "Winter", AllData[Year], "2023"), "")</f>
        <v/>
      </c>
      <c r="AA54" s="27" t="str">
        <f t="shared" si="8"/>
        <v/>
      </c>
      <c r="AB54" s="161" t="str">
        <f>IFERROR(AVERAGEIFS(AllData[Phosphate (PPM)], AllData[Site Name], $B54, AllData[Season], "Winter", AllData[Year], "2023"),"")</f>
        <v/>
      </c>
      <c r="AC54" s="28" t="str">
        <f t="shared" si="9"/>
        <v/>
      </c>
      <c r="AD54" s="26">
        <f>COUNTIFS(AllData[Site Name], Tables!$B54, AllData[Season], "Spring", AllData[Year], "2024")</f>
        <v>0</v>
      </c>
      <c r="AE54" s="160" t="str">
        <f>IFERROR(AVERAGEIFS(AllData[Nitrate (PPM)], AllData[Site Name], $B54, AllData[Season], "Spring", AllData[Year], "2024"), "")</f>
        <v/>
      </c>
      <c r="AF54" s="27" t="str">
        <f t="shared" si="10"/>
        <v/>
      </c>
      <c r="AG54" s="161" t="str">
        <f>IFERROR(AVERAGEIFS(AllData[Phosphate (PPM)], AllData[Site Name], $B54, AllData[Season], "Spring", AllData[Year], "2024"),"")</f>
        <v/>
      </c>
      <c r="AH54" s="28" t="str">
        <f t="shared" si="11"/>
        <v/>
      </c>
      <c r="AI54" s="165">
        <f>COUNTIFS(AllData[Site Name], Tables!$B54, AllData[Season], "Summer", AllData[Year], "2024")</f>
        <v>1</v>
      </c>
      <c r="AJ54" s="160">
        <f>IFERROR(AVERAGEIFS(AllData[Nitrate (PPM)], AllData[Site Name], $B54, AllData[Season], "Summer", AllData[Year], "2024"), "")</f>
        <v>5</v>
      </c>
      <c r="AK54" s="27">
        <f t="shared" si="12"/>
        <v>0</v>
      </c>
      <c r="AL54" s="27" t="str">
        <f t="shared" si="13"/>
        <v/>
      </c>
      <c r="AM54" s="161">
        <f>IFERROR(AVERAGEIFS(AllData[Phosphate (PPM)], AllData[Site Name], $B54, AllData[Season], "Summer", AllData[Year], "2024"),"")</f>
        <v>1.45</v>
      </c>
      <c r="AN54" s="27">
        <f t="shared" si="14"/>
        <v>0</v>
      </c>
      <c r="AO54" s="28" t="str">
        <f t="shared" si="15"/>
        <v/>
      </c>
      <c r="AP54" s="157">
        <f>COUNTIFS(AllData[Site Name], Tables!$B54, AllData[Season], "Autumn", AllData[Year], "2024")</f>
        <v>0</v>
      </c>
      <c r="AQ54" s="160" t="str">
        <f>IFERROR(AVERAGEIFS(AllData[Nitrate (PPM)], AllData[Site Name], $B54, AllData[Season], "Autumn", AllData[Year], "2024"), "")</f>
        <v/>
      </c>
      <c r="AR54" s="27" t="str">
        <f t="shared" si="16"/>
        <v/>
      </c>
      <c r="AS54" s="27" t="str">
        <f t="shared" si="42"/>
        <v/>
      </c>
      <c r="AT54" s="161" t="str">
        <f>IFERROR(AVERAGEIFS(AllData[Phosphate (PPM)], AllData[Site Name], B54, AllData[Season], "Autumn", AllData[Year], "2024"), "")</f>
        <v/>
      </c>
      <c r="AU54" s="27" t="str">
        <f t="shared" si="18"/>
        <v/>
      </c>
      <c r="AV54" s="28" t="str">
        <f t="shared" si="43"/>
        <v/>
      </c>
      <c r="AW54" s="165">
        <f>COUNTIFS(AllData[Site Name], Tables!$B54, AllData[Season], "Winter", AllData[Year], "2024")</f>
        <v>0</v>
      </c>
      <c r="AX54" s="160" t="str">
        <f>IFERROR(AVERAGEIFS(AllData[Nitrate (PPM)], AllData[Site Name], $B54, AllData[Season], "Winter", AllData[Year], "2024"), "")</f>
        <v/>
      </c>
      <c r="AY54" s="27" t="str">
        <f t="shared" si="20"/>
        <v/>
      </c>
      <c r="AZ54" s="27" t="str">
        <f t="shared" si="21"/>
        <v/>
      </c>
      <c r="BA54" s="161" t="str">
        <f>IFERROR(AVERAGEIFS(AllData[Phosphate (PPM)], AllData[Site Name], $B54, AllData[Season], "Winter", AllData[Year], "2024"), "")</f>
        <v/>
      </c>
      <c r="BB54" s="27" t="str">
        <f t="shared" si="22"/>
        <v/>
      </c>
      <c r="BC54" s="44" t="str">
        <f t="shared" si="23"/>
        <v/>
      </c>
      <c r="BD54" s="157">
        <f>COUNTIFS(AllData[Site Name], Tables!$B54, AllData[Season], "Spring", AllData[Year], "2025")</f>
        <v>0</v>
      </c>
      <c r="BE54" s="160" t="str">
        <f>IFERROR(AVERAGEIFS(AllData[Nitrate (PPM)], AllData[Site Name], $B54, AllData[Season], "Spring", AllData[Year], "2025"), "")</f>
        <v/>
      </c>
      <c r="BF54" s="27" t="str">
        <f t="shared" si="24"/>
        <v/>
      </c>
      <c r="BG54" s="27" t="str">
        <f t="shared" si="25"/>
        <v/>
      </c>
      <c r="BH54" s="161" t="str">
        <f>IFERROR(AVERAGEIFS(AllData[Phosphate (PPM)], AllData[Site Name], $B54, AllData[Season], "Spring", AllData[Year], "2025"), "")</f>
        <v/>
      </c>
      <c r="BI54" s="27" t="str">
        <f t="shared" si="26"/>
        <v/>
      </c>
      <c r="BJ54" s="27" t="str">
        <f t="shared" si="27"/>
        <v/>
      </c>
      <c r="BK54" s="165">
        <f>COUNTIFS(AllData[Site Name], Tables!$B54, AllData[Season], "Summer", AllData[Year], "2025")</f>
        <v>0</v>
      </c>
      <c r="BL54" s="160" t="str">
        <f>IFERROR(AVERAGEIFS(AllData[Nitrate (PPM)], AllData[Site Name], $B54, AllData[Season], "Summer", AllData[Year], "2025"), "")</f>
        <v/>
      </c>
      <c r="BM54" s="27" t="str">
        <f t="shared" si="28"/>
        <v/>
      </c>
      <c r="BN54" s="27" t="str">
        <f t="shared" si="29"/>
        <v/>
      </c>
      <c r="BO54" s="161" t="str">
        <f>IFERROR(AVERAGEIFS(AllData[Phosphate (PPM)], AllData[Site Name], $B54, AllData[Season], "Summer", AllData[Year], "2025"),"")</f>
        <v/>
      </c>
      <c r="BP54" s="27" t="str">
        <f t="shared" si="30"/>
        <v/>
      </c>
      <c r="BQ54" s="27" t="str">
        <f t="shared" si="31"/>
        <v/>
      </c>
      <c r="BR54" s="165">
        <f>COUNTIFS(AllData[Site Name], Tables!$B54, AllData[Season], "Autumn", AllData[Year], "2025")</f>
        <v>0</v>
      </c>
      <c r="BS54" s="160" t="str">
        <f>IFERROR(AVERAGEIFS(AllData[Nitrate (PPM)], AllData[Site Name], $B54, AllData[Season], "Autumn", AllData[Year], "2025"), "")</f>
        <v/>
      </c>
      <c r="BT54" s="27" t="str">
        <f t="shared" si="32"/>
        <v/>
      </c>
      <c r="BU54" s="27" t="str">
        <f t="shared" si="33"/>
        <v/>
      </c>
      <c r="BV54" s="161" t="str">
        <f>IFERROR(AVERAGEIFS(AllData[Phosphate (PPM)], AllData[Site Name], AD54, AllData[Season], "Autumn", AllData[Year], "2025"), "")</f>
        <v/>
      </c>
      <c r="BW54" s="27" t="str">
        <f t="shared" si="34"/>
        <v/>
      </c>
      <c r="BX54" s="28" t="str">
        <f t="shared" si="35"/>
        <v/>
      </c>
      <c r="BY54" s="165">
        <f>COUNTIFS(AllData[Site Name], Tables!$B54, AllData[Season], "Winter", AllData[Year], "2025")</f>
        <v>0</v>
      </c>
      <c r="BZ54" s="160" t="str">
        <f>IFERROR(AVERAGEIFS(AllData[Nitrate (PPM)], AllData[Site Name], $B54, AllData[Season], "Winter", AllData[Year], "2025"), "")</f>
        <v/>
      </c>
      <c r="CA54" s="27" t="str">
        <f t="shared" si="36"/>
        <v/>
      </c>
      <c r="CB54" s="27" t="str">
        <f t="shared" si="40"/>
        <v/>
      </c>
      <c r="CC54" s="161" t="str">
        <f>IFERROR(AVERAGEIFS(AllData[Phosphate (PPM)], AllData[Site Name], $B54, AllData[Season], "Winter", AllData[Year], "2025"), "")</f>
        <v/>
      </c>
      <c r="CD54" s="27" t="str">
        <f t="shared" si="38"/>
        <v/>
      </c>
      <c r="CE54" s="44" t="str">
        <f t="shared" si="41"/>
        <v/>
      </c>
    </row>
    <row r="55" spans="2:83" x14ac:dyDescent="0.35">
      <c r="B55" s="159" t="s">
        <v>787</v>
      </c>
      <c r="C55" s="113">
        <f>IFERROR(AVERAGEIF(AllData[Site Name], Tables!B55, AllData[Latitude]), "Unknown")</f>
        <v>52.126394500000039</v>
      </c>
      <c r="D55" s="113">
        <f>IFERROR(AVERAGEIF(AllData[Site Name], Tables!B55, AllData[Longitude]), "Unknown")</f>
        <v>-2.0564211206896545</v>
      </c>
      <c r="E55" s="13" t="e" vm="6">
        <f>_xlfn.XLOOKUP(B55,LocationsKey[Site Name], LocationsKey[District])</f>
        <v>#VALUE!</v>
      </c>
      <c r="F55" s="13" t="e" vm="13">
        <f>_xlfn.XLOOKUP(B55,LocationsKey[Site Name], LocationsKey[Town])</f>
        <v>#VALUE!</v>
      </c>
      <c r="G55" s="25" t="str">
        <f>_xlfn.XLOOKUP(B55,LocationsKey[Site Name],LocationsKey[Waterway])</f>
        <v>Piddle Brook</v>
      </c>
      <c r="H55" s="157">
        <f>COUNTIF(AllData[Site Name], Tables!B55)</f>
        <v>59</v>
      </c>
      <c r="I55" s="160">
        <f t="shared" si="0"/>
        <v>6.5430402930402938</v>
      </c>
      <c r="J55" s="161">
        <f t="shared" si="1"/>
        <v>0.74636080586080589</v>
      </c>
      <c r="K55" s="27" cm="1">
        <f t="array" ref="K55">SUM(COUNTIFS(AllData[Site Name], B55, AllData[Nitrate Pollution Category], {"High","Very high"}))/COUNTIFS(AllData[Site Name], B55, AllData[Nitrate (PPM)], "&lt;&gt;0")</f>
        <v>1</v>
      </c>
      <c r="L55" s="27" cm="1">
        <f t="array" ref="L55">SUM(COUNTIFS(AllData[Site Name], B55, AllData[Phosphate Pollution Category], {"High","Very high"}))/COUNTIFS(AllData[Site Name], B55, AllData[Phosphate (PPM)], "&lt;&gt;0")</f>
        <v>1</v>
      </c>
      <c r="M55" s="157">
        <f t="shared" si="2"/>
        <v>38</v>
      </c>
      <c r="N55" s="157">
        <f t="shared" si="3"/>
        <v>23</v>
      </c>
      <c r="O55" s="26">
        <f>COUNTIFS(AllData[Site Name], Tables!$B55, AllData[Season], "Summer", AllData[Year], "2023")</f>
        <v>0</v>
      </c>
      <c r="P55" s="160" t="str">
        <f>IFERROR(AVERAGEIFS(AllData[Nitrate (PPM)], AllData[Site Name], $B55, AllData[Season], "Summer", AllData[Year], "2023"), "")</f>
        <v/>
      </c>
      <c r="Q55" s="27" t="str">
        <f t="shared" si="4"/>
        <v/>
      </c>
      <c r="R55" s="161" t="str">
        <f>IFERROR(AVERAGEIFS(AllData[Phosphate (PPM)], AllData[Site Name], $B55, AllData[Season], "Summer", AllData[Year], "2023"),"")</f>
        <v/>
      </c>
      <c r="S55" s="28" t="str">
        <f t="shared" si="5"/>
        <v/>
      </c>
      <c r="T55" s="26">
        <f>COUNTIFS(AllData[Site Name], Tables!$B55, AllData[Season], "Autumn", AllData[Year], "2023")</f>
        <v>0</v>
      </c>
      <c r="U55" s="160" t="str">
        <f>IFERROR(AVERAGEIFS(AllData[Nitrate (PPM)], AllData[Site Name], $B55, AllData[Season], "Autumn", AllData[Year], "2023"), "")</f>
        <v/>
      </c>
      <c r="V55" s="27" t="str">
        <f t="shared" si="6"/>
        <v/>
      </c>
      <c r="W55" s="161" t="str">
        <f>IFERROR(AVERAGEIFS(AllData[Phosphate (PPM)], AllData[Site Name], $B55, AllData[Season], "Autumn", AllData[Year], "2023"),"")</f>
        <v/>
      </c>
      <c r="X55" s="28" t="str">
        <f t="shared" si="7"/>
        <v/>
      </c>
      <c r="Y55" s="26">
        <f>COUNTIFS(AllData[Site Name], Tables!$B55, AllData[Season], "Winter", AllData[Year], "2023")</f>
        <v>0</v>
      </c>
      <c r="Z55" s="160" t="str">
        <f>IFERROR(AVERAGEIFS(AllData[Nitrate (PPM)], AllData[Site Name], $B55, AllData[Season], "Winter", AllData[Year], "2023"), "")</f>
        <v/>
      </c>
      <c r="AA55" s="27" t="str">
        <f t="shared" si="8"/>
        <v/>
      </c>
      <c r="AB55" s="161" t="str">
        <f>IFERROR(AVERAGEIFS(AllData[Phosphate (PPM)], AllData[Site Name], $B55, AllData[Season], "Winter", AllData[Year], "2023"),"")</f>
        <v/>
      </c>
      <c r="AC55" s="28" t="str">
        <f t="shared" si="9"/>
        <v/>
      </c>
      <c r="AD55" s="26">
        <f>COUNTIFS(AllData[Site Name], Tables!$B55, AllData[Season], "Spring", AllData[Year], "2024")</f>
        <v>13</v>
      </c>
      <c r="AE55" s="160">
        <f>IFERROR(AVERAGEIFS(AllData[Nitrate (PPM)], AllData[Site Name], $B55, AllData[Season], "Spring", AllData[Year], "2024"), "")</f>
        <v>5.6923076923076925</v>
      </c>
      <c r="AF55" s="27">
        <f t="shared" si="10"/>
        <v>-0.13002099370188949</v>
      </c>
      <c r="AG55" s="161">
        <f>IFERROR(AVERAGEIFS(AllData[Phosphate (PPM)], AllData[Site Name], $B55, AllData[Season], "Spring", AllData[Year], "2024"),"")</f>
        <v>0.6446153846153847</v>
      </c>
      <c r="AH55" s="28">
        <f t="shared" si="11"/>
        <v>-0.13632203144439556</v>
      </c>
      <c r="AI55" s="165">
        <f>COUNTIFS(AllData[Site Name], Tables!$B55, AllData[Season], "Summer", AllData[Year], "2024")</f>
        <v>14</v>
      </c>
      <c r="AJ55" s="160">
        <f>IFERROR(AVERAGEIFS(AllData[Nitrate (PPM)], AllData[Site Name], $B55, AllData[Season], "Summer", AllData[Year], "2024"), "")</f>
        <v>8.3571428571428577</v>
      </c>
      <c r="AK55" s="27">
        <f t="shared" si="12"/>
        <v>0.27725682295311399</v>
      </c>
      <c r="AL55" s="27" t="str">
        <f t="shared" si="13"/>
        <v/>
      </c>
      <c r="AM55" s="161">
        <f>IFERROR(AVERAGEIFS(AllData[Phosphate (PPM)], AllData[Site Name], $B55, AllData[Season], "Summer", AllData[Year], "2024"),"")</f>
        <v>1.1549999999999998</v>
      </c>
      <c r="AN55" s="27">
        <f t="shared" si="14"/>
        <v>0.5475089138260617</v>
      </c>
      <c r="AO55" s="28" t="str">
        <f t="shared" si="15"/>
        <v/>
      </c>
      <c r="AP55" s="157">
        <f>COUNTIFS(AllData[Site Name], Tables!$B55, AllData[Season], "Autumn", AllData[Year], "2024")</f>
        <v>13</v>
      </c>
      <c r="AQ55" s="160">
        <f>IFERROR(AVERAGEIFS(AllData[Nitrate (PPM)], AllData[Site Name], $B55, AllData[Season], "Autumn", AllData[Year], "2024"), "")</f>
        <v>7.1538461538461542</v>
      </c>
      <c r="AR55" s="27">
        <f t="shared" si="16"/>
        <v>9.335199440167942E-2</v>
      </c>
      <c r="AS55" s="27" t="str">
        <f t="shared" si="42"/>
        <v/>
      </c>
      <c r="AT55" s="161">
        <f>IFERROR(AVERAGEIFS(AllData[Phosphate (PPM)], AllData[Site Name], B55, AllData[Season], "Autumn", AllData[Year], "2024"), "")</f>
        <v>0.8323076923076923</v>
      </c>
      <c r="AU55" s="27">
        <f t="shared" si="18"/>
        <v>0.11515460856463471</v>
      </c>
      <c r="AV55" s="28" t="str">
        <f t="shared" si="43"/>
        <v/>
      </c>
      <c r="AW55" s="165">
        <f>COUNTIFS(AllData[Site Name], Tables!$B55, AllData[Season], "Winter", AllData[Year], "2024")</f>
        <v>12</v>
      </c>
      <c r="AX55" s="160">
        <f>IFERROR(AVERAGEIFS(AllData[Nitrate (PPM)], AllData[Site Name], $B55, AllData[Season], "Winter", AllData[Year], "2024"), "")</f>
        <v>5.083333333333333</v>
      </c>
      <c r="AY55" s="27">
        <f t="shared" si="20"/>
        <v>-0.22309307207837661</v>
      </c>
      <c r="AZ55" s="27" t="str">
        <f t="shared" si="21"/>
        <v/>
      </c>
      <c r="BA55" s="161">
        <f>IFERROR(AVERAGEIFS(AllData[Phosphate (PPM)], AllData[Site Name], $B55, AllData[Season], "Winter", AllData[Year], "2024"), "")</f>
        <v>0.4941666666666667</v>
      </c>
      <c r="BB55" s="27">
        <f t="shared" si="22"/>
        <v>-0.33789842287239913</v>
      </c>
      <c r="BC55" s="44" t="str">
        <f t="shared" si="23"/>
        <v/>
      </c>
      <c r="BD55" s="157">
        <f>COUNTIFS(AllData[Site Name], Tables!$B55, AllData[Season], "Spring", AllData[Year], "2025")</f>
        <v>7</v>
      </c>
      <c r="BE55" s="160">
        <f>IFERROR(AVERAGEIFS(AllData[Nitrate (PPM)], AllData[Site Name], $B55, AllData[Season], "Spring", AllData[Year], "2025"), "")</f>
        <v>6.4285714285714288</v>
      </c>
      <c r="BF55" s="27">
        <f t="shared" si="24"/>
        <v>-1.7494751574527713E-2</v>
      </c>
      <c r="BG55" s="27">
        <f t="shared" si="25"/>
        <v>0.12934362934362933</v>
      </c>
      <c r="BH55" s="161">
        <f>IFERROR(AVERAGEIFS(AllData[Phosphate (PPM)], AllData[Site Name], $B55, AllData[Season], "Spring", AllData[Year], "2025"), "")</f>
        <v>0.60571428571428576</v>
      </c>
      <c r="BI55" s="27">
        <f t="shared" si="26"/>
        <v>-0.1884430680739019</v>
      </c>
      <c r="BJ55" s="27">
        <f t="shared" si="27"/>
        <v>-6.0347766791680926E-2</v>
      </c>
      <c r="BK55" s="165">
        <f>COUNTIFS(AllData[Site Name], Tables!$B55, AllData[Season], "Summer", AllData[Year], "2025")</f>
        <v>0</v>
      </c>
      <c r="BL55" s="160" t="str">
        <f>IFERROR(AVERAGEIFS(AllData[Nitrate (PPM)], AllData[Site Name], $B55, AllData[Season], "Summer", AllData[Year], "2025"), "")</f>
        <v/>
      </c>
      <c r="BM55" s="27" t="str">
        <f t="shared" si="28"/>
        <v/>
      </c>
      <c r="BN55" s="27" t="str">
        <f t="shared" si="29"/>
        <v/>
      </c>
      <c r="BO55" s="161" t="str">
        <f>IFERROR(AVERAGEIFS(AllData[Phosphate (PPM)], AllData[Site Name], $B55, AllData[Season], "Summer", AllData[Year], "2025"),"")</f>
        <v/>
      </c>
      <c r="BP55" s="27" t="str">
        <f t="shared" si="30"/>
        <v/>
      </c>
      <c r="BQ55" s="27" t="str">
        <f t="shared" si="31"/>
        <v/>
      </c>
      <c r="BR55" s="165">
        <f>COUNTIFS(AllData[Site Name], Tables!$B55, AllData[Season], "Autumn", AllData[Year], "2025")</f>
        <v>0</v>
      </c>
      <c r="BS55" s="160" t="str">
        <f>IFERROR(AVERAGEIFS(AllData[Nitrate (PPM)], AllData[Site Name], $B55, AllData[Season], "Autumn", AllData[Year], "2025"), "")</f>
        <v/>
      </c>
      <c r="BT55" s="27" t="str">
        <f t="shared" si="32"/>
        <v/>
      </c>
      <c r="BU55" s="27" t="str">
        <f t="shared" si="33"/>
        <v/>
      </c>
      <c r="BV55" s="161" t="str">
        <f>IFERROR(AVERAGEIFS(AllData[Phosphate (PPM)], AllData[Site Name], AD55, AllData[Season], "Autumn", AllData[Year], "2025"), "")</f>
        <v/>
      </c>
      <c r="BW55" s="27" t="str">
        <f t="shared" si="34"/>
        <v/>
      </c>
      <c r="BX55" s="28" t="str">
        <f t="shared" si="35"/>
        <v/>
      </c>
      <c r="BY55" s="165">
        <f>COUNTIFS(AllData[Site Name], Tables!$B55, AllData[Season], "Winter", AllData[Year], "2025")</f>
        <v>0</v>
      </c>
      <c r="BZ55" s="160" t="str">
        <f>IFERROR(AVERAGEIFS(AllData[Nitrate (PPM)], AllData[Site Name], $B55, AllData[Season], "Winter", AllData[Year], "2025"), "")</f>
        <v/>
      </c>
      <c r="CA55" s="27" t="str">
        <f t="shared" si="36"/>
        <v/>
      </c>
      <c r="CB55" s="27" t="str">
        <f t="shared" si="40"/>
        <v/>
      </c>
      <c r="CC55" s="161" t="str">
        <f>IFERROR(AVERAGEIFS(AllData[Phosphate (PPM)], AllData[Site Name], $B55, AllData[Season], "Winter", AllData[Year], "2025"), "")</f>
        <v/>
      </c>
      <c r="CD55" s="27" t="str">
        <f t="shared" si="38"/>
        <v/>
      </c>
      <c r="CE55" s="44" t="str">
        <f t="shared" si="41"/>
        <v/>
      </c>
    </row>
    <row r="56" spans="2:83" x14ac:dyDescent="0.35">
      <c r="B56" s="159" t="s">
        <v>2452</v>
      </c>
      <c r="C56" s="113">
        <f>IFERROR(AVERAGEIF(AllData[Site Name], Tables!B56, AllData[Latitude]), "Unknown")</f>
        <v>52.172747000000001</v>
      </c>
      <c r="D56" s="113">
        <f>IFERROR(AVERAGEIF(AllData[Site Name], Tables!B56, AllData[Longitude]), "Unknown")</f>
        <v>-1.74515</v>
      </c>
      <c r="E56" s="13" t="e" vm="1">
        <f>_xlfn.XLOOKUP(B56,LocationsKey[Site Name], LocationsKey[District])</f>
        <v>#VALUE!</v>
      </c>
      <c r="F56" s="13" t="e" vm="26">
        <f>_xlfn.XLOOKUP(B56,LocationsKey[Site Name], LocationsKey[Town])</f>
        <v>#VALUE!</v>
      </c>
      <c r="G56" s="25" t="str">
        <f>_xlfn.XLOOKUP(B56,LocationsKey[Site Name],LocationsKey[Waterway])</f>
        <v>Avon</v>
      </c>
      <c r="H56" s="157">
        <f>COUNTIF(AllData[Site Name], Tables!B56)</f>
        <v>1</v>
      </c>
      <c r="I56" s="160">
        <f t="shared" si="0"/>
        <v>7</v>
      </c>
      <c r="J56" s="161">
        <f t="shared" si="1"/>
        <v>0.97</v>
      </c>
      <c r="K56" s="27" cm="1">
        <f t="array" ref="K56">SUM(COUNTIFS(AllData[Site Name], B56, AllData[Nitrate Pollution Category], {"High","Very high"}))/COUNTIFS(AllData[Site Name], B56, AllData[Nitrate (PPM)], "&lt;&gt;0")</f>
        <v>1</v>
      </c>
      <c r="L56" s="27" cm="1">
        <f t="array" ref="L56">SUM(COUNTIFS(AllData[Site Name], B56, AllData[Phosphate Pollution Category], {"High","Very high"}))/COUNTIFS(AllData[Site Name], B56, AllData[Phosphate (PPM)], "&lt;&gt;0")</f>
        <v>1</v>
      </c>
      <c r="M56" s="157">
        <f t="shared" si="2"/>
        <v>33</v>
      </c>
      <c r="N56" s="157">
        <f t="shared" si="3"/>
        <v>15</v>
      </c>
      <c r="O56" s="26">
        <f>COUNTIFS(AllData[Site Name], Tables!$B56, AllData[Season], "Summer", AllData[Year], "2023")</f>
        <v>0</v>
      </c>
      <c r="P56" s="160" t="str">
        <f>IFERROR(AVERAGEIFS(AllData[Nitrate (PPM)], AllData[Site Name], $B56, AllData[Season], "Summer", AllData[Year], "2023"), "")</f>
        <v/>
      </c>
      <c r="Q56" s="27" t="str">
        <f t="shared" si="4"/>
        <v/>
      </c>
      <c r="R56" s="161" t="str">
        <f>IFERROR(AVERAGEIFS(AllData[Phosphate (PPM)], AllData[Site Name], $B56, AllData[Season], "Summer", AllData[Year], "2023"),"")</f>
        <v/>
      </c>
      <c r="S56" s="28" t="str">
        <f t="shared" si="5"/>
        <v/>
      </c>
      <c r="T56" s="26">
        <f>COUNTIFS(AllData[Site Name], Tables!$B56, AllData[Season], "Autumn", AllData[Year], "2023")</f>
        <v>0</v>
      </c>
      <c r="U56" s="160" t="str">
        <f>IFERROR(AVERAGEIFS(AllData[Nitrate (PPM)], AllData[Site Name], $B56, AllData[Season], "Autumn", AllData[Year], "2023"), "")</f>
        <v/>
      </c>
      <c r="V56" s="27" t="str">
        <f t="shared" si="6"/>
        <v/>
      </c>
      <c r="W56" s="161" t="str">
        <f>IFERROR(AVERAGEIFS(AllData[Phosphate (PPM)], AllData[Site Name], $B56, AllData[Season], "Autumn", AllData[Year], "2023"),"")</f>
        <v/>
      </c>
      <c r="X56" s="28" t="str">
        <f t="shared" si="7"/>
        <v/>
      </c>
      <c r="Y56" s="26">
        <f>COUNTIFS(AllData[Site Name], Tables!$B56, AllData[Season], "Winter", AllData[Year], "2023")</f>
        <v>0</v>
      </c>
      <c r="Z56" s="160" t="str">
        <f>IFERROR(AVERAGEIFS(AllData[Nitrate (PPM)], AllData[Site Name], $B56, AllData[Season], "Winter", AllData[Year], "2023"), "")</f>
        <v/>
      </c>
      <c r="AA56" s="27" t="str">
        <f t="shared" si="8"/>
        <v/>
      </c>
      <c r="AB56" s="161" t="str">
        <f>IFERROR(AVERAGEIFS(AllData[Phosphate (PPM)], AllData[Site Name], $B56, AllData[Season], "Winter", AllData[Year], "2023"),"")</f>
        <v/>
      </c>
      <c r="AC56" s="28" t="str">
        <f t="shared" si="9"/>
        <v/>
      </c>
      <c r="AD56" s="26">
        <f>COUNTIFS(AllData[Site Name], Tables!$B56, AllData[Season], "Spring", AllData[Year], "2024")</f>
        <v>0</v>
      </c>
      <c r="AE56" s="160" t="str">
        <f>IFERROR(AVERAGEIFS(AllData[Nitrate (PPM)], AllData[Site Name], $B56, AllData[Season], "Spring", AllData[Year], "2024"), "")</f>
        <v/>
      </c>
      <c r="AF56" s="27" t="str">
        <f t="shared" si="10"/>
        <v/>
      </c>
      <c r="AG56" s="161" t="str">
        <f>IFERROR(AVERAGEIFS(AllData[Phosphate (PPM)], AllData[Site Name], $B56, AllData[Season], "Spring", AllData[Year], "2024"),"")</f>
        <v/>
      </c>
      <c r="AH56" s="28" t="str">
        <f t="shared" si="11"/>
        <v/>
      </c>
      <c r="AI56" s="165">
        <f>COUNTIFS(AllData[Site Name], Tables!$B56, AllData[Season], "Summer", AllData[Year], "2024")</f>
        <v>0</v>
      </c>
      <c r="AJ56" s="160" t="str">
        <f>IFERROR(AVERAGEIFS(AllData[Nitrate (PPM)], AllData[Site Name], $B56, AllData[Season], "Summer", AllData[Year], "2024"), "")</f>
        <v/>
      </c>
      <c r="AK56" s="27" t="str">
        <f t="shared" si="12"/>
        <v/>
      </c>
      <c r="AL56" s="27" t="str">
        <f t="shared" si="13"/>
        <v/>
      </c>
      <c r="AM56" s="161" t="str">
        <f>IFERROR(AVERAGEIFS(AllData[Phosphate (PPM)], AllData[Site Name], $B56, AllData[Season], "Summer", AllData[Year], "2024"),"")</f>
        <v/>
      </c>
      <c r="AN56" s="27" t="str">
        <f t="shared" si="14"/>
        <v/>
      </c>
      <c r="AO56" s="28" t="str">
        <f t="shared" si="15"/>
        <v/>
      </c>
      <c r="AP56" s="157">
        <f>COUNTIFS(AllData[Site Name], Tables!$B56, AllData[Season], "Autumn", AllData[Year], "2024")</f>
        <v>1</v>
      </c>
      <c r="AQ56" s="160">
        <f>IFERROR(AVERAGEIFS(AllData[Nitrate (PPM)], AllData[Site Name], $B56, AllData[Season], "Autumn", AllData[Year], "2024"), "")</f>
        <v>7</v>
      </c>
      <c r="AR56" s="27">
        <f t="shared" si="16"/>
        <v>0</v>
      </c>
      <c r="AS56" s="27" t="str">
        <f t="shared" si="42"/>
        <v/>
      </c>
      <c r="AT56" s="161">
        <f>IFERROR(AVERAGEIFS(AllData[Phosphate (PPM)], AllData[Site Name], B56, AllData[Season], "Autumn", AllData[Year], "2024"), "")</f>
        <v>0.97</v>
      </c>
      <c r="AU56" s="27">
        <f t="shared" si="18"/>
        <v>0</v>
      </c>
      <c r="AV56" s="28" t="str">
        <f t="shared" si="43"/>
        <v/>
      </c>
      <c r="AW56" s="165">
        <f>COUNTIFS(AllData[Site Name], Tables!$B56, AllData[Season], "Winter", AllData[Year], "2024")</f>
        <v>0</v>
      </c>
      <c r="AX56" s="160" t="str">
        <f>IFERROR(AVERAGEIFS(AllData[Nitrate (PPM)], AllData[Site Name], $B56, AllData[Season], "Winter", AllData[Year], "2024"), "")</f>
        <v/>
      </c>
      <c r="AY56" s="27" t="str">
        <f t="shared" si="20"/>
        <v/>
      </c>
      <c r="AZ56" s="27" t="str">
        <f t="shared" si="21"/>
        <v/>
      </c>
      <c r="BA56" s="161" t="str">
        <f>IFERROR(AVERAGEIFS(AllData[Phosphate (PPM)], AllData[Site Name], $B56, AllData[Season], "Winter", AllData[Year], "2024"), "")</f>
        <v/>
      </c>
      <c r="BB56" s="27" t="str">
        <f t="shared" si="22"/>
        <v/>
      </c>
      <c r="BC56" s="44" t="str">
        <f t="shared" si="23"/>
        <v/>
      </c>
      <c r="BD56" s="157">
        <f>COUNTIFS(AllData[Site Name], Tables!$B56, AllData[Season], "Spring", AllData[Year], "2025")</f>
        <v>0</v>
      </c>
      <c r="BE56" s="160" t="str">
        <f>IFERROR(AVERAGEIFS(AllData[Nitrate (PPM)], AllData[Site Name], $B56, AllData[Season], "Spring", AllData[Year], "2025"), "")</f>
        <v/>
      </c>
      <c r="BF56" s="27" t="str">
        <f t="shared" si="24"/>
        <v/>
      </c>
      <c r="BG56" s="27" t="str">
        <f t="shared" si="25"/>
        <v/>
      </c>
      <c r="BH56" s="161" t="str">
        <f>IFERROR(AVERAGEIFS(AllData[Phosphate (PPM)], AllData[Site Name], $B56, AllData[Season], "Spring", AllData[Year], "2025"), "")</f>
        <v/>
      </c>
      <c r="BI56" s="27" t="str">
        <f t="shared" si="26"/>
        <v/>
      </c>
      <c r="BJ56" s="27" t="str">
        <f t="shared" si="27"/>
        <v/>
      </c>
      <c r="BK56" s="165">
        <f>COUNTIFS(AllData[Site Name], Tables!$B56, AllData[Season], "Summer", AllData[Year], "2025")</f>
        <v>0</v>
      </c>
      <c r="BL56" s="160" t="str">
        <f>IFERROR(AVERAGEIFS(AllData[Nitrate (PPM)], AllData[Site Name], $B56, AllData[Season], "Summer", AllData[Year], "2025"), "")</f>
        <v/>
      </c>
      <c r="BM56" s="27" t="str">
        <f t="shared" si="28"/>
        <v/>
      </c>
      <c r="BN56" s="27" t="str">
        <f t="shared" si="29"/>
        <v/>
      </c>
      <c r="BO56" s="161" t="str">
        <f>IFERROR(AVERAGEIFS(AllData[Phosphate (PPM)], AllData[Site Name], $B56, AllData[Season], "Summer", AllData[Year], "2025"),"")</f>
        <v/>
      </c>
      <c r="BP56" s="27" t="str">
        <f t="shared" si="30"/>
        <v/>
      </c>
      <c r="BQ56" s="27" t="str">
        <f t="shared" si="31"/>
        <v/>
      </c>
      <c r="BR56" s="165">
        <f>COUNTIFS(AllData[Site Name], Tables!$B56, AllData[Season], "Autumn", AllData[Year], "2025")</f>
        <v>0</v>
      </c>
      <c r="BS56" s="160" t="str">
        <f>IFERROR(AVERAGEIFS(AllData[Nitrate (PPM)], AllData[Site Name], $B56, AllData[Season], "Autumn", AllData[Year], "2025"), "")</f>
        <v/>
      </c>
      <c r="BT56" s="27" t="str">
        <f t="shared" si="32"/>
        <v/>
      </c>
      <c r="BU56" s="27" t="str">
        <f t="shared" si="33"/>
        <v/>
      </c>
      <c r="BV56" s="161" t="str">
        <f>IFERROR(AVERAGEIFS(AllData[Phosphate (PPM)], AllData[Site Name], AD56, AllData[Season], "Autumn", AllData[Year], "2025"), "")</f>
        <v/>
      </c>
      <c r="BW56" s="27" t="str">
        <f t="shared" si="34"/>
        <v/>
      </c>
      <c r="BX56" s="28" t="str">
        <f t="shared" si="35"/>
        <v/>
      </c>
      <c r="BY56" s="165">
        <f>COUNTIFS(AllData[Site Name], Tables!$B56, AllData[Season], "Winter", AllData[Year], "2025")</f>
        <v>0</v>
      </c>
      <c r="BZ56" s="160" t="str">
        <f>IFERROR(AVERAGEIFS(AllData[Nitrate (PPM)], AllData[Site Name], $B56, AllData[Season], "Winter", AllData[Year], "2025"), "")</f>
        <v/>
      </c>
      <c r="CA56" s="27" t="str">
        <f t="shared" si="36"/>
        <v/>
      </c>
      <c r="CB56" s="27" t="str">
        <f t="shared" si="40"/>
        <v/>
      </c>
      <c r="CC56" s="161" t="str">
        <f>IFERROR(AVERAGEIFS(AllData[Phosphate (PPM)], AllData[Site Name], $B56, AllData[Season], "Winter", AllData[Year], "2025"), "")</f>
        <v/>
      </c>
      <c r="CD56" s="27" t="str">
        <f t="shared" si="38"/>
        <v/>
      </c>
      <c r="CE56" s="44" t="str">
        <f t="shared" si="41"/>
        <v/>
      </c>
    </row>
    <row r="57" spans="2:83" x14ac:dyDescent="0.35">
      <c r="B57" s="159" t="s">
        <v>71</v>
      </c>
      <c r="C57" s="113">
        <f>IFERROR(AVERAGEIF(AllData[Site Name], Tables!B57, AllData[Latitude]), "Unknown")</f>
        <v>51.289310076923087</v>
      </c>
      <c r="D57" s="113">
        <f>IFERROR(AVERAGEIF(AllData[Site Name], Tables!B57, AllData[Longitude]), "Unknown")</f>
        <v>-0.10399761538461544</v>
      </c>
      <c r="E57" s="13" t="e" vm="1">
        <f>_xlfn.XLOOKUP(B57,LocationsKey[Site Name], LocationsKey[District])</f>
        <v>#VALUE!</v>
      </c>
      <c r="F57" s="13" t="e" vm="12">
        <f>_xlfn.XLOOKUP(B57,LocationsKey[Site Name], LocationsKey[Town])</f>
        <v>#VALUE!</v>
      </c>
      <c r="G57" s="25" t="str">
        <f>_xlfn.XLOOKUP(B57,LocationsKey[Site Name],LocationsKey[Waterway])</f>
        <v>Avon</v>
      </c>
      <c r="H57" s="157">
        <f>COUNTIF(AllData[Site Name], Tables!B57)</f>
        <v>59</v>
      </c>
      <c r="I57" s="160">
        <f t="shared" si="0"/>
        <v>7.2417410714285717</v>
      </c>
      <c r="J57" s="161">
        <f t="shared" si="1"/>
        <v>0.51841765873015877</v>
      </c>
      <c r="K57" s="27" cm="1">
        <f t="array" ref="K57">SUM(COUNTIFS(AllData[Site Name], B57, AllData[Nitrate Pollution Category], {"High","Very high"}))/COUNTIFS(AllData[Site Name], B57, AllData[Nitrate (PPM)], "&lt;&gt;0")</f>
        <v>0.98305084745762716</v>
      </c>
      <c r="L57" s="27" cm="1">
        <f t="array" ref="L57">SUM(COUNTIFS(AllData[Site Name], B57, AllData[Phosphate Pollution Category], {"High","Very high"}))/COUNTIFS(AllData[Site Name], B57, AllData[Phosphate (PPM)], "&lt;&gt;0")</f>
        <v>1</v>
      </c>
      <c r="M57" s="157">
        <f t="shared" si="2"/>
        <v>29</v>
      </c>
      <c r="N57" s="157">
        <f t="shared" si="3"/>
        <v>44</v>
      </c>
      <c r="O57" s="26">
        <f>COUNTIFS(AllData[Site Name], Tables!$B57, AllData[Season], "Summer", AllData[Year], "2023")</f>
        <v>5</v>
      </c>
      <c r="P57" s="160">
        <f>IFERROR(AVERAGEIFS(AllData[Nitrate (PPM)], AllData[Site Name], $B57, AllData[Season], "Summer", AllData[Year], "2023"), "")</f>
        <v>10</v>
      </c>
      <c r="Q57" s="27">
        <f t="shared" si="4"/>
        <v>0.38088339549363492</v>
      </c>
      <c r="R57" s="161">
        <f>IFERROR(AVERAGEIFS(AllData[Phosphate (PPM)], AllData[Site Name], $B57, AllData[Season], "Summer", AllData[Year], "2023"),"")</f>
        <v>0.62200000000000011</v>
      </c>
      <c r="S57" s="28">
        <f t="shared" si="5"/>
        <v>0.1998048089711329</v>
      </c>
      <c r="T57" s="26">
        <f>COUNTIFS(AllData[Site Name], Tables!$B57, AllData[Season], "Autumn", AllData[Year], "2023")</f>
        <v>12</v>
      </c>
      <c r="U57" s="160">
        <f>IFERROR(AVERAGEIFS(AllData[Nitrate (PPM)], AllData[Site Name], $B57, AllData[Season], "Autumn", AllData[Year], "2023"), "")</f>
        <v>8.7625000000000011</v>
      </c>
      <c r="V57" s="27">
        <f t="shared" si="6"/>
        <v>0.20999907530129777</v>
      </c>
      <c r="W57" s="161">
        <f>IFERROR(AVERAGEIFS(AllData[Phosphate (PPM)], AllData[Site Name], $B57, AllData[Season], "Autumn", AllData[Year], "2023"),"")</f>
        <v>0.71249999999999991</v>
      </c>
      <c r="X57" s="28">
        <f t="shared" si="7"/>
        <v>0.3743744797297941</v>
      </c>
      <c r="Y57" s="26">
        <f>COUNTIFS(AllData[Site Name], Tables!$B57, AllData[Season], "Winter", AllData[Year], "2023")</f>
        <v>5</v>
      </c>
      <c r="Z57" s="160">
        <f>IFERROR(AVERAGEIFS(AllData[Nitrate (PPM)], AllData[Site Name], $B57, AllData[Season], "Winter", AllData[Year], "2023"), "")</f>
        <v>4.5999999999999996</v>
      </c>
      <c r="AA57" s="27">
        <f t="shared" si="8"/>
        <v>-0.36479363807292797</v>
      </c>
      <c r="AB57" s="161">
        <f>IFERROR(AVERAGEIFS(AllData[Phosphate (PPM)], AllData[Site Name], $B57, AllData[Season], "Winter", AllData[Year], "2023"),"")</f>
        <v>0.58000000000000007</v>
      </c>
      <c r="AC57" s="28">
        <f t="shared" si="9"/>
        <v>0.1187890501660081</v>
      </c>
      <c r="AD57" s="26">
        <f>COUNTIFS(AllData[Site Name], Tables!$B57, AllData[Season], "Spring", AllData[Year], "2024")</f>
        <v>9</v>
      </c>
      <c r="AE57" s="160">
        <f>IFERROR(AVERAGEIFS(AllData[Nitrate (PPM)], AllData[Site Name], $B57, AllData[Season], "Spring", AllData[Year], "2024"), "")</f>
        <v>7</v>
      </c>
      <c r="AF57" s="27">
        <f t="shared" si="10"/>
        <v>-3.3381623154455545E-2</v>
      </c>
      <c r="AG57" s="161">
        <f>IFERROR(AVERAGEIFS(AllData[Phosphate (PPM)], AllData[Site Name], $B57, AllData[Season], "Spring", AllData[Year], "2024"),"")</f>
        <v>0.41555555555555557</v>
      </c>
      <c r="AH57" s="28">
        <f t="shared" si="11"/>
        <v>-0.19841550811860728</v>
      </c>
      <c r="AI57" s="165">
        <f>COUNTIFS(AllData[Site Name], Tables!$B57, AllData[Season], "Summer", AllData[Year], "2024")</f>
        <v>6</v>
      </c>
      <c r="AJ57" s="160">
        <f>IFERROR(AVERAGEIFS(AllData[Nitrate (PPM)], AllData[Site Name], $B57, AllData[Season], "Summer", AllData[Year], "2024"), "")</f>
        <v>7</v>
      </c>
      <c r="AK57" s="27">
        <f t="shared" si="12"/>
        <v>-3.3381623154455545E-2</v>
      </c>
      <c r="AL57" s="27">
        <f t="shared" si="13"/>
        <v>-0.3</v>
      </c>
      <c r="AM57" s="161">
        <f>IFERROR(AVERAGEIFS(AllData[Phosphate (PPM)], AllData[Site Name], $B57, AllData[Season], "Summer", AllData[Year], "2024"),"")</f>
        <v>0.59</v>
      </c>
      <c r="AN57" s="27">
        <f t="shared" si="14"/>
        <v>0.13807851654818046</v>
      </c>
      <c r="AO57" s="28">
        <f t="shared" si="15"/>
        <v>-5.1446945337620793E-2</v>
      </c>
      <c r="AP57" s="157">
        <f>COUNTIFS(AllData[Site Name], Tables!$B57, AllData[Season], "Autumn", AllData[Year], "2024")</f>
        <v>10</v>
      </c>
      <c r="AQ57" s="160">
        <f>IFERROR(AVERAGEIFS(AllData[Nitrate (PPM)], AllData[Site Name], $B57, AllData[Season], "Autumn", AllData[Year], "2024"), "")</f>
        <v>6</v>
      </c>
      <c r="AR57" s="27">
        <f t="shared" si="16"/>
        <v>-0.17146996270381903</v>
      </c>
      <c r="AS57" s="27">
        <f t="shared" si="42"/>
        <v>-0.31526390870185456</v>
      </c>
      <c r="AT57" s="161">
        <f>IFERROR(AVERAGEIFS(AllData[Phosphate (PPM)], AllData[Site Name], B57, AllData[Season], "Autumn", AllData[Year], "2024"), "")</f>
        <v>0.52500000000000013</v>
      </c>
      <c r="AU57" s="27">
        <f t="shared" si="18"/>
        <v>1.2696985064059195E-2</v>
      </c>
      <c r="AV57" s="28">
        <f t="shared" si="43"/>
        <v>-0.26315789473684181</v>
      </c>
      <c r="AW57" s="165">
        <f>COUNTIFS(AllData[Site Name], Tables!$B57, AllData[Season], "Winter", AllData[Year], "2024")</f>
        <v>7</v>
      </c>
      <c r="AX57" s="160">
        <f>IFERROR(AVERAGEIFS(AllData[Nitrate (PPM)], AllData[Site Name], $B57, AllData[Season], "Winter", AllData[Year], "2024"), "")</f>
        <v>5.5714285714285712</v>
      </c>
      <c r="AY57" s="27">
        <f t="shared" si="20"/>
        <v>-0.2306506796535463</v>
      </c>
      <c r="AZ57" s="27">
        <f t="shared" si="21"/>
        <v>0.21118012422360252</v>
      </c>
      <c r="BA57" s="161">
        <f>IFERROR(AVERAGEIFS(AllData[Phosphate (PPM)], AllData[Site Name], $B57, AllData[Season], "Winter", AllData[Year], "2024"), "")</f>
        <v>0.42428571428571432</v>
      </c>
      <c r="BB57" s="27">
        <f t="shared" si="22"/>
        <v>-0.18157549778496454</v>
      </c>
      <c r="BC57" s="44">
        <f t="shared" si="23"/>
        <v>-0.26847290640394089</v>
      </c>
      <c r="BD57" s="157">
        <f>COUNTIFS(AllData[Site Name], Tables!$B57, AllData[Season], "Spring", AllData[Year], "2025")</f>
        <v>5</v>
      </c>
      <c r="BE57" s="160">
        <f>IFERROR(AVERAGEIFS(AllData[Nitrate (PPM)], AllData[Site Name], $B57, AllData[Season], "Spring", AllData[Year], "2025"), "")</f>
        <v>9</v>
      </c>
      <c r="BF57" s="27">
        <f t="shared" si="24"/>
        <v>0.24279505594427145</v>
      </c>
      <c r="BG57" s="27">
        <f t="shared" si="25"/>
        <v>0.2857142857142857</v>
      </c>
      <c r="BH57" s="161">
        <f>IFERROR(AVERAGEIFS(AllData[Phosphate (PPM)], AllData[Site Name], $B57, AllData[Season], "Spring", AllData[Year], "2025"), "")</f>
        <v>0.27800000000000002</v>
      </c>
      <c r="BI57" s="27">
        <f t="shared" si="26"/>
        <v>-0.46375283457560301</v>
      </c>
      <c r="BJ57" s="27">
        <f t="shared" si="27"/>
        <v>-0.33101604278074864</v>
      </c>
      <c r="BK57" s="165">
        <f>COUNTIFS(AllData[Site Name], Tables!$B57, AllData[Season], "Summer", AllData[Year], "2025")</f>
        <v>0</v>
      </c>
      <c r="BL57" s="160" t="str">
        <f>IFERROR(AVERAGEIFS(AllData[Nitrate (PPM)], AllData[Site Name], $B57, AllData[Season], "Summer", AllData[Year], "2025"), "")</f>
        <v/>
      </c>
      <c r="BM57" s="27" t="str">
        <f t="shared" si="28"/>
        <v/>
      </c>
      <c r="BN57" s="27" t="str">
        <f t="shared" si="29"/>
        <v/>
      </c>
      <c r="BO57" s="161" t="str">
        <f>IFERROR(AVERAGEIFS(AllData[Phosphate (PPM)], AllData[Site Name], $B57, AllData[Season], "Summer", AllData[Year], "2025"),"")</f>
        <v/>
      </c>
      <c r="BP57" s="27" t="str">
        <f t="shared" si="30"/>
        <v/>
      </c>
      <c r="BQ57" s="27" t="str">
        <f t="shared" si="31"/>
        <v/>
      </c>
      <c r="BR57" s="165">
        <f>COUNTIFS(AllData[Site Name], Tables!$B57, AllData[Season], "Autumn", AllData[Year], "2025")</f>
        <v>0</v>
      </c>
      <c r="BS57" s="160" t="str">
        <f>IFERROR(AVERAGEIFS(AllData[Nitrate (PPM)], AllData[Site Name], $B57, AllData[Season], "Autumn", AllData[Year], "2025"), "")</f>
        <v/>
      </c>
      <c r="BT57" s="27" t="str">
        <f t="shared" si="32"/>
        <v/>
      </c>
      <c r="BU57" s="27" t="str">
        <f t="shared" si="33"/>
        <v/>
      </c>
      <c r="BV57" s="161" t="str">
        <f>IFERROR(AVERAGEIFS(AllData[Phosphate (PPM)], AllData[Site Name], AD57, AllData[Season], "Autumn", AllData[Year], "2025"), "")</f>
        <v/>
      </c>
      <c r="BW57" s="27" t="str">
        <f t="shared" si="34"/>
        <v/>
      </c>
      <c r="BX57" s="28" t="str">
        <f t="shared" si="35"/>
        <v/>
      </c>
      <c r="BY57" s="165">
        <f>COUNTIFS(AllData[Site Name], Tables!$B57, AllData[Season], "Winter", AllData[Year], "2025")</f>
        <v>0</v>
      </c>
      <c r="BZ57" s="160" t="str">
        <f>IFERROR(AVERAGEIFS(AllData[Nitrate (PPM)], AllData[Site Name], $B57, AllData[Season], "Winter", AllData[Year], "2025"), "")</f>
        <v/>
      </c>
      <c r="CA57" s="27" t="str">
        <f t="shared" si="36"/>
        <v/>
      </c>
      <c r="CB57" s="27" t="str">
        <f t="shared" si="40"/>
        <v/>
      </c>
      <c r="CC57" s="161" t="str">
        <f>IFERROR(AVERAGEIFS(AllData[Phosphate (PPM)], AllData[Site Name], $B57, AllData[Season], "Winter", AllData[Year], "2025"), "")</f>
        <v/>
      </c>
      <c r="CD57" s="27" t="str">
        <f t="shared" si="38"/>
        <v/>
      </c>
      <c r="CE57" s="44" t="str">
        <f t="shared" si="41"/>
        <v/>
      </c>
    </row>
    <row r="58" spans="2:83" x14ac:dyDescent="0.35">
      <c r="B58" s="159" t="s">
        <v>621</v>
      </c>
      <c r="C58" s="113">
        <f>IFERROR(AVERAGEIF(AllData[Site Name], Tables!B58, AllData[Latitude]), "Unknown")</f>
        <v>52.286066538461554</v>
      </c>
      <c r="D58" s="113">
        <f>IFERROR(AVERAGEIF(AllData[Site Name], Tables!B58, AllData[Longitude]), "Unknown")</f>
        <v>-1.7472480769230765</v>
      </c>
      <c r="E58" s="13" t="e" vm="1">
        <f>_xlfn.XLOOKUP(B58,LocationsKey[Site Name], LocationsKey[District])</f>
        <v>#VALUE!</v>
      </c>
      <c r="F58" s="13" t="e" vm="21">
        <f>_xlfn.XLOOKUP(B58,LocationsKey[Site Name], LocationsKey[Town])</f>
        <v>#VALUE!</v>
      </c>
      <c r="G58" s="25" t="str">
        <f>_xlfn.XLOOKUP(B58,LocationsKey[Site Name],LocationsKey[Waterway])</f>
        <v>Preston Bagot Brook</v>
      </c>
      <c r="H58" s="157">
        <f>COUNTIF(AllData[Site Name], Tables!B58)</f>
        <v>26</v>
      </c>
      <c r="I58" s="160">
        <f t="shared" si="0"/>
        <v>3.0902777777777772</v>
      </c>
      <c r="J58" s="161">
        <f t="shared" si="1"/>
        <v>0.57816666666666683</v>
      </c>
      <c r="K58" s="27" cm="1">
        <f t="array" ref="K58">SUM(COUNTIFS(AllData[Site Name], B58, AllData[Nitrate Pollution Category], {"High","Very high"}))/COUNTIFS(AllData[Site Name], B58, AllData[Nitrate (PPM)], "&lt;&gt;0")</f>
        <v>1</v>
      </c>
      <c r="L58" s="27" cm="1">
        <f t="array" ref="L58">SUM(COUNTIFS(AllData[Site Name], B58, AllData[Phosphate Pollution Category], {"High","Very high"}))/COUNTIFS(AllData[Site Name], B58, AllData[Phosphate (PPM)], "&lt;&gt;0")</f>
        <v>1</v>
      </c>
      <c r="M58" s="157">
        <f t="shared" si="2"/>
        <v>71</v>
      </c>
      <c r="N58" s="157">
        <f t="shared" si="3"/>
        <v>36</v>
      </c>
      <c r="O58" s="26">
        <f>COUNTIFS(AllData[Site Name], Tables!$B58, AllData[Season], "Summer", AllData[Year], "2023")</f>
        <v>0</v>
      </c>
      <c r="P58" s="160" t="str">
        <f>IFERROR(AVERAGEIFS(AllData[Nitrate (PPM)], AllData[Site Name], $B58, AllData[Season], "Summer", AllData[Year], "2023"), "")</f>
        <v/>
      </c>
      <c r="Q58" s="27" t="str">
        <f t="shared" si="4"/>
        <v/>
      </c>
      <c r="R58" s="161" t="str">
        <f>IFERROR(AVERAGEIFS(AllData[Phosphate (PPM)], AllData[Site Name], $B58, AllData[Season], "Summer", AllData[Year], "2023"),"")</f>
        <v/>
      </c>
      <c r="S58" s="28" t="str">
        <f t="shared" si="5"/>
        <v/>
      </c>
      <c r="T58" s="26">
        <f>COUNTIFS(AllData[Site Name], Tables!$B58, AllData[Season], "Autumn", AllData[Year], "2023")</f>
        <v>0</v>
      </c>
      <c r="U58" s="160" t="str">
        <f>IFERROR(AVERAGEIFS(AllData[Nitrate (PPM)], AllData[Site Name], $B58, AllData[Season], "Autumn", AllData[Year], "2023"), "")</f>
        <v/>
      </c>
      <c r="V58" s="27" t="str">
        <f t="shared" si="6"/>
        <v/>
      </c>
      <c r="W58" s="161" t="str">
        <f>IFERROR(AVERAGEIFS(AllData[Phosphate (PPM)], AllData[Site Name], $B58, AllData[Season], "Autumn", AllData[Year], "2023"),"")</f>
        <v/>
      </c>
      <c r="X58" s="28" t="str">
        <f t="shared" si="7"/>
        <v/>
      </c>
      <c r="Y58" s="26">
        <f>COUNTIFS(AllData[Site Name], Tables!$B58, AllData[Season], "Winter", AllData[Year], "2023")</f>
        <v>4</v>
      </c>
      <c r="Z58" s="160">
        <f>IFERROR(AVERAGEIFS(AllData[Nitrate (PPM)], AllData[Site Name], $B58, AllData[Season], "Winter", AllData[Year], "2023"), "")</f>
        <v>2.125</v>
      </c>
      <c r="AA58" s="27">
        <f t="shared" si="8"/>
        <v>-0.31235955056179765</v>
      </c>
      <c r="AB58" s="161">
        <f>IFERROR(AVERAGEIFS(AllData[Phosphate (PPM)], AllData[Site Name], $B58, AllData[Season], "Winter", AllData[Year], "2023"),"")</f>
        <v>0.56999999999999995</v>
      </c>
      <c r="AC58" s="28">
        <f t="shared" si="9"/>
        <v>-1.4125108100317455E-2</v>
      </c>
      <c r="AD58" s="26">
        <f>COUNTIFS(AllData[Site Name], Tables!$B58, AllData[Season], "Spring", AllData[Year], "2024")</f>
        <v>10</v>
      </c>
      <c r="AE58" s="160">
        <f>IFERROR(AVERAGEIFS(AllData[Nitrate (PPM)], AllData[Site Name], $B58, AllData[Season], "Spring", AllData[Year], "2024"), "")</f>
        <v>2.75</v>
      </c>
      <c r="AF58" s="27">
        <f t="shared" si="10"/>
        <v>-0.11011235955056164</v>
      </c>
      <c r="AG58" s="161">
        <f>IFERROR(AVERAGEIFS(AllData[Phosphate (PPM)], AllData[Site Name], $B58, AllData[Season], "Spring", AllData[Year], "2024"),"")</f>
        <v>0.61099999999999999</v>
      </c>
      <c r="AH58" s="28">
        <f t="shared" si="11"/>
        <v>5.6788699913519432E-2</v>
      </c>
      <c r="AI58" s="165">
        <f>COUNTIFS(AllData[Site Name], Tables!$B58, AllData[Season], "Summer", AllData[Year], "2024")</f>
        <v>5</v>
      </c>
      <c r="AJ58" s="160">
        <f>IFERROR(AVERAGEIFS(AllData[Nitrate (PPM)], AllData[Site Name], $B58, AllData[Season], "Summer", AllData[Year], "2024"), "")</f>
        <v>3</v>
      </c>
      <c r="AK58" s="27">
        <f t="shared" si="12"/>
        <v>-2.9213483146067244E-2</v>
      </c>
      <c r="AL58" s="27" t="str">
        <f t="shared" si="13"/>
        <v/>
      </c>
      <c r="AM58" s="161">
        <f>IFERROR(AVERAGEIFS(AllData[Phosphate (PPM)], AllData[Site Name], $B58, AllData[Season], "Summer", AllData[Year], "2024"),"")</f>
        <v>0.67800000000000016</v>
      </c>
      <c r="AN58" s="27">
        <f t="shared" si="14"/>
        <v>0.17267223983857014</v>
      </c>
      <c r="AO58" s="28" t="str">
        <f t="shared" si="15"/>
        <v/>
      </c>
      <c r="AP58" s="157">
        <f>COUNTIFS(AllData[Site Name], Tables!$B58, AllData[Season], "Autumn", AllData[Year], "2024")</f>
        <v>3</v>
      </c>
      <c r="AQ58" s="160">
        <f>IFERROR(AVERAGEIFS(AllData[Nitrate (PPM)], AllData[Site Name], $B58, AllData[Season], "Autumn", AllData[Year], "2024"), "")</f>
        <v>4</v>
      </c>
      <c r="AR58" s="27">
        <f t="shared" si="16"/>
        <v>0.29438202247191037</v>
      </c>
      <c r="AS58" s="27" t="str">
        <f t="shared" si="42"/>
        <v/>
      </c>
      <c r="AT58" s="161">
        <f>IFERROR(AVERAGEIFS(AllData[Phosphate (PPM)], AllData[Site Name], B58, AllData[Season], "Autumn", AllData[Year], "2024"), "")</f>
        <v>0.65666666666666673</v>
      </c>
      <c r="AU58" s="27">
        <f t="shared" si="18"/>
        <v>0.13577399827039471</v>
      </c>
      <c r="AV58" s="28" t="str">
        <f t="shared" si="43"/>
        <v/>
      </c>
      <c r="AW58" s="165">
        <f>COUNTIFS(AllData[Site Name], Tables!$B58, AllData[Season], "Winter", AllData[Year], "2024")</f>
        <v>3</v>
      </c>
      <c r="AX58" s="160">
        <f>IFERROR(AVERAGEIFS(AllData[Nitrate (PPM)], AllData[Site Name], $B58, AllData[Season], "Winter", AllData[Year], "2024"), "")</f>
        <v>3.1666666666666665</v>
      </c>
      <c r="AY58" s="27">
        <f t="shared" si="20"/>
        <v>2.4719101123595637E-2</v>
      </c>
      <c r="AZ58" s="27">
        <f t="shared" si="21"/>
        <v>0.49019607843137247</v>
      </c>
      <c r="BA58" s="161">
        <f>IFERROR(AVERAGEIFS(AllData[Phosphate (PPM)], AllData[Site Name], $B58, AllData[Season], "Winter", AllData[Year], "2024"), "")</f>
        <v>0.5033333333333333</v>
      </c>
      <c r="BB58" s="27">
        <f t="shared" si="22"/>
        <v>-0.1294321130008651</v>
      </c>
      <c r="BC58" s="44">
        <f t="shared" si="23"/>
        <v>-0.11695906432748536</v>
      </c>
      <c r="BD58" s="157">
        <f>COUNTIFS(AllData[Site Name], Tables!$B58, AllData[Season], "Spring", AllData[Year], "2025")</f>
        <v>1</v>
      </c>
      <c r="BE58" s="160">
        <f>IFERROR(AVERAGEIFS(AllData[Nitrate (PPM)], AllData[Site Name], $B58, AllData[Season], "Spring", AllData[Year], "2025"), "")</f>
        <v>3.5</v>
      </c>
      <c r="BF58" s="27">
        <f t="shared" si="24"/>
        <v>0.13258426966292156</v>
      </c>
      <c r="BG58" s="27">
        <f t="shared" si="25"/>
        <v>0.27272727272727271</v>
      </c>
      <c r="BH58" s="161">
        <f>IFERROR(AVERAGEIFS(AllData[Phosphate (PPM)], AllData[Site Name], $B58, AllData[Season], "Spring", AllData[Year], "2025"), "")</f>
        <v>0.45</v>
      </c>
      <c r="BI58" s="27">
        <f t="shared" si="26"/>
        <v>-0.22167771692130317</v>
      </c>
      <c r="BJ58" s="27">
        <f t="shared" si="27"/>
        <v>-0.26350245499181668</v>
      </c>
      <c r="BK58" s="165">
        <f>COUNTIFS(AllData[Site Name], Tables!$B58, AllData[Season], "Summer", AllData[Year], "2025")</f>
        <v>0</v>
      </c>
      <c r="BL58" s="160" t="str">
        <f>IFERROR(AVERAGEIFS(AllData[Nitrate (PPM)], AllData[Site Name], $B58, AllData[Season], "Summer", AllData[Year], "2025"), "")</f>
        <v/>
      </c>
      <c r="BM58" s="27" t="str">
        <f t="shared" si="28"/>
        <v/>
      </c>
      <c r="BN58" s="27" t="str">
        <f t="shared" si="29"/>
        <v/>
      </c>
      <c r="BO58" s="161" t="str">
        <f>IFERROR(AVERAGEIFS(AllData[Phosphate (PPM)], AllData[Site Name], $B58, AllData[Season], "Summer", AllData[Year], "2025"),"")</f>
        <v/>
      </c>
      <c r="BP58" s="27" t="str">
        <f t="shared" si="30"/>
        <v/>
      </c>
      <c r="BQ58" s="27" t="str">
        <f t="shared" si="31"/>
        <v/>
      </c>
      <c r="BR58" s="165">
        <f>COUNTIFS(AllData[Site Name], Tables!$B58, AllData[Season], "Autumn", AllData[Year], "2025")</f>
        <v>0</v>
      </c>
      <c r="BS58" s="160" t="str">
        <f>IFERROR(AVERAGEIFS(AllData[Nitrate (PPM)], AllData[Site Name], $B58, AllData[Season], "Autumn", AllData[Year], "2025"), "")</f>
        <v/>
      </c>
      <c r="BT58" s="27" t="str">
        <f t="shared" si="32"/>
        <v/>
      </c>
      <c r="BU58" s="27" t="str">
        <f t="shared" si="33"/>
        <v/>
      </c>
      <c r="BV58" s="161" t="str">
        <f>IFERROR(AVERAGEIFS(AllData[Phosphate (PPM)], AllData[Site Name], AD58, AllData[Season], "Autumn", AllData[Year], "2025"), "")</f>
        <v/>
      </c>
      <c r="BW58" s="27" t="str">
        <f t="shared" si="34"/>
        <v/>
      </c>
      <c r="BX58" s="28" t="str">
        <f t="shared" si="35"/>
        <v/>
      </c>
      <c r="BY58" s="165">
        <f>COUNTIFS(AllData[Site Name], Tables!$B58, AllData[Season], "Winter", AllData[Year], "2025")</f>
        <v>0</v>
      </c>
      <c r="BZ58" s="160" t="str">
        <f>IFERROR(AVERAGEIFS(AllData[Nitrate (PPM)], AllData[Site Name], $B58, AllData[Season], "Winter", AllData[Year], "2025"), "")</f>
        <v/>
      </c>
      <c r="CA58" s="27" t="str">
        <f t="shared" si="36"/>
        <v/>
      </c>
      <c r="CB58" s="27" t="str">
        <f t="shared" si="40"/>
        <v/>
      </c>
      <c r="CC58" s="161" t="str">
        <f>IFERROR(AVERAGEIFS(AllData[Phosphate (PPM)], AllData[Site Name], $B58, AllData[Season], "Winter", AllData[Year], "2025"), "")</f>
        <v/>
      </c>
      <c r="CD58" s="27" t="str">
        <f t="shared" si="38"/>
        <v/>
      </c>
      <c r="CE58" s="44" t="str">
        <f t="shared" si="41"/>
        <v/>
      </c>
    </row>
    <row r="59" spans="2:83" x14ac:dyDescent="0.35">
      <c r="B59" s="159" t="s">
        <v>618</v>
      </c>
      <c r="C59" s="113">
        <f>IFERROR(AVERAGEIF(AllData[Site Name], Tables!B59, AllData[Latitude]), "Unknown")</f>
        <v>52.286975789473694</v>
      </c>
      <c r="D59" s="113">
        <f>IFERROR(AVERAGEIF(AllData[Site Name], Tables!B59, AllData[Longitude]), "Unknown")</f>
        <v>-1.5622505263157891</v>
      </c>
      <c r="E59" s="13" t="e" vm="1">
        <f>_xlfn.XLOOKUP(B59,LocationsKey[Site Name], LocationsKey[District])</f>
        <v>#VALUE!</v>
      </c>
      <c r="F59" s="13" t="e" vm="21">
        <f>_xlfn.XLOOKUP(B59,LocationsKey[Site Name], LocationsKey[Town])</f>
        <v>#VALUE!</v>
      </c>
      <c r="G59" s="25" t="str">
        <f>_xlfn.XLOOKUP(B59,LocationsKey[Site Name],LocationsKey[Waterway])</f>
        <v>Preston Bagot Canal</v>
      </c>
      <c r="H59" s="157">
        <f>COUNTIF(AllData[Site Name], Tables!B59)</f>
        <v>26</v>
      </c>
      <c r="I59" s="160">
        <f t="shared" si="0"/>
        <v>1.4791666666666667</v>
      </c>
      <c r="J59" s="161">
        <f t="shared" si="1"/>
        <v>0.17800000000000002</v>
      </c>
      <c r="K59" s="27" cm="1">
        <f t="array" ref="K59">SUM(COUNTIFS(AllData[Site Name], B59, AllData[Nitrate Pollution Category], {"High","Very high"}))/COUNTIFS(AllData[Site Name], B59, AllData[Nitrate (PPM)], "&lt;&gt;0")</f>
        <v>0.89473684210526316</v>
      </c>
      <c r="L59" s="27" cm="1">
        <f t="array" ref="L59">SUM(COUNTIFS(AllData[Site Name], B59, AllData[Phosphate Pollution Category], {"High","Very high"}))/COUNTIFS(AllData[Site Name], B59, AllData[Phosphate (PPM)], "&lt;&gt;0")</f>
        <v>0.79166666666666663</v>
      </c>
      <c r="M59" s="157">
        <f t="shared" si="2"/>
        <v>84</v>
      </c>
      <c r="N59" s="157">
        <f t="shared" si="3"/>
        <v>80</v>
      </c>
      <c r="O59" s="26">
        <f>COUNTIFS(AllData[Site Name], Tables!$B59, AllData[Season], "Summer", AllData[Year], "2023")</f>
        <v>0</v>
      </c>
      <c r="P59" s="160" t="str">
        <f>IFERROR(AVERAGEIFS(AllData[Nitrate (PPM)], AllData[Site Name], $B59, AllData[Season], "Summer", AllData[Year], "2023"), "")</f>
        <v/>
      </c>
      <c r="Q59" s="27" t="str">
        <f t="shared" si="4"/>
        <v/>
      </c>
      <c r="R59" s="161" t="str">
        <f>IFERROR(AVERAGEIFS(AllData[Phosphate (PPM)], AllData[Site Name], $B59, AllData[Season], "Summer", AllData[Year], "2023"),"")</f>
        <v/>
      </c>
      <c r="S59" s="28" t="str">
        <f t="shared" si="5"/>
        <v/>
      </c>
      <c r="T59" s="26">
        <f>COUNTIFS(AllData[Site Name], Tables!$B59, AllData[Season], "Autumn", AllData[Year], "2023")</f>
        <v>0</v>
      </c>
      <c r="U59" s="160" t="str">
        <f>IFERROR(AVERAGEIFS(AllData[Nitrate (PPM)], AllData[Site Name], $B59, AllData[Season], "Autumn", AllData[Year], "2023"), "")</f>
        <v/>
      </c>
      <c r="V59" s="27" t="str">
        <f t="shared" si="6"/>
        <v/>
      </c>
      <c r="W59" s="161" t="str">
        <f>IFERROR(AVERAGEIFS(AllData[Phosphate (PPM)], AllData[Site Name], $B59, AllData[Season], "Autumn", AllData[Year], "2023"),"")</f>
        <v/>
      </c>
      <c r="X59" s="28" t="str">
        <f t="shared" si="7"/>
        <v/>
      </c>
      <c r="Y59" s="26">
        <f>COUNTIFS(AllData[Site Name], Tables!$B59, AllData[Season], "Winter", AllData[Year], "2023")</f>
        <v>4</v>
      </c>
      <c r="Z59" s="160">
        <f>IFERROR(AVERAGEIFS(AllData[Nitrate (PPM)], AllData[Site Name], $B59, AllData[Season], "Winter", AllData[Year], "2023"), "")</f>
        <v>2.125</v>
      </c>
      <c r="AA59" s="27">
        <f t="shared" si="8"/>
        <v>0.43661971830985907</v>
      </c>
      <c r="AB59" s="161">
        <f>IFERROR(AVERAGEIFS(AllData[Phosphate (PPM)], AllData[Site Name], $B59, AllData[Season], "Winter", AllData[Year], "2023"),"")</f>
        <v>0.28500000000000003</v>
      </c>
      <c r="AC59" s="28">
        <f t="shared" si="9"/>
        <v>0.601123595505618</v>
      </c>
      <c r="AD59" s="26">
        <f>COUNTIFS(AllData[Site Name], Tables!$B59, AllData[Season], "Spring", AllData[Year], "2024")</f>
        <v>10</v>
      </c>
      <c r="AE59" s="160">
        <f>IFERROR(AVERAGEIFS(AllData[Nitrate (PPM)], AllData[Site Name], $B59, AllData[Season], "Spring", AllData[Year], "2024"), "")</f>
        <v>1.7</v>
      </c>
      <c r="AF59" s="27">
        <f t="shared" si="10"/>
        <v>0.14929577464788724</v>
      </c>
      <c r="AG59" s="161">
        <f>IFERROR(AVERAGEIFS(AllData[Phosphate (PPM)], AllData[Site Name], $B59, AllData[Season], "Spring", AllData[Year], "2024"),"")</f>
        <v>0.16300000000000001</v>
      </c>
      <c r="AH59" s="28">
        <f t="shared" si="11"/>
        <v>-8.4269662921348382E-2</v>
      </c>
      <c r="AI59" s="165">
        <f>COUNTIFS(AllData[Site Name], Tables!$B59, AllData[Season], "Summer", AllData[Year], "2024")</f>
        <v>6</v>
      </c>
      <c r="AJ59" s="160">
        <f>IFERROR(AVERAGEIFS(AllData[Nitrate (PPM)], AllData[Site Name], $B59, AllData[Season], "Summer", AllData[Year], "2024"), "")</f>
        <v>4.9999999999999996E-2</v>
      </c>
      <c r="AK59" s="27">
        <f t="shared" si="12"/>
        <v>-0.96619718309859148</v>
      </c>
      <c r="AL59" s="27" t="str">
        <f t="shared" si="13"/>
        <v/>
      </c>
      <c r="AM59" s="161">
        <f>IFERROR(AVERAGEIFS(AllData[Phosphate (PPM)], AllData[Site Name], $B59, AllData[Season], "Summer", AllData[Year], "2024"),"")</f>
        <v>0.11166666666666669</v>
      </c>
      <c r="AN59" s="27">
        <f t="shared" si="14"/>
        <v>-0.37265917602996246</v>
      </c>
      <c r="AO59" s="28" t="str">
        <f t="shared" si="15"/>
        <v/>
      </c>
      <c r="AP59" s="157">
        <f>COUNTIFS(AllData[Site Name], Tables!$B59, AllData[Season], "Autumn", AllData[Year], "2024")</f>
        <v>2</v>
      </c>
      <c r="AQ59" s="160">
        <f>IFERROR(AVERAGEIFS(AllData[Nitrate (PPM)], AllData[Site Name], $B59, AllData[Season], "Autumn", AllData[Year], "2024"), "")</f>
        <v>2</v>
      </c>
      <c r="AR59" s="27">
        <f t="shared" si="16"/>
        <v>0.35211267605633795</v>
      </c>
      <c r="AS59" s="27" t="str">
        <f t="shared" si="42"/>
        <v/>
      </c>
      <c r="AT59" s="161">
        <f>IFERROR(AVERAGEIFS(AllData[Phosphate (PPM)], AllData[Site Name], B59, AllData[Season], "Autumn", AllData[Year], "2024"), "")</f>
        <v>0.14500000000000002</v>
      </c>
      <c r="AU59" s="27">
        <f t="shared" si="18"/>
        <v>-0.18539325842696627</v>
      </c>
      <c r="AV59" s="28" t="str">
        <f t="shared" si="43"/>
        <v/>
      </c>
      <c r="AW59" s="165">
        <f>COUNTIFS(AllData[Site Name], Tables!$B59, AllData[Season], "Winter", AllData[Year], "2024")</f>
        <v>3</v>
      </c>
      <c r="AX59" s="160">
        <f>IFERROR(AVERAGEIFS(AllData[Nitrate (PPM)], AllData[Site Name], $B59, AllData[Season], "Winter", AllData[Year], "2024"), "")</f>
        <v>2</v>
      </c>
      <c r="AY59" s="27">
        <f t="shared" si="20"/>
        <v>0.35211267605633795</v>
      </c>
      <c r="AZ59" s="27">
        <f t="shared" si="21"/>
        <v>-5.8823529411764705E-2</v>
      </c>
      <c r="BA59" s="161">
        <f>IFERROR(AVERAGEIFS(AllData[Phosphate (PPM)], AllData[Site Name], $B59, AllData[Season], "Winter", AllData[Year], "2024"), "")</f>
        <v>0.19333333333333333</v>
      </c>
      <c r="BB59" s="27">
        <f t="shared" si="22"/>
        <v>8.6142322097378141E-2</v>
      </c>
      <c r="BC59" s="44">
        <f t="shared" si="23"/>
        <v>-0.32163742690058489</v>
      </c>
      <c r="BD59" s="157">
        <f>COUNTIFS(AllData[Site Name], Tables!$B59, AllData[Season], "Spring", AllData[Year], "2025")</f>
        <v>1</v>
      </c>
      <c r="BE59" s="160">
        <f>IFERROR(AVERAGEIFS(AllData[Nitrate (PPM)], AllData[Site Name], $B59, AllData[Season], "Spring", AllData[Year], "2025"), "")</f>
        <v>1</v>
      </c>
      <c r="BF59" s="27">
        <f t="shared" si="24"/>
        <v>-0.323943661971831</v>
      </c>
      <c r="BG59" s="27">
        <f t="shared" si="25"/>
        <v>-0.41176470588235292</v>
      </c>
      <c r="BH59" s="161">
        <f>IFERROR(AVERAGEIFS(AllData[Phosphate (PPM)], AllData[Site Name], $B59, AllData[Season], "Spring", AllData[Year], "2025"), "")</f>
        <v>0.17</v>
      </c>
      <c r="BI59" s="27">
        <f t="shared" si="26"/>
        <v>-4.4943820224719135E-2</v>
      </c>
      <c r="BJ59" s="27">
        <f t="shared" si="27"/>
        <v>4.2944785276073656E-2</v>
      </c>
      <c r="BK59" s="165">
        <f>COUNTIFS(AllData[Site Name], Tables!$B59, AllData[Season], "Summer", AllData[Year], "2025")</f>
        <v>0</v>
      </c>
      <c r="BL59" s="160" t="str">
        <f>IFERROR(AVERAGEIFS(AllData[Nitrate (PPM)], AllData[Site Name], $B59, AllData[Season], "Summer", AllData[Year], "2025"), "")</f>
        <v/>
      </c>
      <c r="BM59" s="27" t="str">
        <f t="shared" si="28"/>
        <v/>
      </c>
      <c r="BN59" s="27" t="str">
        <f t="shared" si="29"/>
        <v/>
      </c>
      <c r="BO59" s="161" t="str">
        <f>IFERROR(AVERAGEIFS(AllData[Phosphate (PPM)], AllData[Site Name], $B59, AllData[Season], "Summer", AllData[Year], "2025"),"")</f>
        <v/>
      </c>
      <c r="BP59" s="27" t="str">
        <f t="shared" si="30"/>
        <v/>
      </c>
      <c r="BQ59" s="27" t="str">
        <f t="shared" si="31"/>
        <v/>
      </c>
      <c r="BR59" s="165">
        <f>COUNTIFS(AllData[Site Name], Tables!$B59, AllData[Season], "Autumn", AllData[Year], "2025")</f>
        <v>0</v>
      </c>
      <c r="BS59" s="160" t="str">
        <f>IFERROR(AVERAGEIFS(AllData[Nitrate (PPM)], AllData[Site Name], $B59, AllData[Season], "Autumn", AllData[Year], "2025"), "")</f>
        <v/>
      </c>
      <c r="BT59" s="27" t="str">
        <f t="shared" si="32"/>
        <v/>
      </c>
      <c r="BU59" s="27" t="str">
        <f t="shared" si="33"/>
        <v/>
      </c>
      <c r="BV59" s="161" t="str">
        <f>IFERROR(AVERAGEIFS(AllData[Phosphate (PPM)], AllData[Site Name], AD59, AllData[Season], "Autumn", AllData[Year], "2025"), "")</f>
        <v/>
      </c>
      <c r="BW59" s="27" t="str">
        <f t="shared" si="34"/>
        <v/>
      </c>
      <c r="BX59" s="28" t="str">
        <f t="shared" si="35"/>
        <v/>
      </c>
      <c r="BY59" s="165">
        <f>COUNTIFS(AllData[Site Name], Tables!$B59, AllData[Season], "Winter", AllData[Year], "2025")</f>
        <v>0</v>
      </c>
      <c r="BZ59" s="160" t="str">
        <f>IFERROR(AVERAGEIFS(AllData[Nitrate (PPM)], AllData[Site Name], $B59, AllData[Season], "Winter", AllData[Year], "2025"), "")</f>
        <v/>
      </c>
      <c r="CA59" s="27" t="str">
        <f t="shared" si="36"/>
        <v/>
      </c>
      <c r="CB59" s="27" t="str">
        <f t="shared" si="40"/>
        <v/>
      </c>
      <c r="CC59" s="161" t="str">
        <f>IFERROR(AVERAGEIFS(AllData[Phosphate (PPM)], AllData[Site Name], $B59, AllData[Season], "Winter", AllData[Year], "2025"), "")</f>
        <v/>
      </c>
      <c r="CD59" s="27" t="str">
        <f t="shared" si="38"/>
        <v/>
      </c>
      <c r="CE59" s="44" t="str">
        <f t="shared" si="41"/>
        <v/>
      </c>
    </row>
    <row r="60" spans="2:83" x14ac:dyDescent="0.35">
      <c r="B60" s="159" t="s">
        <v>3564</v>
      </c>
      <c r="C60" s="113">
        <f>IFERROR(AVERAGEIF(AllData[Site Name], Tables!B60, AllData[Latitude]), "Unknown")</f>
        <v>52.146672352941174</v>
      </c>
      <c r="D60" s="113">
        <f>IFERROR(AVERAGEIF(AllData[Site Name], Tables!B60, AllData[Longitude]), "Unknown")</f>
        <v>-1.6984533333333334</v>
      </c>
      <c r="E60" s="13" t="e" vm="1">
        <f>_xlfn.XLOOKUP(B60,LocationsKey[Site Name], LocationsKey[District])</f>
        <v>#VALUE!</v>
      </c>
      <c r="F60" s="13" t="e" vm="20">
        <f>_xlfn.XLOOKUP(B60,LocationsKey[Site Name], LocationsKey[Town])</f>
        <v>#VALUE!</v>
      </c>
      <c r="G60" s="25" t="str">
        <f>_xlfn.XLOOKUP(B60,LocationsKey[Site Name],LocationsKey[Waterway])</f>
        <v>Stour</v>
      </c>
      <c r="H60" s="157">
        <f>COUNTIF(AllData[Site Name], Tables!B60)</f>
        <v>52</v>
      </c>
      <c r="I60" s="160">
        <f t="shared" si="0"/>
        <v>5.208333333333333</v>
      </c>
      <c r="J60" s="161">
        <f t="shared" si="1"/>
        <v>0.35319940476190476</v>
      </c>
      <c r="K60" s="27" cm="1">
        <f t="array" ref="K60">SUM(COUNTIFS(AllData[Site Name], B60, AllData[Nitrate Pollution Category], {"High","Very high"}))/COUNTIFS(AllData[Site Name], B60, AllData[Nitrate (PPM)], "&lt;&gt;0")</f>
        <v>1</v>
      </c>
      <c r="L60" s="27" cm="1">
        <f t="array" ref="L60">SUM(COUNTIFS(AllData[Site Name], B60, AllData[Phosphate Pollution Category], {"High","Very high"}))/COUNTIFS(AllData[Site Name], B60, AllData[Phosphate (PPM)], "&lt;&gt;0")</f>
        <v>0.98076923076923073</v>
      </c>
      <c r="M60" s="157">
        <f t="shared" si="2"/>
        <v>46</v>
      </c>
      <c r="N60" s="157">
        <f t="shared" si="3"/>
        <v>68</v>
      </c>
      <c r="O60" s="26">
        <f>COUNTIFS(AllData[Site Name], Tables!$B60, AllData[Season], "Summer", AllData[Year], "2023")</f>
        <v>1</v>
      </c>
      <c r="P60" s="160">
        <f>IFERROR(AVERAGEIFS(AllData[Nitrate (PPM)], AllData[Site Name], $B60, AllData[Season], "Summer", AllData[Year], "2023"), "")</f>
        <v>5</v>
      </c>
      <c r="Q60" s="27">
        <f t="shared" si="4"/>
        <v>-3.9999999999999945E-2</v>
      </c>
      <c r="R60" s="161">
        <f>IFERROR(AVERAGEIFS(AllData[Phosphate (PPM)], AllData[Site Name], $B60, AllData[Season], "Summer", AllData[Year], "2023"),"")</f>
        <v>0.55000000000000004</v>
      </c>
      <c r="S60" s="28">
        <f t="shared" si="5"/>
        <v>0.55719401727406803</v>
      </c>
      <c r="T60" s="26">
        <f>COUNTIFS(AllData[Site Name], Tables!$B60, AllData[Season], "Autumn", AllData[Year], "2023")</f>
        <v>12</v>
      </c>
      <c r="U60" s="160">
        <f>IFERROR(AVERAGEIFS(AllData[Nitrate (PPM)], AllData[Site Name], $B60, AllData[Season], "Autumn", AllData[Year], "2023"), "")</f>
        <v>5</v>
      </c>
      <c r="V60" s="27">
        <f t="shared" si="6"/>
        <v>-3.9999999999999945E-2</v>
      </c>
      <c r="W60" s="161">
        <f>IFERROR(AVERAGEIFS(AllData[Phosphate (PPM)], AllData[Site Name], $B60, AllData[Season], "Autumn", AllData[Year], "2023"),"")</f>
        <v>0.47749999999999998</v>
      </c>
      <c r="X60" s="28">
        <f t="shared" si="7"/>
        <v>0.35192753317884978</v>
      </c>
      <c r="Y60" s="26">
        <f>COUNTIFS(AllData[Site Name], Tables!$B60, AllData[Season], "Winter", AllData[Year], "2023")</f>
        <v>7</v>
      </c>
      <c r="Z60" s="160">
        <f>IFERROR(AVERAGEIFS(AllData[Nitrate (PPM)], AllData[Site Name], $B60, AllData[Season], "Winter", AllData[Year], "2023"), "")</f>
        <v>5.4285714285714288</v>
      </c>
      <c r="AA60" s="27">
        <f t="shared" si="8"/>
        <v>4.2285714285714392E-2</v>
      </c>
      <c r="AB60" s="161">
        <f>IFERROR(AVERAGEIFS(AllData[Phosphate (PPM)], AllData[Site Name], $B60, AllData[Season], "Winter", AllData[Year], "2023"),"")</f>
        <v>0.24428571428571427</v>
      </c>
      <c r="AC60" s="28">
        <f t="shared" si="9"/>
        <v>-0.30836317674320624</v>
      </c>
      <c r="AD60" s="26">
        <f>COUNTIFS(AllData[Site Name], Tables!$B60, AllData[Season], "Spring", AllData[Year], "2024")</f>
        <v>14</v>
      </c>
      <c r="AE60" s="160">
        <f>IFERROR(AVERAGEIFS(AllData[Nitrate (PPM)], AllData[Site Name], $B60, AllData[Season], "Spring", AllData[Year], "2024"), "")</f>
        <v>5.8571428571428568</v>
      </c>
      <c r="AF60" s="27">
        <f t="shared" si="10"/>
        <v>0.12457142857142857</v>
      </c>
      <c r="AG60" s="161">
        <f>IFERROR(AVERAGEIFS(AllData[Phosphate (PPM)], AllData[Site Name], $B60, AllData[Season], "Spring", AllData[Year], "2024"),"")</f>
        <v>0.26214285714285712</v>
      </c>
      <c r="AH60" s="28">
        <f t="shared" si="11"/>
        <v>-0.25780492942911315</v>
      </c>
      <c r="AI60" s="165">
        <f>COUNTIFS(AllData[Site Name], Tables!$B60, AllData[Season], "Summer", AllData[Year], "2024")</f>
        <v>7</v>
      </c>
      <c r="AJ60" s="160">
        <f>IFERROR(AVERAGEIFS(AllData[Nitrate (PPM)], AllData[Site Name], $B60, AllData[Season], "Summer", AllData[Year], "2024"), "")</f>
        <v>5.7142857142857144</v>
      </c>
      <c r="AK60" s="27">
        <f t="shared" si="12"/>
        <v>9.7142857142857225E-2</v>
      </c>
      <c r="AL60" s="27">
        <f t="shared" si="13"/>
        <v>0.14285714285714288</v>
      </c>
      <c r="AM60" s="161">
        <f>IFERROR(AVERAGEIFS(AllData[Phosphate (PPM)], AllData[Site Name], $B60, AllData[Season], "Summer", AllData[Year], "2024"),"")</f>
        <v>0.51</v>
      </c>
      <c r="AN60" s="27">
        <f t="shared" si="14"/>
        <v>0.44394354329049929</v>
      </c>
      <c r="AO60" s="28">
        <f t="shared" si="15"/>
        <v>-7.2727272727272779E-2</v>
      </c>
      <c r="AP60" s="157">
        <f>COUNTIFS(AllData[Site Name], Tables!$B60, AllData[Season], "Autumn", AllData[Year], "2024")</f>
        <v>3</v>
      </c>
      <c r="AQ60" s="160">
        <f>IFERROR(AVERAGEIFS(AllData[Nitrate (PPM)], AllData[Site Name], $B60, AllData[Season], "Autumn", AllData[Year], "2024"), "")</f>
        <v>5</v>
      </c>
      <c r="AR60" s="27">
        <f t="shared" si="16"/>
        <v>-3.9999999999999945E-2</v>
      </c>
      <c r="AS60" s="27">
        <f t="shared" si="42"/>
        <v>0</v>
      </c>
      <c r="AT60" s="161">
        <f>IFERROR(AVERAGEIFS(AllData[Phosphate (PPM)], AllData[Site Name], B60, AllData[Season], "Autumn", AllData[Year], "2024"), "")</f>
        <v>0.42333333333333334</v>
      </c>
      <c r="AU60" s="27">
        <f t="shared" si="18"/>
        <v>0.19856751632610073</v>
      </c>
      <c r="AV60" s="28">
        <f t="shared" si="43"/>
        <v>-0.11343804537521809</v>
      </c>
      <c r="AW60" s="165">
        <f>COUNTIFS(AllData[Site Name], Tables!$B60, AllData[Season], "Winter", AllData[Year], "2024")</f>
        <v>6</v>
      </c>
      <c r="AX60" s="160">
        <f>IFERROR(AVERAGEIFS(AllData[Nitrate (PPM)], AllData[Site Name], $B60, AllData[Season], "Winter", AllData[Year], "2024"), "")</f>
        <v>5.166666666666667</v>
      </c>
      <c r="AY60" s="27">
        <f t="shared" si="20"/>
        <v>-7.9999999999998874E-3</v>
      </c>
      <c r="AZ60" s="27">
        <f t="shared" si="21"/>
        <v>-4.824561403508771E-2</v>
      </c>
      <c r="BA60" s="161">
        <f>IFERROR(AVERAGEIFS(AllData[Phosphate (PPM)], AllData[Site Name], $B60, AllData[Season], "Winter", AllData[Year], "2024"), "")</f>
        <v>0.19833333333333333</v>
      </c>
      <c r="BB60" s="27">
        <f t="shared" si="22"/>
        <v>-0.43846639983147251</v>
      </c>
      <c r="BC60" s="44">
        <f t="shared" si="23"/>
        <v>-0.18810916179337228</v>
      </c>
      <c r="BD60" s="157">
        <f>COUNTIFS(AllData[Site Name], Tables!$B60, AllData[Season], "Spring", AllData[Year], "2025")</f>
        <v>2</v>
      </c>
      <c r="BE60" s="160">
        <f>IFERROR(AVERAGEIFS(AllData[Nitrate (PPM)], AllData[Site Name], $B60, AllData[Season], "Spring", AllData[Year], "2025"), "")</f>
        <v>4.5</v>
      </c>
      <c r="BF60" s="27">
        <f t="shared" si="24"/>
        <v>-0.13599999999999995</v>
      </c>
      <c r="BG60" s="27">
        <f t="shared" si="25"/>
        <v>-0.23170731707317069</v>
      </c>
      <c r="BH60" s="161">
        <f>IFERROR(AVERAGEIFS(AllData[Phosphate (PPM)], AllData[Site Name], $B60, AllData[Season], "Spring", AllData[Year], "2025"), "")</f>
        <v>0.16</v>
      </c>
      <c r="BI60" s="27">
        <f t="shared" si="26"/>
        <v>-0.54699810406572569</v>
      </c>
      <c r="BJ60" s="27">
        <f t="shared" si="27"/>
        <v>-0.38964577656675742</v>
      </c>
      <c r="BK60" s="165">
        <f>COUNTIFS(AllData[Site Name], Tables!$B60, AllData[Season], "Summer", AllData[Year], "2025")</f>
        <v>0</v>
      </c>
      <c r="BL60" s="160" t="str">
        <f>IFERROR(AVERAGEIFS(AllData[Nitrate (PPM)], AllData[Site Name], $B60, AllData[Season], "Summer", AllData[Year], "2025"), "")</f>
        <v/>
      </c>
      <c r="BM60" s="27" t="str">
        <f t="shared" si="28"/>
        <v/>
      </c>
      <c r="BN60" s="27" t="str">
        <f t="shared" si="29"/>
        <v/>
      </c>
      <c r="BO60" s="161" t="str">
        <f>IFERROR(AVERAGEIFS(AllData[Phosphate (PPM)], AllData[Site Name], $B60, AllData[Season], "Summer", AllData[Year], "2025"),"")</f>
        <v/>
      </c>
      <c r="BP60" s="27" t="str">
        <f t="shared" si="30"/>
        <v/>
      </c>
      <c r="BQ60" s="27" t="str">
        <f t="shared" si="31"/>
        <v/>
      </c>
      <c r="BR60" s="165">
        <f>COUNTIFS(AllData[Site Name], Tables!$B60, AllData[Season], "Autumn", AllData[Year], "2025")</f>
        <v>0</v>
      </c>
      <c r="BS60" s="160" t="str">
        <f>IFERROR(AVERAGEIFS(AllData[Nitrate (PPM)], AllData[Site Name], $B60, AllData[Season], "Autumn", AllData[Year], "2025"), "")</f>
        <v/>
      </c>
      <c r="BT60" s="27" t="str">
        <f t="shared" si="32"/>
        <v/>
      </c>
      <c r="BU60" s="27" t="str">
        <f t="shared" si="33"/>
        <v/>
      </c>
      <c r="BV60" s="161" t="str">
        <f>IFERROR(AVERAGEIFS(AllData[Phosphate (PPM)], AllData[Site Name], AD60, AllData[Season], "Autumn", AllData[Year], "2025"), "")</f>
        <v/>
      </c>
      <c r="BW60" s="27" t="str">
        <f t="shared" si="34"/>
        <v/>
      </c>
      <c r="BX60" s="28" t="str">
        <f t="shared" si="35"/>
        <v/>
      </c>
      <c r="BY60" s="165">
        <f>COUNTIFS(AllData[Site Name], Tables!$B60, AllData[Season], "Winter", AllData[Year], "2025")</f>
        <v>0</v>
      </c>
      <c r="BZ60" s="160" t="str">
        <f>IFERROR(AVERAGEIFS(AllData[Nitrate (PPM)], AllData[Site Name], $B60, AllData[Season], "Winter", AllData[Year], "2025"), "")</f>
        <v/>
      </c>
      <c r="CA60" s="27" t="str">
        <f t="shared" si="36"/>
        <v/>
      </c>
      <c r="CB60" s="27" t="str">
        <f t="shared" si="40"/>
        <v/>
      </c>
      <c r="CC60" s="161" t="str">
        <f>IFERROR(AVERAGEIFS(AllData[Phosphate (PPM)], AllData[Site Name], $B60, AllData[Season], "Winter", AllData[Year], "2025"), "")</f>
        <v/>
      </c>
      <c r="CD60" s="27" t="str">
        <f t="shared" si="38"/>
        <v/>
      </c>
      <c r="CE60" s="44" t="str">
        <f t="shared" si="41"/>
        <v/>
      </c>
    </row>
    <row r="61" spans="2:83" x14ac:dyDescent="0.35">
      <c r="B61" s="159" t="s">
        <v>3316</v>
      </c>
      <c r="C61" s="113">
        <f>IFERROR(AVERAGEIF(AllData[Site Name], Tables!B61, AllData[Latitude]), "Unknown")</f>
        <v>52.080879000000003</v>
      </c>
      <c r="D61" s="113">
        <f>IFERROR(AVERAGEIF(AllData[Site Name], Tables!B61, AllData[Longitude]), "Unknown")</f>
        <v>-2.0700668333333332</v>
      </c>
      <c r="E61" s="13" t="e" vm="6">
        <f>_xlfn.XLOOKUP(B61,LocationsKey[Site Name], LocationsKey[District])</f>
        <v>#VALUE!</v>
      </c>
      <c r="F61" s="13" t="e" vm="7">
        <f>_xlfn.XLOOKUP(B61,LocationsKey[Site Name], LocationsKey[Town])</f>
        <v>#VALUE!</v>
      </c>
      <c r="G61" s="25" t="str">
        <f>_xlfn.XLOOKUP(B61,LocationsKey[Site Name],LocationsKey[Waterway])</f>
        <v>Avon</v>
      </c>
      <c r="H61" s="157">
        <f>COUNTIF(AllData[Site Name], Tables!B61)</f>
        <v>6</v>
      </c>
      <c r="I61" s="160">
        <f t="shared" si="0"/>
        <v>12.85</v>
      </c>
      <c r="J61" s="161">
        <f t="shared" si="1"/>
        <v>0.53666666666666674</v>
      </c>
      <c r="K61" s="27" cm="1">
        <f t="array" ref="K61">SUM(COUNTIFS(AllData[Site Name], B61, AllData[Nitrate Pollution Category], {"High","Very high"}))/COUNTIFS(AllData[Site Name], B61, AllData[Nitrate (PPM)], "&lt;&gt;0")</f>
        <v>1</v>
      </c>
      <c r="L61" s="27" cm="1">
        <f t="array" ref="L61">SUM(COUNTIFS(AllData[Site Name], B61, AllData[Phosphate Pollution Category], {"High","Very high"}))/COUNTIFS(AllData[Site Name], B61, AllData[Phosphate (PPM)], "&lt;&gt;0")</f>
        <v>0.66666666666666663</v>
      </c>
      <c r="M61" s="157">
        <f t="shared" si="2"/>
        <v>3</v>
      </c>
      <c r="N61" s="157">
        <f t="shared" si="3"/>
        <v>42</v>
      </c>
      <c r="O61" s="26">
        <f>COUNTIFS(AllData[Site Name], Tables!$B61, AllData[Season], "Summer", AllData[Year], "2023")</f>
        <v>0</v>
      </c>
      <c r="P61" s="160" t="str">
        <f>IFERROR(AVERAGEIFS(AllData[Nitrate (PPM)], AllData[Site Name], $B61, AllData[Season], "Summer", AllData[Year], "2023"), "")</f>
        <v/>
      </c>
      <c r="Q61" s="27" t="str">
        <f t="shared" si="4"/>
        <v/>
      </c>
      <c r="R61" s="161" t="str">
        <f>IFERROR(AVERAGEIFS(AllData[Phosphate (PPM)], AllData[Site Name], $B61, AllData[Season], "Summer", AllData[Year], "2023"),"")</f>
        <v/>
      </c>
      <c r="S61" s="28" t="str">
        <f t="shared" si="5"/>
        <v/>
      </c>
      <c r="T61" s="26">
        <f>COUNTIFS(AllData[Site Name], Tables!$B61, AllData[Season], "Autumn", AllData[Year], "2023")</f>
        <v>0</v>
      </c>
      <c r="U61" s="160" t="str">
        <f>IFERROR(AVERAGEIFS(AllData[Nitrate (PPM)], AllData[Site Name], $B61, AllData[Season], "Autumn", AllData[Year], "2023"), "")</f>
        <v/>
      </c>
      <c r="V61" s="27" t="str">
        <f t="shared" si="6"/>
        <v/>
      </c>
      <c r="W61" s="161" t="str">
        <f>IFERROR(AVERAGEIFS(AllData[Phosphate (PPM)], AllData[Site Name], $B61, AllData[Season], "Autumn", AllData[Year], "2023"),"")</f>
        <v/>
      </c>
      <c r="X61" s="28" t="str">
        <f t="shared" si="7"/>
        <v/>
      </c>
      <c r="Y61" s="26">
        <f>COUNTIFS(AllData[Site Name], Tables!$B61, AllData[Season], "Winter", AllData[Year], "2023")</f>
        <v>0</v>
      </c>
      <c r="Z61" s="160" t="str">
        <f>IFERROR(AVERAGEIFS(AllData[Nitrate (PPM)], AllData[Site Name], $B61, AllData[Season], "Winter", AllData[Year], "2023"), "")</f>
        <v/>
      </c>
      <c r="AA61" s="27" t="str">
        <f t="shared" si="8"/>
        <v/>
      </c>
      <c r="AB61" s="161" t="str">
        <f>IFERROR(AVERAGEIFS(AllData[Phosphate (PPM)], AllData[Site Name], $B61, AllData[Season], "Winter", AllData[Year], "2023"),"")</f>
        <v/>
      </c>
      <c r="AC61" s="28" t="str">
        <f t="shared" si="9"/>
        <v/>
      </c>
      <c r="AD61" s="26">
        <f>COUNTIFS(AllData[Site Name], Tables!$B61, AllData[Season], "Spring", AllData[Year], "2024")</f>
        <v>0</v>
      </c>
      <c r="AE61" s="160" t="str">
        <f>IFERROR(AVERAGEIFS(AllData[Nitrate (PPM)], AllData[Site Name], $B61, AllData[Season], "Spring", AllData[Year], "2024"), "")</f>
        <v/>
      </c>
      <c r="AF61" s="27" t="str">
        <f t="shared" si="10"/>
        <v/>
      </c>
      <c r="AG61" s="161" t="str">
        <f>IFERROR(AVERAGEIFS(AllData[Phosphate (PPM)], AllData[Site Name], $B61, AllData[Season], "Spring", AllData[Year], "2024"),"")</f>
        <v/>
      </c>
      <c r="AH61" s="28" t="str">
        <f t="shared" si="11"/>
        <v/>
      </c>
      <c r="AI61" s="165">
        <f>COUNTIFS(AllData[Site Name], Tables!$B61, AllData[Season], "Summer", AllData[Year], "2024")</f>
        <v>0</v>
      </c>
      <c r="AJ61" s="160" t="str">
        <f>IFERROR(AVERAGEIFS(AllData[Nitrate (PPM)], AllData[Site Name], $B61, AllData[Season], "Summer", AllData[Year], "2024"), "")</f>
        <v/>
      </c>
      <c r="AK61" s="27" t="str">
        <f t="shared" si="12"/>
        <v/>
      </c>
      <c r="AL61" s="27" t="str">
        <f t="shared" si="13"/>
        <v/>
      </c>
      <c r="AM61" s="161" t="str">
        <f>IFERROR(AVERAGEIFS(AllData[Phosphate (PPM)], AllData[Site Name], $B61, AllData[Season], "Summer", AllData[Year], "2024"),"")</f>
        <v/>
      </c>
      <c r="AN61" s="27" t="str">
        <f t="shared" si="14"/>
        <v/>
      </c>
      <c r="AO61" s="28" t="str">
        <f t="shared" si="15"/>
        <v/>
      </c>
      <c r="AP61" s="157">
        <f>COUNTIFS(AllData[Site Name], Tables!$B61, AllData[Season], "Autumn", AllData[Year], "2024")</f>
        <v>0</v>
      </c>
      <c r="AQ61" s="160" t="str">
        <f>IFERROR(AVERAGEIFS(AllData[Nitrate (PPM)], AllData[Site Name], $B61, AllData[Season], "Autumn", AllData[Year], "2024"), "")</f>
        <v/>
      </c>
      <c r="AR61" s="27" t="str">
        <f t="shared" si="16"/>
        <v/>
      </c>
      <c r="AS61" s="27" t="str">
        <f t="shared" si="42"/>
        <v/>
      </c>
      <c r="AT61" s="161" t="str">
        <f>IFERROR(AVERAGEIFS(AllData[Phosphate (PPM)], AllData[Site Name], B61, AllData[Season], "Autumn", AllData[Year], "2024"), "")</f>
        <v/>
      </c>
      <c r="AU61" s="27" t="str">
        <f t="shared" si="18"/>
        <v/>
      </c>
      <c r="AV61" s="28" t="str">
        <f t="shared" si="43"/>
        <v/>
      </c>
      <c r="AW61" s="165">
        <f>COUNTIFS(AllData[Site Name], Tables!$B61, AllData[Season], "Winter", AllData[Year], "2024")</f>
        <v>0</v>
      </c>
      <c r="AX61" s="160" t="str">
        <f>IFERROR(AVERAGEIFS(AllData[Nitrate (PPM)], AllData[Site Name], $B61, AllData[Season], "Winter", AllData[Year], "2024"), "")</f>
        <v/>
      </c>
      <c r="AY61" s="27" t="str">
        <f t="shared" si="20"/>
        <v/>
      </c>
      <c r="AZ61" s="27" t="str">
        <f t="shared" si="21"/>
        <v/>
      </c>
      <c r="BA61" s="161" t="str">
        <f>IFERROR(AVERAGEIFS(AllData[Phosphate (PPM)], AllData[Site Name], $B61, AllData[Season], "Winter", AllData[Year], "2024"), "")</f>
        <v/>
      </c>
      <c r="BB61" s="27" t="str">
        <f t="shared" si="22"/>
        <v/>
      </c>
      <c r="BC61" s="44" t="str">
        <f t="shared" si="23"/>
        <v/>
      </c>
      <c r="BD61" s="157">
        <f>COUNTIFS(AllData[Site Name], Tables!$B61, AllData[Season], "Spring", AllData[Year], "2025")</f>
        <v>6</v>
      </c>
      <c r="BE61" s="160">
        <f>IFERROR(AVERAGEIFS(AllData[Nitrate (PPM)], AllData[Site Name], $B61, AllData[Season], "Spring", AllData[Year], "2025"), "")</f>
        <v>12.85</v>
      </c>
      <c r="BF61" s="27">
        <f t="shared" si="24"/>
        <v>0</v>
      </c>
      <c r="BG61" s="27" t="str">
        <f t="shared" si="25"/>
        <v/>
      </c>
      <c r="BH61" s="161">
        <f>IFERROR(AVERAGEIFS(AllData[Phosphate (PPM)], AllData[Site Name], $B61, AllData[Season], "Spring", AllData[Year], "2025"), "")</f>
        <v>0.53666666666666674</v>
      </c>
      <c r="BI61" s="27">
        <f t="shared" si="26"/>
        <v>0</v>
      </c>
      <c r="BJ61" s="27" t="str">
        <f t="shared" si="27"/>
        <v/>
      </c>
      <c r="BK61" s="165">
        <f>COUNTIFS(AllData[Site Name], Tables!$B61, AllData[Season], "Summer", AllData[Year], "2025")</f>
        <v>0</v>
      </c>
      <c r="BL61" s="160" t="str">
        <f>IFERROR(AVERAGEIFS(AllData[Nitrate (PPM)], AllData[Site Name], $B61, AllData[Season], "Summer", AllData[Year], "2025"), "")</f>
        <v/>
      </c>
      <c r="BM61" s="27" t="str">
        <f t="shared" si="28"/>
        <v/>
      </c>
      <c r="BN61" s="27" t="str">
        <f t="shared" si="29"/>
        <v/>
      </c>
      <c r="BO61" s="161" t="str">
        <f>IFERROR(AVERAGEIFS(AllData[Phosphate (PPM)], AllData[Site Name], $B61, AllData[Season], "Summer", AllData[Year], "2025"),"")</f>
        <v/>
      </c>
      <c r="BP61" s="27" t="str">
        <f t="shared" si="30"/>
        <v/>
      </c>
      <c r="BQ61" s="27" t="str">
        <f t="shared" si="31"/>
        <v/>
      </c>
      <c r="BR61" s="165">
        <f>COUNTIFS(AllData[Site Name], Tables!$B61, AllData[Season], "Autumn", AllData[Year], "2025")</f>
        <v>0</v>
      </c>
      <c r="BS61" s="160" t="str">
        <f>IFERROR(AVERAGEIFS(AllData[Nitrate (PPM)], AllData[Site Name], $B61, AllData[Season], "Autumn", AllData[Year], "2025"), "")</f>
        <v/>
      </c>
      <c r="BT61" s="27" t="str">
        <f t="shared" si="32"/>
        <v/>
      </c>
      <c r="BU61" s="27" t="str">
        <f t="shared" si="33"/>
        <v/>
      </c>
      <c r="BV61" s="161" t="str">
        <f>IFERROR(AVERAGEIFS(AllData[Phosphate (PPM)], AllData[Site Name], AD61, AllData[Season], "Autumn", AllData[Year], "2025"), "")</f>
        <v/>
      </c>
      <c r="BW61" s="27" t="str">
        <f t="shared" si="34"/>
        <v/>
      </c>
      <c r="BX61" s="28" t="str">
        <f t="shared" si="35"/>
        <v/>
      </c>
      <c r="BY61" s="165">
        <f>COUNTIFS(AllData[Site Name], Tables!$B61, AllData[Season], "Winter", AllData[Year], "2025")</f>
        <v>0</v>
      </c>
      <c r="BZ61" s="160" t="str">
        <f>IFERROR(AVERAGEIFS(AllData[Nitrate (PPM)], AllData[Site Name], $B61, AllData[Season], "Winter", AllData[Year], "2025"), "")</f>
        <v/>
      </c>
      <c r="CA61" s="27" t="str">
        <f t="shared" si="36"/>
        <v/>
      </c>
      <c r="CB61" s="27" t="str">
        <f t="shared" si="40"/>
        <v/>
      </c>
      <c r="CC61" s="161" t="str">
        <f>IFERROR(AVERAGEIFS(AllData[Phosphate (PPM)], AllData[Site Name], $B61, AllData[Season], "Winter", AllData[Year], "2025"), "")</f>
        <v/>
      </c>
      <c r="CD61" s="27" t="str">
        <f t="shared" si="38"/>
        <v/>
      </c>
      <c r="CE61" s="44" t="str">
        <f t="shared" si="41"/>
        <v/>
      </c>
    </row>
    <row r="62" spans="2:83" x14ac:dyDescent="0.35">
      <c r="B62" s="159" t="s">
        <v>2643</v>
      </c>
      <c r="C62" s="113">
        <f>IFERROR(AVERAGEIF(AllData[Site Name], Tables!B62, AllData[Latitude]), "Unknown")</f>
        <v>52.243465499999992</v>
      </c>
      <c r="D62" s="113">
        <f>IFERROR(AVERAGEIF(AllData[Site Name], Tables!B62, AllData[Longitude]), "Unknown")</f>
        <v>-1.3470837857142859</v>
      </c>
      <c r="E62" s="13" t="e" vm="1">
        <f>_xlfn.XLOOKUP(B62,LocationsKey[Site Name], LocationsKey[District])</f>
        <v>#VALUE!</v>
      </c>
      <c r="F62" s="13" t="e" vm="17">
        <f>_xlfn.XLOOKUP(B62,LocationsKey[Site Name], LocationsKey[Town])</f>
        <v>#VALUE!</v>
      </c>
      <c r="G62" s="25" t="str">
        <f>_xlfn.XLOOKUP(B62,LocationsKey[Site Name],LocationsKey[Waterway])</f>
        <v>Stowe</v>
      </c>
      <c r="H62" s="157">
        <f>COUNTIF(AllData[Site Name], Tables!B62)</f>
        <v>14</v>
      </c>
      <c r="I62" s="160">
        <f t="shared" si="0"/>
        <v>2.4285714285714284</v>
      </c>
      <c r="J62" s="161">
        <f t="shared" si="1"/>
        <v>0.43071428571428572</v>
      </c>
      <c r="K62" s="27" cm="1">
        <f t="array" ref="K62">SUM(COUNTIFS(AllData[Site Name], B62, AllData[Nitrate Pollution Category], {"High","Very high"}))/COUNTIFS(AllData[Site Name], B62, AllData[Nitrate (PPM)], "&lt;&gt;0")</f>
        <v>0.8571428571428571</v>
      </c>
      <c r="L62" s="27" cm="1">
        <f t="array" ref="L62">SUM(COUNTIFS(AllData[Site Name], B62, AllData[Phosphate Pollution Category], {"High","Very high"}))/COUNTIFS(AllData[Site Name], B62, AllData[Phosphate (PPM)], "&lt;&gt;0")</f>
        <v>1</v>
      </c>
      <c r="M62" s="157">
        <f t="shared" si="2"/>
        <v>77</v>
      </c>
      <c r="N62" s="157">
        <f t="shared" si="3"/>
        <v>62</v>
      </c>
      <c r="O62" s="26">
        <f>COUNTIFS(AllData[Site Name], Tables!$B62, AllData[Season], "Summer", AllData[Year], "2023")</f>
        <v>0</v>
      </c>
      <c r="P62" s="160" t="str">
        <f>IFERROR(AVERAGEIFS(AllData[Nitrate (PPM)], AllData[Site Name], $B62, AllData[Season], "Summer", AllData[Year], "2023"), "")</f>
        <v/>
      </c>
      <c r="Q62" s="27" t="str">
        <f t="shared" si="4"/>
        <v/>
      </c>
      <c r="R62" s="161" t="str">
        <f>IFERROR(AVERAGEIFS(AllData[Phosphate (PPM)], AllData[Site Name], $B62, AllData[Season], "Summer", AllData[Year], "2023"),"")</f>
        <v/>
      </c>
      <c r="S62" s="28" t="str">
        <f t="shared" si="5"/>
        <v/>
      </c>
      <c r="T62" s="26">
        <f>COUNTIFS(AllData[Site Name], Tables!$B62, AllData[Season], "Autumn", AllData[Year], "2023")</f>
        <v>0</v>
      </c>
      <c r="U62" s="160" t="str">
        <f>IFERROR(AVERAGEIFS(AllData[Nitrate (PPM)], AllData[Site Name], $B62, AllData[Season], "Autumn", AllData[Year], "2023"), "")</f>
        <v/>
      </c>
      <c r="V62" s="27" t="str">
        <f t="shared" si="6"/>
        <v/>
      </c>
      <c r="W62" s="161" t="str">
        <f>IFERROR(AVERAGEIFS(AllData[Phosphate (PPM)], AllData[Site Name], $B62, AllData[Season], "Autumn", AllData[Year], "2023"),"")</f>
        <v/>
      </c>
      <c r="X62" s="28" t="str">
        <f t="shared" si="7"/>
        <v/>
      </c>
      <c r="Y62" s="26">
        <f>COUNTIFS(AllData[Site Name], Tables!$B62, AllData[Season], "Winter", AllData[Year], "2023")</f>
        <v>0</v>
      </c>
      <c r="Z62" s="160" t="str">
        <f>IFERROR(AVERAGEIFS(AllData[Nitrate (PPM)], AllData[Site Name], $B62, AllData[Season], "Winter", AllData[Year], "2023"), "")</f>
        <v/>
      </c>
      <c r="AA62" s="27" t="str">
        <f t="shared" si="8"/>
        <v/>
      </c>
      <c r="AB62" s="161" t="str">
        <f>IFERROR(AVERAGEIFS(AllData[Phosphate (PPM)], AllData[Site Name], $B62, AllData[Season], "Winter", AllData[Year], "2023"),"")</f>
        <v/>
      </c>
      <c r="AC62" s="28" t="str">
        <f t="shared" si="9"/>
        <v/>
      </c>
      <c r="AD62" s="26">
        <f>COUNTIFS(AllData[Site Name], Tables!$B62, AllData[Season], "Spring", AllData[Year], "2024")</f>
        <v>0</v>
      </c>
      <c r="AE62" s="160" t="str">
        <f>IFERROR(AVERAGEIFS(AllData[Nitrate (PPM)], AllData[Site Name], $B62, AllData[Season], "Spring", AllData[Year], "2024"), "")</f>
        <v/>
      </c>
      <c r="AF62" s="27" t="str">
        <f t="shared" si="10"/>
        <v/>
      </c>
      <c r="AG62" s="161" t="str">
        <f>IFERROR(AVERAGEIFS(AllData[Phosphate (PPM)], AllData[Site Name], $B62, AllData[Season], "Spring", AllData[Year], "2024"),"")</f>
        <v/>
      </c>
      <c r="AH62" s="28" t="str">
        <f t="shared" si="11"/>
        <v/>
      </c>
      <c r="AI62" s="165">
        <f>COUNTIFS(AllData[Site Name], Tables!$B62, AllData[Season], "Summer", AllData[Year], "2024")</f>
        <v>0</v>
      </c>
      <c r="AJ62" s="160" t="str">
        <f>IFERROR(AVERAGEIFS(AllData[Nitrate (PPM)], AllData[Site Name], $B62, AllData[Season], "Summer", AllData[Year], "2024"), "")</f>
        <v/>
      </c>
      <c r="AK62" s="27" t="str">
        <f t="shared" si="12"/>
        <v/>
      </c>
      <c r="AL62" s="27" t="str">
        <f t="shared" si="13"/>
        <v/>
      </c>
      <c r="AM62" s="161" t="str">
        <f>IFERROR(AVERAGEIFS(AllData[Phosphate (PPM)], AllData[Site Name], $B62, AllData[Season], "Summer", AllData[Year], "2024"),"")</f>
        <v/>
      </c>
      <c r="AN62" s="27" t="str">
        <f t="shared" si="14"/>
        <v/>
      </c>
      <c r="AO62" s="28" t="str">
        <f t="shared" si="15"/>
        <v/>
      </c>
      <c r="AP62" s="157">
        <f>COUNTIFS(AllData[Site Name], Tables!$B62, AllData[Season], "Autumn", AllData[Year], "2024")</f>
        <v>0</v>
      </c>
      <c r="AQ62" s="160" t="str">
        <f>IFERROR(AVERAGEIFS(AllData[Nitrate (PPM)], AllData[Site Name], $B62, AllData[Season], "Autumn", AllData[Year], "2024"), "")</f>
        <v/>
      </c>
      <c r="AR62" s="27" t="str">
        <f t="shared" si="16"/>
        <v/>
      </c>
      <c r="AS62" s="27" t="str">
        <f t="shared" si="42"/>
        <v/>
      </c>
      <c r="AT62" s="161" t="str">
        <f>IFERROR(AVERAGEIFS(AllData[Phosphate (PPM)], AllData[Site Name], B62, AllData[Season], "Autumn", AllData[Year], "2024"), "")</f>
        <v/>
      </c>
      <c r="AU62" s="27" t="str">
        <f t="shared" si="18"/>
        <v/>
      </c>
      <c r="AV62" s="28" t="str">
        <f t="shared" si="43"/>
        <v/>
      </c>
      <c r="AW62" s="165">
        <f>COUNTIFS(AllData[Site Name], Tables!$B62, AllData[Season], "Winter", AllData[Year], "2024")</f>
        <v>7</v>
      </c>
      <c r="AX62" s="160">
        <f>IFERROR(AVERAGEIFS(AllData[Nitrate (PPM)], AllData[Site Name], $B62, AllData[Season], "Winter", AllData[Year], "2024"), "")</f>
        <v>1.5714285714285714</v>
      </c>
      <c r="AY62" s="27">
        <f t="shared" si="20"/>
        <v>-0.3529411764705882</v>
      </c>
      <c r="AZ62" s="27" t="str">
        <f t="shared" si="21"/>
        <v/>
      </c>
      <c r="BA62" s="161">
        <f>IFERROR(AVERAGEIFS(AllData[Phosphate (PPM)], AllData[Site Name], $B62, AllData[Season], "Winter", AllData[Year], "2024"), "")</f>
        <v>0.39285714285714285</v>
      </c>
      <c r="BB62" s="27">
        <f t="shared" si="22"/>
        <v>-8.7893864013267015E-2</v>
      </c>
      <c r="BC62" s="44" t="str">
        <f t="shared" si="23"/>
        <v/>
      </c>
      <c r="BD62" s="157">
        <f>COUNTIFS(AllData[Site Name], Tables!$B62, AllData[Season], "Spring", AllData[Year], "2025")</f>
        <v>7</v>
      </c>
      <c r="BE62" s="160">
        <f>IFERROR(AVERAGEIFS(AllData[Nitrate (PPM)], AllData[Site Name], $B62, AllData[Season], "Spring", AllData[Year], "2025"), "")</f>
        <v>3.2857142857142856</v>
      </c>
      <c r="BF62" s="27">
        <f t="shared" si="24"/>
        <v>0.35294117647058831</v>
      </c>
      <c r="BG62" s="27" t="str">
        <f t="shared" si="25"/>
        <v/>
      </c>
      <c r="BH62" s="161">
        <f>IFERROR(AVERAGEIFS(AllData[Phosphate (PPM)], AllData[Site Name], $B62, AllData[Season], "Spring", AllData[Year], "2025"), "")</f>
        <v>0.46857142857142858</v>
      </c>
      <c r="BI62" s="27">
        <f t="shared" si="26"/>
        <v>8.7893864013267015E-2</v>
      </c>
      <c r="BJ62" s="27" t="str">
        <f t="shared" si="27"/>
        <v/>
      </c>
      <c r="BK62" s="165">
        <f>COUNTIFS(AllData[Site Name], Tables!$B62, AllData[Season], "Summer", AllData[Year], "2025")</f>
        <v>0</v>
      </c>
      <c r="BL62" s="160" t="str">
        <f>IFERROR(AVERAGEIFS(AllData[Nitrate (PPM)], AllData[Site Name], $B62, AllData[Season], "Summer", AllData[Year], "2025"), "")</f>
        <v/>
      </c>
      <c r="BM62" s="27" t="str">
        <f t="shared" si="28"/>
        <v/>
      </c>
      <c r="BN62" s="27" t="str">
        <f t="shared" si="29"/>
        <v/>
      </c>
      <c r="BO62" s="161" t="str">
        <f>IFERROR(AVERAGEIFS(AllData[Phosphate (PPM)], AllData[Site Name], $B62, AllData[Season], "Summer", AllData[Year], "2025"),"")</f>
        <v/>
      </c>
      <c r="BP62" s="27" t="str">
        <f t="shared" si="30"/>
        <v/>
      </c>
      <c r="BQ62" s="27" t="str">
        <f t="shared" si="31"/>
        <v/>
      </c>
      <c r="BR62" s="165">
        <f>COUNTIFS(AllData[Site Name], Tables!$B62, AllData[Season], "Autumn", AllData[Year], "2025")</f>
        <v>0</v>
      </c>
      <c r="BS62" s="160" t="str">
        <f>IFERROR(AVERAGEIFS(AllData[Nitrate (PPM)], AllData[Site Name], $B62, AllData[Season], "Autumn", AllData[Year], "2025"), "")</f>
        <v/>
      </c>
      <c r="BT62" s="27" t="str">
        <f t="shared" si="32"/>
        <v/>
      </c>
      <c r="BU62" s="27" t="str">
        <f t="shared" si="33"/>
        <v/>
      </c>
      <c r="BV62" s="161" t="str">
        <f>IFERROR(AVERAGEIFS(AllData[Phosphate (PPM)], AllData[Site Name], AD62, AllData[Season], "Autumn", AllData[Year], "2025"), "")</f>
        <v/>
      </c>
      <c r="BW62" s="27" t="str">
        <f t="shared" si="34"/>
        <v/>
      </c>
      <c r="BX62" s="28" t="str">
        <f t="shared" si="35"/>
        <v/>
      </c>
      <c r="BY62" s="165">
        <f>COUNTIFS(AllData[Site Name], Tables!$B62, AllData[Season], "Winter", AllData[Year], "2025")</f>
        <v>0</v>
      </c>
      <c r="BZ62" s="160" t="str">
        <f>IFERROR(AVERAGEIFS(AllData[Nitrate (PPM)], AllData[Site Name], $B62, AllData[Season], "Winter", AllData[Year], "2025"), "")</f>
        <v/>
      </c>
      <c r="CA62" s="27" t="str">
        <f t="shared" si="36"/>
        <v/>
      </c>
      <c r="CB62" s="27" t="str">
        <f t="shared" si="40"/>
        <v/>
      </c>
      <c r="CC62" s="161" t="str">
        <f>IFERROR(AVERAGEIFS(AllData[Phosphate (PPM)], AllData[Site Name], $B62, AllData[Season], "Winter", AllData[Year], "2025"), "")</f>
        <v/>
      </c>
      <c r="CD62" s="27" t="str">
        <f t="shared" si="38"/>
        <v/>
      </c>
      <c r="CE62" s="44" t="str">
        <f t="shared" si="41"/>
        <v/>
      </c>
    </row>
    <row r="63" spans="2:83" x14ac:dyDescent="0.35">
      <c r="B63" s="159" t="s">
        <v>2646</v>
      </c>
      <c r="C63" s="113">
        <f>IFERROR(AVERAGEIF(AllData[Site Name], Tables!B63, AllData[Latitude]), "Unknown")</f>
        <v>52.2616625</v>
      </c>
      <c r="D63" s="113">
        <f>IFERROR(AVERAGEIF(AllData[Site Name], Tables!B63, AllData[Longitude]), "Unknown")</f>
        <v>-1.3524859999999999</v>
      </c>
      <c r="E63" s="13" t="e" vm="1">
        <f>_xlfn.XLOOKUP(B63,LocationsKey[Site Name], LocationsKey[District])</f>
        <v>#VALUE!</v>
      </c>
      <c r="F63" s="13" t="e" vm="18">
        <f>_xlfn.XLOOKUP(B63,LocationsKey[Site Name], LocationsKey[Town])</f>
        <v>#VALUE!</v>
      </c>
      <c r="G63" s="25" t="str">
        <f>_xlfn.XLOOKUP(B63,LocationsKey[Site Name],LocationsKey[Waterway])</f>
        <v>Stowe</v>
      </c>
      <c r="H63" s="157">
        <f>COUNTIF(AllData[Site Name], Tables!B63)</f>
        <v>2</v>
      </c>
      <c r="I63" s="160">
        <f t="shared" si="0"/>
        <v>1</v>
      </c>
      <c r="J63" s="161">
        <f t="shared" si="1"/>
        <v>1.9</v>
      </c>
      <c r="K63" s="27" cm="1">
        <f t="array" ref="K63">SUM(COUNTIFS(AllData[Site Name], B63, AllData[Nitrate Pollution Category], {"High","Very high"}))/COUNTIFS(AllData[Site Name], B63, AllData[Nitrate (PPM)], "&lt;&gt;0")</f>
        <v>1</v>
      </c>
      <c r="L63" s="27" cm="1">
        <f t="array" ref="L63">SUM(COUNTIFS(AllData[Site Name], B63, AllData[Phosphate Pollution Category], {"High","Very high"}))/COUNTIFS(AllData[Site Name], B63, AllData[Phosphate (PPM)], "&lt;&gt;0")</f>
        <v>1</v>
      </c>
      <c r="M63" s="157">
        <f t="shared" si="2"/>
        <v>86</v>
      </c>
      <c r="N63" s="157">
        <f t="shared" si="3"/>
        <v>7</v>
      </c>
      <c r="O63" s="26">
        <f>COUNTIFS(AllData[Site Name], Tables!$B63, AllData[Season], "Summer", AllData[Year], "2023")</f>
        <v>0</v>
      </c>
      <c r="P63" s="160" t="str">
        <f>IFERROR(AVERAGEIFS(AllData[Nitrate (PPM)], AllData[Site Name], $B63, AllData[Season], "Summer", AllData[Year], "2023"), "")</f>
        <v/>
      </c>
      <c r="Q63" s="27" t="str">
        <f t="shared" si="4"/>
        <v/>
      </c>
      <c r="R63" s="161" t="str">
        <f>IFERROR(AVERAGEIFS(AllData[Phosphate (PPM)], AllData[Site Name], $B63, AllData[Season], "Summer", AllData[Year], "2023"),"")</f>
        <v/>
      </c>
      <c r="S63" s="28" t="str">
        <f t="shared" si="5"/>
        <v/>
      </c>
      <c r="T63" s="26">
        <f>COUNTIFS(AllData[Site Name], Tables!$B63, AllData[Season], "Autumn", AllData[Year], "2023")</f>
        <v>0</v>
      </c>
      <c r="U63" s="160" t="str">
        <f>IFERROR(AVERAGEIFS(AllData[Nitrate (PPM)], AllData[Site Name], $B63, AllData[Season], "Autumn", AllData[Year], "2023"), "")</f>
        <v/>
      </c>
      <c r="V63" s="27" t="str">
        <f t="shared" si="6"/>
        <v/>
      </c>
      <c r="W63" s="161" t="str">
        <f>IFERROR(AVERAGEIFS(AllData[Phosphate (PPM)], AllData[Site Name], $B63, AllData[Season], "Autumn", AllData[Year], "2023"),"")</f>
        <v/>
      </c>
      <c r="X63" s="28" t="str">
        <f t="shared" si="7"/>
        <v/>
      </c>
      <c r="Y63" s="26">
        <f>COUNTIFS(AllData[Site Name], Tables!$B63, AllData[Season], "Winter", AllData[Year], "2023")</f>
        <v>0</v>
      </c>
      <c r="Z63" s="160" t="str">
        <f>IFERROR(AVERAGEIFS(AllData[Nitrate (PPM)], AllData[Site Name], $B63, AllData[Season], "Winter", AllData[Year], "2023"), "")</f>
        <v/>
      </c>
      <c r="AA63" s="27" t="str">
        <f t="shared" si="8"/>
        <v/>
      </c>
      <c r="AB63" s="161" t="str">
        <f>IFERROR(AVERAGEIFS(AllData[Phosphate (PPM)], AllData[Site Name], $B63, AllData[Season], "Winter", AllData[Year], "2023"),"")</f>
        <v/>
      </c>
      <c r="AC63" s="28" t="str">
        <f t="shared" si="9"/>
        <v/>
      </c>
      <c r="AD63" s="26">
        <f>COUNTIFS(AllData[Site Name], Tables!$B63, AllData[Season], "Spring", AllData[Year], "2024")</f>
        <v>0</v>
      </c>
      <c r="AE63" s="160" t="str">
        <f>IFERROR(AVERAGEIFS(AllData[Nitrate (PPM)], AllData[Site Name], $B63, AllData[Season], "Spring", AllData[Year], "2024"), "")</f>
        <v/>
      </c>
      <c r="AF63" s="27" t="str">
        <f t="shared" si="10"/>
        <v/>
      </c>
      <c r="AG63" s="161" t="str">
        <f>IFERROR(AVERAGEIFS(AllData[Phosphate (PPM)], AllData[Site Name], $B63, AllData[Season], "Spring", AllData[Year], "2024"),"")</f>
        <v/>
      </c>
      <c r="AH63" s="28" t="str">
        <f t="shared" si="11"/>
        <v/>
      </c>
      <c r="AI63" s="165">
        <f>COUNTIFS(AllData[Site Name], Tables!$B63, AllData[Season], "Summer", AllData[Year], "2024")</f>
        <v>0</v>
      </c>
      <c r="AJ63" s="160" t="str">
        <f>IFERROR(AVERAGEIFS(AllData[Nitrate (PPM)], AllData[Site Name], $B63, AllData[Season], "Summer", AllData[Year], "2024"), "")</f>
        <v/>
      </c>
      <c r="AK63" s="27" t="str">
        <f t="shared" si="12"/>
        <v/>
      </c>
      <c r="AL63" s="27" t="str">
        <f t="shared" si="13"/>
        <v/>
      </c>
      <c r="AM63" s="161" t="str">
        <f>IFERROR(AVERAGEIFS(AllData[Phosphate (PPM)], AllData[Site Name], $B63, AllData[Season], "Summer", AllData[Year], "2024"),"")</f>
        <v/>
      </c>
      <c r="AN63" s="27" t="str">
        <f t="shared" si="14"/>
        <v/>
      </c>
      <c r="AO63" s="28" t="str">
        <f t="shared" si="15"/>
        <v/>
      </c>
      <c r="AP63" s="157">
        <f>COUNTIFS(AllData[Site Name], Tables!$B63, AllData[Season], "Autumn", AllData[Year], "2024")</f>
        <v>0</v>
      </c>
      <c r="AQ63" s="160" t="str">
        <f>IFERROR(AVERAGEIFS(AllData[Nitrate (PPM)], AllData[Site Name], $B63, AllData[Season], "Autumn", AllData[Year], "2024"), "")</f>
        <v/>
      </c>
      <c r="AR63" s="27" t="str">
        <f t="shared" si="16"/>
        <v/>
      </c>
      <c r="AS63" s="27" t="str">
        <f t="shared" si="42"/>
        <v/>
      </c>
      <c r="AT63" s="161" t="str">
        <f>IFERROR(AVERAGEIFS(AllData[Phosphate (PPM)], AllData[Site Name], B63, AllData[Season], "Autumn", AllData[Year], "2024"), "")</f>
        <v/>
      </c>
      <c r="AU63" s="27" t="str">
        <f t="shared" si="18"/>
        <v/>
      </c>
      <c r="AV63" s="28" t="str">
        <f t="shared" si="43"/>
        <v/>
      </c>
      <c r="AW63" s="165">
        <f>COUNTIFS(AllData[Site Name], Tables!$B63, AllData[Season], "Winter", AllData[Year], "2024")</f>
        <v>2</v>
      </c>
      <c r="AX63" s="160">
        <f>IFERROR(AVERAGEIFS(AllData[Nitrate (PPM)], AllData[Site Name], $B63, AllData[Season], "Winter", AllData[Year], "2024"), "")</f>
        <v>1</v>
      </c>
      <c r="AY63" s="27">
        <f t="shared" si="20"/>
        <v>0</v>
      </c>
      <c r="AZ63" s="27" t="str">
        <f t="shared" si="21"/>
        <v/>
      </c>
      <c r="BA63" s="161">
        <f>IFERROR(AVERAGEIFS(AllData[Phosphate (PPM)], AllData[Site Name], $B63, AllData[Season], "Winter", AllData[Year], "2024"), "")</f>
        <v>1.9</v>
      </c>
      <c r="BB63" s="27">
        <f t="shared" si="22"/>
        <v>0</v>
      </c>
      <c r="BC63" s="44" t="str">
        <f t="shared" si="23"/>
        <v/>
      </c>
      <c r="BD63" s="157">
        <f>COUNTIFS(AllData[Site Name], Tables!$B63, AllData[Season], "Spring", AllData[Year], "2025")</f>
        <v>0</v>
      </c>
      <c r="BE63" s="160" t="str">
        <f>IFERROR(AVERAGEIFS(AllData[Nitrate (PPM)], AllData[Site Name], $B63, AllData[Season], "Spring", AllData[Year], "2025"), "")</f>
        <v/>
      </c>
      <c r="BF63" s="27" t="str">
        <f t="shared" si="24"/>
        <v/>
      </c>
      <c r="BG63" s="27" t="str">
        <f t="shared" si="25"/>
        <v/>
      </c>
      <c r="BH63" s="161" t="str">
        <f>IFERROR(AVERAGEIFS(AllData[Phosphate (PPM)], AllData[Site Name], $B63, AllData[Season], "Spring", AllData[Year], "2025"), "")</f>
        <v/>
      </c>
      <c r="BI63" s="27" t="str">
        <f t="shared" si="26"/>
        <v/>
      </c>
      <c r="BJ63" s="27" t="str">
        <f t="shared" si="27"/>
        <v/>
      </c>
      <c r="BK63" s="165">
        <f>COUNTIFS(AllData[Site Name], Tables!$B63, AllData[Season], "Summer", AllData[Year], "2025")</f>
        <v>0</v>
      </c>
      <c r="BL63" s="160" t="str">
        <f>IFERROR(AVERAGEIFS(AllData[Nitrate (PPM)], AllData[Site Name], $B63, AllData[Season], "Summer", AllData[Year], "2025"), "")</f>
        <v/>
      </c>
      <c r="BM63" s="27" t="str">
        <f t="shared" si="28"/>
        <v/>
      </c>
      <c r="BN63" s="27" t="str">
        <f t="shared" si="29"/>
        <v/>
      </c>
      <c r="BO63" s="161" t="str">
        <f>IFERROR(AVERAGEIFS(AllData[Phosphate (PPM)], AllData[Site Name], $B63, AllData[Season], "Summer", AllData[Year], "2025"),"")</f>
        <v/>
      </c>
      <c r="BP63" s="27" t="str">
        <f t="shared" si="30"/>
        <v/>
      </c>
      <c r="BQ63" s="27" t="str">
        <f t="shared" si="31"/>
        <v/>
      </c>
      <c r="BR63" s="165">
        <f>COUNTIFS(AllData[Site Name], Tables!$B63, AllData[Season], "Autumn", AllData[Year], "2025")</f>
        <v>0</v>
      </c>
      <c r="BS63" s="160" t="str">
        <f>IFERROR(AVERAGEIFS(AllData[Nitrate (PPM)], AllData[Site Name], $B63, AllData[Season], "Autumn", AllData[Year], "2025"), "")</f>
        <v/>
      </c>
      <c r="BT63" s="27" t="str">
        <f t="shared" si="32"/>
        <v/>
      </c>
      <c r="BU63" s="27" t="str">
        <f t="shared" si="33"/>
        <v/>
      </c>
      <c r="BV63" s="161" t="str">
        <f>IFERROR(AVERAGEIFS(AllData[Phosphate (PPM)], AllData[Site Name], AD63, AllData[Season], "Autumn", AllData[Year], "2025"), "")</f>
        <v/>
      </c>
      <c r="BW63" s="27" t="str">
        <f t="shared" si="34"/>
        <v/>
      </c>
      <c r="BX63" s="28" t="str">
        <f t="shared" si="35"/>
        <v/>
      </c>
      <c r="BY63" s="165">
        <f>COUNTIFS(AllData[Site Name], Tables!$B63, AllData[Season], "Winter", AllData[Year], "2025")</f>
        <v>0</v>
      </c>
      <c r="BZ63" s="160" t="str">
        <f>IFERROR(AVERAGEIFS(AllData[Nitrate (PPM)], AllData[Site Name], $B63, AllData[Season], "Winter", AllData[Year], "2025"), "")</f>
        <v/>
      </c>
      <c r="CA63" s="27" t="str">
        <f t="shared" si="36"/>
        <v/>
      </c>
      <c r="CB63" s="27" t="str">
        <f t="shared" si="40"/>
        <v/>
      </c>
      <c r="CC63" s="161" t="str">
        <f>IFERROR(AVERAGEIFS(AllData[Phosphate (PPM)], AllData[Site Name], $B63, AllData[Season], "Winter", AllData[Year], "2025"), "")</f>
        <v/>
      </c>
      <c r="CD63" s="27" t="str">
        <f t="shared" si="38"/>
        <v/>
      </c>
      <c r="CE63" s="44" t="str">
        <f t="shared" si="41"/>
        <v/>
      </c>
    </row>
    <row r="64" spans="2:83" x14ac:dyDescent="0.35">
      <c r="B64" s="159" t="s">
        <v>3666</v>
      </c>
      <c r="C64" s="113">
        <f>IFERROR(AVERAGEIF(AllData[Site Name], Tables!B64, AllData[Latitude]), "Unknown")</f>
        <v>52.251350333333335</v>
      </c>
      <c r="D64" s="113">
        <f>IFERROR(AVERAGEIF(AllData[Site Name], Tables!B64, AllData[Longitude]), "Unknown")</f>
        <v>-1.3833149999999999</v>
      </c>
      <c r="E64" s="13" t="e" vm="1">
        <f>_xlfn.XLOOKUP(B64,LocationsKey[Site Name], LocationsKey[District])</f>
        <v>#VALUE!</v>
      </c>
      <c r="F64" s="13" t="e" vm="18">
        <f>_xlfn.XLOOKUP(B64,LocationsKey[Site Name], LocationsKey[Town])</f>
        <v>#VALUE!</v>
      </c>
      <c r="G64" s="25" t="str">
        <f>_xlfn.XLOOKUP(B64,LocationsKey[Site Name],LocationsKey[Waterway])</f>
        <v>Stowe</v>
      </c>
      <c r="H64" s="157">
        <f>COUNTIF(AllData[Site Name], Tables!B64)</f>
        <v>3</v>
      </c>
      <c r="I64" s="160">
        <f t="shared" si="0"/>
        <v>3</v>
      </c>
      <c r="J64" s="161">
        <f t="shared" si="1"/>
        <v>0.26333333333333336</v>
      </c>
      <c r="K64" s="27" cm="1">
        <f t="array" ref="K64">SUM(COUNTIFS(AllData[Site Name], B64, AllData[Nitrate Pollution Category], {"High","Very high"}))/COUNTIFS(AllData[Site Name], B64, AllData[Nitrate (PPM)], "&lt;&gt;0")</f>
        <v>1</v>
      </c>
      <c r="L64" s="27" cm="1">
        <f t="array" ref="L64">SUM(COUNTIFS(AllData[Site Name], B64, AllData[Phosphate Pollution Category], {"High","Very high"}))/COUNTIFS(AllData[Site Name], B64, AllData[Phosphate (PPM)], "&lt;&gt;0")</f>
        <v>1</v>
      </c>
      <c r="M64" s="157">
        <f t="shared" si="2"/>
        <v>73</v>
      </c>
      <c r="N64" s="157">
        <f t="shared" si="3"/>
        <v>73</v>
      </c>
      <c r="O64" s="26">
        <f>COUNTIFS(AllData[Site Name], Tables!$B64, AllData[Season], "Summer", AllData[Year], "2023")</f>
        <v>0</v>
      </c>
      <c r="P64" s="160" t="str">
        <f>IFERROR(AVERAGEIFS(AllData[Nitrate (PPM)], AllData[Site Name], $B64, AllData[Season], "Summer", AllData[Year], "2023"), "")</f>
        <v/>
      </c>
      <c r="Q64" s="27" t="str">
        <f t="shared" si="4"/>
        <v/>
      </c>
      <c r="R64" s="161" t="str">
        <f>IFERROR(AVERAGEIFS(AllData[Phosphate (PPM)], AllData[Site Name], $B64, AllData[Season], "Summer", AllData[Year], "2023"),"")</f>
        <v/>
      </c>
      <c r="S64" s="28" t="str">
        <f t="shared" si="5"/>
        <v/>
      </c>
      <c r="T64" s="26">
        <f>COUNTIFS(AllData[Site Name], Tables!$B64, AllData[Season], "Autumn", AllData[Year], "2023")</f>
        <v>0</v>
      </c>
      <c r="U64" s="160" t="str">
        <f>IFERROR(AVERAGEIFS(AllData[Nitrate (PPM)], AllData[Site Name], $B64, AllData[Season], "Autumn", AllData[Year], "2023"), "")</f>
        <v/>
      </c>
      <c r="V64" s="27" t="str">
        <f t="shared" si="6"/>
        <v/>
      </c>
      <c r="W64" s="161" t="str">
        <f>IFERROR(AVERAGEIFS(AllData[Phosphate (PPM)], AllData[Site Name], $B64, AllData[Season], "Autumn", AllData[Year], "2023"),"")</f>
        <v/>
      </c>
      <c r="X64" s="28" t="str">
        <f t="shared" si="7"/>
        <v/>
      </c>
      <c r="Y64" s="26">
        <f>COUNTIFS(AllData[Site Name], Tables!$B64, AllData[Season], "Winter", AllData[Year], "2023")</f>
        <v>0</v>
      </c>
      <c r="Z64" s="160" t="str">
        <f>IFERROR(AVERAGEIFS(AllData[Nitrate (PPM)], AllData[Site Name], $B64, AllData[Season], "Winter", AllData[Year], "2023"), "")</f>
        <v/>
      </c>
      <c r="AA64" s="27" t="str">
        <f t="shared" si="8"/>
        <v/>
      </c>
      <c r="AB64" s="161" t="str">
        <f>IFERROR(AVERAGEIFS(AllData[Phosphate (PPM)], AllData[Site Name], $B64, AllData[Season], "Winter", AllData[Year], "2023"),"")</f>
        <v/>
      </c>
      <c r="AC64" s="28" t="str">
        <f t="shared" si="9"/>
        <v/>
      </c>
      <c r="AD64" s="26">
        <f>COUNTIFS(AllData[Site Name], Tables!$B64, AllData[Season], "Spring", AllData[Year], "2024")</f>
        <v>0</v>
      </c>
      <c r="AE64" s="160" t="str">
        <f>IFERROR(AVERAGEIFS(AllData[Nitrate (PPM)], AllData[Site Name], $B64, AllData[Season], "Spring", AllData[Year], "2024"), "")</f>
        <v/>
      </c>
      <c r="AF64" s="27" t="str">
        <f t="shared" si="10"/>
        <v/>
      </c>
      <c r="AG64" s="161" t="str">
        <f>IFERROR(AVERAGEIFS(AllData[Phosphate (PPM)], AllData[Site Name], $B64, AllData[Season], "Spring", AllData[Year], "2024"),"")</f>
        <v/>
      </c>
      <c r="AH64" s="28" t="str">
        <f t="shared" si="11"/>
        <v/>
      </c>
      <c r="AI64" s="165">
        <f>COUNTIFS(AllData[Site Name], Tables!$B64, AllData[Season], "Summer", AllData[Year], "2024")</f>
        <v>0</v>
      </c>
      <c r="AJ64" s="160" t="str">
        <f>IFERROR(AVERAGEIFS(AllData[Nitrate (PPM)], AllData[Site Name], $B64, AllData[Season], "Summer", AllData[Year], "2024"), "")</f>
        <v/>
      </c>
      <c r="AK64" s="27" t="str">
        <f t="shared" si="12"/>
        <v/>
      </c>
      <c r="AL64" s="27" t="str">
        <f t="shared" si="13"/>
        <v/>
      </c>
      <c r="AM64" s="161" t="str">
        <f>IFERROR(AVERAGEIFS(AllData[Phosphate (PPM)], AllData[Site Name], $B64, AllData[Season], "Summer", AllData[Year], "2024"),"")</f>
        <v/>
      </c>
      <c r="AN64" s="27" t="str">
        <f t="shared" si="14"/>
        <v/>
      </c>
      <c r="AO64" s="28" t="str">
        <f t="shared" si="15"/>
        <v/>
      </c>
      <c r="AP64" s="157">
        <f>COUNTIFS(AllData[Site Name], Tables!$B64, AllData[Season], "Autumn", AllData[Year], "2024")</f>
        <v>0</v>
      </c>
      <c r="AQ64" s="160" t="str">
        <f>IFERROR(AVERAGEIFS(AllData[Nitrate (PPM)], AllData[Site Name], $B64, AllData[Season], "Autumn", AllData[Year], "2024"), "")</f>
        <v/>
      </c>
      <c r="AR64" s="27" t="str">
        <f t="shared" si="16"/>
        <v/>
      </c>
      <c r="AS64" s="27" t="str">
        <f t="shared" si="42"/>
        <v/>
      </c>
      <c r="AT64" s="161" t="str">
        <f>IFERROR(AVERAGEIFS(AllData[Phosphate (PPM)], AllData[Site Name], B64, AllData[Season], "Autumn", AllData[Year], "2024"), "")</f>
        <v/>
      </c>
      <c r="AU64" s="27" t="str">
        <f t="shared" si="18"/>
        <v/>
      </c>
      <c r="AV64" s="28" t="str">
        <f t="shared" si="43"/>
        <v/>
      </c>
      <c r="AW64" s="165">
        <f>COUNTIFS(AllData[Site Name], Tables!$B64, AllData[Season], "Winter", AllData[Year], "2024")</f>
        <v>0</v>
      </c>
      <c r="AX64" s="160" t="str">
        <f>IFERROR(AVERAGEIFS(AllData[Nitrate (PPM)], AllData[Site Name], $B64, AllData[Season], "Winter", AllData[Year], "2024"), "")</f>
        <v/>
      </c>
      <c r="AY64" s="27" t="str">
        <f t="shared" si="20"/>
        <v/>
      </c>
      <c r="AZ64" s="27" t="str">
        <f t="shared" si="21"/>
        <v/>
      </c>
      <c r="BA64" s="161" t="str">
        <f>IFERROR(AVERAGEIFS(AllData[Phosphate (PPM)], AllData[Site Name], $B64, AllData[Season], "Winter", AllData[Year], "2024"), "")</f>
        <v/>
      </c>
      <c r="BB64" s="27" t="str">
        <f t="shared" si="22"/>
        <v/>
      </c>
      <c r="BC64" s="44" t="str">
        <f t="shared" si="23"/>
        <v/>
      </c>
      <c r="BD64" s="157">
        <f>COUNTIFS(AllData[Site Name], Tables!$B64, AllData[Season], "Spring", AllData[Year], "2025")</f>
        <v>3</v>
      </c>
      <c r="BE64" s="160">
        <f>IFERROR(AVERAGEIFS(AllData[Nitrate (PPM)], AllData[Site Name], $B64, AllData[Season], "Spring", AllData[Year], "2025"), "")</f>
        <v>3</v>
      </c>
      <c r="BF64" s="27">
        <f t="shared" si="24"/>
        <v>0</v>
      </c>
      <c r="BG64" s="27" t="str">
        <f t="shared" si="25"/>
        <v/>
      </c>
      <c r="BH64" s="161">
        <f>IFERROR(AVERAGEIFS(AllData[Phosphate (PPM)], AllData[Site Name], $B64, AllData[Season], "Spring", AllData[Year], "2025"), "")</f>
        <v>0.26333333333333336</v>
      </c>
      <c r="BI64" s="27">
        <f t="shared" si="26"/>
        <v>0</v>
      </c>
      <c r="BJ64" s="27" t="str">
        <f t="shared" si="27"/>
        <v/>
      </c>
      <c r="BK64" s="165">
        <f>COUNTIFS(AllData[Site Name], Tables!$B64, AllData[Season], "Summer", AllData[Year], "2025")</f>
        <v>0</v>
      </c>
      <c r="BL64" s="160" t="str">
        <f>IFERROR(AVERAGEIFS(AllData[Nitrate (PPM)], AllData[Site Name], $B64, AllData[Season], "Summer", AllData[Year], "2025"), "")</f>
        <v/>
      </c>
      <c r="BM64" s="27" t="str">
        <f t="shared" si="28"/>
        <v/>
      </c>
      <c r="BN64" s="27" t="str">
        <f t="shared" si="29"/>
        <v/>
      </c>
      <c r="BO64" s="161" t="str">
        <f>IFERROR(AVERAGEIFS(AllData[Phosphate (PPM)], AllData[Site Name], $B64, AllData[Season], "Summer", AllData[Year], "2025"),"")</f>
        <v/>
      </c>
      <c r="BP64" s="27" t="str">
        <f t="shared" si="30"/>
        <v/>
      </c>
      <c r="BQ64" s="27" t="str">
        <f t="shared" si="31"/>
        <v/>
      </c>
      <c r="BR64" s="165">
        <f>COUNTIFS(AllData[Site Name], Tables!$B64, AllData[Season], "Autumn", AllData[Year], "2025")</f>
        <v>0</v>
      </c>
      <c r="BS64" s="160" t="str">
        <f>IFERROR(AVERAGEIFS(AllData[Nitrate (PPM)], AllData[Site Name], $B64, AllData[Season], "Autumn", AllData[Year], "2025"), "")</f>
        <v/>
      </c>
      <c r="BT64" s="27" t="str">
        <f t="shared" si="32"/>
        <v/>
      </c>
      <c r="BU64" s="27" t="str">
        <f t="shared" si="33"/>
        <v/>
      </c>
      <c r="BV64" s="161" t="str">
        <f>IFERROR(AVERAGEIFS(AllData[Phosphate (PPM)], AllData[Site Name], AD64, AllData[Season], "Autumn", AllData[Year], "2025"), "")</f>
        <v/>
      </c>
      <c r="BW64" s="27" t="str">
        <f t="shared" si="34"/>
        <v/>
      </c>
      <c r="BX64" s="28" t="str">
        <f t="shared" si="35"/>
        <v/>
      </c>
      <c r="BY64" s="165">
        <f>COUNTIFS(AllData[Site Name], Tables!$B64, AllData[Season], "Winter", AllData[Year], "2025")</f>
        <v>0</v>
      </c>
      <c r="BZ64" s="160" t="str">
        <f>IFERROR(AVERAGEIFS(AllData[Nitrate (PPM)], AllData[Site Name], $B64, AllData[Season], "Winter", AllData[Year], "2025"), "")</f>
        <v/>
      </c>
      <c r="CA64" s="27" t="str">
        <f t="shared" si="36"/>
        <v/>
      </c>
      <c r="CB64" s="27" t="str">
        <f t="shared" si="40"/>
        <v/>
      </c>
      <c r="CC64" s="161" t="str">
        <f>IFERROR(AVERAGEIFS(AllData[Phosphate (PPM)], AllData[Site Name], $B64, AllData[Season], "Winter", AllData[Year], "2025"), "")</f>
        <v/>
      </c>
      <c r="CD64" s="27" t="str">
        <f t="shared" si="38"/>
        <v/>
      </c>
      <c r="CE64" s="44" t="str">
        <f t="shared" si="41"/>
        <v/>
      </c>
    </row>
    <row r="65" spans="2:83" x14ac:dyDescent="0.35">
      <c r="B65" s="159" t="s">
        <v>2252</v>
      </c>
      <c r="C65" s="113">
        <f>IFERROR(AVERAGEIF(AllData[Site Name], Tables!B65, AllData[Latitude]), "Unknown")</f>
        <v>52.202280833333333</v>
      </c>
      <c r="D65" s="113">
        <f>IFERROR(AVERAGEIF(AllData[Site Name], Tables!B65, AllData[Longitude]), "Unknown")</f>
        <v>-1.5377787083333334</v>
      </c>
      <c r="E65" s="13" t="e" vm="1">
        <f>_xlfn.XLOOKUP(B65,LocationsKey[Site Name], LocationsKey[District])</f>
        <v>#VALUE!</v>
      </c>
      <c r="F65" s="13" t="e" vm="3">
        <f>_xlfn.XLOOKUP(B65,LocationsKey[Site Name], LocationsKey[Town])</f>
        <v>#VALUE!</v>
      </c>
      <c r="G65" s="25" t="str">
        <f>_xlfn.XLOOKUP(B65,LocationsKey[Site Name],LocationsKey[Waterway])</f>
        <v>Avon</v>
      </c>
      <c r="H65" s="157">
        <f>COUNTIF(AllData[Site Name], Tables!B65)</f>
        <v>24</v>
      </c>
      <c r="I65" s="160">
        <f t="shared" si="0"/>
        <v>9.2424242424242422</v>
      </c>
      <c r="J65" s="161">
        <f t="shared" si="1"/>
        <v>0.49390909090909085</v>
      </c>
      <c r="K65" s="27" cm="1">
        <f t="array" ref="K65">SUM(COUNTIFS(AllData[Site Name], B65, AllData[Nitrate Pollution Category], {"High","Very high"}))/COUNTIFS(AllData[Site Name], B65, AllData[Nitrate (PPM)], "&lt;&gt;0")</f>
        <v>1</v>
      </c>
      <c r="L65" s="27" cm="1">
        <f t="array" ref="L65">SUM(COUNTIFS(AllData[Site Name], B65, AllData[Phosphate Pollution Category], {"High","Very high"}))/COUNTIFS(AllData[Site Name], B65, AllData[Phosphate (PPM)], "&lt;&gt;0")</f>
        <v>0.95833333333333337</v>
      </c>
      <c r="M65" s="157">
        <f t="shared" si="2"/>
        <v>10</v>
      </c>
      <c r="N65" s="157">
        <f t="shared" si="3"/>
        <v>51</v>
      </c>
      <c r="O65" s="26">
        <f>COUNTIFS(AllData[Site Name], Tables!$B65, AllData[Season], "Summer", AllData[Year], "2023")</f>
        <v>0</v>
      </c>
      <c r="P65" s="160" t="str">
        <f>IFERROR(AVERAGEIFS(AllData[Nitrate (PPM)], AllData[Site Name], $B65, AllData[Season], "Summer", AllData[Year], "2023"), "")</f>
        <v/>
      </c>
      <c r="Q65" s="27" t="str">
        <f t="shared" si="4"/>
        <v/>
      </c>
      <c r="R65" s="161" t="str">
        <f>IFERROR(AVERAGEIFS(AllData[Phosphate (PPM)], AllData[Site Name], $B65, AllData[Season], "Summer", AllData[Year], "2023"),"")</f>
        <v/>
      </c>
      <c r="S65" s="28" t="str">
        <f t="shared" si="5"/>
        <v/>
      </c>
      <c r="T65" s="26">
        <f>COUNTIFS(AllData[Site Name], Tables!$B65, AllData[Season], "Autumn", AllData[Year], "2023")</f>
        <v>0</v>
      </c>
      <c r="U65" s="160" t="str">
        <f>IFERROR(AVERAGEIFS(AllData[Nitrate (PPM)], AllData[Site Name], $B65, AllData[Season], "Autumn", AllData[Year], "2023"), "")</f>
        <v/>
      </c>
      <c r="V65" s="27" t="str">
        <f t="shared" si="6"/>
        <v/>
      </c>
      <c r="W65" s="161" t="str">
        <f>IFERROR(AVERAGEIFS(AllData[Phosphate (PPM)], AllData[Site Name], $B65, AllData[Season], "Autumn", AllData[Year], "2023"),"")</f>
        <v/>
      </c>
      <c r="X65" s="28" t="str">
        <f t="shared" si="7"/>
        <v/>
      </c>
      <c r="Y65" s="26">
        <f>COUNTIFS(AllData[Site Name], Tables!$B65, AllData[Season], "Winter", AllData[Year], "2023")</f>
        <v>0</v>
      </c>
      <c r="Z65" s="160" t="str">
        <f>IFERROR(AVERAGEIFS(AllData[Nitrate (PPM)], AllData[Site Name], $B65, AllData[Season], "Winter", AllData[Year], "2023"), "")</f>
        <v/>
      </c>
      <c r="AA65" s="27" t="str">
        <f t="shared" si="8"/>
        <v/>
      </c>
      <c r="AB65" s="161" t="str">
        <f>IFERROR(AVERAGEIFS(AllData[Phosphate (PPM)], AllData[Site Name], $B65, AllData[Season], "Winter", AllData[Year], "2023"),"")</f>
        <v/>
      </c>
      <c r="AC65" s="28" t="str">
        <f t="shared" si="9"/>
        <v/>
      </c>
      <c r="AD65" s="26">
        <f>COUNTIFS(AllData[Site Name], Tables!$B65, AllData[Season], "Spring", AllData[Year], "2024")</f>
        <v>0</v>
      </c>
      <c r="AE65" s="160" t="str">
        <f>IFERROR(AVERAGEIFS(AllData[Nitrate (PPM)], AllData[Site Name], $B65, AllData[Season], "Spring", AllData[Year], "2024"), "")</f>
        <v/>
      </c>
      <c r="AF65" s="27" t="str">
        <f t="shared" si="10"/>
        <v/>
      </c>
      <c r="AG65" s="161" t="str">
        <f>IFERROR(AVERAGEIFS(AllData[Phosphate (PPM)], AllData[Site Name], $B65, AllData[Season], "Spring", AllData[Year], "2024"),"")</f>
        <v/>
      </c>
      <c r="AH65" s="28" t="str">
        <f t="shared" si="11"/>
        <v/>
      </c>
      <c r="AI65" s="165">
        <f>COUNTIFS(AllData[Site Name], Tables!$B65, AllData[Season], "Summer", AllData[Year], "2024")</f>
        <v>0</v>
      </c>
      <c r="AJ65" s="160" t="str">
        <f>IFERROR(AVERAGEIFS(AllData[Nitrate (PPM)], AllData[Site Name], $B65, AllData[Season], "Summer", AllData[Year], "2024"), "")</f>
        <v/>
      </c>
      <c r="AK65" s="27" t="str">
        <f t="shared" si="12"/>
        <v/>
      </c>
      <c r="AL65" s="27" t="str">
        <f t="shared" si="13"/>
        <v/>
      </c>
      <c r="AM65" s="161" t="str">
        <f>IFERROR(AVERAGEIFS(AllData[Phosphate (PPM)], AllData[Site Name], $B65, AllData[Season], "Summer", AllData[Year], "2024"),"")</f>
        <v/>
      </c>
      <c r="AN65" s="27" t="str">
        <f t="shared" si="14"/>
        <v/>
      </c>
      <c r="AO65" s="28" t="str">
        <f t="shared" si="15"/>
        <v/>
      </c>
      <c r="AP65" s="157">
        <f>COUNTIFS(AllData[Site Name], Tables!$B65, AllData[Season], "Autumn", AllData[Year], "2024")</f>
        <v>8</v>
      </c>
      <c r="AQ65" s="160">
        <f>IFERROR(AVERAGEIFS(AllData[Nitrate (PPM)], AllData[Site Name], $B65, AllData[Season], "Autumn", AllData[Year], "2024"), "")</f>
        <v>11</v>
      </c>
      <c r="AR65" s="27">
        <f t="shared" si="16"/>
        <v>0.19016393442622953</v>
      </c>
      <c r="AS65" s="27" t="str">
        <f t="shared" si="42"/>
        <v/>
      </c>
      <c r="AT65" s="161">
        <f>IFERROR(AVERAGEIFS(AllData[Phosphate (PPM)], AllData[Site Name], B65, AllData[Season], "Autumn", AllData[Year], "2024"), "")</f>
        <v>0.625</v>
      </c>
      <c r="AU65" s="27">
        <f t="shared" si="18"/>
        <v>0.26541505613841354</v>
      </c>
      <c r="AV65" s="28" t="str">
        <f t="shared" si="43"/>
        <v/>
      </c>
      <c r="AW65" s="165">
        <f>COUNTIFS(AllData[Site Name], Tables!$B65, AllData[Season], "Winter", AllData[Year], "2024")</f>
        <v>11</v>
      </c>
      <c r="AX65" s="160">
        <f>IFERROR(AVERAGEIFS(AllData[Nitrate (PPM)], AllData[Site Name], $B65, AllData[Season], "Winter", AllData[Year], "2024"), "")</f>
        <v>7.7272727272727275</v>
      </c>
      <c r="AY65" s="27">
        <f t="shared" si="20"/>
        <v>-0.16393442622950816</v>
      </c>
      <c r="AZ65" s="27" t="str">
        <f t="shared" si="21"/>
        <v/>
      </c>
      <c r="BA65" s="161">
        <f>IFERROR(AVERAGEIFS(AllData[Phosphate (PPM)], AllData[Site Name], $B65, AllData[Season], "Winter", AllData[Year], "2024"), "")</f>
        <v>0.47272727272727266</v>
      </c>
      <c r="BB65" s="27">
        <f t="shared" si="22"/>
        <v>-4.2886066629854613E-2</v>
      </c>
      <c r="BC65" s="44" t="str">
        <f t="shared" si="23"/>
        <v/>
      </c>
      <c r="BD65" s="157">
        <f>COUNTIFS(AllData[Site Name], Tables!$B65, AllData[Season], "Spring", AllData[Year], "2025")</f>
        <v>5</v>
      </c>
      <c r="BE65" s="160">
        <f>IFERROR(AVERAGEIFS(AllData[Nitrate (PPM)], AllData[Site Name], $B65, AllData[Season], "Spring", AllData[Year], "2025"), "")</f>
        <v>9</v>
      </c>
      <c r="BF65" s="27">
        <f t="shared" si="24"/>
        <v>-2.6229508196721287E-2</v>
      </c>
      <c r="BG65" s="27" t="str">
        <f t="shared" si="25"/>
        <v/>
      </c>
      <c r="BH65" s="161">
        <f>IFERROR(AVERAGEIFS(AllData[Phosphate (PPM)], AllData[Site Name], $B65, AllData[Season], "Spring", AllData[Year], "2025"), "")</f>
        <v>0.38400000000000001</v>
      </c>
      <c r="BI65" s="27">
        <f t="shared" si="26"/>
        <v>-0.22252898950855871</v>
      </c>
      <c r="BJ65" s="27" t="str">
        <f t="shared" si="27"/>
        <v/>
      </c>
      <c r="BK65" s="165">
        <f>COUNTIFS(AllData[Site Name], Tables!$B65, AllData[Season], "Summer", AllData[Year], "2025")</f>
        <v>0</v>
      </c>
      <c r="BL65" s="160" t="str">
        <f>IFERROR(AVERAGEIFS(AllData[Nitrate (PPM)], AllData[Site Name], $B65, AllData[Season], "Summer", AllData[Year], "2025"), "")</f>
        <v/>
      </c>
      <c r="BM65" s="27" t="str">
        <f t="shared" si="28"/>
        <v/>
      </c>
      <c r="BN65" s="27" t="str">
        <f t="shared" si="29"/>
        <v/>
      </c>
      <c r="BO65" s="161" t="str">
        <f>IFERROR(AVERAGEIFS(AllData[Phosphate (PPM)], AllData[Site Name], $B65, AllData[Season], "Summer", AllData[Year], "2025"),"")</f>
        <v/>
      </c>
      <c r="BP65" s="27" t="str">
        <f t="shared" si="30"/>
        <v/>
      </c>
      <c r="BQ65" s="27" t="str">
        <f t="shared" si="31"/>
        <v/>
      </c>
      <c r="BR65" s="165">
        <f>COUNTIFS(AllData[Site Name], Tables!$B65, AllData[Season], "Autumn", AllData[Year], "2025")</f>
        <v>0</v>
      </c>
      <c r="BS65" s="160" t="str">
        <f>IFERROR(AVERAGEIFS(AllData[Nitrate (PPM)], AllData[Site Name], $B65, AllData[Season], "Autumn", AllData[Year], "2025"), "")</f>
        <v/>
      </c>
      <c r="BT65" s="27" t="str">
        <f t="shared" si="32"/>
        <v/>
      </c>
      <c r="BU65" s="27" t="str">
        <f t="shared" si="33"/>
        <v/>
      </c>
      <c r="BV65" s="161" t="str">
        <f>IFERROR(AVERAGEIFS(AllData[Phosphate (PPM)], AllData[Site Name], AD65, AllData[Season], "Autumn", AllData[Year], "2025"), "")</f>
        <v/>
      </c>
      <c r="BW65" s="27" t="str">
        <f t="shared" si="34"/>
        <v/>
      </c>
      <c r="BX65" s="28" t="str">
        <f t="shared" si="35"/>
        <v/>
      </c>
      <c r="BY65" s="165">
        <f>COUNTIFS(AllData[Site Name], Tables!$B65, AllData[Season], "Winter", AllData[Year], "2025")</f>
        <v>0</v>
      </c>
      <c r="BZ65" s="160" t="str">
        <f>IFERROR(AVERAGEIFS(AllData[Nitrate (PPM)], AllData[Site Name], $B65, AllData[Season], "Winter", AllData[Year], "2025"), "")</f>
        <v/>
      </c>
      <c r="CA65" s="27" t="str">
        <f t="shared" si="36"/>
        <v/>
      </c>
      <c r="CB65" s="27" t="str">
        <f t="shared" si="40"/>
        <v/>
      </c>
      <c r="CC65" s="161" t="str">
        <f>IFERROR(AVERAGEIFS(AllData[Phosphate (PPM)], AllData[Site Name], $B65, AllData[Season], "Winter", AllData[Year], "2025"), "")</f>
        <v/>
      </c>
      <c r="CD65" s="27" t="str">
        <f t="shared" si="38"/>
        <v/>
      </c>
      <c r="CE65" s="44" t="str">
        <f t="shared" si="41"/>
        <v/>
      </c>
    </row>
    <row r="66" spans="2:83" x14ac:dyDescent="0.35">
      <c r="B66" s="159" t="s">
        <v>541</v>
      </c>
      <c r="C66" s="113">
        <f>IFERROR(AVERAGEIF(AllData[Site Name], Tables!B66, AllData[Latitude]), "Unknown")</f>
        <v>52.252500000000033</v>
      </c>
      <c r="D66" s="113">
        <f>IFERROR(AVERAGEIF(AllData[Site Name], Tables!B66, AllData[Longitude]), "Unknown")</f>
        <v>-1.6685000000000012</v>
      </c>
      <c r="E66" s="13" t="e" vm="1">
        <f>_xlfn.XLOOKUP(B66,LocationsKey[Site Name], LocationsKey[District])</f>
        <v>#VALUE!</v>
      </c>
      <c r="F66" s="13" t="e" vm="23">
        <f>_xlfn.XLOOKUP(B66,LocationsKey[Site Name], LocationsKey[Town])</f>
        <v>#VALUE!</v>
      </c>
      <c r="G66" s="25" t="str">
        <f>_xlfn.XLOOKUP(B66,LocationsKey[Site Name],LocationsKey[Waterway])</f>
        <v>Sherbourne Brook</v>
      </c>
      <c r="H66" s="157">
        <f>COUNTIF(AllData[Site Name], Tables!B66)</f>
        <v>48</v>
      </c>
      <c r="I66" s="160">
        <f t="shared" si="0"/>
        <v>8.4060439560439555</v>
      </c>
      <c r="J66" s="161">
        <f t="shared" si="1"/>
        <v>0.46534615384615385</v>
      </c>
      <c r="K66" s="27" cm="1">
        <f t="array" ref="K66">SUM(COUNTIFS(AllData[Site Name], B66, AllData[Nitrate Pollution Category], {"High","Very high"}))/COUNTIFS(AllData[Site Name], B66, AllData[Nitrate (PPM)], "&lt;&gt;0")</f>
        <v>1</v>
      </c>
      <c r="L66" s="27" cm="1">
        <f t="array" ref="L66">SUM(COUNTIFS(AllData[Site Name], B66, AllData[Phosphate Pollution Category], {"High","Very high"}))/COUNTIFS(AllData[Site Name], B66, AllData[Phosphate (PPM)], "&lt;&gt;0")</f>
        <v>0.97916666666666663</v>
      </c>
      <c r="M66" s="157">
        <f t="shared" si="2"/>
        <v>13</v>
      </c>
      <c r="N66" s="157">
        <f t="shared" si="3"/>
        <v>57</v>
      </c>
      <c r="O66" s="26">
        <f>COUNTIFS(AllData[Site Name], Tables!$B66, AllData[Season], "Summer", AllData[Year], "2023")</f>
        <v>0</v>
      </c>
      <c r="P66" s="160" t="str">
        <f>IFERROR(AVERAGEIFS(AllData[Nitrate (PPM)], AllData[Site Name], $B66, AllData[Season], "Summer", AllData[Year], "2023"), "")</f>
        <v/>
      </c>
      <c r="Q66" s="27" t="str">
        <f t="shared" si="4"/>
        <v/>
      </c>
      <c r="R66" s="161" t="str">
        <f>IFERROR(AVERAGEIFS(AllData[Phosphate (PPM)], AllData[Site Name], $B66, AllData[Season], "Summer", AllData[Year], "2023"),"")</f>
        <v/>
      </c>
      <c r="S66" s="28" t="str">
        <f t="shared" si="5"/>
        <v/>
      </c>
      <c r="T66" s="26">
        <f>COUNTIFS(AllData[Site Name], Tables!$B66, AllData[Season], "Autumn", AllData[Year], "2023")</f>
        <v>0</v>
      </c>
      <c r="U66" s="160" t="str">
        <f>IFERROR(AVERAGEIFS(AllData[Nitrate (PPM)], AllData[Site Name], $B66, AllData[Season], "Autumn", AllData[Year], "2023"), "")</f>
        <v/>
      </c>
      <c r="V66" s="27" t="str">
        <f t="shared" si="6"/>
        <v/>
      </c>
      <c r="W66" s="161" t="str">
        <f>IFERROR(AVERAGEIFS(AllData[Phosphate (PPM)], AllData[Site Name], $B66, AllData[Season], "Autumn", AllData[Year], "2023"),"")</f>
        <v/>
      </c>
      <c r="X66" s="28" t="str">
        <f t="shared" si="7"/>
        <v/>
      </c>
      <c r="Y66" s="26">
        <f>COUNTIFS(AllData[Site Name], Tables!$B66, AllData[Season], "Winter", AllData[Year], "2023")</f>
        <v>7</v>
      </c>
      <c r="Z66" s="160">
        <f>IFERROR(AVERAGEIFS(AllData[Nitrate (PPM)], AllData[Site Name], $B66, AllData[Season], "Winter", AllData[Year], "2023"), "")</f>
        <v>7.8571428571428568</v>
      </c>
      <c r="AA66" s="27">
        <f t="shared" si="8"/>
        <v>-6.5298385515393145E-2</v>
      </c>
      <c r="AB66" s="161">
        <f>IFERROR(AVERAGEIFS(AllData[Phosphate (PPM)], AllData[Site Name], $B66, AllData[Season], "Winter", AllData[Year], "2023"),"")</f>
        <v>0.55999999999999994</v>
      </c>
      <c r="AC66" s="28">
        <f t="shared" si="9"/>
        <v>0.20340524010248767</v>
      </c>
      <c r="AD66" s="26">
        <f>COUNTIFS(AllData[Site Name], Tables!$B66, AllData[Season], "Spring", AllData[Year], "2024")</f>
        <v>12</v>
      </c>
      <c r="AE66" s="160">
        <f>IFERROR(AVERAGEIFS(AllData[Nitrate (PPM)], AllData[Site Name], $B66, AllData[Season], "Spring", AllData[Year], "2024"), "")</f>
        <v>6.583333333333333</v>
      </c>
      <c r="AF66" s="27">
        <f t="shared" si="10"/>
        <v>-0.21683334422729153</v>
      </c>
      <c r="AG66" s="161">
        <f>IFERROR(AVERAGEIFS(AllData[Phosphate (PPM)], AllData[Site Name], $B66, AllData[Season], "Spring", AllData[Year], "2024"),"")</f>
        <v>0.58249999999999991</v>
      </c>
      <c r="AH66" s="28">
        <f t="shared" si="11"/>
        <v>0.25175634349946252</v>
      </c>
      <c r="AI66" s="165">
        <f>COUNTIFS(AllData[Site Name], Tables!$B66, AllData[Season], "Summer", AllData[Year], "2024")</f>
        <v>13</v>
      </c>
      <c r="AJ66" s="160">
        <f>IFERROR(AVERAGEIFS(AllData[Nitrate (PPM)], AllData[Site Name], $B66, AllData[Season], "Summer", AllData[Year], "2024"), "")</f>
        <v>9.9230769230769234</v>
      </c>
      <c r="AK66" s="27">
        <f t="shared" si="12"/>
        <v>0.18046931171972036</v>
      </c>
      <c r="AL66" s="27" t="str">
        <f t="shared" si="13"/>
        <v/>
      </c>
      <c r="AM66" s="161">
        <f>IFERROR(AVERAGEIFS(AllData[Phosphate (PPM)], AllData[Site Name], $B66, AllData[Season], "Summer", AllData[Year], "2024"),"")</f>
        <v>0.34923076923076923</v>
      </c>
      <c r="AN66" s="27">
        <f t="shared" si="14"/>
        <v>-0.24952475411191008</v>
      </c>
      <c r="AO66" s="28" t="str">
        <f t="shared" si="15"/>
        <v/>
      </c>
      <c r="AP66" s="157">
        <f>COUNTIFS(AllData[Site Name], Tables!$B66, AllData[Season], "Autumn", AllData[Year], "2024")</f>
        <v>12</v>
      </c>
      <c r="AQ66" s="160">
        <f>IFERROR(AVERAGEIFS(AllData[Nitrate (PPM)], AllData[Site Name], $B66, AllData[Season], "Autumn", AllData[Year], "2024"), "")</f>
        <v>9.1666666666666661</v>
      </c>
      <c r="AR66" s="27">
        <f t="shared" si="16"/>
        <v>9.0485216898707976E-2</v>
      </c>
      <c r="AS66" s="27" t="str">
        <f t="shared" si="42"/>
        <v/>
      </c>
      <c r="AT66" s="161">
        <f>IFERROR(AVERAGEIFS(AllData[Phosphate (PPM)], AllData[Site Name], B66, AllData[Season], "Autumn", AllData[Year], "2024"), "")</f>
        <v>0.4375</v>
      </c>
      <c r="AU66" s="27">
        <f t="shared" si="18"/>
        <v>-5.9839656169931414E-2</v>
      </c>
      <c r="AV66" s="28" t="str">
        <f t="shared" si="43"/>
        <v/>
      </c>
      <c r="AW66" s="165">
        <f>COUNTIFS(AllData[Site Name], Tables!$B66, AllData[Season], "Winter", AllData[Year], "2024")</f>
        <v>4</v>
      </c>
      <c r="AX66" s="160">
        <f>IFERROR(AVERAGEIFS(AllData[Nitrate (PPM)], AllData[Site Name], $B66, AllData[Season], "Winter", AllData[Year], "2024"), "")</f>
        <v>8.5</v>
      </c>
      <c r="AY66" s="27">
        <f t="shared" si="20"/>
        <v>1.1177201124256554E-2</v>
      </c>
      <c r="AZ66" s="27">
        <f t="shared" si="21"/>
        <v>8.1818181818181873E-2</v>
      </c>
      <c r="BA66" s="161">
        <f>IFERROR(AVERAGEIFS(AllData[Phosphate (PPM)], AllData[Site Name], $B66, AllData[Season], "Winter", AllData[Year], "2024"), "")</f>
        <v>0.39750000000000002</v>
      </c>
      <c r="BB66" s="27">
        <f t="shared" si="22"/>
        <v>-0.14579717332010908</v>
      </c>
      <c r="BC66" s="44">
        <f t="shared" si="23"/>
        <v>-0.29017857142857134</v>
      </c>
      <c r="BD66" s="157">
        <f>COUNTIFS(AllData[Site Name], Tables!$B66, AllData[Season], "Spring", AllData[Year], "2025")</f>
        <v>0</v>
      </c>
      <c r="BE66" s="160" t="str">
        <f>IFERROR(AVERAGEIFS(AllData[Nitrate (PPM)], AllData[Site Name], $B66, AllData[Season], "Spring", AllData[Year], "2025"), "")</f>
        <v/>
      </c>
      <c r="BF66" s="27" t="str">
        <f t="shared" si="24"/>
        <v/>
      </c>
      <c r="BG66" s="27" t="str">
        <f t="shared" si="25"/>
        <v/>
      </c>
      <c r="BH66" s="161" t="str">
        <f>IFERROR(AVERAGEIFS(AllData[Phosphate (PPM)], AllData[Site Name], $B66, AllData[Season], "Spring", AllData[Year], "2025"), "")</f>
        <v/>
      </c>
      <c r="BI66" s="27" t="str">
        <f t="shared" si="26"/>
        <v/>
      </c>
      <c r="BJ66" s="27" t="str">
        <f t="shared" si="27"/>
        <v/>
      </c>
      <c r="BK66" s="165">
        <f>COUNTIFS(AllData[Site Name], Tables!$B66, AllData[Season], "Summer", AllData[Year], "2025")</f>
        <v>0</v>
      </c>
      <c r="BL66" s="160" t="str">
        <f>IFERROR(AVERAGEIFS(AllData[Nitrate (PPM)], AllData[Site Name], $B66, AllData[Season], "Summer", AllData[Year], "2025"), "")</f>
        <v/>
      </c>
      <c r="BM66" s="27" t="str">
        <f t="shared" si="28"/>
        <v/>
      </c>
      <c r="BN66" s="27" t="str">
        <f t="shared" si="29"/>
        <v/>
      </c>
      <c r="BO66" s="161" t="str">
        <f>IFERROR(AVERAGEIFS(AllData[Phosphate (PPM)], AllData[Site Name], $B66, AllData[Season], "Summer", AllData[Year], "2025"),"")</f>
        <v/>
      </c>
      <c r="BP66" s="27" t="str">
        <f t="shared" si="30"/>
        <v/>
      </c>
      <c r="BQ66" s="27" t="str">
        <f t="shared" si="31"/>
        <v/>
      </c>
      <c r="BR66" s="165">
        <f>COUNTIFS(AllData[Site Name], Tables!$B66, AllData[Season], "Autumn", AllData[Year], "2025")</f>
        <v>0</v>
      </c>
      <c r="BS66" s="160" t="str">
        <f>IFERROR(AVERAGEIFS(AllData[Nitrate (PPM)], AllData[Site Name], $B66, AllData[Season], "Autumn", AllData[Year], "2025"), "")</f>
        <v/>
      </c>
      <c r="BT66" s="27" t="str">
        <f t="shared" si="32"/>
        <v/>
      </c>
      <c r="BU66" s="27" t="str">
        <f t="shared" si="33"/>
        <v/>
      </c>
      <c r="BV66" s="161" t="str">
        <f>IFERROR(AVERAGEIFS(AllData[Phosphate (PPM)], AllData[Site Name], AD66, AllData[Season], "Autumn", AllData[Year], "2025"), "")</f>
        <v/>
      </c>
      <c r="BW66" s="27" t="str">
        <f t="shared" si="34"/>
        <v/>
      </c>
      <c r="BX66" s="28" t="str">
        <f t="shared" si="35"/>
        <v/>
      </c>
      <c r="BY66" s="165">
        <f>COUNTIFS(AllData[Site Name], Tables!$B66, AllData[Season], "Winter", AllData[Year], "2025")</f>
        <v>0</v>
      </c>
      <c r="BZ66" s="160" t="str">
        <f>IFERROR(AVERAGEIFS(AllData[Nitrate (PPM)], AllData[Site Name], $B66, AllData[Season], "Winter", AllData[Year], "2025"), "")</f>
        <v/>
      </c>
      <c r="CA66" s="27" t="str">
        <f t="shared" si="36"/>
        <v/>
      </c>
      <c r="CB66" s="27" t="str">
        <f t="shared" si="40"/>
        <v/>
      </c>
      <c r="CC66" s="161" t="str">
        <f>IFERROR(AVERAGEIFS(AllData[Phosphate (PPM)], AllData[Site Name], $B66, AllData[Season], "Winter", AllData[Year], "2025"), "")</f>
        <v/>
      </c>
      <c r="CD66" s="27" t="str">
        <f t="shared" si="38"/>
        <v/>
      </c>
      <c r="CE66" s="44" t="str">
        <f t="shared" si="41"/>
        <v/>
      </c>
    </row>
    <row r="67" spans="2:83" x14ac:dyDescent="0.35">
      <c r="B67" s="159" t="s">
        <v>941</v>
      </c>
      <c r="C67" s="113" t="str">
        <f>IFERROR(AVERAGEIF(AllData[Site Name], Tables!B67, AllData[Latitude]), "Unknown")</f>
        <v>Unknown</v>
      </c>
      <c r="D67" s="113" t="str">
        <f>IFERROR(AVERAGEIF(AllData[Site Name], Tables!B67, AllData[Longitude]), "Unknown")</f>
        <v>Unknown</v>
      </c>
      <c r="E67" s="13" t="e" vm="1">
        <f>_xlfn.XLOOKUP(B67,LocationsKey[Site Name], LocationsKey[District])</f>
        <v>#VALUE!</v>
      </c>
      <c r="F67" s="13" t="str">
        <f>_xlfn.XLOOKUP(B67,LocationsKey[Site Name], LocationsKey[Town])</f>
        <v>Unknown</v>
      </c>
      <c r="G67" s="25" t="str">
        <f>_xlfn.XLOOKUP(B67,LocationsKey[Site Name],LocationsKey[Waterway])</f>
        <v>Sherbourne Brook</v>
      </c>
      <c r="H67" s="157">
        <f>COUNTIF(AllData[Site Name], Tables!B67)</f>
        <v>11</v>
      </c>
      <c r="I67" s="160">
        <f t="shared" si="0"/>
        <v>7.75</v>
      </c>
      <c r="J67" s="161">
        <f t="shared" si="1"/>
        <v>0.44722222222222219</v>
      </c>
      <c r="K67" s="27" cm="1">
        <f t="array" ref="K67">SUM(COUNTIFS(AllData[Site Name], B67, AllData[Nitrate Pollution Category], {"High","Very high"}))/COUNTIFS(AllData[Site Name], B67, AllData[Nitrate (PPM)], "&lt;&gt;0")</f>
        <v>1</v>
      </c>
      <c r="L67" s="27" cm="1">
        <f t="array" ref="L67">SUM(COUNTIFS(AllData[Site Name], B67, AllData[Phosphate Pollution Category], {"High","Very high"}))/COUNTIFS(AllData[Site Name], B67, AllData[Phosphate (PPM)], "&lt;&gt;0")</f>
        <v>0.9</v>
      </c>
      <c r="M67" s="157">
        <f t="shared" si="2"/>
        <v>23</v>
      </c>
      <c r="N67" s="157">
        <f t="shared" si="3"/>
        <v>58</v>
      </c>
      <c r="O67" s="26">
        <f>COUNTIFS(AllData[Site Name], Tables!$B67, AllData[Season], "Summer", AllData[Year], "2023")</f>
        <v>0</v>
      </c>
      <c r="P67" s="160" t="str">
        <f>IFERROR(AVERAGEIFS(AllData[Nitrate (PPM)], AllData[Site Name], $B67, AllData[Season], "Summer", AllData[Year], "2023"), "")</f>
        <v/>
      </c>
      <c r="Q67" s="27" t="str">
        <f t="shared" si="4"/>
        <v/>
      </c>
      <c r="R67" s="161" t="str">
        <f>IFERROR(AVERAGEIFS(AllData[Phosphate (PPM)], AllData[Site Name], $B67, AllData[Season], "Summer", AllData[Year], "2023"),"")</f>
        <v/>
      </c>
      <c r="S67" s="28" t="str">
        <f t="shared" si="5"/>
        <v/>
      </c>
      <c r="T67" s="26">
        <f>COUNTIFS(AllData[Site Name], Tables!$B67, AllData[Season], "Autumn", AllData[Year], "2023")</f>
        <v>0</v>
      </c>
      <c r="U67" s="160" t="str">
        <f>IFERROR(AVERAGEIFS(AllData[Nitrate (PPM)], AllData[Site Name], $B67, AllData[Season], "Autumn", AllData[Year], "2023"), "")</f>
        <v/>
      </c>
      <c r="V67" s="27" t="str">
        <f t="shared" si="6"/>
        <v/>
      </c>
      <c r="W67" s="161" t="str">
        <f>IFERROR(AVERAGEIFS(AllData[Phosphate (PPM)], AllData[Site Name], $B67, AllData[Season], "Autumn", AllData[Year], "2023"),"")</f>
        <v/>
      </c>
      <c r="X67" s="28" t="str">
        <f t="shared" si="7"/>
        <v/>
      </c>
      <c r="Y67" s="26">
        <f>COUNTIFS(AllData[Site Name], Tables!$B67, AllData[Season], "Winter", AllData[Year], "2023")</f>
        <v>0</v>
      </c>
      <c r="Z67" s="160" t="str">
        <f>IFERROR(AVERAGEIFS(AllData[Nitrate (PPM)], AllData[Site Name], $B67, AllData[Season], "Winter", AllData[Year], "2023"), "")</f>
        <v/>
      </c>
      <c r="AA67" s="27" t="str">
        <f t="shared" si="8"/>
        <v/>
      </c>
      <c r="AB67" s="161" t="str">
        <f>IFERROR(AVERAGEIFS(AllData[Phosphate (PPM)], AllData[Site Name], $B67, AllData[Season], "Winter", AllData[Year], "2023"),"")</f>
        <v/>
      </c>
      <c r="AC67" s="28" t="str">
        <f t="shared" si="9"/>
        <v/>
      </c>
      <c r="AD67" s="26">
        <f>COUNTIFS(AllData[Site Name], Tables!$B67, AllData[Season], "Spring", AllData[Year], "2024")</f>
        <v>1</v>
      </c>
      <c r="AE67" s="160">
        <f>IFERROR(AVERAGEIFS(AllData[Nitrate (PPM)], AllData[Site Name], $B67, AllData[Season], "Spring", AllData[Year], "2024"), "")</f>
        <v>4</v>
      </c>
      <c r="AF67" s="27">
        <f t="shared" si="10"/>
        <v>-0.4838709677419355</v>
      </c>
      <c r="AG67" s="161">
        <f>IFERROR(AVERAGEIFS(AllData[Phosphate (PPM)], AllData[Site Name], $B67, AllData[Season], "Spring", AllData[Year], "2024"),"")</f>
        <v>0.57999999999999996</v>
      </c>
      <c r="AH67" s="28">
        <f t="shared" si="11"/>
        <v>0.29689440993788818</v>
      </c>
      <c r="AI67" s="165">
        <f>COUNTIFS(AllData[Site Name], Tables!$B67, AllData[Season], "Summer", AllData[Year], "2024")</f>
        <v>0</v>
      </c>
      <c r="AJ67" s="160" t="str">
        <f>IFERROR(AVERAGEIFS(AllData[Nitrate (PPM)], AllData[Site Name], $B67, AllData[Season], "Summer", AllData[Year], "2024"), "")</f>
        <v/>
      </c>
      <c r="AK67" s="27" t="str">
        <f t="shared" si="12"/>
        <v/>
      </c>
      <c r="AL67" s="27" t="str">
        <f t="shared" si="13"/>
        <v/>
      </c>
      <c r="AM67" s="161" t="str">
        <f>IFERROR(AVERAGEIFS(AllData[Phosphate (PPM)], AllData[Site Name], $B67, AllData[Season], "Summer", AllData[Year], "2024"),"")</f>
        <v/>
      </c>
      <c r="AN67" s="27" t="str">
        <f t="shared" si="14"/>
        <v/>
      </c>
      <c r="AO67" s="28" t="str">
        <f t="shared" si="15"/>
        <v/>
      </c>
      <c r="AP67" s="157">
        <f>COUNTIFS(AllData[Site Name], Tables!$B67, AllData[Season], "Autumn", AllData[Year], "2024")</f>
        <v>0</v>
      </c>
      <c r="AQ67" s="160" t="str">
        <f>IFERROR(AVERAGEIFS(AllData[Nitrate (PPM)], AllData[Site Name], $B67, AllData[Season], "Autumn", AllData[Year], "2024"), "")</f>
        <v/>
      </c>
      <c r="AR67" s="27" t="str">
        <f t="shared" si="16"/>
        <v/>
      </c>
      <c r="AS67" s="27" t="str">
        <f t="shared" si="42"/>
        <v/>
      </c>
      <c r="AT67" s="161" t="str">
        <f>IFERROR(AVERAGEIFS(AllData[Phosphate (PPM)], AllData[Site Name], B67, AllData[Season], "Autumn", AllData[Year], "2024"), "")</f>
        <v/>
      </c>
      <c r="AU67" s="27" t="str">
        <f t="shared" si="18"/>
        <v/>
      </c>
      <c r="AV67" s="28" t="str">
        <f t="shared" si="43"/>
        <v/>
      </c>
      <c r="AW67" s="165">
        <f>COUNTIFS(AllData[Site Name], Tables!$B67, AllData[Season], "Winter", AllData[Year], "2024")</f>
        <v>4</v>
      </c>
      <c r="AX67" s="160">
        <f>IFERROR(AVERAGEIFS(AllData[Nitrate (PPM)], AllData[Site Name], $B67, AllData[Season], "Winter", AllData[Year], "2024"), "")</f>
        <v>6.25</v>
      </c>
      <c r="AY67" s="27">
        <f t="shared" si="20"/>
        <v>-0.19354838709677419</v>
      </c>
      <c r="AZ67" s="27" t="str">
        <f t="shared" si="21"/>
        <v/>
      </c>
      <c r="BA67" s="161">
        <f>IFERROR(AVERAGEIFS(AllData[Phosphate (PPM)], AllData[Site Name], $B67, AllData[Season], "Winter", AllData[Year], "2024"), "")</f>
        <v>0.51</v>
      </c>
      <c r="BB67" s="27">
        <f t="shared" si="22"/>
        <v>0.14037267080745353</v>
      </c>
      <c r="BC67" s="44" t="str">
        <f t="shared" si="23"/>
        <v/>
      </c>
      <c r="BD67" s="157">
        <f>COUNTIFS(AllData[Site Name], Tables!$B67, AllData[Season], "Spring", AllData[Year], "2025")</f>
        <v>6</v>
      </c>
      <c r="BE67" s="160">
        <f>IFERROR(AVERAGEIFS(AllData[Nitrate (PPM)], AllData[Site Name], $B67, AllData[Season], "Spring", AllData[Year], "2025"), "")</f>
        <v>13</v>
      </c>
      <c r="BF67" s="27">
        <f t="shared" si="24"/>
        <v>0.67741935483870963</v>
      </c>
      <c r="BG67" s="27">
        <f t="shared" si="25"/>
        <v>2.25</v>
      </c>
      <c r="BH67" s="161">
        <f>IFERROR(AVERAGEIFS(AllData[Phosphate (PPM)], AllData[Site Name], $B67, AllData[Season], "Spring", AllData[Year], "2025"), "")</f>
        <v>0.25166666666666665</v>
      </c>
      <c r="BI67" s="27">
        <f t="shared" si="26"/>
        <v>-0.4372670807453416</v>
      </c>
      <c r="BJ67" s="27">
        <f t="shared" si="27"/>
        <v>-0.56609195402298851</v>
      </c>
      <c r="BK67" s="165">
        <f>COUNTIFS(AllData[Site Name], Tables!$B67, AllData[Season], "Summer", AllData[Year], "2025")</f>
        <v>0</v>
      </c>
      <c r="BL67" s="160" t="str">
        <f>IFERROR(AVERAGEIFS(AllData[Nitrate (PPM)], AllData[Site Name], $B67, AllData[Season], "Summer", AllData[Year], "2025"), "")</f>
        <v/>
      </c>
      <c r="BM67" s="27" t="str">
        <f t="shared" si="28"/>
        <v/>
      </c>
      <c r="BN67" s="27" t="str">
        <f t="shared" si="29"/>
        <v/>
      </c>
      <c r="BO67" s="161" t="str">
        <f>IFERROR(AVERAGEIFS(AllData[Phosphate (PPM)], AllData[Site Name], $B67, AllData[Season], "Summer", AllData[Year], "2025"),"")</f>
        <v/>
      </c>
      <c r="BP67" s="27" t="str">
        <f t="shared" si="30"/>
        <v/>
      </c>
      <c r="BQ67" s="27" t="str">
        <f t="shared" si="31"/>
        <v/>
      </c>
      <c r="BR67" s="165">
        <f>COUNTIFS(AllData[Site Name], Tables!$B67, AllData[Season], "Autumn", AllData[Year], "2025")</f>
        <v>0</v>
      </c>
      <c r="BS67" s="160" t="str">
        <f>IFERROR(AVERAGEIFS(AllData[Nitrate (PPM)], AllData[Site Name], $B67, AllData[Season], "Autumn", AllData[Year], "2025"), "")</f>
        <v/>
      </c>
      <c r="BT67" s="27" t="str">
        <f t="shared" si="32"/>
        <v/>
      </c>
      <c r="BU67" s="27" t="str">
        <f t="shared" si="33"/>
        <v/>
      </c>
      <c r="BV67" s="161" t="str">
        <f>IFERROR(AVERAGEIFS(AllData[Phosphate (PPM)], AllData[Site Name], AD67, AllData[Season], "Autumn", AllData[Year], "2025"), "")</f>
        <v/>
      </c>
      <c r="BW67" s="27" t="str">
        <f t="shared" si="34"/>
        <v/>
      </c>
      <c r="BX67" s="28" t="str">
        <f t="shared" si="35"/>
        <v/>
      </c>
      <c r="BY67" s="165">
        <f>COUNTIFS(AllData[Site Name], Tables!$B67, AllData[Season], "Winter", AllData[Year], "2025")</f>
        <v>0</v>
      </c>
      <c r="BZ67" s="160" t="str">
        <f>IFERROR(AVERAGEIFS(AllData[Nitrate (PPM)], AllData[Site Name], $B67, AllData[Season], "Winter", AllData[Year], "2025"), "")</f>
        <v/>
      </c>
      <c r="CA67" s="27" t="str">
        <f t="shared" si="36"/>
        <v/>
      </c>
      <c r="CB67" s="27" t="str">
        <f t="shared" si="40"/>
        <v/>
      </c>
      <c r="CC67" s="161" t="str">
        <f>IFERROR(AVERAGEIFS(AllData[Phosphate (PPM)], AllData[Site Name], $B67, AllData[Season], "Winter", AllData[Year], "2025"), "")</f>
        <v/>
      </c>
      <c r="CD67" s="27" t="str">
        <f t="shared" si="38"/>
        <v/>
      </c>
      <c r="CE67" s="44" t="str">
        <f t="shared" si="41"/>
        <v/>
      </c>
    </row>
    <row r="68" spans="2:83" x14ac:dyDescent="0.35">
      <c r="B68" s="159" t="s">
        <v>667</v>
      </c>
      <c r="C68" s="113">
        <f>IFERROR(AVERAGEIF(AllData[Site Name], Tables!B68, AllData[Latitude]), "Unknown")</f>
        <v>52.090081855670022</v>
      </c>
      <c r="D68" s="113">
        <f>IFERROR(AVERAGEIF(AllData[Site Name], Tables!B68, AllData[Longitude]), "Unknown")</f>
        <v>-1.6925771134020597</v>
      </c>
      <c r="E68" s="13" t="e" vm="1">
        <f>_xlfn.XLOOKUP(B68,LocationsKey[Site Name], LocationsKey[District])</f>
        <v>#VALUE!</v>
      </c>
      <c r="F68" s="13" t="e" vm="14">
        <f>_xlfn.XLOOKUP(B68,LocationsKey[Site Name], LocationsKey[Town])</f>
        <v>#VALUE!</v>
      </c>
      <c r="G68" s="25" t="str">
        <f>_xlfn.XLOOKUP(B68,LocationsKey[Site Name],LocationsKey[Waterway])</f>
        <v>Fosseway Brook</v>
      </c>
      <c r="H68" s="157">
        <f>COUNTIF(AllData[Site Name], Tables!B68)</f>
        <v>107</v>
      </c>
      <c r="I68" s="160">
        <f t="shared" si="0"/>
        <v>2.1026673827425704</v>
      </c>
      <c r="J68" s="161">
        <f t="shared" si="1"/>
        <v>0.25433917134105105</v>
      </c>
      <c r="K68" s="27" cm="1">
        <f t="array" ref="K68">SUM(COUNTIFS(AllData[Site Name], B68, AllData[Nitrate Pollution Category], {"High","Very high"}))/COUNTIFS(AllData[Site Name], B68, AllData[Nitrate (PPM)], "&lt;&gt;0")</f>
        <v>0.88461538461538458</v>
      </c>
      <c r="L68" s="27" cm="1">
        <f t="array" ref="L68">SUM(COUNTIFS(AllData[Site Name], B68, AllData[Phosphate Pollution Category], {"High","Very high"}))/COUNTIFS(AllData[Site Name], B68, AllData[Phosphate (PPM)], "&lt;&gt;0")</f>
        <v>0.73737373737373735</v>
      </c>
      <c r="M68" s="157">
        <f t="shared" si="2"/>
        <v>79</v>
      </c>
      <c r="N68" s="157">
        <f t="shared" si="3"/>
        <v>75</v>
      </c>
      <c r="O68" s="26">
        <f>COUNTIFS(AllData[Site Name], Tables!$B68, AllData[Season], "Summer", AllData[Year], "2023")</f>
        <v>0</v>
      </c>
      <c r="P68" s="160" t="str">
        <f>IFERROR(AVERAGEIFS(AllData[Nitrate (PPM)], AllData[Site Name], $B68, AllData[Season], "Summer", AllData[Year], "2023"), "")</f>
        <v/>
      </c>
      <c r="Q68" s="27" t="str">
        <f t="shared" si="4"/>
        <v/>
      </c>
      <c r="R68" s="161" t="str">
        <f>IFERROR(AVERAGEIFS(AllData[Phosphate (PPM)], AllData[Site Name], $B68, AllData[Season], "Summer", AllData[Year], "2023"),"")</f>
        <v/>
      </c>
      <c r="S68" s="28" t="str">
        <f t="shared" si="5"/>
        <v/>
      </c>
      <c r="T68" s="26">
        <f>COUNTIFS(AllData[Site Name], Tables!$B68, AllData[Season], "Autumn", AllData[Year], "2023")</f>
        <v>1</v>
      </c>
      <c r="U68" s="160">
        <f>IFERROR(AVERAGEIFS(AllData[Nitrate (PPM)], AllData[Site Name], $B68, AllData[Season], "Autumn", AllData[Year], "2023"), "")</f>
        <v>1</v>
      </c>
      <c r="V68" s="27">
        <f t="shared" si="6"/>
        <v>-0.52441360521050606</v>
      </c>
      <c r="W68" s="161">
        <f>IFERROR(AVERAGEIFS(AllData[Phosphate (PPM)], AllData[Site Name], $B68, AllData[Season], "Autumn", AllData[Year], "2023"),"")</f>
        <v>0.18</v>
      </c>
      <c r="X68" s="28">
        <f t="shared" si="7"/>
        <v>-0.2922836106962361</v>
      </c>
      <c r="Y68" s="26">
        <f>COUNTIFS(AllData[Site Name], Tables!$B68, AllData[Season], "Winter", AllData[Year], "2023")</f>
        <v>7</v>
      </c>
      <c r="Z68" s="160">
        <f>IFERROR(AVERAGEIFS(AllData[Nitrate (PPM)], AllData[Site Name], $B68, AllData[Season], "Winter", AllData[Year], "2023"), "")</f>
        <v>3.5714285714285716</v>
      </c>
      <c r="AA68" s="27">
        <f t="shared" si="8"/>
        <v>0.69852283853390695</v>
      </c>
      <c r="AB68" s="161">
        <f>IFERROR(AVERAGEIFS(AllData[Phosphate (PPM)], AllData[Site Name], $B68, AllData[Season], "Winter", AllData[Year], "2023"),"")</f>
        <v>0.28428571428571425</v>
      </c>
      <c r="AC68" s="28">
        <f t="shared" si="9"/>
        <v>0.11774255136070637</v>
      </c>
      <c r="AD68" s="26">
        <f>COUNTIFS(AllData[Site Name], Tables!$B68, AllData[Season], "Spring", AllData[Year], "2024")</f>
        <v>38</v>
      </c>
      <c r="AE68" s="160">
        <f>IFERROR(AVERAGEIFS(AllData[Nitrate (PPM)], AllData[Site Name], $B68, AllData[Season], "Spring", AllData[Year], "2024"), "")</f>
        <v>2.6710526315789473</v>
      </c>
      <c r="AF68" s="27">
        <f t="shared" si="10"/>
        <v>0.27031629134562191</v>
      </c>
      <c r="AG68" s="161">
        <f>IFERROR(AVERAGEIFS(AllData[Phosphate (PPM)], AllData[Site Name], $B68, AllData[Season], "Spring", AllData[Year], "2024"),"")</f>
        <v>0.12552631578947368</v>
      </c>
      <c r="AH68" s="28">
        <f t="shared" si="11"/>
        <v>-0.50646093903816469</v>
      </c>
      <c r="AI68" s="165">
        <f>COUNTIFS(AllData[Site Name], Tables!$B68, AllData[Season], "Summer", AllData[Year], "2024")</f>
        <v>27</v>
      </c>
      <c r="AJ68" s="160">
        <f>IFERROR(AVERAGEIFS(AllData[Nitrate (PPM)], AllData[Site Name], $B68, AllData[Season], "Summer", AllData[Year], "2024"), "")</f>
        <v>1.6666666666666667</v>
      </c>
      <c r="AK68" s="27">
        <f t="shared" si="12"/>
        <v>-0.20735600868417675</v>
      </c>
      <c r="AL68" s="27" t="str">
        <f t="shared" si="13"/>
        <v/>
      </c>
      <c r="AM68" s="161">
        <f>IFERROR(AVERAGEIFS(AllData[Phosphate (PPM)], AllData[Site Name], $B68, AllData[Season], "Summer", AllData[Year], "2024"),"")</f>
        <v>0.37740740740740747</v>
      </c>
      <c r="AN68" s="27">
        <f t="shared" si="14"/>
        <v>0.48387448703813901</v>
      </c>
      <c r="AO68" s="28" t="str">
        <f t="shared" si="15"/>
        <v/>
      </c>
      <c r="AP68" s="157">
        <f>COUNTIFS(AllData[Site Name], Tables!$B68, AllData[Season], "Autumn", AllData[Year], "2024")</f>
        <v>12</v>
      </c>
      <c r="AQ68" s="160">
        <f>IFERROR(AVERAGEIFS(AllData[Nitrate (PPM)], AllData[Site Name], $B68, AllData[Season], "Autumn", AllData[Year], "2024"), "")</f>
        <v>1.7916666666666667</v>
      </c>
      <c r="AR68" s="27">
        <f t="shared" si="16"/>
        <v>-0.14790770933549002</v>
      </c>
      <c r="AS68" s="27">
        <f t="shared" si="42"/>
        <v>0.79166666666666674</v>
      </c>
      <c r="AT68" s="161">
        <f>IFERROR(AVERAGEIFS(AllData[Phosphate (PPM)], AllData[Site Name], B68, AllData[Season], "Autumn", AllData[Year], "2024"), "")</f>
        <v>0.45083333333333336</v>
      </c>
      <c r="AU68" s="27">
        <f t="shared" si="18"/>
        <v>0.77256743802470507</v>
      </c>
      <c r="AV68" s="28">
        <f t="shared" si="43"/>
        <v>1.50462962962963</v>
      </c>
      <c r="AW68" s="165">
        <f>COUNTIFS(AllData[Site Name], Tables!$B68, AllData[Season], "Winter", AllData[Year], "2024")</f>
        <v>14</v>
      </c>
      <c r="AX68" s="160">
        <f>IFERROR(AVERAGEIFS(AllData[Nitrate (PPM)], AllData[Site Name], $B68, AllData[Season], "Winter", AllData[Year], "2024"), "")</f>
        <v>1.8928571428571428</v>
      </c>
      <c r="AY68" s="27">
        <f t="shared" si="20"/>
        <v>-9.9782895577029379E-2</v>
      </c>
      <c r="AZ68" s="27">
        <f t="shared" si="21"/>
        <v>-0.47000000000000003</v>
      </c>
      <c r="BA68" s="161">
        <f>IFERROR(AVERAGEIFS(AllData[Phosphate (PPM)], AllData[Site Name], $B68, AllData[Season], "Winter", AllData[Year], "2024"), "")</f>
        <v>0.19857142857142862</v>
      </c>
      <c r="BB68" s="27">
        <f t="shared" si="22"/>
        <v>-0.21926525306965708</v>
      </c>
      <c r="BC68" s="44">
        <f t="shared" si="23"/>
        <v>-0.30150753768844196</v>
      </c>
      <c r="BD68" s="157">
        <f>COUNTIFS(AllData[Site Name], Tables!$B68, AllData[Season], "Spring", AllData[Year], "2025")</f>
        <v>8</v>
      </c>
      <c r="BE68" s="160">
        <f>IFERROR(AVERAGEIFS(AllData[Nitrate (PPM)], AllData[Site Name], $B68, AllData[Season], "Spring", AllData[Year], "2025"), "")</f>
        <v>2.125</v>
      </c>
      <c r="BF68" s="27">
        <f t="shared" si="24"/>
        <v>1.0621088927674594E-2</v>
      </c>
      <c r="BG68" s="27">
        <f t="shared" si="25"/>
        <v>-0.20443349753694581</v>
      </c>
      <c r="BH68" s="161">
        <f>IFERROR(AVERAGEIFS(AllData[Phosphate (PPM)], AllData[Site Name], $B68, AllData[Season], "Spring", AllData[Year], "2025"), "")</f>
        <v>0.16375000000000003</v>
      </c>
      <c r="BI68" s="27">
        <f t="shared" si="26"/>
        <v>-0.3561746736194924</v>
      </c>
      <c r="BJ68" s="27">
        <f t="shared" si="27"/>
        <v>0.30450733752620579</v>
      </c>
      <c r="BK68" s="165">
        <f>COUNTIFS(AllData[Site Name], Tables!$B68, AllData[Season], "Summer", AllData[Year], "2025")</f>
        <v>0</v>
      </c>
      <c r="BL68" s="160" t="str">
        <f>IFERROR(AVERAGEIFS(AllData[Nitrate (PPM)], AllData[Site Name], $B68, AllData[Season], "Summer", AllData[Year], "2025"), "")</f>
        <v/>
      </c>
      <c r="BM68" s="27" t="str">
        <f t="shared" si="28"/>
        <v/>
      </c>
      <c r="BN68" s="27" t="str">
        <f t="shared" si="29"/>
        <v/>
      </c>
      <c r="BO68" s="161" t="str">
        <f>IFERROR(AVERAGEIFS(AllData[Phosphate (PPM)], AllData[Site Name], $B68, AllData[Season], "Summer", AllData[Year], "2025"),"")</f>
        <v/>
      </c>
      <c r="BP68" s="27" t="str">
        <f t="shared" si="30"/>
        <v/>
      </c>
      <c r="BQ68" s="27" t="str">
        <f t="shared" si="31"/>
        <v/>
      </c>
      <c r="BR68" s="165">
        <f>COUNTIFS(AllData[Site Name], Tables!$B68, AllData[Season], "Autumn", AllData[Year], "2025")</f>
        <v>0</v>
      </c>
      <c r="BS68" s="160" t="str">
        <f>IFERROR(AVERAGEIFS(AllData[Nitrate (PPM)], AllData[Site Name], $B68, AllData[Season], "Autumn", AllData[Year], "2025"), "")</f>
        <v/>
      </c>
      <c r="BT68" s="27" t="str">
        <f t="shared" si="32"/>
        <v/>
      </c>
      <c r="BU68" s="27" t="str">
        <f t="shared" si="33"/>
        <v/>
      </c>
      <c r="BV68" s="161" t="str">
        <f>IFERROR(AVERAGEIFS(AllData[Phosphate (PPM)], AllData[Site Name], AD68, AllData[Season], "Autumn", AllData[Year], "2025"), "")</f>
        <v/>
      </c>
      <c r="BW68" s="27" t="str">
        <f t="shared" si="34"/>
        <v/>
      </c>
      <c r="BX68" s="28" t="str">
        <f t="shared" si="35"/>
        <v/>
      </c>
      <c r="BY68" s="165">
        <f>COUNTIFS(AllData[Site Name], Tables!$B68, AllData[Season], "Winter", AllData[Year], "2025")</f>
        <v>0</v>
      </c>
      <c r="BZ68" s="160" t="str">
        <f>IFERROR(AVERAGEIFS(AllData[Nitrate (PPM)], AllData[Site Name], $B68, AllData[Season], "Winter", AllData[Year], "2025"), "")</f>
        <v/>
      </c>
      <c r="CA68" s="27" t="str">
        <f t="shared" si="36"/>
        <v/>
      </c>
      <c r="CB68" s="27" t="str">
        <f t="shared" si="40"/>
        <v/>
      </c>
      <c r="CC68" s="161" t="str">
        <f>IFERROR(AVERAGEIFS(AllData[Phosphate (PPM)], AllData[Site Name], $B68, AllData[Season], "Winter", AllData[Year], "2025"), "")</f>
        <v/>
      </c>
      <c r="CD68" s="27" t="str">
        <f t="shared" si="38"/>
        <v/>
      </c>
      <c r="CE68" s="44" t="str">
        <f t="shared" si="41"/>
        <v/>
      </c>
    </row>
    <row r="69" spans="2:83" x14ac:dyDescent="0.35">
      <c r="B69" s="159" t="s">
        <v>623</v>
      </c>
      <c r="C69" s="113">
        <f>IFERROR(AVERAGEIF(AllData[Site Name], Tables!B69, AllData[Latitude]), "Unknown")</f>
        <v>52.092997354838673</v>
      </c>
      <c r="D69" s="113">
        <f>IFERROR(AVERAGEIF(AllData[Site Name], Tables!B69, AllData[Longitude]), "Unknown")</f>
        <v>-1.6862254516129045</v>
      </c>
      <c r="E69" s="13" t="e" vm="1">
        <f>_xlfn.XLOOKUP(B69,LocationsKey[Site Name], LocationsKey[District])</f>
        <v>#VALUE!</v>
      </c>
      <c r="F69" s="13" t="e" vm="14">
        <f>_xlfn.XLOOKUP(B69,LocationsKey[Site Name], LocationsKey[Town])</f>
        <v>#VALUE!</v>
      </c>
      <c r="G69" s="25" t="str">
        <f>_xlfn.XLOOKUP(B69,LocationsKey[Site Name],LocationsKey[Waterway])</f>
        <v>Fosseway Brook</v>
      </c>
      <c r="H69" s="157">
        <f>COUNTIF(AllData[Site Name], Tables!B69)</f>
        <v>72</v>
      </c>
      <c r="I69" s="160">
        <f t="shared" si="0"/>
        <v>1.8402136752136751</v>
      </c>
      <c r="J69" s="161">
        <f t="shared" si="1"/>
        <v>0.57214358974358959</v>
      </c>
      <c r="K69" s="27" cm="1">
        <f t="array" ref="K69">SUM(COUNTIFS(AllData[Site Name], B69, AllData[Nitrate Pollution Category], {"High","Very high"}))/COUNTIFS(AllData[Site Name], B69, AllData[Nitrate (PPM)], "&lt;&gt;0")</f>
        <v>0.95238095238095233</v>
      </c>
      <c r="L69" s="27" cm="1">
        <f t="array" ref="L69">SUM(COUNTIFS(AllData[Site Name], B69, AllData[Phosphate Pollution Category], {"High","Very high"}))/COUNTIFS(AllData[Site Name], B69, AllData[Phosphate (PPM)], "&lt;&gt;0")</f>
        <v>1</v>
      </c>
      <c r="M69" s="157">
        <f t="shared" si="2"/>
        <v>82</v>
      </c>
      <c r="N69" s="157">
        <f t="shared" si="3"/>
        <v>39</v>
      </c>
      <c r="O69" s="26">
        <f>COUNTIFS(AllData[Site Name], Tables!$B69, AllData[Season], "Summer", AllData[Year], "2023")</f>
        <v>0</v>
      </c>
      <c r="P69" s="160" t="str">
        <f>IFERROR(AVERAGEIFS(AllData[Nitrate (PPM)], AllData[Site Name], $B69, AllData[Season], "Summer", AllData[Year], "2023"), "")</f>
        <v/>
      </c>
      <c r="Q69" s="27" t="str">
        <f t="shared" si="4"/>
        <v/>
      </c>
      <c r="R69" s="161" t="str">
        <f>IFERROR(AVERAGEIFS(AllData[Phosphate (PPM)], AllData[Site Name], $B69, AllData[Season], "Summer", AllData[Year], "2023"),"")</f>
        <v/>
      </c>
      <c r="S69" s="28" t="str">
        <f t="shared" si="5"/>
        <v/>
      </c>
      <c r="T69" s="26">
        <f>COUNTIFS(AllData[Site Name], Tables!$B69, AllData[Season], "Autumn", AllData[Year], "2023")</f>
        <v>0</v>
      </c>
      <c r="U69" s="160" t="str">
        <f>IFERROR(AVERAGEIFS(AllData[Nitrate (PPM)], AllData[Site Name], $B69, AllData[Season], "Autumn", AllData[Year], "2023"), "")</f>
        <v/>
      </c>
      <c r="V69" s="27" t="str">
        <f t="shared" si="6"/>
        <v/>
      </c>
      <c r="W69" s="161" t="str">
        <f>IFERROR(AVERAGEIFS(AllData[Phosphate (PPM)], AllData[Site Name], $B69, AllData[Season], "Autumn", AllData[Year], "2023"),"")</f>
        <v/>
      </c>
      <c r="X69" s="28" t="str">
        <f t="shared" si="7"/>
        <v/>
      </c>
      <c r="Y69" s="26">
        <f>COUNTIFS(AllData[Site Name], Tables!$B69, AllData[Season], "Winter", AllData[Year], "2023")</f>
        <v>6</v>
      </c>
      <c r="Z69" s="160">
        <f>IFERROR(AVERAGEIFS(AllData[Nitrate (PPM)], AllData[Site Name], $B69, AllData[Season], "Winter", AllData[Year], "2023"), "")</f>
        <v>2</v>
      </c>
      <c r="AA69" s="27">
        <f t="shared" si="8"/>
        <v>8.6830310489770413E-2</v>
      </c>
      <c r="AB69" s="161">
        <f>IFERROR(AVERAGEIFS(AllData[Phosphate (PPM)], AllData[Site Name], $B69, AllData[Season], "Winter", AllData[Year], "2023"),"")</f>
        <v>0.35666666666666663</v>
      </c>
      <c r="AC69" s="28">
        <f t="shared" si="9"/>
        <v>-0.3766133658396672</v>
      </c>
      <c r="AD69" s="26">
        <f>COUNTIFS(AllData[Site Name], Tables!$B69, AllData[Season], "Spring", AllData[Year], "2024")</f>
        <v>26</v>
      </c>
      <c r="AE69" s="160">
        <f>IFERROR(AVERAGEIFS(AllData[Nitrate (PPM)], AllData[Site Name], $B69, AllData[Season], "Spring", AllData[Year], "2024"), "")</f>
        <v>2.6538461538461537</v>
      </c>
      <c r="AF69" s="27">
        <f t="shared" si="10"/>
        <v>0.44214021968834916</v>
      </c>
      <c r="AG69" s="161">
        <f>IFERROR(AVERAGEIFS(AllData[Phosphate (PPM)], AllData[Site Name], $B69, AllData[Season], "Spring", AllData[Year], "2024"),"")</f>
        <v>0.36538461538461531</v>
      </c>
      <c r="AH69" s="28">
        <f t="shared" si="11"/>
        <v>-0.36137602179836509</v>
      </c>
      <c r="AI69" s="165">
        <f>COUNTIFS(AllData[Site Name], Tables!$B69, AllData[Season], "Summer", AllData[Year], "2024")</f>
        <v>18</v>
      </c>
      <c r="AJ69" s="160">
        <f>IFERROR(AVERAGEIFS(AllData[Nitrate (PPM)], AllData[Site Name], $B69, AllData[Season], "Summer", AllData[Year], "2024"), "")</f>
        <v>1.1388888888888888</v>
      </c>
      <c r="AK69" s="27">
        <f t="shared" si="12"/>
        <v>-0.38111051763776965</v>
      </c>
      <c r="AL69" s="27" t="str">
        <f t="shared" si="13"/>
        <v/>
      </c>
      <c r="AM69" s="161">
        <f>IFERROR(AVERAGEIFS(AllData[Phosphate (PPM)], AllData[Site Name], $B69, AllData[Season], "Summer", AllData[Year], "2024"),"")</f>
        <v>0.93833333333333313</v>
      </c>
      <c r="AN69" s="27">
        <f t="shared" si="14"/>
        <v>0.64003119173956702</v>
      </c>
      <c r="AO69" s="28" t="str">
        <f t="shared" si="15"/>
        <v/>
      </c>
      <c r="AP69" s="157">
        <f>COUNTIFS(AllData[Site Name], Tables!$B69, AllData[Season], "Autumn", AllData[Year], "2024")</f>
        <v>12</v>
      </c>
      <c r="AQ69" s="160">
        <f>IFERROR(AVERAGEIFS(AllData[Nitrate (PPM)], AllData[Site Name], $B69, AllData[Season], "Autumn", AllData[Year], "2024"), "")</f>
        <v>1.4583333333333333</v>
      </c>
      <c r="AR69" s="27">
        <f t="shared" si="16"/>
        <v>-0.20751956526787579</v>
      </c>
      <c r="AS69" s="27" t="str">
        <f t="shared" si="42"/>
        <v/>
      </c>
      <c r="AT69" s="161">
        <f>IFERROR(AVERAGEIFS(AllData[Phosphate (PPM)], AllData[Site Name], B69, AllData[Season], "Autumn", AllData[Year], "2024"), "")</f>
        <v>0.86833333333333329</v>
      </c>
      <c r="AU69" s="27">
        <f t="shared" si="18"/>
        <v>0.51768428223146457</v>
      </c>
      <c r="AV69" s="28" t="str">
        <f t="shared" si="43"/>
        <v/>
      </c>
      <c r="AW69" s="165">
        <f>COUNTIFS(AllData[Site Name], Tables!$B69, AllData[Season], "Winter", AllData[Year], "2024")</f>
        <v>10</v>
      </c>
      <c r="AX69" s="160">
        <f>IFERROR(AVERAGEIFS(AllData[Nitrate (PPM)], AllData[Site Name], $B69, AllData[Season], "Winter", AllData[Year], "2024"), "")</f>
        <v>1.95</v>
      </c>
      <c r="AY69" s="27">
        <f t="shared" si="20"/>
        <v>5.9659552727526127E-2</v>
      </c>
      <c r="AZ69" s="27">
        <f t="shared" si="21"/>
        <v>-2.5000000000000022E-2</v>
      </c>
      <c r="BA69" s="161">
        <f>IFERROR(AVERAGEIFS(AllData[Phosphate (PPM)], AllData[Site Name], $B69, AllData[Season], "Winter", AllData[Year], "2024"), "")</f>
        <v>0.33200000000000002</v>
      </c>
      <c r="BB69" s="27">
        <f t="shared" si="22"/>
        <v>-0.41972608633299852</v>
      </c>
      <c r="BC69" s="44">
        <f t="shared" si="23"/>
        <v>-6.9158878504672755E-2</v>
      </c>
      <c r="BD69" s="157">
        <f>COUNTIFS(AllData[Site Name], Tables!$B69, AllData[Season], "Spring", AllData[Year], "2025")</f>
        <v>0</v>
      </c>
      <c r="BE69" s="160" t="str">
        <f>IFERROR(AVERAGEIFS(AllData[Nitrate (PPM)], AllData[Site Name], $B69, AllData[Season], "Spring", AllData[Year], "2025"), "")</f>
        <v/>
      </c>
      <c r="BF69" s="27" t="str">
        <f t="shared" si="24"/>
        <v/>
      </c>
      <c r="BG69" s="27" t="str">
        <f t="shared" si="25"/>
        <v/>
      </c>
      <c r="BH69" s="161" t="str">
        <f>IFERROR(AVERAGEIFS(AllData[Phosphate (PPM)], AllData[Site Name], $B69, AllData[Season], "Spring", AllData[Year], "2025"), "")</f>
        <v/>
      </c>
      <c r="BI69" s="27" t="str">
        <f t="shared" si="26"/>
        <v/>
      </c>
      <c r="BJ69" s="27" t="str">
        <f t="shared" si="27"/>
        <v/>
      </c>
      <c r="BK69" s="165">
        <f>COUNTIFS(AllData[Site Name], Tables!$B69, AllData[Season], "Summer", AllData[Year], "2025")</f>
        <v>0</v>
      </c>
      <c r="BL69" s="160" t="str">
        <f>IFERROR(AVERAGEIFS(AllData[Nitrate (PPM)], AllData[Site Name], $B69, AllData[Season], "Summer", AllData[Year], "2025"), "")</f>
        <v/>
      </c>
      <c r="BM69" s="27" t="str">
        <f t="shared" si="28"/>
        <v/>
      </c>
      <c r="BN69" s="27" t="str">
        <f t="shared" si="29"/>
        <v/>
      </c>
      <c r="BO69" s="161" t="str">
        <f>IFERROR(AVERAGEIFS(AllData[Phosphate (PPM)], AllData[Site Name], $B69, AllData[Season], "Summer", AllData[Year], "2025"),"")</f>
        <v/>
      </c>
      <c r="BP69" s="27" t="str">
        <f t="shared" si="30"/>
        <v/>
      </c>
      <c r="BQ69" s="27" t="str">
        <f t="shared" si="31"/>
        <v/>
      </c>
      <c r="BR69" s="165">
        <f>COUNTIFS(AllData[Site Name], Tables!$B69, AllData[Season], "Autumn", AllData[Year], "2025")</f>
        <v>0</v>
      </c>
      <c r="BS69" s="160" t="str">
        <f>IFERROR(AVERAGEIFS(AllData[Nitrate (PPM)], AllData[Site Name], $B69, AllData[Season], "Autumn", AllData[Year], "2025"), "")</f>
        <v/>
      </c>
      <c r="BT69" s="27" t="str">
        <f t="shared" si="32"/>
        <v/>
      </c>
      <c r="BU69" s="27" t="str">
        <f t="shared" si="33"/>
        <v/>
      </c>
      <c r="BV69" s="161" t="str">
        <f>IFERROR(AVERAGEIFS(AllData[Phosphate (PPM)], AllData[Site Name], AD69, AllData[Season], "Autumn", AllData[Year], "2025"), "")</f>
        <v/>
      </c>
      <c r="BW69" s="27" t="str">
        <f t="shared" si="34"/>
        <v/>
      </c>
      <c r="BX69" s="28" t="str">
        <f t="shared" si="35"/>
        <v/>
      </c>
      <c r="BY69" s="165">
        <f>COUNTIFS(AllData[Site Name], Tables!$B69, AllData[Season], "Winter", AllData[Year], "2025")</f>
        <v>0</v>
      </c>
      <c r="BZ69" s="160" t="str">
        <f>IFERROR(AVERAGEIFS(AllData[Nitrate (PPM)], AllData[Site Name], $B69, AllData[Season], "Winter", AllData[Year], "2025"), "")</f>
        <v/>
      </c>
      <c r="CA69" s="27" t="str">
        <f t="shared" si="36"/>
        <v/>
      </c>
      <c r="CB69" s="27" t="str">
        <f t="shared" si="40"/>
        <v/>
      </c>
      <c r="CC69" s="161" t="str">
        <f>IFERROR(AVERAGEIFS(AllData[Phosphate (PPM)], AllData[Site Name], $B69, AllData[Season], "Winter", AllData[Year], "2025"), "")</f>
        <v/>
      </c>
      <c r="CD69" s="27" t="str">
        <f t="shared" si="38"/>
        <v/>
      </c>
      <c r="CE69" s="44" t="str">
        <f t="shared" si="41"/>
        <v/>
      </c>
    </row>
    <row r="70" spans="2:83" x14ac:dyDescent="0.35">
      <c r="B70" s="159" t="s">
        <v>673</v>
      </c>
      <c r="C70" s="113">
        <v>52.130499999999998</v>
      </c>
      <c r="D70" s="113">
        <v>-2.0787</v>
      </c>
      <c r="E70" s="13" t="e" vm="1">
        <f>_xlfn.XLOOKUP(B70,LocationsKey[Site Name], LocationsKey[District])</f>
        <v>#VALUE!</v>
      </c>
      <c r="F70" s="13" t="e" vm="14">
        <f>_xlfn.XLOOKUP(B70,LocationsKey[Site Name], LocationsKey[Town])</f>
        <v>#VALUE!</v>
      </c>
      <c r="G70" s="25" t="str">
        <f>_xlfn.XLOOKUP(B70,LocationsKey[Site Name],LocationsKey[Waterway])</f>
        <v>Fosseway Brook</v>
      </c>
      <c r="H70" s="157">
        <f>COUNTIF(AllData[Site Name], Tables!B70)</f>
        <v>79</v>
      </c>
      <c r="I70" s="160">
        <f t="shared" si="0"/>
        <v>7.0184920342815076</v>
      </c>
      <c r="J70" s="161">
        <f t="shared" si="1"/>
        <v>3.5796874470558682</v>
      </c>
      <c r="K70" s="27" cm="1">
        <f t="array" ref="K70">SUM(COUNTIFS(AllData[Site Name], B70, AllData[Nitrate Pollution Category], {"High","Very high"}))/COUNTIFS(AllData[Site Name], B70, AllData[Nitrate (PPM)], "&lt;&gt;0")</f>
        <v>0.98734177215189878</v>
      </c>
      <c r="L70" s="27" cm="1">
        <f t="array" ref="L70">SUM(COUNTIFS(AllData[Site Name], B70, AllData[Phosphate Pollution Category], {"High","Very high"}))/COUNTIFS(AllData[Site Name], B70, AllData[Phosphate (PPM)], "&lt;&gt;0")</f>
        <v>1</v>
      </c>
      <c r="M70" s="157">
        <f t="shared" si="2"/>
        <v>31</v>
      </c>
      <c r="N70" s="157">
        <f t="shared" si="3"/>
        <v>1</v>
      </c>
      <c r="O70" s="26">
        <f>COUNTIFS(AllData[Site Name], Tables!$B70, AllData[Season], "Summer", AllData[Year], "2023")</f>
        <v>0</v>
      </c>
      <c r="P70" s="160" t="str">
        <f>IFERROR(AVERAGEIFS(AllData[Nitrate (PPM)], AllData[Site Name], $B70, AllData[Season], "Summer", AllData[Year], "2023"), "")</f>
        <v/>
      </c>
      <c r="Q70" s="27" t="str">
        <f t="shared" si="4"/>
        <v/>
      </c>
      <c r="R70" s="161" t="str">
        <f>IFERROR(AVERAGEIFS(AllData[Phosphate (PPM)], AllData[Site Name], $B70, AllData[Season], "Summer", AllData[Year], "2023"),"")</f>
        <v/>
      </c>
      <c r="S70" s="28" t="str">
        <f t="shared" si="5"/>
        <v/>
      </c>
      <c r="T70" s="26">
        <f>COUNTIFS(AllData[Site Name], Tables!$B70, AllData[Season], "Autumn", AllData[Year], "2023")</f>
        <v>0</v>
      </c>
      <c r="U70" s="160" t="str">
        <f>IFERROR(AVERAGEIFS(AllData[Nitrate (PPM)], AllData[Site Name], $B70, AllData[Season], "Autumn", AllData[Year], "2023"), "")</f>
        <v/>
      </c>
      <c r="V70" s="27" t="str">
        <f t="shared" si="6"/>
        <v/>
      </c>
      <c r="W70" s="161" t="str">
        <f>IFERROR(AVERAGEIFS(AllData[Phosphate (PPM)], AllData[Site Name], $B70, AllData[Season], "Autumn", AllData[Year], "2023"),"")</f>
        <v/>
      </c>
      <c r="X70" s="28" t="str">
        <f t="shared" si="7"/>
        <v/>
      </c>
      <c r="Y70" s="26">
        <f>COUNTIFS(AllData[Site Name], Tables!$B70, AllData[Season], "Winter", AllData[Year], "2023")</f>
        <v>6</v>
      </c>
      <c r="Z70" s="160">
        <f>IFERROR(AVERAGEIFS(AllData[Nitrate (PPM)], AllData[Site Name], $B70, AllData[Season], "Winter", AllData[Year], "2023"), "")</f>
        <v>5</v>
      </c>
      <c r="AA70" s="27">
        <f t="shared" si="8"/>
        <v>-0.28759625634997865</v>
      </c>
      <c r="AB70" s="161">
        <f>IFERROR(AVERAGEIFS(AllData[Phosphate (PPM)], AllData[Site Name], $B70, AllData[Season], "Winter", AllData[Year], "2023"),"")</f>
        <v>2.2966666666666664</v>
      </c>
      <c r="AC70" s="28">
        <f t="shared" si="9"/>
        <v>-0.35841698454551629</v>
      </c>
      <c r="AD70" s="26">
        <f>COUNTIFS(AllData[Site Name], Tables!$B70, AllData[Season], "Spring", AllData[Year], "2024")</f>
        <v>26</v>
      </c>
      <c r="AE70" s="160">
        <f>IFERROR(AVERAGEIFS(AllData[Nitrate (PPM)], AllData[Site Name], $B70, AllData[Season], "Spring", AllData[Year], "2024"), "")</f>
        <v>7.3461538461538458</v>
      </c>
      <c r="AF70" s="27">
        <f t="shared" si="10"/>
        <v>4.6685500285800555E-2</v>
      </c>
      <c r="AG70" s="161">
        <f>IFERROR(AVERAGEIFS(AllData[Phosphate (PPM)], AllData[Site Name], $B70, AllData[Season], "Spring", AllData[Year], "2024"),"")</f>
        <v>2.1961538461538459</v>
      </c>
      <c r="AH70" s="28">
        <f t="shared" si="11"/>
        <v>-0.38649564280812182</v>
      </c>
      <c r="AI70" s="165">
        <f>COUNTIFS(AllData[Site Name], Tables!$B70, AllData[Season], "Summer", AllData[Year], "2024")</f>
        <v>19</v>
      </c>
      <c r="AJ70" s="160">
        <f>IFERROR(AVERAGEIFS(AllData[Nitrate (PPM)], AllData[Site Name], $B70, AllData[Season], "Summer", AllData[Year], "2024"), "")</f>
        <v>9.7894736842105257</v>
      </c>
      <c r="AK70" s="27">
        <f t="shared" si="12"/>
        <v>0.39481154019898906</v>
      </c>
      <c r="AL70" s="27" t="str">
        <f t="shared" si="13"/>
        <v/>
      </c>
      <c r="AM70" s="161">
        <f>IFERROR(AVERAGEIFS(AllData[Phosphate (PPM)], AllData[Site Name], $B70, AllData[Season], "Summer", AllData[Year], "2024"),"")</f>
        <v>2.3484210526315787</v>
      </c>
      <c r="AN70" s="27">
        <f t="shared" si="14"/>
        <v>-0.34395918991110541</v>
      </c>
      <c r="AO70" s="28" t="str">
        <f t="shared" si="15"/>
        <v/>
      </c>
      <c r="AP70" s="157">
        <f>COUNTIFS(AllData[Site Name], Tables!$B70, AllData[Season], "Autumn", AllData[Year], "2024")</f>
        <v>11</v>
      </c>
      <c r="AQ70" s="160">
        <f>IFERROR(AVERAGEIFS(AllData[Nitrate (PPM)], AllData[Site Name], $B70, AllData[Season], "Autumn", AllData[Year], "2024"), "")</f>
        <v>8.8181818181818183</v>
      </c>
      <c r="AR70" s="27">
        <f t="shared" si="16"/>
        <v>0.25642114789185588</v>
      </c>
      <c r="AS70" s="27" t="str">
        <f t="shared" si="42"/>
        <v/>
      </c>
      <c r="AT70" s="161">
        <f>IFERROR(AVERAGEIFS(AllData[Phosphate (PPM)], AllData[Site Name], B70, AllData[Season], "Autumn", AllData[Year], "2024"), "")</f>
        <v>3.1354545454545462</v>
      </c>
      <c r="AU70" s="27">
        <f t="shared" si="18"/>
        <v>-0.12409823711471893</v>
      </c>
      <c r="AV70" s="28" t="str">
        <f t="shared" si="43"/>
        <v/>
      </c>
      <c r="AW70" s="165">
        <f>COUNTIFS(AllData[Site Name], Tables!$B70, AllData[Season], "Winter", AllData[Year], "2024")</f>
        <v>10</v>
      </c>
      <c r="AX70" s="160">
        <f>IFERROR(AVERAGEIFS(AllData[Nitrate (PPM)], AllData[Site Name], $B70, AllData[Season], "Winter", AllData[Year], "2024"), "")</f>
        <v>5.3</v>
      </c>
      <c r="AY70" s="27">
        <f t="shared" si="20"/>
        <v>-0.24485203173097739</v>
      </c>
      <c r="AZ70" s="27">
        <f t="shared" si="21"/>
        <v>5.9999999999999963E-2</v>
      </c>
      <c r="BA70" s="161">
        <f>IFERROR(AVERAGEIFS(AllData[Phosphate (PPM)], AllData[Site Name], $B70, AllData[Season], "Winter", AllData[Year], "2024"), "")</f>
        <v>4.5299999999999994</v>
      </c>
      <c r="BB70" s="27">
        <f t="shared" si="22"/>
        <v>0.26547361103431544</v>
      </c>
      <c r="BC70" s="44">
        <f t="shared" si="23"/>
        <v>0.97242380261248185</v>
      </c>
      <c r="BD70" s="157">
        <f>COUNTIFS(AllData[Site Name], Tables!$B70, AllData[Season], "Spring", AllData[Year], "2025")</f>
        <v>7</v>
      </c>
      <c r="BE70" s="160">
        <f>IFERROR(AVERAGEIFS(AllData[Nitrate (PPM)], AllData[Site Name], $B70, AllData[Season], "Spring", AllData[Year], "2025"), "")</f>
        <v>5.8571428571428568</v>
      </c>
      <c r="BF70" s="27">
        <f t="shared" si="24"/>
        <v>-0.16546990029568934</v>
      </c>
      <c r="BG70" s="27">
        <f t="shared" si="25"/>
        <v>-0.20269259536275244</v>
      </c>
      <c r="BH70" s="161">
        <f>IFERROR(AVERAGEIFS(AllData[Phosphate (PPM)], AllData[Site Name], $B70, AllData[Season], "Spring", AllData[Year], "2025"), "")</f>
        <v>6.9714285714285724</v>
      </c>
      <c r="BI70" s="27">
        <f t="shared" si="26"/>
        <v>0.94749644334514704</v>
      </c>
      <c r="BJ70" s="27">
        <f t="shared" si="27"/>
        <v>2.174380785589193</v>
      </c>
      <c r="BK70" s="165">
        <f>COUNTIFS(AllData[Site Name], Tables!$B70, AllData[Season], "Summer", AllData[Year], "2025")</f>
        <v>0</v>
      </c>
      <c r="BL70" s="160" t="str">
        <f>IFERROR(AVERAGEIFS(AllData[Nitrate (PPM)], AllData[Site Name], $B70, AllData[Season], "Summer", AllData[Year], "2025"), "")</f>
        <v/>
      </c>
      <c r="BM70" s="27" t="str">
        <f t="shared" si="28"/>
        <v/>
      </c>
      <c r="BN70" s="27" t="str">
        <f t="shared" si="29"/>
        <v/>
      </c>
      <c r="BO70" s="161" t="str">
        <f>IFERROR(AVERAGEIFS(AllData[Phosphate (PPM)], AllData[Site Name], $B70, AllData[Season], "Summer", AllData[Year], "2025"),"")</f>
        <v/>
      </c>
      <c r="BP70" s="27" t="str">
        <f t="shared" si="30"/>
        <v/>
      </c>
      <c r="BQ70" s="27" t="str">
        <f t="shared" si="31"/>
        <v/>
      </c>
      <c r="BR70" s="165">
        <f>COUNTIFS(AllData[Site Name], Tables!$B70, AllData[Season], "Autumn", AllData[Year], "2025")</f>
        <v>0</v>
      </c>
      <c r="BS70" s="160" t="str">
        <f>IFERROR(AVERAGEIFS(AllData[Nitrate (PPM)], AllData[Site Name], $B70, AllData[Season], "Autumn", AllData[Year], "2025"), "")</f>
        <v/>
      </c>
      <c r="BT70" s="27" t="str">
        <f t="shared" si="32"/>
        <v/>
      </c>
      <c r="BU70" s="27" t="str">
        <f t="shared" si="33"/>
        <v/>
      </c>
      <c r="BV70" s="161" t="str">
        <f>IFERROR(AVERAGEIFS(AllData[Phosphate (PPM)], AllData[Site Name], AD70, AllData[Season], "Autumn", AllData[Year], "2025"), "")</f>
        <v/>
      </c>
      <c r="BW70" s="27" t="str">
        <f t="shared" si="34"/>
        <v/>
      </c>
      <c r="BX70" s="28" t="str">
        <f t="shared" si="35"/>
        <v/>
      </c>
      <c r="BY70" s="165">
        <f>COUNTIFS(AllData[Site Name], Tables!$B70, AllData[Season], "Winter", AllData[Year], "2025")</f>
        <v>0</v>
      </c>
      <c r="BZ70" s="160" t="str">
        <f>IFERROR(AVERAGEIFS(AllData[Nitrate (PPM)], AllData[Site Name], $B70, AllData[Season], "Winter", AllData[Year], "2025"), "")</f>
        <v/>
      </c>
      <c r="CA70" s="27" t="str">
        <f t="shared" si="36"/>
        <v/>
      </c>
      <c r="CB70" s="27" t="str">
        <f t="shared" si="40"/>
        <v/>
      </c>
      <c r="CC70" s="161" t="str">
        <f>IFERROR(AVERAGEIFS(AllData[Phosphate (PPM)], AllData[Site Name], $B70, AllData[Season], "Winter", AllData[Year], "2025"), "")</f>
        <v/>
      </c>
      <c r="CD70" s="27" t="str">
        <f t="shared" si="38"/>
        <v/>
      </c>
      <c r="CE70" s="44" t="str">
        <f t="shared" si="41"/>
        <v/>
      </c>
    </row>
    <row r="71" spans="2:83" x14ac:dyDescent="0.35">
      <c r="B71" s="159" t="s">
        <v>3661</v>
      </c>
      <c r="C71" s="113">
        <f>IFERROR(AVERAGEIF(AllData[Site Name], Tables!B71, AllData[Latitude]), "Unknown")</f>
        <v>52.094779600000003</v>
      </c>
      <c r="D71" s="113">
        <f>IFERROR(AVERAGEIF(AllData[Site Name], Tables!B71, AllData[Longitude]), "Unknown")</f>
        <v>-1.6739793999999999</v>
      </c>
      <c r="E71" s="13" t="e" vm="1">
        <f>_xlfn.XLOOKUP(B71,LocationsKey[Site Name], LocationsKey[District])</f>
        <v>#VALUE!</v>
      </c>
      <c r="F71" s="13" t="e" vm="14">
        <f>_xlfn.XLOOKUP(B71,LocationsKey[Site Name], LocationsKey[Town])</f>
        <v>#VALUE!</v>
      </c>
      <c r="G71" s="25" t="str">
        <f>_xlfn.XLOOKUP(B71,LocationsKey[Site Name],LocationsKey[Waterway])</f>
        <v>Fosseway Brook</v>
      </c>
      <c r="H71" s="157">
        <f>COUNTIF(AllData[Site Name], Tables!B71)</f>
        <v>10</v>
      </c>
      <c r="I71" s="160">
        <f t="shared" si="0"/>
        <v>6.25</v>
      </c>
      <c r="J71" s="161">
        <f t="shared" si="1"/>
        <v>3.21875</v>
      </c>
      <c r="K71" s="27" cm="1">
        <f t="array" ref="K71">SUM(COUNTIFS(AllData[Site Name], B71, AllData[Nitrate Pollution Category], {"High","Very high"}))/COUNTIFS(AllData[Site Name], B71, AllData[Nitrate (PPM)], "&lt;&gt;0")</f>
        <v>1</v>
      </c>
      <c r="L71" s="27" cm="1">
        <f t="array" ref="L71">SUM(COUNTIFS(AllData[Site Name], B71, AllData[Phosphate Pollution Category], {"High","Very high"}))/COUNTIFS(AllData[Site Name], B71, AllData[Phosphate (PPM)], "&lt;&gt;0")</f>
        <v>1</v>
      </c>
      <c r="M71" s="157">
        <f t="shared" si="2"/>
        <v>39</v>
      </c>
      <c r="N71" s="157">
        <f t="shared" si="3"/>
        <v>2</v>
      </c>
      <c r="O71" s="26">
        <f>COUNTIFS(AllData[Site Name], Tables!$B71, AllData[Season], "Summer", AllData[Year], "2023")</f>
        <v>0</v>
      </c>
      <c r="P71" s="160" t="str">
        <f>IFERROR(AVERAGEIFS(AllData[Nitrate (PPM)], AllData[Site Name], $B71, AllData[Season], "Summer", AllData[Year], "2023"), "")</f>
        <v/>
      </c>
      <c r="Q71" s="27" t="str">
        <f t="shared" si="4"/>
        <v/>
      </c>
      <c r="R71" s="161" t="str">
        <f>IFERROR(AVERAGEIFS(AllData[Phosphate (PPM)], AllData[Site Name], $B71, AllData[Season], "Summer", AllData[Year], "2023"),"")</f>
        <v/>
      </c>
      <c r="S71" s="28" t="str">
        <f t="shared" si="5"/>
        <v/>
      </c>
      <c r="T71" s="26">
        <f>COUNTIFS(AllData[Site Name], Tables!$B71, AllData[Season], "Autumn", AllData[Year], "2023")</f>
        <v>0</v>
      </c>
      <c r="U71" s="160" t="str">
        <f>IFERROR(AVERAGEIFS(AllData[Nitrate (PPM)], AllData[Site Name], $B71, AllData[Season], "Autumn", AllData[Year], "2023"), "")</f>
        <v/>
      </c>
      <c r="V71" s="27" t="str">
        <f t="shared" si="6"/>
        <v/>
      </c>
      <c r="W71" s="161" t="str">
        <f>IFERROR(AVERAGEIFS(AllData[Phosphate (PPM)], AllData[Site Name], $B71, AllData[Season], "Autumn", AllData[Year], "2023"),"")</f>
        <v/>
      </c>
      <c r="X71" s="28" t="str">
        <f t="shared" si="7"/>
        <v/>
      </c>
      <c r="Y71" s="26">
        <f>COUNTIFS(AllData[Site Name], Tables!$B71, AllData[Season], "Winter", AllData[Year], "2023")</f>
        <v>0</v>
      </c>
      <c r="Z71" s="160" t="str">
        <f>IFERROR(AVERAGEIFS(AllData[Nitrate (PPM)], AllData[Site Name], $B71, AllData[Season], "Winter", AllData[Year], "2023"), "")</f>
        <v/>
      </c>
      <c r="AA71" s="27" t="str">
        <f t="shared" si="8"/>
        <v/>
      </c>
      <c r="AB71" s="161" t="str">
        <f>IFERROR(AVERAGEIFS(AllData[Phosphate (PPM)], AllData[Site Name], $B71, AllData[Season], "Winter", AllData[Year], "2023"),"")</f>
        <v/>
      </c>
      <c r="AC71" s="28" t="str">
        <f t="shared" si="9"/>
        <v/>
      </c>
      <c r="AD71" s="26">
        <f>COUNTIFS(AllData[Site Name], Tables!$B71, AllData[Season], "Spring", AllData[Year], "2024")</f>
        <v>0</v>
      </c>
      <c r="AE71" s="160" t="str">
        <f>IFERROR(AVERAGEIFS(AllData[Nitrate (PPM)], AllData[Site Name], $B71, AllData[Season], "Spring", AllData[Year], "2024"), "")</f>
        <v/>
      </c>
      <c r="AF71" s="27" t="str">
        <f t="shared" si="10"/>
        <v/>
      </c>
      <c r="AG71" s="161" t="str">
        <f>IFERROR(AVERAGEIFS(AllData[Phosphate (PPM)], AllData[Site Name], $B71, AllData[Season], "Spring", AllData[Year], "2024"),"")</f>
        <v/>
      </c>
      <c r="AH71" s="28" t="str">
        <f t="shared" si="11"/>
        <v/>
      </c>
      <c r="AI71" s="165">
        <f>COUNTIFS(AllData[Site Name], Tables!$B71, AllData[Season], "Summer", AllData[Year], "2024")</f>
        <v>0</v>
      </c>
      <c r="AJ71" s="160" t="str">
        <f>IFERROR(AVERAGEIFS(AllData[Nitrate (PPM)], AllData[Site Name], $B71, AllData[Season], "Summer", AllData[Year], "2024"), "")</f>
        <v/>
      </c>
      <c r="AK71" s="27" t="str">
        <f t="shared" si="12"/>
        <v/>
      </c>
      <c r="AL71" s="27" t="str">
        <f t="shared" si="13"/>
        <v/>
      </c>
      <c r="AM71" s="161" t="str">
        <f>IFERROR(AVERAGEIFS(AllData[Phosphate (PPM)], AllData[Site Name], $B71, AllData[Season], "Summer", AllData[Year], "2024"),"")</f>
        <v/>
      </c>
      <c r="AN71" s="27" t="str">
        <f t="shared" si="14"/>
        <v/>
      </c>
      <c r="AO71" s="28" t="str">
        <f t="shared" si="15"/>
        <v/>
      </c>
      <c r="AP71" s="157">
        <f>COUNTIFS(AllData[Site Name], Tables!$B71, AllData[Season], "Autumn", AllData[Year], "2024")</f>
        <v>0</v>
      </c>
      <c r="AQ71" s="160" t="str">
        <f>IFERROR(AVERAGEIFS(AllData[Nitrate (PPM)], AllData[Site Name], $B71, AllData[Season], "Autumn", AllData[Year], "2024"), "")</f>
        <v/>
      </c>
      <c r="AR71" s="27" t="str">
        <f t="shared" si="16"/>
        <v/>
      </c>
      <c r="AS71" s="27" t="str">
        <f t="shared" si="42"/>
        <v/>
      </c>
      <c r="AT71" s="161" t="str">
        <f>IFERROR(AVERAGEIFS(AllData[Phosphate (PPM)], AllData[Site Name], B71, AllData[Season], "Autumn", AllData[Year], "2024"), "")</f>
        <v/>
      </c>
      <c r="AU71" s="27" t="str">
        <f t="shared" si="18"/>
        <v/>
      </c>
      <c r="AV71" s="28" t="str">
        <f t="shared" si="43"/>
        <v/>
      </c>
      <c r="AW71" s="165">
        <f>COUNTIFS(AllData[Site Name], Tables!$B71, AllData[Season], "Winter", AllData[Year], "2024")</f>
        <v>2</v>
      </c>
      <c r="AX71" s="160">
        <f>IFERROR(AVERAGEIFS(AllData[Nitrate (PPM)], AllData[Site Name], $B71, AllData[Season], "Winter", AllData[Year], "2024"), "")</f>
        <v>6</v>
      </c>
      <c r="AY71" s="27">
        <f t="shared" si="20"/>
        <v>-0.04</v>
      </c>
      <c r="AZ71" s="27" t="str">
        <f t="shared" si="21"/>
        <v/>
      </c>
      <c r="BA71" s="161">
        <f>IFERROR(AVERAGEIFS(AllData[Phosphate (PPM)], AllData[Site Name], $B71, AllData[Season], "Winter", AllData[Year], "2024"), "")</f>
        <v>1.5</v>
      </c>
      <c r="BB71" s="27">
        <f t="shared" si="22"/>
        <v>-0.53398058252427183</v>
      </c>
      <c r="BC71" s="44" t="str">
        <f t="shared" si="23"/>
        <v/>
      </c>
      <c r="BD71" s="157">
        <f>COUNTIFS(AllData[Site Name], Tables!$B71, AllData[Season], "Spring", AllData[Year], "2025")</f>
        <v>8</v>
      </c>
      <c r="BE71" s="160">
        <f>IFERROR(AVERAGEIFS(AllData[Nitrate (PPM)], AllData[Site Name], $B71, AllData[Season], "Spring", AllData[Year], "2025"), "")</f>
        <v>6.5</v>
      </c>
      <c r="BF71" s="27">
        <f t="shared" si="24"/>
        <v>0.04</v>
      </c>
      <c r="BG71" s="27" t="str">
        <f t="shared" si="25"/>
        <v/>
      </c>
      <c r="BH71" s="161">
        <f>IFERROR(AVERAGEIFS(AllData[Phosphate (PPM)], AllData[Site Name], $B71, AllData[Season], "Spring", AllData[Year], "2025"), "")</f>
        <v>4.9375</v>
      </c>
      <c r="BI71" s="27">
        <f t="shared" si="26"/>
        <v>0.53398058252427183</v>
      </c>
      <c r="BJ71" s="27" t="str">
        <f t="shared" si="27"/>
        <v/>
      </c>
      <c r="BK71" s="165">
        <f>COUNTIFS(AllData[Site Name], Tables!$B71, AllData[Season], "Summer", AllData[Year], "2025")</f>
        <v>0</v>
      </c>
      <c r="BL71" s="160" t="str">
        <f>IFERROR(AVERAGEIFS(AllData[Nitrate (PPM)], AllData[Site Name], $B71, AllData[Season], "Summer", AllData[Year], "2025"), "")</f>
        <v/>
      </c>
      <c r="BM71" s="27" t="str">
        <f t="shared" si="28"/>
        <v/>
      </c>
      <c r="BN71" s="27" t="str">
        <f t="shared" si="29"/>
        <v/>
      </c>
      <c r="BO71" s="161" t="str">
        <f>IFERROR(AVERAGEIFS(AllData[Phosphate (PPM)], AllData[Site Name], $B71, AllData[Season], "Summer", AllData[Year], "2025"),"")</f>
        <v/>
      </c>
      <c r="BP71" s="27" t="str">
        <f t="shared" si="30"/>
        <v/>
      </c>
      <c r="BQ71" s="27" t="str">
        <f t="shared" si="31"/>
        <v/>
      </c>
      <c r="BR71" s="165">
        <f>COUNTIFS(AllData[Site Name], Tables!$B71, AllData[Season], "Autumn", AllData[Year], "2025")</f>
        <v>0</v>
      </c>
      <c r="BS71" s="160" t="str">
        <f>IFERROR(AVERAGEIFS(AllData[Nitrate (PPM)], AllData[Site Name], $B71, AllData[Season], "Autumn", AllData[Year], "2025"), "")</f>
        <v/>
      </c>
      <c r="BT71" s="27" t="str">
        <f t="shared" si="32"/>
        <v/>
      </c>
      <c r="BU71" s="27" t="str">
        <f t="shared" si="33"/>
        <v/>
      </c>
      <c r="BV71" s="161" t="str">
        <f>IFERROR(AVERAGEIFS(AllData[Phosphate (PPM)], AllData[Site Name], AD71, AllData[Season], "Autumn", AllData[Year], "2025"), "")</f>
        <v/>
      </c>
      <c r="BW71" s="27" t="str">
        <f t="shared" si="34"/>
        <v/>
      </c>
      <c r="BX71" s="28" t="str">
        <f t="shared" si="35"/>
        <v/>
      </c>
      <c r="BY71" s="165">
        <f>COUNTIFS(AllData[Site Name], Tables!$B71, AllData[Season], "Winter", AllData[Year], "2025")</f>
        <v>0</v>
      </c>
      <c r="BZ71" s="160" t="str">
        <f>IFERROR(AVERAGEIFS(AllData[Nitrate (PPM)], AllData[Site Name], $B71, AllData[Season], "Winter", AllData[Year], "2025"), "")</f>
        <v/>
      </c>
      <c r="CA71" s="27" t="str">
        <f t="shared" si="36"/>
        <v/>
      </c>
      <c r="CB71" s="27" t="str">
        <f t="shared" si="40"/>
        <v/>
      </c>
      <c r="CC71" s="161" t="str">
        <f>IFERROR(AVERAGEIFS(AllData[Phosphate (PPM)], AllData[Site Name], $B71, AllData[Season], "Winter", AllData[Year], "2025"), "")</f>
        <v/>
      </c>
      <c r="CD71" s="27" t="str">
        <f t="shared" si="38"/>
        <v/>
      </c>
      <c r="CE71" s="44" t="str">
        <f t="shared" si="41"/>
        <v/>
      </c>
    </row>
    <row r="72" spans="2:83" x14ac:dyDescent="0.35">
      <c r="B72" s="159" t="s">
        <v>2174</v>
      </c>
      <c r="C72" s="113">
        <f>IFERROR(AVERAGEIF(AllData[Site Name], Tables!B72, AllData[Latitude]), "Unknown")</f>
        <v>52.049778192307699</v>
      </c>
      <c r="D72" s="113">
        <f>IFERROR(AVERAGEIF(AllData[Site Name], Tables!B72, AllData[Longitude]), "Unknown")</f>
        <v>-2.1187607692307697</v>
      </c>
      <c r="E72" s="13" t="e" vm="6">
        <f>_xlfn.XLOOKUP(B72,LocationsKey[Site Name], LocationsKey[District])</f>
        <v>#VALUE!</v>
      </c>
      <c r="F72" s="13" t="str">
        <f>_xlfn.XLOOKUP(B72,LocationsKey[Site Name], LocationsKey[Town])</f>
        <v>Bredon's Norton</v>
      </c>
      <c r="G72" s="25" t="str">
        <f>_xlfn.XLOOKUP(B72,LocationsKey[Site Name],LocationsKey[Waterway])</f>
        <v>Avon</v>
      </c>
      <c r="H72" s="157">
        <f>COUNTIF(AllData[Site Name], Tables!B72)</f>
        <v>28</v>
      </c>
      <c r="I72" s="160">
        <f t="shared" si="0"/>
        <v>5.8888888888888893</v>
      </c>
      <c r="J72" s="161">
        <f t="shared" si="1"/>
        <v>0.47630555555555554</v>
      </c>
      <c r="K72" s="27" cm="1">
        <f t="array" ref="K72">SUM(COUNTIFS(AllData[Site Name], B72, AllData[Nitrate Pollution Category], {"High","Very high"}))/COUNTIFS(AllData[Site Name], B72, AllData[Nitrate (PPM)], "&lt;&gt;0")</f>
        <v>0.9285714285714286</v>
      </c>
      <c r="L72" s="27" cm="1">
        <f t="array" ref="L72">SUM(COUNTIFS(AllData[Site Name], B72, AllData[Phosphate Pollution Category], {"High","Very high"}))/COUNTIFS(AllData[Site Name], B72, AllData[Phosphate (PPM)], "&lt;&gt;0")</f>
        <v>0.9642857142857143</v>
      </c>
      <c r="M72" s="157">
        <f t="shared" si="2"/>
        <v>42</v>
      </c>
      <c r="N72" s="157">
        <f t="shared" si="3"/>
        <v>55</v>
      </c>
      <c r="O72" s="26">
        <f>COUNTIFS(AllData[Site Name], Tables!$B72, AllData[Season], "Summer", AllData[Year], "2023")</f>
        <v>0</v>
      </c>
      <c r="P72" s="160" t="str">
        <f>IFERROR(AVERAGEIFS(AllData[Nitrate (PPM)], AllData[Site Name], $B72, AllData[Season], "Summer", AllData[Year], "2023"), "")</f>
        <v/>
      </c>
      <c r="Q72" s="27" t="str">
        <f t="shared" si="4"/>
        <v/>
      </c>
      <c r="R72" s="161" t="str">
        <f>IFERROR(AVERAGEIFS(AllData[Phosphate (PPM)], AllData[Site Name], $B72, AllData[Season], "Summer", AllData[Year], "2023"),"")</f>
        <v/>
      </c>
      <c r="S72" s="28" t="str">
        <f t="shared" si="5"/>
        <v/>
      </c>
      <c r="T72" s="26">
        <f>COUNTIFS(AllData[Site Name], Tables!$B72, AllData[Season], "Autumn", AllData[Year], "2023")</f>
        <v>0</v>
      </c>
      <c r="U72" s="160" t="str">
        <f>IFERROR(AVERAGEIFS(AllData[Nitrate (PPM)], AllData[Site Name], $B72, AllData[Season], "Autumn", AllData[Year], "2023"), "")</f>
        <v/>
      </c>
      <c r="V72" s="27" t="str">
        <f t="shared" si="6"/>
        <v/>
      </c>
      <c r="W72" s="161" t="str">
        <f>IFERROR(AVERAGEIFS(AllData[Phosphate (PPM)], AllData[Site Name], $B72, AllData[Season], "Autumn", AllData[Year], "2023"),"")</f>
        <v/>
      </c>
      <c r="X72" s="28" t="str">
        <f t="shared" si="7"/>
        <v/>
      </c>
      <c r="Y72" s="26">
        <f>COUNTIFS(AllData[Site Name], Tables!$B72, AllData[Season], "Winter", AllData[Year], "2023")</f>
        <v>0</v>
      </c>
      <c r="Z72" s="160" t="str">
        <f>IFERROR(AVERAGEIFS(AllData[Nitrate (PPM)], AllData[Site Name], $B72, AllData[Season], "Winter", AllData[Year], "2023"), "")</f>
        <v/>
      </c>
      <c r="AA72" s="27" t="str">
        <f t="shared" si="8"/>
        <v/>
      </c>
      <c r="AB72" s="161" t="str">
        <f>IFERROR(AVERAGEIFS(AllData[Phosphate (PPM)], AllData[Site Name], $B72, AllData[Season], "Winter", AllData[Year], "2023"),"")</f>
        <v/>
      </c>
      <c r="AC72" s="28" t="str">
        <f t="shared" si="9"/>
        <v/>
      </c>
      <c r="AD72" s="26">
        <f>COUNTIFS(AllData[Site Name], Tables!$B72, AllData[Season], "Spring", AllData[Year], "2024")</f>
        <v>0</v>
      </c>
      <c r="AE72" s="160" t="str">
        <f>IFERROR(AVERAGEIFS(AllData[Nitrate (PPM)], AllData[Site Name], $B72, AllData[Season], "Spring", AllData[Year], "2024"), "")</f>
        <v/>
      </c>
      <c r="AF72" s="27" t="str">
        <f t="shared" si="10"/>
        <v/>
      </c>
      <c r="AG72" s="161" t="str">
        <f>IFERROR(AVERAGEIFS(AllData[Phosphate (PPM)], AllData[Site Name], $B72, AllData[Season], "Spring", AllData[Year], "2024"),"")</f>
        <v/>
      </c>
      <c r="AH72" s="28" t="str">
        <f t="shared" si="11"/>
        <v/>
      </c>
      <c r="AI72" s="165">
        <f>COUNTIFS(AllData[Site Name], Tables!$B72, AllData[Season], "Summer", AllData[Year], "2024")</f>
        <v>0</v>
      </c>
      <c r="AJ72" s="160" t="str">
        <f>IFERROR(AVERAGEIFS(AllData[Nitrate (PPM)], AllData[Site Name], $B72, AllData[Season], "Summer", AllData[Year], "2024"), "")</f>
        <v/>
      </c>
      <c r="AK72" s="27" t="str">
        <f t="shared" si="12"/>
        <v/>
      </c>
      <c r="AL72" s="27" t="str">
        <f t="shared" si="13"/>
        <v/>
      </c>
      <c r="AM72" s="161" t="str">
        <f>IFERROR(AVERAGEIFS(AllData[Phosphate (PPM)], AllData[Site Name], $B72, AllData[Season], "Summer", AllData[Year], "2024"),"")</f>
        <v/>
      </c>
      <c r="AN72" s="27" t="str">
        <f t="shared" si="14"/>
        <v/>
      </c>
      <c r="AO72" s="28" t="str">
        <f t="shared" si="15"/>
        <v/>
      </c>
      <c r="AP72" s="157">
        <f>COUNTIFS(AllData[Site Name], Tables!$B72, AllData[Season], "Autumn", AllData[Year], "2024")</f>
        <v>10</v>
      </c>
      <c r="AQ72" s="160">
        <f>IFERROR(AVERAGEIFS(AllData[Nitrate (PPM)], AllData[Site Name], $B72, AllData[Season], "Autumn", AllData[Year], "2024"), "")</f>
        <v>5.666666666666667</v>
      </c>
      <c r="AR72" s="27">
        <f t="shared" si="16"/>
        <v>-3.7735849056603786E-2</v>
      </c>
      <c r="AS72" s="27" t="str">
        <f t="shared" si="42"/>
        <v/>
      </c>
      <c r="AT72" s="161">
        <f>IFERROR(AVERAGEIFS(AllData[Phosphate (PPM)], AllData[Site Name], B72, AllData[Season], "Autumn", AllData[Year], "2024"), "")</f>
        <v>0.70666666666666667</v>
      </c>
      <c r="AU72" s="27">
        <f t="shared" si="18"/>
        <v>0.48364145331544883</v>
      </c>
      <c r="AV72" s="28" t="str">
        <f t="shared" si="43"/>
        <v/>
      </c>
      <c r="AW72" s="165">
        <f>COUNTIFS(AllData[Site Name], Tables!$B72, AllData[Season], "Winter", AllData[Year], "2024")</f>
        <v>10</v>
      </c>
      <c r="AX72" s="160">
        <f>IFERROR(AVERAGEIFS(AllData[Nitrate (PPM)], AllData[Site Name], $B72, AllData[Season], "Winter", AllData[Year], "2024"), "")</f>
        <v>5.5</v>
      </c>
      <c r="AY72" s="27">
        <f t="shared" si="20"/>
        <v>-6.6037735849056672E-2</v>
      </c>
      <c r="AZ72" s="27" t="str">
        <f t="shared" si="21"/>
        <v/>
      </c>
      <c r="BA72" s="161">
        <f>IFERROR(AVERAGEIFS(AllData[Phosphate (PPM)], AllData[Site Name], $B72, AllData[Season], "Winter", AllData[Year], "2024"), "")</f>
        <v>0.40099999999999997</v>
      </c>
      <c r="BB72" s="27">
        <f t="shared" si="22"/>
        <v>-0.15810345833090339</v>
      </c>
      <c r="BC72" s="44" t="str">
        <f t="shared" si="23"/>
        <v/>
      </c>
      <c r="BD72" s="157">
        <f>COUNTIFS(AllData[Site Name], Tables!$B72, AllData[Season], "Spring", AllData[Year], "2025")</f>
        <v>8</v>
      </c>
      <c r="BE72" s="160">
        <f>IFERROR(AVERAGEIFS(AllData[Nitrate (PPM)], AllData[Site Name], $B72, AllData[Season], "Spring", AllData[Year], "2025"), "")</f>
        <v>6.5</v>
      </c>
      <c r="BF72" s="27">
        <f t="shared" si="24"/>
        <v>0.1037735849056603</v>
      </c>
      <c r="BG72" s="27" t="str">
        <f t="shared" si="25"/>
        <v/>
      </c>
      <c r="BH72" s="161">
        <f>IFERROR(AVERAGEIFS(AllData[Phosphate (PPM)], AllData[Site Name], $B72, AllData[Season], "Spring", AllData[Year], "2025"), "")</f>
        <v>0.32124999999999998</v>
      </c>
      <c r="BI72" s="27">
        <f t="shared" si="26"/>
        <v>-0.32553799498454544</v>
      </c>
      <c r="BJ72" s="27" t="str">
        <f t="shared" si="27"/>
        <v/>
      </c>
      <c r="BK72" s="165">
        <f>COUNTIFS(AllData[Site Name], Tables!$B72, AllData[Season], "Summer", AllData[Year], "2025")</f>
        <v>0</v>
      </c>
      <c r="BL72" s="160" t="str">
        <f>IFERROR(AVERAGEIFS(AllData[Nitrate (PPM)], AllData[Site Name], $B72, AllData[Season], "Summer", AllData[Year], "2025"), "")</f>
        <v/>
      </c>
      <c r="BM72" s="27" t="str">
        <f t="shared" si="28"/>
        <v/>
      </c>
      <c r="BN72" s="27" t="str">
        <f t="shared" si="29"/>
        <v/>
      </c>
      <c r="BO72" s="161" t="str">
        <f>IFERROR(AVERAGEIFS(AllData[Phosphate (PPM)], AllData[Site Name], $B72, AllData[Season], "Summer", AllData[Year], "2025"),"")</f>
        <v/>
      </c>
      <c r="BP72" s="27" t="str">
        <f t="shared" si="30"/>
        <v/>
      </c>
      <c r="BQ72" s="27" t="str">
        <f t="shared" si="31"/>
        <v/>
      </c>
      <c r="BR72" s="165">
        <f>COUNTIFS(AllData[Site Name], Tables!$B72, AllData[Season], "Autumn", AllData[Year], "2025")</f>
        <v>0</v>
      </c>
      <c r="BS72" s="160" t="str">
        <f>IFERROR(AVERAGEIFS(AllData[Nitrate (PPM)], AllData[Site Name], $B72, AllData[Season], "Autumn", AllData[Year], "2025"), "")</f>
        <v/>
      </c>
      <c r="BT72" s="27" t="str">
        <f t="shared" si="32"/>
        <v/>
      </c>
      <c r="BU72" s="27" t="str">
        <f t="shared" si="33"/>
        <v/>
      </c>
      <c r="BV72" s="161" t="str">
        <f>IFERROR(AVERAGEIFS(AllData[Phosphate (PPM)], AllData[Site Name], AD72, AllData[Season], "Autumn", AllData[Year], "2025"), "")</f>
        <v/>
      </c>
      <c r="BW72" s="27" t="str">
        <f t="shared" si="34"/>
        <v/>
      </c>
      <c r="BX72" s="28" t="str">
        <f t="shared" si="35"/>
        <v/>
      </c>
      <c r="BY72" s="165">
        <f>COUNTIFS(AllData[Site Name], Tables!$B72, AllData[Season], "Winter", AllData[Year], "2025")</f>
        <v>0</v>
      </c>
      <c r="BZ72" s="160" t="str">
        <f>IFERROR(AVERAGEIFS(AllData[Nitrate (PPM)], AllData[Site Name], $B72, AllData[Season], "Winter", AllData[Year], "2025"), "")</f>
        <v/>
      </c>
      <c r="CA72" s="27" t="str">
        <f t="shared" si="36"/>
        <v/>
      </c>
      <c r="CB72" s="27" t="str">
        <f t="shared" si="40"/>
        <v/>
      </c>
      <c r="CC72" s="161" t="str">
        <f>IFERROR(AVERAGEIFS(AllData[Phosphate (PPM)], AllData[Site Name], $B72, AllData[Season], "Winter", AllData[Year], "2025"), "")</f>
        <v/>
      </c>
      <c r="CD72" s="27" t="str">
        <f t="shared" si="38"/>
        <v/>
      </c>
      <c r="CE72" s="44" t="str">
        <f t="shared" si="41"/>
        <v/>
      </c>
    </row>
    <row r="73" spans="2:83" x14ac:dyDescent="0.35">
      <c r="B73" s="159" t="s">
        <v>3565</v>
      </c>
      <c r="C73" s="113">
        <f>IFERROR(AVERAGEIF(AllData[Site Name], Tables!B73, AllData[Latitude]), "Unknown")</f>
        <v>52.013255999999998</v>
      </c>
      <c r="D73" s="113">
        <f>IFERROR(AVERAGEIF(AllData[Site Name], Tables!B73, AllData[Longitude]), "Unknown")</f>
        <v>-1.5387710000000001</v>
      </c>
      <c r="E73" s="13" t="e" vm="1">
        <f>_xlfn.XLOOKUP(B73,LocationsKey[Site Name], LocationsKey[District])</f>
        <v>#VALUE!</v>
      </c>
      <c r="F73" s="13" t="e" vm="25">
        <f>_xlfn.XLOOKUP(B73,LocationsKey[Site Name], LocationsKey[Town])</f>
        <v>#VALUE!</v>
      </c>
      <c r="G73" s="25" t="str">
        <f>_xlfn.XLOOKUP(B73,LocationsKey[Site Name],LocationsKey[Waterway])</f>
        <v>Stour</v>
      </c>
      <c r="H73" s="157">
        <f>COUNTIF(AllData[Site Name], Tables!B73)</f>
        <v>34</v>
      </c>
      <c r="I73" s="160">
        <f t="shared" si="0"/>
        <v>1.050138888888889</v>
      </c>
      <c r="J73" s="161">
        <f t="shared" si="1"/>
        <v>0.25300000000000006</v>
      </c>
      <c r="K73" s="27" cm="1">
        <f t="array" ref="K73">SUM(COUNTIFS(AllData[Site Name], B73, AllData[Nitrate Pollution Category], {"High","Very high"}))/COUNTIFS(AllData[Site Name], B73, AllData[Nitrate (PPM)], "&lt;&gt;0")</f>
        <v>0.26470588235294118</v>
      </c>
      <c r="L73" s="27" cm="1">
        <f t="array" ref="L73">SUM(COUNTIFS(AllData[Site Name], B73, AllData[Phosphate Pollution Category], {"High","Very high"}))/COUNTIFS(AllData[Site Name], B73, AllData[Phosphate (PPM)], "&lt;&gt;0")</f>
        <v>0.8529411764705882</v>
      </c>
      <c r="M73" s="157">
        <f t="shared" si="2"/>
        <v>85</v>
      </c>
      <c r="N73" s="157">
        <f t="shared" si="3"/>
        <v>76</v>
      </c>
      <c r="O73" s="26">
        <f>COUNTIFS(AllData[Site Name], Tables!$B73, AllData[Season], "Summer", AllData[Year], "2023")</f>
        <v>0</v>
      </c>
      <c r="P73" s="160" t="str">
        <f>IFERROR(AVERAGEIFS(AllData[Nitrate (PPM)], AllData[Site Name], $B73, AllData[Season], "Summer", AllData[Year], "2023"), "")</f>
        <v/>
      </c>
      <c r="Q73" s="27" t="str">
        <f t="shared" si="4"/>
        <v/>
      </c>
      <c r="R73" s="161" t="str">
        <f>IFERROR(AVERAGEIFS(AllData[Phosphate (PPM)], AllData[Site Name], $B73, AllData[Season], "Summer", AllData[Year], "2023"),"")</f>
        <v/>
      </c>
      <c r="S73" s="28" t="str">
        <f t="shared" si="5"/>
        <v/>
      </c>
      <c r="T73" s="26">
        <f>COUNTIFS(AllData[Site Name], Tables!$B73, AllData[Season], "Autumn", AllData[Year], "2023")</f>
        <v>0</v>
      </c>
      <c r="U73" s="160" t="str">
        <f>IFERROR(AVERAGEIFS(AllData[Nitrate (PPM)], AllData[Site Name], $B73, AllData[Season], "Autumn", AllData[Year], "2023"), "")</f>
        <v/>
      </c>
      <c r="V73" s="27" t="str">
        <f t="shared" si="6"/>
        <v/>
      </c>
      <c r="W73" s="161" t="str">
        <f>IFERROR(AVERAGEIFS(AllData[Phosphate (PPM)], AllData[Site Name], $B73, AllData[Season], "Autumn", AllData[Year], "2023"),"")</f>
        <v/>
      </c>
      <c r="X73" s="28" t="str">
        <f t="shared" si="7"/>
        <v/>
      </c>
      <c r="Y73" s="26">
        <f>COUNTIFS(AllData[Site Name], Tables!$B73, AllData[Season], "Winter", AllData[Year], "2023")</f>
        <v>0</v>
      </c>
      <c r="Z73" s="160" t="str">
        <f>IFERROR(AVERAGEIFS(AllData[Nitrate (PPM)], AllData[Site Name], $B73, AllData[Season], "Winter", AllData[Year], "2023"), "")</f>
        <v/>
      </c>
      <c r="AA73" s="27" t="str">
        <f t="shared" si="8"/>
        <v/>
      </c>
      <c r="AB73" s="161" t="str">
        <f>IFERROR(AVERAGEIFS(AllData[Phosphate (PPM)], AllData[Site Name], $B73, AllData[Season], "Winter", AllData[Year], "2023"),"")</f>
        <v/>
      </c>
      <c r="AC73" s="28" t="str">
        <f t="shared" si="9"/>
        <v/>
      </c>
      <c r="AD73" s="26">
        <f>COUNTIFS(AllData[Site Name], Tables!$B73, AllData[Season], "Spring", AllData[Year], "2024")</f>
        <v>9</v>
      </c>
      <c r="AE73" s="160">
        <f>IFERROR(AVERAGEIFS(AllData[Nitrate (PPM)], AllData[Site Name], $B73, AllData[Season], "Spring", AllData[Year], "2024"), "")</f>
        <v>2.0288888888888885</v>
      </c>
      <c r="AF73" s="27">
        <f t="shared" si="10"/>
        <v>0.93201957413040559</v>
      </c>
      <c r="AG73" s="161">
        <f>IFERROR(AVERAGEIFS(AllData[Phosphate (PPM)], AllData[Site Name], $B73, AllData[Season], "Spring", AllData[Year], "2024"),"")</f>
        <v>0.19</v>
      </c>
      <c r="AH73" s="28">
        <f t="shared" si="11"/>
        <v>-0.24901185770751005</v>
      </c>
      <c r="AI73" s="165">
        <f>COUNTIFS(AllData[Site Name], Tables!$B73, AllData[Season], "Summer", AllData[Year], "2024")</f>
        <v>10</v>
      </c>
      <c r="AJ73" s="160">
        <f>IFERROR(AVERAGEIFS(AllData[Nitrate (PPM)], AllData[Site Name], $B73, AllData[Season], "Summer", AllData[Year], "2024"), "")</f>
        <v>0.93</v>
      </c>
      <c r="AK73" s="27">
        <f t="shared" si="12"/>
        <v>-0.11440285676497819</v>
      </c>
      <c r="AL73" s="27" t="str">
        <f t="shared" si="13"/>
        <v/>
      </c>
      <c r="AM73" s="161">
        <f>IFERROR(AVERAGEIFS(AllData[Phosphate (PPM)], AllData[Site Name], $B73, AllData[Season], "Summer", AllData[Year], "2024"),"")</f>
        <v>0.26200000000000007</v>
      </c>
      <c r="AN73" s="27">
        <f t="shared" si="14"/>
        <v>3.5573122529644292E-2</v>
      </c>
      <c r="AO73" s="28" t="str">
        <f t="shared" si="15"/>
        <v/>
      </c>
      <c r="AP73" s="157">
        <f>COUNTIFS(AllData[Site Name], Tables!$B73, AllData[Season], "Autumn", AllData[Year], "2024")</f>
        <v>12</v>
      </c>
      <c r="AQ73" s="160">
        <f>IFERROR(AVERAGEIFS(AllData[Nitrate (PPM)], AllData[Site Name], $B73, AllData[Season], "Autumn", AllData[Year], "2024"), "")</f>
        <v>0.57500000000000007</v>
      </c>
      <c r="AR73" s="27">
        <f t="shared" si="16"/>
        <v>-0.45245337918264777</v>
      </c>
      <c r="AS73" s="27" t="str">
        <f t="shared" si="42"/>
        <v/>
      </c>
      <c r="AT73" s="161">
        <f>IFERROR(AVERAGEIFS(AllData[Phosphate (PPM)], AllData[Site Name], B73, AllData[Season], "Autumn", AllData[Year], "2024"), "")</f>
        <v>0.37333333333333335</v>
      </c>
      <c r="AU73" s="27">
        <f t="shared" si="18"/>
        <v>0.47562582345191012</v>
      </c>
      <c r="AV73" s="28" t="str">
        <f t="shared" si="43"/>
        <v/>
      </c>
      <c r="AW73" s="165">
        <f>COUNTIFS(AllData[Site Name], Tables!$B73, AllData[Season], "Winter", AllData[Year], "2024")</f>
        <v>3</v>
      </c>
      <c r="AX73" s="160">
        <f>IFERROR(AVERAGEIFS(AllData[Nitrate (PPM)], AllData[Site Name], $B73, AllData[Season], "Winter", AllData[Year], "2024"), "")</f>
        <v>0.66666666666666663</v>
      </c>
      <c r="AY73" s="27">
        <f t="shared" si="20"/>
        <v>-0.36516333818278013</v>
      </c>
      <c r="AZ73" s="27" t="str">
        <f t="shared" si="21"/>
        <v/>
      </c>
      <c r="BA73" s="161">
        <f>IFERROR(AVERAGEIFS(AllData[Phosphate (PPM)], AllData[Site Name], $B73, AllData[Season], "Winter", AllData[Year], "2024"), "")</f>
        <v>0.18666666666666668</v>
      </c>
      <c r="BB73" s="27">
        <f t="shared" si="22"/>
        <v>-0.26218708827404491</v>
      </c>
      <c r="BC73" s="44" t="str">
        <f t="shared" si="23"/>
        <v/>
      </c>
      <c r="BD73" s="157">
        <f>COUNTIFS(AllData[Site Name], Tables!$B73, AllData[Season], "Spring", AllData[Year], "2025")</f>
        <v>0</v>
      </c>
      <c r="BE73" s="160" t="str">
        <f>IFERROR(AVERAGEIFS(AllData[Nitrate (PPM)], AllData[Site Name], $B73, AllData[Season], "Spring", AllData[Year], "2025"), "")</f>
        <v/>
      </c>
      <c r="BF73" s="27" t="str">
        <f t="shared" si="24"/>
        <v/>
      </c>
      <c r="BG73" s="27" t="str">
        <f t="shared" si="25"/>
        <v/>
      </c>
      <c r="BH73" s="161" t="str">
        <f>IFERROR(AVERAGEIFS(AllData[Phosphate (PPM)], AllData[Site Name], $B73, AllData[Season], "Spring", AllData[Year], "2025"), "")</f>
        <v/>
      </c>
      <c r="BI73" s="27" t="str">
        <f t="shared" si="26"/>
        <v/>
      </c>
      <c r="BJ73" s="27" t="str">
        <f t="shared" si="27"/>
        <v/>
      </c>
      <c r="BK73" s="165">
        <f>COUNTIFS(AllData[Site Name], Tables!$B73, AllData[Season], "Summer", AllData[Year], "2025")</f>
        <v>0</v>
      </c>
      <c r="BL73" s="160" t="str">
        <f>IFERROR(AVERAGEIFS(AllData[Nitrate (PPM)], AllData[Site Name], $B73, AllData[Season], "Summer", AllData[Year], "2025"), "")</f>
        <v/>
      </c>
      <c r="BM73" s="27" t="str">
        <f t="shared" si="28"/>
        <v/>
      </c>
      <c r="BN73" s="27" t="str">
        <f t="shared" si="29"/>
        <v/>
      </c>
      <c r="BO73" s="161" t="str">
        <f>IFERROR(AVERAGEIFS(AllData[Phosphate (PPM)], AllData[Site Name], $B73, AllData[Season], "Summer", AllData[Year], "2025"),"")</f>
        <v/>
      </c>
      <c r="BP73" s="27" t="str">
        <f t="shared" si="30"/>
        <v/>
      </c>
      <c r="BQ73" s="27" t="str">
        <f t="shared" si="31"/>
        <v/>
      </c>
      <c r="BR73" s="165">
        <f>COUNTIFS(AllData[Site Name], Tables!$B73, AllData[Season], "Autumn", AllData[Year], "2025")</f>
        <v>0</v>
      </c>
      <c r="BS73" s="160" t="str">
        <f>IFERROR(AVERAGEIFS(AllData[Nitrate (PPM)], AllData[Site Name], $B73, AllData[Season], "Autumn", AllData[Year], "2025"), "")</f>
        <v/>
      </c>
      <c r="BT73" s="27" t="str">
        <f t="shared" si="32"/>
        <v/>
      </c>
      <c r="BU73" s="27" t="str">
        <f t="shared" si="33"/>
        <v/>
      </c>
      <c r="BV73" s="161" t="str">
        <f>IFERROR(AVERAGEIFS(AllData[Phosphate (PPM)], AllData[Site Name], AD73, AllData[Season], "Autumn", AllData[Year], "2025"), "")</f>
        <v/>
      </c>
      <c r="BW73" s="27" t="str">
        <f t="shared" si="34"/>
        <v/>
      </c>
      <c r="BX73" s="28" t="str">
        <f t="shared" si="35"/>
        <v/>
      </c>
      <c r="BY73" s="165">
        <f>COUNTIFS(AllData[Site Name], Tables!$B73, AllData[Season], "Winter", AllData[Year], "2025")</f>
        <v>0</v>
      </c>
      <c r="BZ73" s="160" t="str">
        <f>IFERROR(AVERAGEIFS(AllData[Nitrate (PPM)], AllData[Site Name], $B73, AllData[Season], "Winter", AllData[Year], "2025"), "")</f>
        <v/>
      </c>
      <c r="CA73" s="27" t="str">
        <f t="shared" si="36"/>
        <v/>
      </c>
      <c r="CB73" s="27" t="str">
        <f t="shared" si="40"/>
        <v/>
      </c>
      <c r="CC73" s="161" t="str">
        <f>IFERROR(AVERAGEIFS(AllData[Phosphate (PPM)], AllData[Site Name], $B73, AllData[Season], "Winter", AllData[Year], "2025"), "")</f>
        <v/>
      </c>
      <c r="CD73" s="27" t="str">
        <f t="shared" si="38"/>
        <v/>
      </c>
      <c r="CE73" s="44" t="str">
        <f t="shared" si="41"/>
        <v/>
      </c>
    </row>
    <row r="74" spans="2:83" x14ac:dyDescent="0.35">
      <c r="B74" s="159" t="s">
        <v>3566</v>
      </c>
      <c r="C74" s="113">
        <f>IFERROR(AVERAGEIF(AllData[Site Name], Tables!B74, AllData[Latitude]), "Unknown")</f>
        <v>52.029943500000002</v>
      </c>
      <c r="D74" s="113">
        <f>IFERROR(AVERAGEIF(AllData[Site Name], Tables!B74, AllData[Longitude]), "Unknown")</f>
        <v>-1.5807020000000001</v>
      </c>
      <c r="E74" s="13" t="e" vm="1">
        <f>_xlfn.XLOOKUP(B74,LocationsKey[Site Name], LocationsKey[District])</f>
        <v>#VALUE!</v>
      </c>
      <c r="F74" s="13" t="str">
        <f>_xlfn.XLOOKUP(B74,LocationsKey[Site Name], LocationsKey[Town])</f>
        <v>Cherington</v>
      </c>
      <c r="G74" s="25" t="str">
        <f>_xlfn.XLOOKUP(B74,LocationsKey[Site Name],LocationsKey[Waterway])</f>
        <v>Stour</v>
      </c>
      <c r="H74" s="157">
        <f>COUNTIF(AllData[Site Name], Tables!B74)</f>
        <v>2</v>
      </c>
      <c r="I74" s="160">
        <f t="shared" si="0"/>
        <v>0.5</v>
      </c>
      <c r="J74" s="161">
        <f t="shared" si="1"/>
        <v>0.255</v>
      </c>
      <c r="K74" s="27" cm="1">
        <f t="array" ref="K74">SUM(COUNTIFS(AllData[Site Name], B74, AllData[Nitrate Pollution Category], {"High","Very high"}))/COUNTIFS(AllData[Site Name], B74, AllData[Nitrate (PPM)], "&lt;&gt;0")</f>
        <v>0</v>
      </c>
      <c r="L74" s="27" cm="1">
        <f t="array" ref="L74">SUM(COUNTIFS(AllData[Site Name], B74, AllData[Phosphate Pollution Category], {"High","Very high"}))/COUNTIFS(AllData[Site Name], B74, AllData[Phosphate (PPM)], "&lt;&gt;0")</f>
        <v>1</v>
      </c>
      <c r="M74" s="157">
        <f t="shared" si="2"/>
        <v>87</v>
      </c>
      <c r="N74" s="157">
        <f t="shared" si="3"/>
        <v>74</v>
      </c>
      <c r="O74" s="26">
        <f>COUNTIFS(AllData[Site Name], Tables!$B74, AllData[Season], "Summer", AllData[Year], "2023")</f>
        <v>0</v>
      </c>
      <c r="P74" s="160" t="str">
        <f>IFERROR(AVERAGEIFS(AllData[Nitrate (PPM)], AllData[Site Name], $B74, AllData[Season], "Summer", AllData[Year], "2023"), "")</f>
        <v/>
      </c>
      <c r="Q74" s="27" t="str">
        <f t="shared" si="4"/>
        <v/>
      </c>
      <c r="R74" s="161" t="str">
        <f>IFERROR(AVERAGEIFS(AllData[Phosphate (PPM)], AllData[Site Name], $B74, AllData[Season], "Summer", AllData[Year], "2023"),"")</f>
        <v/>
      </c>
      <c r="S74" s="28" t="str">
        <f t="shared" si="5"/>
        <v/>
      </c>
      <c r="T74" s="26">
        <f>COUNTIFS(AllData[Site Name], Tables!$B74, AllData[Season], "Autumn", AllData[Year], "2023")</f>
        <v>1</v>
      </c>
      <c r="U74" s="160" t="str">
        <f>IFERROR(AVERAGEIFS(AllData[Nitrate (PPM)], AllData[Site Name], $B74, AllData[Season], "Autumn", AllData[Year], "2023"), "")</f>
        <v/>
      </c>
      <c r="V74" s="27" t="str">
        <f t="shared" si="6"/>
        <v/>
      </c>
      <c r="W74" s="161">
        <f>IFERROR(AVERAGEIFS(AllData[Phosphate (PPM)], AllData[Site Name], $B74, AllData[Season], "Autumn", AllData[Year], "2023"),"")</f>
        <v>0.18</v>
      </c>
      <c r="X74" s="28">
        <f t="shared" si="7"/>
        <v>-0.29411764705882359</v>
      </c>
      <c r="Y74" s="26">
        <f>COUNTIFS(AllData[Site Name], Tables!$B74, AllData[Season], "Winter", AllData[Year], "2023")</f>
        <v>1</v>
      </c>
      <c r="Z74" s="160">
        <f>IFERROR(AVERAGEIFS(AllData[Nitrate (PPM)], AllData[Site Name], $B74, AllData[Season], "Winter", AllData[Year], "2023"), "")</f>
        <v>0.5</v>
      </c>
      <c r="AA74" s="27">
        <f t="shared" si="8"/>
        <v>0</v>
      </c>
      <c r="AB74" s="161">
        <f>IFERROR(AVERAGEIFS(AllData[Phosphate (PPM)], AllData[Site Name], $B74, AllData[Season], "Winter", AllData[Year], "2023"),"")</f>
        <v>0.33</v>
      </c>
      <c r="AC74" s="28">
        <f t="shared" si="9"/>
        <v>0.29411764705882359</v>
      </c>
      <c r="AD74" s="26">
        <f>COUNTIFS(AllData[Site Name], Tables!$B74, AllData[Season], "Spring", AllData[Year], "2024")</f>
        <v>0</v>
      </c>
      <c r="AE74" s="160" t="str">
        <f>IFERROR(AVERAGEIFS(AllData[Nitrate (PPM)], AllData[Site Name], $B74, AllData[Season], "Spring", AllData[Year], "2024"), "")</f>
        <v/>
      </c>
      <c r="AF74" s="27" t="str">
        <f t="shared" si="10"/>
        <v/>
      </c>
      <c r="AG74" s="161" t="str">
        <f>IFERROR(AVERAGEIFS(AllData[Phosphate (PPM)], AllData[Site Name], $B74, AllData[Season], "Spring", AllData[Year], "2024"),"")</f>
        <v/>
      </c>
      <c r="AH74" s="28" t="str">
        <f t="shared" si="11"/>
        <v/>
      </c>
      <c r="AI74" s="165">
        <f>COUNTIFS(AllData[Site Name], Tables!$B74, AllData[Season], "Summer", AllData[Year], "2024")</f>
        <v>0</v>
      </c>
      <c r="AJ74" s="160" t="str">
        <f>IFERROR(AVERAGEIFS(AllData[Nitrate (PPM)], AllData[Site Name], $B74, AllData[Season], "Summer", AllData[Year], "2024"), "")</f>
        <v/>
      </c>
      <c r="AK74" s="27" t="str">
        <f t="shared" si="12"/>
        <v/>
      </c>
      <c r="AL74" s="27" t="str">
        <f t="shared" si="13"/>
        <v/>
      </c>
      <c r="AM74" s="161" t="str">
        <f>IFERROR(AVERAGEIFS(AllData[Phosphate (PPM)], AllData[Site Name], $B74, AllData[Season], "Summer", AllData[Year], "2024"),"")</f>
        <v/>
      </c>
      <c r="AN74" s="27" t="str">
        <f t="shared" si="14"/>
        <v/>
      </c>
      <c r="AO74" s="28" t="str">
        <f t="shared" si="15"/>
        <v/>
      </c>
      <c r="AP74" s="157">
        <f>COUNTIFS(AllData[Site Name], Tables!$B74, AllData[Season], "Autumn", AllData[Year], "2024")</f>
        <v>0</v>
      </c>
      <c r="AQ74" s="160" t="str">
        <f>IFERROR(AVERAGEIFS(AllData[Nitrate (PPM)], AllData[Site Name], $B74, AllData[Season], "Autumn", AllData[Year], "2024"), "")</f>
        <v/>
      </c>
      <c r="AR74" s="27" t="str">
        <f t="shared" si="16"/>
        <v/>
      </c>
      <c r="AS74" s="27" t="str">
        <f t="shared" si="42"/>
        <v/>
      </c>
      <c r="AT74" s="161" t="str">
        <f>IFERROR(AVERAGEIFS(AllData[Phosphate (PPM)], AllData[Site Name], B74, AllData[Season], "Autumn", AllData[Year], "2024"), "")</f>
        <v/>
      </c>
      <c r="AU74" s="27" t="str">
        <f t="shared" si="18"/>
        <v/>
      </c>
      <c r="AV74" s="28" t="str">
        <f t="shared" si="43"/>
        <v/>
      </c>
      <c r="AW74" s="165">
        <f>COUNTIFS(AllData[Site Name], Tables!$B74, AllData[Season], "Winter", AllData[Year], "2024")</f>
        <v>0</v>
      </c>
      <c r="AX74" s="160" t="str">
        <f>IFERROR(AVERAGEIFS(AllData[Nitrate (PPM)], AllData[Site Name], $B74, AllData[Season], "Winter", AllData[Year], "2024"), "")</f>
        <v/>
      </c>
      <c r="AY74" s="27" t="str">
        <f t="shared" si="20"/>
        <v/>
      </c>
      <c r="AZ74" s="27" t="str">
        <f t="shared" si="21"/>
        <v/>
      </c>
      <c r="BA74" s="161" t="str">
        <f>IFERROR(AVERAGEIFS(AllData[Phosphate (PPM)], AllData[Site Name], $B74, AllData[Season], "Winter", AllData[Year], "2024"), "")</f>
        <v/>
      </c>
      <c r="BB74" s="27" t="str">
        <f t="shared" si="22"/>
        <v/>
      </c>
      <c r="BC74" s="44" t="str">
        <f t="shared" si="23"/>
        <v/>
      </c>
      <c r="BD74" s="157">
        <f>COUNTIFS(AllData[Site Name], Tables!$B74, AllData[Season], "Spring", AllData[Year], "2025")</f>
        <v>0</v>
      </c>
      <c r="BE74" s="160" t="str">
        <f>IFERROR(AVERAGEIFS(AllData[Nitrate (PPM)], AllData[Site Name], $B74, AllData[Season], "Spring", AllData[Year], "2025"), "")</f>
        <v/>
      </c>
      <c r="BF74" s="27" t="str">
        <f t="shared" si="24"/>
        <v/>
      </c>
      <c r="BG74" s="27" t="str">
        <f t="shared" si="25"/>
        <v/>
      </c>
      <c r="BH74" s="161" t="str">
        <f>IFERROR(AVERAGEIFS(AllData[Phosphate (PPM)], AllData[Site Name], $B74, AllData[Season], "Spring", AllData[Year], "2025"), "")</f>
        <v/>
      </c>
      <c r="BI74" s="27" t="str">
        <f t="shared" si="26"/>
        <v/>
      </c>
      <c r="BJ74" s="27" t="str">
        <f t="shared" si="27"/>
        <v/>
      </c>
      <c r="BK74" s="165">
        <f>COUNTIFS(AllData[Site Name], Tables!$B74, AllData[Season], "Summer", AllData[Year], "2025")</f>
        <v>0</v>
      </c>
      <c r="BL74" s="160" t="str">
        <f>IFERROR(AVERAGEIFS(AllData[Nitrate (PPM)], AllData[Site Name], $B74, AllData[Season], "Summer", AllData[Year], "2025"), "")</f>
        <v/>
      </c>
      <c r="BM74" s="27" t="str">
        <f t="shared" si="28"/>
        <v/>
      </c>
      <c r="BN74" s="27" t="str">
        <f t="shared" si="29"/>
        <v/>
      </c>
      <c r="BO74" s="161" t="str">
        <f>IFERROR(AVERAGEIFS(AllData[Phosphate (PPM)], AllData[Site Name], $B74, AllData[Season], "Summer", AllData[Year], "2025"),"")</f>
        <v/>
      </c>
      <c r="BP74" s="27" t="str">
        <f t="shared" si="30"/>
        <v/>
      </c>
      <c r="BQ74" s="27" t="str">
        <f t="shared" si="31"/>
        <v/>
      </c>
      <c r="BR74" s="165">
        <f>COUNTIFS(AllData[Site Name], Tables!$B74, AllData[Season], "Autumn", AllData[Year], "2025")</f>
        <v>0</v>
      </c>
      <c r="BS74" s="160" t="str">
        <f>IFERROR(AVERAGEIFS(AllData[Nitrate (PPM)], AllData[Site Name], $B74, AllData[Season], "Autumn", AllData[Year], "2025"), "")</f>
        <v/>
      </c>
      <c r="BT74" s="27" t="str">
        <f t="shared" si="32"/>
        <v/>
      </c>
      <c r="BU74" s="27" t="str">
        <f t="shared" si="33"/>
        <v/>
      </c>
      <c r="BV74" s="161" t="str">
        <f>IFERROR(AVERAGEIFS(AllData[Phosphate (PPM)], AllData[Site Name], AD74, AllData[Season], "Autumn", AllData[Year], "2025"), "")</f>
        <v/>
      </c>
      <c r="BW74" s="27" t="str">
        <f t="shared" si="34"/>
        <v/>
      </c>
      <c r="BX74" s="28" t="str">
        <f t="shared" si="35"/>
        <v/>
      </c>
      <c r="BY74" s="165">
        <f>COUNTIFS(AllData[Site Name], Tables!$B74, AllData[Season], "Winter", AllData[Year], "2025")</f>
        <v>0</v>
      </c>
      <c r="BZ74" s="160" t="str">
        <f>IFERROR(AVERAGEIFS(AllData[Nitrate (PPM)], AllData[Site Name], $B74, AllData[Season], "Winter", AllData[Year], "2025"), "")</f>
        <v/>
      </c>
      <c r="CA74" s="27" t="str">
        <f t="shared" si="36"/>
        <v/>
      </c>
      <c r="CB74" s="27" t="str">
        <f t="shared" si="40"/>
        <v/>
      </c>
      <c r="CC74" s="161" t="str">
        <f>IFERROR(AVERAGEIFS(AllData[Phosphate (PPM)], AllData[Site Name], $B74, AllData[Season], "Winter", AllData[Year], "2025"), "")</f>
        <v/>
      </c>
      <c r="CD74" s="27" t="str">
        <f t="shared" si="38"/>
        <v/>
      </c>
      <c r="CE74" s="44" t="str">
        <f t="shared" si="41"/>
        <v/>
      </c>
    </row>
    <row r="75" spans="2:83" x14ac:dyDescent="0.35">
      <c r="B75" s="159" t="s">
        <v>3568</v>
      </c>
      <c r="C75" s="113">
        <f>IFERROR(AVERAGEIF(AllData[Site Name], Tables!B75, AllData[Latitude]), "Unknown")</f>
        <v>52.113052370370369</v>
      </c>
      <c r="D75" s="113">
        <f>IFERROR(AVERAGEIF(AllData[Site Name], Tables!B75, AllData[Longitude]), "Unknown")</f>
        <v>-1.6333685185185181</v>
      </c>
      <c r="E75" s="13" t="e" vm="1">
        <f>_xlfn.XLOOKUP(B75,LocationsKey[Site Name], LocationsKey[District])</f>
        <v>#VALUE!</v>
      </c>
      <c r="F75" s="13" t="e" vm="27">
        <f>_xlfn.XLOOKUP(B75,LocationsKey[Site Name], LocationsKey[Town])</f>
        <v>#VALUE!</v>
      </c>
      <c r="G75" s="25" t="str">
        <f>_xlfn.XLOOKUP(B75,LocationsKey[Site Name],LocationsKey[Waterway])</f>
        <v>Stour</v>
      </c>
      <c r="H75" s="157">
        <f>COUNTIF(AllData[Site Name], Tables!B75)</f>
        <v>50</v>
      </c>
      <c r="I75" s="160">
        <f t="shared" si="0"/>
        <v>3.3023310023310022</v>
      </c>
      <c r="J75" s="161">
        <f t="shared" si="1"/>
        <v>0.50923533411033417</v>
      </c>
      <c r="K75" s="27" cm="1">
        <f t="array" ref="K75">SUM(COUNTIFS(AllData[Site Name], B75, AllData[Nitrate Pollution Category], {"High","Very high"}))/COUNTIFS(AllData[Site Name], B75, AllData[Nitrate (PPM)], "&lt;&gt;0")</f>
        <v>1</v>
      </c>
      <c r="L75" s="27" cm="1">
        <f t="array" ref="L75">SUM(COUNTIFS(AllData[Site Name], B75, AllData[Phosphate Pollution Category], {"High","Very high"}))/COUNTIFS(AllData[Site Name], B75, AllData[Phosphate (PPM)], "&lt;&gt;0")</f>
        <v>0.98</v>
      </c>
      <c r="M75" s="157">
        <f t="shared" si="2"/>
        <v>69</v>
      </c>
      <c r="N75" s="157">
        <f t="shared" si="3"/>
        <v>47</v>
      </c>
      <c r="O75" s="26">
        <f>COUNTIFS(AllData[Site Name], Tables!$B75, AllData[Season], "Summer", AllData[Year], "2023")</f>
        <v>1</v>
      </c>
      <c r="P75" s="160">
        <f>IFERROR(AVERAGEIFS(AllData[Nitrate (PPM)], AllData[Site Name], $B75, AllData[Season], "Summer", AllData[Year], "2023"), "")</f>
        <v>2</v>
      </c>
      <c r="Q75" s="27">
        <f t="shared" si="4"/>
        <v>-0.39436719136020326</v>
      </c>
      <c r="R75" s="161">
        <f>IFERROR(AVERAGEIFS(AllData[Phosphate (PPM)], AllData[Site Name], $B75, AllData[Season], "Summer", AllData[Year], "2023"),"")</f>
        <v>0.78</v>
      </c>
      <c r="S75" s="28">
        <f t="shared" si="5"/>
        <v>0.53170832374133781</v>
      </c>
      <c r="T75" s="26">
        <f>COUNTIFS(AllData[Site Name], Tables!$B75, AllData[Season], "Autumn", AllData[Year], "2023")</f>
        <v>13</v>
      </c>
      <c r="U75" s="160">
        <f>IFERROR(AVERAGEIFS(AllData[Nitrate (PPM)], AllData[Site Name], $B75, AllData[Season], "Autumn", AllData[Year], "2023"), "")</f>
        <v>5.9230769230769234</v>
      </c>
      <c r="V75" s="27">
        <f t="shared" si="6"/>
        <v>0.79360485635632116</v>
      </c>
      <c r="W75" s="161">
        <f>IFERROR(AVERAGEIFS(AllData[Phosphate (PPM)], AllData[Site Name], $B75, AllData[Season], "Autumn", AllData[Year], "2023"),"")</f>
        <v>0.48769230769230776</v>
      </c>
      <c r="X75" s="28">
        <f t="shared" si="7"/>
        <v>-4.2304657542398191E-2</v>
      </c>
      <c r="Y75" s="26">
        <f>COUNTIFS(AllData[Site Name], Tables!$B75, AllData[Season], "Winter", AllData[Year], "2023")</f>
        <v>11</v>
      </c>
      <c r="Z75" s="160">
        <f>IFERROR(AVERAGEIFS(AllData[Nitrate (PPM)], AllData[Site Name], $B75, AllData[Season], "Winter", AllData[Year], "2023"), "")</f>
        <v>4.0909090909090908</v>
      </c>
      <c r="AA75" s="27">
        <f t="shared" si="8"/>
        <v>0.23879438130867511</v>
      </c>
      <c r="AB75" s="161">
        <f>IFERROR(AVERAGEIFS(AllData[Phosphate (PPM)], AllData[Site Name], $B75, AllData[Season], "Winter", AllData[Year], "2023"),"")</f>
        <v>0.24363636363636365</v>
      </c>
      <c r="AC75" s="28">
        <f t="shared" si="9"/>
        <v>-0.52156429981039798</v>
      </c>
      <c r="AD75" s="26">
        <f>COUNTIFS(AllData[Site Name], Tables!$B75, AllData[Season], "Spring", AllData[Year], "2024")</f>
        <v>12</v>
      </c>
      <c r="AE75" s="160">
        <f>IFERROR(AVERAGEIFS(AllData[Nitrate (PPM)], AllData[Site Name], $B75, AllData[Season], "Spring", AllData[Year], "2024"), "")</f>
        <v>2</v>
      </c>
      <c r="AF75" s="27">
        <f t="shared" si="10"/>
        <v>-0.39436719136020326</v>
      </c>
      <c r="AG75" s="161">
        <f>IFERROR(AVERAGEIFS(AllData[Phosphate (PPM)], AllData[Site Name], $B75, AllData[Season], "Spring", AllData[Year], "2024"),"")</f>
        <v>0.29833333333333328</v>
      </c>
      <c r="AH75" s="28">
        <f t="shared" si="11"/>
        <v>-0.41415429497927481</v>
      </c>
      <c r="AI75" s="165">
        <f>COUNTIFS(AllData[Site Name], Tables!$B75, AllData[Season], "Summer", AllData[Year], "2024")</f>
        <v>8</v>
      </c>
      <c r="AJ75" s="160">
        <f>IFERROR(AVERAGEIFS(AllData[Nitrate (PPM)], AllData[Site Name], $B75, AllData[Season], "Summer", AllData[Year], "2024"), "")</f>
        <v>2</v>
      </c>
      <c r="AK75" s="27">
        <f t="shared" si="12"/>
        <v>-0.39436719136020326</v>
      </c>
      <c r="AL75" s="27">
        <f t="shared" si="13"/>
        <v>0</v>
      </c>
      <c r="AM75" s="161">
        <f>IFERROR(AVERAGEIFS(AllData[Phosphate (PPM)], AllData[Site Name], $B75, AllData[Season], "Summer", AllData[Year], "2024"),"")</f>
        <v>0.46375000000000005</v>
      </c>
      <c r="AN75" s="27">
        <f t="shared" si="14"/>
        <v>-8.932085239096739E-2</v>
      </c>
      <c r="AO75" s="28">
        <f t="shared" si="15"/>
        <v>-0.4054487179487179</v>
      </c>
      <c r="AP75" s="157">
        <f>COUNTIFS(AllData[Site Name], Tables!$B75, AllData[Season], "Autumn", AllData[Year], "2024")</f>
        <v>5</v>
      </c>
      <c r="AQ75" s="160">
        <f>IFERROR(AVERAGEIFS(AllData[Nitrate (PPM)], AllData[Site Name], $B75, AllData[Season], "Autumn", AllData[Year], "2024"), "")</f>
        <v>3.8</v>
      </c>
      <c r="AR75" s="27">
        <f t="shared" si="16"/>
        <v>0.15070233641561376</v>
      </c>
      <c r="AS75" s="27">
        <f t="shared" si="42"/>
        <v>-0.35844155844155851</v>
      </c>
      <c r="AT75" s="161">
        <f>IFERROR(AVERAGEIFS(AllData[Phosphate (PPM)], AllData[Site Name], B75, AllData[Season], "Autumn", AllData[Year], "2024"), "")</f>
        <v>0.78199999999999992</v>
      </c>
      <c r="AU75" s="27">
        <f t="shared" si="18"/>
        <v>0.53563578098169995</v>
      </c>
      <c r="AV75" s="28">
        <f t="shared" si="43"/>
        <v>0.60347003154574097</v>
      </c>
      <c r="AW75" s="165">
        <f>COUNTIFS(AllData[Site Name], Tables!$B75, AllData[Season], "Winter", AllData[Year], "2024")</f>
        <v>0</v>
      </c>
      <c r="AX75" s="160" t="str">
        <f>IFERROR(AVERAGEIFS(AllData[Nitrate (PPM)], AllData[Site Name], $B75, AllData[Season], "Winter", AllData[Year], "2024"), "")</f>
        <v/>
      </c>
      <c r="AY75" s="27" t="str">
        <f t="shared" si="20"/>
        <v/>
      </c>
      <c r="AZ75" s="27" t="str">
        <f t="shared" si="21"/>
        <v/>
      </c>
      <c r="BA75" s="161" t="str">
        <f>IFERROR(AVERAGEIFS(AllData[Phosphate (PPM)], AllData[Site Name], $B75, AllData[Season], "Winter", AllData[Year], "2024"), "")</f>
        <v/>
      </c>
      <c r="BB75" s="27" t="str">
        <f t="shared" si="22"/>
        <v/>
      </c>
      <c r="BC75" s="44" t="str">
        <f t="shared" si="23"/>
        <v/>
      </c>
      <c r="BD75" s="157">
        <f>COUNTIFS(AllData[Site Name], Tables!$B75, AllData[Season], "Spring", AllData[Year], "2025")</f>
        <v>0</v>
      </c>
      <c r="BE75" s="160" t="str">
        <f>IFERROR(AVERAGEIFS(AllData[Nitrate (PPM)], AllData[Site Name], $B75, AllData[Season], "Spring", AllData[Year], "2025"), "")</f>
        <v/>
      </c>
      <c r="BF75" s="27" t="str">
        <f t="shared" si="24"/>
        <v/>
      </c>
      <c r="BG75" s="27" t="str">
        <f t="shared" si="25"/>
        <v/>
      </c>
      <c r="BH75" s="161" t="str">
        <f>IFERROR(AVERAGEIFS(AllData[Phosphate (PPM)], AllData[Site Name], $B75, AllData[Season], "Spring", AllData[Year], "2025"), "")</f>
        <v/>
      </c>
      <c r="BI75" s="27" t="str">
        <f t="shared" si="26"/>
        <v/>
      </c>
      <c r="BJ75" s="27" t="str">
        <f t="shared" si="27"/>
        <v/>
      </c>
      <c r="BK75" s="165">
        <f>COUNTIFS(AllData[Site Name], Tables!$B75, AllData[Season], "Summer", AllData[Year], "2025")</f>
        <v>0</v>
      </c>
      <c r="BL75" s="160" t="str">
        <f>IFERROR(AVERAGEIFS(AllData[Nitrate (PPM)], AllData[Site Name], $B75, AllData[Season], "Summer", AllData[Year], "2025"), "")</f>
        <v/>
      </c>
      <c r="BM75" s="27" t="str">
        <f t="shared" si="28"/>
        <v/>
      </c>
      <c r="BN75" s="27" t="str">
        <f t="shared" si="29"/>
        <v/>
      </c>
      <c r="BO75" s="161" t="str">
        <f>IFERROR(AVERAGEIFS(AllData[Phosphate (PPM)], AllData[Site Name], $B75, AllData[Season], "Summer", AllData[Year], "2025"),"")</f>
        <v/>
      </c>
      <c r="BP75" s="27" t="str">
        <f t="shared" si="30"/>
        <v/>
      </c>
      <c r="BQ75" s="27" t="str">
        <f t="shared" si="31"/>
        <v/>
      </c>
      <c r="BR75" s="165">
        <f>COUNTIFS(AllData[Site Name], Tables!$B75, AllData[Season], "Autumn", AllData[Year], "2025")</f>
        <v>0</v>
      </c>
      <c r="BS75" s="160" t="str">
        <f>IFERROR(AVERAGEIFS(AllData[Nitrate (PPM)], AllData[Site Name], $B75, AllData[Season], "Autumn", AllData[Year], "2025"), "")</f>
        <v/>
      </c>
      <c r="BT75" s="27" t="str">
        <f t="shared" si="32"/>
        <v/>
      </c>
      <c r="BU75" s="27" t="str">
        <f t="shared" si="33"/>
        <v/>
      </c>
      <c r="BV75" s="161" t="str">
        <f>IFERROR(AVERAGEIFS(AllData[Phosphate (PPM)], AllData[Site Name], AD75, AllData[Season], "Autumn", AllData[Year], "2025"), "")</f>
        <v/>
      </c>
      <c r="BW75" s="27" t="str">
        <f t="shared" si="34"/>
        <v/>
      </c>
      <c r="BX75" s="28" t="str">
        <f t="shared" si="35"/>
        <v/>
      </c>
      <c r="BY75" s="165">
        <f>COUNTIFS(AllData[Site Name], Tables!$B75, AllData[Season], "Winter", AllData[Year], "2025")</f>
        <v>0</v>
      </c>
      <c r="BZ75" s="160" t="str">
        <f>IFERROR(AVERAGEIFS(AllData[Nitrate (PPM)], AllData[Site Name], $B75, AllData[Season], "Winter", AllData[Year], "2025"), "")</f>
        <v/>
      </c>
      <c r="CA75" s="27" t="str">
        <f t="shared" si="36"/>
        <v/>
      </c>
      <c r="CB75" s="27" t="str">
        <f t="shared" si="40"/>
        <v/>
      </c>
      <c r="CC75" s="161" t="str">
        <f>IFERROR(AVERAGEIFS(AllData[Phosphate (PPM)], AllData[Site Name], $B75, AllData[Season], "Winter", AllData[Year], "2025"), "")</f>
        <v/>
      </c>
      <c r="CD75" s="27" t="str">
        <f t="shared" si="38"/>
        <v/>
      </c>
      <c r="CE75" s="44" t="str">
        <f t="shared" si="41"/>
        <v/>
      </c>
    </row>
    <row r="76" spans="2:83" x14ac:dyDescent="0.35">
      <c r="B76" s="159" t="s">
        <v>2006</v>
      </c>
      <c r="C76" s="113">
        <f>IFERROR(AVERAGEIF(AllData[Site Name], Tables!B76, AllData[Latitude]), "Unknown")</f>
        <v>52.062214921052629</v>
      </c>
      <c r="D76" s="113">
        <f>IFERROR(AVERAGEIF(AllData[Site Name], Tables!B76, AllData[Longitude]), "Unknown")</f>
        <v>-1.6223788421052625</v>
      </c>
      <c r="E76" s="13" t="e" vm="1">
        <f>_xlfn.XLOOKUP(B76,LocationsKey[Site Name], LocationsKey[District])</f>
        <v>#VALUE!</v>
      </c>
      <c r="F76" s="13" t="e" vm="15">
        <f>_xlfn.XLOOKUP(B76,LocationsKey[Site Name], LocationsKey[Town])</f>
        <v>#VALUE!</v>
      </c>
      <c r="G76" s="25" t="str">
        <f>_xlfn.XLOOKUP(B76,LocationsKey[Site Name],LocationsKey[Waterway])</f>
        <v>Stour</v>
      </c>
      <c r="H76" s="157">
        <f>COUNTIF(AllData[Site Name], Tables!B76)</f>
        <v>44</v>
      </c>
      <c r="I76" s="160">
        <f t="shared" si="0"/>
        <v>4.1080885780885783</v>
      </c>
      <c r="J76" s="161">
        <f t="shared" si="1"/>
        <v>0.41685392385392389</v>
      </c>
      <c r="K76" s="27" cm="1">
        <f t="array" ref="K76">SUM(COUNTIFS(AllData[Site Name], B76, AllData[Nitrate Pollution Category], {"High","Very high"}))/COUNTIFS(AllData[Site Name], B76, AllData[Nitrate (PPM)], "&lt;&gt;0")</f>
        <v>0.90909090909090906</v>
      </c>
      <c r="L76" s="27" cm="1">
        <f t="array" ref="L76">SUM(COUNTIFS(AllData[Site Name], B76, AllData[Phosphate Pollution Category], {"High","Very high"}))/COUNTIFS(AllData[Site Name], B76, AllData[Phosphate (PPM)], "&lt;&gt;0")</f>
        <v>0.93023255813953487</v>
      </c>
      <c r="M76" s="157">
        <f t="shared" si="2"/>
        <v>64</v>
      </c>
      <c r="N76" s="157">
        <f t="shared" si="3"/>
        <v>63</v>
      </c>
      <c r="O76" s="26">
        <f>COUNTIFS(AllData[Site Name], Tables!$B76, AllData[Season], "Summer", AllData[Year], "2023")</f>
        <v>0</v>
      </c>
      <c r="P76" s="160" t="str">
        <f>IFERROR(AVERAGEIFS(AllData[Nitrate (PPM)], AllData[Site Name], $B76, AllData[Season], "Summer", AllData[Year], "2023"), "")</f>
        <v/>
      </c>
      <c r="Q76" s="27" t="str">
        <f t="shared" si="4"/>
        <v/>
      </c>
      <c r="R76" s="161" t="str">
        <f>IFERROR(AVERAGEIFS(AllData[Phosphate (PPM)], AllData[Site Name], $B76, AllData[Season], "Summer", AllData[Year], "2023"),"")</f>
        <v/>
      </c>
      <c r="S76" s="28" t="str">
        <f t="shared" si="5"/>
        <v/>
      </c>
      <c r="T76" s="26">
        <f>COUNTIFS(AllData[Site Name], Tables!$B76, AllData[Season], "Autumn", AllData[Year], "2023")</f>
        <v>6</v>
      </c>
      <c r="U76" s="160">
        <f>IFERROR(AVERAGEIFS(AllData[Nitrate (PPM)], AllData[Site Name], $B76, AllData[Season], "Autumn", AllData[Year], "2023"), "")</f>
        <v>8.1666666666666661</v>
      </c>
      <c r="V76" s="27">
        <f t="shared" si="6"/>
        <v>0.98794804723185237</v>
      </c>
      <c r="W76" s="161">
        <f>IFERROR(AVERAGEIFS(AllData[Phosphate (PPM)], AllData[Site Name], $B76, AllData[Season], "Autumn", AllData[Year], "2023"),"")</f>
        <v>0.435</v>
      </c>
      <c r="X76" s="28">
        <f t="shared" si="7"/>
        <v>4.3531019159687573E-2</v>
      </c>
      <c r="Y76" s="26">
        <f>COUNTIFS(AllData[Site Name], Tables!$B76, AllData[Season], "Winter", AllData[Year], "2023")</f>
        <v>5</v>
      </c>
      <c r="Z76" s="160">
        <f>IFERROR(AVERAGEIFS(AllData[Nitrate (PPM)], AllData[Site Name], $B76, AllData[Season], "Winter", AllData[Year], "2023"), "")</f>
        <v>3.6</v>
      </c>
      <c r="AA76" s="27">
        <f t="shared" si="8"/>
        <v>-0.12368004448555073</v>
      </c>
      <c r="AB76" s="161">
        <f>IFERROR(AVERAGEIFS(AllData[Phosphate (PPM)], AllData[Site Name], $B76, AllData[Season], "Winter", AllData[Year], "2023"),"")</f>
        <v>0.25</v>
      </c>
      <c r="AC76" s="28">
        <f t="shared" si="9"/>
        <v>-0.40026952921857034</v>
      </c>
      <c r="AD76" s="26">
        <f>COUNTIFS(AllData[Site Name], Tables!$B76, AllData[Season], "Spring", AllData[Year], "2024")</f>
        <v>0</v>
      </c>
      <c r="AE76" s="160" t="str">
        <f>IFERROR(AVERAGEIFS(AllData[Nitrate (PPM)], AllData[Site Name], $B76, AllData[Season], "Spring", AllData[Year], "2024"), "")</f>
        <v/>
      </c>
      <c r="AF76" s="27" t="str">
        <f t="shared" si="10"/>
        <v/>
      </c>
      <c r="AG76" s="161" t="str">
        <f>IFERROR(AVERAGEIFS(AllData[Phosphate (PPM)], AllData[Site Name], $B76, AllData[Season], "Spring", AllData[Year], "2024"),"")</f>
        <v/>
      </c>
      <c r="AH76" s="28" t="str">
        <f t="shared" si="11"/>
        <v/>
      </c>
      <c r="AI76" s="165">
        <f>COUNTIFS(AllData[Site Name], Tables!$B76, AllData[Season], "Summer", AllData[Year], "2024")</f>
        <v>0</v>
      </c>
      <c r="AJ76" s="160" t="str">
        <f>IFERROR(AVERAGEIFS(AllData[Nitrate (PPM)], AllData[Site Name], $B76, AllData[Season], "Summer", AllData[Year], "2024"), "")</f>
        <v/>
      </c>
      <c r="AK76" s="27" t="str">
        <f t="shared" si="12"/>
        <v/>
      </c>
      <c r="AL76" s="27" t="str">
        <f t="shared" si="13"/>
        <v/>
      </c>
      <c r="AM76" s="161" t="str">
        <f>IFERROR(AVERAGEIFS(AllData[Phosphate (PPM)], AllData[Site Name], $B76, AllData[Season], "Summer", AllData[Year], "2024"),"")</f>
        <v/>
      </c>
      <c r="AN76" s="27" t="str">
        <f t="shared" si="14"/>
        <v/>
      </c>
      <c r="AO76" s="28" t="str">
        <f t="shared" si="15"/>
        <v/>
      </c>
      <c r="AP76" s="157">
        <f>COUNTIFS(AllData[Site Name], Tables!$B76, AllData[Season], "Autumn", AllData[Year], "2024")</f>
        <v>13</v>
      </c>
      <c r="AQ76" s="160">
        <f>IFERROR(AVERAGEIFS(AllData[Nitrate (PPM)], AllData[Site Name], $B76, AllData[Season], "Autumn", AllData[Year], "2024"), "")</f>
        <v>3.569230769230769</v>
      </c>
      <c r="AR76" s="27">
        <f t="shared" si="16"/>
        <v>-0.13116995863524697</v>
      </c>
      <c r="AS76" s="27">
        <f t="shared" si="42"/>
        <v>-0.56295133437990585</v>
      </c>
      <c r="AT76" s="161">
        <f>IFERROR(AVERAGEIFS(AllData[Phosphate (PPM)], AllData[Site Name], B76, AllData[Season], "Autumn", AllData[Year], "2024"), "")</f>
        <v>0.26846153846153842</v>
      </c>
      <c r="AU76" s="27">
        <f t="shared" si="18"/>
        <v>-0.35598174060701876</v>
      </c>
      <c r="AV76" s="28">
        <f t="shared" si="43"/>
        <v>-0.38284703801945191</v>
      </c>
      <c r="AW76" s="165">
        <f>COUNTIFS(AllData[Site Name], Tables!$B76, AllData[Season], "Winter", AllData[Year], "2024")</f>
        <v>11</v>
      </c>
      <c r="AX76" s="160">
        <f>IFERROR(AVERAGEIFS(AllData[Nitrate (PPM)], AllData[Site Name], $B76, AllData[Season], "Winter", AllData[Year], "2024"), "")</f>
        <v>2.9545454545454546</v>
      </c>
      <c r="AY76" s="27">
        <f t="shared" si="20"/>
        <v>-0.28079801630758583</v>
      </c>
      <c r="AZ76" s="27">
        <f t="shared" si="21"/>
        <v>-0.17929292929292931</v>
      </c>
      <c r="BA76" s="161">
        <f>IFERROR(AVERAGEIFS(AllData[Phosphate (PPM)], AllData[Site Name], $B76, AllData[Season], "Winter", AllData[Year], "2024"), "")</f>
        <v>0.94636363636363652</v>
      </c>
      <c r="BB76" s="27">
        <f t="shared" si="22"/>
        <v>1.2702524366671575</v>
      </c>
      <c r="BC76" s="44">
        <f t="shared" si="23"/>
        <v>2.7854545454545461</v>
      </c>
      <c r="BD76" s="157">
        <f>COUNTIFS(AllData[Site Name], Tables!$B76, AllData[Season], "Spring", AllData[Year], "2025")</f>
        <v>9</v>
      </c>
      <c r="BE76" s="160">
        <f>IFERROR(AVERAGEIFS(AllData[Nitrate (PPM)], AllData[Site Name], $B76, AllData[Season], "Spring", AllData[Year], "2025"), "")</f>
        <v>2.25</v>
      </c>
      <c r="BF76" s="27">
        <f t="shared" si="24"/>
        <v>-0.45230002780346923</v>
      </c>
      <c r="BG76" s="27" t="str">
        <f t="shared" si="25"/>
        <v/>
      </c>
      <c r="BH76" s="161">
        <f>IFERROR(AVERAGEIFS(AllData[Phosphate (PPM)], AllData[Site Name], $B76, AllData[Season], "Spring", AllData[Year], "2025"), "")</f>
        <v>0.18444444444444444</v>
      </c>
      <c r="BI76" s="27">
        <f t="shared" si="26"/>
        <v>-0.55753218600125631</v>
      </c>
      <c r="BJ76" s="27" t="str">
        <f t="shared" si="27"/>
        <v/>
      </c>
      <c r="BK76" s="165">
        <f>COUNTIFS(AllData[Site Name], Tables!$B76, AllData[Season], "Summer", AllData[Year], "2025")</f>
        <v>0</v>
      </c>
      <c r="BL76" s="160" t="str">
        <f>IFERROR(AVERAGEIFS(AllData[Nitrate (PPM)], AllData[Site Name], $B76, AllData[Season], "Summer", AllData[Year], "2025"), "")</f>
        <v/>
      </c>
      <c r="BM76" s="27" t="str">
        <f t="shared" si="28"/>
        <v/>
      </c>
      <c r="BN76" s="27" t="str">
        <f t="shared" si="29"/>
        <v/>
      </c>
      <c r="BO76" s="161" t="str">
        <f>IFERROR(AVERAGEIFS(AllData[Phosphate (PPM)], AllData[Site Name], $B76, AllData[Season], "Summer", AllData[Year], "2025"),"")</f>
        <v/>
      </c>
      <c r="BP76" s="27" t="str">
        <f t="shared" si="30"/>
        <v/>
      </c>
      <c r="BQ76" s="27" t="str">
        <f t="shared" si="31"/>
        <v/>
      </c>
      <c r="BR76" s="165">
        <f>COUNTIFS(AllData[Site Name], Tables!$B76, AllData[Season], "Autumn", AllData[Year], "2025")</f>
        <v>0</v>
      </c>
      <c r="BS76" s="160" t="str">
        <f>IFERROR(AVERAGEIFS(AllData[Nitrate (PPM)], AllData[Site Name], $B76, AllData[Season], "Autumn", AllData[Year], "2025"), "")</f>
        <v/>
      </c>
      <c r="BT76" s="27" t="str">
        <f t="shared" si="32"/>
        <v/>
      </c>
      <c r="BU76" s="27" t="str">
        <f t="shared" si="33"/>
        <v/>
      </c>
      <c r="BV76" s="161" t="str">
        <f>IFERROR(AVERAGEIFS(AllData[Phosphate (PPM)], AllData[Site Name], AD76, AllData[Season], "Autumn", AllData[Year], "2025"), "")</f>
        <v/>
      </c>
      <c r="BW76" s="27" t="str">
        <f t="shared" si="34"/>
        <v/>
      </c>
      <c r="BX76" s="28" t="str">
        <f t="shared" si="35"/>
        <v/>
      </c>
      <c r="BY76" s="165">
        <f>COUNTIFS(AllData[Site Name], Tables!$B76, AllData[Season], "Winter", AllData[Year], "2025")</f>
        <v>0</v>
      </c>
      <c r="BZ76" s="160" t="str">
        <f>IFERROR(AVERAGEIFS(AllData[Nitrate (PPM)], AllData[Site Name], $B76, AllData[Season], "Winter", AllData[Year], "2025"), "")</f>
        <v/>
      </c>
      <c r="CA76" s="27" t="str">
        <f t="shared" si="36"/>
        <v/>
      </c>
      <c r="CB76" s="27" t="str">
        <f t="shared" si="40"/>
        <v/>
      </c>
      <c r="CC76" s="161" t="str">
        <f>IFERROR(AVERAGEIFS(AllData[Phosphate (PPM)], AllData[Site Name], $B76, AllData[Season], "Winter", AllData[Year], "2025"), "")</f>
        <v/>
      </c>
      <c r="CD76" s="27" t="str">
        <f t="shared" si="38"/>
        <v/>
      </c>
      <c r="CE76" s="44" t="str">
        <f t="shared" si="41"/>
        <v/>
      </c>
    </row>
    <row r="77" spans="2:83" x14ac:dyDescent="0.35">
      <c r="B77" s="159" t="s">
        <v>3569</v>
      </c>
      <c r="C77" s="113">
        <f>IFERROR(AVERAGEIF(AllData[Site Name], Tables!B77, AllData[Latitude]), "Unknown")</f>
        <v>52.045653647058828</v>
      </c>
      <c r="D77" s="113">
        <f>IFERROR(AVERAGEIF(AllData[Site Name], Tables!B77, AllData[Longitude]), "Unknown")</f>
        <v>-1.6719221470588239</v>
      </c>
      <c r="E77" s="13" t="e" vm="1">
        <f>_xlfn.XLOOKUP(B77,LocationsKey[Site Name], LocationsKey[District])</f>
        <v>#VALUE!</v>
      </c>
      <c r="F77" s="13" t="e" vm="30">
        <f>_xlfn.XLOOKUP(B77,LocationsKey[Site Name], LocationsKey[Town])</f>
        <v>#VALUE!</v>
      </c>
      <c r="G77" s="25" t="str">
        <f>_xlfn.XLOOKUP(B77,LocationsKey[Site Name],LocationsKey[Waterway])</f>
        <v>Stour</v>
      </c>
      <c r="H77" s="157">
        <f>COUNTIF(AllData[Site Name], Tables!B77)</f>
        <v>34</v>
      </c>
      <c r="I77" s="160">
        <f t="shared" ref="I77:I98" si="44">AVERAGE(P77,U77,Z77,AE77,AJ77,AQ77,AX77,BE77,BL77,BS77,BZ77)</f>
        <v>3.0833333333333335</v>
      </c>
      <c r="J77" s="161">
        <f t="shared" ref="J77:J98" si="45">AVERAGE(R77,W77,AB77,AG77, AM77,AT77,BA77,BH77,BO77,BV77,CC77)</f>
        <v>1.8129545454545455</v>
      </c>
      <c r="K77" s="27" cm="1">
        <f t="array" ref="K77">SUM(COUNTIFS(AllData[Site Name], B77, AllData[Nitrate Pollution Category], {"High","Very high"}))/COUNTIFS(AllData[Site Name], B77, AllData[Nitrate (PPM)], "&lt;&gt;0")</f>
        <v>0.8529411764705882</v>
      </c>
      <c r="L77" s="27" cm="1">
        <f t="array" ref="L77">SUM(COUNTIFS(AllData[Site Name], B77, AllData[Phosphate Pollution Category], {"High","Very high"}))/COUNTIFS(AllData[Site Name], B77, AllData[Phosphate (PPM)], "&lt;&gt;0")</f>
        <v>1</v>
      </c>
      <c r="M77" s="157">
        <f t="shared" ref="M77:M98" si="46">RANK(I77,$I$12:$I$98)</f>
        <v>72</v>
      </c>
      <c r="N77" s="157">
        <f t="shared" ref="N77:N98" si="47">RANK(J77,$J$12:$J$98)</f>
        <v>8</v>
      </c>
      <c r="O77" s="26">
        <f>COUNTIFS(AllData[Site Name], Tables!$B77, AllData[Season], "Summer", AllData[Year], "2023")</f>
        <v>0</v>
      </c>
      <c r="P77" s="160" t="str">
        <f>IFERROR(AVERAGEIFS(AllData[Nitrate (PPM)], AllData[Site Name], $B77, AllData[Season], "Summer", AllData[Year], "2023"), "")</f>
        <v/>
      </c>
      <c r="Q77" s="27" t="str">
        <f t="shared" ref="Q77:Q100" si="48">IFERROR((P77-$I77)/$I77, "")</f>
        <v/>
      </c>
      <c r="R77" s="161" t="str">
        <f>IFERROR(AVERAGEIFS(AllData[Phosphate (PPM)], AllData[Site Name], $B77, AllData[Season], "Summer", AllData[Year], "2023"),"")</f>
        <v/>
      </c>
      <c r="S77" s="28" t="str">
        <f t="shared" ref="S77:S100" si="49">IFERROR((R77-$J77)/$J77, "")</f>
        <v/>
      </c>
      <c r="T77" s="26">
        <f>COUNTIFS(AllData[Site Name], Tables!$B77, AllData[Season], "Autumn", AllData[Year], "2023")</f>
        <v>3</v>
      </c>
      <c r="U77" s="160">
        <f>IFERROR(AVERAGEIFS(AllData[Nitrate (PPM)], AllData[Site Name], $B77, AllData[Season], "Autumn", AllData[Year], "2023"), "")</f>
        <v>4.166666666666667</v>
      </c>
      <c r="V77" s="27">
        <f t="shared" ref="V77:V100" si="50">IFERROR((U77-$I77)/$I77, "")</f>
        <v>0.35135135135135137</v>
      </c>
      <c r="W77" s="161">
        <f>IFERROR(AVERAGEIFS(AllData[Phosphate (PPM)], AllData[Site Name], $B77, AllData[Season], "Autumn", AllData[Year], "2023"),"")</f>
        <v>1.42</v>
      </c>
      <c r="X77" s="28">
        <f t="shared" ref="X77:X100" si="51">IFERROR((W77-$J77)/$J77, "")</f>
        <v>-0.21674815093393512</v>
      </c>
      <c r="Y77" s="26">
        <f>COUNTIFS(AllData[Site Name], Tables!$B77, AllData[Season], "Winter", AllData[Year], "2023")</f>
        <v>11</v>
      </c>
      <c r="Z77" s="160">
        <f>IFERROR(AVERAGEIFS(AllData[Nitrate (PPM)], AllData[Site Name], $B77, AllData[Season], "Winter", AllData[Year], "2023"), "")</f>
        <v>3</v>
      </c>
      <c r="AA77" s="27">
        <f t="shared" ref="AA77:AA100" si="52">IFERROR((Z77-$I77)/$I77, "")</f>
        <v>-2.7027027027027074E-2</v>
      </c>
      <c r="AB77" s="161">
        <f>IFERROR(AVERAGEIFS(AllData[Phosphate (PPM)], AllData[Site Name], $B77, AllData[Season], "Winter", AllData[Year], "2023"),"")</f>
        <v>1.4618181818181819</v>
      </c>
      <c r="AC77" s="28">
        <f t="shared" ref="AC77:AC100" si="53">IFERROR((AB77-$J77)/$J77, "")</f>
        <v>-0.19368183527641966</v>
      </c>
      <c r="AD77" s="26">
        <f>COUNTIFS(AllData[Site Name], Tables!$B77, AllData[Season], "Spring", AllData[Year], "2024")</f>
        <v>12</v>
      </c>
      <c r="AE77" s="160">
        <f>IFERROR(AVERAGEIFS(AllData[Nitrate (PPM)], AllData[Site Name], $B77, AllData[Season], "Spring", AllData[Year], "2024"), "")</f>
        <v>2.2916666666666665</v>
      </c>
      <c r="AF77" s="27">
        <f t="shared" ref="AF77:AF100" si="54">IFERROR((AE77-$I77)/$I77, "")</f>
        <v>-0.25675675675675685</v>
      </c>
      <c r="AG77" s="161">
        <f>IFERROR(AVERAGEIFS(AllData[Phosphate (PPM)], AllData[Site Name], $B77, AllData[Season], "Spring", AllData[Year], "2024"),"")</f>
        <v>1.8699999999999999</v>
      </c>
      <c r="AH77" s="28">
        <f t="shared" ref="AH77:AH100" si="55">IFERROR((AG77-$J77)/$J77, "")</f>
        <v>3.1465463206719238E-2</v>
      </c>
      <c r="AI77" s="165">
        <f>COUNTIFS(AllData[Site Name], Tables!$B77, AllData[Season], "Summer", AllData[Year], "2024")</f>
        <v>8</v>
      </c>
      <c r="AJ77" s="160">
        <f>IFERROR(AVERAGEIFS(AllData[Nitrate (PPM)], AllData[Site Name], $B77, AllData[Season], "Summer", AllData[Year], "2024"), "")</f>
        <v>2.875</v>
      </c>
      <c r="AK77" s="27">
        <f t="shared" ref="AK77:AK100" si="56">IFERROR((AJ77-$I77)/$I77, "")</f>
        <v>-6.7567567567567613E-2</v>
      </c>
      <c r="AL77" s="27" t="str">
        <f t="shared" ref="AL77:AL100" si="57">IFERROR((AJ77-P77)/P77, "")</f>
        <v/>
      </c>
      <c r="AM77" s="161">
        <f>IFERROR(AVERAGEIFS(AllData[Phosphate (PPM)], AllData[Site Name], $B77, AllData[Season], "Summer", AllData[Year], "2024"),"")</f>
        <v>2.5</v>
      </c>
      <c r="AN77" s="27">
        <f t="shared" ref="AN77:AN100" si="58">IFERROR((AM77-$J77)/$J77, "")</f>
        <v>0.37896452300363542</v>
      </c>
      <c r="AO77" s="28" t="str">
        <f t="shared" ref="AO77:AO100" si="59">IFERROR((AM77-R77)/R77,"")</f>
        <v/>
      </c>
      <c r="AP77" s="157">
        <f>COUNTIFS(AllData[Site Name], Tables!$B77, AllData[Season], "Autumn", AllData[Year], "2024")</f>
        <v>0</v>
      </c>
      <c r="AQ77" s="160" t="str">
        <f>IFERROR(AVERAGEIFS(AllData[Nitrate (PPM)], AllData[Site Name], $B77, AllData[Season], "Autumn", AllData[Year], "2024"), "")</f>
        <v/>
      </c>
      <c r="AR77" s="27" t="str">
        <f t="shared" ref="AR77:AR100" si="60">IFERROR((AQ77-$I77)/$I77, "")</f>
        <v/>
      </c>
      <c r="AS77" s="27" t="str">
        <f t="shared" si="42"/>
        <v/>
      </c>
      <c r="AT77" s="161" t="str">
        <f>IFERROR(AVERAGEIFS(AllData[Phosphate (PPM)], AllData[Site Name], B77, AllData[Season], "Autumn", AllData[Year], "2024"), "")</f>
        <v/>
      </c>
      <c r="AU77" s="27" t="str">
        <f t="shared" ref="AU77:AU100" si="61">IFERROR((AT77-$J77)/$J77, "")</f>
        <v/>
      </c>
      <c r="AV77" s="28" t="str">
        <f t="shared" si="43"/>
        <v/>
      </c>
      <c r="AW77" s="165">
        <f>COUNTIFS(AllData[Site Name], Tables!$B77, AllData[Season], "Winter", AllData[Year], "2024")</f>
        <v>0</v>
      </c>
      <c r="AX77" s="160" t="str">
        <f>IFERROR(AVERAGEIFS(AllData[Nitrate (PPM)], AllData[Site Name], $B77, AllData[Season], "Winter", AllData[Year], "2024"), "")</f>
        <v/>
      </c>
      <c r="AY77" s="27" t="str">
        <f t="shared" ref="AY77:AY100" si="62">IFERROR((AX77-$I77)/$I77, "")</f>
        <v/>
      </c>
      <c r="AZ77" s="27" t="str">
        <f t="shared" ref="AZ77:AZ100" si="63">IFERROR((AX77-Z77)/Z77, "")</f>
        <v/>
      </c>
      <c r="BA77" s="161" t="str">
        <f>IFERROR(AVERAGEIFS(AllData[Phosphate (PPM)], AllData[Site Name], $B77, AllData[Season], "Winter", AllData[Year], "2024"), "")</f>
        <v/>
      </c>
      <c r="BB77" s="27" t="str">
        <f t="shared" ref="BB77:BB100" si="64">IFERROR((BA77-$J77)/$J77, "")</f>
        <v/>
      </c>
      <c r="BC77" s="44" t="str">
        <f t="shared" ref="BC77:BC100" si="65">IFERROR((BA77-AB77)/AB77,"")</f>
        <v/>
      </c>
      <c r="BD77" s="157">
        <f>COUNTIFS(AllData[Site Name], Tables!$B77, AllData[Season], "Spring", AllData[Year], "2025")</f>
        <v>0</v>
      </c>
      <c r="BE77" s="160" t="str">
        <f>IFERROR(AVERAGEIFS(AllData[Nitrate (PPM)], AllData[Site Name], $B77, AllData[Season], "Spring", AllData[Year], "2025"), "")</f>
        <v/>
      </c>
      <c r="BF77" s="27" t="str">
        <f t="shared" ref="BF77:BF100" si="66">IFERROR((BE77-$I77)/$I77, "")</f>
        <v/>
      </c>
      <c r="BG77" s="27" t="str">
        <f t="shared" ref="BG77:BG100" si="67">IFERROR((BE77-AE77)/AE77, "")</f>
        <v/>
      </c>
      <c r="BH77" s="161" t="str">
        <f>IFERROR(AVERAGEIFS(AllData[Phosphate (PPM)], AllData[Site Name], $B77, AllData[Season], "Spring", AllData[Year], "2025"), "")</f>
        <v/>
      </c>
      <c r="BI77" s="27" t="str">
        <f t="shared" ref="BI77:BI100" si="68">IFERROR((BH77-$J77)/$J77, "")</f>
        <v/>
      </c>
      <c r="BJ77" s="27" t="str">
        <f t="shared" ref="BJ77:BJ100" si="69">IFERROR((BH77-AG77)/AG77,"")</f>
        <v/>
      </c>
      <c r="BK77" s="165">
        <f>COUNTIFS(AllData[Site Name], Tables!$B77, AllData[Season], "Summer", AllData[Year], "2025")</f>
        <v>0</v>
      </c>
      <c r="BL77" s="160" t="str">
        <f>IFERROR(AVERAGEIFS(AllData[Nitrate (PPM)], AllData[Site Name], $B77, AllData[Season], "Summer", AllData[Year], "2025"), "")</f>
        <v/>
      </c>
      <c r="BM77" s="27" t="str">
        <f t="shared" ref="BM77:BM100" si="70">IFERROR((BL77-$I77)/$I77, "")</f>
        <v/>
      </c>
      <c r="BN77" s="27" t="str">
        <f t="shared" ref="BN77:BN100" si="71">IFERROR((BL77-AJ77)/AJ77, "")</f>
        <v/>
      </c>
      <c r="BO77" s="161" t="str">
        <f>IFERROR(AVERAGEIFS(AllData[Phosphate (PPM)], AllData[Site Name], $B77, AllData[Season], "Summer", AllData[Year], "2025"),"")</f>
        <v/>
      </c>
      <c r="BP77" s="27" t="str">
        <f t="shared" ref="BP77:BP100" si="72">IFERROR((BO77-$J77)/$J77, "")</f>
        <v/>
      </c>
      <c r="BQ77" s="27" t="str">
        <f t="shared" ref="BQ77:BQ100" si="73">IFERROR((BO77-AM77)/AM77,"")</f>
        <v/>
      </c>
      <c r="BR77" s="165">
        <f>COUNTIFS(AllData[Site Name], Tables!$B77, AllData[Season], "Autumn", AllData[Year], "2025")</f>
        <v>0</v>
      </c>
      <c r="BS77" s="160" t="str">
        <f>IFERROR(AVERAGEIFS(AllData[Nitrate (PPM)], AllData[Site Name], $B77, AllData[Season], "Autumn", AllData[Year], "2025"), "")</f>
        <v/>
      </c>
      <c r="BT77" s="27" t="str">
        <f t="shared" ref="BT77:BT100" si="74">IFERROR((BS77-$I77)/$I77, "")</f>
        <v/>
      </c>
      <c r="BU77" s="27" t="str">
        <f t="shared" ref="BU77:BU100" si="75">IFERROR((BS77-AQ77)/AQ77, "")</f>
        <v/>
      </c>
      <c r="BV77" s="161" t="str">
        <f>IFERROR(AVERAGEIFS(AllData[Phosphate (PPM)], AllData[Site Name], AD77, AllData[Season], "Autumn", AllData[Year], "2025"), "")</f>
        <v/>
      </c>
      <c r="BW77" s="27" t="str">
        <f t="shared" ref="BW77:BW100" si="76">IFERROR((BV77-$J77)/$J77, "")</f>
        <v/>
      </c>
      <c r="BX77" s="28" t="str">
        <f t="shared" ref="BX77:BX100" si="77">IFERROR((BV77-AT77)/AT77,"")</f>
        <v/>
      </c>
      <c r="BY77" s="165">
        <f>COUNTIFS(AllData[Site Name], Tables!$B77, AllData[Season], "Winter", AllData[Year], "2025")</f>
        <v>0</v>
      </c>
      <c r="BZ77" s="160" t="str">
        <f>IFERROR(AVERAGEIFS(AllData[Nitrate (PPM)], AllData[Site Name], $B77, AllData[Season], "Winter", AllData[Year], "2025"), "")</f>
        <v/>
      </c>
      <c r="CA77" s="27" t="str">
        <f t="shared" ref="CA77" si="78">IFERROR((BZ77-$I77)/$I77, "")</f>
        <v/>
      </c>
      <c r="CB77" s="27" t="str">
        <f t="shared" si="40"/>
        <v/>
      </c>
      <c r="CC77" s="161" t="str">
        <f>IFERROR(AVERAGEIFS(AllData[Phosphate (PPM)], AllData[Site Name], $B77, AllData[Season], "Winter", AllData[Year], "2025"), "")</f>
        <v/>
      </c>
      <c r="CD77" s="27" t="str">
        <f t="shared" ref="CD77" si="79">IFERROR((CC77-$J77)/$J77, "")</f>
        <v/>
      </c>
      <c r="CE77" s="44" t="str">
        <f t="shared" si="41"/>
        <v/>
      </c>
    </row>
    <row r="78" spans="2:83" x14ac:dyDescent="0.35">
      <c r="B78" s="159" t="s">
        <v>548</v>
      </c>
      <c r="C78" s="113">
        <f>IFERROR(AVERAGEIF(AllData[Site Name], Tables!B78, AllData[Latitude]), "Unknown")</f>
        <v>52.046517558823531</v>
      </c>
      <c r="D78" s="113">
        <f>IFERROR(AVERAGEIF(AllData[Site Name], Tables!B78, AllData[Longitude]), "Unknown")</f>
        <v>-1.6734143529411762</v>
      </c>
      <c r="E78" s="13" t="e" vm="1">
        <f>_xlfn.XLOOKUP(B78,LocationsKey[Site Name], LocationsKey[District])</f>
        <v>#VALUE!</v>
      </c>
      <c r="F78" s="13" t="e" vm="30">
        <f>_xlfn.XLOOKUP(B78,LocationsKey[Site Name], LocationsKey[Town])</f>
        <v>#VALUE!</v>
      </c>
      <c r="G78" s="25" t="str">
        <f>_xlfn.XLOOKUP(B78,LocationsKey[Site Name],LocationsKey[Waterway])</f>
        <v>Stour</v>
      </c>
      <c r="H78" s="157">
        <f>COUNTIF(AllData[Site Name], Tables!B78)</f>
        <v>34</v>
      </c>
      <c r="I78" s="160">
        <f t="shared" si="44"/>
        <v>1.8508522727272727</v>
      </c>
      <c r="J78" s="161">
        <f t="shared" si="45"/>
        <v>1.3680681818181819</v>
      </c>
      <c r="K78" s="27" cm="1">
        <f t="array" ref="K78">SUM(COUNTIFS(AllData[Site Name], B78, AllData[Nitrate Pollution Category], {"High","Very high"}))/COUNTIFS(AllData[Site Name], B78, AllData[Nitrate (PPM)], "&lt;&gt;0")</f>
        <v>0.69696969696969702</v>
      </c>
      <c r="L78" s="27" cm="1">
        <f t="array" ref="L78">SUM(COUNTIFS(AllData[Site Name], B78, AllData[Phosphate Pollution Category], {"High","Very high"}))/COUNTIFS(AllData[Site Name], B78, AllData[Phosphate (PPM)], "&lt;&gt;0")</f>
        <v>1</v>
      </c>
      <c r="M78" s="157">
        <f t="shared" si="46"/>
        <v>81</v>
      </c>
      <c r="N78" s="157">
        <f t="shared" si="47"/>
        <v>11</v>
      </c>
      <c r="O78" s="26">
        <f>COUNTIFS(AllData[Site Name], Tables!$B78, AllData[Season], "Summer", AllData[Year], "2023")</f>
        <v>0</v>
      </c>
      <c r="P78" s="160" t="str">
        <f>IFERROR(AVERAGEIFS(AllData[Nitrate (PPM)], AllData[Site Name], $B78, AllData[Season], "Summer", AllData[Year], "2023"), "")</f>
        <v/>
      </c>
      <c r="Q78" s="27" t="str">
        <f t="shared" si="48"/>
        <v/>
      </c>
      <c r="R78" s="161" t="str">
        <f>IFERROR(AVERAGEIFS(AllData[Phosphate (PPM)], AllData[Site Name], $B78, AllData[Season], "Summer", AllData[Year], "2023"),"")</f>
        <v/>
      </c>
      <c r="S78" s="28" t="str">
        <f t="shared" si="49"/>
        <v/>
      </c>
      <c r="T78" s="26">
        <f>COUNTIFS(AllData[Site Name], Tables!$B78, AllData[Season], "Autumn", AllData[Year], "2023")</f>
        <v>3</v>
      </c>
      <c r="U78" s="160">
        <f>IFERROR(AVERAGEIFS(AllData[Nitrate (PPM)], AllData[Site Name], $B78, AllData[Season], "Autumn", AllData[Year], "2023"), "")</f>
        <v>3</v>
      </c>
      <c r="V78" s="27">
        <f t="shared" si="50"/>
        <v>0.62087490406753643</v>
      </c>
      <c r="W78" s="161">
        <f>IFERROR(AVERAGEIFS(AllData[Phosphate (PPM)], AllData[Site Name], $B78, AllData[Season], "Autumn", AllData[Year], "2023"),"")</f>
        <v>0.60333333333333339</v>
      </c>
      <c r="X78" s="28">
        <f t="shared" si="51"/>
        <v>-0.5589888418196417</v>
      </c>
      <c r="Y78" s="26">
        <f>COUNTIFS(AllData[Site Name], Tables!$B78, AllData[Season], "Winter", AllData[Year], "2023")</f>
        <v>11</v>
      </c>
      <c r="Z78" s="160">
        <f>IFERROR(AVERAGEIFS(AllData[Nitrate (PPM)], AllData[Site Name], $B78, AllData[Season], "Winter", AllData[Year], "2023"), "")</f>
        <v>2.0909090909090908</v>
      </c>
      <c r="AA78" s="27">
        <f t="shared" si="52"/>
        <v>0.12970069071373749</v>
      </c>
      <c r="AB78" s="161">
        <f>IFERROR(AVERAGEIFS(AllData[Phosphate (PPM)], AllData[Site Name], $B78, AllData[Season], "Winter", AllData[Year], "2023"),"")</f>
        <v>0.91727272727272724</v>
      </c>
      <c r="AC78" s="28">
        <f t="shared" si="53"/>
        <v>-0.32951241797491493</v>
      </c>
      <c r="AD78" s="26">
        <f>COUNTIFS(AllData[Site Name], Tables!$B78, AllData[Season], "Spring", AllData[Year], "2024")</f>
        <v>12</v>
      </c>
      <c r="AE78" s="160">
        <f>IFERROR(AVERAGEIFS(AllData[Nitrate (PPM)], AllData[Site Name], $B78, AllData[Season], "Spring", AllData[Year], "2024"), "")</f>
        <v>1.5</v>
      </c>
      <c r="AF78" s="27">
        <f t="shared" si="54"/>
        <v>-0.18956254796623176</v>
      </c>
      <c r="AG78" s="161">
        <f>IFERROR(AVERAGEIFS(AllData[Phosphate (PPM)], AllData[Site Name], $B78, AllData[Season], "Spring", AllData[Year], "2024"),"")</f>
        <v>1.4516666666666669</v>
      </c>
      <c r="AH78" s="28">
        <f t="shared" si="55"/>
        <v>6.1106957942243356E-2</v>
      </c>
      <c r="AI78" s="165">
        <f>COUNTIFS(AllData[Site Name], Tables!$B78, AllData[Season], "Summer", AllData[Year], "2024")</f>
        <v>8</v>
      </c>
      <c r="AJ78" s="160">
        <f>IFERROR(AVERAGEIFS(AllData[Nitrate (PPM)], AllData[Site Name], $B78, AllData[Season], "Summer", AllData[Year], "2024"), "")</f>
        <v>0.8125</v>
      </c>
      <c r="AK78" s="27">
        <f t="shared" si="56"/>
        <v>-0.56101304681504216</v>
      </c>
      <c r="AL78" s="27" t="str">
        <f t="shared" si="57"/>
        <v/>
      </c>
      <c r="AM78" s="161">
        <f>IFERROR(AVERAGEIFS(AllData[Phosphate (PPM)], AllData[Site Name], $B78, AllData[Season], "Summer", AllData[Year], "2024"),"")</f>
        <v>2.5</v>
      </c>
      <c r="AN78" s="27">
        <f t="shared" si="58"/>
        <v>0.82739430185231322</v>
      </c>
      <c r="AO78" s="28" t="str">
        <f t="shared" si="59"/>
        <v/>
      </c>
      <c r="AP78" s="157">
        <f>COUNTIFS(AllData[Site Name], Tables!$B78, AllData[Season], "Autumn", AllData[Year], "2024")</f>
        <v>0</v>
      </c>
      <c r="AQ78" s="160" t="str">
        <f>IFERROR(AVERAGEIFS(AllData[Nitrate (PPM)], AllData[Site Name], $B78, AllData[Season], "Autumn", AllData[Year], "2024"), "")</f>
        <v/>
      </c>
      <c r="AR78" s="27" t="str">
        <f t="shared" si="60"/>
        <v/>
      </c>
      <c r="AS78" s="27" t="str">
        <f t="shared" si="42"/>
        <v/>
      </c>
      <c r="AT78" s="161" t="str">
        <f>IFERROR(AVERAGEIFS(AllData[Phosphate (PPM)], AllData[Site Name], B78, AllData[Season], "Autumn", AllData[Year], "2024"), "")</f>
        <v/>
      </c>
      <c r="AU78" s="27" t="str">
        <f t="shared" si="61"/>
        <v/>
      </c>
      <c r="AV78" s="28" t="str">
        <f t="shared" si="43"/>
        <v/>
      </c>
      <c r="AW78" s="165">
        <f>COUNTIFS(AllData[Site Name], Tables!$B78, AllData[Season], "Winter", AllData[Year], "2024")</f>
        <v>0</v>
      </c>
      <c r="AX78" s="160" t="str">
        <f>IFERROR(AVERAGEIFS(AllData[Nitrate (PPM)], AllData[Site Name], $B78, AllData[Season], "Winter", AllData[Year], "2024"), "")</f>
        <v/>
      </c>
      <c r="AY78" s="27" t="str">
        <f t="shared" si="62"/>
        <v/>
      </c>
      <c r="AZ78" s="27" t="str">
        <f t="shared" si="63"/>
        <v/>
      </c>
      <c r="BA78" s="161" t="str">
        <f>IFERROR(AVERAGEIFS(AllData[Phosphate (PPM)], AllData[Site Name], $B78, AllData[Season], "Winter", AllData[Year], "2024"), "")</f>
        <v/>
      </c>
      <c r="BB78" s="27" t="str">
        <f t="shared" si="64"/>
        <v/>
      </c>
      <c r="BC78" s="44" t="str">
        <f t="shared" si="65"/>
        <v/>
      </c>
      <c r="BD78" s="157">
        <f>COUNTIFS(AllData[Site Name], Tables!$B78, AllData[Season], "Spring", AllData[Year], "2025")</f>
        <v>0</v>
      </c>
      <c r="BE78" s="160" t="str">
        <f>IFERROR(AVERAGEIFS(AllData[Nitrate (PPM)], AllData[Site Name], $B78, AllData[Season], "Spring", AllData[Year], "2025"), "")</f>
        <v/>
      </c>
      <c r="BF78" s="27" t="str">
        <f t="shared" si="66"/>
        <v/>
      </c>
      <c r="BG78" s="27" t="str">
        <f t="shared" si="67"/>
        <v/>
      </c>
      <c r="BH78" s="161" t="str">
        <f>IFERROR(AVERAGEIFS(AllData[Phosphate (PPM)], AllData[Site Name], $B78, AllData[Season], "Spring", AllData[Year], "2025"), "")</f>
        <v/>
      </c>
      <c r="BI78" s="27" t="str">
        <f t="shared" si="68"/>
        <v/>
      </c>
      <c r="BJ78" s="27" t="str">
        <f t="shared" si="69"/>
        <v/>
      </c>
      <c r="BK78" s="165">
        <f>COUNTIFS(AllData[Site Name], Tables!$B78, AllData[Season], "Summer", AllData[Year], "2025")</f>
        <v>0</v>
      </c>
      <c r="BL78" s="160" t="str">
        <f>IFERROR(AVERAGEIFS(AllData[Nitrate (PPM)], AllData[Site Name], $B78, AllData[Season], "Summer", AllData[Year], "2025"), "")</f>
        <v/>
      </c>
      <c r="BM78" s="27" t="str">
        <f t="shared" si="70"/>
        <v/>
      </c>
      <c r="BN78" s="27" t="str">
        <f t="shared" si="71"/>
        <v/>
      </c>
      <c r="BO78" s="161" t="str">
        <f>IFERROR(AVERAGEIFS(AllData[Phosphate (PPM)], AllData[Site Name], $B78, AllData[Season], "Summer", AllData[Year], "2025"),"")</f>
        <v/>
      </c>
      <c r="BP78" s="27" t="str">
        <f t="shared" si="72"/>
        <v/>
      </c>
      <c r="BQ78" s="27" t="str">
        <f t="shared" si="73"/>
        <v/>
      </c>
      <c r="BR78" s="165">
        <f>COUNTIFS(AllData[Site Name], Tables!$B78, AllData[Season], "Autumn", AllData[Year], "2025")</f>
        <v>0</v>
      </c>
      <c r="BS78" s="160" t="str">
        <f>IFERROR(AVERAGEIFS(AllData[Nitrate (PPM)], AllData[Site Name], $B78, AllData[Season], "Autumn", AllData[Year], "2025"), "")</f>
        <v/>
      </c>
      <c r="BT78" s="27" t="str">
        <f t="shared" si="74"/>
        <v/>
      </c>
      <c r="BU78" s="27" t="str">
        <f t="shared" si="75"/>
        <v/>
      </c>
      <c r="BV78" s="161" t="str">
        <f>IFERROR(AVERAGEIFS(AllData[Phosphate (PPM)], AllData[Site Name], AD78, AllData[Season], "Autumn", AllData[Year], "2025"), "")</f>
        <v/>
      </c>
      <c r="BW78" s="27" t="str">
        <f t="shared" si="76"/>
        <v/>
      </c>
      <c r="BX78" s="28" t="str">
        <f t="shared" si="77"/>
        <v/>
      </c>
      <c r="BY78" s="165">
        <f>COUNTIFS(AllData[Site Name], Tables!$B78, AllData[Season], "Winter", AllData[Year], "2025")</f>
        <v>0</v>
      </c>
      <c r="BZ78" s="160" t="str">
        <f>IFERROR(AVERAGEIFS(AllData[Nitrate (PPM)], AllData[Site Name], $B78, AllData[Season], "Winter", AllData[Year], "2025"), "")</f>
        <v/>
      </c>
      <c r="CA78" s="27" t="str">
        <f>IFERROR((BZ78-$I78)/$I78, "")</f>
        <v/>
      </c>
      <c r="CB78" s="27" t="str">
        <f>IFERROR((BZ78-AX78)/AX78, "")</f>
        <v/>
      </c>
      <c r="CC78" s="161" t="str">
        <f>IFERROR(AVERAGEIFS(AllData[Phosphate (PPM)], AllData[Site Name], $B78, AllData[Season], "Winter", AllData[Year], "2025"), "")</f>
        <v/>
      </c>
      <c r="CD78" s="27" t="str">
        <f>IFERROR((CC78-$J78)/$J78, "")</f>
        <v/>
      </c>
      <c r="CE78" s="44" t="str">
        <f>IFERROR((CC78-BA78)/BA78,"")</f>
        <v/>
      </c>
    </row>
    <row r="79" spans="2:83" x14ac:dyDescent="0.35">
      <c r="B79" s="159" t="s">
        <v>925</v>
      </c>
      <c r="C79" s="113">
        <f>IFERROR(AVERAGEIF(AllData[Site Name], Tables!B79, AllData[Latitude]), "Unknown")</f>
        <v>52.017437000000001</v>
      </c>
      <c r="D79" s="113">
        <f>IFERROR(AVERAGEIF(AllData[Site Name], Tables!B79, AllData[Longitude]), "Unknown")</f>
        <v>-1.544745</v>
      </c>
      <c r="E79" s="13" t="e" vm="1">
        <f>_xlfn.XLOOKUP(B79,LocationsKey[Site Name], LocationsKey[District])</f>
        <v>#VALUE!</v>
      </c>
      <c r="F79" s="13" t="e" vm="24">
        <f>_xlfn.XLOOKUP(B79,LocationsKey[Site Name], LocationsKey[Town])</f>
        <v>#VALUE!</v>
      </c>
      <c r="G79" s="25" t="str">
        <f>_xlfn.XLOOKUP(B79,LocationsKey[Site Name],LocationsKey[Waterway])</f>
        <v>Stour</v>
      </c>
      <c r="H79" s="157">
        <f>COUNTIF(AllData[Site Name], Tables!B79)</f>
        <v>33</v>
      </c>
      <c r="I79" s="160">
        <f t="shared" si="44"/>
        <v>2.44875</v>
      </c>
      <c r="J79" s="161">
        <f t="shared" si="45"/>
        <v>0.67451388888888886</v>
      </c>
      <c r="K79" s="27" cm="1">
        <f t="array" ref="K79">SUM(COUNTIFS(AllData[Site Name], B79, AllData[Nitrate Pollution Category], {"High","Very high"}))/COUNTIFS(AllData[Site Name], B79, AllData[Nitrate (PPM)], "&lt;&gt;0")</f>
        <v>0.96969696969696972</v>
      </c>
      <c r="L79" s="27" cm="1">
        <f t="array" ref="L79">SUM(COUNTIFS(AllData[Site Name], B79, AllData[Phosphate Pollution Category], {"High","Very high"}))/COUNTIFS(AllData[Site Name], B79, AllData[Phosphate (PPM)], "&lt;&gt;0")</f>
        <v>1</v>
      </c>
      <c r="M79" s="157">
        <f t="shared" si="46"/>
        <v>76</v>
      </c>
      <c r="N79" s="157">
        <f t="shared" si="47"/>
        <v>26</v>
      </c>
      <c r="O79" s="26">
        <f>COUNTIFS(AllData[Site Name], Tables!$B79, AllData[Season], "Summer", AllData[Year], "2023")</f>
        <v>0</v>
      </c>
      <c r="P79" s="160" t="str">
        <f>IFERROR(AVERAGEIFS(AllData[Nitrate (PPM)], AllData[Site Name], $B79, AllData[Season], "Summer", AllData[Year], "2023"), "")</f>
        <v/>
      </c>
      <c r="Q79" s="27" t="str">
        <f t="shared" si="48"/>
        <v/>
      </c>
      <c r="R79" s="161" t="str">
        <f>IFERROR(AVERAGEIFS(AllData[Phosphate (PPM)], AllData[Site Name], $B79, AllData[Season], "Summer", AllData[Year], "2023"),"")</f>
        <v/>
      </c>
      <c r="S79" s="28" t="str">
        <f t="shared" si="49"/>
        <v/>
      </c>
      <c r="T79" s="26">
        <f>COUNTIFS(AllData[Site Name], Tables!$B79, AllData[Season], "Autumn", AllData[Year], "2023")</f>
        <v>0</v>
      </c>
      <c r="U79" s="160" t="str">
        <f>IFERROR(AVERAGEIFS(AllData[Nitrate (PPM)], AllData[Site Name], $B79, AllData[Season], "Autumn", AllData[Year], "2023"), "")</f>
        <v/>
      </c>
      <c r="V79" s="27" t="str">
        <f t="shared" si="50"/>
        <v/>
      </c>
      <c r="W79" s="161" t="str">
        <f>IFERROR(AVERAGEIFS(AllData[Phosphate (PPM)], AllData[Site Name], $B79, AllData[Season], "Autumn", AllData[Year], "2023"),"")</f>
        <v/>
      </c>
      <c r="X79" s="28" t="str">
        <f t="shared" si="51"/>
        <v/>
      </c>
      <c r="Y79" s="26">
        <f>COUNTIFS(AllData[Site Name], Tables!$B79, AllData[Season], "Winter", AllData[Year], "2023")</f>
        <v>0</v>
      </c>
      <c r="Z79" s="160" t="str">
        <f>IFERROR(AVERAGEIFS(AllData[Nitrate (PPM)], AllData[Site Name], $B79, AllData[Season], "Winter", AllData[Year], "2023"), "")</f>
        <v/>
      </c>
      <c r="AA79" s="27" t="str">
        <f t="shared" si="52"/>
        <v/>
      </c>
      <c r="AB79" s="161" t="str">
        <f>IFERROR(AVERAGEIFS(AllData[Phosphate (PPM)], AllData[Site Name], $B79, AllData[Season], "Winter", AllData[Year], "2023"),"")</f>
        <v/>
      </c>
      <c r="AC79" s="28" t="str">
        <f t="shared" si="53"/>
        <v/>
      </c>
      <c r="AD79" s="26">
        <f>COUNTIFS(AllData[Site Name], Tables!$B79, AllData[Season], "Spring", AllData[Year], "2024")</f>
        <v>9</v>
      </c>
      <c r="AE79" s="160">
        <f>IFERROR(AVERAGEIFS(AllData[Nitrate (PPM)], AllData[Site Name], $B79, AllData[Season], "Spring", AllData[Year], "2024"), "")</f>
        <v>2.8644444444444446</v>
      </c>
      <c r="AF79" s="27">
        <f t="shared" si="54"/>
        <v>0.16975781294311162</v>
      </c>
      <c r="AG79" s="161">
        <f>IFERROR(AVERAGEIFS(AllData[Phosphate (PPM)], AllData[Site Name], $B79, AllData[Season], "Spring", AllData[Year], "2024"),"")</f>
        <v>0.64888888888888885</v>
      </c>
      <c r="AH79" s="28">
        <f t="shared" si="55"/>
        <v>-3.799032224853291E-2</v>
      </c>
      <c r="AI79" s="165">
        <f>COUNTIFS(AllData[Site Name], Tables!$B79, AllData[Season], "Summer", AllData[Year], "2024")</f>
        <v>9</v>
      </c>
      <c r="AJ79" s="160">
        <f>IFERROR(AVERAGEIFS(AllData[Nitrate (PPM)], AllData[Site Name], $B79, AllData[Season], "Summer", AllData[Year], "2024"), "")</f>
        <v>2.2222222222222223</v>
      </c>
      <c r="AK79" s="27">
        <f t="shared" si="56"/>
        <v>-9.250751517213994E-2</v>
      </c>
      <c r="AL79" s="27" t="str">
        <f t="shared" si="57"/>
        <v/>
      </c>
      <c r="AM79" s="161">
        <f>IFERROR(AVERAGEIFS(AllData[Phosphate (PPM)], AllData[Site Name], $B79, AllData[Season], "Summer", AllData[Year], "2024"),"")</f>
        <v>0.99333333333333329</v>
      </c>
      <c r="AN79" s="27">
        <f t="shared" si="58"/>
        <v>0.47266549984556783</v>
      </c>
      <c r="AO79" s="28" t="str">
        <f t="shared" si="59"/>
        <v/>
      </c>
      <c r="AP79" s="157">
        <f>COUNTIFS(AllData[Site Name], Tables!$B79, AllData[Season], "Autumn", AllData[Year], "2024")</f>
        <v>12</v>
      </c>
      <c r="AQ79" s="160">
        <f>IFERROR(AVERAGEIFS(AllData[Nitrate (PPM)], AllData[Site Name], $B79, AllData[Season], "Autumn", AllData[Year], "2024"), "")</f>
        <v>2.2083333333333335</v>
      </c>
      <c r="AR79" s="27">
        <f t="shared" si="60"/>
        <v>-9.8179343202314043E-2</v>
      </c>
      <c r="AS79" s="27" t="str">
        <f t="shared" si="42"/>
        <v/>
      </c>
      <c r="AT79" s="161">
        <f>IFERROR(AVERAGEIFS(AllData[Phosphate (PPM)], AllData[Site Name], B79, AllData[Season], "Autumn", AllData[Year], "2024"), "")</f>
        <v>0.6825</v>
      </c>
      <c r="AU79" s="27">
        <f t="shared" si="61"/>
        <v>1.1839802326778585E-2</v>
      </c>
      <c r="AV79" s="28" t="str">
        <f t="shared" si="43"/>
        <v/>
      </c>
      <c r="AW79" s="165">
        <f>COUNTIFS(AllData[Site Name], Tables!$B79, AllData[Season], "Winter", AllData[Year], "2024")</f>
        <v>3</v>
      </c>
      <c r="AX79" s="160">
        <f>IFERROR(AVERAGEIFS(AllData[Nitrate (PPM)], AllData[Site Name], $B79, AllData[Season], "Winter", AllData[Year], "2024"), "")</f>
        <v>2.5</v>
      </c>
      <c r="AY79" s="27">
        <f t="shared" si="62"/>
        <v>2.0929045431342528E-2</v>
      </c>
      <c r="AZ79" s="27" t="str">
        <f t="shared" si="63"/>
        <v/>
      </c>
      <c r="BA79" s="161">
        <f>IFERROR(AVERAGEIFS(AllData[Phosphate (PPM)], AllData[Site Name], $B79, AllData[Season], "Winter", AllData[Year], "2024"), "")</f>
        <v>0.37333333333333329</v>
      </c>
      <c r="BB79" s="27">
        <f t="shared" si="64"/>
        <v>-0.4465149799238135</v>
      </c>
      <c r="BC79" s="44" t="str">
        <f t="shared" si="65"/>
        <v/>
      </c>
      <c r="BD79" s="157">
        <f>COUNTIFS(AllData[Site Name], Tables!$B79, AllData[Season], "Spring", AllData[Year], "2025")</f>
        <v>0</v>
      </c>
      <c r="BE79" s="160" t="str">
        <f>IFERROR(AVERAGEIFS(AllData[Nitrate (PPM)], AllData[Site Name], $B79, AllData[Season], "Spring", AllData[Year], "2025"), "")</f>
        <v/>
      </c>
      <c r="BF79" s="27" t="str">
        <f t="shared" si="66"/>
        <v/>
      </c>
      <c r="BG79" s="27" t="str">
        <f t="shared" si="67"/>
        <v/>
      </c>
      <c r="BH79" s="161" t="str">
        <f>IFERROR(AVERAGEIFS(AllData[Phosphate (PPM)], AllData[Site Name], $B79, AllData[Season], "Spring", AllData[Year], "2025"), "")</f>
        <v/>
      </c>
      <c r="BI79" s="27" t="str">
        <f t="shared" si="68"/>
        <v/>
      </c>
      <c r="BJ79" s="27" t="str">
        <f t="shared" si="69"/>
        <v/>
      </c>
      <c r="BK79" s="165">
        <f>COUNTIFS(AllData[Site Name], Tables!$B79, AllData[Season], "Summer", AllData[Year], "2025")</f>
        <v>0</v>
      </c>
      <c r="BL79" s="160" t="str">
        <f>IFERROR(AVERAGEIFS(AllData[Nitrate (PPM)], AllData[Site Name], $B79, AllData[Season], "Summer", AllData[Year], "2025"), "")</f>
        <v/>
      </c>
      <c r="BM79" s="27" t="str">
        <f t="shared" si="70"/>
        <v/>
      </c>
      <c r="BN79" s="27" t="str">
        <f t="shared" si="71"/>
        <v/>
      </c>
      <c r="BO79" s="161" t="str">
        <f>IFERROR(AVERAGEIFS(AllData[Phosphate (PPM)], AllData[Site Name], $B79, AllData[Season], "Summer", AllData[Year], "2025"),"")</f>
        <v/>
      </c>
      <c r="BP79" s="27" t="str">
        <f t="shared" si="72"/>
        <v/>
      </c>
      <c r="BQ79" s="27" t="str">
        <f t="shared" si="73"/>
        <v/>
      </c>
      <c r="BR79" s="165">
        <f>COUNTIFS(AllData[Site Name], Tables!$B79, AllData[Season], "Autumn", AllData[Year], "2025")</f>
        <v>0</v>
      </c>
      <c r="BS79" s="160" t="str">
        <f>IFERROR(AVERAGEIFS(AllData[Nitrate (PPM)], AllData[Site Name], $B79, AllData[Season], "Autumn", AllData[Year], "2025"), "")</f>
        <v/>
      </c>
      <c r="BT79" s="27" t="str">
        <f t="shared" si="74"/>
        <v/>
      </c>
      <c r="BU79" s="27" t="str">
        <f t="shared" si="75"/>
        <v/>
      </c>
      <c r="BV79" s="161" t="str">
        <f>IFERROR(AVERAGEIFS(AllData[Phosphate (PPM)], AllData[Site Name], AD79, AllData[Season], "Autumn", AllData[Year], "2025"), "")</f>
        <v/>
      </c>
      <c r="BW79" s="27" t="str">
        <f t="shared" si="76"/>
        <v/>
      </c>
      <c r="BX79" s="28" t="str">
        <f t="shared" si="77"/>
        <v/>
      </c>
      <c r="BY79" s="165">
        <f>COUNTIFS(AllData[Site Name], Tables!$B79, AllData[Season], "Winter", AllData[Year], "2025")</f>
        <v>0</v>
      </c>
      <c r="BZ79" s="160" t="str">
        <f>IFERROR(AVERAGEIFS(AllData[Nitrate (PPM)], AllData[Site Name], $B79, AllData[Season], "Winter", AllData[Year], "2025"), "")</f>
        <v/>
      </c>
      <c r="CA79" s="27" t="str">
        <f t="shared" ref="CA79:CA100" si="80">IFERROR((BZ79-$I79)/$I79, "")</f>
        <v/>
      </c>
      <c r="CB79" s="27" t="str">
        <f t="shared" ref="CB79:CB100" si="81">IFERROR((BZ79-AX79)/AX79, "")</f>
        <v/>
      </c>
      <c r="CC79" s="161" t="str">
        <f>IFERROR(AVERAGEIFS(AllData[Phosphate (PPM)], AllData[Site Name], $B79, AllData[Season], "Winter", AllData[Year], "2025"), "")</f>
        <v/>
      </c>
      <c r="CD79" s="27" t="str">
        <f t="shared" ref="CD79:CD100" si="82">IFERROR((CC79-$J79)/$J79, "")</f>
        <v/>
      </c>
      <c r="CE79" s="44" t="str">
        <f t="shared" ref="CE79:CE100" si="83">IFERROR((CC79-BA79)/BA79,"")</f>
        <v/>
      </c>
    </row>
    <row r="80" spans="2:83" x14ac:dyDescent="0.35">
      <c r="B80" s="159" t="s">
        <v>521</v>
      </c>
      <c r="C80" s="113">
        <f>IFERROR(AVERAGEIF(AllData[Site Name], Tables!B80, AllData[Latitude]), "Unknown")</f>
        <v>52.053227523809518</v>
      </c>
      <c r="D80" s="113">
        <f>IFERROR(AVERAGEIF(AllData[Site Name], Tables!B80, AllData[Longitude]), "Unknown")</f>
        <v>-1.6194739523809523</v>
      </c>
      <c r="E80" s="13" t="e" vm="1">
        <f>_xlfn.XLOOKUP(B80,LocationsKey[Site Name], LocationsKey[District])</f>
        <v>#VALUE!</v>
      </c>
      <c r="F80" s="13" t="str">
        <f>_xlfn.XLOOKUP(B80,LocationsKey[Site Name], LocationsKey[Town])</f>
        <v>Willington</v>
      </c>
      <c r="G80" s="25" t="str">
        <f>_xlfn.XLOOKUP(B80,LocationsKey[Site Name],LocationsKey[Waterway])</f>
        <v>Stour</v>
      </c>
      <c r="H80" s="157">
        <f>COUNTIF(AllData[Site Name], Tables!B80)</f>
        <v>44</v>
      </c>
      <c r="I80" s="160">
        <f t="shared" si="44"/>
        <v>2.1760989010989009</v>
      </c>
      <c r="J80" s="161">
        <f t="shared" si="45"/>
        <v>0.30257967032967037</v>
      </c>
      <c r="K80" s="27" cm="1">
        <f t="array" ref="K80">SUM(COUNTIFS(AllData[Site Name], B80, AllData[Nitrate Pollution Category], {"High","Very high"}))/COUNTIFS(AllData[Site Name], B80, AllData[Nitrate (PPM)], "&lt;&gt;0")</f>
        <v>0.90909090909090906</v>
      </c>
      <c r="L80" s="27" cm="1">
        <f t="array" ref="L80">SUM(COUNTIFS(AllData[Site Name], B80, AllData[Phosphate Pollution Category], {"High","Very high"}))/COUNTIFS(AllData[Site Name], B80, AllData[Phosphate (PPM)], "&lt;&gt;0")</f>
        <v>0.97727272727272729</v>
      </c>
      <c r="M80" s="157">
        <f t="shared" si="46"/>
        <v>78</v>
      </c>
      <c r="N80" s="157">
        <f t="shared" si="47"/>
        <v>71</v>
      </c>
      <c r="O80" s="26">
        <f>COUNTIFS(AllData[Site Name], Tables!$B80, AllData[Season], "Summer", AllData[Year], "2023")</f>
        <v>0</v>
      </c>
      <c r="P80" s="160" t="str">
        <f>IFERROR(AVERAGEIFS(AllData[Nitrate (PPM)], AllData[Site Name], $B80, AllData[Season], "Summer", AllData[Year], "2023"), "")</f>
        <v/>
      </c>
      <c r="Q80" s="27" t="str">
        <f t="shared" si="48"/>
        <v/>
      </c>
      <c r="R80" s="161" t="str">
        <f>IFERROR(AVERAGEIFS(AllData[Phosphate (PPM)], AllData[Site Name], $B80, AllData[Season], "Summer", AllData[Year], "2023"),"")</f>
        <v/>
      </c>
      <c r="S80" s="28" t="str">
        <f t="shared" si="49"/>
        <v/>
      </c>
      <c r="T80" s="26">
        <f>COUNTIFS(AllData[Site Name], Tables!$B80, AllData[Season], "Autumn", AllData[Year], "2023")</f>
        <v>0</v>
      </c>
      <c r="U80" s="160" t="str">
        <f>IFERROR(AVERAGEIFS(AllData[Nitrate (PPM)], AllData[Site Name], $B80, AllData[Season], "Autumn", AllData[Year], "2023"), "")</f>
        <v/>
      </c>
      <c r="V80" s="27" t="str">
        <f t="shared" si="50"/>
        <v/>
      </c>
      <c r="W80" s="161" t="str">
        <f>IFERROR(AVERAGEIFS(AllData[Phosphate (PPM)], AllData[Site Name], $B80, AllData[Season], "Autumn", AllData[Year], "2023"),"")</f>
        <v/>
      </c>
      <c r="X80" s="28" t="str">
        <f t="shared" si="51"/>
        <v/>
      </c>
      <c r="Y80" s="26">
        <f>COUNTIFS(AllData[Site Name], Tables!$B80, AllData[Season], "Winter", AllData[Year], "2023")</f>
        <v>7</v>
      </c>
      <c r="Z80" s="160">
        <f>IFERROR(AVERAGEIFS(AllData[Nitrate (PPM)], AllData[Site Name], $B80, AllData[Season], "Winter", AllData[Year], "2023"), "")</f>
        <v>1.3142857142857143</v>
      </c>
      <c r="AA80" s="27">
        <f t="shared" si="52"/>
        <v>-0.39603585405883091</v>
      </c>
      <c r="AB80" s="161">
        <f>IFERROR(AVERAGEIFS(AllData[Phosphate (PPM)], AllData[Site Name], $B80, AllData[Season], "Winter", AllData[Year], "2023"),"")</f>
        <v>0.2071428571428571</v>
      </c>
      <c r="AC80" s="28">
        <f t="shared" si="53"/>
        <v>-0.31541052669808173</v>
      </c>
      <c r="AD80" s="26">
        <f>COUNTIFS(AllData[Site Name], Tables!$B80, AllData[Season], "Spring", AllData[Year], "2024")</f>
        <v>14</v>
      </c>
      <c r="AE80" s="160">
        <f>IFERROR(AVERAGEIFS(AllData[Nitrate (PPM)], AllData[Site Name], $B80, AllData[Season], "Spring", AllData[Year], "2024"), "")</f>
        <v>2.9285714285714284</v>
      </c>
      <c r="AF80" s="27">
        <f t="shared" si="54"/>
        <v>0.34578967302108321</v>
      </c>
      <c r="AG80" s="161">
        <f>IFERROR(AVERAGEIFS(AllData[Phosphate (PPM)], AllData[Site Name], $B80, AllData[Season], "Spring", AllData[Year], "2024"),"")</f>
        <v>0.21071428571428572</v>
      </c>
      <c r="AH80" s="28">
        <f t="shared" si="55"/>
        <v>-0.30360725991701404</v>
      </c>
      <c r="AI80" s="165">
        <f>COUNTIFS(AllData[Site Name], Tables!$B80, AllData[Season], "Summer", AllData[Year], "2024")</f>
        <v>13</v>
      </c>
      <c r="AJ80" s="160">
        <f>IFERROR(AVERAGEIFS(AllData[Nitrate (PPM)], AllData[Site Name], $B80, AllData[Season], "Summer", AllData[Year], "2024"), "")</f>
        <v>2.4615384615384617</v>
      </c>
      <c r="AK80" s="27">
        <f t="shared" si="56"/>
        <v>0.13117030677944719</v>
      </c>
      <c r="AL80" s="27" t="str">
        <f t="shared" si="57"/>
        <v/>
      </c>
      <c r="AM80" s="161">
        <f>IFERROR(AVERAGEIFS(AllData[Phosphate (PPM)], AllData[Site Name], $B80, AllData[Season], "Summer", AllData[Year], "2024"),"")</f>
        <v>0.45846153846153853</v>
      </c>
      <c r="AN80" s="27">
        <f t="shared" si="58"/>
        <v>0.51517627724965731</v>
      </c>
      <c r="AO80" s="28" t="str">
        <f t="shared" si="59"/>
        <v/>
      </c>
      <c r="AP80" s="157">
        <f>COUNTIFS(AllData[Site Name], Tables!$B80, AllData[Season], "Autumn", AllData[Year], "2024")</f>
        <v>10</v>
      </c>
      <c r="AQ80" s="160">
        <f>IFERROR(AVERAGEIFS(AllData[Nitrate (PPM)], AllData[Site Name], $B80, AllData[Season], "Autumn", AllData[Year], "2024"), "")</f>
        <v>2</v>
      </c>
      <c r="AR80" s="27">
        <f t="shared" si="60"/>
        <v>-8.0924125741699202E-2</v>
      </c>
      <c r="AS80" s="27" t="str">
        <f t="shared" si="42"/>
        <v/>
      </c>
      <c r="AT80" s="161">
        <f>IFERROR(AVERAGEIFS(AllData[Phosphate (PPM)], AllData[Site Name], B80, AllData[Season], "Autumn", AllData[Year], "2024"), "")</f>
        <v>0.33400000000000002</v>
      </c>
      <c r="AU80" s="27">
        <f t="shared" si="61"/>
        <v>0.10384150936543814</v>
      </c>
      <c r="AV80" s="28" t="str">
        <f t="shared" si="43"/>
        <v/>
      </c>
      <c r="AW80" s="165">
        <f>COUNTIFS(AllData[Site Name], Tables!$B80, AllData[Season], "Winter", AllData[Year], "2024")</f>
        <v>0</v>
      </c>
      <c r="AX80" s="160" t="str">
        <f>IFERROR(AVERAGEIFS(AllData[Nitrate (PPM)], AllData[Site Name], $B80, AllData[Season], "Winter", AllData[Year], "2024"), "")</f>
        <v/>
      </c>
      <c r="AY80" s="27" t="str">
        <f t="shared" si="62"/>
        <v/>
      </c>
      <c r="AZ80" s="27" t="str">
        <f t="shared" si="63"/>
        <v/>
      </c>
      <c r="BA80" s="161" t="str">
        <f>IFERROR(AVERAGEIFS(AllData[Phosphate (PPM)], AllData[Site Name], $B80, AllData[Season], "Winter", AllData[Year], "2024"), "")</f>
        <v/>
      </c>
      <c r="BB80" s="27" t="str">
        <f t="shared" si="64"/>
        <v/>
      </c>
      <c r="BC80" s="44" t="str">
        <f t="shared" si="65"/>
        <v/>
      </c>
      <c r="BD80" s="157">
        <f>COUNTIFS(AllData[Site Name], Tables!$B80, AllData[Season], "Spring", AllData[Year], "2025")</f>
        <v>0</v>
      </c>
      <c r="BE80" s="160" t="str">
        <f>IFERROR(AVERAGEIFS(AllData[Nitrate (PPM)], AllData[Site Name], $B80, AllData[Season], "Spring", AllData[Year], "2025"), "")</f>
        <v/>
      </c>
      <c r="BF80" s="27" t="str">
        <f t="shared" si="66"/>
        <v/>
      </c>
      <c r="BG80" s="27" t="str">
        <f t="shared" si="67"/>
        <v/>
      </c>
      <c r="BH80" s="161" t="str">
        <f>IFERROR(AVERAGEIFS(AllData[Phosphate (PPM)], AllData[Site Name], $B80, AllData[Season], "Spring", AllData[Year], "2025"), "")</f>
        <v/>
      </c>
      <c r="BI80" s="27" t="str">
        <f t="shared" si="68"/>
        <v/>
      </c>
      <c r="BJ80" s="27" t="str">
        <f t="shared" si="69"/>
        <v/>
      </c>
      <c r="BK80" s="165">
        <f>COUNTIFS(AllData[Site Name], Tables!$B80, AllData[Season], "Summer", AllData[Year], "2025")</f>
        <v>0</v>
      </c>
      <c r="BL80" s="160" t="str">
        <f>IFERROR(AVERAGEIFS(AllData[Nitrate (PPM)], AllData[Site Name], $B80, AllData[Season], "Summer", AllData[Year], "2025"), "")</f>
        <v/>
      </c>
      <c r="BM80" s="27" t="str">
        <f t="shared" si="70"/>
        <v/>
      </c>
      <c r="BN80" s="27" t="str">
        <f t="shared" si="71"/>
        <v/>
      </c>
      <c r="BO80" s="161" t="str">
        <f>IFERROR(AVERAGEIFS(AllData[Phosphate (PPM)], AllData[Site Name], $B80, AllData[Season], "Summer", AllData[Year], "2025"),"")</f>
        <v/>
      </c>
      <c r="BP80" s="27" t="str">
        <f t="shared" si="72"/>
        <v/>
      </c>
      <c r="BQ80" s="27" t="str">
        <f t="shared" si="73"/>
        <v/>
      </c>
      <c r="BR80" s="165">
        <f>COUNTIFS(AllData[Site Name], Tables!$B80, AllData[Season], "Autumn", AllData[Year], "2025")</f>
        <v>0</v>
      </c>
      <c r="BS80" s="160" t="str">
        <f>IFERROR(AVERAGEIFS(AllData[Nitrate (PPM)], AllData[Site Name], $B80, AllData[Season], "Autumn", AllData[Year], "2025"), "")</f>
        <v/>
      </c>
      <c r="BT80" s="27" t="str">
        <f t="shared" si="74"/>
        <v/>
      </c>
      <c r="BU80" s="27" t="str">
        <f t="shared" si="75"/>
        <v/>
      </c>
      <c r="BV80" s="161" t="str">
        <f>IFERROR(AVERAGEIFS(AllData[Phosphate (PPM)], AllData[Site Name], AD80, AllData[Season], "Autumn", AllData[Year], "2025"), "")</f>
        <v/>
      </c>
      <c r="BW80" s="27" t="str">
        <f t="shared" si="76"/>
        <v/>
      </c>
      <c r="BX80" s="28" t="str">
        <f t="shared" si="77"/>
        <v/>
      </c>
      <c r="BY80" s="165">
        <f>COUNTIFS(AllData[Site Name], Tables!$B80, AllData[Season], "Winter", AllData[Year], "2025")</f>
        <v>0</v>
      </c>
      <c r="BZ80" s="160" t="str">
        <f>IFERROR(AVERAGEIFS(AllData[Nitrate (PPM)], AllData[Site Name], $B80, AllData[Season], "Winter", AllData[Year], "2025"), "")</f>
        <v/>
      </c>
      <c r="CA80" s="27" t="str">
        <f t="shared" si="80"/>
        <v/>
      </c>
      <c r="CB80" s="27" t="str">
        <f t="shared" si="81"/>
        <v/>
      </c>
      <c r="CC80" s="161" t="str">
        <f>IFERROR(AVERAGEIFS(AllData[Phosphate (PPM)], AllData[Site Name], $B80, AllData[Season], "Winter", AllData[Year], "2025"), "")</f>
        <v/>
      </c>
      <c r="CD80" s="27" t="str">
        <f t="shared" si="82"/>
        <v/>
      </c>
      <c r="CE80" s="44" t="str">
        <f t="shared" si="83"/>
        <v/>
      </c>
    </row>
    <row r="81" spans="2:83" x14ac:dyDescent="0.35">
      <c r="B81" s="159" t="s">
        <v>3554</v>
      </c>
      <c r="C81" s="113"/>
      <c r="D81" s="113"/>
      <c r="E81" s="13" t="e" vm="1">
        <f>_xlfn.XLOOKUP(B81,LocationsKey[Site Name], LocationsKey[District])</f>
        <v>#VALUE!</v>
      </c>
      <c r="F81" s="13" t="e" vm="12">
        <f>_xlfn.XLOOKUP(B81,LocationsKey[Site Name], LocationsKey[Town])</f>
        <v>#VALUE!</v>
      </c>
      <c r="G81" s="25" t="str">
        <f>_xlfn.XLOOKUP(B81,LocationsKey[Site Name],LocationsKey[Waterway])</f>
        <v>Avon</v>
      </c>
      <c r="H81" s="157">
        <f>COUNTIF(AllData[Site Name], Tables!B81)</f>
        <v>1</v>
      </c>
      <c r="I81" s="160">
        <f t="shared" si="44"/>
        <v>20</v>
      </c>
      <c r="J81" s="161">
        <f t="shared" si="45"/>
        <v>0.51</v>
      </c>
      <c r="K81" s="27" cm="1">
        <f t="array" ref="K81">SUM(COUNTIFS(AllData[Site Name], B81, AllData[Nitrate Pollution Category], {"High","Very high"}))/COUNTIFS(AllData[Site Name], B81, AllData[Nitrate (PPM)], "&lt;&gt;0")</f>
        <v>1</v>
      </c>
      <c r="L81" s="27" cm="1">
        <f t="array" ref="L81">SUM(COUNTIFS(AllData[Site Name], B81, AllData[Phosphate Pollution Category], {"High","Very high"}))/COUNTIFS(AllData[Site Name], B81, AllData[Phosphate (PPM)], "&lt;&gt;0")</f>
        <v>1</v>
      </c>
      <c r="M81" s="157">
        <f t="shared" si="46"/>
        <v>1</v>
      </c>
      <c r="N81" s="157">
        <f t="shared" si="47"/>
        <v>46</v>
      </c>
      <c r="O81" s="26">
        <f>COUNTIFS(AllData[Site Name], Tables!$B81, AllData[Season], "Summer", AllData[Year], "2023")</f>
        <v>0</v>
      </c>
      <c r="P81" s="160" t="str">
        <f>IFERROR(AVERAGEIFS(AllData[Nitrate (PPM)], AllData[Site Name], $B81, AllData[Season], "Summer", AllData[Year], "2023"), "")</f>
        <v/>
      </c>
      <c r="Q81" s="27" t="str">
        <f t="shared" si="48"/>
        <v/>
      </c>
      <c r="R81" s="161" t="str">
        <f>IFERROR(AVERAGEIFS(AllData[Phosphate (PPM)], AllData[Site Name], $B81, AllData[Season], "Summer", AllData[Year], "2023"),"")</f>
        <v/>
      </c>
      <c r="S81" s="28" t="str">
        <f t="shared" si="49"/>
        <v/>
      </c>
      <c r="T81" s="26">
        <f>COUNTIFS(AllData[Site Name], Tables!$B81, AllData[Season], "Autumn", AllData[Year], "2023")</f>
        <v>0</v>
      </c>
      <c r="U81" s="160" t="str">
        <f>IFERROR(AVERAGEIFS(AllData[Nitrate (PPM)], AllData[Site Name], $B81, AllData[Season], "Autumn", AllData[Year], "2023"), "")</f>
        <v/>
      </c>
      <c r="V81" s="27" t="str">
        <f t="shared" si="50"/>
        <v/>
      </c>
      <c r="W81" s="161" t="str">
        <f>IFERROR(AVERAGEIFS(AllData[Phosphate (PPM)], AllData[Site Name], $B81, AllData[Season], "Autumn", AllData[Year], "2023"),"")</f>
        <v/>
      </c>
      <c r="X81" s="28" t="str">
        <f t="shared" si="51"/>
        <v/>
      </c>
      <c r="Y81" s="26">
        <f>COUNTIFS(AllData[Site Name], Tables!$B81, AllData[Season], "Winter", AllData[Year], "2023")</f>
        <v>0</v>
      </c>
      <c r="Z81" s="160" t="str">
        <f>IFERROR(AVERAGEIFS(AllData[Nitrate (PPM)], AllData[Site Name], $B81, AllData[Season], "Winter", AllData[Year], "2023"), "")</f>
        <v/>
      </c>
      <c r="AA81" s="27" t="str">
        <f t="shared" si="52"/>
        <v/>
      </c>
      <c r="AB81" s="161" t="str">
        <f>IFERROR(AVERAGEIFS(AllData[Phosphate (PPM)], AllData[Site Name], $B81, AllData[Season], "Winter", AllData[Year], "2023"),"")</f>
        <v/>
      </c>
      <c r="AC81" s="28" t="str">
        <f t="shared" si="53"/>
        <v/>
      </c>
      <c r="AD81" s="26">
        <f>COUNTIFS(AllData[Site Name], Tables!$B81, AllData[Season], "Spring", AllData[Year], "2024")</f>
        <v>0</v>
      </c>
      <c r="AE81" s="160" t="str">
        <f>IFERROR(AVERAGEIFS(AllData[Nitrate (PPM)], AllData[Site Name], $B81, AllData[Season], "Spring", AllData[Year], "2024"), "")</f>
        <v/>
      </c>
      <c r="AF81" s="27" t="str">
        <f t="shared" si="54"/>
        <v/>
      </c>
      <c r="AG81" s="161" t="str">
        <f>IFERROR(AVERAGEIFS(AllData[Phosphate (PPM)], AllData[Site Name], $B81, AllData[Season], "Spring", AllData[Year], "2024"),"")</f>
        <v/>
      </c>
      <c r="AH81" s="28" t="str">
        <f t="shared" si="55"/>
        <v/>
      </c>
      <c r="AI81" s="165">
        <f>COUNTIFS(AllData[Site Name], Tables!$B81, AllData[Season], "Summer", AllData[Year], "2024")</f>
        <v>1</v>
      </c>
      <c r="AJ81" s="160">
        <f>IFERROR(AVERAGEIFS(AllData[Nitrate (PPM)], AllData[Site Name], $B81, AllData[Season], "Summer", AllData[Year], "2024"), "")</f>
        <v>20</v>
      </c>
      <c r="AK81" s="27">
        <f t="shared" si="56"/>
        <v>0</v>
      </c>
      <c r="AL81" s="27" t="str">
        <f t="shared" si="57"/>
        <v/>
      </c>
      <c r="AM81" s="161">
        <f>IFERROR(AVERAGEIFS(AllData[Phosphate (PPM)], AllData[Site Name], $B81, AllData[Season], "Summer", AllData[Year], "2024"),"")</f>
        <v>0.51</v>
      </c>
      <c r="AN81" s="27">
        <f t="shared" si="58"/>
        <v>0</v>
      </c>
      <c r="AO81" s="28" t="str">
        <f t="shared" si="59"/>
        <v/>
      </c>
      <c r="AP81" s="157">
        <f>COUNTIFS(AllData[Site Name], Tables!$B81, AllData[Season], "Autumn", AllData[Year], "2024")</f>
        <v>0</v>
      </c>
      <c r="AQ81" s="160" t="str">
        <f>IFERROR(AVERAGEIFS(AllData[Nitrate (PPM)], AllData[Site Name], $B81, AllData[Season], "Autumn", AllData[Year], "2024"), "")</f>
        <v/>
      </c>
      <c r="AR81" s="27" t="str">
        <f t="shared" si="60"/>
        <v/>
      </c>
      <c r="AS81" s="27" t="str">
        <f t="shared" si="42"/>
        <v/>
      </c>
      <c r="AT81" s="161" t="str">
        <f>IFERROR(AVERAGEIFS(AllData[Phosphate (PPM)], AllData[Site Name], B81, AllData[Season], "Autumn", AllData[Year], "2024"), "")</f>
        <v/>
      </c>
      <c r="AU81" s="27" t="str">
        <f t="shared" si="61"/>
        <v/>
      </c>
      <c r="AV81" s="28" t="str">
        <f t="shared" si="43"/>
        <v/>
      </c>
      <c r="AW81" s="165">
        <f>COUNTIFS(AllData[Site Name], Tables!$B81, AllData[Season], "Winter", AllData[Year], "2024")</f>
        <v>0</v>
      </c>
      <c r="AX81" s="160" t="str">
        <f>IFERROR(AVERAGEIFS(AllData[Nitrate (PPM)], AllData[Site Name], $B81, AllData[Season], "Winter", AllData[Year], "2024"), "")</f>
        <v/>
      </c>
      <c r="AY81" s="27" t="str">
        <f t="shared" si="62"/>
        <v/>
      </c>
      <c r="AZ81" s="27" t="str">
        <f t="shared" si="63"/>
        <v/>
      </c>
      <c r="BA81" s="161" t="str">
        <f>IFERROR(AVERAGEIFS(AllData[Phosphate (PPM)], AllData[Site Name], $B81, AllData[Season], "Winter", AllData[Year], "2024"), "")</f>
        <v/>
      </c>
      <c r="BB81" s="27" t="str">
        <f t="shared" si="64"/>
        <v/>
      </c>
      <c r="BC81" s="44" t="str">
        <f t="shared" si="65"/>
        <v/>
      </c>
      <c r="BD81" s="157">
        <f>COUNTIFS(AllData[Site Name], Tables!$B81, AllData[Season], "Spring", AllData[Year], "2025")</f>
        <v>0</v>
      </c>
      <c r="BE81" s="160" t="str">
        <f>IFERROR(AVERAGEIFS(AllData[Nitrate (PPM)], AllData[Site Name], $B81, AllData[Season], "Spring", AllData[Year], "2025"), "")</f>
        <v/>
      </c>
      <c r="BF81" s="27" t="str">
        <f t="shared" si="66"/>
        <v/>
      </c>
      <c r="BG81" s="27" t="str">
        <f t="shared" si="67"/>
        <v/>
      </c>
      <c r="BH81" s="161" t="str">
        <f>IFERROR(AVERAGEIFS(AllData[Phosphate (PPM)], AllData[Site Name], $B81, AllData[Season], "Spring", AllData[Year], "2025"), "")</f>
        <v/>
      </c>
      <c r="BI81" s="27" t="str">
        <f t="shared" si="68"/>
        <v/>
      </c>
      <c r="BJ81" s="27" t="str">
        <f t="shared" si="69"/>
        <v/>
      </c>
      <c r="BK81" s="165">
        <f>COUNTIFS(AllData[Site Name], Tables!$B81, AllData[Season], "Summer", AllData[Year], "2025")</f>
        <v>0</v>
      </c>
      <c r="BL81" s="160" t="str">
        <f>IFERROR(AVERAGEIFS(AllData[Nitrate (PPM)], AllData[Site Name], $B81, AllData[Season], "Summer", AllData[Year], "2025"), "")</f>
        <v/>
      </c>
      <c r="BM81" s="27" t="str">
        <f t="shared" si="70"/>
        <v/>
      </c>
      <c r="BN81" s="27" t="str">
        <f t="shared" si="71"/>
        <v/>
      </c>
      <c r="BO81" s="161" t="str">
        <f>IFERROR(AVERAGEIFS(AllData[Phosphate (PPM)], AllData[Site Name], $B81, AllData[Season], "Summer", AllData[Year], "2025"),"")</f>
        <v/>
      </c>
      <c r="BP81" s="27" t="str">
        <f t="shared" si="72"/>
        <v/>
      </c>
      <c r="BQ81" s="27" t="str">
        <f t="shared" si="73"/>
        <v/>
      </c>
      <c r="BR81" s="165">
        <f>COUNTIFS(AllData[Site Name], Tables!$B81, AllData[Season], "Autumn", AllData[Year], "2025")</f>
        <v>0</v>
      </c>
      <c r="BS81" s="160" t="str">
        <f>IFERROR(AVERAGEIFS(AllData[Nitrate (PPM)], AllData[Site Name], $B81, AllData[Season], "Autumn", AllData[Year], "2025"), "")</f>
        <v/>
      </c>
      <c r="BT81" s="27" t="str">
        <f t="shared" si="74"/>
        <v/>
      </c>
      <c r="BU81" s="27" t="str">
        <f t="shared" si="75"/>
        <v/>
      </c>
      <c r="BV81" s="161" t="str">
        <f>IFERROR(AVERAGEIFS(AllData[Phosphate (PPM)], AllData[Site Name], AD81, AllData[Season], "Autumn", AllData[Year], "2025"), "")</f>
        <v/>
      </c>
      <c r="BW81" s="27" t="str">
        <f t="shared" si="76"/>
        <v/>
      </c>
      <c r="BX81" s="28" t="str">
        <f t="shared" si="77"/>
        <v/>
      </c>
      <c r="BY81" s="165">
        <f>COUNTIFS(AllData[Site Name], Tables!$B81, AllData[Season], "Winter", AllData[Year], "2025")</f>
        <v>0</v>
      </c>
      <c r="BZ81" s="160" t="str">
        <f>IFERROR(AVERAGEIFS(AllData[Nitrate (PPM)], AllData[Site Name], $B81, AllData[Season], "Winter", AllData[Year], "2025"), "")</f>
        <v/>
      </c>
      <c r="CA81" s="27" t="str">
        <f t="shared" si="80"/>
        <v/>
      </c>
      <c r="CB81" s="27" t="str">
        <f t="shared" si="81"/>
        <v/>
      </c>
      <c r="CC81" s="161" t="str">
        <f>IFERROR(AVERAGEIFS(AllData[Phosphate (PPM)], AllData[Site Name], $B81, AllData[Season], "Winter", AllData[Year], "2025"), "")</f>
        <v/>
      </c>
      <c r="CD81" s="27" t="str">
        <f t="shared" si="82"/>
        <v/>
      </c>
      <c r="CE81" s="44" t="str">
        <f t="shared" si="83"/>
        <v/>
      </c>
    </row>
    <row r="82" spans="2:83" x14ac:dyDescent="0.35">
      <c r="B82" s="159" t="s">
        <v>286</v>
      </c>
      <c r="C82" s="113">
        <f>IFERROR(AVERAGEIF(AllData[Site Name], Tables!B82, AllData[Latitude]), "Unknown")</f>
        <v>52.206649805555557</v>
      </c>
      <c r="D82" s="113">
        <f>IFERROR(AVERAGEIF(AllData[Site Name], Tables!B82, AllData[Longitude]), "Unknown")</f>
        <v>-1.6541018611111094</v>
      </c>
      <c r="E82" s="13" t="e" vm="1">
        <f>_xlfn.XLOOKUP(B82,LocationsKey[Site Name], LocationsKey[District])</f>
        <v>#VALUE!</v>
      </c>
      <c r="F82" s="13" t="e" vm="2">
        <f>_xlfn.XLOOKUP(B82,LocationsKey[Site Name], LocationsKey[Town])</f>
        <v>#VALUE!</v>
      </c>
      <c r="G82" s="25" t="str">
        <f>_xlfn.XLOOKUP(B82,LocationsKey[Site Name],LocationsKey[Waterway])</f>
        <v>Avon</v>
      </c>
      <c r="H82" s="157">
        <f>COUNTIF(AllData[Site Name], Tables!B82)</f>
        <v>76</v>
      </c>
      <c r="I82" s="160">
        <f t="shared" si="44"/>
        <v>6.8501926644783788</v>
      </c>
      <c r="J82" s="161">
        <f t="shared" si="45"/>
        <v>0.48038051234479806</v>
      </c>
      <c r="K82" s="27" cm="1">
        <f t="array" ref="K82">SUM(COUNTIFS(AllData[Site Name], B82, AllData[Nitrate Pollution Category], {"High","Very high"}))/COUNTIFS(AllData[Site Name], B82, AllData[Nitrate (PPM)], "&lt;&gt;0")</f>
        <v>0.98684210526315785</v>
      </c>
      <c r="L82" s="27" cm="1">
        <f t="array" ref="L82">SUM(COUNTIFS(AllData[Site Name], B82, AllData[Phosphate Pollution Category], {"High","Very high"}))/COUNTIFS(AllData[Site Name], B82, AllData[Phosphate (PPM)], "&lt;&gt;0")</f>
        <v>1</v>
      </c>
      <c r="M82" s="157">
        <f t="shared" si="46"/>
        <v>35</v>
      </c>
      <c r="N82" s="157">
        <f t="shared" si="47"/>
        <v>54</v>
      </c>
      <c r="O82" s="26">
        <f>COUNTIFS(AllData[Site Name], Tables!$B82, AllData[Season], "Summer", AllData[Year], "2023")</f>
        <v>0</v>
      </c>
      <c r="P82" s="160" t="str">
        <f>IFERROR(AVERAGEIFS(AllData[Nitrate (PPM)], AllData[Site Name], $B82, AllData[Season], "Summer", AllData[Year], "2023"), "")</f>
        <v/>
      </c>
      <c r="Q82" s="27" t="str">
        <f t="shared" si="48"/>
        <v/>
      </c>
      <c r="R82" s="161" t="str">
        <f>IFERROR(AVERAGEIFS(AllData[Phosphate (PPM)], AllData[Site Name], $B82, AllData[Season], "Summer", AllData[Year], "2023"),"")</f>
        <v/>
      </c>
      <c r="S82" s="28" t="str">
        <f t="shared" si="49"/>
        <v/>
      </c>
      <c r="T82" s="26">
        <f>COUNTIFS(AllData[Site Name], Tables!$B82, AllData[Season], "Autumn", AllData[Year], "2023")</f>
        <v>4</v>
      </c>
      <c r="U82" s="160">
        <f>IFERROR(AVERAGEIFS(AllData[Nitrate (PPM)], AllData[Site Name], $B82, AllData[Season], "Autumn", AllData[Year], "2023"), "")</f>
        <v>5</v>
      </c>
      <c r="V82" s="27">
        <f t="shared" si="50"/>
        <v>-0.27009352219719873</v>
      </c>
      <c r="W82" s="161">
        <f>IFERROR(AVERAGEIFS(AllData[Phosphate (PPM)], AllData[Site Name], $B82, AllData[Season], "Autumn", AllData[Year], "2023"),"")</f>
        <v>0.51</v>
      </c>
      <c r="X82" s="28">
        <f t="shared" si="51"/>
        <v>6.1658387245197524E-2</v>
      </c>
      <c r="Y82" s="26">
        <f>COUNTIFS(AllData[Site Name], Tables!$B82, AllData[Season], "Winter", AllData[Year], "2023")</f>
        <v>14</v>
      </c>
      <c r="Z82" s="160">
        <f>IFERROR(AVERAGEIFS(AllData[Nitrate (PPM)], AllData[Site Name], $B82, AllData[Season], "Winter", AllData[Year], "2023"), "")</f>
        <v>4.7142857142857144</v>
      </c>
      <c r="AA82" s="27">
        <f t="shared" si="52"/>
        <v>-0.31180246378593018</v>
      </c>
      <c r="AB82" s="161">
        <f>IFERROR(AVERAGEIFS(AllData[Phosphate (PPM)], AllData[Site Name], $B82, AllData[Season], "Winter", AllData[Year], "2023"),"")</f>
        <v>0.57071428571428573</v>
      </c>
      <c r="AC82" s="28">
        <f t="shared" si="53"/>
        <v>0.18804629048867344</v>
      </c>
      <c r="AD82" s="26">
        <f>COUNTIFS(AllData[Site Name], Tables!$B82, AllData[Season], "Spring", AllData[Year], "2024")</f>
        <v>13</v>
      </c>
      <c r="AE82" s="160">
        <f>IFERROR(AVERAGEIFS(AllData[Nitrate (PPM)], AllData[Site Name], $B82, AllData[Season], "Spring", AllData[Year], "2024"), "")</f>
        <v>6.9230769230769234</v>
      </c>
      <c r="AF82" s="27">
        <f t="shared" si="54"/>
        <v>1.0639738496186433E-2</v>
      </c>
      <c r="AG82" s="161">
        <f>IFERROR(AVERAGEIFS(AllData[Phosphate (PPM)], AllData[Site Name], $B82, AllData[Season], "Spring", AllData[Year], "2024"),"")</f>
        <v>0.46076923076923076</v>
      </c>
      <c r="AH82" s="28">
        <f t="shared" si="55"/>
        <v>-4.0824473665349477E-2</v>
      </c>
      <c r="AI82" s="165">
        <f>COUNTIFS(AllData[Site Name], Tables!$B82, AllData[Season], "Summer", AllData[Year], "2024")</f>
        <v>11</v>
      </c>
      <c r="AJ82" s="160">
        <f>IFERROR(AVERAGEIFS(AllData[Nitrate (PPM)], AllData[Site Name], $B82, AllData[Season], "Summer", AllData[Year], "2024"), "")</f>
        <v>9.0909090909090917</v>
      </c>
      <c r="AK82" s="27">
        <f t="shared" si="56"/>
        <v>0.32710268691418426</v>
      </c>
      <c r="AL82" s="27" t="str">
        <f t="shared" si="57"/>
        <v/>
      </c>
      <c r="AM82" s="161">
        <f>IFERROR(AVERAGEIFS(AllData[Phosphate (PPM)], AllData[Site Name], $B82, AllData[Season], "Summer", AllData[Year], "2024"),"")</f>
        <v>0.47454545454545455</v>
      </c>
      <c r="AN82" s="27">
        <f t="shared" si="58"/>
        <v>-1.2146741279869696E-2</v>
      </c>
      <c r="AO82" s="28" t="str">
        <f t="shared" si="59"/>
        <v/>
      </c>
      <c r="AP82" s="157">
        <f>COUNTIFS(AllData[Site Name], Tables!$B82, AllData[Season], "Autumn", AllData[Year], "2024")</f>
        <v>13</v>
      </c>
      <c r="AQ82" s="160">
        <f>IFERROR(AVERAGEIFS(AllData[Nitrate (PPM)], AllData[Site Name], $B82, AllData[Season], "Autumn", AllData[Year], "2024"), "")</f>
        <v>8.088461538461539</v>
      </c>
      <c r="AR82" s="27">
        <f t="shared" si="60"/>
        <v>0.18076409447637787</v>
      </c>
      <c r="AS82" s="27">
        <f t="shared" si="42"/>
        <v>0.61769230769230776</v>
      </c>
      <c r="AT82" s="161">
        <f>IFERROR(AVERAGEIFS(AllData[Phosphate (PPM)], AllData[Site Name], B82, AllData[Season], "Autumn", AllData[Year], "2024"), "")</f>
        <v>0.55230769230769239</v>
      </c>
      <c r="AU82" s="27">
        <f t="shared" si="61"/>
        <v>0.14972959584019899</v>
      </c>
      <c r="AV82" s="28">
        <f t="shared" si="43"/>
        <v>8.2956259426847798E-2</v>
      </c>
      <c r="AW82" s="165">
        <f>COUNTIFS(AllData[Site Name], Tables!$B82, AllData[Season], "Winter", AllData[Year], "2024")</f>
        <v>13</v>
      </c>
      <c r="AX82" s="160">
        <f>IFERROR(AVERAGEIFS(AllData[Nitrate (PPM)], AllData[Site Name], $B82, AllData[Season], "Winter", AllData[Year], "2024"), "")</f>
        <v>5.384615384615385</v>
      </c>
      <c r="AY82" s="27">
        <f t="shared" si="62"/>
        <v>-0.21394687005852164</v>
      </c>
      <c r="AZ82" s="27">
        <f t="shared" si="63"/>
        <v>0.14219114219114223</v>
      </c>
      <c r="BA82" s="161">
        <f>IFERROR(AVERAGEIFS(AllData[Phosphate (PPM)], AllData[Site Name], $B82, AllData[Season], "Winter", AllData[Year], "2024"), "")</f>
        <v>0.45307692307692304</v>
      </c>
      <c r="BB82" s="27">
        <f t="shared" si="64"/>
        <v>-5.68374206826225E-2</v>
      </c>
      <c r="BC82" s="44">
        <f t="shared" si="65"/>
        <v>-0.20612303841340143</v>
      </c>
      <c r="BD82" s="157">
        <f>COUNTIFS(AllData[Site Name], Tables!$B82, AllData[Season], "Spring", AllData[Year], "2025")</f>
        <v>8</v>
      </c>
      <c r="BE82" s="160">
        <f>IFERROR(AVERAGEIFS(AllData[Nitrate (PPM)], AllData[Site Name], $B82, AllData[Season], "Spring", AllData[Year], "2025"), "")</f>
        <v>8.75</v>
      </c>
      <c r="BF82" s="27">
        <f t="shared" si="66"/>
        <v>0.27733633615490227</v>
      </c>
      <c r="BG82" s="27">
        <f t="shared" si="67"/>
        <v>0.26388888888888884</v>
      </c>
      <c r="BH82" s="161">
        <f>IFERROR(AVERAGEIFS(AllData[Phosphate (PPM)], AllData[Site Name], $B82, AllData[Season], "Spring", AllData[Year], "2025"), "")</f>
        <v>0.34125000000000005</v>
      </c>
      <c r="BI82" s="27">
        <f t="shared" si="68"/>
        <v>-0.28962563794622803</v>
      </c>
      <c r="BJ82" s="27">
        <f t="shared" si="69"/>
        <v>-0.25939065108514175</v>
      </c>
      <c r="BK82" s="165">
        <f>COUNTIFS(AllData[Site Name], Tables!$B82, AllData[Season], "Summer", AllData[Year], "2025")</f>
        <v>0</v>
      </c>
      <c r="BL82" s="160" t="str">
        <f>IFERROR(AVERAGEIFS(AllData[Nitrate (PPM)], AllData[Site Name], $B82, AllData[Season], "Summer", AllData[Year], "2025"), "")</f>
        <v/>
      </c>
      <c r="BM82" s="27" t="str">
        <f t="shared" si="70"/>
        <v/>
      </c>
      <c r="BN82" s="27" t="str">
        <f t="shared" si="71"/>
        <v/>
      </c>
      <c r="BO82" s="161" t="str">
        <f>IFERROR(AVERAGEIFS(AllData[Phosphate (PPM)], AllData[Site Name], $B82, AllData[Season], "Summer", AllData[Year], "2025"),"")</f>
        <v/>
      </c>
      <c r="BP82" s="27" t="str">
        <f t="shared" si="72"/>
        <v/>
      </c>
      <c r="BQ82" s="27" t="str">
        <f t="shared" si="73"/>
        <v/>
      </c>
      <c r="BR82" s="165">
        <f>COUNTIFS(AllData[Site Name], Tables!$B82, AllData[Season], "Autumn", AllData[Year], "2025")</f>
        <v>0</v>
      </c>
      <c r="BS82" s="160" t="str">
        <f>IFERROR(AVERAGEIFS(AllData[Nitrate (PPM)], AllData[Site Name], $B82, AllData[Season], "Autumn", AllData[Year], "2025"), "")</f>
        <v/>
      </c>
      <c r="BT82" s="27" t="str">
        <f t="shared" si="74"/>
        <v/>
      </c>
      <c r="BU82" s="27" t="str">
        <f t="shared" si="75"/>
        <v/>
      </c>
      <c r="BV82" s="161" t="str">
        <f>IFERROR(AVERAGEIFS(AllData[Phosphate (PPM)], AllData[Site Name], AD82, AllData[Season], "Autumn", AllData[Year], "2025"), "")</f>
        <v/>
      </c>
      <c r="BW82" s="27" t="str">
        <f t="shared" si="76"/>
        <v/>
      </c>
      <c r="BX82" s="28" t="str">
        <f t="shared" si="77"/>
        <v/>
      </c>
      <c r="BY82" s="165">
        <f>COUNTIFS(AllData[Site Name], Tables!$B82, AllData[Season], "Winter", AllData[Year], "2025")</f>
        <v>0</v>
      </c>
      <c r="BZ82" s="160" t="str">
        <f>IFERROR(AVERAGEIFS(AllData[Nitrate (PPM)], AllData[Site Name], $B82, AllData[Season], "Winter", AllData[Year], "2025"), "")</f>
        <v/>
      </c>
      <c r="CA82" s="27" t="str">
        <f t="shared" si="80"/>
        <v/>
      </c>
      <c r="CB82" s="27" t="str">
        <f t="shared" si="81"/>
        <v/>
      </c>
      <c r="CC82" s="161" t="str">
        <f>IFERROR(AVERAGEIFS(AllData[Phosphate (PPM)], AllData[Site Name], $B82, AllData[Season], "Winter", AllData[Year], "2025"), "")</f>
        <v/>
      </c>
      <c r="CD82" s="27" t="str">
        <f t="shared" si="82"/>
        <v/>
      </c>
      <c r="CE82" s="44" t="str">
        <f t="shared" si="83"/>
        <v/>
      </c>
    </row>
    <row r="83" spans="2:83" x14ac:dyDescent="0.35">
      <c r="B83" s="159" t="s">
        <v>3551</v>
      </c>
      <c r="C83" s="113">
        <f>IFERROR(AVERAGEIF(AllData[Site Name], Tables!B83, AllData[Latitude]), "Unknown")</f>
        <v>51.988591500000005</v>
      </c>
      <c r="D83" s="113">
        <f>IFERROR(AVERAGEIF(AllData[Site Name], Tables!B83, AllData[Longitude]), "Unknown")</f>
        <v>-2.163898333333333</v>
      </c>
      <c r="E83" s="13" t="e" vm="4">
        <f>_xlfn.XLOOKUP(B83,LocationsKey[Site Name], LocationsKey[District])</f>
        <v>#VALUE!</v>
      </c>
      <c r="F83" s="13" t="e" vm="4">
        <f>_xlfn.XLOOKUP(B83,LocationsKey[Site Name], LocationsKey[Town])</f>
        <v>#VALUE!</v>
      </c>
      <c r="G83" s="25" t="str">
        <f>_xlfn.XLOOKUP(B83,LocationsKey[Site Name],LocationsKey[Waterway])</f>
        <v>Swilgate</v>
      </c>
      <c r="H83" s="157">
        <f>COUNTIF(AllData[Site Name], Tables!B83)</f>
        <v>87</v>
      </c>
      <c r="I83" s="160">
        <f t="shared" si="44"/>
        <v>4.5621108058608053</v>
      </c>
      <c r="J83" s="161">
        <f t="shared" si="45"/>
        <v>0.57287470862470868</v>
      </c>
      <c r="K83" s="27" cm="1">
        <f t="array" ref="K83">SUM(COUNTIFS(AllData[Site Name], B83, AllData[Nitrate Pollution Category], {"High","Very high"}))/COUNTIFS(AllData[Site Name], B83, AllData[Nitrate (PPM)], "&lt;&gt;0")</f>
        <v>1</v>
      </c>
      <c r="L83" s="27" cm="1">
        <f t="array" ref="L83">SUM(COUNTIFS(AllData[Site Name], B83, AllData[Phosphate Pollution Category], {"High","Very high"}))/COUNTIFS(AllData[Site Name], B83, AllData[Phosphate (PPM)], "&lt;&gt;0")</f>
        <v>0.9885057471264368</v>
      </c>
      <c r="M83" s="157">
        <f t="shared" si="46"/>
        <v>60</v>
      </c>
      <c r="N83" s="157">
        <f t="shared" si="47"/>
        <v>38</v>
      </c>
      <c r="O83" s="26">
        <f>COUNTIFS(AllData[Site Name], Tables!$B83, AllData[Season], "Summer", AllData[Year], "2023")</f>
        <v>5</v>
      </c>
      <c r="P83" s="160">
        <f>IFERROR(AVERAGEIFS(AllData[Nitrate (PPM)], AllData[Site Name], $B83, AllData[Season], "Summer", AllData[Year], "2023"), "")</f>
        <v>7.8</v>
      </c>
      <c r="Q83" s="27">
        <f t="shared" si="48"/>
        <v>0.70973488631174331</v>
      </c>
      <c r="R83" s="161">
        <f>IFERROR(AVERAGEIFS(AllData[Phosphate (PPM)], AllData[Site Name], $B83, AllData[Season], "Summer", AllData[Year], "2023"),"")</f>
        <v>0.75399999999999989</v>
      </c>
      <c r="S83" s="28">
        <f t="shared" si="49"/>
        <v>0.31616911804348258</v>
      </c>
      <c r="T83" s="26">
        <f>COUNTIFS(AllData[Site Name], Tables!$B83, AllData[Season], "Autumn", AllData[Year], "2023")</f>
        <v>12</v>
      </c>
      <c r="U83" s="160">
        <f>IFERROR(AVERAGEIFS(AllData[Nitrate (PPM)], AllData[Site Name], $B83, AllData[Season], "Autumn", AllData[Year], "2023"), "")</f>
        <v>5.083333333333333</v>
      </c>
      <c r="V83" s="27">
        <f t="shared" si="50"/>
        <v>0.11425029983991818</v>
      </c>
      <c r="W83" s="161">
        <f>IFERROR(AVERAGEIFS(AllData[Phosphate (PPM)], AllData[Site Name], $B83, AllData[Season], "Autumn", AllData[Year], "2023"),"")</f>
        <v>0.60181818181818192</v>
      </c>
      <c r="X83" s="28">
        <f t="shared" si="51"/>
        <v>5.0523216957783626E-2</v>
      </c>
      <c r="Y83" s="26">
        <f>COUNTIFS(AllData[Site Name], Tables!$B83, AllData[Season], "Winter", AllData[Year], "2023")</f>
        <v>13</v>
      </c>
      <c r="Z83" s="160">
        <f>IFERROR(AVERAGEIFS(AllData[Nitrate (PPM)], AllData[Site Name], $B83, AllData[Season], "Winter", AllData[Year], "2023"), "")</f>
        <v>3.7692307692307692</v>
      </c>
      <c r="AA83" s="27">
        <f t="shared" si="52"/>
        <v>-0.17379675119057766</v>
      </c>
      <c r="AB83" s="161">
        <f>IFERROR(AVERAGEIFS(AllData[Phosphate (PPM)], AllData[Site Name], $B83, AllData[Season], "Winter", AllData[Year], "2023"),"")</f>
        <v>0.44307692307692303</v>
      </c>
      <c r="AC83" s="28">
        <f t="shared" si="53"/>
        <v>-0.22657272802178535</v>
      </c>
      <c r="AD83" s="26">
        <f>COUNTIFS(AllData[Site Name], Tables!$B83, AllData[Season], "Spring", AllData[Year], "2024")</f>
        <v>13</v>
      </c>
      <c r="AE83" s="160">
        <f>IFERROR(AVERAGEIFS(AllData[Nitrate (PPM)], AllData[Site Name], $B83, AllData[Season], "Spring", AllData[Year], "2024"), "")</f>
        <v>3.9230769230769229</v>
      </c>
      <c r="AF83" s="27">
        <f t="shared" si="54"/>
        <v>-0.14007416960651964</v>
      </c>
      <c r="AG83" s="161">
        <f>IFERROR(AVERAGEIFS(AllData[Phosphate (PPM)], AllData[Site Name], $B83, AllData[Season], "Spring", AllData[Year], "2024"),"")</f>
        <v>0.41000000000000003</v>
      </c>
      <c r="AH83" s="28">
        <f t="shared" si="55"/>
        <v>-0.28431122228404776</v>
      </c>
      <c r="AI83" s="165">
        <f>COUNTIFS(AllData[Site Name], Tables!$B83, AllData[Season], "Summer", AllData[Year], "2024")</f>
        <v>12</v>
      </c>
      <c r="AJ83" s="160">
        <f>IFERROR(AVERAGEIFS(AllData[Nitrate (PPM)], AllData[Site Name], $B83, AllData[Season], "Summer", AllData[Year], "2024"), "")</f>
        <v>4.75</v>
      </c>
      <c r="AK83" s="27">
        <f t="shared" si="56"/>
        <v>4.1184706407792454E-2</v>
      </c>
      <c r="AL83" s="27">
        <f t="shared" si="57"/>
        <v>-0.39102564102564102</v>
      </c>
      <c r="AM83" s="161">
        <f>IFERROR(AVERAGEIFS(AllData[Phosphate (PPM)], AllData[Site Name], $B83, AllData[Season], "Summer", AllData[Year], "2024"),"")</f>
        <v>0.92583333333333317</v>
      </c>
      <c r="AN83" s="27">
        <f t="shared" si="58"/>
        <v>0.61611835780980229</v>
      </c>
      <c r="AO83" s="28">
        <f t="shared" si="59"/>
        <v>0.22789566755083993</v>
      </c>
      <c r="AP83" s="157">
        <f>COUNTIFS(AllData[Site Name], Tables!$B83, AllData[Season], "Autumn", AllData[Year], "2024")</f>
        <v>13</v>
      </c>
      <c r="AQ83" s="160">
        <f>IFERROR(AVERAGEIFS(AllData[Nitrate (PPM)], AllData[Site Name], $B83, AllData[Season], "Autumn", AllData[Year], "2024"), "")</f>
        <v>3.2307692307692308</v>
      </c>
      <c r="AR83" s="27">
        <f t="shared" si="60"/>
        <v>-0.29182578673478082</v>
      </c>
      <c r="AS83" s="27">
        <f t="shared" si="42"/>
        <v>-0.36443883984867587</v>
      </c>
      <c r="AT83" s="161">
        <f>IFERROR(AVERAGEIFS(AllData[Phosphate (PPM)], AllData[Site Name], B83, AllData[Season], "Autumn", AllData[Year], "2024"), "")</f>
        <v>0.52076923076923076</v>
      </c>
      <c r="AU83" s="27">
        <f t="shared" si="61"/>
        <v>-9.0954404289494167E-2</v>
      </c>
      <c r="AV83" s="28">
        <f t="shared" si="43"/>
        <v>-0.13467348361608197</v>
      </c>
      <c r="AW83" s="165">
        <f>COUNTIFS(AllData[Site Name], Tables!$B83, AllData[Season], "Winter", AllData[Year], "2024")</f>
        <v>12</v>
      </c>
      <c r="AX83" s="160">
        <f>IFERROR(AVERAGEIFS(AllData[Nitrate (PPM)], AllData[Site Name], $B83, AllData[Season], "Winter", AllData[Year], "2024"), "")</f>
        <v>3.0833333333333335</v>
      </c>
      <c r="AY83" s="27">
        <f t="shared" si="62"/>
        <v>-0.32414326075283645</v>
      </c>
      <c r="AZ83" s="27">
        <f t="shared" si="63"/>
        <v>-0.18197278911564621</v>
      </c>
      <c r="BA83" s="161">
        <f>IFERROR(AVERAGEIFS(AllData[Phosphate (PPM)], AllData[Site Name], $B83, AllData[Season], "Winter", AllData[Year], "2024"), "")</f>
        <v>0.37749999999999995</v>
      </c>
      <c r="BB83" s="27">
        <f t="shared" si="64"/>
        <v>-0.34104264978592219</v>
      </c>
      <c r="BC83" s="44">
        <f t="shared" si="65"/>
        <v>-0.14800347222222227</v>
      </c>
      <c r="BD83" s="157">
        <f>COUNTIFS(AllData[Site Name], Tables!$B83, AllData[Season], "Spring", AllData[Year], "2025")</f>
        <v>7</v>
      </c>
      <c r="BE83" s="160">
        <f>IFERROR(AVERAGEIFS(AllData[Nitrate (PPM)], AllData[Site Name], $B83, AllData[Season], "Spring", AllData[Year], "2025"), "")</f>
        <v>4.8571428571428568</v>
      </c>
      <c r="BF83" s="27">
        <f t="shared" si="66"/>
        <v>6.4670075725261372E-2</v>
      </c>
      <c r="BG83" s="27">
        <f t="shared" si="67"/>
        <v>0.23809523809523805</v>
      </c>
      <c r="BH83" s="161">
        <f>IFERROR(AVERAGEIFS(AllData[Phosphate (PPM)], AllData[Site Name], $B83, AllData[Season], "Spring", AllData[Year], "2025"), "")</f>
        <v>0.55000000000000004</v>
      </c>
      <c r="BI83" s="27">
        <f t="shared" si="68"/>
        <v>-3.9929688429820184E-2</v>
      </c>
      <c r="BJ83" s="27">
        <f t="shared" si="69"/>
        <v>0.34146341463414637</v>
      </c>
      <c r="BK83" s="165">
        <f>COUNTIFS(AllData[Site Name], Tables!$B83, AllData[Season], "Summer", AllData[Year], "2025")</f>
        <v>0</v>
      </c>
      <c r="BL83" s="160" t="str">
        <f>IFERROR(AVERAGEIFS(AllData[Nitrate (PPM)], AllData[Site Name], $B83, AllData[Season], "Summer", AllData[Year], "2025"), "")</f>
        <v/>
      </c>
      <c r="BM83" s="27" t="str">
        <f t="shared" si="70"/>
        <v/>
      </c>
      <c r="BN83" s="27" t="str">
        <f t="shared" si="71"/>
        <v/>
      </c>
      <c r="BO83" s="161" t="str">
        <f>IFERROR(AVERAGEIFS(AllData[Phosphate (PPM)], AllData[Site Name], $B83, AllData[Season], "Summer", AllData[Year], "2025"),"")</f>
        <v/>
      </c>
      <c r="BP83" s="27" t="str">
        <f t="shared" si="72"/>
        <v/>
      </c>
      <c r="BQ83" s="27" t="str">
        <f t="shared" si="73"/>
        <v/>
      </c>
      <c r="BR83" s="165">
        <f>COUNTIFS(AllData[Site Name], Tables!$B83, AllData[Season], "Autumn", AllData[Year], "2025")</f>
        <v>0</v>
      </c>
      <c r="BS83" s="160" t="str">
        <f>IFERROR(AVERAGEIFS(AllData[Nitrate (PPM)], AllData[Site Name], $B83, AllData[Season], "Autumn", AllData[Year], "2025"), "")</f>
        <v/>
      </c>
      <c r="BT83" s="27" t="str">
        <f t="shared" si="74"/>
        <v/>
      </c>
      <c r="BU83" s="27" t="str">
        <f t="shared" si="75"/>
        <v/>
      </c>
      <c r="BV83" s="161" t="str">
        <f>IFERROR(AVERAGEIFS(AllData[Phosphate (PPM)], AllData[Site Name], AD83, AllData[Season], "Autumn", AllData[Year], "2025"), "")</f>
        <v/>
      </c>
      <c r="BW83" s="27" t="str">
        <f t="shared" si="76"/>
        <v/>
      </c>
      <c r="BX83" s="28" t="str">
        <f t="shared" si="77"/>
        <v/>
      </c>
      <c r="BY83" s="165">
        <f>COUNTIFS(AllData[Site Name], Tables!$B83, AllData[Season], "Winter", AllData[Year], "2025")</f>
        <v>0</v>
      </c>
      <c r="BZ83" s="160" t="str">
        <f>IFERROR(AVERAGEIFS(AllData[Nitrate (PPM)], AllData[Site Name], $B83, AllData[Season], "Winter", AllData[Year], "2025"), "")</f>
        <v/>
      </c>
      <c r="CA83" s="27" t="str">
        <f t="shared" si="80"/>
        <v/>
      </c>
      <c r="CB83" s="27" t="str">
        <f t="shared" si="81"/>
        <v/>
      </c>
      <c r="CC83" s="161" t="str">
        <f>IFERROR(AVERAGEIFS(AllData[Phosphate (PPM)], AllData[Site Name], $B83, AllData[Season], "Winter", AllData[Year], "2025"), "")</f>
        <v/>
      </c>
      <c r="CD83" s="27" t="str">
        <f t="shared" si="82"/>
        <v/>
      </c>
      <c r="CE83" s="44" t="str">
        <f t="shared" si="83"/>
        <v/>
      </c>
    </row>
    <row r="84" spans="2:83" x14ac:dyDescent="0.35">
      <c r="B84" s="159" t="s">
        <v>3550</v>
      </c>
      <c r="C84" s="113">
        <f>IFERROR(AVERAGEIF(AllData[Site Name], Tables!B84, AllData[Latitude]), "Unknown")</f>
        <v>51.929875000000003</v>
      </c>
      <c r="D84" s="113">
        <f>IFERROR(AVERAGEIF(AllData[Site Name], Tables!B84, AllData[Longitude]), "Unknown")</f>
        <v>-2.1277550000000001</v>
      </c>
      <c r="E84" s="13" t="e" vm="9">
        <f>_xlfn.XLOOKUP(B84,LocationsKey[Site Name], LocationsKey[District])</f>
        <v>#VALUE!</v>
      </c>
      <c r="F84" s="13" t="e" vm="28">
        <f>_xlfn.XLOOKUP(B84,LocationsKey[Site Name], LocationsKey[Town])</f>
        <v>#VALUE!</v>
      </c>
      <c r="G84" s="25" t="str">
        <f>_xlfn.XLOOKUP(B84,LocationsKey[Site Name],LocationsKey[Waterway])</f>
        <v>Swilgate</v>
      </c>
      <c r="H84" s="157">
        <f>COUNTIF(AllData[Site Name], Tables!B84)</f>
        <v>1</v>
      </c>
      <c r="I84" s="160">
        <f t="shared" si="44"/>
        <v>3</v>
      </c>
      <c r="J84" s="161">
        <f t="shared" si="45"/>
        <v>0.38</v>
      </c>
      <c r="K84" s="27" cm="1">
        <f t="array" ref="K84">SUM(COUNTIFS(AllData[Site Name], B84, AllData[Nitrate Pollution Category], {"High","Very high"}))/COUNTIFS(AllData[Site Name], B84, AllData[Nitrate (PPM)], "&lt;&gt;0")</f>
        <v>1</v>
      </c>
      <c r="L84" s="27" cm="1">
        <f t="array" ref="L84">SUM(COUNTIFS(AllData[Site Name], B84, AllData[Phosphate Pollution Category], {"High","Very high"}))/COUNTIFS(AllData[Site Name], B84, AllData[Phosphate (PPM)], "&lt;&gt;0")</f>
        <v>1</v>
      </c>
      <c r="M84" s="157">
        <f t="shared" si="46"/>
        <v>73</v>
      </c>
      <c r="N84" s="157">
        <f t="shared" si="47"/>
        <v>66</v>
      </c>
      <c r="O84" s="26">
        <f>COUNTIFS(AllData[Site Name], Tables!$B84, AllData[Season], "Summer", AllData[Year], "2023")</f>
        <v>0</v>
      </c>
      <c r="P84" s="160" t="str">
        <f>IFERROR(AVERAGEIFS(AllData[Nitrate (PPM)], AllData[Site Name], $B84, AllData[Season], "Summer", AllData[Year], "2023"), "")</f>
        <v/>
      </c>
      <c r="Q84" s="27" t="str">
        <f t="shared" si="48"/>
        <v/>
      </c>
      <c r="R84" s="161" t="str">
        <f>IFERROR(AVERAGEIFS(AllData[Phosphate (PPM)], AllData[Site Name], $B84, AllData[Season], "Summer", AllData[Year], "2023"),"")</f>
        <v/>
      </c>
      <c r="S84" s="28" t="str">
        <f t="shared" si="49"/>
        <v/>
      </c>
      <c r="T84" s="26">
        <f>COUNTIFS(AllData[Site Name], Tables!$B84, AllData[Season], "Autumn", AllData[Year], "2023")</f>
        <v>0</v>
      </c>
      <c r="U84" s="160" t="str">
        <f>IFERROR(AVERAGEIFS(AllData[Nitrate (PPM)], AllData[Site Name], $B84, AllData[Season], "Autumn", AllData[Year], "2023"), "")</f>
        <v/>
      </c>
      <c r="V84" s="27" t="str">
        <f t="shared" si="50"/>
        <v/>
      </c>
      <c r="W84" s="161" t="str">
        <f>IFERROR(AVERAGEIFS(AllData[Phosphate (PPM)], AllData[Site Name], $B84, AllData[Season], "Autumn", AllData[Year], "2023"),"")</f>
        <v/>
      </c>
      <c r="X84" s="28" t="str">
        <f t="shared" si="51"/>
        <v/>
      </c>
      <c r="Y84" s="26">
        <f>COUNTIFS(AllData[Site Name], Tables!$B84, AllData[Season], "Winter", AllData[Year], "2023")</f>
        <v>0</v>
      </c>
      <c r="Z84" s="160" t="str">
        <f>IFERROR(AVERAGEIFS(AllData[Nitrate (PPM)], AllData[Site Name], $B84, AllData[Season], "Winter", AllData[Year], "2023"), "")</f>
        <v/>
      </c>
      <c r="AA84" s="27" t="str">
        <f t="shared" si="52"/>
        <v/>
      </c>
      <c r="AB84" s="161" t="str">
        <f>IFERROR(AVERAGEIFS(AllData[Phosphate (PPM)], AllData[Site Name], $B84, AllData[Season], "Winter", AllData[Year], "2023"),"")</f>
        <v/>
      </c>
      <c r="AC84" s="28" t="str">
        <f t="shared" si="53"/>
        <v/>
      </c>
      <c r="AD84" s="26">
        <f>COUNTIFS(AllData[Site Name], Tables!$B84, AllData[Season], "Spring", AllData[Year], "2024")</f>
        <v>0</v>
      </c>
      <c r="AE84" s="160" t="str">
        <f>IFERROR(AVERAGEIFS(AllData[Nitrate (PPM)], AllData[Site Name], $B84, AllData[Season], "Spring", AllData[Year], "2024"), "")</f>
        <v/>
      </c>
      <c r="AF84" s="27" t="str">
        <f t="shared" si="54"/>
        <v/>
      </c>
      <c r="AG84" s="161" t="str">
        <f>IFERROR(AVERAGEIFS(AllData[Phosphate (PPM)], AllData[Site Name], $B84, AllData[Season], "Spring", AllData[Year], "2024"),"")</f>
        <v/>
      </c>
      <c r="AH84" s="28" t="str">
        <f t="shared" si="55"/>
        <v/>
      </c>
      <c r="AI84" s="165">
        <f>COUNTIFS(AllData[Site Name], Tables!$B84, AllData[Season], "Summer", AllData[Year], "2024")</f>
        <v>0</v>
      </c>
      <c r="AJ84" s="160" t="str">
        <f>IFERROR(AVERAGEIFS(AllData[Nitrate (PPM)], AllData[Site Name], $B84, AllData[Season], "Summer", AllData[Year], "2024"), "")</f>
        <v/>
      </c>
      <c r="AK84" s="27" t="str">
        <f t="shared" si="56"/>
        <v/>
      </c>
      <c r="AL84" s="27" t="str">
        <f t="shared" si="57"/>
        <v/>
      </c>
      <c r="AM84" s="161" t="str">
        <f>IFERROR(AVERAGEIFS(AllData[Phosphate (PPM)], AllData[Site Name], $B84, AllData[Season], "Summer", AllData[Year], "2024"),"")</f>
        <v/>
      </c>
      <c r="AN84" s="27" t="str">
        <f t="shared" si="58"/>
        <v/>
      </c>
      <c r="AO84" s="28" t="str">
        <f t="shared" si="59"/>
        <v/>
      </c>
      <c r="AP84" s="157">
        <f>COUNTIFS(AllData[Site Name], Tables!$B84, AllData[Season], "Autumn", AllData[Year], "2024")</f>
        <v>1</v>
      </c>
      <c r="AQ84" s="160">
        <f>IFERROR(AVERAGEIFS(AllData[Nitrate (PPM)], AllData[Site Name], $B84, AllData[Season], "Autumn", AllData[Year], "2024"), "")</f>
        <v>3</v>
      </c>
      <c r="AR84" s="27">
        <f t="shared" si="60"/>
        <v>0</v>
      </c>
      <c r="AS84" s="27" t="str">
        <f t="shared" si="42"/>
        <v/>
      </c>
      <c r="AT84" s="161">
        <f>IFERROR(AVERAGEIFS(AllData[Phosphate (PPM)], AllData[Site Name], B84, AllData[Season], "Autumn", AllData[Year], "2024"), "")</f>
        <v>0.38</v>
      </c>
      <c r="AU84" s="27">
        <f t="shared" si="61"/>
        <v>0</v>
      </c>
      <c r="AV84" s="28" t="str">
        <f t="shared" si="43"/>
        <v/>
      </c>
      <c r="AW84" s="165">
        <f>COUNTIFS(AllData[Site Name], Tables!$B84, AllData[Season], "Winter", AllData[Year], "2024")</f>
        <v>0</v>
      </c>
      <c r="AX84" s="160" t="str">
        <f>IFERROR(AVERAGEIFS(AllData[Nitrate (PPM)], AllData[Site Name], $B84, AllData[Season], "Winter", AllData[Year], "2024"), "")</f>
        <v/>
      </c>
      <c r="AY84" s="27" t="str">
        <f t="shared" si="62"/>
        <v/>
      </c>
      <c r="AZ84" s="27" t="str">
        <f t="shared" si="63"/>
        <v/>
      </c>
      <c r="BA84" s="161" t="str">
        <f>IFERROR(AVERAGEIFS(AllData[Phosphate (PPM)], AllData[Site Name], $B84, AllData[Season], "Winter", AllData[Year], "2024"), "")</f>
        <v/>
      </c>
      <c r="BB84" s="27" t="str">
        <f t="shared" si="64"/>
        <v/>
      </c>
      <c r="BC84" s="44" t="str">
        <f t="shared" si="65"/>
        <v/>
      </c>
      <c r="BD84" s="157">
        <f>COUNTIFS(AllData[Site Name], Tables!$B84, AllData[Season], "Spring", AllData[Year], "2025")</f>
        <v>0</v>
      </c>
      <c r="BE84" s="160" t="str">
        <f>IFERROR(AVERAGEIFS(AllData[Nitrate (PPM)], AllData[Site Name], $B84, AllData[Season], "Spring", AllData[Year], "2025"), "")</f>
        <v/>
      </c>
      <c r="BF84" s="27" t="str">
        <f t="shared" si="66"/>
        <v/>
      </c>
      <c r="BG84" s="27" t="str">
        <f t="shared" si="67"/>
        <v/>
      </c>
      <c r="BH84" s="161" t="str">
        <f>IFERROR(AVERAGEIFS(AllData[Phosphate (PPM)], AllData[Site Name], $B84, AllData[Season], "Spring", AllData[Year], "2025"), "")</f>
        <v/>
      </c>
      <c r="BI84" s="27" t="str">
        <f t="shared" si="68"/>
        <v/>
      </c>
      <c r="BJ84" s="27" t="str">
        <f t="shared" si="69"/>
        <v/>
      </c>
      <c r="BK84" s="165">
        <f>COUNTIFS(AllData[Site Name], Tables!$B84, AllData[Season], "Summer", AllData[Year], "2025")</f>
        <v>0</v>
      </c>
      <c r="BL84" s="160" t="str">
        <f>IFERROR(AVERAGEIFS(AllData[Nitrate (PPM)], AllData[Site Name], $B84, AllData[Season], "Summer", AllData[Year], "2025"), "")</f>
        <v/>
      </c>
      <c r="BM84" s="27" t="str">
        <f t="shared" si="70"/>
        <v/>
      </c>
      <c r="BN84" s="27" t="str">
        <f t="shared" si="71"/>
        <v/>
      </c>
      <c r="BO84" s="161" t="str">
        <f>IFERROR(AVERAGEIFS(AllData[Phosphate (PPM)], AllData[Site Name], $B84, AllData[Season], "Summer", AllData[Year], "2025"),"")</f>
        <v/>
      </c>
      <c r="BP84" s="27" t="str">
        <f t="shared" si="72"/>
        <v/>
      </c>
      <c r="BQ84" s="27" t="str">
        <f t="shared" si="73"/>
        <v/>
      </c>
      <c r="BR84" s="165">
        <f>COUNTIFS(AllData[Site Name], Tables!$B84, AllData[Season], "Autumn", AllData[Year], "2025")</f>
        <v>0</v>
      </c>
      <c r="BS84" s="160" t="str">
        <f>IFERROR(AVERAGEIFS(AllData[Nitrate (PPM)], AllData[Site Name], $B84, AllData[Season], "Autumn", AllData[Year], "2025"), "")</f>
        <v/>
      </c>
      <c r="BT84" s="27" t="str">
        <f t="shared" si="74"/>
        <v/>
      </c>
      <c r="BU84" s="27" t="str">
        <f t="shared" si="75"/>
        <v/>
      </c>
      <c r="BV84" s="161" t="str">
        <f>IFERROR(AVERAGEIFS(AllData[Phosphate (PPM)], AllData[Site Name], AD84, AllData[Season], "Autumn", AllData[Year], "2025"), "")</f>
        <v/>
      </c>
      <c r="BW84" s="27" t="str">
        <f t="shared" si="76"/>
        <v/>
      </c>
      <c r="BX84" s="28" t="str">
        <f t="shared" si="77"/>
        <v/>
      </c>
      <c r="BY84" s="165">
        <f>COUNTIFS(AllData[Site Name], Tables!$B84, AllData[Season], "Winter", AllData[Year], "2025")</f>
        <v>0</v>
      </c>
      <c r="BZ84" s="160" t="str">
        <f>IFERROR(AVERAGEIFS(AllData[Nitrate (PPM)], AllData[Site Name], $B84, AllData[Season], "Winter", AllData[Year], "2025"), "")</f>
        <v/>
      </c>
      <c r="CA84" s="27" t="str">
        <f t="shared" si="80"/>
        <v/>
      </c>
      <c r="CB84" s="27" t="str">
        <f t="shared" si="81"/>
        <v/>
      </c>
      <c r="CC84" s="161" t="str">
        <f>IFERROR(AVERAGEIFS(AllData[Phosphate (PPM)], AllData[Site Name], $B84, AllData[Season], "Winter", AllData[Year], "2025"), "")</f>
        <v/>
      </c>
      <c r="CD84" s="27" t="str">
        <f t="shared" si="82"/>
        <v/>
      </c>
      <c r="CE84" s="44" t="str">
        <f t="shared" si="83"/>
        <v/>
      </c>
    </row>
    <row r="85" spans="2:83" x14ac:dyDescent="0.35">
      <c r="B85" s="159" t="s">
        <v>1409</v>
      </c>
      <c r="C85" s="113">
        <f>IFERROR(AVERAGEIF(AllData[Site Name], Tables!B85, AllData[Latitude]), "Unknown")</f>
        <v>51.980561000000002</v>
      </c>
      <c r="D85" s="113">
        <f>IFERROR(AVERAGEIF(AllData[Site Name], Tables!B85, AllData[Longitude]), "Unknown")</f>
        <v>-2.150067</v>
      </c>
      <c r="E85" s="13" t="e" vm="4">
        <f>_xlfn.XLOOKUP(B85,LocationsKey[Site Name], LocationsKey[District])</f>
        <v>#VALUE!</v>
      </c>
      <c r="F85" s="13" t="e" vm="4">
        <f>_xlfn.XLOOKUP(B85,LocationsKey[Site Name], LocationsKey[Town])</f>
        <v>#VALUE!</v>
      </c>
      <c r="G85" s="25" t="str">
        <f>_xlfn.XLOOKUP(B85,LocationsKey[Site Name],LocationsKey[Waterway])</f>
        <v>Swilgate</v>
      </c>
      <c r="H85" s="157">
        <f>COUNTIF(AllData[Site Name], Tables!B85)</f>
        <v>1</v>
      </c>
      <c r="I85" s="160">
        <f t="shared" si="44"/>
        <v>8</v>
      </c>
      <c r="J85" s="161">
        <f t="shared" si="45"/>
        <v>0.7</v>
      </c>
      <c r="K85" s="27" cm="1">
        <f t="array" ref="K85">SUM(COUNTIFS(AllData[Site Name], B85, AllData[Nitrate Pollution Category], {"High","Very high"}))/COUNTIFS(AllData[Site Name], B85, AllData[Nitrate (PPM)], "&lt;&gt;0")</f>
        <v>1</v>
      </c>
      <c r="L85" s="27" cm="1">
        <f t="array" ref="L85">SUM(COUNTIFS(AllData[Site Name], B85, AllData[Phosphate Pollution Category], {"High","Very high"}))/COUNTIFS(AllData[Site Name], B85, AllData[Phosphate (PPM)], "&lt;&gt;0")</f>
        <v>1</v>
      </c>
      <c r="M85" s="157">
        <f t="shared" si="46"/>
        <v>16</v>
      </c>
      <c r="N85" s="157">
        <f t="shared" si="47"/>
        <v>25</v>
      </c>
      <c r="O85" s="26">
        <f>COUNTIFS(AllData[Site Name], Tables!$B85, AllData[Season], "Summer", AllData[Year], "2023")</f>
        <v>0</v>
      </c>
      <c r="P85" s="160" t="str">
        <f>IFERROR(AVERAGEIFS(AllData[Nitrate (PPM)], AllData[Site Name], $B85, AllData[Season], "Summer", AllData[Year], "2023"), "")</f>
        <v/>
      </c>
      <c r="Q85" s="27" t="str">
        <f t="shared" si="48"/>
        <v/>
      </c>
      <c r="R85" s="161" t="str">
        <f>IFERROR(AVERAGEIFS(AllData[Phosphate (PPM)], AllData[Site Name], $B85, AllData[Season], "Summer", AllData[Year], "2023"),"")</f>
        <v/>
      </c>
      <c r="S85" s="28" t="str">
        <f t="shared" si="49"/>
        <v/>
      </c>
      <c r="T85" s="26">
        <f>COUNTIFS(AllData[Site Name], Tables!$B85, AllData[Season], "Autumn", AllData[Year], "2023")</f>
        <v>0</v>
      </c>
      <c r="U85" s="160" t="str">
        <f>IFERROR(AVERAGEIFS(AllData[Nitrate (PPM)], AllData[Site Name], $B85, AllData[Season], "Autumn", AllData[Year], "2023"), "")</f>
        <v/>
      </c>
      <c r="V85" s="27" t="str">
        <f t="shared" si="50"/>
        <v/>
      </c>
      <c r="W85" s="161" t="str">
        <f>IFERROR(AVERAGEIFS(AllData[Phosphate (PPM)], AllData[Site Name], $B85, AllData[Season], "Autumn", AllData[Year], "2023"),"")</f>
        <v/>
      </c>
      <c r="X85" s="28" t="str">
        <f t="shared" si="51"/>
        <v/>
      </c>
      <c r="Y85" s="26">
        <f>COUNTIFS(AllData[Site Name], Tables!$B85, AllData[Season], "Winter", AllData[Year], "2023")</f>
        <v>0</v>
      </c>
      <c r="Z85" s="160" t="str">
        <f>IFERROR(AVERAGEIFS(AllData[Nitrate (PPM)], AllData[Site Name], $B85, AllData[Season], "Winter", AllData[Year], "2023"), "")</f>
        <v/>
      </c>
      <c r="AA85" s="27" t="str">
        <f t="shared" si="52"/>
        <v/>
      </c>
      <c r="AB85" s="161" t="str">
        <f>IFERROR(AVERAGEIFS(AllData[Phosphate (PPM)], AllData[Site Name], $B85, AllData[Season], "Winter", AllData[Year], "2023"),"")</f>
        <v/>
      </c>
      <c r="AC85" s="28" t="str">
        <f t="shared" si="53"/>
        <v/>
      </c>
      <c r="AD85" s="26">
        <f>COUNTIFS(AllData[Site Name], Tables!$B85, AllData[Season], "Spring", AllData[Year], "2024")</f>
        <v>0</v>
      </c>
      <c r="AE85" s="160" t="str">
        <f>IFERROR(AVERAGEIFS(AllData[Nitrate (PPM)], AllData[Site Name], $B85, AllData[Season], "Spring", AllData[Year], "2024"), "")</f>
        <v/>
      </c>
      <c r="AF85" s="27" t="str">
        <f t="shared" si="54"/>
        <v/>
      </c>
      <c r="AG85" s="161" t="str">
        <f>IFERROR(AVERAGEIFS(AllData[Phosphate (PPM)], AllData[Site Name], $B85, AllData[Season], "Spring", AllData[Year], "2024"),"")</f>
        <v/>
      </c>
      <c r="AH85" s="28" t="str">
        <f t="shared" si="55"/>
        <v/>
      </c>
      <c r="AI85" s="165">
        <f>COUNTIFS(AllData[Site Name], Tables!$B85, AllData[Season], "Summer", AllData[Year], "2024")</f>
        <v>1</v>
      </c>
      <c r="AJ85" s="160">
        <f>IFERROR(AVERAGEIFS(AllData[Nitrate (PPM)], AllData[Site Name], $B85, AllData[Season], "Summer", AllData[Year], "2024"), "")</f>
        <v>8</v>
      </c>
      <c r="AK85" s="27">
        <f t="shared" si="56"/>
        <v>0</v>
      </c>
      <c r="AL85" s="27" t="str">
        <f t="shared" si="57"/>
        <v/>
      </c>
      <c r="AM85" s="161">
        <f>IFERROR(AVERAGEIFS(AllData[Phosphate (PPM)], AllData[Site Name], $B85, AllData[Season], "Summer", AllData[Year], "2024"),"")</f>
        <v>0.7</v>
      </c>
      <c r="AN85" s="27">
        <f t="shared" si="58"/>
        <v>0</v>
      </c>
      <c r="AO85" s="28" t="str">
        <f t="shared" si="59"/>
        <v/>
      </c>
      <c r="AP85" s="157">
        <f>COUNTIFS(AllData[Site Name], Tables!$B85, AllData[Season], "Autumn", AllData[Year], "2024")</f>
        <v>0</v>
      </c>
      <c r="AQ85" s="160" t="str">
        <f>IFERROR(AVERAGEIFS(AllData[Nitrate (PPM)], AllData[Site Name], $B85, AllData[Season], "Autumn", AllData[Year], "2024"), "")</f>
        <v/>
      </c>
      <c r="AR85" s="27" t="str">
        <f t="shared" si="60"/>
        <v/>
      </c>
      <c r="AS85" s="27" t="str">
        <f t="shared" si="42"/>
        <v/>
      </c>
      <c r="AT85" s="161" t="str">
        <f>IFERROR(AVERAGEIFS(AllData[Phosphate (PPM)], AllData[Site Name], B85, AllData[Season], "Autumn", AllData[Year], "2024"), "")</f>
        <v/>
      </c>
      <c r="AU85" s="27" t="str">
        <f t="shared" si="61"/>
        <v/>
      </c>
      <c r="AV85" s="28" t="str">
        <f t="shared" si="43"/>
        <v/>
      </c>
      <c r="AW85" s="165">
        <f>COUNTIFS(AllData[Site Name], Tables!$B85, AllData[Season], "Winter", AllData[Year], "2024")</f>
        <v>0</v>
      </c>
      <c r="AX85" s="160" t="str">
        <f>IFERROR(AVERAGEIFS(AllData[Nitrate (PPM)], AllData[Site Name], $B85, AllData[Season], "Winter", AllData[Year], "2024"), "")</f>
        <v/>
      </c>
      <c r="AY85" s="27" t="str">
        <f t="shared" si="62"/>
        <v/>
      </c>
      <c r="AZ85" s="27" t="str">
        <f t="shared" si="63"/>
        <v/>
      </c>
      <c r="BA85" s="161" t="str">
        <f>IFERROR(AVERAGEIFS(AllData[Phosphate (PPM)], AllData[Site Name], $B85, AllData[Season], "Winter", AllData[Year], "2024"), "")</f>
        <v/>
      </c>
      <c r="BB85" s="27" t="str">
        <f t="shared" si="64"/>
        <v/>
      </c>
      <c r="BC85" s="44" t="str">
        <f t="shared" si="65"/>
        <v/>
      </c>
      <c r="BD85" s="157">
        <f>COUNTIFS(AllData[Site Name], Tables!$B85, AllData[Season], "Spring", AllData[Year], "2025")</f>
        <v>0</v>
      </c>
      <c r="BE85" s="160" t="str">
        <f>IFERROR(AVERAGEIFS(AllData[Nitrate (PPM)], AllData[Site Name], $B85, AllData[Season], "Spring", AllData[Year], "2025"), "")</f>
        <v/>
      </c>
      <c r="BF85" s="27" t="str">
        <f t="shared" si="66"/>
        <v/>
      </c>
      <c r="BG85" s="27" t="str">
        <f t="shared" si="67"/>
        <v/>
      </c>
      <c r="BH85" s="161" t="str">
        <f>IFERROR(AVERAGEIFS(AllData[Phosphate (PPM)], AllData[Site Name], $B85, AllData[Season], "Spring", AllData[Year], "2025"), "")</f>
        <v/>
      </c>
      <c r="BI85" s="27" t="str">
        <f t="shared" si="68"/>
        <v/>
      </c>
      <c r="BJ85" s="27" t="str">
        <f t="shared" si="69"/>
        <v/>
      </c>
      <c r="BK85" s="165">
        <f>COUNTIFS(AllData[Site Name], Tables!$B85, AllData[Season], "Summer", AllData[Year], "2025")</f>
        <v>0</v>
      </c>
      <c r="BL85" s="160" t="str">
        <f>IFERROR(AVERAGEIFS(AllData[Nitrate (PPM)], AllData[Site Name], $B85, AllData[Season], "Summer", AllData[Year], "2025"), "")</f>
        <v/>
      </c>
      <c r="BM85" s="27" t="str">
        <f t="shared" si="70"/>
        <v/>
      </c>
      <c r="BN85" s="27" t="str">
        <f t="shared" si="71"/>
        <v/>
      </c>
      <c r="BO85" s="161" t="str">
        <f>IFERROR(AVERAGEIFS(AllData[Phosphate (PPM)], AllData[Site Name], $B85, AllData[Season], "Summer", AllData[Year], "2025"),"")</f>
        <v/>
      </c>
      <c r="BP85" s="27" t="str">
        <f t="shared" si="72"/>
        <v/>
      </c>
      <c r="BQ85" s="27" t="str">
        <f t="shared" si="73"/>
        <v/>
      </c>
      <c r="BR85" s="165">
        <f>COUNTIFS(AllData[Site Name], Tables!$B85, AllData[Season], "Autumn", AllData[Year], "2025")</f>
        <v>0</v>
      </c>
      <c r="BS85" s="160" t="str">
        <f>IFERROR(AVERAGEIFS(AllData[Nitrate (PPM)], AllData[Site Name], $B85, AllData[Season], "Autumn", AllData[Year], "2025"), "")</f>
        <v/>
      </c>
      <c r="BT85" s="27" t="str">
        <f t="shared" si="74"/>
        <v/>
      </c>
      <c r="BU85" s="27" t="str">
        <f t="shared" si="75"/>
        <v/>
      </c>
      <c r="BV85" s="161" t="str">
        <f>IFERROR(AVERAGEIFS(AllData[Phosphate (PPM)], AllData[Site Name], AD85, AllData[Season], "Autumn", AllData[Year], "2025"), "")</f>
        <v/>
      </c>
      <c r="BW85" s="27" t="str">
        <f t="shared" si="76"/>
        <v/>
      </c>
      <c r="BX85" s="28" t="str">
        <f t="shared" si="77"/>
        <v/>
      </c>
      <c r="BY85" s="165">
        <f>COUNTIFS(AllData[Site Name], Tables!$B85, AllData[Season], "Winter", AllData[Year], "2025")</f>
        <v>0</v>
      </c>
      <c r="BZ85" s="160" t="str">
        <f>IFERROR(AVERAGEIFS(AllData[Nitrate (PPM)], AllData[Site Name], $B85, AllData[Season], "Winter", AllData[Year], "2025"), "")</f>
        <v/>
      </c>
      <c r="CA85" s="27" t="str">
        <f t="shared" si="80"/>
        <v/>
      </c>
      <c r="CB85" s="27" t="str">
        <f t="shared" si="81"/>
        <v/>
      </c>
      <c r="CC85" s="161" t="str">
        <f>IFERROR(AVERAGEIFS(AllData[Phosphate (PPM)], AllData[Site Name], $B85, AllData[Season], "Winter", AllData[Year], "2025"), "")</f>
        <v/>
      </c>
      <c r="CD85" s="27" t="str">
        <f t="shared" si="82"/>
        <v/>
      </c>
      <c r="CE85" s="44" t="str">
        <f t="shared" si="83"/>
        <v/>
      </c>
    </row>
    <row r="86" spans="2:83" x14ac:dyDescent="0.35">
      <c r="B86" s="159" t="s">
        <v>121</v>
      </c>
      <c r="C86" s="113">
        <f>IFERROR(AVERAGEIF(AllData[Site Name], Tables!B86, AllData[Latitude]), "Unknown")</f>
        <v>52.120947999999999</v>
      </c>
      <c r="D86" s="113">
        <f>IFERROR(AVERAGEIF(AllData[Site Name], Tables!B86, AllData[Longitude]), "Unknown")</f>
        <v>-1.6505399999999999</v>
      </c>
      <c r="E86" s="13" t="e" vm="1">
        <f>_xlfn.XLOOKUP(B86,LocationsKey[Site Name], LocationsKey[District])</f>
        <v>#VALUE!</v>
      </c>
      <c r="F86" s="13" t="e" vm="27">
        <f>_xlfn.XLOOKUP(B86,LocationsKey[Site Name], LocationsKey[Town])</f>
        <v>#VALUE!</v>
      </c>
      <c r="G86" s="25" t="str">
        <f>_xlfn.XLOOKUP(B86,LocationsKey[Site Name],LocationsKey[Waterway])</f>
        <v>Avon</v>
      </c>
      <c r="H86" s="157">
        <f>COUNTIF(AllData[Site Name], Tables!B86)</f>
        <v>1</v>
      </c>
      <c r="I86" s="160">
        <f t="shared" si="44"/>
        <v>10</v>
      </c>
      <c r="J86" s="161">
        <f t="shared" si="45"/>
        <v>0.33</v>
      </c>
      <c r="K86" s="27" cm="1">
        <f t="array" ref="K86">SUM(COUNTIFS(AllData[Site Name], B86, AllData[Nitrate Pollution Category], {"High","Very high"}))/COUNTIFS(AllData[Site Name], B86, AllData[Nitrate (PPM)], "&lt;&gt;0")</f>
        <v>1</v>
      </c>
      <c r="L86" s="27" cm="1">
        <f t="array" ref="L86">SUM(COUNTIFS(AllData[Site Name], B86, AllData[Phosphate Pollution Category], {"High","Very high"}))/COUNTIFS(AllData[Site Name], B86, AllData[Phosphate (PPM)], "&lt;&gt;0")</f>
        <v>1</v>
      </c>
      <c r="M86" s="157">
        <f t="shared" si="46"/>
        <v>6</v>
      </c>
      <c r="N86" s="157">
        <f t="shared" si="47"/>
        <v>69</v>
      </c>
      <c r="O86" s="26">
        <f>COUNTIFS(AllData[Site Name], Tables!$B86, AllData[Season], "Summer", AllData[Year], "2023")</f>
        <v>1</v>
      </c>
      <c r="P86" s="160">
        <f>IFERROR(AVERAGEIFS(AllData[Nitrate (PPM)], AllData[Site Name], $B86, AllData[Season], "Summer", AllData[Year], "2023"), "")</f>
        <v>10</v>
      </c>
      <c r="Q86" s="27">
        <f t="shared" si="48"/>
        <v>0</v>
      </c>
      <c r="R86" s="161">
        <f>IFERROR(AVERAGEIFS(AllData[Phosphate (PPM)], AllData[Site Name], $B86, AllData[Season], "Summer", AllData[Year], "2023"),"")</f>
        <v>0.33</v>
      </c>
      <c r="S86" s="28">
        <f t="shared" si="49"/>
        <v>0</v>
      </c>
      <c r="T86" s="26">
        <f>COUNTIFS(AllData[Site Name], Tables!$B86, AllData[Season], "Autumn", AllData[Year], "2023")</f>
        <v>0</v>
      </c>
      <c r="U86" s="160" t="str">
        <f>IFERROR(AVERAGEIFS(AllData[Nitrate (PPM)], AllData[Site Name], $B86, AllData[Season], "Autumn", AllData[Year], "2023"), "")</f>
        <v/>
      </c>
      <c r="V86" s="27" t="str">
        <f t="shared" si="50"/>
        <v/>
      </c>
      <c r="W86" s="161" t="str">
        <f>IFERROR(AVERAGEIFS(AllData[Phosphate (PPM)], AllData[Site Name], $B86, AllData[Season], "Autumn", AllData[Year], "2023"),"")</f>
        <v/>
      </c>
      <c r="X86" s="28" t="str">
        <f t="shared" si="51"/>
        <v/>
      </c>
      <c r="Y86" s="26">
        <f>COUNTIFS(AllData[Site Name], Tables!$B86, AllData[Season], "Winter", AllData[Year], "2023")</f>
        <v>0</v>
      </c>
      <c r="Z86" s="160" t="str">
        <f>IFERROR(AVERAGEIFS(AllData[Nitrate (PPM)], AllData[Site Name], $B86, AllData[Season], "Winter", AllData[Year], "2023"), "")</f>
        <v/>
      </c>
      <c r="AA86" s="27" t="str">
        <f t="shared" si="52"/>
        <v/>
      </c>
      <c r="AB86" s="161" t="str">
        <f>IFERROR(AVERAGEIFS(AllData[Phosphate (PPM)], AllData[Site Name], $B86, AllData[Season], "Winter", AllData[Year], "2023"),"")</f>
        <v/>
      </c>
      <c r="AC86" s="28" t="str">
        <f t="shared" si="53"/>
        <v/>
      </c>
      <c r="AD86" s="26">
        <f>COUNTIFS(AllData[Site Name], Tables!$B86, AllData[Season], "Spring", AllData[Year], "2024")</f>
        <v>0</v>
      </c>
      <c r="AE86" s="160" t="str">
        <f>IFERROR(AVERAGEIFS(AllData[Nitrate (PPM)], AllData[Site Name], $B86, AllData[Season], "Spring", AllData[Year], "2024"), "")</f>
        <v/>
      </c>
      <c r="AF86" s="27" t="str">
        <f t="shared" si="54"/>
        <v/>
      </c>
      <c r="AG86" s="161" t="str">
        <f>IFERROR(AVERAGEIFS(AllData[Phosphate (PPM)], AllData[Site Name], $B86, AllData[Season], "Spring", AllData[Year], "2024"),"")</f>
        <v/>
      </c>
      <c r="AH86" s="28" t="str">
        <f t="shared" si="55"/>
        <v/>
      </c>
      <c r="AI86" s="165">
        <f>COUNTIFS(AllData[Site Name], Tables!$B86, AllData[Season], "Summer", AllData[Year], "2024")</f>
        <v>0</v>
      </c>
      <c r="AJ86" s="160" t="str">
        <f>IFERROR(AVERAGEIFS(AllData[Nitrate (PPM)], AllData[Site Name], $B86, AllData[Season], "Summer", AllData[Year], "2024"), "")</f>
        <v/>
      </c>
      <c r="AK86" s="27" t="str">
        <f t="shared" si="56"/>
        <v/>
      </c>
      <c r="AL86" s="27" t="str">
        <f t="shared" si="57"/>
        <v/>
      </c>
      <c r="AM86" s="161" t="str">
        <f>IFERROR(AVERAGEIFS(AllData[Phosphate (PPM)], AllData[Site Name], $B86, AllData[Season], "Summer", AllData[Year], "2024"),"")</f>
        <v/>
      </c>
      <c r="AN86" s="27" t="str">
        <f t="shared" si="58"/>
        <v/>
      </c>
      <c r="AO86" s="28" t="str">
        <f t="shared" si="59"/>
        <v/>
      </c>
      <c r="AP86" s="157">
        <f>COUNTIFS(AllData[Site Name], Tables!$B86, AllData[Season], "Autumn", AllData[Year], "2024")</f>
        <v>0</v>
      </c>
      <c r="AQ86" s="160" t="str">
        <f>IFERROR(AVERAGEIFS(AllData[Nitrate (PPM)], AllData[Site Name], $B86, AllData[Season], "Autumn", AllData[Year], "2024"), "")</f>
        <v/>
      </c>
      <c r="AR86" s="27" t="str">
        <f t="shared" si="60"/>
        <v/>
      </c>
      <c r="AS86" s="27" t="str">
        <f t="shared" si="42"/>
        <v/>
      </c>
      <c r="AT86" s="161" t="str">
        <f>IFERROR(AVERAGEIFS(AllData[Phosphate (PPM)], AllData[Site Name], B86, AllData[Season], "Autumn", AllData[Year], "2024"), "")</f>
        <v/>
      </c>
      <c r="AU86" s="27" t="str">
        <f t="shared" si="61"/>
        <v/>
      </c>
      <c r="AV86" s="28" t="str">
        <f t="shared" si="43"/>
        <v/>
      </c>
      <c r="AW86" s="165">
        <f>COUNTIFS(AllData[Site Name], Tables!$B86, AllData[Season], "Winter", AllData[Year], "2024")</f>
        <v>0</v>
      </c>
      <c r="AX86" s="160" t="str">
        <f>IFERROR(AVERAGEIFS(AllData[Nitrate (PPM)], AllData[Site Name], $B86, AllData[Season], "Winter", AllData[Year], "2024"), "")</f>
        <v/>
      </c>
      <c r="AY86" s="27" t="str">
        <f t="shared" si="62"/>
        <v/>
      </c>
      <c r="AZ86" s="27" t="str">
        <f t="shared" si="63"/>
        <v/>
      </c>
      <c r="BA86" s="161" t="str">
        <f>IFERROR(AVERAGEIFS(AllData[Phosphate (PPM)], AllData[Site Name], $B86, AllData[Season], "Winter", AllData[Year], "2024"), "")</f>
        <v/>
      </c>
      <c r="BB86" s="27" t="str">
        <f t="shared" si="64"/>
        <v/>
      </c>
      <c r="BC86" s="44" t="str">
        <f t="shared" si="65"/>
        <v/>
      </c>
      <c r="BD86" s="157">
        <f>COUNTIFS(AllData[Site Name], Tables!$B86, AllData[Season], "Spring", AllData[Year], "2025")</f>
        <v>0</v>
      </c>
      <c r="BE86" s="160" t="str">
        <f>IFERROR(AVERAGEIFS(AllData[Nitrate (PPM)], AllData[Site Name], $B86, AllData[Season], "Spring", AllData[Year], "2025"), "")</f>
        <v/>
      </c>
      <c r="BF86" s="27" t="str">
        <f t="shared" si="66"/>
        <v/>
      </c>
      <c r="BG86" s="27" t="str">
        <f t="shared" si="67"/>
        <v/>
      </c>
      <c r="BH86" s="161" t="str">
        <f>IFERROR(AVERAGEIFS(AllData[Phosphate (PPM)], AllData[Site Name], $B86, AllData[Season], "Spring", AllData[Year], "2025"), "")</f>
        <v/>
      </c>
      <c r="BI86" s="27" t="str">
        <f t="shared" si="68"/>
        <v/>
      </c>
      <c r="BJ86" s="27" t="str">
        <f t="shared" si="69"/>
        <v/>
      </c>
      <c r="BK86" s="165">
        <f>COUNTIFS(AllData[Site Name], Tables!$B86, AllData[Season], "Summer", AllData[Year], "2025")</f>
        <v>0</v>
      </c>
      <c r="BL86" s="160" t="str">
        <f>IFERROR(AVERAGEIFS(AllData[Nitrate (PPM)], AllData[Site Name], $B86, AllData[Season], "Summer", AllData[Year], "2025"), "")</f>
        <v/>
      </c>
      <c r="BM86" s="27" t="str">
        <f t="shared" si="70"/>
        <v/>
      </c>
      <c r="BN86" s="27" t="str">
        <f t="shared" si="71"/>
        <v/>
      </c>
      <c r="BO86" s="161" t="str">
        <f>IFERROR(AVERAGEIFS(AllData[Phosphate (PPM)], AllData[Site Name], $B86, AllData[Season], "Summer", AllData[Year], "2025"),"")</f>
        <v/>
      </c>
      <c r="BP86" s="27" t="str">
        <f t="shared" si="72"/>
        <v/>
      </c>
      <c r="BQ86" s="27" t="str">
        <f t="shared" si="73"/>
        <v/>
      </c>
      <c r="BR86" s="165">
        <f>COUNTIFS(AllData[Site Name], Tables!$B86, AllData[Season], "Autumn", AllData[Year], "2025")</f>
        <v>0</v>
      </c>
      <c r="BS86" s="160" t="str">
        <f>IFERROR(AVERAGEIFS(AllData[Nitrate (PPM)], AllData[Site Name], $B86, AllData[Season], "Autumn", AllData[Year], "2025"), "")</f>
        <v/>
      </c>
      <c r="BT86" s="27" t="str">
        <f t="shared" si="74"/>
        <v/>
      </c>
      <c r="BU86" s="27" t="str">
        <f t="shared" si="75"/>
        <v/>
      </c>
      <c r="BV86" s="161" t="str">
        <f>IFERROR(AVERAGEIFS(AllData[Phosphate (PPM)], AllData[Site Name], AD86, AllData[Season], "Autumn", AllData[Year], "2025"), "")</f>
        <v/>
      </c>
      <c r="BW86" s="27" t="str">
        <f t="shared" si="76"/>
        <v/>
      </c>
      <c r="BX86" s="28" t="str">
        <f t="shared" si="77"/>
        <v/>
      </c>
      <c r="BY86" s="165">
        <f>COUNTIFS(AllData[Site Name], Tables!$B86, AllData[Season], "Winter", AllData[Year], "2025")</f>
        <v>0</v>
      </c>
      <c r="BZ86" s="160" t="str">
        <f>IFERROR(AVERAGEIFS(AllData[Nitrate (PPM)], AllData[Site Name], $B86, AllData[Season], "Winter", AllData[Year], "2025"), "")</f>
        <v/>
      </c>
      <c r="CA86" s="27" t="str">
        <f t="shared" si="80"/>
        <v/>
      </c>
      <c r="CB86" s="27" t="str">
        <f t="shared" si="81"/>
        <v/>
      </c>
      <c r="CC86" s="161" t="str">
        <f>IFERROR(AVERAGEIFS(AllData[Phosphate (PPM)], AllData[Site Name], $B86, AllData[Season], "Winter", AllData[Year], "2025"), "")</f>
        <v/>
      </c>
      <c r="CD86" s="27" t="str">
        <f t="shared" si="82"/>
        <v/>
      </c>
      <c r="CE86" s="44" t="str">
        <f t="shared" si="83"/>
        <v/>
      </c>
    </row>
    <row r="87" spans="2:83" x14ac:dyDescent="0.35">
      <c r="B87" s="159" t="s">
        <v>530</v>
      </c>
      <c r="C87" s="113">
        <f>IFERROR(AVERAGEIF(AllData[Site Name], Tables!B87, AllData[Latitude]), "Unknown")</f>
        <v>52.262666528301864</v>
      </c>
      <c r="D87" s="113">
        <f>IFERROR(AVERAGEIF(AllData[Site Name], Tables!B87, AllData[Longitude]), "Unknown")</f>
        <v>-1.6545845283018858</v>
      </c>
      <c r="E87" s="13" t="e" vm="1">
        <f>_xlfn.XLOOKUP(B87,LocationsKey[Site Name], LocationsKey[District])</f>
        <v>#VALUE!</v>
      </c>
      <c r="F87" s="13" t="str">
        <f>_xlfn.XLOOKUP(B87,LocationsKey[Site Name], LocationsKey[Town])</f>
        <v>Langley</v>
      </c>
      <c r="G87" s="25" t="str">
        <f>_xlfn.XLOOKUP(B87,LocationsKey[Site Name],LocationsKey[Waterway])</f>
        <v>Langley Ford</v>
      </c>
      <c r="H87" s="157">
        <f>COUNTIF(AllData[Site Name], Tables!B87)</f>
        <v>54</v>
      </c>
      <c r="I87" s="160">
        <f t="shared" si="44"/>
        <v>4.9462377899877898</v>
      </c>
      <c r="J87" s="161">
        <f>AVERAGE(R87,W87,AB87,AG87, AM87,AT87,BA87,BH87,BO87,BV87,CC87)</f>
        <v>0.65255952380952387</v>
      </c>
      <c r="K87" s="27" cm="1">
        <f t="array" ref="K87">SUM(COUNTIFS(AllData[Site Name], B87, AllData[Nitrate Pollution Category], {"High","Very high"}))/COUNTIFS(AllData[Site Name], B87, AllData[Nitrate (PPM)], "&lt;&gt;0")</f>
        <v>0.90740740740740744</v>
      </c>
      <c r="L87" s="27" cm="1">
        <f t="array" ref="L87">SUM(COUNTIFS(AllData[Site Name], B87, AllData[Phosphate Pollution Category], {"High","Very high"}))/COUNTIFS(AllData[Site Name], B87, AllData[Phosphate (PPM)], "&lt;&gt;0")</f>
        <v>0.98148148148148151</v>
      </c>
      <c r="M87" s="157">
        <f t="shared" si="46"/>
        <v>58</v>
      </c>
      <c r="N87" s="157">
        <f t="shared" si="47"/>
        <v>27</v>
      </c>
      <c r="O87" s="26">
        <f>COUNTIFS(AllData[Site Name], Tables!$B87, AllData[Season], "Summer", AllData[Year], "2023")</f>
        <v>0</v>
      </c>
      <c r="P87" s="160" t="str">
        <f>IFERROR(AVERAGEIFS(AllData[Nitrate (PPM)], AllData[Site Name], $B87, AllData[Season], "Summer", AllData[Year], "2023"), "")</f>
        <v/>
      </c>
      <c r="Q87" s="27" t="str">
        <f t="shared" si="48"/>
        <v/>
      </c>
      <c r="R87" s="161" t="str">
        <f>IFERROR(AVERAGEIFS(AllData[Phosphate (PPM)], AllData[Site Name], $B87, AllData[Season], "Summer", AllData[Year], "2023"),"")</f>
        <v/>
      </c>
      <c r="S87" s="28" t="str">
        <f t="shared" si="49"/>
        <v/>
      </c>
      <c r="T87" s="26">
        <f>COUNTIFS(AllData[Site Name], Tables!$B87, AllData[Season], "Autumn", AllData[Year], "2023")</f>
        <v>0</v>
      </c>
      <c r="U87" s="160" t="str">
        <f>IFERROR(AVERAGEIFS(AllData[Nitrate (PPM)], AllData[Site Name], $B87, AllData[Season], "Autumn", AllData[Year], "2023"), "")</f>
        <v/>
      </c>
      <c r="V87" s="27" t="str">
        <f t="shared" si="50"/>
        <v/>
      </c>
      <c r="W87" s="161" t="str">
        <f>IFERROR(AVERAGEIFS(AllData[Phosphate (PPM)], AllData[Site Name], $B87, AllData[Season], "Autumn", AllData[Year], "2023"),"")</f>
        <v/>
      </c>
      <c r="X87" s="28" t="str">
        <f t="shared" si="51"/>
        <v/>
      </c>
      <c r="Y87" s="26">
        <f>COUNTIFS(AllData[Site Name], Tables!$B87, AllData[Season], "Winter", AllData[Year], "2023")</f>
        <v>7</v>
      </c>
      <c r="Z87" s="160">
        <f>IFERROR(AVERAGEIFS(AllData[Nitrate (PPM)], AllData[Site Name], $B87, AllData[Season], "Winter", AllData[Year], "2023"), "")</f>
        <v>5.7142857142857144</v>
      </c>
      <c r="AA87" s="27">
        <f t="shared" si="52"/>
        <v>0.15527921561972066</v>
      </c>
      <c r="AB87" s="161">
        <f>IFERROR(AVERAGEIFS(AllData[Phosphate (PPM)], AllData[Site Name], $B87, AllData[Season], "Winter", AllData[Year], "2023"),"")</f>
        <v>0.6328571428571429</v>
      </c>
      <c r="AC87" s="28">
        <f t="shared" si="53"/>
        <v>-3.0192465565994735E-2</v>
      </c>
      <c r="AD87" s="26">
        <f>COUNTIFS(AllData[Site Name], Tables!$B87, AllData[Season], "Spring", AllData[Year], "2024")</f>
        <v>13</v>
      </c>
      <c r="AE87" s="160">
        <f>IFERROR(AVERAGEIFS(AllData[Nitrate (PPM)], AllData[Site Name], $B87, AllData[Season], "Spring", AllData[Year], "2024"), "")</f>
        <v>3.1923076923076925</v>
      </c>
      <c r="AF87" s="27">
        <f t="shared" si="54"/>
        <v>-0.35459882281244448</v>
      </c>
      <c r="AG87" s="161">
        <f>IFERROR(AVERAGEIFS(AllData[Phosphate (PPM)], AllData[Site Name], $B87, AllData[Season], "Spring", AllData[Year], "2024"),"")</f>
        <v>0.66</v>
      </c>
      <c r="AH87" s="28">
        <f t="shared" si="55"/>
        <v>1.1401988506795543E-2</v>
      </c>
      <c r="AI87" s="165">
        <f>COUNTIFS(AllData[Site Name], Tables!$B87, AllData[Season], "Summer", AllData[Year], "2024")</f>
        <v>10</v>
      </c>
      <c r="AJ87" s="160">
        <f>IFERROR(AVERAGEIFS(AllData[Nitrate (PPM)], AllData[Site Name], $B87, AllData[Season], "Summer", AllData[Year], "2024"), "")</f>
        <v>5</v>
      </c>
      <c r="AK87" s="27">
        <f t="shared" si="56"/>
        <v>1.0869313667255546E-2</v>
      </c>
      <c r="AL87" s="27" t="str">
        <f t="shared" si="57"/>
        <v/>
      </c>
      <c r="AM87" s="161">
        <f>IFERROR(AVERAGEIFS(AllData[Phosphate (PPM)], AllData[Site Name], $B87, AllData[Season], "Summer", AllData[Year], "2024"),"")</f>
        <v>0.73100000000000009</v>
      </c>
      <c r="AN87" s="27">
        <f t="shared" si="58"/>
        <v>0.12020432363404182</v>
      </c>
      <c r="AO87" s="28" t="str">
        <f t="shared" si="59"/>
        <v/>
      </c>
      <c r="AP87" s="157">
        <f>COUNTIFS(AllData[Site Name], Tables!$B87, AllData[Season], "Autumn", AllData[Year], "2024")</f>
        <v>10</v>
      </c>
      <c r="AQ87" s="160">
        <f>IFERROR(AVERAGEIFS(AllData[Nitrate (PPM)], AllData[Site Name], $B87, AllData[Season], "Autumn", AllData[Year], "2024"), "")</f>
        <v>5</v>
      </c>
      <c r="AR87" s="27">
        <f t="shared" si="60"/>
        <v>1.0869313667255546E-2</v>
      </c>
      <c r="AS87" s="27" t="str">
        <f t="shared" si="42"/>
        <v/>
      </c>
      <c r="AT87" s="161">
        <f>IFERROR(AVERAGEIFS(AllData[Phosphate (PPM)], AllData[Site Name], B87, AllData[Season], "Autumn", AllData[Year], "2024"), "")</f>
        <v>0.71399999999999997</v>
      </c>
      <c r="AU87" s="27">
        <f t="shared" si="61"/>
        <v>9.4153060293715077E-2</v>
      </c>
      <c r="AV87" s="28" t="str">
        <f t="shared" si="43"/>
        <v/>
      </c>
      <c r="AW87" s="165">
        <f>COUNTIFS(AllData[Site Name], Tables!$B87, AllData[Season], "Winter", AllData[Year], "2024")</f>
        <v>8</v>
      </c>
      <c r="AX87" s="160">
        <f>IFERROR(AVERAGEIFS(AllData[Nitrate (PPM)], AllData[Site Name], $B87, AllData[Season], "Winter", AllData[Year], "2024"), "")</f>
        <v>4.6875</v>
      </c>
      <c r="AY87" s="27">
        <f t="shared" si="62"/>
        <v>-5.2310018436947922E-2</v>
      </c>
      <c r="AZ87" s="27">
        <f t="shared" si="63"/>
        <v>-0.17968750000000003</v>
      </c>
      <c r="BA87" s="161">
        <f>IFERROR(AVERAGEIFS(AllData[Phosphate (PPM)], AllData[Site Name], $B87, AllData[Season], "Winter", AllData[Year], "2024"), "")</f>
        <v>0.72249999999999992</v>
      </c>
      <c r="BB87" s="27">
        <f t="shared" si="64"/>
        <v>0.10717869196387828</v>
      </c>
      <c r="BC87" s="44">
        <f t="shared" si="65"/>
        <v>0.14164785553047385</v>
      </c>
      <c r="BD87" s="157">
        <f>COUNTIFS(AllData[Site Name], Tables!$B87, AllData[Season], "Spring", AllData[Year], "2025")</f>
        <v>6</v>
      </c>
      <c r="BE87" s="160">
        <f>IFERROR(AVERAGEIFS(AllData[Nitrate (PPM)], AllData[Site Name], $B87, AllData[Season], "Spring", AllData[Year], "2025"), "")</f>
        <v>6.083333333333333</v>
      </c>
      <c r="BF87" s="27">
        <f t="shared" si="66"/>
        <v>0.22989099829516085</v>
      </c>
      <c r="BG87" s="27">
        <f t="shared" si="67"/>
        <v>0.90562248995983918</v>
      </c>
      <c r="BH87" s="161">
        <f>IFERROR(AVERAGEIFS(AllData[Phosphate (PPM)], AllData[Site Name], $B87, AllData[Season], "Spring", AllData[Year], "2025"), "")</f>
        <v>0.45500000000000002</v>
      </c>
      <c r="BI87" s="27">
        <f t="shared" si="68"/>
        <v>-0.3027455988324364</v>
      </c>
      <c r="BJ87" s="27">
        <f t="shared" si="69"/>
        <v>-0.31060606060606061</v>
      </c>
      <c r="BK87" s="165">
        <f>COUNTIFS(AllData[Site Name], Tables!$B87, AllData[Season], "Summer", AllData[Year], "2025")</f>
        <v>0</v>
      </c>
      <c r="BL87" s="160" t="str">
        <f>IFERROR(AVERAGEIFS(AllData[Nitrate (PPM)], AllData[Site Name], $B87, AllData[Season], "Summer", AllData[Year], "2025"), "")</f>
        <v/>
      </c>
      <c r="BM87" s="27" t="str">
        <f t="shared" si="70"/>
        <v/>
      </c>
      <c r="BN87" s="27" t="str">
        <f t="shared" si="71"/>
        <v/>
      </c>
      <c r="BO87" s="161" t="str">
        <f>IFERROR(AVERAGEIFS(AllData[Phosphate (PPM)], AllData[Site Name], $B87, AllData[Season], "Summer", AllData[Year], "2025"),"")</f>
        <v/>
      </c>
      <c r="BP87" s="27" t="str">
        <f t="shared" si="72"/>
        <v/>
      </c>
      <c r="BQ87" s="27" t="str">
        <f t="shared" si="73"/>
        <v/>
      </c>
      <c r="BR87" s="165">
        <f>COUNTIFS(AllData[Site Name], Tables!$B87, AllData[Season], "Autumn", AllData[Year], "2025")</f>
        <v>0</v>
      </c>
      <c r="BS87" s="160" t="str">
        <f>IFERROR(AVERAGEIFS(AllData[Nitrate (PPM)], AllData[Site Name], $B87, AllData[Season], "Autumn", AllData[Year], "2025"), "")</f>
        <v/>
      </c>
      <c r="BT87" s="27" t="str">
        <f t="shared" si="74"/>
        <v/>
      </c>
      <c r="BU87" s="27" t="str">
        <f t="shared" si="75"/>
        <v/>
      </c>
      <c r="BV87" s="161" t="str">
        <f>IFERROR(AVERAGEIFS(AllData[Phosphate (PPM)], AllData[Site Name], AD87, AllData[Season], "Autumn", AllData[Year], "2025"), "")</f>
        <v/>
      </c>
      <c r="BW87" s="27" t="str">
        <f t="shared" si="76"/>
        <v/>
      </c>
      <c r="BX87" s="28" t="str">
        <f t="shared" si="77"/>
        <v/>
      </c>
      <c r="BY87" s="165">
        <f>COUNTIFS(AllData[Site Name], Tables!$B87, AllData[Season], "Winter", AllData[Year], "2025")</f>
        <v>0</v>
      </c>
      <c r="BZ87" s="160" t="str">
        <f>IFERROR(AVERAGEIFS(AllData[Nitrate (PPM)], AllData[Site Name], $B87, AllData[Season], "Winter", AllData[Year], "2025"), "")</f>
        <v/>
      </c>
      <c r="CA87" s="27" t="str">
        <f t="shared" si="80"/>
        <v/>
      </c>
      <c r="CB87" s="27" t="str">
        <f t="shared" si="81"/>
        <v/>
      </c>
      <c r="CC87" s="161" t="str">
        <f>IFERROR(AVERAGEIFS(AllData[Phosphate (PPM)], AllData[Site Name], $B87, AllData[Season], "Winter", AllData[Year], "2025"), "")</f>
        <v/>
      </c>
      <c r="CD87" s="27" t="str">
        <f t="shared" si="82"/>
        <v/>
      </c>
      <c r="CE87" s="44" t="str">
        <f t="shared" si="83"/>
        <v/>
      </c>
    </row>
    <row r="88" spans="2:83" x14ac:dyDescent="0.35">
      <c r="B88" s="159" t="s">
        <v>3557</v>
      </c>
      <c r="C88" s="113">
        <f>IFERROR(AVERAGEIF(AllData[Site Name], Tables!B88, AllData[Latitude]), "Unknown")</f>
        <v>52.187393</v>
      </c>
      <c r="D88" s="113">
        <f>IFERROR(AVERAGEIF(AllData[Site Name], Tables!B88, AllData[Longitude]), "Unknown")</f>
        <v>-1.706607</v>
      </c>
      <c r="E88" s="13" t="e" vm="1">
        <f>_xlfn.XLOOKUP(B88,LocationsKey[Site Name], LocationsKey[District])</f>
        <v>#VALUE!</v>
      </c>
      <c r="F88" s="13" t="e" vm="12">
        <f>_xlfn.XLOOKUP(B88,LocationsKey[Site Name], LocationsKey[Town])</f>
        <v>#VALUE!</v>
      </c>
      <c r="G88" s="25" t="str">
        <f>_xlfn.XLOOKUP(B88,LocationsKey[Site Name],LocationsKey[Waterway])</f>
        <v>Avon</v>
      </c>
      <c r="H88" s="157">
        <f>COUNTIF(AllData[Site Name], Tables!B88)</f>
        <v>1</v>
      </c>
      <c r="I88" s="160">
        <f t="shared" si="44"/>
        <v>15</v>
      </c>
      <c r="J88" s="161">
        <f t="shared" si="45"/>
        <v>0.6</v>
      </c>
      <c r="K88" s="27" cm="1">
        <f t="array" ref="K88">SUM(COUNTIFS(AllData[Site Name], B88, AllData[Nitrate Pollution Category], {"High","Very high"}))/COUNTIFS(AllData[Site Name], B88, AllData[Nitrate (PPM)], "&lt;&gt;0")</f>
        <v>1</v>
      </c>
      <c r="L88" s="27" cm="1">
        <f t="array" ref="L88">SUM(COUNTIFS(AllData[Site Name], B88, AllData[Phosphate Pollution Category], {"High","Very high"}))/COUNTIFS(AllData[Site Name], B88, AllData[Phosphate (PPM)], "&lt;&gt;0")</f>
        <v>1</v>
      </c>
      <c r="M88" s="157">
        <f t="shared" si="46"/>
        <v>2</v>
      </c>
      <c r="N88" s="157">
        <f t="shared" si="47"/>
        <v>30</v>
      </c>
      <c r="O88" s="26">
        <f>COUNTIFS(AllData[Site Name], Tables!$B88, AllData[Season], "Summer", AllData[Year], "2023")</f>
        <v>0</v>
      </c>
      <c r="P88" s="160" t="str">
        <f>IFERROR(AVERAGEIFS(AllData[Nitrate (PPM)], AllData[Site Name], $B88, AllData[Season], "Summer", AllData[Year], "2023"), "")</f>
        <v/>
      </c>
      <c r="Q88" s="27" t="str">
        <f t="shared" si="48"/>
        <v/>
      </c>
      <c r="R88" s="161" t="str">
        <f>IFERROR(AVERAGEIFS(AllData[Phosphate (PPM)], AllData[Site Name], $B88, AllData[Season], "Summer", AllData[Year], "2023"),"")</f>
        <v/>
      </c>
      <c r="S88" s="28" t="str">
        <f t="shared" si="49"/>
        <v/>
      </c>
      <c r="T88" s="26">
        <f>COUNTIFS(AllData[Site Name], Tables!$B88, AllData[Season], "Autumn", AllData[Year], "2023")</f>
        <v>1</v>
      </c>
      <c r="U88" s="160">
        <f>IFERROR(AVERAGEIFS(AllData[Nitrate (PPM)], AllData[Site Name], $B88, AllData[Season], "Autumn", AllData[Year], "2023"), "")</f>
        <v>15</v>
      </c>
      <c r="V88" s="27">
        <f t="shared" si="50"/>
        <v>0</v>
      </c>
      <c r="W88" s="161">
        <f>IFERROR(AVERAGEIFS(AllData[Phosphate (PPM)], AllData[Site Name], $B88, AllData[Season], "Autumn", AllData[Year], "2023"),"")</f>
        <v>0.6</v>
      </c>
      <c r="X88" s="28">
        <f t="shared" si="51"/>
        <v>0</v>
      </c>
      <c r="Y88" s="26">
        <f>COUNTIFS(AllData[Site Name], Tables!$B88, AllData[Season], "Winter", AllData[Year], "2023")</f>
        <v>0</v>
      </c>
      <c r="Z88" s="160" t="str">
        <f>IFERROR(AVERAGEIFS(AllData[Nitrate (PPM)], AllData[Site Name], $B88, AllData[Season], "Winter", AllData[Year], "2023"), "")</f>
        <v/>
      </c>
      <c r="AA88" s="27" t="str">
        <f t="shared" si="52"/>
        <v/>
      </c>
      <c r="AB88" s="161" t="str">
        <f>IFERROR(AVERAGEIFS(AllData[Phosphate (PPM)], AllData[Site Name], $B88, AllData[Season], "Winter", AllData[Year], "2023"),"")</f>
        <v/>
      </c>
      <c r="AC88" s="28" t="str">
        <f t="shared" si="53"/>
        <v/>
      </c>
      <c r="AD88" s="26">
        <f>COUNTIFS(AllData[Site Name], Tables!$B88, AllData[Season], "Spring", AllData[Year], "2024")</f>
        <v>0</v>
      </c>
      <c r="AE88" s="160" t="str">
        <f>IFERROR(AVERAGEIFS(AllData[Nitrate (PPM)], AllData[Site Name], $B88, AllData[Season], "Spring", AllData[Year], "2024"), "")</f>
        <v/>
      </c>
      <c r="AF88" s="27" t="str">
        <f t="shared" si="54"/>
        <v/>
      </c>
      <c r="AG88" s="161" t="str">
        <f>IFERROR(AVERAGEIFS(AllData[Phosphate (PPM)], AllData[Site Name], $B88, AllData[Season], "Spring", AllData[Year], "2024"),"")</f>
        <v/>
      </c>
      <c r="AH88" s="28" t="str">
        <f t="shared" si="55"/>
        <v/>
      </c>
      <c r="AI88" s="165">
        <f>COUNTIFS(AllData[Site Name], Tables!$B88, AllData[Season], "Summer", AllData[Year], "2024")</f>
        <v>0</v>
      </c>
      <c r="AJ88" s="160" t="str">
        <f>IFERROR(AVERAGEIFS(AllData[Nitrate (PPM)], AllData[Site Name], $B88, AllData[Season], "Summer", AllData[Year], "2024"), "")</f>
        <v/>
      </c>
      <c r="AK88" s="27" t="str">
        <f t="shared" si="56"/>
        <v/>
      </c>
      <c r="AL88" s="27" t="str">
        <f t="shared" si="57"/>
        <v/>
      </c>
      <c r="AM88" s="161" t="str">
        <f>IFERROR(AVERAGEIFS(AllData[Phosphate (PPM)], AllData[Site Name], $B88, AllData[Season], "Summer", AllData[Year], "2024"),"")</f>
        <v/>
      </c>
      <c r="AN88" s="27" t="str">
        <f t="shared" si="58"/>
        <v/>
      </c>
      <c r="AO88" s="28" t="str">
        <f t="shared" si="59"/>
        <v/>
      </c>
      <c r="AP88" s="157">
        <f>COUNTIFS(AllData[Site Name], Tables!$B88, AllData[Season], "Autumn", AllData[Year], "2024")</f>
        <v>0</v>
      </c>
      <c r="AQ88" s="160" t="str">
        <f>IFERROR(AVERAGEIFS(AllData[Nitrate (PPM)], AllData[Site Name], $B88, AllData[Season], "Autumn", AllData[Year], "2024"), "")</f>
        <v/>
      </c>
      <c r="AR88" s="27" t="str">
        <f t="shared" si="60"/>
        <v/>
      </c>
      <c r="AS88" s="27" t="str">
        <f t="shared" si="42"/>
        <v/>
      </c>
      <c r="AT88" s="161" t="str">
        <f>IFERROR(AVERAGEIFS(AllData[Phosphate (PPM)], AllData[Site Name], B88, AllData[Season], "Autumn", AllData[Year], "2024"), "")</f>
        <v/>
      </c>
      <c r="AU88" s="27" t="str">
        <f t="shared" si="61"/>
        <v/>
      </c>
      <c r="AV88" s="28" t="str">
        <f t="shared" si="43"/>
        <v/>
      </c>
      <c r="AW88" s="165">
        <f>COUNTIFS(AllData[Site Name], Tables!$B88, AllData[Season], "Winter", AllData[Year], "2024")</f>
        <v>0</v>
      </c>
      <c r="AX88" s="160" t="str">
        <f>IFERROR(AVERAGEIFS(AllData[Nitrate (PPM)], AllData[Site Name], $B88, AllData[Season], "Winter", AllData[Year], "2024"), "")</f>
        <v/>
      </c>
      <c r="AY88" s="27" t="str">
        <f t="shared" si="62"/>
        <v/>
      </c>
      <c r="AZ88" s="27" t="str">
        <f t="shared" si="63"/>
        <v/>
      </c>
      <c r="BA88" s="161" t="str">
        <f>IFERROR(AVERAGEIFS(AllData[Phosphate (PPM)], AllData[Site Name], $B88, AllData[Season], "Winter", AllData[Year], "2024"), "")</f>
        <v/>
      </c>
      <c r="BB88" s="27" t="str">
        <f t="shared" si="64"/>
        <v/>
      </c>
      <c r="BC88" s="44" t="str">
        <f t="shared" si="65"/>
        <v/>
      </c>
      <c r="BD88" s="157">
        <f>COUNTIFS(AllData[Site Name], Tables!$B88, AllData[Season], "Spring", AllData[Year], "2025")</f>
        <v>0</v>
      </c>
      <c r="BE88" s="160" t="str">
        <f>IFERROR(AVERAGEIFS(AllData[Nitrate (PPM)], AllData[Site Name], $B88, AllData[Season], "Spring", AllData[Year], "2025"), "")</f>
        <v/>
      </c>
      <c r="BF88" s="27" t="str">
        <f t="shared" si="66"/>
        <v/>
      </c>
      <c r="BG88" s="27" t="str">
        <f t="shared" si="67"/>
        <v/>
      </c>
      <c r="BH88" s="161" t="str">
        <f>IFERROR(AVERAGEIFS(AllData[Phosphate (PPM)], AllData[Site Name], $B88, AllData[Season], "Spring", AllData[Year], "2025"), "")</f>
        <v/>
      </c>
      <c r="BI88" s="27" t="str">
        <f t="shared" si="68"/>
        <v/>
      </c>
      <c r="BJ88" s="27" t="str">
        <f t="shared" si="69"/>
        <v/>
      </c>
      <c r="BK88" s="165">
        <f>COUNTIFS(AllData[Site Name], Tables!$B88, AllData[Season], "Summer", AllData[Year], "2025")</f>
        <v>0</v>
      </c>
      <c r="BL88" s="160" t="str">
        <f>IFERROR(AVERAGEIFS(AllData[Nitrate (PPM)], AllData[Site Name], $B88, AllData[Season], "Summer", AllData[Year], "2025"), "")</f>
        <v/>
      </c>
      <c r="BM88" s="27" t="str">
        <f t="shared" si="70"/>
        <v/>
      </c>
      <c r="BN88" s="27" t="str">
        <f t="shared" si="71"/>
        <v/>
      </c>
      <c r="BO88" s="161" t="str">
        <f>IFERROR(AVERAGEIFS(AllData[Phosphate (PPM)], AllData[Site Name], $B88, AllData[Season], "Summer", AllData[Year], "2025"),"")</f>
        <v/>
      </c>
      <c r="BP88" s="27" t="str">
        <f t="shared" si="72"/>
        <v/>
      </c>
      <c r="BQ88" s="27" t="str">
        <f t="shared" si="73"/>
        <v/>
      </c>
      <c r="BR88" s="165">
        <f>COUNTIFS(AllData[Site Name], Tables!$B88, AllData[Season], "Autumn", AllData[Year], "2025")</f>
        <v>0</v>
      </c>
      <c r="BS88" s="160" t="str">
        <f>IFERROR(AVERAGEIFS(AllData[Nitrate (PPM)], AllData[Site Name], $B88, AllData[Season], "Autumn", AllData[Year], "2025"), "")</f>
        <v/>
      </c>
      <c r="BT88" s="27" t="str">
        <f t="shared" si="74"/>
        <v/>
      </c>
      <c r="BU88" s="27" t="str">
        <f t="shared" si="75"/>
        <v/>
      </c>
      <c r="BV88" s="161" t="str">
        <f>IFERROR(AVERAGEIFS(AllData[Phosphate (PPM)], AllData[Site Name], AD88, AllData[Season], "Autumn", AllData[Year], "2025"), "")</f>
        <v/>
      </c>
      <c r="BW88" s="27" t="str">
        <f t="shared" si="76"/>
        <v/>
      </c>
      <c r="BX88" s="28" t="str">
        <f t="shared" si="77"/>
        <v/>
      </c>
      <c r="BY88" s="165">
        <f>COUNTIFS(AllData[Site Name], Tables!$B88, AllData[Season], "Winter", AllData[Year], "2025")</f>
        <v>0</v>
      </c>
      <c r="BZ88" s="160" t="str">
        <f>IFERROR(AVERAGEIFS(AllData[Nitrate (PPM)], AllData[Site Name], $B88, AllData[Season], "Winter", AllData[Year], "2025"), "")</f>
        <v/>
      </c>
      <c r="CA88" s="27" t="str">
        <f t="shared" si="80"/>
        <v/>
      </c>
      <c r="CB88" s="27" t="str">
        <f t="shared" si="81"/>
        <v/>
      </c>
      <c r="CC88" s="161" t="str">
        <f>IFERROR(AVERAGEIFS(AllData[Phosphate (PPM)], AllData[Site Name], $B88, AllData[Season], "Winter", AllData[Year], "2025"), "")</f>
        <v/>
      </c>
      <c r="CD88" s="27" t="str">
        <f t="shared" si="82"/>
        <v/>
      </c>
      <c r="CE88" s="44" t="str">
        <f t="shared" si="83"/>
        <v/>
      </c>
    </row>
    <row r="89" spans="2:83" x14ac:dyDescent="0.35">
      <c r="B89" s="159" t="s">
        <v>56</v>
      </c>
      <c r="C89" s="113">
        <f>IFERROR(AVERAGEIF(AllData[Site Name], Tables!B89, AllData[Latitude]), "Unknown")</f>
        <v>52.027216452380941</v>
      </c>
      <c r="D89" s="113">
        <f>IFERROR(AVERAGEIF(AllData[Site Name], Tables!B89, AllData[Longitude]), "Unknown")</f>
        <v>-2.140853452380953</v>
      </c>
      <c r="E89" s="13" t="e" vm="4">
        <f>_xlfn.XLOOKUP(B89,LocationsKey[Site Name], LocationsKey[District])</f>
        <v>#VALUE!</v>
      </c>
      <c r="F89" s="13" t="str">
        <f>_xlfn.XLOOKUP(B89,LocationsKey[Site Name], LocationsKey[Town])</f>
        <v>Twyning Green</v>
      </c>
      <c r="G89" s="25" t="str">
        <f>_xlfn.XLOOKUP(B89,LocationsKey[Site Name],LocationsKey[Waterway])</f>
        <v>Avon</v>
      </c>
      <c r="H89" s="157">
        <f>COUNTIF(AllData[Site Name], Tables!B89)</f>
        <v>42</v>
      </c>
      <c r="I89" s="160">
        <f t="shared" si="44"/>
        <v>7.7269886363636369</v>
      </c>
      <c r="J89" s="161">
        <f t="shared" si="45"/>
        <v>0.76202272727272724</v>
      </c>
      <c r="K89" s="27" cm="1">
        <f t="array" ref="K89">SUM(COUNTIFS(AllData[Site Name], B89, AllData[Nitrate Pollution Category], {"High","Very high"}))/COUNTIFS(AllData[Site Name], B89, AllData[Nitrate (PPM)], "&lt;&gt;0")</f>
        <v>0.97619047619047616</v>
      </c>
      <c r="L89" s="27" cm="1">
        <f t="array" ref="L89">SUM(COUNTIFS(AllData[Site Name], B89, AllData[Phosphate Pollution Category], {"High","Very high"}))/COUNTIFS(AllData[Site Name], B89, AllData[Phosphate (PPM)], "&lt;&gt;0")</f>
        <v>1</v>
      </c>
      <c r="M89" s="157">
        <f t="shared" si="46"/>
        <v>24</v>
      </c>
      <c r="N89" s="157">
        <f t="shared" si="47"/>
        <v>22</v>
      </c>
      <c r="O89" s="26">
        <f>COUNTIFS(AllData[Site Name], Tables!$B89, AllData[Season], "Summer", AllData[Year], "2023")</f>
        <v>4</v>
      </c>
      <c r="P89" s="160">
        <f>IFERROR(AVERAGEIFS(AllData[Nitrate (PPM)], AllData[Site Name], $B89, AllData[Season], "Summer", AllData[Year], "2023"), "")</f>
        <v>10</v>
      </c>
      <c r="Q89" s="27">
        <f t="shared" si="48"/>
        <v>0.29416522666274486</v>
      </c>
      <c r="R89" s="161">
        <f>IFERROR(AVERAGEIFS(AllData[Phosphate (PPM)], AllData[Site Name], $B89, AllData[Season], "Summer", AllData[Year], "2023"),"")</f>
        <v>1.1000000000000001</v>
      </c>
      <c r="S89" s="28">
        <f t="shared" si="49"/>
        <v>0.44352649944823902</v>
      </c>
      <c r="T89" s="26">
        <f>COUNTIFS(AllData[Site Name], Tables!$B89, AllData[Season], "Autumn", AllData[Year], "2023")</f>
        <v>2</v>
      </c>
      <c r="U89" s="160">
        <f>IFERROR(AVERAGEIFS(AllData[Nitrate (PPM)], AllData[Site Name], $B89, AllData[Season], "Autumn", AllData[Year], "2023"), "")</f>
        <v>10</v>
      </c>
      <c r="V89" s="27">
        <f t="shared" si="50"/>
        <v>0.29416522666274486</v>
      </c>
      <c r="W89" s="161">
        <f>IFERROR(AVERAGEIFS(AllData[Phosphate (PPM)], AllData[Site Name], $B89, AllData[Season], "Autumn", AllData[Year], "2023"),"")</f>
        <v>1.135</v>
      </c>
      <c r="X89" s="28">
        <f t="shared" si="51"/>
        <v>0.48945688806704651</v>
      </c>
      <c r="Y89" s="26">
        <f>COUNTIFS(AllData[Site Name], Tables!$B89, AllData[Season], "Winter", AllData[Year], "2023")</f>
        <v>1</v>
      </c>
      <c r="Z89" s="160">
        <f>IFERROR(AVERAGEIFS(AllData[Nitrate (PPM)], AllData[Site Name], $B89, AllData[Season], "Winter", AllData[Year], "2023"), "")</f>
        <v>3</v>
      </c>
      <c r="AA89" s="27">
        <f t="shared" si="52"/>
        <v>-0.61175043200117651</v>
      </c>
      <c r="AB89" s="161">
        <f>IFERROR(AVERAGEIFS(AllData[Phosphate (PPM)], AllData[Site Name], $B89, AllData[Season], "Winter", AllData[Year], "2023"),"")</f>
        <v>0.68</v>
      </c>
      <c r="AC89" s="28">
        <f t="shared" si="53"/>
        <v>-0.10763816397745225</v>
      </c>
      <c r="AD89" s="26">
        <f>COUNTIFS(AllData[Site Name], Tables!$B89, AllData[Season], "Spring", AllData[Year], "2024")</f>
        <v>2</v>
      </c>
      <c r="AE89" s="160">
        <f>IFERROR(AVERAGEIFS(AllData[Nitrate (PPM)], AllData[Site Name], $B89, AllData[Season], "Spring", AllData[Year], "2024"), "")</f>
        <v>5</v>
      </c>
      <c r="AF89" s="27">
        <f t="shared" si="54"/>
        <v>-0.35291738666862754</v>
      </c>
      <c r="AG89" s="161">
        <f>IFERROR(AVERAGEIFS(AllData[Phosphate (PPM)], AllData[Site Name], $B89, AllData[Season], "Spring", AllData[Year], "2024"),"")</f>
        <v>0.875</v>
      </c>
      <c r="AH89" s="28">
        <f t="shared" si="55"/>
        <v>0.14825971547019004</v>
      </c>
      <c r="AI89" s="165">
        <f>COUNTIFS(AllData[Site Name], Tables!$B89, AllData[Season], "Summer", AllData[Year], "2024")</f>
        <v>4</v>
      </c>
      <c r="AJ89" s="160">
        <f>IFERROR(AVERAGEIFS(AllData[Nitrate (PPM)], AllData[Site Name], $B89, AllData[Season], "Summer", AllData[Year], "2024"), "")</f>
        <v>7.5</v>
      </c>
      <c r="AK89" s="27">
        <f t="shared" si="56"/>
        <v>-2.9376080002941347E-2</v>
      </c>
      <c r="AL89" s="27">
        <f t="shared" si="57"/>
        <v>-0.25</v>
      </c>
      <c r="AM89" s="161">
        <f>IFERROR(AVERAGEIFS(AllData[Phosphate (PPM)], AllData[Site Name], $B89, AllData[Season], "Summer", AllData[Year], "2024"),"")</f>
        <v>0.9325</v>
      </c>
      <c r="AN89" s="27">
        <f t="shared" si="58"/>
        <v>0.22371678248680252</v>
      </c>
      <c r="AO89" s="28">
        <f t="shared" si="59"/>
        <v>-0.15227272727272734</v>
      </c>
      <c r="AP89" s="157">
        <f>COUNTIFS(AllData[Site Name], Tables!$B89, AllData[Season], "Autumn", AllData[Year], "2024")</f>
        <v>11</v>
      </c>
      <c r="AQ89" s="160">
        <f>IFERROR(AVERAGEIFS(AllData[Nitrate (PPM)], AllData[Site Name], $B89, AllData[Season], "Autumn", AllData[Year], "2024"), "")</f>
        <v>9.0909090909090917</v>
      </c>
      <c r="AR89" s="27">
        <f t="shared" si="60"/>
        <v>0.17651384242067725</v>
      </c>
      <c r="AS89" s="27">
        <f t="shared" si="42"/>
        <v>-9.0909090909090828E-2</v>
      </c>
      <c r="AT89" s="161">
        <f>IFERROR(AVERAGEIFS(AllData[Phosphate (PPM)], AllData[Site Name], B89, AllData[Season], "Autumn", AllData[Year], "2024"), "")</f>
        <v>0.67818181818181822</v>
      </c>
      <c r="AU89" s="27">
        <f t="shared" si="61"/>
        <v>-0.1100241581914163</v>
      </c>
      <c r="AV89" s="28">
        <f t="shared" si="43"/>
        <v>-0.40248297957549056</v>
      </c>
      <c r="AW89" s="165">
        <f>COUNTIFS(AllData[Site Name], Tables!$B89, AllData[Season], "Winter", AllData[Year], "2024")</f>
        <v>10</v>
      </c>
      <c r="AX89" s="160">
        <f>IFERROR(AVERAGEIFS(AllData[Nitrate (PPM)], AllData[Site Name], $B89, AllData[Season], "Winter", AllData[Year], "2024"), "")</f>
        <v>7.6</v>
      </c>
      <c r="AY89" s="27">
        <f t="shared" si="62"/>
        <v>-1.6434427736313945E-2</v>
      </c>
      <c r="AZ89" s="27">
        <f t="shared" si="63"/>
        <v>1.5333333333333332</v>
      </c>
      <c r="BA89" s="161">
        <f>IFERROR(AVERAGEIFS(AllData[Phosphate (PPM)], AllData[Site Name], $B89, AllData[Season], "Winter", AllData[Year], "2024"), "")</f>
        <v>0.378</v>
      </c>
      <c r="BB89" s="27">
        <f t="shared" si="64"/>
        <v>-0.50395180291687791</v>
      </c>
      <c r="BC89" s="44">
        <f t="shared" si="65"/>
        <v>-0.44411764705882356</v>
      </c>
      <c r="BD89" s="157">
        <f>COUNTIFS(AllData[Site Name], Tables!$B89, AllData[Season], "Spring", AllData[Year], "2025")</f>
        <v>8</v>
      </c>
      <c r="BE89" s="160">
        <f>IFERROR(AVERAGEIFS(AllData[Nitrate (PPM)], AllData[Site Name], $B89, AllData[Season], "Spring", AllData[Year], "2025"), "")</f>
        <v>9.625</v>
      </c>
      <c r="BF89" s="27">
        <f t="shared" si="66"/>
        <v>0.24563403066289194</v>
      </c>
      <c r="BG89" s="27">
        <f t="shared" si="67"/>
        <v>0.92500000000000004</v>
      </c>
      <c r="BH89" s="161">
        <f>IFERROR(AVERAGEIFS(AllData[Phosphate (PPM)], AllData[Site Name], $B89, AllData[Season], "Spring", AllData[Year], "2025"), "")</f>
        <v>0.3175</v>
      </c>
      <c r="BI89" s="27">
        <f t="shared" si="68"/>
        <v>-0.58334576038653108</v>
      </c>
      <c r="BJ89" s="27">
        <f t="shared" si="69"/>
        <v>-0.63714285714285712</v>
      </c>
      <c r="BK89" s="165">
        <f>COUNTIFS(AllData[Site Name], Tables!$B89, AllData[Season], "Summer", AllData[Year], "2025")</f>
        <v>0</v>
      </c>
      <c r="BL89" s="160" t="str">
        <f>IFERROR(AVERAGEIFS(AllData[Nitrate (PPM)], AllData[Site Name], $B89, AllData[Season], "Summer", AllData[Year], "2025"), "")</f>
        <v/>
      </c>
      <c r="BM89" s="27" t="str">
        <f t="shared" si="70"/>
        <v/>
      </c>
      <c r="BN89" s="27" t="str">
        <f t="shared" si="71"/>
        <v/>
      </c>
      <c r="BO89" s="161" t="str">
        <f>IFERROR(AVERAGEIFS(AllData[Phosphate (PPM)], AllData[Site Name], $B89, AllData[Season], "Summer", AllData[Year], "2025"),"")</f>
        <v/>
      </c>
      <c r="BP89" s="27" t="str">
        <f t="shared" si="72"/>
        <v/>
      </c>
      <c r="BQ89" s="27" t="str">
        <f t="shared" si="73"/>
        <v/>
      </c>
      <c r="BR89" s="165">
        <f>COUNTIFS(AllData[Site Name], Tables!$B89, AllData[Season], "Autumn", AllData[Year], "2025")</f>
        <v>0</v>
      </c>
      <c r="BS89" s="160" t="str">
        <f>IFERROR(AVERAGEIFS(AllData[Nitrate (PPM)], AllData[Site Name], $B89, AllData[Season], "Autumn", AllData[Year], "2025"), "")</f>
        <v/>
      </c>
      <c r="BT89" s="27" t="str">
        <f t="shared" si="74"/>
        <v/>
      </c>
      <c r="BU89" s="27" t="str">
        <f t="shared" si="75"/>
        <v/>
      </c>
      <c r="BV89" s="161" t="str">
        <f>IFERROR(AVERAGEIFS(AllData[Phosphate (PPM)], AllData[Site Name], AD89, AllData[Season], "Autumn", AllData[Year], "2025"), "")</f>
        <v/>
      </c>
      <c r="BW89" s="27" t="str">
        <f t="shared" si="76"/>
        <v/>
      </c>
      <c r="BX89" s="28" t="str">
        <f t="shared" si="77"/>
        <v/>
      </c>
      <c r="BY89" s="165">
        <f>COUNTIFS(AllData[Site Name], Tables!$B89, AllData[Season], "Winter", AllData[Year], "2025")</f>
        <v>0</v>
      </c>
      <c r="BZ89" s="160" t="str">
        <f>IFERROR(AVERAGEIFS(AllData[Nitrate (PPM)], AllData[Site Name], $B89, AllData[Season], "Winter", AllData[Year], "2025"), "")</f>
        <v/>
      </c>
      <c r="CA89" s="27" t="str">
        <f t="shared" si="80"/>
        <v/>
      </c>
      <c r="CB89" s="27" t="str">
        <f t="shared" si="81"/>
        <v/>
      </c>
      <c r="CC89" s="161" t="str">
        <f>IFERROR(AVERAGEIFS(AllData[Phosphate (PPM)], AllData[Site Name], $B89, AllData[Season], "Winter", AllData[Year], "2025"), "")</f>
        <v/>
      </c>
      <c r="CD89" s="27" t="str">
        <f t="shared" si="82"/>
        <v/>
      </c>
      <c r="CE89" s="44" t="str">
        <f t="shared" si="83"/>
        <v/>
      </c>
    </row>
    <row r="90" spans="2:83" x14ac:dyDescent="0.35">
      <c r="B90" s="159" t="s">
        <v>191</v>
      </c>
      <c r="C90" s="113">
        <f>IFERROR(AVERAGEIF(AllData[Site Name], Tables!B90, AllData[Latitude]), "Unknown")</f>
        <v>52.133924200000003</v>
      </c>
      <c r="D90" s="113">
        <f>IFERROR(AVERAGEIF(AllData[Site Name], Tables!B90, AllData[Longitude]), "Unknown")</f>
        <v>-1.6765488000000002</v>
      </c>
      <c r="E90" s="13" t="str">
        <f>_xlfn.XLOOKUP(B90,LocationsKey[Site Name], LocationsKey[District])</f>
        <v>Unknown</v>
      </c>
      <c r="F90" s="13" t="str">
        <f>_xlfn.XLOOKUP(B90,LocationsKey[Site Name], LocationsKey[Town])</f>
        <v>Unknown</v>
      </c>
      <c r="G90" s="25" t="str">
        <f>_xlfn.XLOOKUP(B90,LocationsKey[Site Name],LocationsKey[Waterway])</f>
        <v>Unknown</v>
      </c>
      <c r="H90" s="157">
        <f>COUNTIF(AllData[Site Name], Tables!B90)</f>
        <v>5</v>
      </c>
      <c r="I90" s="160">
        <f t="shared" si="44"/>
        <v>5.0555555555555554</v>
      </c>
      <c r="J90" s="161">
        <f t="shared" si="45"/>
        <v>2.9488888888888893</v>
      </c>
      <c r="K90" s="27" cm="1">
        <f t="array" ref="K90">SUM(COUNTIFS(AllData[Site Name], B90, AllData[Nitrate Pollution Category], {"High","Very high"}))/COUNTIFS(AllData[Site Name], B90, AllData[Nitrate (PPM)], "&lt;&gt;0")</f>
        <v>1</v>
      </c>
      <c r="L90" s="27" cm="1">
        <f t="array" ref="L90">SUM(COUNTIFS(AllData[Site Name], B90, AllData[Phosphate Pollution Category], {"High","Very high"}))/COUNTIFS(AllData[Site Name], B90, AllData[Phosphate (PPM)], "&lt;&gt;0")</f>
        <v>1</v>
      </c>
      <c r="M90" s="157">
        <f t="shared" si="46"/>
        <v>50</v>
      </c>
      <c r="N90" s="157">
        <f t="shared" si="47"/>
        <v>3</v>
      </c>
      <c r="O90" s="26">
        <f>COUNTIFS(AllData[Site Name], Tables!$B90, AllData[Season], "Summer", AllData[Year], "2023")</f>
        <v>0</v>
      </c>
      <c r="P90" s="160" t="str">
        <f>IFERROR(AVERAGEIFS(AllData[Nitrate (PPM)], AllData[Site Name], $B90, AllData[Season], "Summer", AllData[Year], "2023"), "")</f>
        <v/>
      </c>
      <c r="Q90" s="27" t="str">
        <f t="shared" si="48"/>
        <v/>
      </c>
      <c r="R90" s="161" t="str">
        <f>IFERROR(AVERAGEIFS(AllData[Phosphate (PPM)], AllData[Site Name], $B90, AllData[Season], "Summer", AllData[Year], "2023"),"")</f>
        <v/>
      </c>
      <c r="S90" s="28" t="str">
        <f t="shared" si="49"/>
        <v/>
      </c>
      <c r="T90" s="26">
        <f>COUNTIFS(AllData[Site Name], Tables!$B90, AllData[Season], "Autumn", AllData[Year], "2023")</f>
        <v>0</v>
      </c>
      <c r="U90" s="160" t="str">
        <f>IFERROR(AVERAGEIFS(AllData[Nitrate (PPM)], AllData[Site Name], $B90, AllData[Season], "Autumn", AllData[Year], "2023"), "")</f>
        <v/>
      </c>
      <c r="V90" s="27" t="str">
        <f t="shared" si="50"/>
        <v/>
      </c>
      <c r="W90" s="161" t="str">
        <f>IFERROR(AVERAGEIFS(AllData[Phosphate (PPM)], AllData[Site Name], $B90, AllData[Season], "Autumn", AllData[Year], "2023"),"")</f>
        <v/>
      </c>
      <c r="X90" s="28" t="str">
        <f t="shared" si="51"/>
        <v/>
      </c>
      <c r="Y90" s="26">
        <f>COUNTIFS(AllData[Site Name], Tables!$B90, AllData[Season], "Winter", AllData[Year], "2023")</f>
        <v>0</v>
      </c>
      <c r="Z90" s="160" t="str">
        <f>IFERROR(AVERAGEIFS(AllData[Nitrate (PPM)], AllData[Site Name], $B90, AllData[Season], "Winter", AllData[Year], "2023"), "")</f>
        <v/>
      </c>
      <c r="AA90" s="27" t="str">
        <f t="shared" si="52"/>
        <v/>
      </c>
      <c r="AB90" s="161" t="str">
        <f>IFERROR(AVERAGEIFS(AllData[Phosphate (PPM)], AllData[Site Name], $B90, AllData[Season], "Winter", AllData[Year], "2023"),"")</f>
        <v/>
      </c>
      <c r="AC90" s="28" t="str">
        <f t="shared" si="53"/>
        <v/>
      </c>
      <c r="AD90" s="26">
        <f>COUNTIFS(AllData[Site Name], Tables!$B90, AllData[Season], "Spring", AllData[Year], "2024")</f>
        <v>0</v>
      </c>
      <c r="AE90" s="160" t="str">
        <f>IFERROR(AVERAGEIFS(AllData[Nitrate (PPM)], AllData[Site Name], $B90, AllData[Season], "Spring", AllData[Year], "2024"), "")</f>
        <v/>
      </c>
      <c r="AF90" s="27" t="str">
        <f t="shared" si="54"/>
        <v/>
      </c>
      <c r="AG90" s="161" t="str">
        <f>IFERROR(AVERAGEIFS(AllData[Phosphate (PPM)], AllData[Site Name], $B90, AllData[Season], "Spring", AllData[Year], "2024"),"")</f>
        <v/>
      </c>
      <c r="AH90" s="28" t="str">
        <f t="shared" si="55"/>
        <v/>
      </c>
      <c r="AI90" s="165">
        <f>COUNTIFS(AllData[Site Name], Tables!$B90, AllData[Season], "Summer", AllData[Year], "2024")</f>
        <v>0</v>
      </c>
      <c r="AJ90" s="160" t="str">
        <f>IFERROR(AVERAGEIFS(AllData[Nitrate (PPM)], AllData[Site Name], $B90, AllData[Season], "Summer", AllData[Year], "2024"), "")</f>
        <v/>
      </c>
      <c r="AK90" s="27" t="str">
        <f t="shared" si="56"/>
        <v/>
      </c>
      <c r="AL90" s="27" t="str">
        <f t="shared" si="57"/>
        <v/>
      </c>
      <c r="AM90" s="161" t="str">
        <f>IFERROR(AVERAGEIFS(AllData[Phosphate (PPM)], AllData[Site Name], $B90, AllData[Season], "Summer", AllData[Year], "2024"),"")</f>
        <v/>
      </c>
      <c r="AN90" s="27" t="str">
        <f t="shared" si="58"/>
        <v/>
      </c>
      <c r="AO90" s="28" t="str">
        <f t="shared" si="59"/>
        <v/>
      </c>
      <c r="AP90" s="157">
        <f>COUNTIFS(AllData[Site Name], Tables!$B90, AllData[Season], "Autumn", AllData[Year], "2024")</f>
        <v>1</v>
      </c>
      <c r="AQ90" s="160">
        <f>IFERROR(AVERAGEIFS(AllData[Nitrate (PPM)], AllData[Site Name], $B90, AllData[Season], "Autumn", AllData[Year], "2024"), "")</f>
        <v>7.5</v>
      </c>
      <c r="AR90" s="27">
        <f t="shared" si="60"/>
        <v>0.48351648351648358</v>
      </c>
      <c r="AS90" s="27" t="str">
        <f t="shared" si="42"/>
        <v/>
      </c>
      <c r="AT90" s="161">
        <f>IFERROR(AVERAGEIFS(AllData[Phosphate (PPM)], AllData[Site Name], B90, AllData[Season], "Autumn", AllData[Year], "2024"), "")</f>
        <v>2.5</v>
      </c>
      <c r="AU90" s="27">
        <f t="shared" si="61"/>
        <v>-0.15222305953278084</v>
      </c>
      <c r="AV90" s="28" t="str">
        <f t="shared" si="43"/>
        <v/>
      </c>
      <c r="AW90" s="165">
        <f>COUNTIFS(AllData[Site Name], Tables!$B90, AllData[Season], "Winter", AllData[Year], "2024")</f>
        <v>3</v>
      </c>
      <c r="AX90" s="160">
        <f>IFERROR(AVERAGEIFS(AllData[Nitrate (PPM)], AllData[Site Name], $B90, AllData[Season], "Winter", AllData[Year], "2024"), "")</f>
        <v>2.6666666666666665</v>
      </c>
      <c r="AY90" s="27">
        <f t="shared" si="62"/>
        <v>-0.47252747252747251</v>
      </c>
      <c r="AZ90" s="27" t="str">
        <f t="shared" si="63"/>
        <v/>
      </c>
      <c r="BA90" s="161">
        <f>IFERROR(AVERAGEIFS(AllData[Phosphate (PPM)], AllData[Site Name], $B90, AllData[Season], "Winter", AllData[Year], "2024"), "")</f>
        <v>1.3466666666666667</v>
      </c>
      <c r="BB90" s="27">
        <f t="shared" si="64"/>
        <v>-0.54333082140165789</v>
      </c>
      <c r="BC90" s="44" t="str">
        <f t="shared" si="65"/>
        <v/>
      </c>
      <c r="BD90" s="157">
        <f>COUNTIFS(AllData[Site Name], Tables!$B90, AllData[Season], "Spring", AllData[Year], "2025")</f>
        <v>1</v>
      </c>
      <c r="BE90" s="160">
        <f>IFERROR(AVERAGEIFS(AllData[Nitrate (PPM)], AllData[Site Name], $B90, AllData[Season], "Spring", AllData[Year], "2025"), "")</f>
        <v>5</v>
      </c>
      <c r="BF90" s="27">
        <f t="shared" si="66"/>
        <v>-1.098901098901095E-2</v>
      </c>
      <c r="BG90" s="27" t="str">
        <f t="shared" si="67"/>
        <v/>
      </c>
      <c r="BH90" s="161">
        <f>IFERROR(AVERAGEIFS(AllData[Phosphate (PPM)], AllData[Site Name], $B90, AllData[Season], "Spring", AllData[Year], "2025"), "")</f>
        <v>5</v>
      </c>
      <c r="BI90" s="27">
        <f t="shared" si="68"/>
        <v>0.69555388093443837</v>
      </c>
      <c r="BJ90" s="27" t="str">
        <f t="shared" si="69"/>
        <v/>
      </c>
      <c r="BK90" s="165">
        <f>COUNTIFS(AllData[Site Name], Tables!$B90, AllData[Season], "Summer", AllData[Year], "2025")</f>
        <v>0</v>
      </c>
      <c r="BL90" s="160" t="str">
        <f>IFERROR(AVERAGEIFS(AllData[Nitrate (PPM)], AllData[Site Name], $B90, AllData[Season], "Summer", AllData[Year], "2025"), "")</f>
        <v/>
      </c>
      <c r="BM90" s="27" t="str">
        <f t="shared" si="70"/>
        <v/>
      </c>
      <c r="BN90" s="27" t="str">
        <f t="shared" si="71"/>
        <v/>
      </c>
      <c r="BO90" s="161" t="str">
        <f>IFERROR(AVERAGEIFS(AllData[Phosphate (PPM)], AllData[Site Name], $B90, AllData[Season], "Summer", AllData[Year], "2025"),"")</f>
        <v/>
      </c>
      <c r="BP90" s="27" t="str">
        <f t="shared" si="72"/>
        <v/>
      </c>
      <c r="BQ90" s="27" t="str">
        <f t="shared" si="73"/>
        <v/>
      </c>
      <c r="BR90" s="165">
        <f>COUNTIFS(AllData[Site Name], Tables!$B90, AllData[Season], "Autumn", AllData[Year], "2025")</f>
        <v>0</v>
      </c>
      <c r="BS90" s="160" t="str">
        <f>IFERROR(AVERAGEIFS(AllData[Nitrate (PPM)], AllData[Site Name], $B90, AllData[Season], "Autumn", AllData[Year], "2025"), "")</f>
        <v/>
      </c>
      <c r="BT90" s="27" t="str">
        <f t="shared" si="74"/>
        <v/>
      </c>
      <c r="BU90" s="27" t="str">
        <f t="shared" si="75"/>
        <v/>
      </c>
      <c r="BV90" s="161" t="str">
        <f>IFERROR(AVERAGEIFS(AllData[Phosphate (PPM)], AllData[Site Name], AD90, AllData[Season], "Autumn", AllData[Year], "2025"), "")</f>
        <v/>
      </c>
      <c r="BW90" s="27" t="str">
        <f t="shared" si="76"/>
        <v/>
      </c>
      <c r="BX90" s="28" t="str">
        <f t="shared" si="77"/>
        <v/>
      </c>
      <c r="BY90" s="165">
        <f>COUNTIFS(AllData[Site Name], Tables!$B90, AllData[Season], "Winter", AllData[Year], "2025")</f>
        <v>0</v>
      </c>
      <c r="BZ90" s="160" t="str">
        <f>IFERROR(AVERAGEIFS(AllData[Nitrate (PPM)], AllData[Site Name], $B90, AllData[Season], "Winter", AllData[Year], "2025"), "")</f>
        <v/>
      </c>
      <c r="CA90" s="27" t="str">
        <f t="shared" si="80"/>
        <v/>
      </c>
      <c r="CB90" s="27" t="str">
        <f t="shared" si="81"/>
        <v/>
      </c>
      <c r="CC90" s="161" t="str">
        <f>IFERROR(AVERAGEIFS(AllData[Phosphate (PPM)], AllData[Site Name], $B90, AllData[Season], "Winter", AllData[Year], "2025"), "")</f>
        <v/>
      </c>
      <c r="CD90" s="27" t="str">
        <f t="shared" si="82"/>
        <v/>
      </c>
      <c r="CE90" s="44" t="str">
        <f t="shared" si="83"/>
        <v/>
      </c>
    </row>
    <row r="91" spans="2:83" x14ac:dyDescent="0.35">
      <c r="B91" s="159" t="s">
        <v>775</v>
      </c>
      <c r="C91" s="113">
        <f>IFERROR(AVERAGEIF(AllData[Site Name], Tables!B91, AllData[Latitude]), "Unknown")</f>
        <v>52.12810345454546</v>
      </c>
      <c r="D91" s="113">
        <f>IFERROR(AVERAGEIF(AllData[Site Name], Tables!B91, AllData[Longitude]), "Unknown")</f>
        <v>-2.0789593939393938</v>
      </c>
      <c r="E91" s="13" t="e" vm="6">
        <f>_xlfn.XLOOKUP(B91,LocationsKey[Site Name], LocationsKey[District])</f>
        <v>#VALUE!</v>
      </c>
      <c r="F91" s="13" t="e" vm="7">
        <f>_xlfn.XLOOKUP(B91,LocationsKey[Site Name], LocationsKey[Town])</f>
        <v>#VALUE!</v>
      </c>
      <c r="G91" s="25" t="str">
        <f>_xlfn.XLOOKUP(B91,LocationsKey[Site Name],LocationsKey[Waterway])</f>
        <v>Bow Brook</v>
      </c>
      <c r="H91" s="157">
        <f>COUNTIF(AllData[Site Name], Tables!B91)</f>
        <v>33</v>
      </c>
      <c r="I91" s="160">
        <f t="shared" si="44"/>
        <v>4.3499999999999996</v>
      </c>
      <c r="J91" s="161">
        <f t="shared" si="45"/>
        <v>0.85569285714285714</v>
      </c>
      <c r="K91" s="27" cm="1">
        <f t="array" ref="K91">SUM(COUNTIFS(AllData[Site Name], B91, AllData[Nitrate Pollution Category], {"High","Very high"}))/COUNTIFS(AllData[Site Name], B91, AllData[Nitrate (PPM)], "&lt;&gt;0")</f>
        <v>1</v>
      </c>
      <c r="L91" s="27" cm="1">
        <f t="array" ref="L91">SUM(COUNTIFS(AllData[Site Name], B91, AllData[Phosphate Pollution Category], {"High","Very high"}))/COUNTIFS(AllData[Site Name], B91, AllData[Phosphate (PPM)], "&lt;&gt;0")</f>
        <v>1</v>
      </c>
      <c r="M91" s="157">
        <f t="shared" si="46"/>
        <v>62</v>
      </c>
      <c r="N91" s="157">
        <f t="shared" si="47"/>
        <v>18</v>
      </c>
      <c r="O91" s="26">
        <f>COUNTIFS(AllData[Site Name], Tables!$B91, AllData[Season], "Summer", AllData[Year], "2023")</f>
        <v>0</v>
      </c>
      <c r="P91" s="160" t="str">
        <f>IFERROR(AVERAGEIFS(AllData[Nitrate (PPM)], AllData[Site Name], $B91, AllData[Season], "Summer", AllData[Year], "2023"), "")</f>
        <v/>
      </c>
      <c r="Q91" s="27" t="str">
        <f t="shared" si="48"/>
        <v/>
      </c>
      <c r="R91" s="161" t="str">
        <f>IFERROR(AVERAGEIFS(AllData[Phosphate (PPM)], AllData[Site Name], $B91, AllData[Season], "Summer", AllData[Year], "2023"),"")</f>
        <v/>
      </c>
      <c r="S91" s="28" t="str">
        <f t="shared" si="49"/>
        <v/>
      </c>
      <c r="T91" s="26">
        <f>COUNTIFS(AllData[Site Name], Tables!$B91, AllData[Season], "Autumn", AllData[Year], "2023")</f>
        <v>0</v>
      </c>
      <c r="U91" s="160" t="str">
        <f>IFERROR(AVERAGEIFS(AllData[Nitrate (PPM)], AllData[Site Name], $B91, AllData[Season], "Autumn", AllData[Year], "2023"), "")</f>
        <v/>
      </c>
      <c r="V91" s="27" t="str">
        <f t="shared" si="50"/>
        <v/>
      </c>
      <c r="W91" s="161" t="str">
        <f>IFERROR(AVERAGEIFS(AllData[Phosphate (PPM)], AllData[Site Name], $B91, AllData[Season], "Autumn", AllData[Year], "2023"),"")</f>
        <v/>
      </c>
      <c r="X91" s="28" t="str">
        <f t="shared" si="51"/>
        <v/>
      </c>
      <c r="Y91" s="26">
        <f>COUNTIFS(AllData[Site Name], Tables!$B91, AllData[Season], "Winter", AllData[Year], "2023")</f>
        <v>0</v>
      </c>
      <c r="Z91" s="160" t="str">
        <f>IFERROR(AVERAGEIFS(AllData[Nitrate (PPM)], AllData[Site Name], $B91, AllData[Season], "Winter", AllData[Year], "2023"), "")</f>
        <v/>
      </c>
      <c r="AA91" s="27" t="str">
        <f t="shared" si="52"/>
        <v/>
      </c>
      <c r="AB91" s="161" t="str">
        <f>IFERROR(AVERAGEIFS(AllData[Phosphate (PPM)], AllData[Site Name], $B91, AllData[Season], "Winter", AllData[Year], "2023"),"")</f>
        <v/>
      </c>
      <c r="AC91" s="28" t="str">
        <f t="shared" si="53"/>
        <v/>
      </c>
      <c r="AD91" s="26">
        <f>COUNTIFS(AllData[Site Name], Tables!$B91, AllData[Season], "Spring", AllData[Year], "2024")</f>
        <v>8</v>
      </c>
      <c r="AE91" s="160">
        <f>IFERROR(AVERAGEIFS(AllData[Nitrate (PPM)], AllData[Site Name], $B91, AllData[Season], "Spring", AllData[Year], "2024"), "")</f>
        <v>5</v>
      </c>
      <c r="AF91" s="27">
        <f t="shared" si="54"/>
        <v>0.14942528735632193</v>
      </c>
      <c r="AG91" s="161">
        <f>IFERROR(AVERAGEIFS(AllData[Phosphate (PPM)], AllData[Site Name], $B91, AllData[Season], "Spring", AllData[Year], "2024"),"")</f>
        <v>0.8187500000000002</v>
      </c>
      <c r="AH91" s="28">
        <f t="shared" si="55"/>
        <v>-4.3173034383164624E-2</v>
      </c>
      <c r="AI91" s="165">
        <f>COUNTIFS(AllData[Site Name], Tables!$B91, AllData[Season], "Summer", AllData[Year], "2024")</f>
        <v>10</v>
      </c>
      <c r="AJ91" s="160">
        <f>IFERROR(AVERAGEIFS(AllData[Nitrate (PPM)], AllData[Site Name], $B91, AllData[Season], "Summer", AllData[Year], "2024"), "")</f>
        <v>5</v>
      </c>
      <c r="AK91" s="27">
        <f t="shared" si="56"/>
        <v>0.14942528735632193</v>
      </c>
      <c r="AL91" s="27" t="str">
        <f t="shared" si="57"/>
        <v/>
      </c>
      <c r="AM91" s="161">
        <f>IFERROR(AVERAGEIFS(AllData[Phosphate (PPM)], AllData[Site Name], $B91, AllData[Season], "Summer", AllData[Year], "2024"),"")</f>
        <v>1.579</v>
      </c>
      <c r="AN91" s="27">
        <f t="shared" si="58"/>
        <v>0.84528827933921546</v>
      </c>
      <c r="AO91" s="28" t="str">
        <f t="shared" si="59"/>
        <v/>
      </c>
      <c r="AP91" s="157">
        <f>COUNTIFS(AllData[Site Name], Tables!$B91, AllData[Season], "Autumn", AllData[Year], "2024")</f>
        <v>7</v>
      </c>
      <c r="AQ91" s="160">
        <f>IFERROR(AVERAGEIFS(AllData[Nitrate (PPM)], AllData[Site Name], $B91, AllData[Season], "Autumn", AllData[Year], "2024"), "")</f>
        <v>5</v>
      </c>
      <c r="AR91" s="27">
        <f t="shared" si="60"/>
        <v>0.14942528735632193</v>
      </c>
      <c r="AS91" s="27" t="str">
        <f t="shared" si="42"/>
        <v/>
      </c>
      <c r="AT91" s="161">
        <f>IFERROR(AVERAGEIFS(AllData[Phosphate (PPM)], AllData[Site Name], B91, AllData[Season], "Autumn", AllData[Year], "2024"), "")</f>
        <v>0.9157142857142857</v>
      </c>
      <c r="AU91" s="27">
        <f t="shared" si="61"/>
        <v>7.0143659690977217E-2</v>
      </c>
      <c r="AV91" s="28" t="str">
        <f t="shared" si="43"/>
        <v/>
      </c>
      <c r="AW91" s="165">
        <f>COUNTIFS(AllData[Site Name], Tables!$B91, AllData[Season], "Winter", AllData[Year], "2024")</f>
        <v>4</v>
      </c>
      <c r="AX91" s="160">
        <f>IFERROR(AVERAGEIFS(AllData[Nitrate (PPM)], AllData[Site Name], $B91, AllData[Season], "Winter", AllData[Year], "2024"), "")</f>
        <v>4.25</v>
      </c>
      <c r="AY91" s="27">
        <f t="shared" si="62"/>
        <v>-2.2988505747126357E-2</v>
      </c>
      <c r="AZ91" s="27" t="str">
        <f t="shared" si="63"/>
        <v/>
      </c>
      <c r="BA91" s="161">
        <f>IFERROR(AVERAGEIFS(AllData[Phosphate (PPM)], AllData[Site Name], $B91, AllData[Season], "Winter", AllData[Year], "2024"), "")</f>
        <v>0.51500000000000001</v>
      </c>
      <c r="BB91" s="27">
        <f t="shared" si="64"/>
        <v>-0.39814853460437238</v>
      </c>
      <c r="BC91" s="44" t="str">
        <f t="shared" si="65"/>
        <v/>
      </c>
      <c r="BD91" s="157">
        <f>COUNTIFS(AllData[Site Name], Tables!$B91, AllData[Season], "Spring", AllData[Year], "2025")</f>
        <v>4</v>
      </c>
      <c r="BE91" s="160">
        <f>IFERROR(AVERAGEIFS(AllData[Nitrate (PPM)], AllData[Site Name], $B91, AllData[Season], "Spring", AllData[Year], "2025"), "")</f>
        <v>2.5</v>
      </c>
      <c r="BF91" s="27">
        <f t="shared" si="66"/>
        <v>-0.42528735632183906</v>
      </c>
      <c r="BG91" s="27">
        <f t="shared" si="67"/>
        <v>-0.5</v>
      </c>
      <c r="BH91" s="161">
        <f>IFERROR(AVERAGEIFS(AllData[Phosphate (PPM)], AllData[Site Name], $B91, AllData[Season], "Spring", AllData[Year], "2025"), "")</f>
        <v>0.44999999999999996</v>
      </c>
      <c r="BI91" s="27">
        <f t="shared" si="68"/>
        <v>-0.47411037004265555</v>
      </c>
      <c r="BJ91" s="27">
        <f t="shared" si="69"/>
        <v>-0.45038167938931317</v>
      </c>
      <c r="BK91" s="165">
        <f>COUNTIFS(AllData[Site Name], Tables!$B91, AllData[Season], "Summer", AllData[Year], "2025")</f>
        <v>0</v>
      </c>
      <c r="BL91" s="160" t="str">
        <f>IFERROR(AVERAGEIFS(AllData[Nitrate (PPM)], AllData[Site Name], $B91, AllData[Season], "Summer", AllData[Year], "2025"), "")</f>
        <v/>
      </c>
      <c r="BM91" s="27" t="str">
        <f t="shared" si="70"/>
        <v/>
      </c>
      <c r="BN91" s="27" t="str">
        <f t="shared" si="71"/>
        <v/>
      </c>
      <c r="BO91" s="161" t="str">
        <f>IFERROR(AVERAGEIFS(AllData[Phosphate (PPM)], AllData[Site Name], $B91, AllData[Season], "Summer", AllData[Year], "2025"),"")</f>
        <v/>
      </c>
      <c r="BP91" s="27" t="str">
        <f t="shared" si="72"/>
        <v/>
      </c>
      <c r="BQ91" s="27" t="str">
        <f t="shared" si="73"/>
        <v/>
      </c>
      <c r="BR91" s="165">
        <f>COUNTIFS(AllData[Site Name], Tables!$B91, AllData[Season], "Autumn", AllData[Year], "2025")</f>
        <v>0</v>
      </c>
      <c r="BS91" s="160" t="str">
        <f>IFERROR(AVERAGEIFS(AllData[Nitrate (PPM)], AllData[Site Name], $B91, AllData[Season], "Autumn", AllData[Year], "2025"), "")</f>
        <v/>
      </c>
      <c r="BT91" s="27" t="str">
        <f t="shared" si="74"/>
        <v/>
      </c>
      <c r="BU91" s="27" t="str">
        <f t="shared" si="75"/>
        <v/>
      </c>
      <c r="BV91" s="161" t="str">
        <f>IFERROR(AVERAGEIFS(AllData[Phosphate (PPM)], AllData[Site Name], AD91, AllData[Season], "Autumn", AllData[Year], "2025"), "")</f>
        <v/>
      </c>
      <c r="BW91" s="27" t="str">
        <f t="shared" si="76"/>
        <v/>
      </c>
      <c r="BX91" s="28" t="str">
        <f t="shared" si="77"/>
        <v/>
      </c>
      <c r="BY91" s="165">
        <f>COUNTIFS(AllData[Site Name], Tables!$B91, AllData[Season], "Winter", AllData[Year], "2025")</f>
        <v>0</v>
      </c>
      <c r="BZ91" s="160" t="str">
        <f>IFERROR(AVERAGEIFS(AllData[Nitrate (PPM)], AllData[Site Name], $B91, AllData[Season], "Winter", AllData[Year], "2025"), "")</f>
        <v/>
      </c>
      <c r="CA91" s="27" t="str">
        <f t="shared" si="80"/>
        <v/>
      </c>
      <c r="CB91" s="27" t="str">
        <f t="shared" si="81"/>
        <v/>
      </c>
      <c r="CC91" s="161" t="str">
        <f>IFERROR(AVERAGEIFS(AllData[Phosphate (PPM)], AllData[Site Name], $B91, AllData[Season], "Winter", AllData[Year], "2025"), "")</f>
        <v/>
      </c>
      <c r="CD91" s="27" t="str">
        <f t="shared" si="82"/>
        <v/>
      </c>
      <c r="CE91" s="44" t="str">
        <f t="shared" si="83"/>
        <v/>
      </c>
    </row>
    <row r="92" spans="2:83" x14ac:dyDescent="0.35">
      <c r="B92" s="159" t="s">
        <v>41</v>
      </c>
      <c r="C92" s="113">
        <f>IFERROR(AVERAGEIF(AllData[Site Name], Tables!B92, AllData[Latitude]), "Unknown")</f>
        <v>52.175174684210546</v>
      </c>
      <c r="D92" s="113">
        <f>IFERROR(AVERAGEIF(AllData[Site Name], Tables!B92, AllData[Longitude]), "Unknown")</f>
        <v>-1.7918551052631577</v>
      </c>
      <c r="E92" s="13" t="e" vm="1">
        <f>_xlfn.XLOOKUP(B92,LocationsKey[Site Name], LocationsKey[District])</f>
        <v>#VALUE!</v>
      </c>
      <c r="F92" s="13" t="e" vm="36">
        <f>_xlfn.XLOOKUP(B92,LocationsKey[Site Name], LocationsKey[Town])</f>
        <v>#VALUE!</v>
      </c>
      <c r="G92" s="25" t="str">
        <f>_xlfn.XLOOKUP(B92,LocationsKey[Site Name],LocationsKey[Waterway])</f>
        <v>Avon</v>
      </c>
      <c r="H92" s="157">
        <f>COUNTIF(AllData[Site Name], Tables!B92)</f>
        <v>19</v>
      </c>
      <c r="I92" s="160">
        <f t="shared" si="44"/>
        <v>10.042328042328043</v>
      </c>
      <c r="J92" s="161">
        <f t="shared" si="45"/>
        <v>0.51253968253968252</v>
      </c>
      <c r="K92" s="27" cm="1">
        <f t="array" ref="K92">SUM(COUNTIFS(AllData[Site Name], B92, AllData[Nitrate Pollution Category], {"High","Very high"}))/COUNTIFS(AllData[Site Name], B92, AllData[Nitrate (PPM)], "&lt;&gt;0")</f>
        <v>1</v>
      </c>
      <c r="L92" s="27" cm="1">
        <f t="array" ref="L92">SUM(COUNTIFS(AllData[Site Name], B92, AllData[Phosphate Pollution Category], {"High","Very high"}))/COUNTIFS(AllData[Site Name], B92, AllData[Phosphate (PPM)], "&lt;&gt;0")</f>
        <v>1</v>
      </c>
      <c r="M92" s="157">
        <f t="shared" si="46"/>
        <v>5</v>
      </c>
      <c r="N92" s="157">
        <f t="shared" si="47"/>
        <v>45</v>
      </c>
      <c r="O92" s="26">
        <f>COUNTIFS(AllData[Site Name], Tables!$B92, AllData[Season], "Summer", AllData[Year], "2023")</f>
        <v>7</v>
      </c>
      <c r="P92" s="160">
        <f>IFERROR(AVERAGEIFS(AllData[Nitrate (PPM)], AllData[Site Name], $B92, AllData[Season], "Summer", AllData[Year], "2023"), "")</f>
        <v>6.5714285714285712</v>
      </c>
      <c r="Q92" s="27">
        <f t="shared" si="48"/>
        <v>-0.34562697576396212</v>
      </c>
      <c r="R92" s="161">
        <f>IFERROR(AVERAGEIFS(AllData[Phosphate (PPM)], AllData[Site Name], $B92, AllData[Season], "Summer", AllData[Year], "2023"),"")</f>
        <v>0.56428571428571428</v>
      </c>
      <c r="S92" s="28">
        <f t="shared" si="49"/>
        <v>0.10096004955094461</v>
      </c>
      <c r="T92" s="26">
        <f>COUNTIFS(AllData[Site Name], Tables!$B92, AllData[Season], "Autumn", AllData[Year], "2023")</f>
        <v>9</v>
      </c>
      <c r="U92" s="160">
        <f>IFERROR(AVERAGEIFS(AllData[Nitrate (PPM)], AllData[Site Name], $B92, AllData[Season], "Autumn", AllData[Year], "2023"), "")</f>
        <v>6.8888888888888893</v>
      </c>
      <c r="V92" s="27">
        <f t="shared" si="50"/>
        <v>-0.31401475237091675</v>
      </c>
      <c r="W92" s="161">
        <f>IFERROR(AVERAGEIFS(AllData[Phosphate (PPM)], AllData[Site Name], $B92, AllData[Season], "Autumn", AllData[Year], "2023"),"")</f>
        <v>0.53</v>
      </c>
      <c r="X92" s="28">
        <f t="shared" si="51"/>
        <v>3.4066274388355626E-2</v>
      </c>
      <c r="Y92" s="26">
        <f>COUNTIFS(AllData[Site Name], Tables!$B92, AllData[Season], "Winter", AllData[Year], "2023")</f>
        <v>3</v>
      </c>
      <c r="Z92" s="160">
        <f>IFERROR(AVERAGEIFS(AllData[Nitrate (PPM)], AllData[Site Name], $B92, AllData[Season], "Winter", AllData[Year], "2023"), "")</f>
        <v>16.666666666666668</v>
      </c>
      <c r="AA92" s="27">
        <f t="shared" si="52"/>
        <v>0.65964172813487887</v>
      </c>
      <c r="AB92" s="161">
        <f>IFERROR(AVERAGEIFS(AllData[Phosphate (PPM)], AllData[Site Name], $B92, AllData[Season], "Winter", AllData[Year], "2023"),"")</f>
        <v>0.44333333333333336</v>
      </c>
      <c r="AC92" s="28">
        <f t="shared" si="53"/>
        <v>-0.1350263239393</v>
      </c>
      <c r="AD92" s="26">
        <f>COUNTIFS(AllData[Site Name], Tables!$B92, AllData[Season], "Spring", AllData[Year], "2024")</f>
        <v>0</v>
      </c>
      <c r="AE92" s="160" t="str">
        <f>IFERROR(AVERAGEIFS(AllData[Nitrate (PPM)], AllData[Site Name], $B92, AllData[Season], "Spring", AllData[Year], "2024"), "")</f>
        <v/>
      </c>
      <c r="AF92" s="27" t="str">
        <f t="shared" si="54"/>
        <v/>
      </c>
      <c r="AG92" s="161" t="str">
        <f>IFERROR(AVERAGEIFS(AllData[Phosphate (PPM)], AllData[Site Name], $B92, AllData[Season], "Spring", AllData[Year], "2024"),"")</f>
        <v/>
      </c>
      <c r="AH92" s="28" t="str">
        <f t="shared" si="55"/>
        <v/>
      </c>
      <c r="AI92" s="165">
        <f>COUNTIFS(AllData[Site Name], Tables!$B92, AllData[Season], "Summer", AllData[Year], "2024")</f>
        <v>0</v>
      </c>
      <c r="AJ92" s="160" t="str">
        <f>IFERROR(AVERAGEIFS(AllData[Nitrate (PPM)], AllData[Site Name], $B92, AllData[Season], "Summer", AllData[Year], "2024"), "")</f>
        <v/>
      </c>
      <c r="AK92" s="27" t="str">
        <f t="shared" si="56"/>
        <v/>
      </c>
      <c r="AL92" s="27" t="str">
        <f t="shared" si="57"/>
        <v/>
      </c>
      <c r="AM92" s="161" t="str">
        <f>IFERROR(AVERAGEIFS(AllData[Phosphate (PPM)], AllData[Site Name], $B92, AllData[Season], "Summer", AllData[Year], "2024"),"")</f>
        <v/>
      </c>
      <c r="AN92" s="27" t="str">
        <f t="shared" si="58"/>
        <v/>
      </c>
      <c r="AO92" s="28" t="str">
        <f t="shared" si="59"/>
        <v/>
      </c>
      <c r="AP92" s="157">
        <f>COUNTIFS(AllData[Site Name], Tables!$B92, AllData[Season], "Autumn", AllData[Year], "2024")</f>
        <v>0</v>
      </c>
      <c r="AQ92" s="160" t="str">
        <f>IFERROR(AVERAGEIFS(AllData[Nitrate (PPM)], AllData[Site Name], $B92, AllData[Season], "Autumn", AllData[Year], "2024"), "")</f>
        <v/>
      </c>
      <c r="AR92" s="27" t="str">
        <f t="shared" si="60"/>
        <v/>
      </c>
      <c r="AS92" s="27" t="str">
        <f t="shared" si="42"/>
        <v/>
      </c>
      <c r="AT92" s="161" t="str">
        <f>IFERROR(AVERAGEIFS(AllData[Phosphate (PPM)], AllData[Site Name], B92, AllData[Season], "Autumn", AllData[Year], "2024"), "")</f>
        <v/>
      </c>
      <c r="AU92" s="27" t="str">
        <f t="shared" si="61"/>
        <v/>
      </c>
      <c r="AV92" s="28" t="str">
        <f t="shared" si="43"/>
        <v/>
      </c>
      <c r="AW92" s="165">
        <f>COUNTIFS(AllData[Site Name], Tables!$B92, AllData[Season], "Winter", AllData[Year], "2024")</f>
        <v>0</v>
      </c>
      <c r="AX92" s="160" t="str">
        <f>IFERROR(AVERAGEIFS(AllData[Nitrate (PPM)], AllData[Site Name], $B92, AllData[Season], "Winter", AllData[Year], "2024"), "")</f>
        <v/>
      </c>
      <c r="AY92" s="27" t="str">
        <f t="shared" si="62"/>
        <v/>
      </c>
      <c r="AZ92" s="27" t="str">
        <f t="shared" si="63"/>
        <v/>
      </c>
      <c r="BA92" s="161" t="str">
        <f>IFERROR(AVERAGEIFS(AllData[Phosphate (PPM)], AllData[Site Name], $B92, AllData[Season], "Winter", AllData[Year], "2024"), "")</f>
        <v/>
      </c>
      <c r="BB92" s="27" t="str">
        <f t="shared" si="64"/>
        <v/>
      </c>
      <c r="BC92" s="44" t="str">
        <f t="shared" si="65"/>
        <v/>
      </c>
      <c r="BD92" s="157">
        <f>COUNTIFS(AllData[Site Name], Tables!$B92, AllData[Season], "Spring", AllData[Year], "2025")</f>
        <v>0</v>
      </c>
      <c r="BE92" s="160" t="str">
        <f>IFERROR(AVERAGEIFS(AllData[Nitrate (PPM)], AllData[Site Name], $B92, AllData[Season], "Spring", AllData[Year], "2025"), "")</f>
        <v/>
      </c>
      <c r="BF92" s="27" t="str">
        <f t="shared" si="66"/>
        <v/>
      </c>
      <c r="BG92" s="27" t="str">
        <f t="shared" si="67"/>
        <v/>
      </c>
      <c r="BH92" s="161" t="str">
        <f>IFERROR(AVERAGEIFS(AllData[Phosphate (PPM)], AllData[Site Name], $B92, AllData[Season], "Spring", AllData[Year], "2025"), "")</f>
        <v/>
      </c>
      <c r="BI92" s="27" t="str">
        <f t="shared" si="68"/>
        <v/>
      </c>
      <c r="BJ92" s="27" t="str">
        <f t="shared" si="69"/>
        <v/>
      </c>
      <c r="BK92" s="165">
        <f>COUNTIFS(AllData[Site Name], Tables!$B92, AllData[Season], "Summer", AllData[Year], "2025")</f>
        <v>0</v>
      </c>
      <c r="BL92" s="160" t="str">
        <f>IFERROR(AVERAGEIFS(AllData[Nitrate (PPM)], AllData[Site Name], $B92, AllData[Season], "Summer", AllData[Year], "2025"), "")</f>
        <v/>
      </c>
      <c r="BM92" s="27" t="str">
        <f t="shared" si="70"/>
        <v/>
      </c>
      <c r="BN92" s="27" t="str">
        <f t="shared" si="71"/>
        <v/>
      </c>
      <c r="BO92" s="161" t="str">
        <f>IFERROR(AVERAGEIFS(AllData[Phosphate (PPM)], AllData[Site Name], $B92, AllData[Season], "Summer", AllData[Year], "2025"),"")</f>
        <v/>
      </c>
      <c r="BP92" s="27" t="str">
        <f t="shared" si="72"/>
        <v/>
      </c>
      <c r="BQ92" s="27" t="str">
        <f t="shared" si="73"/>
        <v/>
      </c>
      <c r="BR92" s="165">
        <f>COUNTIFS(AllData[Site Name], Tables!$B92, AllData[Season], "Autumn", AllData[Year], "2025")</f>
        <v>0</v>
      </c>
      <c r="BS92" s="160" t="str">
        <f>IFERROR(AVERAGEIFS(AllData[Nitrate (PPM)], AllData[Site Name], $B92, AllData[Season], "Autumn", AllData[Year], "2025"), "")</f>
        <v/>
      </c>
      <c r="BT92" s="27" t="str">
        <f t="shared" si="74"/>
        <v/>
      </c>
      <c r="BU92" s="27" t="str">
        <f t="shared" si="75"/>
        <v/>
      </c>
      <c r="BV92" s="161" t="str">
        <f>IFERROR(AVERAGEIFS(AllData[Phosphate (PPM)], AllData[Site Name], AD92, AllData[Season], "Autumn", AllData[Year], "2025"), "")</f>
        <v/>
      </c>
      <c r="BW92" s="27" t="str">
        <f t="shared" si="76"/>
        <v/>
      </c>
      <c r="BX92" s="28" t="str">
        <f t="shared" si="77"/>
        <v/>
      </c>
      <c r="BY92" s="165">
        <f>COUNTIFS(AllData[Site Name], Tables!$B92, AllData[Season], "Winter", AllData[Year], "2025")</f>
        <v>0</v>
      </c>
      <c r="BZ92" s="160" t="str">
        <f>IFERROR(AVERAGEIFS(AllData[Nitrate (PPM)], AllData[Site Name], $B92, AllData[Season], "Winter", AllData[Year], "2025"), "")</f>
        <v/>
      </c>
      <c r="CA92" s="27" t="str">
        <f t="shared" si="80"/>
        <v/>
      </c>
      <c r="CB92" s="27" t="str">
        <f t="shared" si="81"/>
        <v/>
      </c>
      <c r="CC92" s="161" t="str">
        <f>IFERROR(AVERAGEIFS(AllData[Phosphate (PPM)], AllData[Site Name], $B92, AllData[Season], "Winter", AllData[Year], "2025"), "")</f>
        <v/>
      </c>
      <c r="CD92" s="27" t="str">
        <f t="shared" si="82"/>
        <v/>
      </c>
      <c r="CE92" s="44" t="str">
        <f t="shared" si="83"/>
        <v/>
      </c>
    </row>
    <row r="93" spans="2:83" x14ac:dyDescent="0.35">
      <c r="B93" s="159" t="s">
        <v>3558</v>
      </c>
      <c r="C93" s="113">
        <f>IFERROR(AVERAGEIF(AllData[Site Name], Tables!B93, AllData[Latitude]), "Unknown")</f>
        <v>52.167429999999996</v>
      </c>
      <c r="D93" s="113">
        <f>IFERROR(AVERAGEIF(AllData[Site Name], Tables!B93, AllData[Longitude]), "Unknown")</f>
        <v>-1.7744752941176474</v>
      </c>
      <c r="E93" s="13" t="e" vm="1">
        <f>_xlfn.XLOOKUP(B93,LocationsKey[Site Name], LocationsKey[District])</f>
        <v>#VALUE!</v>
      </c>
      <c r="F93" s="13" t="e" vm="35">
        <f>_xlfn.XLOOKUP(B93,LocationsKey[Site Name], LocationsKey[Town])</f>
        <v>#VALUE!</v>
      </c>
      <c r="G93" s="25" t="str">
        <f>_xlfn.XLOOKUP(B93,LocationsKey[Site Name],LocationsKey[Waterway])</f>
        <v>Avon</v>
      </c>
      <c r="H93" s="157">
        <f>COUNTIF(AllData[Site Name], Tables!B93)</f>
        <v>17</v>
      </c>
      <c r="I93" s="160">
        <f t="shared" si="44"/>
        <v>5.8740740740740742</v>
      </c>
      <c r="J93" s="161">
        <f t="shared" si="45"/>
        <v>0.58770370370370373</v>
      </c>
      <c r="K93" s="27" cm="1">
        <f t="array" ref="K93">SUM(COUNTIFS(AllData[Site Name], B93, AllData[Nitrate Pollution Category], {"High","Very high"}))/COUNTIFS(AllData[Site Name], B93, AllData[Nitrate (PPM)], "&lt;&gt;0")</f>
        <v>1</v>
      </c>
      <c r="L93" s="27" cm="1">
        <f t="array" ref="L93">SUM(COUNTIFS(AllData[Site Name], B93, AllData[Phosphate Pollution Category], {"High","Very high"}))/COUNTIFS(AllData[Site Name], B93, AllData[Phosphate (PPM)], "&lt;&gt;0")</f>
        <v>1</v>
      </c>
      <c r="M93" s="157">
        <f t="shared" si="46"/>
        <v>43</v>
      </c>
      <c r="N93" s="157">
        <f t="shared" si="47"/>
        <v>32</v>
      </c>
      <c r="O93" s="26">
        <f>COUNTIFS(AllData[Site Name], Tables!$B93, AllData[Season], "Summer", AllData[Year], "2023")</f>
        <v>5</v>
      </c>
      <c r="P93" s="160">
        <f>IFERROR(AVERAGEIFS(AllData[Nitrate (PPM)], AllData[Site Name], $B93, AllData[Season], "Summer", AllData[Year], "2023"), "")</f>
        <v>4.4000000000000004</v>
      </c>
      <c r="Q93" s="27">
        <f t="shared" si="48"/>
        <v>-0.25094577553593944</v>
      </c>
      <c r="R93" s="161">
        <f>IFERROR(AVERAGEIFS(AllData[Phosphate (PPM)], AllData[Site Name], $B93, AllData[Season], "Summer", AllData[Year], "2023"),"")</f>
        <v>0.79199999999999993</v>
      </c>
      <c r="S93" s="28">
        <f t="shared" si="49"/>
        <v>0.34761784723972755</v>
      </c>
      <c r="T93" s="26">
        <f>COUNTIFS(AllData[Site Name], Tables!$B93, AllData[Season], "Autumn", AllData[Year], "2023")</f>
        <v>9</v>
      </c>
      <c r="U93" s="160">
        <f>IFERROR(AVERAGEIFS(AllData[Nitrate (PPM)], AllData[Site Name], $B93, AllData[Season], "Autumn", AllData[Year], "2023"), "")</f>
        <v>5.2222222222222223</v>
      </c>
      <c r="V93" s="27">
        <f t="shared" si="50"/>
        <v>-0.11097099621689786</v>
      </c>
      <c r="W93" s="161">
        <f>IFERROR(AVERAGEIFS(AllData[Phosphate (PPM)], AllData[Site Name], $B93, AllData[Season], "Autumn", AllData[Year], "2023"),"")</f>
        <v>0.55111111111111111</v>
      </c>
      <c r="X93" s="28">
        <f t="shared" si="51"/>
        <v>-6.2263675321401611E-2</v>
      </c>
      <c r="Y93" s="26">
        <f>COUNTIFS(AllData[Site Name], Tables!$B93, AllData[Season], "Winter", AllData[Year], "2023")</f>
        <v>3</v>
      </c>
      <c r="Z93" s="160">
        <f>IFERROR(AVERAGEIFS(AllData[Nitrate (PPM)], AllData[Site Name], $B93, AllData[Season], "Winter", AllData[Year], "2023"), "")</f>
        <v>8</v>
      </c>
      <c r="AA93" s="27">
        <f t="shared" si="52"/>
        <v>0.36191677175283732</v>
      </c>
      <c r="AB93" s="161">
        <f>IFERROR(AVERAGEIFS(AllData[Phosphate (PPM)], AllData[Site Name], $B93, AllData[Season], "Winter", AllData[Year], "2023"),"")</f>
        <v>0.4200000000000001</v>
      </c>
      <c r="AC93" s="28">
        <f t="shared" si="53"/>
        <v>-0.28535417191832607</v>
      </c>
      <c r="AD93" s="26">
        <f>COUNTIFS(AllData[Site Name], Tables!$B93, AllData[Season], "Spring", AllData[Year], "2024")</f>
        <v>0</v>
      </c>
      <c r="AE93" s="160" t="str">
        <f>IFERROR(AVERAGEIFS(AllData[Nitrate (PPM)], AllData[Site Name], $B93, AllData[Season], "Spring", AllData[Year], "2024"), "")</f>
        <v/>
      </c>
      <c r="AF93" s="27" t="str">
        <f t="shared" si="54"/>
        <v/>
      </c>
      <c r="AG93" s="161" t="str">
        <f>IFERROR(AVERAGEIFS(AllData[Phosphate (PPM)], AllData[Site Name], $B93, AllData[Season], "Spring", AllData[Year], "2024"),"")</f>
        <v/>
      </c>
      <c r="AH93" s="28" t="str">
        <f t="shared" si="55"/>
        <v/>
      </c>
      <c r="AI93" s="165">
        <f>COUNTIFS(AllData[Site Name], Tables!$B93, AllData[Season], "Summer", AllData[Year], "2024")</f>
        <v>0</v>
      </c>
      <c r="AJ93" s="160" t="str">
        <f>IFERROR(AVERAGEIFS(AllData[Nitrate (PPM)], AllData[Site Name], $B93, AllData[Season], "Summer", AllData[Year], "2024"), "")</f>
        <v/>
      </c>
      <c r="AK93" s="27" t="str">
        <f t="shared" si="56"/>
        <v/>
      </c>
      <c r="AL93" s="27" t="str">
        <f t="shared" si="57"/>
        <v/>
      </c>
      <c r="AM93" s="161" t="str">
        <f>IFERROR(AVERAGEIFS(AllData[Phosphate (PPM)], AllData[Site Name], $B93, AllData[Season], "Summer", AllData[Year], "2024"),"")</f>
        <v/>
      </c>
      <c r="AN93" s="27" t="str">
        <f t="shared" si="58"/>
        <v/>
      </c>
      <c r="AO93" s="28" t="str">
        <f t="shared" si="59"/>
        <v/>
      </c>
      <c r="AP93" s="157">
        <f>COUNTIFS(AllData[Site Name], Tables!$B93, AllData[Season], "Autumn", AllData[Year], "2024")</f>
        <v>0</v>
      </c>
      <c r="AQ93" s="160" t="str">
        <f>IFERROR(AVERAGEIFS(AllData[Nitrate (PPM)], AllData[Site Name], $B93, AllData[Season], "Autumn", AllData[Year], "2024"), "")</f>
        <v/>
      </c>
      <c r="AR93" s="27" t="str">
        <f t="shared" si="60"/>
        <v/>
      </c>
      <c r="AS93" s="27" t="str">
        <f t="shared" si="42"/>
        <v/>
      </c>
      <c r="AT93" s="161" t="str">
        <f>IFERROR(AVERAGEIFS(AllData[Phosphate (PPM)], AllData[Site Name], B93, AllData[Season], "Autumn", AllData[Year], "2024"), "")</f>
        <v/>
      </c>
      <c r="AU93" s="27" t="str">
        <f t="shared" si="61"/>
        <v/>
      </c>
      <c r="AV93" s="28" t="str">
        <f t="shared" si="43"/>
        <v/>
      </c>
      <c r="AW93" s="165">
        <f>COUNTIFS(AllData[Site Name], Tables!$B93, AllData[Season], "Winter", AllData[Year], "2024")</f>
        <v>0</v>
      </c>
      <c r="AX93" s="160" t="str">
        <f>IFERROR(AVERAGEIFS(AllData[Nitrate (PPM)], AllData[Site Name], $B93, AllData[Season], "Winter", AllData[Year], "2024"), "")</f>
        <v/>
      </c>
      <c r="AY93" s="27" t="str">
        <f t="shared" si="62"/>
        <v/>
      </c>
      <c r="AZ93" s="27" t="str">
        <f t="shared" si="63"/>
        <v/>
      </c>
      <c r="BA93" s="161" t="str">
        <f>IFERROR(AVERAGEIFS(AllData[Phosphate (PPM)], AllData[Site Name], $B93, AllData[Season], "Winter", AllData[Year], "2024"), "")</f>
        <v/>
      </c>
      <c r="BB93" s="27" t="str">
        <f t="shared" si="64"/>
        <v/>
      </c>
      <c r="BC93" s="44" t="str">
        <f t="shared" si="65"/>
        <v/>
      </c>
      <c r="BD93" s="157">
        <f>COUNTIFS(AllData[Site Name], Tables!$B93, AllData[Season], "Spring", AllData[Year], "2025")</f>
        <v>0</v>
      </c>
      <c r="BE93" s="160" t="str">
        <f>IFERROR(AVERAGEIFS(AllData[Nitrate (PPM)], AllData[Site Name], $B93, AllData[Season], "Spring", AllData[Year], "2025"), "")</f>
        <v/>
      </c>
      <c r="BF93" s="27" t="str">
        <f t="shared" si="66"/>
        <v/>
      </c>
      <c r="BG93" s="27" t="str">
        <f t="shared" si="67"/>
        <v/>
      </c>
      <c r="BH93" s="161" t="str">
        <f>IFERROR(AVERAGEIFS(AllData[Phosphate (PPM)], AllData[Site Name], $B93, AllData[Season], "Spring", AllData[Year], "2025"), "")</f>
        <v/>
      </c>
      <c r="BI93" s="27" t="str">
        <f t="shared" si="68"/>
        <v/>
      </c>
      <c r="BJ93" s="27" t="str">
        <f t="shared" si="69"/>
        <v/>
      </c>
      <c r="BK93" s="165">
        <f>COUNTIFS(AllData[Site Name], Tables!$B93, AllData[Season], "Summer", AllData[Year], "2025")</f>
        <v>0</v>
      </c>
      <c r="BL93" s="160" t="str">
        <f>IFERROR(AVERAGEIFS(AllData[Nitrate (PPM)], AllData[Site Name], $B93, AllData[Season], "Summer", AllData[Year], "2025"), "")</f>
        <v/>
      </c>
      <c r="BM93" s="27" t="str">
        <f t="shared" si="70"/>
        <v/>
      </c>
      <c r="BN93" s="27" t="str">
        <f t="shared" si="71"/>
        <v/>
      </c>
      <c r="BO93" s="161" t="str">
        <f>IFERROR(AVERAGEIFS(AllData[Phosphate (PPM)], AllData[Site Name], $B93, AllData[Season], "Summer", AllData[Year], "2025"),"")</f>
        <v/>
      </c>
      <c r="BP93" s="27" t="str">
        <f t="shared" si="72"/>
        <v/>
      </c>
      <c r="BQ93" s="27" t="str">
        <f t="shared" si="73"/>
        <v/>
      </c>
      <c r="BR93" s="165">
        <f>COUNTIFS(AllData[Site Name], Tables!$B93, AllData[Season], "Autumn", AllData[Year], "2025")</f>
        <v>0</v>
      </c>
      <c r="BS93" s="160" t="str">
        <f>IFERROR(AVERAGEIFS(AllData[Nitrate (PPM)], AllData[Site Name], $B93, AllData[Season], "Autumn", AllData[Year], "2025"), "")</f>
        <v/>
      </c>
      <c r="BT93" s="27" t="str">
        <f t="shared" si="74"/>
        <v/>
      </c>
      <c r="BU93" s="27" t="str">
        <f t="shared" si="75"/>
        <v/>
      </c>
      <c r="BV93" s="161" t="str">
        <f>IFERROR(AVERAGEIFS(AllData[Phosphate (PPM)], AllData[Site Name], AD93, AllData[Season], "Autumn", AllData[Year], "2025"), "")</f>
        <v/>
      </c>
      <c r="BW93" s="27" t="str">
        <f t="shared" si="76"/>
        <v/>
      </c>
      <c r="BX93" s="28" t="str">
        <f t="shared" si="77"/>
        <v/>
      </c>
      <c r="BY93" s="165">
        <f>COUNTIFS(AllData[Site Name], Tables!$B93, AllData[Season], "Winter", AllData[Year], "2025")</f>
        <v>0</v>
      </c>
      <c r="BZ93" s="160" t="str">
        <f>IFERROR(AVERAGEIFS(AllData[Nitrate (PPM)], AllData[Site Name], $B93, AllData[Season], "Winter", AllData[Year], "2025"), "")</f>
        <v/>
      </c>
      <c r="CA93" s="27" t="str">
        <f t="shared" si="80"/>
        <v/>
      </c>
      <c r="CB93" s="27" t="str">
        <f t="shared" si="81"/>
        <v/>
      </c>
      <c r="CC93" s="161" t="str">
        <f>IFERROR(AVERAGEIFS(AllData[Phosphate (PPM)], AllData[Site Name], $B93, AllData[Season], "Winter", AllData[Year], "2025"), "")</f>
        <v/>
      </c>
      <c r="CD93" s="27" t="str">
        <f t="shared" si="82"/>
        <v/>
      </c>
      <c r="CE93" s="44" t="str">
        <f t="shared" si="83"/>
        <v/>
      </c>
    </row>
    <row r="94" spans="2:83" x14ac:dyDescent="0.35">
      <c r="B94" s="159" t="s">
        <v>1907</v>
      </c>
      <c r="C94" s="113">
        <f>IFERROR(AVERAGEIF(AllData[Site Name], Tables!B94, AllData[Latitude]), "Unknown")</f>
        <v>52.158735499999999</v>
      </c>
      <c r="D94" s="113">
        <f>IFERROR(AVERAGEIF(AllData[Site Name], Tables!B94, AllData[Longitude]), "Unknown")</f>
        <v>-1.9573510000000001</v>
      </c>
      <c r="E94" s="13" t="e" vm="6">
        <f>_xlfn.XLOOKUP(B94,LocationsKey[Site Name], LocationsKey[District])</f>
        <v>#VALUE!</v>
      </c>
      <c r="F94" s="13" t="e" vm="29">
        <f>_xlfn.XLOOKUP(B94,LocationsKey[Site Name], LocationsKey[Town])</f>
        <v>#VALUE!</v>
      </c>
      <c r="G94" s="25" t="str">
        <f>_xlfn.XLOOKUP(B94,LocationsKey[Site Name],LocationsKey[Waterway])</f>
        <v>Whitsun Brook</v>
      </c>
      <c r="H94" s="157">
        <f>COUNTIF(AllData[Site Name], Tables!B94)</f>
        <v>2</v>
      </c>
      <c r="I94" s="160">
        <f t="shared" si="44"/>
        <v>1.5</v>
      </c>
      <c r="J94" s="161">
        <f t="shared" si="45"/>
        <v>1.085</v>
      </c>
      <c r="K94" s="27" cm="1">
        <f t="array" ref="K94">SUM(COUNTIFS(AllData[Site Name], B94, AllData[Nitrate Pollution Category], {"High","Very high"}))/COUNTIFS(AllData[Site Name], B94, AllData[Nitrate (PPM)], "&lt;&gt;0")</f>
        <v>0.5</v>
      </c>
      <c r="L94" s="27" cm="1">
        <f t="array" ref="L94">SUM(COUNTIFS(AllData[Site Name], B94, AllData[Phosphate Pollution Category], {"High","Very high"}))/COUNTIFS(AllData[Site Name], B94, AllData[Phosphate (PPM)], "&lt;&gt;0")</f>
        <v>1</v>
      </c>
      <c r="M94" s="157">
        <f t="shared" si="46"/>
        <v>83</v>
      </c>
      <c r="N94" s="157">
        <f t="shared" si="47"/>
        <v>13</v>
      </c>
      <c r="O94" s="26">
        <f>COUNTIFS(AllData[Site Name], Tables!$B94, AllData[Season], "Summer", AllData[Year], "2023")</f>
        <v>0</v>
      </c>
      <c r="P94" s="160" t="str">
        <f>IFERROR(AVERAGEIFS(AllData[Nitrate (PPM)], AllData[Site Name], $B94, AllData[Season], "Summer", AllData[Year], "2023"), "")</f>
        <v/>
      </c>
      <c r="Q94" s="27" t="str">
        <f t="shared" si="48"/>
        <v/>
      </c>
      <c r="R94" s="161" t="str">
        <f>IFERROR(AVERAGEIFS(AllData[Phosphate (PPM)], AllData[Site Name], $B94, AllData[Season], "Summer", AllData[Year], "2023"),"")</f>
        <v/>
      </c>
      <c r="S94" s="28" t="str">
        <f t="shared" si="49"/>
        <v/>
      </c>
      <c r="T94" s="26">
        <f>COUNTIFS(AllData[Site Name], Tables!$B94, AllData[Season], "Autumn", AllData[Year], "2023")</f>
        <v>0</v>
      </c>
      <c r="U94" s="160" t="str">
        <f>IFERROR(AVERAGEIFS(AllData[Nitrate (PPM)], AllData[Site Name], $B94, AllData[Season], "Autumn", AllData[Year], "2023"), "")</f>
        <v/>
      </c>
      <c r="V94" s="27" t="str">
        <f t="shared" si="50"/>
        <v/>
      </c>
      <c r="W94" s="161" t="str">
        <f>IFERROR(AVERAGEIFS(AllData[Phosphate (PPM)], AllData[Site Name], $B94, AllData[Season], "Autumn", AllData[Year], "2023"),"")</f>
        <v/>
      </c>
      <c r="X94" s="28" t="str">
        <f t="shared" si="51"/>
        <v/>
      </c>
      <c r="Y94" s="26">
        <f>COUNTIFS(AllData[Site Name], Tables!$B94, AllData[Season], "Winter", AllData[Year], "2023")</f>
        <v>0</v>
      </c>
      <c r="Z94" s="160" t="str">
        <f>IFERROR(AVERAGEIFS(AllData[Nitrate (PPM)], AllData[Site Name], $B94, AllData[Season], "Winter", AllData[Year], "2023"), "")</f>
        <v/>
      </c>
      <c r="AA94" s="27" t="str">
        <f t="shared" si="52"/>
        <v/>
      </c>
      <c r="AB94" s="161" t="str">
        <f>IFERROR(AVERAGEIFS(AllData[Phosphate (PPM)], AllData[Site Name], $B94, AllData[Season], "Winter", AllData[Year], "2023"),"")</f>
        <v/>
      </c>
      <c r="AC94" s="28" t="str">
        <f t="shared" si="53"/>
        <v/>
      </c>
      <c r="AD94" s="26">
        <f>COUNTIFS(AllData[Site Name], Tables!$B94, AllData[Season], "Spring", AllData[Year], "2024")</f>
        <v>0</v>
      </c>
      <c r="AE94" s="160" t="str">
        <f>IFERROR(AVERAGEIFS(AllData[Nitrate (PPM)], AllData[Site Name], $B94, AllData[Season], "Spring", AllData[Year], "2024"), "")</f>
        <v/>
      </c>
      <c r="AF94" s="27" t="str">
        <f t="shared" si="54"/>
        <v/>
      </c>
      <c r="AG94" s="161" t="str">
        <f>IFERROR(AVERAGEIFS(AllData[Phosphate (PPM)], AllData[Site Name], $B94, AllData[Season], "Spring", AllData[Year], "2024"),"")</f>
        <v/>
      </c>
      <c r="AH94" s="28" t="str">
        <f t="shared" si="55"/>
        <v/>
      </c>
      <c r="AI94" s="165">
        <f>COUNTIFS(AllData[Site Name], Tables!$B94, AllData[Season], "Summer", AllData[Year], "2024")</f>
        <v>2</v>
      </c>
      <c r="AJ94" s="160">
        <f>IFERROR(AVERAGEIFS(AllData[Nitrate (PPM)], AllData[Site Name], $B94, AllData[Season], "Summer", AllData[Year], "2024"), "")</f>
        <v>1.5</v>
      </c>
      <c r="AK94" s="27">
        <f t="shared" si="56"/>
        <v>0</v>
      </c>
      <c r="AL94" s="27" t="str">
        <f t="shared" si="57"/>
        <v/>
      </c>
      <c r="AM94" s="161">
        <f>IFERROR(AVERAGEIFS(AllData[Phosphate (PPM)], AllData[Site Name], $B94, AllData[Season], "Summer", AllData[Year], "2024"),"")</f>
        <v>1.085</v>
      </c>
      <c r="AN94" s="27">
        <f t="shared" si="58"/>
        <v>0</v>
      </c>
      <c r="AO94" s="28" t="str">
        <f t="shared" si="59"/>
        <v/>
      </c>
      <c r="AP94" s="157">
        <f>COUNTIFS(AllData[Site Name], Tables!$B94, AllData[Season], "Autumn", AllData[Year], "2024")</f>
        <v>0</v>
      </c>
      <c r="AQ94" s="160" t="str">
        <f>IFERROR(AVERAGEIFS(AllData[Nitrate (PPM)], AllData[Site Name], $B94, AllData[Season], "Autumn", AllData[Year], "2024"), "")</f>
        <v/>
      </c>
      <c r="AR94" s="27" t="str">
        <f t="shared" si="60"/>
        <v/>
      </c>
      <c r="AS94" s="27" t="str">
        <f t="shared" si="42"/>
        <v/>
      </c>
      <c r="AT94" s="161" t="str">
        <f>IFERROR(AVERAGEIFS(AllData[Phosphate (PPM)], AllData[Site Name], B94, AllData[Season], "Autumn", AllData[Year], "2024"), "")</f>
        <v/>
      </c>
      <c r="AU94" s="27" t="str">
        <f t="shared" si="61"/>
        <v/>
      </c>
      <c r="AV94" s="28" t="str">
        <f t="shared" si="43"/>
        <v/>
      </c>
      <c r="AW94" s="165">
        <f>COUNTIFS(AllData[Site Name], Tables!$B94, AllData[Season], "Winter", AllData[Year], "2024")</f>
        <v>0</v>
      </c>
      <c r="AX94" s="160" t="str">
        <f>IFERROR(AVERAGEIFS(AllData[Nitrate (PPM)], AllData[Site Name], $B94, AllData[Season], "Winter", AllData[Year], "2024"), "")</f>
        <v/>
      </c>
      <c r="AY94" s="27" t="str">
        <f t="shared" si="62"/>
        <v/>
      </c>
      <c r="AZ94" s="27" t="str">
        <f t="shared" si="63"/>
        <v/>
      </c>
      <c r="BA94" s="161" t="str">
        <f>IFERROR(AVERAGEIFS(AllData[Phosphate (PPM)], AllData[Site Name], $B94, AllData[Season], "Winter", AllData[Year], "2024"), "")</f>
        <v/>
      </c>
      <c r="BB94" s="27" t="str">
        <f t="shared" si="64"/>
        <v/>
      </c>
      <c r="BC94" s="44" t="str">
        <f t="shared" si="65"/>
        <v/>
      </c>
      <c r="BD94" s="157">
        <f>COUNTIFS(AllData[Site Name], Tables!$B94, AllData[Season], "Spring", AllData[Year], "2025")</f>
        <v>0</v>
      </c>
      <c r="BE94" s="160" t="str">
        <f>IFERROR(AVERAGEIFS(AllData[Nitrate (PPM)], AllData[Site Name], $B94, AllData[Season], "Spring", AllData[Year], "2025"), "")</f>
        <v/>
      </c>
      <c r="BF94" s="27" t="str">
        <f t="shared" si="66"/>
        <v/>
      </c>
      <c r="BG94" s="27" t="str">
        <f t="shared" si="67"/>
        <v/>
      </c>
      <c r="BH94" s="161" t="str">
        <f>IFERROR(AVERAGEIFS(AllData[Phosphate (PPM)], AllData[Site Name], $B94, AllData[Season], "Spring", AllData[Year], "2025"), "")</f>
        <v/>
      </c>
      <c r="BI94" s="27" t="str">
        <f t="shared" si="68"/>
        <v/>
      </c>
      <c r="BJ94" s="27" t="str">
        <f t="shared" si="69"/>
        <v/>
      </c>
      <c r="BK94" s="165">
        <f>COUNTIFS(AllData[Site Name], Tables!$B94, AllData[Season], "Summer", AllData[Year], "2025")</f>
        <v>0</v>
      </c>
      <c r="BL94" s="160" t="str">
        <f>IFERROR(AVERAGEIFS(AllData[Nitrate (PPM)], AllData[Site Name], $B94, AllData[Season], "Summer", AllData[Year], "2025"), "")</f>
        <v/>
      </c>
      <c r="BM94" s="27" t="str">
        <f t="shared" si="70"/>
        <v/>
      </c>
      <c r="BN94" s="27" t="str">
        <f t="shared" si="71"/>
        <v/>
      </c>
      <c r="BO94" s="161" t="str">
        <f>IFERROR(AVERAGEIFS(AllData[Phosphate (PPM)], AllData[Site Name], $B94, AllData[Season], "Summer", AllData[Year], "2025"),"")</f>
        <v/>
      </c>
      <c r="BP94" s="27" t="str">
        <f t="shared" si="72"/>
        <v/>
      </c>
      <c r="BQ94" s="27" t="str">
        <f t="shared" si="73"/>
        <v/>
      </c>
      <c r="BR94" s="165">
        <f>COUNTIFS(AllData[Site Name], Tables!$B94, AllData[Season], "Autumn", AllData[Year], "2025")</f>
        <v>0</v>
      </c>
      <c r="BS94" s="160" t="str">
        <f>IFERROR(AVERAGEIFS(AllData[Nitrate (PPM)], AllData[Site Name], $B94, AllData[Season], "Autumn", AllData[Year], "2025"), "")</f>
        <v/>
      </c>
      <c r="BT94" s="27" t="str">
        <f t="shared" si="74"/>
        <v/>
      </c>
      <c r="BU94" s="27" t="str">
        <f t="shared" si="75"/>
        <v/>
      </c>
      <c r="BV94" s="161" t="str">
        <f>IFERROR(AVERAGEIFS(AllData[Phosphate (PPM)], AllData[Site Name], AD94, AllData[Season], "Autumn", AllData[Year], "2025"), "")</f>
        <v/>
      </c>
      <c r="BW94" s="27" t="str">
        <f t="shared" si="76"/>
        <v/>
      </c>
      <c r="BX94" s="28" t="str">
        <f t="shared" si="77"/>
        <v/>
      </c>
      <c r="BY94" s="165">
        <f>COUNTIFS(AllData[Site Name], Tables!$B94, AllData[Season], "Winter", AllData[Year], "2025")</f>
        <v>0</v>
      </c>
      <c r="BZ94" s="160" t="str">
        <f>IFERROR(AVERAGEIFS(AllData[Nitrate (PPM)], AllData[Site Name], $B94, AllData[Season], "Winter", AllData[Year], "2025"), "")</f>
        <v/>
      </c>
      <c r="CA94" s="27" t="str">
        <f t="shared" si="80"/>
        <v/>
      </c>
      <c r="CB94" s="27" t="str">
        <f t="shared" si="81"/>
        <v/>
      </c>
      <c r="CC94" s="161" t="str">
        <f>IFERROR(AVERAGEIFS(AllData[Phosphate (PPM)], AllData[Site Name], $B94, AllData[Season], "Winter", AllData[Year], "2025"), "")</f>
        <v/>
      </c>
      <c r="CD94" s="27" t="str">
        <f t="shared" si="82"/>
        <v/>
      </c>
      <c r="CE94" s="44" t="str">
        <f t="shared" si="83"/>
        <v/>
      </c>
    </row>
    <row r="95" spans="2:83" x14ac:dyDescent="0.35">
      <c r="B95" s="159" t="s">
        <v>1698</v>
      </c>
      <c r="C95" s="113">
        <f>IFERROR(AVERAGEIF(AllData[Site Name], Tables!B95, AllData[Latitude]), "Unknown")</f>
        <v>52.168118999999997</v>
      </c>
      <c r="D95" s="113">
        <f>IFERROR(AVERAGEIF(AllData[Site Name], Tables!B95, AllData[Longitude]), "Unknown")</f>
        <v>-2.0151129999999999</v>
      </c>
      <c r="E95" s="13" t="e" vm="6">
        <f>_xlfn.XLOOKUP(B95,LocationsKey[Site Name], LocationsKey[District])</f>
        <v>#VALUE!</v>
      </c>
      <c r="F95" s="13" t="e" vm="31">
        <f>_xlfn.XLOOKUP(B95,LocationsKey[Site Name], LocationsKey[Town])</f>
        <v>#VALUE!</v>
      </c>
      <c r="G95" s="25" t="str">
        <f>_xlfn.XLOOKUP(B95,LocationsKey[Site Name],LocationsKey[Waterway])</f>
        <v>Whitsun Brook</v>
      </c>
      <c r="H95" s="157">
        <f>COUNTIF(AllData[Site Name], Tables!B95)</f>
        <v>1</v>
      </c>
      <c r="I95" s="160">
        <f t="shared" si="44"/>
        <v>10</v>
      </c>
      <c r="J95" s="161">
        <f t="shared" si="45"/>
        <v>1.44</v>
      </c>
      <c r="K95" s="27" cm="1">
        <f t="array" ref="K95">SUM(COUNTIFS(AllData[Site Name], B95, AllData[Nitrate Pollution Category], {"High","Very high"}))/COUNTIFS(AllData[Site Name], B95, AllData[Nitrate (PPM)], "&lt;&gt;0")</f>
        <v>1</v>
      </c>
      <c r="L95" s="27" cm="1">
        <f t="array" ref="L95">SUM(COUNTIFS(AllData[Site Name], B95, AllData[Phosphate Pollution Category], {"High","Very high"}))/COUNTIFS(AllData[Site Name], B95, AllData[Phosphate (PPM)], "&lt;&gt;0")</f>
        <v>1</v>
      </c>
      <c r="M95" s="157">
        <f t="shared" si="46"/>
        <v>6</v>
      </c>
      <c r="N95" s="157">
        <f t="shared" si="47"/>
        <v>10</v>
      </c>
      <c r="O95" s="26">
        <f>COUNTIFS(AllData[Site Name], Tables!$B95, AllData[Season], "Summer", AllData[Year], "2023")</f>
        <v>0</v>
      </c>
      <c r="P95" s="160" t="str">
        <f>IFERROR(AVERAGEIFS(AllData[Nitrate (PPM)], AllData[Site Name], $B95, AllData[Season], "Summer", AllData[Year], "2023"), "")</f>
        <v/>
      </c>
      <c r="Q95" s="27" t="str">
        <f t="shared" si="48"/>
        <v/>
      </c>
      <c r="R95" s="161" t="str">
        <f>IFERROR(AVERAGEIFS(AllData[Phosphate (PPM)], AllData[Site Name], $B95, AllData[Season], "Summer", AllData[Year], "2023"),"")</f>
        <v/>
      </c>
      <c r="S95" s="28" t="str">
        <f t="shared" si="49"/>
        <v/>
      </c>
      <c r="T95" s="26">
        <f>COUNTIFS(AllData[Site Name], Tables!$B95, AllData[Season], "Autumn", AllData[Year], "2023")</f>
        <v>0</v>
      </c>
      <c r="U95" s="160" t="str">
        <f>IFERROR(AVERAGEIFS(AllData[Nitrate (PPM)], AllData[Site Name], $B95, AllData[Season], "Autumn", AllData[Year], "2023"), "")</f>
        <v/>
      </c>
      <c r="V95" s="27" t="str">
        <f t="shared" si="50"/>
        <v/>
      </c>
      <c r="W95" s="161" t="str">
        <f>IFERROR(AVERAGEIFS(AllData[Phosphate (PPM)], AllData[Site Name], $B95, AllData[Season], "Autumn", AllData[Year], "2023"),"")</f>
        <v/>
      </c>
      <c r="X95" s="28" t="str">
        <f t="shared" si="51"/>
        <v/>
      </c>
      <c r="Y95" s="26">
        <f>COUNTIFS(AllData[Site Name], Tables!$B95, AllData[Season], "Winter", AllData[Year], "2023")</f>
        <v>0</v>
      </c>
      <c r="Z95" s="160" t="str">
        <f>IFERROR(AVERAGEIFS(AllData[Nitrate (PPM)], AllData[Site Name], $B95, AllData[Season], "Winter", AllData[Year], "2023"), "")</f>
        <v/>
      </c>
      <c r="AA95" s="27" t="str">
        <f t="shared" si="52"/>
        <v/>
      </c>
      <c r="AB95" s="161" t="str">
        <f>IFERROR(AVERAGEIFS(AllData[Phosphate (PPM)], AllData[Site Name], $B95, AllData[Season], "Winter", AllData[Year], "2023"),"")</f>
        <v/>
      </c>
      <c r="AC95" s="28" t="str">
        <f t="shared" si="53"/>
        <v/>
      </c>
      <c r="AD95" s="26">
        <f>COUNTIFS(AllData[Site Name], Tables!$B95, AllData[Season], "Spring", AllData[Year], "2024")</f>
        <v>0</v>
      </c>
      <c r="AE95" s="160" t="str">
        <f>IFERROR(AVERAGEIFS(AllData[Nitrate (PPM)], AllData[Site Name], $B95, AllData[Season], "Spring", AllData[Year], "2024"), "")</f>
        <v/>
      </c>
      <c r="AF95" s="27" t="str">
        <f t="shared" si="54"/>
        <v/>
      </c>
      <c r="AG95" s="161" t="str">
        <f>IFERROR(AVERAGEIFS(AllData[Phosphate (PPM)], AllData[Site Name], $B95, AllData[Season], "Spring", AllData[Year], "2024"),"")</f>
        <v/>
      </c>
      <c r="AH95" s="28" t="str">
        <f t="shared" si="55"/>
        <v/>
      </c>
      <c r="AI95" s="165">
        <f>COUNTIFS(AllData[Site Name], Tables!$B95, AllData[Season], "Summer", AllData[Year], "2024")</f>
        <v>1</v>
      </c>
      <c r="AJ95" s="160">
        <f>IFERROR(AVERAGEIFS(AllData[Nitrate (PPM)], AllData[Site Name], $B95, AllData[Season], "Summer", AllData[Year], "2024"), "")</f>
        <v>10</v>
      </c>
      <c r="AK95" s="27">
        <f t="shared" si="56"/>
        <v>0</v>
      </c>
      <c r="AL95" s="27" t="str">
        <f t="shared" si="57"/>
        <v/>
      </c>
      <c r="AM95" s="161">
        <f>IFERROR(AVERAGEIFS(AllData[Phosphate (PPM)], AllData[Site Name], $B95, AllData[Season], "Summer", AllData[Year], "2024"),"")</f>
        <v>1.44</v>
      </c>
      <c r="AN95" s="27">
        <f t="shared" si="58"/>
        <v>0</v>
      </c>
      <c r="AO95" s="28" t="str">
        <f t="shared" si="59"/>
        <v/>
      </c>
      <c r="AP95" s="157">
        <f>COUNTIFS(AllData[Site Name], Tables!$B95, AllData[Season], "Autumn", AllData[Year], "2024")</f>
        <v>0</v>
      </c>
      <c r="AQ95" s="160" t="str">
        <f>IFERROR(AVERAGEIFS(AllData[Nitrate (PPM)], AllData[Site Name], $B95, AllData[Season], "Autumn", AllData[Year], "2024"), "")</f>
        <v/>
      </c>
      <c r="AR95" s="27" t="str">
        <f t="shared" si="60"/>
        <v/>
      </c>
      <c r="AS95" s="27" t="str">
        <f t="shared" si="42"/>
        <v/>
      </c>
      <c r="AT95" s="161" t="str">
        <f>IFERROR(AVERAGEIFS(AllData[Phosphate (PPM)], AllData[Site Name], B95, AllData[Season], "Autumn", AllData[Year], "2024"), "")</f>
        <v/>
      </c>
      <c r="AU95" s="27" t="str">
        <f t="shared" si="61"/>
        <v/>
      </c>
      <c r="AV95" s="28" t="str">
        <f t="shared" si="43"/>
        <v/>
      </c>
      <c r="AW95" s="165">
        <f>COUNTIFS(AllData[Site Name], Tables!$B95, AllData[Season], "Winter", AllData[Year], "2024")</f>
        <v>0</v>
      </c>
      <c r="AX95" s="160" t="str">
        <f>IFERROR(AVERAGEIFS(AllData[Nitrate (PPM)], AllData[Site Name], $B95, AllData[Season], "Winter", AllData[Year], "2024"), "")</f>
        <v/>
      </c>
      <c r="AY95" s="27" t="str">
        <f t="shared" si="62"/>
        <v/>
      </c>
      <c r="AZ95" s="27" t="str">
        <f t="shared" si="63"/>
        <v/>
      </c>
      <c r="BA95" s="161" t="str">
        <f>IFERROR(AVERAGEIFS(AllData[Phosphate (PPM)], AllData[Site Name], $B95, AllData[Season], "Winter", AllData[Year], "2024"), "")</f>
        <v/>
      </c>
      <c r="BB95" s="27" t="str">
        <f t="shared" si="64"/>
        <v/>
      </c>
      <c r="BC95" s="44" t="str">
        <f t="shared" si="65"/>
        <v/>
      </c>
      <c r="BD95" s="157">
        <f>COUNTIFS(AllData[Site Name], Tables!$B95, AllData[Season], "Spring", AllData[Year], "2025")</f>
        <v>0</v>
      </c>
      <c r="BE95" s="160" t="str">
        <f>IFERROR(AVERAGEIFS(AllData[Nitrate (PPM)], AllData[Site Name], $B95, AllData[Season], "Spring", AllData[Year], "2025"), "")</f>
        <v/>
      </c>
      <c r="BF95" s="27" t="str">
        <f t="shared" si="66"/>
        <v/>
      </c>
      <c r="BG95" s="27" t="str">
        <f t="shared" si="67"/>
        <v/>
      </c>
      <c r="BH95" s="161" t="str">
        <f>IFERROR(AVERAGEIFS(AllData[Phosphate (PPM)], AllData[Site Name], $B95, AllData[Season], "Spring", AllData[Year], "2025"), "")</f>
        <v/>
      </c>
      <c r="BI95" s="27" t="str">
        <f t="shared" si="68"/>
        <v/>
      </c>
      <c r="BJ95" s="27" t="str">
        <f t="shared" si="69"/>
        <v/>
      </c>
      <c r="BK95" s="165">
        <f>COUNTIFS(AllData[Site Name], Tables!$B95, AllData[Season], "Summer", AllData[Year], "2025")</f>
        <v>0</v>
      </c>
      <c r="BL95" s="160" t="str">
        <f>IFERROR(AVERAGEIFS(AllData[Nitrate (PPM)], AllData[Site Name], $B95, AllData[Season], "Summer", AllData[Year], "2025"), "")</f>
        <v/>
      </c>
      <c r="BM95" s="27" t="str">
        <f t="shared" si="70"/>
        <v/>
      </c>
      <c r="BN95" s="27" t="str">
        <f t="shared" si="71"/>
        <v/>
      </c>
      <c r="BO95" s="161" t="str">
        <f>IFERROR(AVERAGEIFS(AllData[Phosphate (PPM)], AllData[Site Name], $B95, AllData[Season], "Summer", AllData[Year], "2025"),"")</f>
        <v/>
      </c>
      <c r="BP95" s="27" t="str">
        <f t="shared" si="72"/>
        <v/>
      </c>
      <c r="BQ95" s="27" t="str">
        <f t="shared" si="73"/>
        <v/>
      </c>
      <c r="BR95" s="165">
        <f>COUNTIFS(AllData[Site Name], Tables!$B95, AllData[Season], "Autumn", AllData[Year], "2025")</f>
        <v>0</v>
      </c>
      <c r="BS95" s="160" t="str">
        <f>IFERROR(AVERAGEIFS(AllData[Nitrate (PPM)], AllData[Site Name], $B95, AllData[Season], "Autumn", AllData[Year], "2025"), "")</f>
        <v/>
      </c>
      <c r="BT95" s="27" t="str">
        <f t="shared" si="74"/>
        <v/>
      </c>
      <c r="BU95" s="27" t="str">
        <f t="shared" si="75"/>
        <v/>
      </c>
      <c r="BV95" s="161" t="str">
        <f>IFERROR(AVERAGEIFS(AllData[Phosphate (PPM)], AllData[Site Name], AD95, AllData[Season], "Autumn", AllData[Year], "2025"), "")</f>
        <v/>
      </c>
      <c r="BW95" s="27" t="str">
        <f t="shared" si="76"/>
        <v/>
      </c>
      <c r="BX95" s="28" t="str">
        <f t="shared" si="77"/>
        <v/>
      </c>
      <c r="BY95" s="165">
        <f>COUNTIFS(AllData[Site Name], Tables!$B95, AllData[Season], "Winter", AllData[Year], "2025")</f>
        <v>0</v>
      </c>
      <c r="BZ95" s="160" t="str">
        <f>IFERROR(AVERAGEIFS(AllData[Nitrate (PPM)], AllData[Site Name], $B95, AllData[Season], "Winter", AllData[Year], "2025"), "")</f>
        <v/>
      </c>
      <c r="CA95" s="27" t="str">
        <f t="shared" si="80"/>
        <v/>
      </c>
      <c r="CB95" s="27" t="str">
        <f t="shared" si="81"/>
        <v/>
      </c>
      <c r="CC95" s="161" t="str">
        <f>IFERROR(AVERAGEIFS(AllData[Phosphate (PPM)], AllData[Site Name], $B95, AllData[Season], "Winter", AllData[Year], "2025"), "")</f>
        <v/>
      </c>
      <c r="CD95" s="27" t="str">
        <f t="shared" si="82"/>
        <v/>
      </c>
      <c r="CE95" s="44" t="str">
        <f t="shared" si="83"/>
        <v/>
      </c>
    </row>
    <row r="96" spans="2:83" x14ac:dyDescent="0.35">
      <c r="B96" s="159" t="s">
        <v>1689</v>
      </c>
      <c r="C96" s="113">
        <f>IFERROR(AVERAGEIF(AllData[Site Name], Tables!B96, AllData[Latitude]), "Unknown")</f>
        <v>52.168419999999998</v>
      </c>
      <c r="D96" s="113">
        <f>IFERROR(AVERAGEIF(AllData[Site Name], Tables!B96, AllData[Longitude]), "Unknown")</f>
        <v>-1.96041</v>
      </c>
      <c r="E96" s="13" t="e" vm="6">
        <f>_xlfn.XLOOKUP(B96,LocationsKey[Site Name], LocationsKey[District])</f>
        <v>#VALUE!</v>
      </c>
      <c r="F96" s="13" t="e" vm="29">
        <f>_xlfn.XLOOKUP(B96,LocationsKey[Site Name], LocationsKey[Town])</f>
        <v>#VALUE!</v>
      </c>
      <c r="G96" s="25" t="str">
        <f>_xlfn.XLOOKUP(B96,LocationsKey[Site Name],LocationsKey[Waterway])</f>
        <v>Whitsun Brook</v>
      </c>
      <c r="H96" s="157">
        <f>COUNTIF(AllData[Site Name], Tables!B96)</f>
        <v>1</v>
      </c>
      <c r="I96" s="160">
        <f t="shared" si="44"/>
        <v>2</v>
      </c>
      <c r="J96" s="161">
        <f t="shared" si="45"/>
        <v>2.5</v>
      </c>
      <c r="K96" s="27" cm="1">
        <f t="array" ref="K96">SUM(COUNTIFS(AllData[Site Name], B96, AllData[Nitrate Pollution Category], {"High","Very high"}))/COUNTIFS(AllData[Site Name], B96, AllData[Nitrate (PPM)], "&lt;&gt;0")</f>
        <v>1</v>
      </c>
      <c r="L96" s="27" cm="1">
        <f t="array" ref="L96">SUM(COUNTIFS(AllData[Site Name], B96, AllData[Phosphate Pollution Category], {"High","Very high"}))/COUNTIFS(AllData[Site Name], B96, AllData[Phosphate (PPM)], "&lt;&gt;0")</f>
        <v>1</v>
      </c>
      <c r="M96" s="157">
        <f t="shared" si="46"/>
        <v>80</v>
      </c>
      <c r="N96" s="157">
        <f t="shared" si="47"/>
        <v>4</v>
      </c>
      <c r="O96" s="26">
        <f>COUNTIFS(AllData[Site Name], Tables!$B96, AllData[Season], "Summer", AllData[Year], "2023")</f>
        <v>0</v>
      </c>
      <c r="P96" s="160" t="str">
        <f>IFERROR(AVERAGEIFS(AllData[Nitrate (PPM)], AllData[Site Name], $B96, AllData[Season], "Summer", AllData[Year], "2023"), "")</f>
        <v/>
      </c>
      <c r="Q96" s="27" t="str">
        <f t="shared" si="48"/>
        <v/>
      </c>
      <c r="R96" s="161" t="str">
        <f>IFERROR(AVERAGEIFS(AllData[Phosphate (PPM)], AllData[Site Name], $B96, AllData[Season], "Summer", AllData[Year], "2023"),"")</f>
        <v/>
      </c>
      <c r="S96" s="28" t="str">
        <f t="shared" si="49"/>
        <v/>
      </c>
      <c r="T96" s="26">
        <f>COUNTIFS(AllData[Site Name], Tables!$B96, AllData[Season], "Autumn", AllData[Year], "2023")</f>
        <v>0</v>
      </c>
      <c r="U96" s="160" t="str">
        <f>IFERROR(AVERAGEIFS(AllData[Nitrate (PPM)], AllData[Site Name], $B96, AllData[Season], "Autumn", AllData[Year], "2023"), "")</f>
        <v/>
      </c>
      <c r="V96" s="27" t="str">
        <f t="shared" si="50"/>
        <v/>
      </c>
      <c r="W96" s="161" t="str">
        <f>IFERROR(AVERAGEIFS(AllData[Phosphate (PPM)], AllData[Site Name], $B96, AllData[Season], "Autumn", AllData[Year], "2023"),"")</f>
        <v/>
      </c>
      <c r="X96" s="28" t="str">
        <f t="shared" si="51"/>
        <v/>
      </c>
      <c r="Y96" s="26">
        <f>COUNTIFS(AllData[Site Name], Tables!$B96, AllData[Season], "Winter", AllData[Year], "2023")</f>
        <v>0</v>
      </c>
      <c r="Z96" s="160" t="str">
        <f>IFERROR(AVERAGEIFS(AllData[Nitrate (PPM)], AllData[Site Name], $B96, AllData[Season], "Winter", AllData[Year], "2023"), "")</f>
        <v/>
      </c>
      <c r="AA96" s="27" t="str">
        <f t="shared" si="52"/>
        <v/>
      </c>
      <c r="AB96" s="161" t="str">
        <f>IFERROR(AVERAGEIFS(AllData[Phosphate (PPM)], AllData[Site Name], $B96, AllData[Season], "Winter", AllData[Year], "2023"),"")</f>
        <v/>
      </c>
      <c r="AC96" s="28" t="str">
        <f t="shared" si="53"/>
        <v/>
      </c>
      <c r="AD96" s="26">
        <f>COUNTIFS(AllData[Site Name], Tables!$B96, AllData[Season], "Spring", AllData[Year], "2024")</f>
        <v>0</v>
      </c>
      <c r="AE96" s="160" t="str">
        <f>IFERROR(AVERAGEIFS(AllData[Nitrate (PPM)], AllData[Site Name], $B96, AllData[Season], "Spring", AllData[Year], "2024"), "")</f>
        <v/>
      </c>
      <c r="AF96" s="27" t="str">
        <f t="shared" si="54"/>
        <v/>
      </c>
      <c r="AG96" s="161" t="str">
        <f>IFERROR(AVERAGEIFS(AllData[Phosphate (PPM)], AllData[Site Name], $B96, AllData[Season], "Spring", AllData[Year], "2024"),"")</f>
        <v/>
      </c>
      <c r="AH96" s="28" t="str">
        <f t="shared" si="55"/>
        <v/>
      </c>
      <c r="AI96" s="165">
        <f>COUNTIFS(AllData[Site Name], Tables!$B96, AllData[Season], "Summer", AllData[Year], "2024")</f>
        <v>1</v>
      </c>
      <c r="AJ96" s="160">
        <f>IFERROR(AVERAGEIFS(AllData[Nitrate (PPM)], AllData[Site Name], $B96, AllData[Season], "Summer", AllData[Year], "2024"), "")</f>
        <v>2</v>
      </c>
      <c r="AK96" s="27">
        <f t="shared" si="56"/>
        <v>0</v>
      </c>
      <c r="AL96" s="27" t="str">
        <f t="shared" si="57"/>
        <v/>
      </c>
      <c r="AM96" s="161">
        <f>IFERROR(AVERAGEIFS(AllData[Phosphate (PPM)], AllData[Site Name], $B96, AllData[Season], "Summer", AllData[Year], "2024"),"")</f>
        <v>2.5</v>
      </c>
      <c r="AN96" s="27">
        <f t="shared" si="58"/>
        <v>0</v>
      </c>
      <c r="AO96" s="28" t="str">
        <f t="shared" si="59"/>
        <v/>
      </c>
      <c r="AP96" s="157">
        <f>COUNTIFS(AllData[Site Name], Tables!$B96, AllData[Season], "Autumn", AllData[Year], "2024")</f>
        <v>0</v>
      </c>
      <c r="AQ96" s="160" t="str">
        <f>IFERROR(AVERAGEIFS(AllData[Nitrate (PPM)], AllData[Site Name], $B96, AllData[Season], "Autumn", AllData[Year], "2024"), "")</f>
        <v/>
      </c>
      <c r="AR96" s="27" t="str">
        <f t="shared" si="60"/>
        <v/>
      </c>
      <c r="AS96" s="27" t="str">
        <f t="shared" si="42"/>
        <v/>
      </c>
      <c r="AT96" s="161" t="str">
        <f>IFERROR(AVERAGEIFS(AllData[Phosphate (PPM)], AllData[Site Name], B96, AllData[Season], "Autumn", AllData[Year], "2024"), "")</f>
        <v/>
      </c>
      <c r="AU96" s="27" t="str">
        <f t="shared" si="61"/>
        <v/>
      </c>
      <c r="AV96" s="28" t="str">
        <f t="shared" si="43"/>
        <v/>
      </c>
      <c r="AW96" s="165">
        <f>COUNTIFS(AllData[Site Name], Tables!$B96, AllData[Season], "Winter", AllData[Year], "2024")</f>
        <v>0</v>
      </c>
      <c r="AX96" s="160" t="str">
        <f>IFERROR(AVERAGEIFS(AllData[Nitrate (PPM)], AllData[Site Name], $B96, AllData[Season], "Winter", AllData[Year], "2024"), "")</f>
        <v/>
      </c>
      <c r="AY96" s="27" t="str">
        <f t="shared" si="62"/>
        <v/>
      </c>
      <c r="AZ96" s="27" t="str">
        <f t="shared" si="63"/>
        <v/>
      </c>
      <c r="BA96" s="161" t="str">
        <f>IFERROR(AVERAGEIFS(AllData[Phosphate (PPM)], AllData[Site Name], $B96, AllData[Season], "Winter", AllData[Year], "2024"), "")</f>
        <v/>
      </c>
      <c r="BB96" s="27" t="str">
        <f t="shared" si="64"/>
        <v/>
      </c>
      <c r="BC96" s="44" t="str">
        <f t="shared" si="65"/>
        <v/>
      </c>
      <c r="BD96" s="157">
        <f>COUNTIFS(AllData[Site Name], Tables!$B96, AllData[Season], "Spring", AllData[Year], "2025")</f>
        <v>0</v>
      </c>
      <c r="BE96" s="160" t="str">
        <f>IFERROR(AVERAGEIFS(AllData[Nitrate (PPM)], AllData[Site Name], $B96, AllData[Season], "Spring", AllData[Year], "2025"), "")</f>
        <v/>
      </c>
      <c r="BF96" s="27" t="str">
        <f t="shared" si="66"/>
        <v/>
      </c>
      <c r="BG96" s="27" t="str">
        <f t="shared" si="67"/>
        <v/>
      </c>
      <c r="BH96" s="161" t="str">
        <f>IFERROR(AVERAGEIFS(AllData[Phosphate (PPM)], AllData[Site Name], $B96, AllData[Season], "Spring", AllData[Year], "2025"), "")</f>
        <v/>
      </c>
      <c r="BI96" s="27" t="str">
        <f t="shared" si="68"/>
        <v/>
      </c>
      <c r="BJ96" s="27" t="str">
        <f t="shared" si="69"/>
        <v/>
      </c>
      <c r="BK96" s="165">
        <f>COUNTIFS(AllData[Site Name], Tables!$B96, AllData[Season], "Summer", AllData[Year], "2025")</f>
        <v>0</v>
      </c>
      <c r="BL96" s="160" t="str">
        <f>IFERROR(AVERAGEIFS(AllData[Nitrate (PPM)], AllData[Site Name], $B96, AllData[Season], "Summer", AllData[Year], "2025"), "")</f>
        <v/>
      </c>
      <c r="BM96" s="27" t="str">
        <f t="shared" si="70"/>
        <v/>
      </c>
      <c r="BN96" s="27" t="str">
        <f t="shared" si="71"/>
        <v/>
      </c>
      <c r="BO96" s="161" t="str">
        <f>IFERROR(AVERAGEIFS(AllData[Phosphate (PPM)], AllData[Site Name], $B96, AllData[Season], "Summer", AllData[Year], "2025"),"")</f>
        <v/>
      </c>
      <c r="BP96" s="27" t="str">
        <f t="shared" si="72"/>
        <v/>
      </c>
      <c r="BQ96" s="27" t="str">
        <f t="shared" si="73"/>
        <v/>
      </c>
      <c r="BR96" s="165">
        <f>COUNTIFS(AllData[Site Name], Tables!$B96, AllData[Season], "Autumn", AllData[Year], "2025")</f>
        <v>0</v>
      </c>
      <c r="BS96" s="160" t="str">
        <f>IFERROR(AVERAGEIFS(AllData[Nitrate (PPM)], AllData[Site Name], $B96, AllData[Season], "Autumn", AllData[Year], "2025"), "")</f>
        <v/>
      </c>
      <c r="BT96" s="27" t="str">
        <f t="shared" si="74"/>
        <v/>
      </c>
      <c r="BU96" s="27" t="str">
        <f t="shared" si="75"/>
        <v/>
      </c>
      <c r="BV96" s="161" t="str">
        <f>IFERROR(AVERAGEIFS(AllData[Phosphate (PPM)], AllData[Site Name], AD96, AllData[Season], "Autumn", AllData[Year], "2025"), "")</f>
        <v/>
      </c>
      <c r="BW96" s="27" t="str">
        <f t="shared" si="76"/>
        <v/>
      </c>
      <c r="BX96" s="28" t="str">
        <f t="shared" si="77"/>
        <v/>
      </c>
      <c r="BY96" s="165">
        <f>COUNTIFS(AllData[Site Name], Tables!$B96, AllData[Season], "Winter", AllData[Year], "2025")</f>
        <v>0</v>
      </c>
      <c r="BZ96" s="160" t="str">
        <f>IFERROR(AVERAGEIFS(AllData[Nitrate (PPM)], AllData[Site Name], $B96, AllData[Season], "Winter", AllData[Year], "2025"), "")</f>
        <v/>
      </c>
      <c r="CA96" s="27" t="str">
        <f t="shared" si="80"/>
        <v/>
      </c>
      <c r="CB96" s="27" t="str">
        <f t="shared" si="81"/>
        <v/>
      </c>
      <c r="CC96" s="161" t="str">
        <f>IFERROR(AVERAGEIFS(AllData[Phosphate (PPM)], AllData[Site Name], $B96, AllData[Season], "Winter", AllData[Year], "2025"), "")</f>
        <v/>
      </c>
      <c r="CD96" s="27" t="str">
        <f t="shared" si="82"/>
        <v/>
      </c>
      <c r="CE96" s="44" t="str">
        <f t="shared" si="83"/>
        <v/>
      </c>
    </row>
    <row r="97" spans="1:83" x14ac:dyDescent="0.35">
      <c r="B97" s="159" t="s">
        <v>1695</v>
      </c>
      <c r="C97" s="113">
        <f>IFERROR(AVERAGEIF(AllData[Site Name], Tables!B97, AllData[Latitude]), "Unknown")</f>
        <v>52.169851000000001</v>
      </c>
      <c r="D97" s="113">
        <f>IFERROR(AVERAGEIF(AllData[Site Name], Tables!B97, AllData[Longitude]), "Unknown")</f>
        <v>-1.9903459999999999</v>
      </c>
      <c r="E97" s="13" t="e" vm="6">
        <f>_xlfn.XLOOKUP(B97,LocationsKey[Site Name], LocationsKey[District])</f>
        <v>#VALUE!</v>
      </c>
      <c r="F97" s="13" t="e" vm="32">
        <f>_xlfn.XLOOKUP(B97,LocationsKey[Site Name], LocationsKey[Town])</f>
        <v>#VALUE!</v>
      </c>
      <c r="G97" s="25" t="str">
        <f>_xlfn.XLOOKUP(B97,LocationsKey[Site Name],LocationsKey[Waterway])</f>
        <v>Whitsun Brook</v>
      </c>
      <c r="H97" s="157">
        <f>COUNTIF(AllData[Site Name], Tables!B97)</f>
        <v>1</v>
      </c>
      <c r="I97" s="160">
        <f t="shared" si="44"/>
        <v>9</v>
      </c>
      <c r="J97" s="161">
        <f t="shared" si="45"/>
        <v>1.95</v>
      </c>
      <c r="K97" s="27" cm="1">
        <f t="array" ref="K97">SUM(COUNTIFS(AllData[Site Name], B97, AllData[Nitrate Pollution Category], {"High","Very high"}))/COUNTIFS(AllData[Site Name], B97, AllData[Nitrate (PPM)], "&lt;&gt;0")</f>
        <v>1</v>
      </c>
      <c r="L97" s="27" cm="1">
        <f t="array" ref="L97">SUM(COUNTIFS(AllData[Site Name], B97, AllData[Phosphate Pollution Category], {"High","Very high"}))/COUNTIFS(AllData[Site Name], B97, AllData[Phosphate (PPM)], "&lt;&gt;0")</f>
        <v>1</v>
      </c>
      <c r="M97" s="157">
        <f t="shared" si="46"/>
        <v>11</v>
      </c>
      <c r="N97" s="157">
        <f t="shared" si="47"/>
        <v>6</v>
      </c>
      <c r="O97" s="26">
        <f>COUNTIFS(AllData[Site Name], Tables!$B97, AllData[Season], "Summer", AllData[Year], "2023")</f>
        <v>0</v>
      </c>
      <c r="P97" s="160" t="str">
        <f>IFERROR(AVERAGEIFS(AllData[Nitrate (PPM)], AllData[Site Name], $B97, AllData[Season], "Summer", AllData[Year], "2023"), "")</f>
        <v/>
      </c>
      <c r="Q97" s="27" t="str">
        <f t="shared" si="48"/>
        <v/>
      </c>
      <c r="R97" s="161" t="str">
        <f>IFERROR(AVERAGEIFS(AllData[Phosphate (PPM)], AllData[Site Name], $B97, AllData[Season], "Summer", AllData[Year], "2023"),"")</f>
        <v/>
      </c>
      <c r="S97" s="28" t="str">
        <f t="shared" si="49"/>
        <v/>
      </c>
      <c r="T97" s="26">
        <f>COUNTIFS(AllData[Site Name], Tables!$B97, AllData[Season], "Autumn", AllData[Year], "2023")</f>
        <v>0</v>
      </c>
      <c r="U97" s="160" t="str">
        <f>IFERROR(AVERAGEIFS(AllData[Nitrate (PPM)], AllData[Site Name], $B97, AllData[Season], "Autumn", AllData[Year], "2023"), "")</f>
        <v/>
      </c>
      <c r="V97" s="27" t="str">
        <f t="shared" si="50"/>
        <v/>
      </c>
      <c r="W97" s="161" t="str">
        <f>IFERROR(AVERAGEIFS(AllData[Phosphate (PPM)], AllData[Site Name], $B97, AllData[Season], "Autumn", AllData[Year], "2023"),"")</f>
        <v/>
      </c>
      <c r="X97" s="28" t="str">
        <f t="shared" si="51"/>
        <v/>
      </c>
      <c r="Y97" s="26">
        <f>COUNTIFS(AllData[Site Name], Tables!$B97, AllData[Season], "Winter", AllData[Year], "2023")</f>
        <v>0</v>
      </c>
      <c r="Z97" s="160" t="str">
        <f>IFERROR(AVERAGEIFS(AllData[Nitrate (PPM)], AllData[Site Name], $B97, AllData[Season], "Winter", AllData[Year], "2023"), "")</f>
        <v/>
      </c>
      <c r="AA97" s="27" t="str">
        <f t="shared" si="52"/>
        <v/>
      </c>
      <c r="AB97" s="161" t="str">
        <f>IFERROR(AVERAGEIFS(AllData[Phosphate (PPM)], AllData[Site Name], $B97, AllData[Season], "Winter", AllData[Year], "2023"),"")</f>
        <v/>
      </c>
      <c r="AC97" s="28" t="str">
        <f t="shared" si="53"/>
        <v/>
      </c>
      <c r="AD97" s="26">
        <f>COUNTIFS(AllData[Site Name], Tables!$B97, AllData[Season], "Spring", AllData[Year], "2024")</f>
        <v>0</v>
      </c>
      <c r="AE97" s="160" t="str">
        <f>IFERROR(AVERAGEIFS(AllData[Nitrate (PPM)], AllData[Site Name], $B97, AllData[Season], "Spring", AllData[Year], "2024"), "")</f>
        <v/>
      </c>
      <c r="AF97" s="27" t="str">
        <f t="shared" si="54"/>
        <v/>
      </c>
      <c r="AG97" s="161" t="str">
        <f>IFERROR(AVERAGEIFS(AllData[Phosphate (PPM)], AllData[Site Name], $B97, AllData[Season], "Spring", AllData[Year], "2024"),"")</f>
        <v/>
      </c>
      <c r="AH97" s="28" t="str">
        <f t="shared" si="55"/>
        <v/>
      </c>
      <c r="AI97" s="165">
        <f>COUNTIFS(AllData[Site Name], Tables!$B97, AllData[Season], "Summer", AllData[Year], "2024")</f>
        <v>1</v>
      </c>
      <c r="AJ97" s="160">
        <f>IFERROR(AVERAGEIFS(AllData[Nitrate (PPM)], AllData[Site Name], $B97, AllData[Season], "Summer", AllData[Year], "2024"), "")</f>
        <v>9</v>
      </c>
      <c r="AK97" s="27">
        <f t="shared" si="56"/>
        <v>0</v>
      </c>
      <c r="AL97" s="27" t="str">
        <f t="shared" si="57"/>
        <v/>
      </c>
      <c r="AM97" s="161">
        <f>IFERROR(AVERAGEIFS(AllData[Phosphate (PPM)], AllData[Site Name], $B97, AllData[Season], "Summer", AllData[Year], "2024"),"")</f>
        <v>1.95</v>
      </c>
      <c r="AN97" s="27">
        <f t="shared" si="58"/>
        <v>0</v>
      </c>
      <c r="AO97" s="28" t="str">
        <f t="shared" si="59"/>
        <v/>
      </c>
      <c r="AP97" s="157">
        <f>COUNTIFS(AllData[Site Name], Tables!$B97, AllData[Season], "Autumn", AllData[Year], "2024")</f>
        <v>0</v>
      </c>
      <c r="AQ97" s="160" t="str">
        <f>IFERROR(AVERAGEIFS(AllData[Nitrate (PPM)], AllData[Site Name], $B97, AllData[Season], "Autumn", AllData[Year], "2024"), "")</f>
        <v/>
      </c>
      <c r="AR97" s="27" t="str">
        <f t="shared" si="60"/>
        <v/>
      </c>
      <c r="AS97" s="27" t="str">
        <f t="shared" si="42"/>
        <v/>
      </c>
      <c r="AT97" s="161" t="str">
        <f>IFERROR(AVERAGEIFS(AllData[Phosphate (PPM)], AllData[Site Name], B97, AllData[Season], "Autumn", AllData[Year], "2024"), "")</f>
        <v/>
      </c>
      <c r="AU97" s="27" t="str">
        <f t="shared" si="61"/>
        <v/>
      </c>
      <c r="AV97" s="28" t="str">
        <f t="shared" si="43"/>
        <v/>
      </c>
      <c r="AW97" s="165">
        <f>COUNTIFS(AllData[Site Name], Tables!$B97, AllData[Season], "Winter", AllData[Year], "2024")</f>
        <v>0</v>
      </c>
      <c r="AX97" s="160" t="str">
        <f>IFERROR(AVERAGEIFS(AllData[Nitrate (PPM)], AllData[Site Name], $B97, AllData[Season], "Winter", AllData[Year], "2024"), "")</f>
        <v/>
      </c>
      <c r="AY97" s="27" t="str">
        <f t="shared" si="62"/>
        <v/>
      </c>
      <c r="AZ97" s="27" t="str">
        <f t="shared" si="63"/>
        <v/>
      </c>
      <c r="BA97" s="161" t="str">
        <f>IFERROR(AVERAGEIFS(AllData[Phosphate (PPM)], AllData[Site Name], $B97, AllData[Season], "Winter", AllData[Year], "2024"), "")</f>
        <v/>
      </c>
      <c r="BB97" s="27" t="str">
        <f t="shared" si="64"/>
        <v/>
      </c>
      <c r="BC97" s="44" t="str">
        <f t="shared" si="65"/>
        <v/>
      </c>
      <c r="BD97" s="157">
        <f>COUNTIFS(AllData[Site Name], Tables!$B97, AllData[Season], "Spring", AllData[Year], "2025")</f>
        <v>0</v>
      </c>
      <c r="BE97" s="160" t="str">
        <f>IFERROR(AVERAGEIFS(AllData[Nitrate (PPM)], AllData[Site Name], $B97, AllData[Season], "Spring", AllData[Year], "2025"), "")</f>
        <v/>
      </c>
      <c r="BF97" s="27" t="str">
        <f t="shared" si="66"/>
        <v/>
      </c>
      <c r="BG97" s="27" t="str">
        <f t="shared" si="67"/>
        <v/>
      </c>
      <c r="BH97" s="161" t="str">
        <f>IFERROR(AVERAGEIFS(AllData[Phosphate (PPM)], AllData[Site Name], $B97, AllData[Season], "Spring", AllData[Year], "2025"), "")</f>
        <v/>
      </c>
      <c r="BI97" s="27" t="str">
        <f t="shared" si="68"/>
        <v/>
      </c>
      <c r="BJ97" s="27" t="str">
        <f t="shared" si="69"/>
        <v/>
      </c>
      <c r="BK97" s="165">
        <f>COUNTIFS(AllData[Site Name], Tables!$B97, AllData[Season], "Summer", AllData[Year], "2025")</f>
        <v>0</v>
      </c>
      <c r="BL97" s="160" t="str">
        <f>IFERROR(AVERAGEIFS(AllData[Nitrate (PPM)], AllData[Site Name], $B97, AllData[Season], "Summer", AllData[Year], "2025"), "")</f>
        <v/>
      </c>
      <c r="BM97" s="27" t="str">
        <f t="shared" si="70"/>
        <v/>
      </c>
      <c r="BN97" s="27" t="str">
        <f t="shared" si="71"/>
        <v/>
      </c>
      <c r="BO97" s="161" t="str">
        <f>IFERROR(AVERAGEIFS(AllData[Phosphate (PPM)], AllData[Site Name], $B97, AllData[Season], "Summer", AllData[Year], "2025"),"")</f>
        <v/>
      </c>
      <c r="BP97" s="27" t="str">
        <f t="shared" si="72"/>
        <v/>
      </c>
      <c r="BQ97" s="27" t="str">
        <f t="shared" si="73"/>
        <v/>
      </c>
      <c r="BR97" s="165">
        <f>COUNTIFS(AllData[Site Name], Tables!$B97, AllData[Season], "Autumn", AllData[Year], "2025")</f>
        <v>0</v>
      </c>
      <c r="BS97" s="160" t="str">
        <f>IFERROR(AVERAGEIFS(AllData[Nitrate (PPM)], AllData[Site Name], $B97, AllData[Season], "Autumn", AllData[Year], "2025"), "")</f>
        <v/>
      </c>
      <c r="BT97" s="27" t="str">
        <f t="shared" si="74"/>
        <v/>
      </c>
      <c r="BU97" s="27" t="str">
        <f t="shared" si="75"/>
        <v/>
      </c>
      <c r="BV97" s="161" t="str">
        <f>IFERROR(AVERAGEIFS(AllData[Phosphate (PPM)], AllData[Site Name], AD97, AllData[Season], "Autumn", AllData[Year], "2025"), "")</f>
        <v/>
      </c>
      <c r="BW97" s="27" t="str">
        <f t="shared" si="76"/>
        <v/>
      </c>
      <c r="BX97" s="28" t="str">
        <f t="shared" si="77"/>
        <v/>
      </c>
      <c r="BY97" s="165">
        <f>COUNTIFS(AllData[Site Name], Tables!$B97, AllData[Season], "Winter", AllData[Year], "2025")</f>
        <v>0</v>
      </c>
      <c r="BZ97" s="160" t="str">
        <f>IFERROR(AVERAGEIFS(AllData[Nitrate (PPM)], AllData[Site Name], $B97, AllData[Season], "Winter", AllData[Year], "2025"), "")</f>
        <v/>
      </c>
      <c r="CA97" s="27" t="str">
        <f t="shared" si="80"/>
        <v/>
      </c>
      <c r="CB97" s="27" t="str">
        <f t="shared" si="81"/>
        <v/>
      </c>
      <c r="CC97" s="161" t="str">
        <f>IFERROR(AVERAGEIFS(AllData[Phosphate (PPM)], AllData[Site Name], $B97, AllData[Season], "Winter", AllData[Year], "2025"), "")</f>
        <v/>
      </c>
      <c r="CD97" s="27" t="str">
        <f t="shared" si="82"/>
        <v/>
      </c>
      <c r="CE97" s="44" t="str">
        <f t="shared" si="83"/>
        <v/>
      </c>
    </row>
    <row r="98" spans="1:83" x14ac:dyDescent="0.35">
      <c r="B98" s="159" t="s">
        <v>1904</v>
      </c>
      <c r="C98" s="113">
        <f>IFERROR(AVERAGEIF(AllData[Site Name], Tables!B98, AllData[Latitude]), "Unknown")</f>
        <v>52.168410999999999</v>
      </c>
      <c r="D98" s="113">
        <f>IFERROR(AVERAGEIF(AllData[Site Name], Tables!B98, AllData[Longitude]), "Unknown")</f>
        <v>-1.9603710000000001</v>
      </c>
      <c r="E98" s="13" t="e" vm="6">
        <f>_xlfn.XLOOKUP(B98,LocationsKey[Site Name], LocationsKey[District])</f>
        <v>#VALUE!</v>
      </c>
      <c r="F98" s="13" t="e" vm="29">
        <f>_xlfn.XLOOKUP(B98,LocationsKey[Site Name], LocationsKey[Town])</f>
        <v>#VALUE!</v>
      </c>
      <c r="G98" s="25" t="str">
        <f>_xlfn.XLOOKUP(B98,LocationsKey[Site Name],LocationsKey[Waterway])</f>
        <v>Whitsun Brook</v>
      </c>
      <c r="H98" s="157">
        <f>COUNTIF(AllData[Site Name], Tables!B98)</f>
        <v>1</v>
      </c>
      <c r="I98" s="160">
        <f t="shared" si="44"/>
        <v>5</v>
      </c>
      <c r="J98" s="161">
        <f t="shared" si="45"/>
        <v>2.5</v>
      </c>
      <c r="K98" s="27" cm="1">
        <f t="array" ref="K98">SUM(COUNTIFS(AllData[Site Name], B98, AllData[Nitrate Pollution Category], {"High","Very high"}))/COUNTIFS(AllData[Site Name], B98, AllData[Nitrate (PPM)], "&lt;&gt;0")</f>
        <v>1</v>
      </c>
      <c r="L98" s="27" cm="1">
        <f t="array" ref="L98">SUM(COUNTIFS(AllData[Site Name], B98, AllData[Phosphate Pollution Category], {"High","Very high"}))/COUNTIFS(AllData[Site Name], B98, AllData[Phosphate (PPM)], "&lt;&gt;0")</f>
        <v>1</v>
      </c>
      <c r="M98" s="157">
        <f t="shared" si="46"/>
        <v>51</v>
      </c>
      <c r="N98" s="157">
        <f t="shared" si="47"/>
        <v>4</v>
      </c>
      <c r="O98" s="26">
        <f>COUNTIFS(AllData[Site Name], Tables!$B98, AllData[Season], "Summer", AllData[Year], "2023")</f>
        <v>0</v>
      </c>
      <c r="P98" s="160" t="str">
        <f>IFERROR(AVERAGEIFS(AllData[Nitrate (PPM)], AllData[Site Name], $B98, AllData[Season], "Summer", AllData[Year], "2023"), "")</f>
        <v/>
      </c>
      <c r="Q98" s="27" t="str">
        <f t="shared" si="48"/>
        <v/>
      </c>
      <c r="R98" s="161" t="str">
        <f>IFERROR(AVERAGEIFS(AllData[Phosphate (PPM)], AllData[Site Name], $B98, AllData[Season], "Summer", AllData[Year], "2023"),"")</f>
        <v/>
      </c>
      <c r="S98" s="28" t="str">
        <f t="shared" si="49"/>
        <v/>
      </c>
      <c r="T98" s="26">
        <f>COUNTIFS(AllData[Site Name], Tables!$B98, AllData[Season], "Autumn", AllData[Year], "2023")</f>
        <v>0</v>
      </c>
      <c r="U98" s="160" t="str">
        <f>IFERROR(AVERAGEIFS(AllData[Nitrate (PPM)], AllData[Site Name], $B98, AllData[Season], "Autumn", AllData[Year], "2023"), "")</f>
        <v/>
      </c>
      <c r="V98" s="27" t="str">
        <f t="shared" si="50"/>
        <v/>
      </c>
      <c r="W98" s="161" t="str">
        <f>IFERROR(AVERAGEIFS(AllData[Phosphate (PPM)], AllData[Site Name], $B98, AllData[Season], "Autumn", AllData[Year], "2023"),"")</f>
        <v/>
      </c>
      <c r="X98" s="28" t="str">
        <f t="shared" si="51"/>
        <v/>
      </c>
      <c r="Y98" s="26">
        <f>COUNTIFS(AllData[Site Name], Tables!$B98, AllData[Season], "Winter", AllData[Year], "2023")</f>
        <v>0</v>
      </c>
      <c r="Z98" s="160" t="str">
        <f>IFERROR(AVERAGEIFS(AllData[Nitrate (PPM)], AllData[Site Name], $B98, AllData[Season], "Winter", AllData[Year], "2023"), "")</f>
        <v/>
      </c>
      <c r="AA98" s="27" t="str">
        <f t="shared" si="52"/>
        <v/>
      </c>
      <c r="AB98" s="161" t="str">
        <f>IFERROR(AVERAGEIFS(AllData[Phosphate (PPM)], AllData[Site Name], $B98, AllData[Season], "Winter", AllData[Year], "2023"),"")</f>
        <v/>
      </c>
      <c r="AC98" s="28" t="str">
        <f t="shared" si="53"/>
        <v/>
      </c>
      <c r="AD98" s="26">
        <f>COUNTIFS(AllData[Site Name], Tables!$B98, AllData[Season], "Spring", AllData[Year], "2024")</f>
        <v>0</v>
      </c>
      <c r="AE98" s="160" t="str">
        <f>IFERROR(AVERAGEIFS(AllData[Nitrate (PPM)], AllData[Site Name], $B98, AllData[Season], "Spring", AllData[Year], "2024"), "")</f>
        <v/>
      </c>
      <c r="AF98" s="27" t="str">
        <f t="shared" si="54"/>
        <v/>
      </c>
      <c r="AG98" s="161" t="str">
        <f>IFERROR(AVERAGEIFS(AllData[Phosphate (PPM)], AllData[Site Name], $B98, AllData[Season], "Spring", AllData[Year], "2024"),"")</f>
        <v/>
      </c>
      <c r="AH98" s="28" t="str">
        <f t="shared" si="55"/>
        <v/>
      </c>
      <c r="AI98" s="165">
        <f>COUNTIFS(AllData[Site Name], Tables!$B98, AllData[Season], "Summer", AllData[Year], "2024")</f>
        <v>1</v>
      </c>
      <c r="AJ98" s="160">
        <f>IFERROR(AVERAGEIFS(AllData[Nitrate (PPM)], AllData[Site Name], $B98, AllData[Season], "Summer", AllData[Year], "2024"), "")</f>
        <v>5</v>
      </c>
      <c r="AK98" s="27">
        <f t="shared" si="56"/>
        <v>0</v>
      </c>
      <c r="AL98" s="27" t="str">
        <f t="shared" si="57"/>
        <v/>
      </c>
      <c r="AM98" s="161">
        <f>IFERROR(AVERAGEIFS(AllData[Phosphate (PPM)], AllData[Site Name], $B98, AllData[Season], "Summer", AllData[Year], "2024"),"")</f>
        <v>2.5</v>
      </c>
      <c r="AN98" s="27">
        <f t="shared" si="58"/>
        <v>0</v>
      </c>
      <c r="AO98" s="28" t="str">
        <f t="shared" si="59"/>
        <v/>
      </c>
      <c r="AP98" s="157">
        <f>COUNTIFS(AllData[Site Name], Tables!$B98, AllData[Season], "Autumn", AllData[Year], "2024")</f>
        <v>0</v>
      </c>
      <c r="AQ98" s="160" t="str">
        <f>IFERROR(AVERAGEIFS(AllData[Nitrate (PPM)], AllData[Site Name], $B98, AllData[Season], "Autumn", AllData[Year], "2024"), "")</f>
        <v/>
      </c>
      <c r="AR98" s="27" t="str">
        <f t="shared" si="60"/>
        <v/>
      </c>
      <c r="AS98" s="27" t="str">
        <f t="shared" si="42"/>
        <v/>
      </c>
      <c r="AT98" s="161" t="str">
        <f>IFERROR(AVERAGEIFS(AllData[Phosphate (PPM)], AllData[Site Name], B98, AllData[Season], "Autumn", AllData[Year], "2024"), "")</f>
        <v/>
      </c>
      <c r="AU98" s="27" t="str">
        <f t="shared" si="61"/>
        <v/>
      </c>
      <c r="AV98" s="28" t="str">
        <f t="shared" si="43"/>
        <v/>
      </c>
      <c r="AW98" s="165">
        <f>COUNTIFS(AllData[Site Name], Tables!$B98, AllData[Season], "Winter", AllData[Year], "2024")</f>
        <v>0</v>
      </c>
      <c r="AX98" s="160" t="str">
        <f>IFERROR(AVERAGEIFS(AllData[Nitrate (PPM)], AllData[Site Name], $B98, AllData[Season], "Winter", AllData[Year], "2024"), "")</f>
        <v/>
      </c>
      <c r="AY98" s="27" t="str">
        <f t="shared" si="62"/>
        <v/>
      </c>
      <c r="AZ98" s="27" t="str">
        <f t="shared" si="63"/>
        <v/>
      </c>
      <c r="BA98" s="161" t="str">
        <f>IFERROR(AVERAGEIFS(AllData[Phosphate (PPM)], AllData[Site Name], $B98, AllData[Season], "Winter", AllData[Year], "2024"), "")</f>
        <v/>
      </c>
      <c r="BB98" s="27" t="str">
        <f t="shared" si="64"/>
        <v/>
      </c>
      <c r="BC98" s="44" t="str">
        <f t="shared" si="65"/>
        <v/>
      </c>
      <c r="BD98" s="157">
        <f>COUNTIFS(AllData[Site Name], Tables!$B98, AllData[Season], "Spring", AllData[Year], "2025")</f>
        <v>0</v>
      </c>
      <c r="BE98" s="160" t="str">
        <f>IFERROR(AVERAGEIFS(AllData[Nitrate (PPM)], AllData[Site Name], $B98, AllData[Season], "Spring", AllData[Year], "2025"), "")</f>
        <v/>
      </c>
      <c r="BF98" s="27" t="str">
        <f t="shared" si="66"/>
        <v/>
      </c>
      <c r="BG98" s="27" t="str">
        <f t="shared" si="67"/>
        <v/>
      </c>
      <c r="BH98" s="161" t="str">
        <f>IFERROR(AVERAGEIFS(AllData[Phosphate (PPM)], AllData[Site Name], $B98, AllData[Season], "Spring", AllData[Year], "2025"), "")</f>
        <v/>
      </c>
      <c r="BI98" s="27" t="str">
        <f t="shared" si="68"/>
        <v/>
      </c>
      <c r="BJ98" s="27" t="str">
        <f t="shared" si="69"/>
        <v/>
      </c>
      <c r="BK98" s="165">
        <f>COUNTIFS(AllData[Site Name], Tables!$B98, AllData[Season], "Summer", AllData[Year], "2025")</f>
        <v>0</v>
      </c>
      <c r="BL98" s="160" t="str">
        <f>IFERROR(AVERAGEIFS(AllData[Nitrate (PPM)], AllData[Site Name], $B98, AllData[Season], "Summer", AllData[Year], "2025"), "")</f>
        <v/>
      </c>
      <c r="BM98" s="27" t="str">
        <f t="shared" si="70"/>
        <v/>
      </c>
      <c r="BN98" s="27" t="str">
        <f t="shared" si="71"/>
        <v/>
      </c>
      <c r="BO98" s="161" t="str">
        <f>IFERROR(AVERAGEIFS(AllData[Phosphate (PPM)], AllData[Site Name], $B98, AllData[Season], "Summer", AllData[Year], "2025"),"")</f>
        <v/>
      </c>
      <c r="BP98" s="27" t="str">
        <f t="shared" si="72"/>
        <v/>
      </c>
      <c r="BQ98" s="27" t="str">
        <f t="shared" si="73"/>
        <v/>
      </c>
      <c r="BR98" s="165">
        <f>COUNTIFS(AllData[Site Name], Tables!$B98, AllData[Season], "Autumn", AllData[Year], "2025")</f>
        <v>0</v>
      </c>
      <c r="BS98" s="160" t="str">
        <f>IFERROR(AVERAGEIFS(AllData[Nitrate (PPM)], AllData[Site Name], $B98, AllData[Season], "Autumn", AllData[Year], "2025"), "")</f>
        <v/>
      </c>
      <c r="BT98" s="27" t="str">
        <f t="shared" si="74"/>
        <v/>
      </c>
      <c r="BU98" s="27" t="str">
        <f t="shared" si="75"/>
        <v/>
      </c>
      <c r="BV98" s="161" t="str">
        <f>IFERROR(AVERAGEIFS(AllData[Phosphate (PPM)], AllData[Site Name], AD98, AllData[Season], "Autumn", AllData[Year], "2025"), "")</f>
        <v/>
      </c>
      <c r="BW98" s="27" t="str">
        <f t="shared" si="76"/>
        <v/>
      </c>
      <c r="BX98" s="28" t="str">
        <f t="shared" si="77"/>
        <v/>
      </c>
      <c r="BY98" s="165">
        <f>COUNTIFS(AllData[Site Name], Tables!$B98, AllData[Season], "Winter", AllData[Year], "2025")</f>
        <v>0</v>
      </c>
      <c r="BZ98" s="160" t="str">
        <f>IFERROR(AVERAGEIFS(AllData[Nitrate (PPM)], AllData[Site Name], $B98, AllData[Season], "Winter", AllData[Year], "2025"), "")</f>
        <v/>
      </c>
      <c r="CA98" s="27" t="str">
        <f t="shared" si="80"/>
        <v/>
      </c>
      <c r="CB98" s="27" t="str">
        <f t="shared" si="81"/>
        <v/>
      </c>
      <c r="CC98" s="161" t="str">
        <f>IFERROR(AVERAGEIFS(AllData[Phosphate (PPM)], AllData[Site Name], $B98, AllData[Season], "Winter", AllData[Year], "2025"), "")</f>
        <v/>
      </c>
      <c r="CD98" s="27" t="str">
        <f t="shared" si="82"/>
        <v/>
      </c>
      <c r="CE98" s="44" t="str">
        <f t="shared" si="83"/>
        <v/>
      </c>
    </row>
    <row r="99" spans="1:83" x14ac:dyDescent="0.35">
      <c r="B99" s="159"/>
      <c r="C99" s="113"/>
      <c r="D99" s="113"/>
      <c r="E99" s="13"/>
      <c r="F99" s="13"/>
      <c r="G99" s="25"/>
      <c r="H99" s="157"/>
      <c r="I99" s="160"/>
      <c r="J99" s="161"/>
      <c r="K99" s="27"/>
      <c r="L99" s="27"/>
      <c r="M99" s="157"/>
      <c r="N99" s="157"/>
      <c r="O99" s="26"/>
      <c r="P99" s="160"/>
      <c r="Q99" s="27"/>
      <c r="R99" s="161"/>
      <c r="S99" s="28"/>
      <c r="T99" s="26">
        <f>COUNTIFS(AllData[Site Name], Tables!$B99, AllData[Season], "Autumn", AllData[Year], "2023")</f>
        <v>0</v>
      </c>
      <c r="U99" s="160"/>
      <c r="V99" s="27"/>
      <c r="W99" s="161"/>
      <c r="X99" s="28"/>
      <c r="Y99" s="26"/>
      <c r="Z99" s="160"/>
      <c r="AA99" s="27"/>
      <c r="AB99" s="161"/>
      <c r="AC99" s="28"/>
      <c r="AD99" s="26"/>
      <c r="AE99" s="160"/>
      <c r="AF99" s="27"/>
      <c r="AG99" s="161"/>
      <c r="AH99" s="28"/>
      <c r="AI99" s="165"/>
      <c r="AJ99" s="160"/>
      <c r="AK99" s="27"/>
      <c r="AL99" s="27"/>
      <c r="AM99" s="161"/>
      <c r="AN99" s="27"/>
      <c r="AO99" s="28"/>
      <c r="AP99" s="157"/>
      <c r="AQ99" s="160"/>
      <c r="AR99" s="27"/>
      <c r="AS99" s="27"/>
      <c r="AT99" s="161"/>
      <c r="AU99" s="27"/>
      <c r="AV99" s="28"/>
      <c r="AW99" s="165"/>
      <c r="AX99" s="160"/>
      <c r="AY99" s="27"/>
      <c r="AZ99" s="27"/>
      <c r="BA99" s="161"/>
      <c r="BB99" s="27"/>
      <c r="BC99" s="44"/>
      <c r="BD99" s="157"/>
      <c r="BE99" s="160"/>
      <c r="BF99" s="27"/>
      <c r="BG99" s="27"/>
      <c r="BH99" s="161"/>
      <c r="BI99" s="27"/>
      <c r="BJ99" s="27"/>
      <c r="BK99" s="165"/>
      <c r="BL99" s="160"/>
      <c r="BM99" s="27"/>
      <c r="BN99" s="27"/>
      <c r="BO99" s="161"/>
      <c r="BP99" s="27"/>
      <c r="BQ99" s="27"/>
      <c r="BR99" s="165"/>
      <c r="BS99" s="160"/>
      <c r="BT99" s="27"/>
      <c r="BU99" s="27"/>
      <c r="BV99" s="161"/>
      <c r="BW99" s="27"/>
      <c r="BX99" s="28"/>
      <c r="BY99" s="165"/>
      <c r="BZ99" s="160"/>
      <c r="CA99" s="27"/>
      <c r="CB99" s="27"/>
      <c r="CC99" s="161"/>
      <c r="CD99" s="27"/>
      <c r="CE99" s="44"/>
    </row>
    <row r="100" spans="1:83" ht="15" customHeight="1" thickBot="1" x14ac:dyDescent="0.4">
      <c r="B100" s="229" t="s">
        <v>3669</v>
      </c>
      <c r="C100" s="230"/>
      <c r="D100" s="230"/>
      <c r="E100" s="230"/>
      <c r="F100" s="230"/>
      <c r="G100" s="231"/>
      <c r="H100" s="162"/>
      <c r="I100" s="160"/>
      <c r="J100" s="161"/>
      <c r="K100" s="187"/>
      <c r="L100" s="187"/>
      <c r="M100" s="157"/>
      <c r="N100" s="157"/>
      <c r="O100" s="178">
        <f>COUNTIFS(AllData[Site Name], Tables!$B100, AllData[Season], "Summer", AllData[Year], "2023")</f>
        <v>0</v>
      </c>
      <c r="P100" s="179" t="str">
        <f>IFERROR(AVERAGEIFS(AllData[Nitrate (PPM)], AllData[Site Name], $B100, AllData[Season], "Summer", AllData[Year], "2023"), "")</f>
        <v/>
      </c>
      <c r="Q100" s="180" t="str">
        <f t="shared" si="48"/>
        <v/>
      </c>
      <c r="R100" s="181" t="str">
        <f>IFERROR(AVERAGEIFS(AllData[Phosphate (PPM)], AllData[Site Name], $B100, AllData[Season], "Summer", AllData[Year], "2023"),"")</f>
        <v/>
      </c>
      <c r="S100" s="182" t="str">
        <f t="shared" si="49"/>
        <v/>
      </c>
      <c r="T100" s="178">
        <f>COUNTIFS(AllData[Site Name], Tables!$B100, AllData[Season], "Autumn", AllData[Year], "2023")</f>
        <v>0</v>
      </c>
      <c r="U100" s="179" t="str">
        <f>IFERROR(AVERAGEIFS(AllData[Nitrate (PPM)], AllData[Site Name], $B100, AllData[Season], "Autumn", AllData[Year], "2023"), "")</f>
        <v/>
      </c>
      <c r="V100" s="180" t="str">
        <f t="shared" si="50"/>
        <v/>
      </c>
      <c r="W100" s="181" t="str">
        <f>IFERROR(AVERAGEIFS(AllData[Phosphate (PPM)], AllData[Site Name], $B100, AllData[Season], "Autumn", AllData[Year], "2023"),"")</f>
        <v/>
      </c>
      <c r="X100" s="182" t="str">
        <f t="shared" si="51"/>
        <v/>
      </c>
      <c r="Y100" s="178">
        <f>COUNTIFS(AllData[Site Name], Tables!$B100, AllData[Season], "Winter", AllData[Year], "2023")</f>
        <v>0</v>
      </c>
      <c r="Z100" s="179" t="str">
        <f>IFERROR(AVERAGEIFS(AllData[Nitrate (PPM)], AllData[Site Name], $B100, AllData[Season], "Winter", AllData[Year], "2023"), "")</f>
        <v/>
      </c>
      <c r="AA100" s="180" t="str">
        <f t="shared" si="52"/>
        <v/>
      </c>
      <c r="AB100" s="181" t="str">
        <f>IFERROR(AVERAGEIFS(AllData[Phosphate (PPM)], AllData[Site Name], $B100, AllData[Season], "Winter", AllData[Year], "2023"),"")</f>
        <v/>
      </c>
      <c r="AC100" s="182" t="str">
        <f t="shared" si="53"/>
        <v/>
      </c>
      <c r="AD100" s="178">
        <f>COUNTIFS(AllData[Site Name], Tables!$B100, AllData[Season], "Spring", AllData[Year], "2024")</f>
        <v>0</v>
      </c>
      <c r="AE100" s="179" t="str">
        <f>IFERROR(AVERAGEIFS(AllData[Nitrate (PPM)], AllData[Site Name], $B100, AllData[Season], "Spring", AllData[Year], "2024"), "")</f>
        <v/>
      </c>
      <c r="AF100" s="180" t="str">
        <f t="shared" si="54"/>
        <v/>
      </c>
      <c r="AG100" s="181" t="str">
        <f>IFERROR(AVERAGEIFS(AllData[Phosphate (PPM)], AllData[Site Name], $B100, AllData[Season], "Spring", AllData[Year], "2024"),"")</f>
        <v/>
      </c>
      <c r="AH100" s="182" t="str">
        <f t="shared" si="55"/>
        <v/>
      </c>
      <c r="AI100" s="183">
        <f>COUNTIFS(AllData[Site Name], Tables!$B100, AllData[Season], "Summer", AllData[Year], "2024")</f>
        <v>0</v>
      </c>
      <c r="AJ100" s="179" t="str">
        <f>IFERROR(AVERAGEIFS(AllData[Nitrate (PPM)], AllData[Site Name], $B100, AllData[Season], "Summer", AllData[Year], "2024"), "")</f>
        <v/>
      </c>
      <c r="AK100" s="180" t="str">
        <f t="shared" si="56"/>
        <v/>
      </c>
      <c r="AL100" s="180" t="str">
        <f t="shared" si="57"/>
        <v/>
      </c>
      <c r="AM100" s="181" t="str">
        <f>IFERROR(AVERAGEIFS(AllData[Phosphate (PPM)], AllData[Site Name], $B100, AllData[Season], "Summer", AllData[Year], "2024"),"")</f>
        <v/>
      </c>
      <c r="AN100" s="180" t="str">
        <f t="shared" si="58"/>
        <v/>
      </c>
      <c r="AO100" s="182" t="str">
        <f t="shared" si="59"/>
        <v/>
      </c>
      <c r="AP100" s="184">
        <f>COUNTIFS(AllData[Site Name], Tables!$B100, AllData[Season], "Autumn", AllData[Year], "2024")</f>
        <v>0</v>
      </c>
      <c r="AQ100" s="179" t="str">
        <f>IFERROR(AVERAGEIFS(AllData[Nitrate (PPM)], AllData[Site Name], $B100, AllData[Season], "Autumn", AllData[Year], "2024"), "")</f>
        <v/>
      </c>
      <c r="AR100" s="180" t="str">
        <f t="shared" si="60"/>
        <v/>
      </c>
      <c r="AS100" s="180" t="str">
        <f t="shared" si="42"/>
        <v/>
      </c>
      <c r="AT100" s="181" t="str">
        <f>IFERROR(AVERAGEIFS(AllData[Phosphate (PPM)], AllData[Site Name], B100, AllData[Season], "Autumn", AllData[Year], "2024"), "")</f>
        <v/>
      </c>
      <c r="AU100" s="180" t="str">
        <f t="shared" si="61"/>
        <v/>
      </c>
      <c r="AV100" s="182" t="str">
        <f t="shared" si="43"/>
        <v/>
      </c>
      <c r="AW100" s="183">
        <f>COUNTIFS(AllData[Site Name], Tables!$B100, AllData[Season], "Winter", AllData[Year], "2024")</f>
        <v>0</v>
      </c>
      <c r="AX100" s="179" t="str">
        <f>IFERROR(AVERAGEIFS(AllData[Nitrate (PPM)], AllData[Site Name], $B100, AllData[Season], "Winter", AllData[Year], "2024"), "")</f>
        <v/>
      </c>
      <c r="AY100" s="180" t="str">
        <f t="shared" si="62"/>
        <v/>
      </c>
      <c r="AZ100" s="180" t="str">
        <f t="shared" si="63"/>
        <v/>
      </c>
      <c r="BA100" s="181" t="str">
        <f>IFERROR(AVERAGEIFS(AllData[Phosphate (PPM)], AllData[Site Name], $B100, AllData[Season], "Winter", AllData[Year], "2024"), "")</f>
        <v/>
      </c>
      <c r="BB100" s="180" t="str">
        <f t="shared" si="64"/>
        <v/>
      </c>
      <c r="BC100" s="185" t="str">
        <f t="shared" si="65"/>
        <v/>
      </c>
      <c r="BD100" s="184">
        <f>COUNTIFS(AllData[Site Name], Tables!$B100, AllData[Season], "Spring", AllData[Year], "2025")</f>
        <v>0</v>
      </c>
      <c r="BE100" s="179" t="str">
        <f>IFERROR(AVERAGEIFS(AllData[Nitrate (PPM)], AllData[Site Name], $B100, AllData[Season], "Spring", AllData[Year], "2025"), "")</f>
        <v/>
      </c>
      <c r="BF100" s="180" t="str">
        <f t="shared" si="66"/>
        <v/>
      </c>
      <c r="BG100" s="180" t="str">
        <f t="shared" si="67"/>
        <v/>
      </c>
      <c r="BH100" s="181" t="str">
        <f>IFERROR(AVERAGEIFS(AllData[Phosphate (PPM)], AllData[Site Name], $B100, AllData[Season], "Spring", AllData[Year], "2025"), "")</f>
        <v/>
      </c>
      <c r="BI100" s="180" t="str">
        <f t="shared" si="68"/>
        <v/>
      </c>
      <c r="BJ100" s="180" t="str">
        <f t="shared" si="69"/>
        <v/>
      </c>
      <c r="BK100" s="183">
        <f>COUNTIFS(AllData[Site Name], Tables!$B100, AllData[Season], "Summer", AllData[Year], "2025")</f>
        <v>0</v>
      </c>
      <c r="BL100" s="179" t="str">
        <f>IFERROR(AVERAGEIFS(AllData[Nitrate (PPM)], AllData[Site Name], $B100, AllData[Season], "Summer", AllData[Year], "2025"), "")</f>
        <v/>
      </c>
      <c r="BM100" s="180" t="str">
        <f t="shared" si="70"/>
        <v/>
      </c>
      <c r="BN100" s="180" t="str">
        <f t="shared" si="71"/>
        <v/>
      </c>
      <c r="BO100" s="181" t="str">
        <f>IFERROR(AVERAGEIFS(AllData[Phosphate (PPM)], AllData[Site Name], $B100, AllData[Season], "Summer", AllData[Year], "2025"),"")</f>
        <v/>
      </c>
      <c r="BP100" s="180" t="str">
        <f t="shared" si="72"/>
        <v/>
      </c>
      <c r="BQ100" s="180" t="str">
        <f t="shared" si="73"/>
        <v/>
      </c>
      <c r="BR100" s="183">
        <f>COUNTIFS(AllData[Site Name], Tables!$B100, AllData[Season], "Autumn", AllData[Year], "2025")</f>
        <v>0</v>
      </c>
      <c r="BS100" s="179" t="str">
        <f>IFERROR(AVERAGEIFS(AllData[Nitrate (PPM)], AllData[Site Name], $B100, AllData[Season], "Autumn", AllData[Year], "2025"), "")</f>
        <v/>
      </c>
      <c r="BT100" s="180" t="str">
        <f t="shared" si="74"/>
        <v/>
      </c>
      <c r="BU100" s="180" t="str">
        <f t="shared" si="75"/>
        <v/>
      </c>
      <c r="BV100" s="181" t="str">
        <f>IFERROR(AVERAGEIFS(AllData[Phosphate (PPM)], AllData[Site Name], AD100, AllData[Season], "Autumn", AllData[Year], "2025"), "")</f>
        <v/>
      </c>
      <c r="BW100" s="180" t="str">
        <f t="shared" si="76"/>
        <v/>
      </c>
      <c r="BX100" s="182" t="str">
        <f t="shared" si="77"/>
        <v/>
      </c>
      <c r="BY100" s="183">
        <f>COUNTIFS(AllData[Site Name], Tables!$B100, AllData[Season], "Winter", AllData[Year], "2025")</f>
        <v>0</v>
      </c>
      <c r="BZ100" s="179" t="str">
        <f>IFERROR(AVERAGEIFS(AllData[Nitrate (PPM)], AllData[Site Name], $B100, AllData[Season], "Winter", AllData[Year], "2025"), "")</f>
        <v/>
      </c>
      <c r="CA100" s="180" t="str">
        <f t="shared" si="80"/>
        <v/>
      </c>
      <c r="CB100" s="180" t="str">
        <f t="shared" si="81"/>
        <v/>
      </c>
      <c r="CC100" s="181" t="str">
        <f>IFERROR(AVERAGEIFS(AllData[Phosphate (PPM)], AllData[Site Name], $B100, AllData[Season], "Winter", AllData[Year], "2025"), "")</f>
        <v/>
      </c>
      <c r="CD100" s="180" t="str">
        <f t="shared" si="82"/>
        <v/>
      </c>
      <c r="CE100" s="185" t="str">
        <f t="shared" si="83"/>
        <v/>
      </c>
    </row>
    <row r="101" spans="1:83" s="36" customFormat="1" ht="20.5" thickBot="1" x14ac:dyDescent="0.4">
      <c r="A101" s="46"/>
      <c r="B101" s="32" t="s">
        <v>3623</v>
      </c>
      <c r="C101" s="32">
        <f>COUNTA(B12:B98)</f>
        <v>87</v>
      </c>
      <c r="D101" s="32" t="s">
        <v>3624</v>
      </c>
      <c r="E101" s="32"/>
      <c r="F101" s="32"/>
      <c r="G101" s="33"/>
      <c r="H101" s="188">
        <f>SUM(H12:H98)</f>
        <v>2364</v>
      </c>
      <c r="I101" s="189">
        <f>AVERAGE(I12:I100)</f>
        <v>5.9762022473138909</v>
      </c>
      <c r="J101" s="190">
        <f>AVERAGE(J12:J100)</f>
        <v>0.72054134133452419</v>
      </c>
      <c r="K101" s="191" cm="1">
        <f t="array" ref="K101">SUM(COUNTIF(AllData[Nitrate Pollution Category], {"High","Very high"}))/COUNTA(AllData[Nitrate (PPM)])</f>
        <v>0.94272380144251167</v>
      </c>
      <c r="L101" s="191" cm="1">
        <f t="array" ref="L101">SUM(COUNTIF(AllData[Phosphate Pollution Category], {"High","Very high"}))/COUNTA(AllData[Phosphate (PPM)])</f>
        <v>0.93211709800593978</v>
      </c>
      <c r="M101" s="190"/>
      <c r="N101" s="192"/>
      <c r="O101" s="34">
        <f>COUNTIFS(AllData[Season], "Summer", AllData[Year], "2023")</f>
        <v>65</v>
      </c>
      <c r="P101" s="30">
        <f>AVERAGE(P12:P98)</f>
        <v>7.016326530612246</v>
      </c>
      <c r="Q101" s="35">
        <f>(P101-I101)/I101</f>
        <v>0.17404435798099993</v>
      </c>
      <c r="R101" s="31">
        <f>AVERAGE(R12:R100)</f>
        <v>0.67953061224489797</v>
      </c>
      <c r="S101" s="124">
        <f>(R101-J101)/J101</f>
        <v>-5.6916552509908319E-2</v>
      </c>
      <c r="T101" s="125">
        <f>COUNTIFS(AllData[Season], "Autumn", AllData[Year], "2023")</f>
        <v>166</v>
      </c>
      <c r="U101" s="30">
        <f>AVERAGE(U12:U100)</f>
        <v>6.7026710032391863</v>
      </c>
      <c r="V101" s="35">
        <f>(U101-I101)/I101</f>
        <v>0.1215602695259886</v>
      </c>
      <c r="W101" s="31">
        <f>AVERAGE(W12:W100)</f>
        <v>0.61134185259185247</v>
      </c>
      <c r="X101" s="124">
        <f>(W101-J101)/J101</f>
        <v>-0.15155201024332884</v>
      </c>
      <c r="Y101" s="125">
        <f>COUNTIFS(AllData[Season], "Winter", AllData[Year], "2023")</f>
        <v>248</v>
      </c>
      <c r="Z101" s="30">
        <f>AVERAGE(Z12:Z100)</f>
        <v>5.994741744741745</v>
      </c>
      <c r="AA101" s="35">
        <f>(Z101-I101)/I101</f>
        <v>3.1022205508836327E-3</v>
      </c>
      <c r="AB101" s="31">
        <f>AVERAGE(AB12:AB100)</f>
        <v>0.54676443950786058</v>
      </c>
      <c r="AC101" s="35">
        <f>(AB101-J101)/J101</f>
        <v>-0.24117547718332039</v>
      </c>
      <c r="AD101" s="34">
        <f>COUNTIFS(AllData[Season], "Spring", AllData[Year], "2024")</f>
        <v>431</v>
      </c>
      <c r="AE101" s="30">
        <f>AVERAGE(AE12:AE100)</f>
        <v>5.1379985081520179</v>
      </c>
      <c r="AF101" s="35">
        <f>(AE101-I101)/I101</f>
        <v>-0.14025692312180674</v>
      </c>
      <c r="AG101" s="31">
        <f>AVERAGE(AG12:AG100)</f>
        <v>0.5746492591635135</v>
      </c>
      <c r="AH101" s="124">
        <f>(AG101-J101)/J101</f>
        <v>-0.20247565795572814</v>
      </c>
      <c r="AI101" s="125">
        <f>COUNTIFS(AllData[Season], "Summer", AllData[Year], "2024")</f>
        <v>419</v>
      </c>
      <c r="AJ101" s="30">
        <f>AVERAGE(AJ12:AJ100)</f>
        <v>6.1233884059777797</v>
      </c>
      <c r="AK101" s="35">
        <f>(AJ101-I101)/I101</f>
        <v>2.4628711106630324E-2</v>
      </c>
      <c r="AL101" s="35">
        <f>(AJ101-P101)/P101</f>
        <v>-0.12726575947378954</v>
      </c>
      <c r="AM101" s="31">
        <f>AVERAGE(AM12:AM100)</f>
        <v>0.92491682394438113</v>
      </c>
      <c r="AN101" s="35">
        <f>(AM101-J101)/J101</f>
        <v>0.28364157736089146</v>
      </c>
      <c r="AO101" s="124">
        <f>(AM101-R101)/R101</f>
        <v>0.36111134256163241</v>
      </c>
      <c r="AP101" s="125">
        <f>COUNTIFS(AllData[Season], "Autumn", AllData[Year], "2024")</f>
        <v>413</v>
      </c>
      <c r="AQ101" s="30">
        <f>AVERAGE(AQ12:AQ100)</f>
        <v>5.8153407341450816</v>
      </c>
      <c r="AR101" s="35">
        <f>(AQ101-I101)/I101</f>
        <v>-2.6917012930931412E-2</v>
      </c>
      <c r="AS101" s="35">
        <f>(AQ101-U101)/U101</f>
        <v>-0.13238457753114935</v>
      </c>
      <c r="AT101" s="31">
        <f>AVERAGE(AT12:AT100)</f>
        <v>0.68186874678351939</v>
      </c>
      <c r="AU101" s="35">
        <f>(AT101-J101)/J101</f>
        <v>-5.367158320073457E-2</v>
      </c>
      <c r="AV101" s="124">
        <f>(AT101-W101)/W101</f>
        <v>0.1153640862189628</v>
      </c>
      <c r="AW101" s="125">
        <f>COUNTIFS(AllData[Season], "Winter", AllData[Year], "2024")</f>
        <v>373</v>
      </c>
      <c r="AX101" s="30">
        <f>AVERAGE(AX12:AX100)</f>
        <v>4.5446573414508196</v>
      </c>
      <c r="AY101" s="35">
        <f>(AX101-I101)/I101</f>
        <v>-0.23954090685376392</v>
      </c>
      <c r="AZ101" s="35">
        <f>(AX101-Z101)/Z101</f>
        <v>-0.24189272282877891</v>
      </c>
      <c r="BA101" s="31">
        <f>AVERAGE(BA12:BA100)</f>
        <v>0.56257721022938423</v>
      </c>
      <c r="BB101" s="35">
        <f>(BA101-J101)/J101</f>
        <v>-0.21922979577073606</v>
      </c>
      <c r="BC101" s="164">
        <f>(BA101-AB101)/AB101</f>
        <v>2.8920627566336669E-2</v>
      </c>
      <c r="BD101" s="34">
        <f>COUNTIFS(AllData[Season], "Spring", AllData[Year], "2025")</f>
        <v>249</v>
      </c>
      <c r="BE101" s="30">
        <f>AVERAGE(BE12:BE100)</f>
        <v>5.7426545086119543</v>
      </c>
      <c r="BF101" s="35">
        <f>(BE101-AX101)/AX101</f>
        <v>0.26360560921380499</v>
      </c>
      <c r="BG101" s="35">
        <f>(BE101-AE101)/AE101</f>
        <v>0.1176831794521896</v>
      </c>
      <c r="BH101" s="31">
        <f>AVERAGE(BH12:BH100)</f>
        <v>0.63554821006416751</v>
      </c>
      <c r="BI101" s="35">
        <f>(BH101-J101)/J101</f>
        <v>-0.11795732790701471</v>
      </c>
      <c r="BJ101" s="164">
        <f>(BH101-AG101)/AG101</f>
        <v>0.10597586254492242</v>
      </c>
      <c r="BK101" s="125">
        <f>COUNTIFS(AllData[Season], "Summer", AllData[Year], "2025")</f>
        <v>0</v>
      </c>
      <c r="BL101" s="30" t="e">
        <f>AVERAGE(BL12:BL89)</f>
        <v>#DIV/0!</v>
      </c>
      <c r="BM101" s="35" t="e">
        <f>(BL101-AX101)/AX101</f>
        <v>#DIV/0!</v>
      </c>
      <c r="BN101" s="35" t="e">
        <f>(BL101-#REF!)/#REF!</f>
        <v>#DIV/0!</v>
      </c>
      <c r="BO101" s="31" t="e">
        <f>AVERAGE(BO12:BO89)</f>
        <v>#DIV/0!</v>
      </c>
      <c r="BP101" s="35" t="e">
        <f>(BO101-AY101)/AY101</f>
        <v>#DIV/0!</v>
      </c>
      <c r="BQ101" s="124" t="e">
        <f>(BO101-#REF!)/#REF!</f>
        <v>#DIV/0!</v>
      </c>
      <c r="BR101" s="125">
        <f>COUNTIFS(AllData[Season], "Autumn", AllData[Year], "2025")</f>
        <v>0</v>
      </c>
      <c r="BS101" s="30" t="e">
        <f>AVERAGE(BS12:BS89)</f>
        <v>#DIV/0!</v>
      </c>
      <c r="BT101" s="35" t="e">
        <f>(BS101-AX101)/AX101</f>
        <v>#DIV/0!</v>
      </c>
      <c r="BU101" s="35" t="e">
        <f>(BS101-#REF!)/#REF!</f>
        <v>#DIV/0!</v>
      </c>
      <c r="BV101" s="31" t="e">
        <f>AVERAGE(BV12:BV89)</f>
        <v>#DIV/0!</v>
      </c>
      <c r="BW101" s="35" t="e">
        <f>(BV101-AY101)/AY101</f>
        <v>#DIV/0!</v>
      </c>
      <c r="BX101" s="124" t="e">
        <f>(BV101-#REF!)/#REF!</f>
        <v>#DIV/0!</v>
      </c>
      <c r="BY101" s="125">
        <f>COUNTIFS(AllData[Season], "Winter", AllData[Year], "2025")</f>
        <v>0</v>
      </c>
      <c r="BZ101" s="30" t="e">
        <f>AVERAGE(BZ12:BZ89)</f>
        <v>#DIV/0!</v>
      </c>
      <c r="CA101" s="35" t="e">
        <f>(BZ101-AX101)/AX101</f>
        <v>#DIV/0!</v>
      </c>
      <c r="CB101" s="35" t="e">
        <f>(BZ101-#REF!)/#REF!</f>
        <v>#DIV/0!</v>
      </c>
      <c r="CC101" s="31" t="e">
        <f>AVERAGE(CC12:CC89)</f>
        <v>#DIV/0!</v>
      </c>
      <c r="CD101" s="35" t="e">
        <f>(CC101-AY101)/AY101</f>
        <v>#DIV/0!</v>
      </c>
      <c r="CE101" s="164" t="e">
        <f>(CC101-#REF!)/#REF!</f>
        <v>#DIV/0!</v>
      </c>
    </row>
    <row r="102" spans="1:83" s="36" customFormat="1" ht="20" x14ac:dyDescent="0.35">
      <c r="E102" s="100"/>
      <c r="H102" s="47"/>
      <c r="I102" s="48"/>
      <c r="J102" s="49"/>
      <c r="K102" s="51"/>
      <c r="L102" s="51"/>
      <c r="M102" s="49"/>
      <c r="N102" s="111"/>
      <c r="O102" s="47"/>
      <c r="P102" s="48"/>
      <c r="Q102" s="51"/>
      <c r="R102" s="49"/>
      <c r="S102" s="51"/>
      <c r="T102" s="47"/>
      <c r="U102" s="48"/>
      <c r="V102" s="51"/>
      <c r="W102" s="49"/>
      <c r="X102" s="51"/>
      <c r="Y102" s="47"/>
      <c r="Z102" s="48"/>
      <c r="AA102" s="51"/>
      <c r="AB102" s="49"/>
      <c r="AC102" s="51"/>
      <c r="AD102" s="47"/>
      <c r="AE102" s="48"/>
      <c r="AF102" s="51"/>
      <c r="AG102" s="49"/>
      <c r="AH102" s="51"/>
      <c r="AN102" s="110"/>
      <c r="BD102" s="47"/>
      <c r="BE102" s="48"/>
      <c r="BF102" s="51"/>
      <c r="BG102" s="51"/>
      <c r="BH102" s="49"/>
      <c r="BI102" s="51"/>
      <c r="BJ102" s="51"/>
      <c r="BP102" s="110"/>
    </row>
    <row r="103" spans="1:83" s="36" customFormat="1" ht="20.5" thickBot="1" x14ac:dyDescent="0.4">
      <c r="H103" s="47"/>
      <c r="I103" s="48"/>
      <c r="J103" s="49"/>
      <c r="K103" s="50"/>
      <c r="L103" s="50"/>
      <c r="M103" s="49"/>
      <c r="N103" s="49"/>
      <c r="O103" s="47"/>
      <c r="P103" s="48"/>
      <c r="Q103" s="51"/>
      <c r="R103" s="49"/>
      <c r="S103" s="51"/>
      <c r="T103" s="47"/>
      <c r="U103" s="48"/>
      <c r="V103" s="51"/>
      <c r="W103" s="49"/>
      <c r="X103" s="51"/>
      <c r="Y103" s="47"/>
      <c r="Z103" s="48"/>
      <c r="AA103" s="51"/>
      <c r="AB103" s="49"/>
      <c r="AC103" s="51"/>
      <c r="AD103" s="47"/>
      <c r="AE103" s="48"/>
      <c r="AF103" s="51"/>
      <c r="AG103" s="49"/>
      <c r="AH103" s="51"/>
      <c r="BD103" s="47"/>
      <c r="BE103" s="48"/>
      <c r="BF103" s="51"/>
      <c r="BG103" s="51"/>
      <c r="BH103" s="49"/>
      <c r="BI103" s="51"/>
      <c r="BJ103" s="51"/>
    </row>
    <row r="104" spans="1:83" ht="15" thickBot="1" x14ac:dyDescent="0.4">
      <c r="B104" s="212" t="s">
        <v>3625</v>
      </c>
      <c r="C104" s="212"/>
      <c r="D104" s="212"/>
      <c r="E104" s="212"/>
      <c r="F104" s="212"/>
      <c r="O104" s="266" t="s">
        <v>3609</v>
      </c>
      <c r="P104" s="267"/>
      <c r="Q104" s="267"/>
      <c r="R104" s="267"/>
      <c r="S104" s="267"/>
      <c r="T104" s="267"/>
      <c r="U104" s="267"/>
      <c r="V104" s="267"/>
      <c r="W104" s="267"/>
      <c r="X104" s="267"/>
      <c r="Y104" s="267"/>
      <c r="Z104" s="267"/>
      <c r="AA104" s="267"/>
      <c r="AB104" s="267"/>
      <c r="AC104" s="267"/>
      <c r="AD104" s="267"/>
      <c r="AE104" s="267"/>
      <c r="AF104" s="267"/>
      <c r="AG104" s="267"/>
      <c r="AH104" s="268"/>
    </row>
    <row r="105" spans="1:83" ht="15" thickBot="1" x14ac:dyDescent="0.4">
      <c r="B105" s="212"/>
      <c r="C105" s="212"/>
      <c r="D105" s="212"/>
      <c r="E105" s="212"/>
      <c r="F105" s="212"/>
      <c r="G105" s="13"/>
      <c r="H105" s="13"/>
      <c r="I105" s="13"/>
      <c r="J105" s="19"/>
      <c r="K105" s="19"/>
      <c r="L105" s="19"/>
      <c r="M105" s="19"/>
      <c r="N105" s="19"/>
      <c r="O105" s="256">
        <v>2023</v>
      </c>
      <c r="P105" s="257"/>
      <c r="Q105" s="257"/>
      <c r="R105" s="257"/>
      <c r="S105" s="257"/>
      <c r="T105" s="257"/>
      <c r="U105" s="257"/>
      <c r="V105" s="257"/>
      <c r="W105" s="257"/>
      <c r="X105" s="257"/>
      <c r="Y105" s="257"/>
      <c r="Z105" s="257"/>
      <c r="AA105" s="257"/>
      <c r="AB105" s="257"/>
      <c r="AC105" s="258"/>
      <c r="AD105" s="252">
        <v>2024</v>
      </c>
      <c r="AE105" s="253"/>
      <c r="AF105" s="253"/>
      <c r="AG105" s="253"/>
      <c r="AH105" s="253"/>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5"/>
      <c r="BD105" s="269">
        <v>2025</v>
      </c>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5"/>
    </row>
    <row r="106" spans="1:83" ht="15" thickBot="1" x14ac:dyDescent="0.4">
      <c r="B106" s="13"/>
      <c r="C106" s="13"/>
      <c r="D106" s="13"/>
      <c r="E106" s="13"/>
      <c r="F106" s="13"/>
      <c r="G106" s="13"/>
      <c r="H106" s="213" t="s">
        <v>3610</v>
      </c>
      <c r="I106" s="214"/>
      <c r="J106" s="214"/>
      <c r="K106" s="214"/>
      <c r="L106" s="214"/>
      <c r="M106" s="214"/>
      <c r="N106" s="214"/>
      <c r="O106" s="215" t="s">
        <v>3611</v>
      </c>
      <c r="P106" s="216"/>
      <c r="Q106" s="216"/>
      <c r="R106" s="216"/>
      <c r="S106" s="217"/>
      <c r="T106" s="218" t="s">
        <v>3612</v>
      </c>
      <c r="U106" s="219"/>
      <c r="V106" s="219"/>
      <c r="W106" s="219"/>
      <c r="X106" s="220"/>
      <c r="Y106" s="263" t="s">
        <v>3613</v>
      </c>
      <c r="Z106" s="263"/>
      <c r="AA106" s="263"/>
      <c r="AB106" s="263"/>
      <c r="AC106" s="264"/>
      <c r="AD106" s="287" t="s">
        <v>3614</v>
      </c>
      <c r="AE106" s="288"/>
      <c r="AF106" s="288"/>
      <c r="AG106" s="288"/>
      <c r="AH106" s="289"/>
      <c r="AI106" s="271" t="s">
        <v>3611</v>
      </c>
      <c r="AJ106" s="271"/>
      <c r="AK106" s="271"/>
      <c r="AL106" s="271"/>
      <c r="AM106" s="271"/>
      <c r="AN106" s="271"/>
      <c r="AO106" s="272"/>
      <c r="AP106" s="261" t="s">
        <v>3612</v>
      </c>
      <c r="AQ106" s="261"/>
      <c r="AR106" s="261"/>
      <c r="AS106" s="261"/>
      <c r="AT106" s="261"/>
      <c r="AU106" s="261"/>
      <c r="AV106" s="262"/>
      <c r="AW106" s="250" t="s">
        <v>3613</v>
      </c>
      <c r="AX106" s="250"/>
      <c r="AY106" s="250"/>
      <c r="AZ106" s="250"/>
      <c r="BA106" s="250"/>
      <c r="BB106" s="250"/>
      <c r="BC106" s="251"/>
      <c r="BD106" s="209" t="s">
        <v>3614</v>
      </c>
      <c r="BE106" s="210"/>
      <c r="BF106" s="210"/>
      <c r="BG106" s="210"/>
      <c r="BH106" s="210"/>
      <c r="BI106" s="210"/>
      <c r="BJ106" s="211"/>
      <c r="BK106" s="270" t="s">
        <v>3611</v>
      </c>
      <c r="BL106" s="271"/>
      <c r="BM106" s="271"/>
      <c r="BN106" s="271"/>
      <c r="BO106" s="271"/>
      <c r="BP106" s="271"/>
      <c r="BQ106" s="272"/>
      <c r="BR106" s="273" t="s">
        <v>3612</v>
      </c>
      <c r="BS106" s="261"/>
      <c r="BT106" s="261"/>
      <c r="BU106" s="261"/>
      <c r="BV106" s="261"/>
      <c r="BW106" s="261"/>
      <c r="BX106" s="262"/>
      <c r="BY106" s="274" t="s">
        <v>3613</v>
      </c>
      <c r="BZ106" s="275"/>
      <c r="CA106" s="275"/>
      <c r="CB106" s="275"/>
      <c r="CC106" s="275"/>
      <c r="CD106" s="275"/>
      <c r="CE106" s="276"/>
    </row>
    <row r="107" spans="1:83" ht="70" x14ac:dyDescent="0.35">
      <c r="E107" s="29"/>
      <c r="F107" s="21" t="s">
        <v>8</v>
      </c>
      <c r="G107" s="163" t="s">
        <v>3615</v>
      </c>
      <c r="H107" s="22" t="s">
        <v>3616</v>
      </c>
      <c r="I107" s="23" t="s">
        <v>3591</v>
      </c>
      <c r="J107" s="23" t="s">
        <v>3597</v>
      </c>
      <c r="K107" s="24" t="s">
        <v>3617</v>
      </c>
      <c r="L107" s="24" t="s">
        <v>3618</v>
      </c>
      <c r="M107" s="24" t="s">
        <v>3626</v>
      </c>
      <c r="N107" s="24" t="s">
        <v>3670</v>
      </c>
      <c r="O107" s="22" t="s">
        <v>3616</v>
      </c>
      <c r="P107" s="23" t="s">
        <v>3591</v>
      </c>
      <c r="Q107" s="24" t="s">
        <v>3619</v>
      </c>
      <c r="R107" s="23" t="s">
        <v>3597</v>
      </c>
      <c r="S107" s="37" t="s">
        <v>3620</v>
      </c>
      <c r="T107" s="23" t="s">
        <v>3616</v>
      </c>
      <c r="U107" s="23" t="s">
        <v>3591</v>
      </c>
      <c r="V107" s="24" t="s">
        <v>3619</v>
      </c>
      <c r="W107" s="23" t="s">
        <v>3597</v>
      </c>
      <c r="X107" s="37" t="s">
        <v>3620</v>
      </c>
      <c r="Y107" s="23" t="s">
        <v>3616</v>
      </c>
      <c r="Z107" s="23" t="s">
        <v>3591</v>
      </c>
      <c r="AA107" s="24" t="s">
        <v>3619</v>
      </c>
      <c r="AB107" s="23" t="s">
        <v>3597</v>
      </c>
      <c r="AC107" s="37" t="s">
        <v>3620</v>
      </c>
      <c r="AD107" s="22" t="s">
        <v>3616</v>
      </c>
      <c r="AE107" s="23" t="s">
        <v>3591</v>
      </c>
      <c r="AF107" s="24" t="s">
        <v>3619</v>
      </c>
      <c r="AG107" s="23" t="s">
        <v>3597</v>
      </c>
      <c r="AH107" s="37" t="s">
        <v>3620</v>
      </c>
      <c r="AI107" s="23" t="s">
        <v>3616</v>
      </c>
      <c r="AJ107" s="23" t="s">
        <v>3591</v>
      </c>
      <c r="AK107" s="24" t="s">
        <v>3619</v>
      </c>
      <c r="AL107" s="24" t="s">
        <v>3621</v>
      </c>
      <c r="AM107" s="23" t="s">
        <v>3597</v>
      </c>
      <c r="AN107" s="24" t="s">
        <v>3620</v>
      </c>
      <c r="AO107" s="37" t="s">
        <v>3622</v>
      </c>
      <c r="AP107" s="23" t="s">
        <v>3616</v>
      </c>
      <c r="AQ107" s="23" t="s">
        <v>3591</v>
      </c>
      <c r="AR107" s="24" t="s">
        <v>3619</v>
      </c>
      <c r="AS107" s="24" t="s">
        <v>3621</v>
      </c>
      <c r="AT107" s="23" t="s">
        <v>3597</v>
      </c>
      <c r="AU107" s="24" t="s">
        <v>3620</v>
      </c>
      <c r="AV107" s="37" t="s">
        <v>3622</v>
      </c>
      <c r="AW107" s="23" t="s">
        <v>3616</v>
      </c>
      <c r="AX107" s="23" t="s">
        <v>3591</v>
      </c>
      <c r="AY107" s="24" t="s">
        <v>3619</v>
      </c>
      <c r="AZ107" s="24" t="s">
        <v>3621</v>
      </c>
      <c r="BA107" s="23" t="s">
        <v>3597</v>
      </c>
      <c r="BB107" s="24" t="s">
        <v>3620</v>
      </c>
      <c r="BC107" s="43" t="s">
        <v>3622</v>
      </c>
      <c r="BD107" s="22" t="s">
        <v>3616</v>
      </c>
      <c r="BE107" s="23" t="s">
        <v>3591</v>
      </c>
      <c r="BF107" s="24" t="s">
        <v>3619</v>
      </c>
      <c r="BG107" s="24" t="s">
        <v>3621</v>
      </c>
      <c r="BH107" s="23" t="s">
        <v>3597</v>
      </c>
      <c r="BI107" s="24" t="s">
        <v>3620</v>
      </c>
      <c r="BJ107" s="37" t="s">
        <v>3622</v>
      </c>
      <c r="BK107" s="23" t="s">
        <v>3616</v>
      </c>
      <c r="BL107" s="23" t="s">
        <v>3591</v>
      </c>
      <c r="BM107" s="24" t="s">
        <v>3619</v>
      </c>
      <c r="BN107" s="24" t="s">
        <v>3621</v>
      </c>
      <c r="BO107" s="23" t="s">
        <v>3597</v>
      </c>
      <c r="BP107" s="24" t="s">
        <v>3620</v>
      </c>
      <c r="BQ107" s="37" t="s">
        <v>3622</v>
      </c>
      <c r="BR107" s="23" t="s">
        <v>3616</v>
      </c>
      <c r="BS107" s="23" t="s">
        <v>3591</v>
      </c>
      <c r="BT107" s="24" t="s">
        <v>3619</v>
      </c>
      <c r="BU107" s="24" t="s">
        <v>3621</v>
      </c>
      <c r="BV107" s="23" t="s">
        <v>3597</v>
      </c>
      <c r="BW107" s="24" t="s">
        <v>3620</v>
      </c>
      <c r="BX107" s="37" t="s">
        <v>3622</v>
      </c>
      <c r="BY107" s="23" t="s">
        <v>3616</v>
      </c>
      <c r="BZ107" s="23" t="s">
        <v>3591</v>
      </c>
      <c r="CA107" s="24" t="s">
        <v>3619</v>
      </c>
      <c r="CB107" s="24" t="s">
        <v>3621</v>
      </c>
      <c r="CC107" s="23" t="s">
        <v>3597</v>
      </c>
      <c r="CD107" s="24" t="s">
        <v>3620</v>
      </c>
      <c r="CE107" s="43" t="s">
        <v>3622</v>
      </c>
    </row>
    <row r="108" spans="1:83" x14ac:dyDescent="0.35">
      <c r="E108" s="29"/>
      <c r="F108" s="193" t="e" vm="9">
        <v>#VALUE!</v>
      </c>
      <c r="G108" s="53" t="s">
        <v>3547</v>
      </c>
      <c r="H108" s="54">
        <f>COUNTIFS(AllData[District], $F$108, AllData[River], $G108)</f>
        <v>119</v>
      </c>
      <c r="I108" s="55">
        <f>AVERAGE(P108,U108,Z108,AE108,AJ108,AQ108,AX108)</f>
        <v>4.0631362827358251</v>
      </c>
      <c r="J108" s="56">
        <f>AVERAGE(R108,W108,AB108,AG108,AM108,AT108,BA108)</f>
        <v>0.30933801896044466</v>
      </c>
      <c r="K108" s="57" cm="1">
        <f t="array" ref="K108">SUM(COUNTIFS(AllData[District], $F$108, AllData[River], $G108, AllData[Nitrate Pollution Category], {"High","Very high"}))/COUNTIFS(AllData[District], $F$108, AllData[River], $G108, AllData[Nitrate (PPM)], "&lt;&gt;0")</f>
        <v>0.96638655462184875</v>
      </c>
      <c r="L108" s="57" cm="1">
        <f t="array" ref="L108">SUM(COUNTIFS(AllData[District], $F$108, AllData[River], $G108, AllData[Phosphate Pollution Category], {"High","Very high"}))/COUNTIFS(AllData[District], $F$108, AllData[River], $G108, AllData[Phosphate (PPM)], "&lt;&gt;0")</f>
        <v>0.54700854700854706</v>
      </c>
      <c r="M108" s="58"/>
      <c r="N108" s="58"/>
      <c r="O108" s="54">
        <f>COUNTIFS(AllData[District], $F$108, AllData[River], $G108, AllData[Season], "Summer", AllData[Year], "2023")</f>
        <v>0</v>
      </c>
      <c r="P108" s="55" t="str">
        <f>IFERROR(AVERAGEIFS(AllData[Nitrate (PPM)], AllData[District], $F108, AllData[River],$G108, AllData[Season], O$106, AllData[Year], "2023"), "")</f>
        <v/>
      </c>
      <c r="Q108" s="57" t="str">
        <f>IFERROR((P108-$I108)/$I108, "")</f>
        <v/>
      </c>
      <c r="R108" s="56" t="str">
        <f>IFERROR(AVERAGEIFS(AllData[Phosphate (PPM)], AllData[District], $F108, AllData[River], $G108, AllData[Season], O$106, AllData[Year], "2023"),"")</f>
        <v/>
      </c>
      <c r="S108" s="59" t="str">
        <f>IFERROR((R108-$J108)/$J108, "")</f>
        <v/>
      </c>
      <c r="T108" s="58">
        <f>COUNTIFS(AllData[District], $F$108, AllData[River], $G108, AllData[Season], "Autumn", AllData[Year], "2023")</f>
        <v>0</v>
      </c>
      <c r="U108" s="55" t="str">
        <f>IFERROR(AVERAGEIFS(AllData[Nitrate (PPM)], AllData[District], $F108, AllData[River],$G108, AllData[Season], T$106, AllData[Year], "2023"),"")</f>
        <v/>
      </c>
      <c r="V108" s="57" t="str">
        <f>IFERROR((U108-I108)/I108,"")</f>
        <v/>
      </c>
      <c r="W108" s="56" t="str">
        <f>IFERROR(AVERAGEIFS(AllData[Phosphate (PPM)], AllData[District], $F108, AllData[River], $G108, AllData[Season], T$106, AllData[Year], "2023"),"")</f>
        <v/>
      </c>
      <c r="X108" s="59" t="str">
        <f>IFERROR((W108-J108)/J108,"")</f>
        <v/>
      </c>
      <c r="Y108" s="58">
        <f>COUNTIFS(AllData[District], $F$108, AllData[River], $G108, AllData[Season], "Winter", AllData[Year], "2023")</f>
        <v>0</v>
      </c>
      <c r="Z108" s="55" t="str">
        <f>IFERROR(AVERAGEIFS(AllData[Nitrate (PPM)], AllData[District], $F$108, AllData[River], $G$108, AllData[Season], Y$106, AllData[Year], "2023"), "")</f>
        <v/>
      </c>
      <c r="AA108" s="57" t="str">
        <f>IFERROR((Z108-$I108)/$I108, "")</f>
        <v/>
      </c>
      <c r="AB108" s="56" t="str">
        <f>IFERROR(AVERAGEIFS(AllData[Phosphate (PPM)], AllData[District], $F108, AllData[River], $G108, AllData[Season], Y$106, AllData[Year], "2023"),"")</f>
        <v/>
      </c>
      <c r="AC108" s="57" t="str">
        <f>IFERROR((AB108-$J108)/$J108,"")</f>
        <v/>
      </c>
      <c r="AD108" s="54">
        <f>COUNTIFS(AllData[District], $F$108, AllData[River], $G108, AllData[Season], "Spring", AllData[Year], "2024")</f>
        <v>0</v>
      </c>
      <c r="AE108" s="55" t="str">
        <f>IFERROR(AVERAGEIFS(AllData[Nitrate (PPM)], AllData[District], $F$108, AllData[River], $G$108, AllData[Season], AD$106, AllData[Year], "2024"), "")</f>
        <v/>
      </c>
      <c r="AF108" s="57" t="str">
        <f>IFERROR((AE108-$I108)/$I108,"")</f>
        <v/>
      </c>
      <c r="AG108" s="56" t="str">
        <f>IFERROR(AVERAGEIFS(AllData[Phosphate (PPM)], AllData[District], $F108, AllData[River], $G108, AllData[Season], AD$106, AllData[Year], "2024"),"")</f>
        <v/>
      </c>
      <c r="AH108" s="59" t="str">
        <f>IFERROR((AG108-$J108)/$J108,"")</f>
        <v/>
      </c>
      <c r="AI108" s="58">
        <f>COUNTIFS(AllData[District], $F$108, AllData[River], $G108, AllData[Season], "Summer", AllData[Year], "2024")</f>
        <v>23</v>
      </c>
      <c r="AJ108" s="55">
        <f>IFERROR(AVERAGEIFS(AllData[Nitrate (PPM)], AllData[District], $F$108, AllData[River], $G$108, AllData[Season], AI$106, AllData[Year], "2024"), "")</f>
        <v>4.2173913043478262</v>
      </c>
      <c r="AK108" s="57">
        <f>IFERROR((AJ108-$I108)/$I108, "")</f>
        <v>3.7964520724403768E-2</v>
      </c>
      <c r="AL108" s="57" t="str">
        <f>IFERROR((AJ108-P108)/P108,"")</f>
        <v/>
      </c>
      <c r="AM108" s="56">
        <f>IFERROR(AVERAGEIFS(AllData[Phosphate (PPM)], AllData[District], $F$108, AllData[River], $G$108, AllData[Season], AI$106, AllData[Year], "2024"), "")</f>
        <v>0.38782608695652171</v>
      </c>
      <c r="AN108" s="57">
        <f>IFERROR((AM108-J108)/J108, "")</f>
        <v>0.25372913507315564</v>
      </c>
      <c r="AO108" s="59" t="str">
        <f>IFERROR((AM108-R108)/R108,"")</f>
        <v/>
      </c>
      <c r="AP108" s="58">
        <f>COUNTIFS(AllData[District], $F$108, AllData[River], $G108, AllData[Season], "Autumn", AllData[Year], "2024")</f>
        <v>38</v>
      </c>
      <c r="AQ108" s="55">
        <f>IFERROR(AVERAGEIFS(AllData[Nitrate (PPM)], AllData[District], $F$108, AllData[River], $G$108, AllData[Season], AP$106, AllData[Year], "2024"), "")</f>
        <v>3.763684210526316</v>
      </c>
      <c r="AR108" s="57">
        <f>IFERROR((AQ108-I108)/I108, "")</f>
        <v>-7.3699736206701755E-2</v>
      </c>
      <c r="AS108" s="57" t="str">
        <f>IFERROR((AQ108-U108)/U108,"")</f>
        <v/>
      </c>
      <c r="AT108" s="56">
        <f>IFERROR(AVERAGEIFS(AllData[Phosphate (PPM)], AllData[District], $F$108, AllData[River], $G$108, AllData[Season], AP$106, AllData[Year], "2024"), "")</f>
        <v>0.36447368421052651</v>
      </c>
      <c r="AU108" s="57">
        <f>IFERROR((AT108-J108)/J108, "")</f>
        <v>0.17823759729039998</v>
      </c>
      <c r="AV108" s="59" t="str">
        <f>IFERROR((AT108-W108)/W108,"")</f>
        <v/>
      </c>
      <c r="AW108" s="58">
        <f>COUNTIFS(AllData[District], $F$108, AllData[River], $G108, AllData[Season], "Winter", AllData[Year], "2024")</f>
        <v>36</v>
      </c>
      <c r="AX108" s="55">
        <f>IFERROR(AVERAGEIFS(AllData[Nitrate (PPM)], AllData[District], $F$108, AllData[River], $G$108, AllData[Season], AW$106, AllData[Year], "2024"), "")</f>
        <v>4.208333333333333</v>
      </c>
      <c r="AY108" s="57">
        <f>IFERROR((AX108-$I108)/$I108, "")</f>
        <v>3.5735215482297994E-2</v>
      </c>
      <c r="AZ108" s="57" t="str">
        <f>IFERROR((AX108-Z108)/Z108,"")</f>
        <v/>
      </c>
      <c r="BA108" s="56">
        <f>IFERROR(AVERAGEIFS(AllData[Phosphate (PPM)], AllData[District], $F$108, AllData[River], $G$108, AllData[Season], AW$106, AllData[Year], "2024"), "")</f>
        <v>0.17571428571428571</v>
      </c>
      <c r="BB108" s="57">
        <f>IFERROR((BA108-$J108)/$J108, "")</f>
        <v>-0.43196673236355582</v>
      </c>
      <c r="BC108" s="60" t="str">
        <f>IFERROR((BA108-AB108)/AB108,"")</f>
        <v/>
      </c>
      <c r="BD108" s="54">
        <f>COUNTIFS(AllData[District], $F$108, AllData[River], $G108, AllData[Season], "Spring", AllData[Year], "2025")</f>
        <v>22</v>
      </c>
      <c r="BE108" s="55">
        <f>IFERROR(AVERAGEIFS(AllData[Nitrate (PPM)], AllData[District], $F$108, AllData[River], $G$108, AllData[Season], BD$106, AllData[Year], "2025"), "")</f>
        <v>3.3636363636363638</v>
      </c>
      <c r="BF108" s="57">
        <f>IFERROR((BE108-$I108)/$I108,"")</f>
        <v>-0.17215763154970232</v>
      </c>
      <c r="BG108" s="57" t="str">
        <f>IFERROR((BE108-AE108)/AE108,"")</f>
        <v/>
      </c>
      <c r="BH108" s="56">
        <f>IFERROR(AVERAGEIFS(AllData[Phosphate (PPM)], AllData[District], $F108, AllData[River], $G108, AllData[Season], BD$106, AllData[Year], "2025"),"")</f>
        <v>7.6363636363636397E-2</v>
      </c>
      <c r="BI108" s="57">
        <f>IFERROR((BH108-$J108)/$J108,"")</f>
        <v>-0.75313853557263166</v>
      </c>
      <c r="BJ108" s="57" t="str">
        <f>IFERROR((BH108-AG108)/AG108,"")</f>
        <v/>
      </c>
      <c r="BK108" s="194"/>
      <c r="BL108" s="195"/>
      <c r="BM108" s="196"/>
      <c r="BN108" s="196"/>
      <c r="BO108" s="197"/>
      <c r="BP108" s="196"/>
      <c r="BQ108" s="198"/>
      <c r="BR108" s="58"/>
      <c r="BS108" s="55"/>
      <c r="BT108" s="57"/>
      <c r="BU108" s="57"/>
      <c r="BV108" s="56"/>
      <c r="BW108" s="57"/>
      <c r="BX108" s="59"/>
      <c r="BY108" s="58"/>
      <c r="BZ108" s="55"/>
      <c r="CA108" s="57"/>
      <c r="CB108" s="57"/>
      <c r="CC108" s="56"/>
      <c r="CD108" s="57"/>
      <c r="CE108" s="60"/>
    </row>
    <row r="109" spans="1:83" x14ac:dyDescent="0.35">
      <c r="E109" s="29"/>
      <c r="F109" s="193"/>
      <c r="G109" s="53" t="s">
        <v>3551</v>
      </c>
      <c r="H109" s="54">
        <f>COUNTIFS(AllData[District], $F$108, AllData[River], $G109)</f>
        <v>1</v>
      </c>
      <c r="I109" s="55">
        <f t="shared" ref="I109:I131" si="84">AVERAGE(P109,U109,Z109,AE109,AJ109,AQ109,AX109)</f>
        <v>3</v>
      </c>
      <c r="J109" s="56">
        <f t="shared" ref="J109:J131" si="85">AVERAGE(R109,W109,AB109,AG109,AM109,AT109,BA109)</f>
        <v>0.38</v>
      </c>
      <c r="K109" s="57" cm="1">
        <f t="array" ref="K109">SUM(COUNTIFS(AllData[District], $F$108, AllData[River], $G109, AllData[Nitrate Pollution Category], {"High","Very high"}))/COUNTIFS(AllData[District], $F$108, AllData[River], $G109, AllData[Nitrate (PPM)], "&lt;&gt;0")</f>
        <v>1</v>
      </c>
      <c r="L109" s="57" cm="1">
        <f t="array" ref="L109">SUM(COUNTIFS(AllData[District], $F$108, AllData[River], $G109, AllData[Phosphate Pollution Category], {"High","Very high"}))/COUNTIFS(AllData[District], $F$108, AllData[River], $G109, AllData[Phosphate (PPM)], "&lt;&gt;0")</f>
        <v>1</v>
      </c>
      <c r="M109" s="58"/>
      <c r="N109" s="58"/>
      <c r="O109" s="54">
        <f>COUNTIFS(AllData[District],$F$108,AllData[River],$G109,AllData[Season],O$106, AllData[Year], "2023")</f>
        <v>0</v>
      </c>
      <c r="P109" s="55" t="str">
        <f>IFERROR(AVERAGEIFS(AllData[Nitrate (PPM)], AllData[District], $F$108, AllData[River],$G109, AllData[Season], O$106, AllData[Year], "2023"), "")</f>
        <v/>
      </c>
      <c r="Q109" s="57" t="str">
        <f t="shared" ref="Q109" si="86">IFERROR((P109-$I109)/$I109, "")</f>
        <v/>
      </c>
      <c r="R109" s="56" t="str">
        <f>IFERROR(AVERAGEIFS(AllData[Phosphate (PPM)], AllData[District], $F$108, AllData[River], $G109, AllData[Season], O$106, AllData[Year], "2023"),"")</f>
        <v/>
      </c>
      <c r="S109" s="59" t="str">
        <f t="shared" ref="S109" si="87">IFERROR((R109-$J109)/$J109, "")</f>
        <v/>
      </c>
      <c r="T109" s="58">
        <f>COUNTIFS(AllData[District],$F$108,AllData[River],$G109,AllData[Season],T$106, AllData[Year], "2023")</f>
        <v>0</v>
      </c>
      <c r="U109" s="55" t="str">
        <f>IFERROR(AVERAGEIFS(AllData[Nitrate (PPM)], AllData[District], $F$108, AllData[River],$G109, AllData[Season], T$106, AllData[Year], "2023"), "")</f>
        <v/>
      </c>
      <c r="V109" s="57" t="str">
        <f t="shared" ref="V109" si="88">IFERROR((U109-I109)/I109,"")</f>
        <v/>
      </c>
      <c r="W109" s="56" t="str">
        <f>IFERROR(AVERAGEIFS(AllData[Phosphate (PPM)], AllData[District], $F$108, AllData[River], $G109, AllData[Season], T$106, AllData[Year], "2023"),"")</f>
        <v/>
      </c>
      <c r="X109" s="59" t="str">
        <f t="shared" ref="X109" si="89">IFERROR((W109-J109)/J109,"")</f>
        <v/>
      </c>
      <c r="Y109" s="58">
        <f>COUNTIFS(AllData[District],$F$108,AllData[River],$G109,AllData[Season],Y$106, AllData[Year], "2023")</f>
        <v>0</v>
      </c>
      <c r="Z109" s="55" t="str">
        <f>IFERROR(AVERAGEIFS(AllData[Nitrate (PPM)], AllData[District], $F$108, AllData[River],$G109, AllData[Season], Y$106, AllData[Year], "2023"), "")</f>
        <v/>
      </c>
      <c r="AA109" s="57" t="str">
        <f t="shared" ref="AA109" si="90">IFERROR((Z109-$I109)/$I109, "")</f>
        <v/>
      </c>
      <c r="AB109" s="56" t="str">
        <f>IFERROR(AVERAGEIFS(AllData[Phosphate (PPM)], AllData[District], $F$108, AllData[River], $G109, AllData[Season], Y$106, AllData[Year], "2023"),"")</f>
        <v/>
      </c>
      <c r="AC109" s="57" t="str">
        <f t="shared" ref="AC109" si="91">IFERROR((AB109-$J109)/$J109,"")</f>
        <v/>
      </c>
      <c r="AD109" s="54">
        <f>COUNTIFS(AllData[District],$F$108,AllData[River],$G109,AllData[Season],AD$106, AllData[Year], "2024")</f>
        <v>0</v>
      </c>
      <c r="AE109" s="55" t="str">
        <f>IFERROR(AVERAGEIFS(AllData[Nitrate (PPM)], AllData[District], $F$108, AllData[River],$G109, AllData[Season], AD$106, AllData[Year], "2024"), "")</f>
        <v/>
      </c>
      <c r="AF109" s="57" t="str">
        <f t="shared" ref="AF109" si="92">IFERROR((AE109-$I109)/$I109,"")</f>
        <v/>
      </c>
      <c r="AG109" s="56" t="str">
        <f>IFERROR(AVERAGEIFS(AllData[Phosphate (PPM)], AllData[District], $F$108, AllData[River], $G109, AllData[Season], AD$106, AllData[Year], "2024"),"")</f>
        <v/>
      </c>
      <c r="AH109" s="59" t="str">
        <f t="shared" ref="AH109" si="93">IFERROR((AG109-$J109)/$J109,"")</f>
        <v/>
      </c>
      <c r="AI109" s="58">
        <f>COUNTIFS(AllData[District],$F$108,AllData[River],$G109,AllData[Season],AI$106, AllData[Year], "2024")</f>
        <v>0</v>
      </c>
      <c r="AJ109" s="55" t="str">
        <f>IFERROR(AVERAGEIFS(AllData[Nitrate (PPM)], AllData[District], $F$108, AllData[River],$G109, AllData[Season], AI$106, AllData[Year], "2024"), "")</f>
        <v/>
      </c>
      <c r="AK109" s="57" t="str">
        <f t="shared" ref="AK109" si="94">IFERROR((AJ109-I109)/I109, "")</f>
        <v/>
      </c>
      <c r="AL109" s="57" t="str">
        <f t="shared" ref="AL109" si="95">IFERROR((AJ109-P109)/P109,"")</f>
        <v/>
      </c>
      <c r="AM109" s="56" t="str">
        <f>IFERROR(AVERAGEIFS(AllData[Phosphate (PPM)], AllData[District], $F$108, AllData[River], $G109, AllData[Season], AI$106, AllData[Year], "2024"),"")</f>
        <v/>
      </c>
      <c r="AN109" s="57" t="str">
        <f t="shared" ref="AN109" si="96">IFERROR((AM109-J109)/J109, "")</f>
        <v/>
      </c>
      <c r="AO109" s="59" t="str">
        <f t="shared" ref="AO109" si="97">IFERROR((AM109-R109)/R109,"")</f>
        <v/>
      </c>
      <c r="AP109" s="58">
        <f>COUNTIFS(AllData[District],$F$108,AllData[River],$G109,AllData[Season],AP$106, AllData[Year], "2024")</f>
        <v>1</v>
      </c>
      <c r="AQ109" s="55">
        <f>IFERROR(AVERAGEIFS(AllData[Nitrate (PPM)], AllData[District], $F$108, AllData[River],$G109, AllData[Season], AP$106, AllData[Year], "2024"), "")</f>
        <v>3</v>
      </c>
      <c r="AR109" s="57">
        <f t="shared" ref="AR109:AR131" si="98">IFERROR((AQ109-I109)/I109, "")</f>
        <v>0</v>
      </c>
      <c r="AS109" s="57" t="str">
        <f t="shared" ref="AS109" si="99">IFERROR((AQ109-U109)/U109,"")</f>
        <v/>
      </c>
      <c r="AT109" s="56">
        <f>IFERROR(AVERAGEIFS(AllData[Phosphate (PPM)], AllData[District], $F$108, AllData[River], $G109, AllData[Season], AP$106, AllData[Year], "2024"),"")</f>
        <v>0.38</v>
      </c>
      <c r="AU109" s="57">
        <f t="shared" ref="AU109" si="100">IFERROR((AT109-J109)/J109, "")</f>
        <v>0</v>
      </c>
      <c r="AV109" s="59" t="str">
        <f t="shared" ref="AV109" si="101">IFERROR((AT109-W109)/W109,"")</f>
        <v/>
      </c>
      <c r="AW109" s="58">
        <f>COUNTIFS(AllData[District],$F$108,AllData[River],$G109,AllData[Season],AW$106, AllData[Year], "2024")</f>
        <v>0</v>
      </c>
      <c r="AX109" s="55" t="str">
        <f>IFERROR(AVERAGEIFS(AllData[Nitrate (PPM)], AllData[District], $F$108, AllData[River],$G109, AllData[Season], AW$106, AllData[Year], "2024"), "")</f>
        <v/>
      </c>
      <c r="AY109" s="57" t="str">
        <f>IFERROR((AX109-$I109)/$I109, "")</f>
        <v/>
      </c>
      <c r="AZ109" s="57" t="str">
        <f t="shared" ref="AZ109:AZ131" si="102">IFERROR((AX109-Z109)/Z109,"")</f>
        <v/>
      </c>
      <c r="BA109" s="56" t="str">
        <f>IFERROR(AVERAGEIFS(AllData[Phosphate (PPM)], AllData[District], $F$108, AllData[River], $G109, AllData[Season], AW$106, AllData[Year], "2024"),"")</f>
        <v/>
      </c>
      <c r="BB109" s="57" t="str">
        <f>IFERROR((BA109-$J109)/$J109, "")</f>
        <v/>
      </c>
      <c r="BC109" s="60" t="str">
        <f t="shared" ref="BC109:BC131" si="103">IFERROR((BA109-AB109)/AB109,"")</f>
        <v/>
      </c>
      <c r="BD109" s="54">
        <f>COUNTIFS(AllData[District],$F$108,AllData[River],$G109,AllData[Season],BD$106, AllData[Year], "2025")</f>
        <v>0</v>
      </c>
      <c r="BE109" s="55">
        <f>IFERROR(AVERAGEIFS(AllData[Nitrate (PPM)], AllData[District], $F$108, AllData[River], $G$108, AllData[Season], BD$106, AllData[Year], "2025"), "")</f>
        <v>3.3636363636363638</v>
      </c>
      <c r="BF109" s="57">
        <f t="shared" ref="BF109:BF131" si="104">IFERROR((BE109-$I109)/$I109,"")</f>
        <v>0.12121212121212126</v>
      </c>
      <c r="BG109" s="57" t="str">
        <f t="shared" ref="BG109:BG133" si="105">IFERROR((BE109-AE109)/AE109,"")</f>
        <v/>
      </c>
      <c r="BH109" s="56" t="str">
        <f>IFERROR(AVERAGEIFS(AllData[Phosphate (PPM)], AllData[District], $F109, AllData[River], $G109, AllData[Season], BD$106, AllData[Year], "2025"),"")</f>
        <v/>
      </c>
      <c r="BI109" s="57" t="str">
        <f t="shared" ref="BI109:BI131" si="106">IFERROR((BH109-$J109)/$J109,"")</f>
        <v/>
      </c>
      <c r="BJ109" s="57" t="str">
        <f t="shared" ref="BJ109:BJ133" si="107">IFERROR((BH109-AG109)/AG109,"")</f>
        <v/>
      </c>
      <c r="BK109" s="199"/>
      <c r="BL109" s="55"/>
      <c r="BM109" s="57"/>
      <c r="BN109" s="57"/>
      <c r="BO109" s="56"/>
      <c r="BP109" s="57"/>
      <c r="BQ109" s="59"/>
      <c r="BR109" s="58"/>
      <c r="BS109" s="55"/>
      <c r="BT109" s="57"/>
      <c r="BU109" s="57"/>
      <c r="BV109" s="56"/>
      <c r="BW109" s="57"/>
      <c r="BX109" s="59"/>
      <c r="BY109" s="58"/>
      <c r="BZ109" s="55"/>
      <c r="CA109" s="57"/>
      <c r="CB109" s="57"/>
      <c r="CC109" s="56"/>
      <c r="CD109" s="57"/>
      <c r="CE109" s="60"/>
    </row>
    <row r="110" spans="1:83" s="71" customFormat="1" x14ac:dyDescent="0.35">
      <c r="E110" s="74"/>
      <c r="F110" s="82"/>
      <c r="G110" s="75" t="s">
        <v>3623</v>
      </c>
      <c r="H110" s="76">
        <f>COUNTIF(AllData[District], $F$108)</f>
        <v>120</v>
      </c>
      <c r="I110" s="77">
        <f t="shared" si="84"/>
        <v>4.0566090672612409</v>
      </c>
      <c r="J110" s="78">
        <f t="shared" si="85"/>
        <v>0.30947072251420082</v>
      </c>
      <c r="K110" s="79" cm="1">
        <f t="array" ref="K110">SUM(COUNTIFS(AllData[District], F108, AllData[Nitrate Pollution Category], {"High","Very high"}))/COUNTIFS(AllData[District], F108, AllData[Nitrate (PPM)], "&lt;&gt;0")</f>
        <v>0.96666666666666667</v>
      </c>
      <c r="L110" s="79" cm="1">
        <f t="array" ref="L110">SUM(COUNTIFS(AllData[District], F108, AllData[Phosphate Pollution Category], {"High","Very high"}))/COUNTIFS(AllData[District], F108, AllData[Phosphate (PPM)], "&lt;&gt;0")</f>
        <v>0.55084745762711862</v>
      </c>
      <c r="M110" s="80">
        <v>4</v>
      </c>
      <c r="N110" s="80">
        <v>4</v>
      </c>
      <c r="O110" s="76">
        <f>COUNTIFS(AllData[District], $F$108, AllData[Season], "Summer", AllData[Year], "2023")</f>
        <v>0</v>
      </c>
      <c r="P110" s="77" t="str">
        <f>IFERROR(AVERAGEIFS(AllData[Nitrate (PPM)], AllData[District], $F108, AllData[Season], O$106, AllData[Year], "2023"), "")</f>
        <v/>
      </c>
      <c r="Q110" s="79" t="str">
        <f t="shared" ref="Q110:Q131" si="108">IFERROR((P110-$I110)/$I110, "")</f>
        <v/>
      </c>
      <c r="R110" s="78" t="str">
        <f>IFERROR(AVERAGEIFS(AllData[Phosphate (PPM)], AllData[District], $F108, AllData[Season], O$106, AllData[Year], "2023"),"")</f>
        <v/>
      </c>
      <c r="S110" s="81" t="str">
        <f t="shared" ref="S110:S131" si="109">IFERROR((R110-$J110)/$J110, "")</f>
        <v/>
      </c>
      <c r="T110" s="80">
        <f>COUNTIFS(AllData[District], $F$108, AllData[Season], "Autumn", AllData[Year], "2023")</f>
        <v>0</v>
      </c>
      <c r="U110" s="77" t="str">
        <f>IFERROR(AVERAGEIFS(AllData[Nitrate (PPM)], AllData[District], $F108, AllData[Season], T$106, AllData[Year], "2023"),"")</f>
        <v/>
      </c>
      <c r="V110" s="79" t="str">
        <f>IFERROR((U110-I110)/I110,"")</f>
        <v/>
      </c>
      <c r="W110" s="78" t="str">
        <f>IFERROR(AVERAGEIFS(AllData[Phosphate (PPM)], AllData[District], $F108, AllData[Season], T72, AllData[Year], "2023"),"")</f>
        <v/>
      </c>
      <c r="X110" s="81" t="str">
        <f>IFERROR((W110-J110)/J110,"")</f>
        <v/>
      </c>
      <c r="Y110" s="80">
        <f>COUNTIFS(AllData[District], $F$108, AllData[Season], "Winter", AllData[Year], "2023")</f>
        <v>0</v>
      </c>
      <c r="Z110" s="77" t="str">
        <f>IFERROR(AVERAGEIFS(AllData[Nitrate (PPM)], AllData[District], $F$108, AllData[Season], Y$106, AllData[Year], "2023"), "")</f>
        <v/>
      </c>
      <c r="AA110" s="79" t="str">
        <f t="shared" ref="AA110:AA131" si="110">IFERROR((Z110-$I110)/$I110, "")</f>
        <v/>
      </c>
      <c r="AB110" s="78" t="str">
        <f>IFERROR(AVERAGEIFS(AllData[Phosphate (PPM)], AllData[District], $F108, AllData[Season], Y106, AllData[Year], "2023"),"")</f>
        <v/>
      </c>
      <c r="AC110" s="79" t="str">
        <f t="shared" ref="AC110:AC131" si="111">IFERROR((AB110-$J110)/$J110,"")</f>
        <v/>
      </c>
      <c r="AD110" s="76">
        <f>COUNTIFS(AllData[District], $F$108, AllData[Season], "Spring", AllData[Year], "2024")</f>
        <v>0</v>
      </c>
      <c r="AE110" s="77" t="str">
        <f>IFERROR(AVERAGEIFS(AllData[Nitrate (PPM)], AllData[District], $F$108, AllData[Season], "Spring", AllData[Year], "2024"), "")</f>
        <v/>
      </c>
      <c r="AF110" s="79" t="str">
        <f t="shared" ref="AF110:AF131" si="112">IFERROR((AE110-$I110)/$I110,"")</f>
        <v/>
      </c>
      <c r="AG110" s="78" t="str">
        <f>IFERROR(AVERAGEIFS(AllData[Phosphate (PPM)], AllData[District], $F108, AllData[Season], "Spring", AllData[Year], "2024"),"")</f>
        <v/>
      </c>
      <c r="AH110" s="81" t="str">
        <f t="shared" ref="AH110:AH131" si="113">IFERROR((AG110-$J110)/$J110,"")</f>
        <v/>
      </c>
      <c r="AI110" s="80">
        <f>COUNTIFS(AllData[District], $F$108, AllData[Season], "Summer", AllData[Year], "2024")</f>
        <v>23</v>
      </c>
      <c r="AJ110" s="77">
        <f>AVERAGEIFS(AllData[Nitrate (PPM)], AllData[District], $F108, AllData[Season], AI$106, AllData[Year], "2024")</f>
        <v>4.2173913043478262</v>
      </c>
      <c r="AK110" s="79">
        <f t="shared" ref="AK110:AK111" si="114">IFERROR((AJ110-I110)/I110, "")</f>
        <v>3.9634639281407258E-2</v>
      </c>
      <c r="AL110" s="79" t="str">
        <f t="shared" ref="AL110:AL125" si="115">IFERROR((AJ110-P110)/P110,"")</f>
        <v/>
      </c>
      <c r="AM110" s="78">
        <f>IFERROR(AVERAGEIFS(AllData[Phosphate (PPM)], AllData[District], $F108, AllData[Season], AI$106, AllData[Year], "2024"),"")</f>
        <v>0.38782608695652171</v>
      </c>
      <c r="AN110" s="79">
        <f t="shared" ref="AN110:AN111" si="116">IFERROR((AM110-J110)/J110, "")</f>
        <v>0.25319152585985044</v>
      </c>
      <c r="AO110" s="81" t="str">
        <f t="shared" ref="AO110:AO125" si="117">IFERROR((AM110-R110)/R110,"")</f>
        <v/>
      </c>
      <c r="AP110" s="80">
        <f>COUNTIFS(AllData[District], $F$108, AllData[Season], "Autumn", AllData[Year], "2024")</f>
        <v>39</v>
      </c>
      <c r="AQ110" s="77">
        <f>AVERAGEIFS(AllData[Nitrate (PPM)], AllData[District], $F108, AllData[Season], AP$106, AllData[Year], "2024")</f>
        <v>3.7441025641025645</v>
      </c>
      <c r="AR110" s="79">
        <f t="shared" si="98"/>
        <v>-7.7036386296316331E-2</v>
      </c>
      <c r="AS110" s="79" t="str">
        <f t="shared" ref="AS110:AS133" si="118">IFERROR((AQ110-U110)/U110,"")</f>
        <v/>
      </c>
      <c r="AT110" s="78">
        <f>IFERROR(AVERAGEIFS(AllData[Phosphate (PPM)], AllData[District], $F108, AllData[Season], AP$106, AllData[Year], "2024"),"")</f>
        <v>0.36487179487179505</v>
      </c>
      <c r="AU110" s="79">
        <f t="shared" ref="AU110:AU133" si="119">IFERROR((AT110-J110)/J110, "")</f>
        <v>0.17901878377219355</v>
      </c>
      <c r="AV110" s="81" t="str">
        <f t="shared" ref="AV110:AV133" si="120">IFERROR((AT110-W110)/W110,"")</f>
        <v/>
      </c>
      <c r="AW110" s="80">
        <f>COUNTIFS(AllData[District], $F$108, AllData[Season], "Winter", AllData[Year], "2024")</f>
        <v>36</v>
      </c>
      <c r="AX110" s="77">
        <f>AVERAGEIFS(AllData[Nitrate (PPM)], AllData[District], $F108, AllData[Season], AW$106, AllData[Year], "2024")</f>
        <v>4.208333333333333</v>
      </c>
      <c r="AY110" s="79">
        <f>IFERROR((AX110-$I110)/$I110, "")</f>
        <v>3.7401747014909295E-2</v>
      </c>
      <c r="AZ110" s="79" t="str">
        <f t="shared" si="102"/>
        <v/>
      </c>
      <c r="BA110" s="78">
        <f>IFERROR(AVERAGEIFS(AllData[Phosphate (PPM)], AllData[District], $F108, AllData[Season], AW$106, AllData[Year], "2024"),"")</f>
        <v>0.17571428571428571</v>
      </c>
      <c r="BB110" s="79">
        <f>IFERROR((BA110-$J110)/$J110, "")</f>
        <v>-0.43221030963204399</v>
      </c>
      <c r="BC110" s="92" t="str">
        <f t="shared" si="103"/>
        <v/>
      </c>
      <c r="BD110" s="76">
        <f>COUNTIFS(AllData[District], $F$108, AllData[Season], "Spring", AllData[Year], "2025")</f>
        <v>22</v>
      </c>
      <c r="BE110" s="77">
        <f>IFERROR(AVERAGEIFS(AllData[Nitrate (PPM)], AllData[District], $F$108, AllData[Season], "Spring", AllData[Year], "2025"), "")</f>
        <v>3.3636363636363638</v>
      </c>
      <c r="BF110" s="79">
        <f t="shared" si="104"/>
        <v>-0.17082560634631902</v>
      </c>
      <c r="BG110" s="79" t="str">
        <f t="shared" si="105"/>
        <v/>
      </c>
      <c r="BH110" s="78">
        <f>IFERROR(AVERAGEIFS(AllData[Phosphate (PPM)], AllData[District], $F108, AllData[Season], "Spring", AllData[Year], "2025"),"")</f>
        <v>7.6363636363636397E-2</v>
      </c>
      <c r="BI110" s="79">
        <f t="shared" si="106"/>
        <v>-0.75324439176913649</v>
      </c>
      <c r="BJ110" s="79" t="str">
        <f t="shared" si="107"/>
        <v/>
      </c>
      <c r="BK110" s="200"/>
      <c r="BL110" s="77"/>
      <c r="BM110" s="79"/>
      <c r="BN110" s="79"/>
      <c r="BO110" s="78"/>
      <c r="BP110" s="79"/>
      <c r="BQ110" s="81"/>
      <c r="BR110" s="80"/>
      <c r="BS110" s="77"/>
      <c r="BT110" s="79"/>
      <c r="BU110" s="79"/>
      <c r="BV110" s="78"/>
      <c r="BW110" s="79"/>
      <c r="BX110" s="81"/>
      <c r="BY110" s="80"/>
      <c r="BZ110" s="77"/>
      <c r="CA110" s="79"/>
      <c r="CB110" s="79"/>
      <c r="CC110" s="78"/>
      <c r="CD110" s="79"/>
      <c r="CE110" s="92"/>
    </row>
    <row r="111" spans="1:83" x14ac:dyDescent="0.35">
      <c r="E111" s="29"/>
      <c r="F111" s="61" t="e" vm="1">
        <v>#VALUE!</v>
      </c>
      <c r="G111" s="62" t="s">
        <v>3552</v>
      </c>
      <c r="H111" s="63">
        <f>COUNTIFS(AllData[District], $F$111, AllData[River], $G111)</f>
        <v>446</v>
      </c>
      <c r="I111" s="55">
        <f t="shared" si="84"/>
        <v>7.3206499830937881</v>
      </c>
      <c r="J111" s="56">
        <f t="shared" si="85"/>
        <v>0.53170997070783854</v>
      </c>
      <c r="K111" s="57" cm="1">
        <f t="array" ref="K111">SUM(COUNTIFS(AllData[District], $F$111, AllData[River], $G111, AllData[Nitrate Pollution Category], {"High","Very high"}))/COUNTIFS(AllData[District], $F$111, AllData[River], $G111, AllData[Nitrate (PPM)], "&lt;&gt;0")</f>
        <v>0.99080459770114937</v>
      </c>
      <c r="L111" s="57" cm="1">
        <f t="array" ref="L111">SUM(COUNTIFS(AllData[District], $F$111, AllData[River], $G111, AllData[Phosphate Pollution Category], {"High","Very high"}))/COUNTIFS(AllData[District], $F$111, AllData[River], $G111, AllData[Phosphate (PPM)], "&lt;&gt;0")</f>
        <v>0.99101123595505614</v>
      </c>
      <c r="M111" s="67"/>
      <c r="N111" s="67"/>
      <c r="O111" s="63">
        <f>COUNTIFS(AllData[District],$F$111,AllData[River],$G111,AllData[Season],O$106, AllData[Year], "2023")</f>
        <v>42</v>
      </c>
      <c r="P111" s="64">
        <f>IFERROR(AVERAGEIFS(AllData[Nitrate (PPM)], AllData[District], $F$111, AllData[River],$G111, AllData[Season], O$106, AllData[Year], "2023"), "")</f>
        <v>6.9761904761904763</v>
      </c>
      <c r="Q111" s="66">
        <f t="shared" si="108"/>
        <v>-4.7053131579682411E-2</v>
      </c>
      <c r="R111" s="56">
        <f>IFERROR(AVERAGEIFS(AllData[Phosphate (PPM)], AllData[District], $F$111, AllData[River], $G111, AllData[Season], O$106, AllData[Year], "2023"),"")</f>
        <v>0.60642857142857132</v>
      </c>
      <c r="S111" s="68">
        <f t="shared" si="109"/>
        <v>0.14052510736494878</v>
      </c>
      <c r="T111" s="67">
        <f>COUNTIFS(AllData[District],$F$111,AllData[River],$G111,AllData[Season],T$106, AllData[Year], "2023")</f>
        <v>84</v>
      </c>
      <c r="U111" s="64">
        <f>IFERROR(AVERAGEIFS(AllData[Nitrate (PPM)], AllData[District], $F$111, AllData[River],$G111, AllData[Season], T$106, AllData[Year], "2023"), "")</f>
        <v>7.387349397590361</v>
      </c>
      <c r="V111" s="66">
        <f>IFERROR((U111-I111)/I111,"")</f>
        <v>9.1111328434780592E-3</v>
      </c>
      <c r="W111" s="56">
        <f>IFERROR(AVERAGEIFS(AllData[Phosphate (PPM)], AllData[District], $F$111, AllData[River], $G111, AllData[Season], T$106, AllData[Year], "2023"),"")</f>
        <v>0.63261904761904775</v>
      </c>
      <c r="X111" s="68">
        <f>IFERROR((W111-J111)/J111,"")</f>
        <v>0.18978217913964274</v>
      </c>
      <c r="Y111" s="67">
        <f>COUNTIFS(AllData[District],$F$111,AllData[River],$G111,AllData[Season],Y$106, AllData[Year], "2023")</f>
        <v>67</v>
      </c>
      <c r="Z111" s="64">
        <f>IFERROR(AVERAGEIFS(AllData[Nitrate (PPM)], AllData[District], $F$111, AllData[River],$G111, AllData[Season], Y$106, AllData[Year], "2023"), "")</f>
        <v>7.7761194029850742</v>
      </c>
      <c r="AA111" s="66">
        <f t="shared" si="110"/>
        <v>6.2217073749344813E-2</v>
      </c>
      <c r="AB111" s="56">
        <f>IFERROR(AVERAGEIFS(AllData[Phosphate (PPM)], AllData[District], $F$111, AllData[River], $G111, AllData[Season], Y$106, AllData[Year], "2023"),"")</f>
        <v>0.5417910447761195</v>
      </c>
      <c r="AC111" s="66">
        <f t="shared" si="111"/>
        <v>1.895972357798846E-2</v>
      </c>
      <c r="AD111" s="63">
        <f>COUNTIFS(AllData[District],$F$111,AllData[River],$G111,AllData[Season],AD$106, AllData[Year], "2024")</f>
        <v>54</v>
      </c>
      <c r="AE111" s="64">
        <f>IFERROR(AVERAGEIFS(AllData[Nitrate (PPM)], AllData[District], $F$111, AllData[River],$G111, AllData[Season], AD$106, AllData[Year], "2024"), "")</f>
        <v>6.5</v>
      </c>
      <c r="AF111" s="66">
        <f t="shared" si="112"/>
        <v>-0.11210069938994301</v>
      </c>
      <c r="AG111" s="56">
        <f>IFERROR(AVERAGEIFS(AllData[Phosphate (PPM)], AllData[District], $F$111, AllData[River], $G111, AllData[Season], AD$106, AllData[Year], "2024"),"")</f>
        <v>0.39962962962962961</v>
      </c>
      <c r="AH111" s="68">
        <f t="shared" si="113"/>
        <v>-0.24840674118331291</v>
      </c>
      <c r="AI111" s="67">
        <f>COUNTIFS(AllData[District],$F$111,AllData[River],$G111,AllData[Season],AI$106, AllData[Year], "2024")</f>
        <v>37</v>
      </c>
      <c r="AJ111" s="64">
        <f>IFERROR(AVERAGEIFS(AllData[Nitrate (PPM)], AllData[District], $F$111, AllData[River],$G111, AllData[Season], AI$106, AllData[Year], "2024"), "")</f>
        <v>8.03108108108108</v>
      </c>
      <c r="AK111" s="66">
        <f t="shared" si="114"/>
        <v>9.7044811543777129E-2</v>
      </c>
      <c r="AL111" s="66">
        <f t="shared" si="115"/>
        <v>0.1512129877317589</v>
      </c>
      <c r="AM111" s="56">
        <f>IFERROR(AVERAGEIFS(AllData[Phosphate (PPM)], AllData[District], $F$111, AllData[River], $G111, AllData[Season], AI$106, AllData[Year], "2024"),"")</f>
        <v>0.50594594594594611</v>
      </c>
      <c r="AN111" s="66">
        <f t="shared" si="116"/>
        <v>-4.8455034099876094E-2</v>
      </c>
      <c r="AO111" s="68">
        <f t="shared" si="117"/>
        <v>-0.16569573106675539</v>
      </c>
      <c r="AP111" s="67">
        <f>COUNTIFS(AllData[District],$F$111,AllData[River],$G111,AllData[Season],AP$106, AllData[Year], "2024")</f>
        <v>63</v>
      </c>
      <c r="AQ111" s="64">
        <f>IFERROR(AVERAGEIFS(AllData[Nitrate (PPM)], AllData[District], $F$111, AllData[River],$G111, AllData[Season], AP$106, AllData[Year], "2024"), "")</f>
        <v>8.1611111111111114</v>
      </c>
      <c r="AR111" s="66">
        <f t="shared" si="98"/>
        <v>0.11480689965484937</v>
      </c>
      <c r="AS111" s="66">
        <f t="shared" si="118"/>
        <v>0.1047414535141846</v>
      </c>
      <c r="AT111" s="56">
        <f>IFERROR(AVERAGEIFS(AllData[Phosphate (PPM)], AllData[District], $F$111, AllData[River], $G111, AllData[Season], AP$106, AllData[Year], "2024"),"")</f>
        <v>0.56619047619047613</v>
      </c>
      <c r="AU111" s="66">
        <f t="shared" si="119"/>
        <v>6.4848333456556106E-2</v>
      </c>
      <c r="AV111" s="68">
        <f t="shared" si="120"/>
        <v>-0.10500564546481021</v>
      </c>
      <c r="AW111" s="67">
        <f>COUNTIFS(AllData[District],$F$111,AllData[River],$G111,AllData[Season],AW$106, AllData[Year], "2024")</f>
        <v>63</v>
      </c>
      <c r="AX111" s="64">
        <f>IFERROR(AVERAGEIFS(AllData[Nitrate (PPM)], AllData[District], $F$111, AllData[River],$G111, AllData[Season], AW$106, AllData[Year], "2024"), "")</f>
        <v>6.412698412698413</v>
      </c>
      <c r="AY111" s="66">
        <f>IFERROR((AX111-$I111)/$I111, "")</f>
        <v>-0.12402608682182407</v>
      </c>
      <c r="AZ111" s="66">
        <f t="shared" si="102"/>
        <v>-0.17533436919233455</v>
      </c>
      <c r="BA111" s="56">
        <f>IFERROR(AVERAGEIFS(AllData[Phosphate (PPM)], AllData[District], $F$111, AllData[River], $G111, AllData[Season], AW$106, AllData[Year], "2024"),"")</f>
        <v>0.46936507936507932</v>
      </c>
      <c r="BB111" s="66">
        <f>IFERROR((BA111-$J111)/$J111, "")</f>
        <v>-0.11725356825594718</v>
      </c>
      <c r="BC111" s="69">
        <f t="shared" si="103"/>
        <v>-0.13367877913332482</v>
      </c>
      <c r="BD111" s="63">
        <f>COUNTIFS(AllData[District],$F$111,AllData[River],$G111,AllData[Season],BD$106, AllData[Year], "2025")</f>
        <v>36</v>
      </c>
      <c r="BE111" s="64">
        <f>IFERROR(AVERAGEIFS(AllData[Nitrate (PPM)], AllData[District], $F$111, AllData[River],$G111, AllData[Season], BD$106, AllData[Year], "2025"), "")</f>
        <v>9.5</v>
      </c>
      <c r="BF111" s="66">
        <f t="shared" si="104"/>
        <v>0.29769897781469867</v>
      </c>
      <c r="BG111" s="66">
        <f t="shared" si="105"/>
        <v>0.46153846153846156</v>
      </c>
      <c r="BH111" s="56">
        <f>IFERROR(AVERAGEIFS(AllData[Phosphate (PPM)], AllData[District], $F$111, AllData[River], $G111, AllData[Season], BD$106, AllData[Year], "2025"),"")</f>
        <v>0.34527777777777779</v>
      </c>
      <c r="BI111" s="66">
        <f t="shared" si="106"/>
        <v>-0.35062760377029045</v>
      </c>
      <c r="BJ111" s="66">
        <f t="shared" si="107"/>
        <v>-0.13600556070435579</v>
      </c>
      <c r="BK111" s="201"/>
      <c r="BL111" s="64"/>
      <c r="BM111" s="66"/>
      <c r="BN111" s="66"/>
      <c r="BO111" s="56"/>
      <c r="BP111" s="66"/>
      <c r="BQ111" s="68"/>
      <c r="BR111" s="67"/>
      <c r="BS111" s="64"/>
      <c r="BT111" s="66"/>
      <c r="BU111" s="66"/>
      <c r="BV111" s="56"/>
      <c r="BW111" s="66"/>
      <c r="BX111" s="68"/>
      <c r="BY111" s="67"/>
      <c r="BZ111" s="64"/>
      <c r="CA111" s="66"/>
      <c r="CB111" s="66"/>
      <c r="CC111" s="56"/>
      <c r="CD111" s="66"/>
      <c r="CE111" s="69"/>
    </row>
    <row r="112" spans="1:83" x14ac:dyDescent="0.35">
      <c r="E112" s="29"/>
      <c r="F112" s="61"/>
      <c r="G112" s="62" t="s">
        <v>3000</v>
      </c>
      <c r="H112" s="63">
        <f>COUNTIFS(AllData[District], $F$111, AllData[River], $G112)</f>
        <v>59</v>
      </c>
      <c r="I112" s="64">
        <f t="shared" si="84"/>
        <v>7.0811355311355317</v>
      </c>
      <c r="J112" s="65">
        <f t="shared" si="85"/>
        <v>0.51882517482517498</v>
      </c>
      <c r="K112" s="66" cm="1">
        <f t="array" ref="K112">SUM(COUNTIFS(AllData[District], $F$111, AllData[River], $G112, AllData[Nitrate Pollution Category], {"High","Very high"}))/COUNTIFS(AllData[District], $F$111, AllData[River], $G112, AllData[Nitrate (PPM)], "&lt;&gt;0")</f>
        <v>1</v>
      </c>
      <c r="L112" s="66" cm="1">
        <f t="array" ref="L112">SUM(COUNTIFS(AllData[District], $F$111, AllData[River], $G112, AllData[Phosphate Pollution Category], {"High","Very high"}))/COUNTIFS(AllData[District], $F$111, AllData[River], $G112, AllData[Phosphate (PPM)], "&lt;&gt;0")</f>
        <v>0.96551724137931039</v>
      </c>
      <c r="M112" s="67"/>
      <c r="N112" s="67"/>
      <c r="O112" s="63">
        <f>COUNTIFS(AllData[District],$F$111,AllData[River],$G112,AllData[Season],O$106, AllData[Year], "2023")</f>
        <v>0</v>
      </c>
      <c r="P112" s="64" t="str">
        <f>IFERROR(AVERAGEIFS(AllData[Nitrate (PPM)], AllData[District], $F$111, AllData[River],$G112, AllData[Season], O$106, AllData[Year], "2023"), "")</f>
        <v/>
      </c>
      <c r="Q112" s="122" t="str">
        <f t="shared" si="108"/>
        <v/>
      </c>
      <c r="R112" s="65" t="str">
        <f>IFERROR(AVERAGEIFS(AllData[Phosphate (PPM)], AllData[District], $F$111, AllData[River], $G112, AllData[Season], O$106, AllData[Year], "2023"),"")</f>
        <v/>
      </c>
      <c r="S112" s="68" t="str">
        <f t="shared" si="109"/>
        <v/>
      </c>
      <c r="T112" s="67">
        <f>COUNTIFS(AllData[District],$F$111,AllData[River],$G112,AllData[Season],T$106, AllData[Year], "2023")</f>
        <v>0</v>
      </c>
      <c r="U112" s="64" t="str">
        <f>IFERROR(AVERAGEIFS(AllData[Nitrate (PPM)], AllData[District], $F$111, AllData[River],$G112, AllData[Season], T$106, AllData[Year], "2023"), "")</f>
        <v/>
      </c>
      <c r="V112" s="66" t="str">
        <f t="shared" ref="V112:V118" si="121">IFERROR((U112-I112)/I112,"")</f>
        <v/>
      </c>
      <c r="W112" s="65" t="str">
        <f>IFERROR(AVERAGEIFS(AllData[Phosphate (PPM)], AllData[District], $F$111, AllData[River], $G112, AllData[Season], T$106, AllData[Year], "2023"),"")</f>
        <v/>
      </c>
      <c r="X112" s="68" t="str">
        <f t="shared" ref="X112:X118" si="122">IFERROR((W112-J112)/J112,"")</f>
        <v/>
      </c>
      <c r="Y112" s="67">
        <f>COUNTIFS(AllData[District],$F$111,AllData[River],$G112,AllData[Season],Y$106, AllData[Year], "2023")</f>
        <v>7</v>
      </c>
      <c r="Z112" s="64">
        <f>IFERROR(AVERAGEIFS(AllData[Nitrate (PPM)], AllData[District], $F$111, AllData[River],$G112, AllData[Season], Y$106, AllData[Year], "2023"), "")</f>
        <v>6.1428571428571432</v>
      </c>
      <c r="AA112" s="66">
        <f t="shared" si="110"/>
        <v>-0.13250394433954946</v>
      </c>
      <c r="AB112" s="65">
        <f>IFERROR(AVERAGEIFS(AllData[Phosphate (PPM)], AllData[District], $F$111, AllData[River], $G112, AllData[Season], Y$106, AllData[Year], "2023"),"")</f>
        <v>0.61285714285714299</v>
      </c>
      <c r="AC112" s="66">
        <f t="shared" si="111"/>
        <v>0.18124017991928268</v>
      </c>
      <c r="AD112" s="63">
        <f>COUNTIFS(AllData[District],$F$111,AllData[River],$G112,AllData[Season],AD$106, AllData[Year], "2024")</f>
        <v>13</v>
      </c>
      <c r="AE112" s="64">
        <f>IFERROR(AVERAGEIFS(AllData[Nitrate (PPM)], AllData[District], $F$111, AllData[River],$G112, AllData[Season], AD$106, AllData[Year], "2024"), "")</f>
        <v>4.6923076923076925</v>
      </c>
      <c r="AF112" s="66">
        <f t="shared" si="112"/>
        <v>-0.33735095569407447</v>
      </c>
      <c r="AG112" s="65">
        <f>IFERROR(AVERAGEIFS(AllData[Phosphate (PPM)], AllData[District], $F$111, AllData[River], $G112, AllData[Season], AD$106, AllData[Year], "2024"),"")</f>
        <v>0.45692307692307693</v>
      </c>
      <c r="AH112" s="68">
        <f t="shared" si="113"/>
        <v>-0.11931205520810895</v>
      </c>
      <c r="AI112" s="67">
        <f>COUNTIFS(AllData[District],$F$111,AllData[River],$G112,AllData[Season],AI$106, AllData[Year], "2024")</f>
        <v>13</v>
      </c>
      <c r="AJ112" s="64">
        <f>IFERROR(AVERAGEIFS(AllData[Nitrate (PPM)], AllData[District], $F$111, AllData[River],$G112, AllData[Season], AI$106, AllData[Year], "2024"), "")</f>
        <v>9.1538461538461533</v>
      </c>
      <c r="AK112" s="66">
        <f t="shared" ref="AK112:AK118" si="123">IFERROR((AJ112-I112)/I112, "")</f>
        <v>0.29270879135090377</v>
      </c>
      <c r="AL112" s="66" t="str">
        <f t="shared" ref="AL112:AL118" si="124">IFERROR((AJ112-P112)/P112,"")</f>
        <v/>
      </c>
      <c r="AM112" s="65">
        <f>IFERROR(AVERAGEIFS(AllData[Phosphate (PPM)], AllData[District], $F$111, AllData[River], $G112, AllData[Season], AI$106, AllData[Year], "2024"),"")</f>
        <v>0.62538461538461554</v>
      </c>
      <c r="AN112" s="66">
        <f t="shared" ref="AN112:AN118" si="125">IFERROR((AM112-J112)/J112, "")</f>
        <v>0.20538602544748752</v>
      </c>
      <c r="AO112" s="68" t="str">
        <f t="shared" ref="AO112:AO118" si="126">IFERROR((AM112-R112)/R112,"")</f>
        <v/>
      </c>
      <c r="AP112" s="67">
        <f>COUNTIFS(AllData[District],$F$111,AllData[River],$G112,AllData[Season],AP$106, AllData[Year], "2024")</f>
        <v>12</v>
      </c>
      <c r="AQ112" s="64">
        <f>IFERROR(AVERAGEIFS(AllData[Nitrate (PPM)], AllData[District], $F$111, AllData[River],$G112, AllData[Season], AP$106, AllData[Year], "2024"), "")</f>
        <v>10.166666666666666</v>
      </c>
      <c r="AR112" s="66">
        <f t="shared" si="98"/>
        <v>0.43573959599617185</v>
      </c>
      <c r="AS112" s="66" t="str">
        <f t="shared" si="118"/>
        <v/>
      </c>
      <c r="AT112" s="65">
        <f>IFERROR(AVERAGEIFS(AllData[Phosphate (PPM)], AllData[District], $F$111, AllData[River], $G112, AllData[Season], AP$106, AllData[Year], "2024"),"")</f>
        <v>0.52181818181818185</v>
      </c>
      <c r="AU112" s="66">
        <f t="shared" si="119"/>
        <v>5.7688160448563369E-3</v>
      </c>
      <c r="AV112" s="68" t="str">
        <f t="shared" si="120"/>
        <v/>
      </c>
      <c r="AW112" s="67">
        <f>COUNTIFS(AllData[District],$F$111,AllData[River],$G112,AllData[Season],AW$106, AllData[Year], "2024")</f>
        <v>8</v>
      </c>
      <c r="AX112" s="64">
        <f>IFERROR(AVERAGEIFS(AllData[Nitrate (PPM)], AllData[District], $F$111, AllData[River],$G112, AllData[Season], AW$106, AllData[Year], "2024"), "")</f>
        <v>5.25</v>
      </c>
      <c r="AY112" s="66">
        <f t="shared" ref="AY112:AY120" si="127">IFERROR((AX112-$I112)/$I112, "")</f>
        <v>-0.25859348731345222</v>
      </c>
      <c r="AZ112" s="66">
        <f t="shared" si="102"/>
        <v>-0.14534883720930239</v>
      </c>
      <c r="BA112" s="65">
        <f>IFERROR(AVERAGEIFS(AllData[Phosphate (PPM)], AllData[District], $F$111, AllData[River], $G112, AllData[Season], AW$106, AllData[Year], "2024"),"")</f>
        <v>0.37714285714285717</v>
      </c>
      <c r="BB112" s="66">
        <f t="shared" ref="BB112:BB120" si="128">IFERROR((BA112-$J112)/$J112, "")</f>
        <v>-0.27308296620351846</v>
      </c>
      <c r="BC112" s="69">
        <f t="shared" si="103"/>
        <v>-0.38461538461538469</v>
      </c>
      <c r="BD112" s="63">
        <f>COUNTIFS(AllData[District],$F$111,AllData[River],$G112,AllData[Season],BD$106, AllData[Year], "2025")</f>
        <v>6</v>
      </c>
      <c r="BE112" s="64">
        <f>IFERROR(AVERAGEIFS(AllData[Nitrate (PPM)], AllData[District], $F$111, AllData[River],$G112, AllData[Season], BD$106, AllData[Year], "2025"), "")</f>
        <v>6</v>
      </c>
      <c r="BF112" s="66">
        <f t="shared" si="104"/>
        <v>-0.15267827121537395</v>
      </c>
      <c r="BG112" s="66">
        <f t="shared" si="105"/>
        <v>0.27868852459016386</v>
      </c>
      <c r="BH112" s="56">
        <f>IFERROR(AVERAGEIFS(AllData[Phosphate (PPM)], AllData[District], $F$111, AllData[River], $G112, AllData[Season], BD$106, AllData[Year], "2025"),"")</f>
        <v>0.38166666666666665</v>
      </c>
      <c r="BI112" s="66">
        <f t="shared" si="106"/>
        <v>-0.26436363309611122</v>
      </c>
      <c r="BJ112" s="66">
        <f t="shared" si="107"/>
        <v>-0.16470258136924809</v>
      </c>
      <c r="BK112" s="201"/>
      <c r="BL112" s="64"/>
      <c r="BM112" s="66"/>
      <c r="BN112" s="66"/>
      <c r="BO112" s="65"/>
      <c r="BP112" s="66"/>
      <c r="BQ112" s="68"/>
      <c r="BR112" s="67"/>
      <c r="BS112" s="64"/>
      <c r="BT112" s="66"/>
      <c r="BU112" s="66"/>
      <c r="BV112" s="65"/>
      <c r="BW112" s="66"/>
      <c r="BX112" s="68"/>
      <c r="BY112" s="67"/>
      <c r="BZ112" s="64"/>
      <c r="CA112" s="66"/>
      <c r="CB112" s="66"/>
      <c r="CC112" s="65"/>
      <c r="CD112" s="66"/>
      <c r="CE112" s="69"/>
    </row>
    <row r="113" spans="5:83" x14ac:dyDescent="0.35">
      <c r="E113" s="29"/>
      <c r="F113" s="61"/>
      <c r="G113" s="62" t="s">
        <v>3559</v>
      </c>
      <c r="H113" s="63">
        <f>COUNTIFS(AllData[District], $F$111, AllData[River], $G113)</f>
        <v>268</v>
      </c>
      <c r="I113" s="64">
        <f t="shared" si="84"/>
        <v>3.240286262531328</v>
      </c>
      <c r="J113" s="65">
        <f t="shared" si="85"/>
        <v>0.99746157929546075</v>
      </c>
      <c r="K113" s="66" cm="1">
        <f t="array" ref="K113">SUM(COUNTIFS(AllData[District], $F$111, AllData[River], $G113, AllData[Nitrate Pollution Category], {"High","Very high"}))/COUNTIFS(AllData[District], $F$111, AllData[River], $G113, AllData[Nitrate (PPM)], "&lt;&gt;0")</f>
        <v>0.9375</v>
      </c>
      <c r="L113" s="66" cm="1">
        <f t="array" ref="L113">SUM(COUNTIFS(AllData[District], $F$111, AllData[River], $G113, AllData[Phosphate Pollution Category], {"High","Very high"}))/COUNTIFS(AllData[District], $F$111, AllData[River], $G113, AllData[Phosphate (PPM)], "&lt;&gt;0")</f>
        <v>0.9</v>
      </c>
      <c r="M113" s="67"/>
      <c r="N113" s="67"/>
      <c r="O113" s="63">
        <f>COUNTIFS(AllData[District],$F$111,AllData[River],$G113,AllData[Season],O$106, AllData[Year], "2023")</f>
        <v>0</v>
      </c>
      <c r="P113" s="64" t="str">
        <f>IFERROR(AVERAGEIFS(AllData[Nitrate (PPM)], AllData[District], $F$111, AllData[River],$G113, AllData[Season], O$106, AllData[Year], "2023"), "")</f>
        <v/>
      </c>
      <c r="Q113" s="122" t="str">
        <f t="shared" si="108"/>
        <v/>
      </c>
      <c r="R113" s="65" t="str">
        <f>IFERROR(AVERAGEIFS(AllData[Phosphate (PPM)], AllData[District], $F$111, AllData[River], $G113, AllData[Season], O$106, AllData[Year], "2023"),"")</f>
        <v/>
      </c>
      <c r="S113" s="68" t="str">
        <f t="shared" si="109"/>
        <v/>
      </c>
      <c r="T113" s="67">
        <f>COUNTIFS(AllData[District],$F$111,AllData[River],$G113,AllData[Season],T$106, AllData[Year], "2023")</f>
        <v>1</v>
      </c>
      <c r="U113" s="64">
        <f>IFERROR(AVERAGEIFS(AllData[Nitrate (PPM)], AllData[District], $F$111, AllData[River],$G113, AllData[Season], T$106, AllData[Year], "2023"), "")</f>
        <v>1</v>
      </c>
      <c r="V113" s="66">
        <f t="shared" si="121"/>
        <v>-0.6913852916134654</v>
      </c>
      <c r="W113" s="65">
        <f>IFERROR(AVERAGEIFS(AllData[Phosphate (PPM)], AllData[District], $F$111, AllData[River], $G113, AllData[Season], T$106, AllData[Year], "2023"),"")</f>
        <v>0.18</v>
      </c>
      <c r="X113" s="68">
        <f t="shared" si="122"/>
        <v>-0.81954192147717619</v>
      </c>
      <c r="Y113" s="67">
        <f>COUNTIFS(AllData[District],$F$111,AllData[River],$G113,AllData[Season],Y$106, AllData[Year], "2023")</f>
        <v>19</v>
      </c>
      <c r="Z113" s="64">
        <f>IFERROR(AVERAGEIFS(AllData[Nitrate (PPM)], AllData[District], $F$111, AllData[River],$G113, AllData[Season], Y$106, AllData[Year], "2023"), "")</f>
        <v>3.5263157894736841</v>
      </c>
      <c r="AA113" s="66">
        <f t="shared" si="110"/>
        <v>8.8272919047253665E-2</v>
      </c>
      <c r="AB113" s="65">
        <f>IFERROR(AVERAGEIFS(AllData[Phosphate (PPM)], AllData[District], $F$111, AllData[River], $G113, AllData[Season], Y$106, AllData[Year], "2023"),"")</f>
        <v>0.94263157894736826</v>
      </c>
      <c r="AC113" s="66">
        <f t="shared" si="111"/>
        <v>-5.4969536156791808E-2</v>
      </c>
      <c r="AD113" s="63">
        <f>COUNTIFS(AllData[District],$F$111,AllData[River],$G113,AllData[Season],AD$106, AllData[Year], "2024")</f>
        <v>90</v>
      </c>
      <c r="AE113" s="64">
        <f>IFERROR(AVERAGEIFS(AllData[Nitrate (PPM)], AllData[District], $F$111, AllData[River],$G113, AllData[Season], AD$106, AllData[Year], "2024"), "")</f>
        <v>4.0166666666666666</v>
      </c>
      <c r="AF113" s="66">
        <f t="shared" si="112"/>
        <v>0.23960241201924742</v>
      </c>
      <c r="AG113" s="65">
        <f>IFERROR(AVERAGEIFS(AllData[Phosphate (PPM)], AllData[District], $F$111, AllData[River], $G113, AllData[Season], AD$106, AllData[Year], "2024"),"")</f>
        <v>0.79299999999999971</v>
      </c>
      <c r="AH113" s="68">
        <f t="shared" si="113"/>
        <v>-0.20498190961889365</v>
      </c>
      <c r="AI113" s="67">
        <f>COUNTIFS(AllData[District],$F$111,AllData[River],$G113,AllData[Season],AI$106, AllData[Year], "2024")</f>
        <v>64</v>
      </c>
      <c r="AJ113" s="64">
        <f>IFERROR(AVERAGEIFS(AllData[Nitrate (PPM)], AllData[District], $F$111, AllData[River],$G113, AllData[Season], AI$106, AllData[Year], "2024"), "")</f>
        <v>3.9296875</v>
      </c>
      <c r="AK113" s="66">
        <f t="shared" si="123"/>
        <v>0.21275936186271033</v>
      </c>
      <c r="AL113" s="66" t="str">
        <f t="shared" si="124"/>
        <v/>
      </c>
      <c r="AM113" s="65">
        <f>IFERROR(AVERAGEIFS(AllData[Phosphate (PPM)], AllData[District], $F$111, AllData[River], $G113, AllData[Season], AI$106, AllData[Year], "2024"),"")</f>
        <v>1.1203124999999994</v>
      </c>
      <c r="AN113" s="66">
        <f t="shared" si="125"/>
        <v>0.123163561639449</v>
      </c>
      <c r="AO113" s="68" t="str">
        <f t="shared" si="126"/>
        <v/>
      </c>
      <c r="AP113" s="67">
        <f>COUNTIFS(AllData[District],$F$111,AllData[River],$G113,AllData[Season],AP$106, AllData[Year], "2024")</f>
        <v>35</v>
      </c>
      <c r="AQ113" s="64">
        <f>IFERROR(AVERAGEIFS(AllData[Nitrate (PPM)], AllData[District], $F$111, AllData[River],$G113, AllData[Season], AP$106, AllData[Year], "2024"), "")</f>
        <v>3.8857142857142857</v>
      </c>
      <c r="AR113" s="66">
        <f t="shared" si="98"/>
        <v>0.19918858115910598</v>
      </c>
      <c r="AS113" s="66">
        <f t="shared" si="118"/>
        <v>2.8857142857142857</v>
      </c>
      <c r="AT113" s="65">
        <f>IFERROR(AVERAGEIFS(AllData[Phosphate (PPM)], AllData[District], $F$111, AllData[River], $G113, AllData[Season], AP$106, AllData[Year], "2024"),"")</f>
        <v>1.4377142857142857</v>
      </c>
      <c r="AU113" s="66">
        <f t="shared" si="119"/>
        <v>0.44137309702674427</v>
      </c>
      <c r="AV113" s="68">
        <f t="shared" si="120"/>
        <v>6.9873015873015882</v>
      </c>
      <c r="AW113" s="67">
        <f>COUNTIFS(AllData[District],$F$111,AllData[River],$G113,AllData[Season],AW$106, AllData[Year], "2024")</f>
        <v>36</v>
      </c>
      <c r="AX113" s="64">
        <f>IFERROR(AVERAGEIFS(AllData[Nitrate (PPM)], AllData[District], $F$111, AllData[River],$G113, AllData[Season], AW$106, AllData[Year], "2024"), "")</f>
        <v>3.0833333333333335</v>
      </c>
      <c r="AY113" s="66">
        <f t="shared" si="127"/>
        <v>-4.8437982474851496E-2</v>
      </c>
      <c r="AZ113" s="66">
        <f t="shared" si="102"/>
        <v>-0.12562189054726361</v>
      </c>
      <c r="BA113" s="65">
        <f>IFERROR(AVERAGEIFS(AllData[Phosphate (PPM)], AllData[District], $F$111, AllData[River], $G113, AllData[Season], AW$106, AllData[Year], "2024"),"")</f>
        <v>1.5111111111111111</v>
      </c>
      <c r="BB113" s="66">
        <f t="shared" si="128"/>
        <v>0.51495670858666809</v>
      </c>
      <c r="BC113" s="69">
        <f t="shared" si="103"/>
        <v>0.60307711396488639</v>
      </c>
      <c r="BD113" s="63">
        <f>COUNTIFS(AllData[District],$F$111,AllData[River],$G113,AllData[Season],BD$106, AllData[Year], "2025")</f>
        <v>23</v>
      </c>
      <c r="BE113" s="64">
        <f>IFERROR(AVERAGEIFS(AllData[Nitrate (PPM)], AllData[District], $F$111, AllData[River],$G113, AllData[Season], BD$106, AllData[Year], "2025"), "")</f>
        <v>4.7826086956521738</v>
      </c>
      <c r="BF113" s="66">
        <f t="shared" si="104"/>
        <v>0.47598338793560041</v>
      </c>
      <c r="BG113" s="66">
        <f t="shared" si="105"/>
        <v>0.19069096157315532</v>
      </c>
      <c r="BH113" s="56">
        <f>IFERROR(AVERAGEIFS(AllData[Phosphate (PPM)], AllData[District], $F$111, AllData[River], $G113, AllData[Season], BD$106, AllData[Year], "2025"),"")</f>
        <v>3.8960869565217391</v>
      </c>
      <c r="BI113" s="66">
        <f t="shared" si="106"/>
        <v>2.906002032954162</v>
      </c>
      <c r="BJ113" s="66">
        <f t="shared" si="107"/>
        <v>3.9130983058281723</v>
      </c>
      <c r="BK113" s="201"/>
      <c r="BL113" s="64"/>
      <c r="BM113" s="66"/>
      <c r="BN113" s="66"/>
      <c r="BO113" s="65"/>
      <c r="BP113" s="66"/>
      <c r="BQ113" s="68"/>
      <c r="BR113" s="67"/>
      <c r="BS113" s="64"/>
      <c r="BT113" s="66"/>
      <c r="BU113" s="66"/>
      <c r="BV113" s="65"/>
      <c r="BW113" s="66"/>
      <c r="BX113" s="68"/>
      <c r="BY113" s="67"/>
      <c r="BZ113" s="64"/>
      <c r="CA113" s="66"/>
      <c r="CB113" s="66"/>
      <c r="CC113" s="65"/>
      <c r="CD113" s="66"/>
      <c r="CE113" s="69"/>
    </row>
    <row r="114" spans="5:83" x14ac:dyDescent="0.35">
      <c r="E114" s="29"/>
      <c r="F114" s="61"/>
      <c r="G114" s="62" t="s">
        <v>561</v>
      </c>
      <c r="H114" s="63">
        <f>COUNTIFS(AllData[District], $F$111, AllData[River], $G114)</f>
        <v>54</v>
      </c>
      <c r="I114" s="64">
        <f t="shared" si="84"/>
        <v>4.7188186813186821</v>
      </c>
      <c r="J114" s="65">
        <f t="shared" si="85"/>
        <v>0.69207142857142867</v>
      </c>
      <c r="K114" s="66" cm="1">
        <f t="array" ref="K114">SUM(COUNTIFS(AllData[District], $F$111, AllData[River], $G114, AllData[Nitrate Pollution Category], {"High","Very high"}))/COUNTIFS(AllData[District], $F$111, AllData[River], $G114, AllData[Nitrate (PPM)], "&lt;&gt;0")</f>
        <v>0.90740740740740744</v>
      </c>
      <c r="L114" s="66" cm="1">
        <f t="array" ref="L114">SUM(COUNTIFS(AllData[District], $F$111, AllData[River], $G114, AllData[Phosphate Pollution Category], {"High","Very high"}))/COUNTIFS(AllData[District], $F$111, AllData[River], $G114, AllData[Phosphate (PPM)], "&lt;&gt;0")</f>
        <v>0.98148148148148151</v>
      </c>
      <c r="M114" s="67"/>
      <c r="N114" s="67"/>
      <c r="O114" s="63">
        <f>COUNTIFS(AllData[District],$F$111,AllData[River],$G114,AllData[Season],O$106, AllData[Year], "2023")</f>
        <v>0</v>
      </c>
      <c r="P114" s="64" t="str">
        <f>IFERROR(AVERAGEIFS(AllData[Nitrate (PPM)], AllData[District], $F$111, AllData[River],$G114, AllData[Season], O$106, AllData[Year], "2023"), "")</f>
        <v/>
      </c>
      <c r="Q114" s="122" t="str">
        <f t="shared" si="108"/>
        <v/>
      </c>
      <c r="R114" s="65" t="str">
        <f>IFERROR(AVERAGEIFS(AllData[Phosphate (PPM)], AllData[District], $F$111, AllData[River], $G114, AllData[Season], O$106, AllData[Year], "2023"),"")</f>
        <v/>
      </c>
      <c r="S114" s="68" t="str">
        <f t="shared" si="109"/>
        <v/>
      </c>
      <c r="T114" s="67">
        <f>COUNTIFS(AllData[District],$F$111,AllData[River],$G114,AllData[Season],T$106, AllData[Year], "2023")</f>
        <v>0</v>
      </c>
      <c r="U114" s="64" t="str">
        <f>IFERROR(AVERAGEIFS(AllData[Nitrate (PPM)], AllData[District], $F$111, AllData[River],$G114, AllData[Season], T$106, AllData[Year], "2023"), "")</f>
        <v/>
      </c>
      <c r="V114" s="66" t="str">
        <f t="shared" si="121"/>
        <v/>
      </c>
      <c r="W114" s="65" t="str">
        <f>IFERROR(AVERAGEIFS(AllData[Phosphate (PPM)], AllData[District], $F$111, AllData[River], $G114, AllData[Season], T$106, AllData[Year], "2023"),"")</f>
        <v/>
      </c>
      <c r="X114" s="68" t="str">
        <f t="shared" si="122"/>
        <v/>
      </c>
      <c r="Y114" s="67">
        <f>COUNTIFS(AllData[District],$F$111,AllData[River],$G114,AllData[Season],Y$106, AllData[Year], "2023")</f>
        <v>7</v>
      </c>
      <c r="Z114" s="64">
        <f>IFERROR(AVERAGEIFS(AllData[Nitrate (PPM)], AllData[District], $F$111, AllData[River],$G114, AllData[Season], Y$106, AllData[Year], "2023"), "")</f>
        <v>5.7142857142857144</v>
      </c>
      <c r="AA114" s="66">
        <f t="shared" si="110"/>
        <v>0.21095683055337217</v>
      </c>
      <c r="AB114" s="65">
        <f>IFERROR(AVERAGEIFS(AllData[Phosphate (PPM)], AllData[District], $F$111, AllData[River], $G114, AllData[Season], Y$106, AllData[Year], "2023"),"")</f>
        <v>0.6328571428571429</v>
      </c>
      <c r="AC114" s="66">
        <f t="shared" si="111"/>
        <v>-8.5560945402002347E-2</v>
      </c>
      <c r="AD114" s="63">
        <f>COUNTIFS(AllData[District],$F$111,AllData[River],$G114,AllData[Season],AD$106, AllData[Year], "2024")</f>
        <v>13</v>
      </c>
      <c r="AE114" s="64">
        <f>IFERROR(AVERAGEIFS(AllData[Nitrate (PPM)], AllData[District], $F$111, AllData[River],$G114, AllData[Season], AD$106, AllData[Year], "2024"), "")</f>
        <v>3.1923076923076925</v>
      </c>
      <c r="AF114" s="66">
        <f t="shared" si="112"/>
        <v>-0.32349430908508725</v>
      </c>
      <c r="AG114" s="65">
        <f>IFERROR(AVERAGEIFS(AllData[Phosphate (PPM)], AllData[District], $F$111, AllData[River], $G114, AllData[Season], AD$106, AllData[Year], "2024"),"")</f>
        <v>0.66</v>
      </c>
      <c r="AH114" s="68">
        <f t="shared" si="113"/>
        <v>-4.6341211683352347E-2</v>
      </c>
      <c r="AI114" s="67">
        <f>COUNTIFS(AllData[District],$F$111,AllData[River],$G114,AllData[Season],AI$106, AllData[Year], "2024")</f>
        <v>10</v>
      </c>
      <c r="AJ114" s="64">
        <f>IFERROR(AVERAGEIFS(AllData[Nitrate (PPM)], AllData[District], $F$111, AllData[River],$G114, AllData[Season], AI$106, AllData[Year], "2024"), "")</f>
        <v>5</v>
      </c>
      <c r="AK114" s="66">
        <f t="shared" si="123"/>
        <v>5.9587226734200624E-2</v>
      </c>
      <c r="AL114" s="66" t="str">
        <f t="shared" si="124"/>
        <v/>
      </c>
      <c r="AM114" s="65">
        <f>IFERROR(AVERAGEIFS(AllData[Phosphate (PPM)], AllData[District], $F$111, AllData[River], $G114, AllData[Season], AI$106, AllData[Year], "2024"),"")</f>
        <v>0.73100000000000009</v>
      </c>
      <c r="AN114" s="66">
        <f t="shared" si="125"/>
        <v>5.6249354938590138E-2</v>
      </c>
      <c r="AO114" s="68" t="str">
        <f t="shared" si="126"/>
        <v/>
      </c>
      <c r="AP114" s="67">
        <f>COUNTIFS(AllData[District],$F$111,AllData[River],$G114,AllData[Season],AP$106, AllData[Year], "2024")</f>
        <v>10</v>
      </c>
      <c r="AQ114" s="64">
        <f>IFERROR(AVERAGEIFS(AllData[Nitrate (PPM)], AllData[District], $F$111, AllData[River],$G114, AllData[Season], AP$106, AllData[Year], "2024"), "")</f>
        <v>5</v>
      </c>
      <c r="AR114" s="66">
        <f t="shared" si="98"/>
        <v>5.9587226734200624E-2</v>
      </c>
      <c r="AS114" s="66" t="str">
        <f t="shared" si="118"/>
        <v/>
      </c>
      <c r="AT114" s="65">
        <f>IFERROR(AVERAGEIFS(AllData[Phosphate (PPM)], AllData[District], $F$111, AllData[River], $G114, AllData[Season], AP$106, AllData[Year], "2024"),"")</f>
        <v>0.71399999999999997</v>
      </c>
      <c r="AU114" s="66">
        <f t="shared" si="119"/>
        <v>3.1685416451645999E-2</v>
      </c>
      <c r="AV114" s="68" t="str">
        <f t="shared" si="120"/>
        <v/>
      </c>
      <c r="AW114" s="67">
        <f>COUNTIFS(AllData[District],$F$111,AllData[River],$G114,AllData[Season],AW$106, AllData[Year], "2024")</f>
        <v>8</v>
      </c>
      <c r="AX114" s="64">
        <f>IFERROR(AVERAGEIFS(AllData[Nitrate (PPM)], AllData[District], $F$111, AllData[River],$G114, AllData[Season], AW$106, AllData[Year], "2024"), "")</f>
        <v>4.6875</v>
      </c>
      <c r="AY114" s="66">
        <f t="shared" si="127"/>
        <v>-6.6369749366869159E-3</v>
      </c>
      <c r="AZ114" s="66">
        <f t="shared" si="102"/>
        <v>-0.17968750000000003</v>
      </c>
      <c r="BA114" s="65">
        <f>IFERROR(AVERAGEIFS(AllData[Phosphate (PPM)], AllData[District], $F$111, AllData[River], $G114, AllData[Season], AW$106, AllData[Year], "2024"),"")</f>
        <v>0.72249999999999992</v>
      </c>
      <c r="BB114" s="66">
        <f t="shared" si="128"/>
        <v>4.3967385695117912E-2</v>
      </c>
      <c r="BC114" s="69">
        <f t="shared" si="103"/>
        <v>0.14164785553047385</v>
      </c>
      <c r="BD114" s="63">
        <f>COUNTIFS(AllData[District],$F$111,AllData[River],$G114,AllData[Season],BD$106, AllData[Year], "2025")</f>
        <v>6</v>
      </c>
      <c r="BE114" s="64">
        <f>IFERROR(AVERAGEIFS(AllData[Nitrate (PPM)], AllData[District], $F$111, AllData[River],$G114, AllData[Season], BD$106, AllData[Year], "2025"), "")</f>
        <v>6.083333333333333</v>
      </c>
      <c r="BF114" s="66">
        <f t="shared" si="104"/>
        <v>0.28916445919327738</v>
      </c>
      <c r="BG114" s="66">
        <f t="shared" si="105"/>
        <v>0.90562248995983918</v>
      </c>
      <c r="BH114" s="56">
        <f>IFERROR(AVERAGEIFS(AllData[Phosphate (PPM)], AllData[District], $F$111, AllData[River], $G114, AllData[Season], BD$106, AllData[Year], "2025"),"")</f>
        <v>0.45500000000000002</v>
      </c>
      <c r="BI114" s="66">
        <f t="shared" si="106"/>
        <v>-0.34255341108473536</v>
      </c>
      <c r="BJ114" s="66">
        <f t="shared" si="107"/>
        <v>-0.31060606060606061</v>
      </c>
      <c r="BK114" s="201"/>
      <c r="BL114" s="64"/>
      <c r="BM114" s="66"/>
      <c r="BN114" s="66"/>
      <c r="BO114" s="65"/>
      <c r="BP114" s="66"/>
      <c r="BQ114" s="68"/>
      <c r="BR114" s="67"/>
      <c r="BS114" s="64"/>
      <c r="BT114" s="66"/>
      <c r="BU114" s="66"/>
      <c r="BV114" s="65"/>
      <c r="BW114" s="66"/>
      <c r="BX114" s="68"/>
      <c r="BY114" s="67"/>
      <c r="BZ114" s="64"/>
      <c r="CA114" s="66"/>
      <c r="CB114" s="66"/>
      <c r="CC114" s="65"/>
      <c r="CD114" s="66"/>
      <c r="CE114" s="69"/>
    </row>
    <row r="115" spans="5:83" x14ac:dyDescent="0.35">
      <c r="E115" s="29"/>
      <c r="F115" s="61"/>
      <c r="G115" s="62" t="s">
        <v>621</v>
      </c>
      <c r="H115" s="63">
        <f>COUNTIFS(AllData[District], $F$111, AllData[River], $G115)</f>
        <v>26</v>
      </c>
      <c r="I115" s="64">
        <f t="shared" si="84"/>
        <v>3.0083333333333333</v>
      </c>
      <c r="J115" s="65">
        <f t="shared" si="85"/>
        <v>0.60380000000000011</v>
      </c>
      <c r="K115" s="66" cm="1">
        <f t="array" ref="K115">SUM(COUNTIFS(AllData[District], $F$111, AllData[River], $G115, AllData[Nitrate Pollution Category], {"High","Very high"}))/COUNTIFS(AllData[District], $F$111, AllData[River], $G115, AllData[Nitrate (PPM)], "&lt;&gt;0")</f>
        <v>1</v>
      </c>
      <c r="L115" s="66" cm="1">
        <f t="array" ref="L115">SUM(COUNTIFS(AllData[District], $F$111, AllData[River], $G115, AllData[Phosphate Pollution Category], {"High","Very high"}))/COUNTIFS(AllData[District], $F$111, AllData[River], $G115, AllData[Phosphate (PPM)], "&lt;&gt;0")</f>
        <v>1</v>
      </c>
      <c r="M115" s="67"/>
      <c r="N115" s="67"/>
      <c r="O115" s="63">
        <f>COUNTIFS(AllData[District],$F$111,AllData[River],$G115,AllData[Season],O$106, AllData[Year], "2023")</f>
        <v>0</v>
      </c>
      <c r="P115" s="64" t="str">
        <f>IFERROR(AVERAGEIFS(AllData[Nitrate (PPM)], AllData[District], $F$111, AllData[River],$G115, AllData[Season], O$106, AllData[Year], "2023"), "")</f>
        <v/>
      </c>
      <c r="Q115" s="122" t="str">
        <f t="shared" si="108"/>
        <v/>
      </c>
      <c r="R115" s="65" t="str">
        <f>IFERROR(AVERAGEIFS(AllData[Phosphate (PPM)], AllData[District], $F$111, AllData[River], $G115, AllData[Season], O$106, AllData[Year], "2023"),"")</f>
        <v/>
      </c>
      <c r="S115" s="68" t="str">
        <f t="shared" si="109"/>
        <v/>
      </c>
      <c r="T115" s="67">
        <f>COUNTIFS(AllData[District],$F$111,AllData[River],$G115,AllData[Season],T$106, AllData[Year], "2023")</f>
        <v>0</v>
      </c>
      <c r="U115" s="64" t="str">
        <f>IFERROR(AVERAGEIFS(AllData[Nitrate (PPM)], AllData[District], $F$111, AllData[River],$G115, AllData[Season], T$106, AllData[Year], "2023"), "")</f>
        <v/>
      </c>
      <c r="V115" s="66" t="str">
        <f t="shared" si="121"/>
        <v/>
      </c>
      <c r="W115" s="65" t="str">
        <f>IFERROR(AVERAGEIFS(AllData[Phosphate (PPM)], AllData[District], $F$111, AllData[River], $G115, AllData[Season], T$106, AllData[Year], "2023"),"")</f>
        <v/>
      </c>
      <c r="X115" s="68" t="str">
        <f t="shared" si="122"/>
        <v/>
      </c>
      <c r="Y115" s="67">
        <f>COUNTIFS(AllData[District],$F$111,AllData[River],$G115,AllData[Season],Y$106, AllData[Year], "2023")</f>
        <v>4</v>
      </c>
      <c r="Z115" s="64">
        <f>IFERROR(AVERAGEIFS(AllData[Nitrate (PPM)], AllData[District], $F$111, AllData[River],$G115, AllData[Season], Y$106, AllData[Year], "2023"), "")</f>
        <v>2.125</v>
      </c>
      <c r="AA115" s="66">
        <f t="shared" si="110"/>
        <v>-0.2936288088642659</v>
      </c>
      <c r="AB115" s="65">
        <f>IFERROR(AVERAGEIFS(AllData[Phosphate (PPM)], AllData[District], $F$111, AllData[River], $G115, AllData[Season], Y$106, AllData[Year], "2023"),"")</f>
        <v>0.56999999999999995</v>
      </c>
      <c r="AC115" s="66">
        <f t="shared" si="111"/>
        <v>-5.5978800927459681E-2</v>
      </c>
      <c r="AD115" s="63">
        <f>COUNTIFS(AllData[District],$F$111,AllData[River],$G115,AllData[Season],AD$106, AllData[Year], "2024")</f>
        <v>10</v>
      </c>
      <c r="AE115" s="64">
        <f>IFERROR(AVERAGEIFS(AllData[Nitrate (PPM)], AllData[District], $F$111, AllData[River],$G115, AllData[Season], AD$106, AllData[Year], "2024"), "")</f>
        <v>2.75</v>
      </c>
      <c r="AF115" s="66">
        <f t="shared" si="112"/>
        <v>-8.5872576177285304E-2</v>
      </c>
      <c r="AG115" s="65">
        <f>IFERROR(AVERAGEIFS(AllData[Phosphate (PPM)], AllData[District], $F$111, AllData[River], $G115, AllData[Season], AD$106, AllData[Year], "2024"),"")</f>
        <v>0.61099999999999999</v>
      </c>
      <c r="AH115" s="68">
        <f t="shared" si="113"/>
        <v>1.1924478304073985E-2</v>
      </c>
      <c r="AI115" s="67">
        <f>COUNTIFS(AllData[District],$F$111,AllData[River],$G115,AllData[Season],AI$106, AllData[Year], "2024")</f>
        <v>5</v>
      </c>
      <c r="AJ115" s="64">
        <f>IFERROR(AVERAGEIFS(AllData[Nitrate (PPM)], AllData[District], $F$111, AllData[River],$G115, AllData[Season], AI$106, AllData[Year], "2024"), "")</f>
        <v>3</v>
      </c>
      <c r="AK115" s="66">
        <f t="shared" si="123"/>
        <v>-2.7700831024930648E-3</v>
      </c>
      <c r="AL115" s="66" t="str">
        <f t="shared" si="124"/>
        <v/>
      </c>
      <c r="AM115" s="65">
        <f>IFERROR(AVERAGEIFS(AllData[Phosphate (PPM)], AllData[District], $F$111, AllData[River], $G115, AllData[Season], AI$106, AllData[Year], "2024"),"")</f>
        <v>0.67800000000000016</v>
      </c>
      <c r="AN115" s="66">
        <f t="shared" si="125"/>
        <v>0.12288837363365358</v>
      </c>
      <c r="AO115" s="68" t="str">
        <f t="shared" si="126"/>
        <v/>
      </c>
      <c r="AP115" s="67">
        <f>COUNTIFS(AllData[District],$F$111,AllData[River],$G115,AllData[Season],AP$106, AllData[Year], "2024")</f>
        <v>3</v>
      </c>
      <c r="AQ115" s="64">
        <f>IFERROR(AVERAGEIFS(AllData[Nitrate (PPM)], AllData[District], $F$111, AllData[River],$G115, AllData[Season], AP$106, AllData[Year], "2024"), "")</f>
        <v>4</v>
      </c>
      <c r="AR115" s="66">
        <f t="shared" si="98"/>
        <v>0.32963988919667592</v>
      </c>
      <c r="AS115" s="66" t="str">
        <f t="shared" si="118"/>
        <v/>
      </c>
      <c r="AT115" s="65">
        <f>IFERROR(AVERAGEIFS(AllData[Phosphate (PPM)], AllData[District], $F$111, AllData[River], $G115, AllData[Season], AP$106, AllData[Year], "2024"),"")</f>
        <v>0.65666666666666673</v>
      </c>
      <c r="AU115" s="66">
        <f t="shared" si="119"/>
        <v>8.7556586066026176E-2</v>
      </c>
      <c r="AV115" s="68" t="str">
        <f t="shared" si="120"/>
        <v/>
      </c>
      <c r="AW115" s="67">
        <f>COUNTIFS(AllData[District],$F$111,AllData[River],$G115,AllData[Season],AW$106, AllData[Year], "2024")</f>
        <v>3</v>
      </c>
      <c r="AX115" s="64">
        <f>IFERROR(AVERAGEIFS(AllData[Nitrate (PPM)], AllData[District], $F$111, AllData[River],$G115, AllData[Season], AW$106, AllData[Year], "2024"), "")</f>
        <v>3.1666666666666665</v>
      </c>
      <c r="AY115" s="66">
        <f t="shared" si="127"/>
        <v>5.2631578947368383E-2</v>
      </c>
      <c r="AZ115" s="66">
        <f t="shared" si="102"/>
        <v>0.49019607843137247</v>
      </c>
      <c r="BA115" s="65">
        <f>IFERROR(AVERAGEIFS(AllData[Phosphate (PPM)], AllData[District], $F$111, AllData[River], $G115, AllData[Season], AW$106, AllData[Year], "2024"),"")</f>
        <v>0.5033333333333333</v>
      </c>
      <c r="BB115" s="66">
        <f t="shared" si="128"/>
        <v>-0.16639063707629478</v>
      </c>
      <c r="BC115" s="69">
        <f t="shared" si="103"/>
        <v>-0.11695906432748536</v>
      </c>
      <c r="BD115" s="63">
        <f>COUNTIFS(AllData[District],$F$111,AllData[River],$G115,AllData[Season],BD$106, AllData[Year], "2025")</f>
        <v>1</v>
      </c>
      <c r="BE115" s="64">
        <f>IFERROR(AVERAGEIFS(AllData[Nitrate (PPM)], AllData[District], $F$111, AllData[River],$G115, AllData[Season], BD$106, AllData[Year], "2025"), "")</f>
        <v>3.5</v>
      </c>
      <c r="BF115" s="66">
        <f t="shared" si="104"/>
        <v>0.16343490304709143</v>
      </c>
      <c r="BG115" s="66">
        <f t="shared" si="105"/>
        <v>0.27272727272727271</v>
      </c>
      <c r="BH115" s="56">
        <f>IFERROR(AVERAGEIFS(AllData[Phosphate (PPM)], AllData[District], $F$111, AllData[River], $G115, AllData[Season], BD$106, AllData[Year], "2025"),"")</f>
        <v>0.45</v>
      </c>
      <c r="BI115" s="66">
        <f t="shared" si="106"/>
        <v>-0.25472010599536282</v>
      </c>
      <c r="BJ115" s="66">
        <f t="shared" si="107"/>
        <v>-0.26350245499181668</v>
      </c>
      <c r="BK115" s="201"/>
      <c r="BL115" s="64"/>
      <c r="BM115" s="66"/>
      <c r="BN115" s="66"/>
      <c r="BO115" s="65"/>
      <c r="BP115" s="66"/>
      <c r="BQ115" s="68"/>
      <c r="BR115" s="67"/>
      <c r="BS115" s="64"/>
      <c r="BT115" s="66"/>
      <c r="BU115" s="66"/>
      <c r="BV115" s="65"/>
      <c r="BW115" s="66"/>
      <c r="BX115" s="68"/>
      <c r="BY115" s="67"/>
      <c r="BZ115" s="64"/>
      <c r="CA115" s="66"/>
      <c r="CB115" s="66"/>
      <c r="CC115" s="65"/>
      <c r="CD115" s="66"/>
      <c r="CE115" s="69"/>
    </row>
    <row r="116" spans="5:83" x14ac:dyDescent="0.35">
      <c r="E116" s="29"/>
      <c r="F116" s="61"/>
      <c r="G116" s="62" t="s">
        <v>618</v>
      </c>
      <c r="H116" s="63">
        <f>COUNTIFS(AllData[District], $F$111, AllData[River], $G116)</f>
        <v>26</v>
      </c>
      <c r="I116" s="64">
        <f t="shared" si="84"/>
        <v>1.575</v>
      </c>
      <c r="J116" s="65">
        <f t="shared" si="85"/>
        <v>0.17960000000000004</v>
      </c>
      <c r="K116" s="66" cm="1">
        <f t="array" ref="K116">SUM(COUNTIFS(AllData[District], $F$111, AllData[River], $G116, AllData[Nitrate Pollution Category], {"High","Very high"}))/COUNTIFS(AllData[District], $F$111, AllData[River], $G116, AllData[Nitrate (PPM)], "&lt;&gt;0")</f>
        <v>0.89473684210526316</v>
      </c>
      <c r="L116" s="66" cm="1">
        <f t="array" ref="L116">SUM(COUNTIFS(AllData[District], $F$111, AllData[River], $G116, AllData[Phosphate Pollution Category], {"High","Very high"}))/COUNTIFS(AllData[District], $F$111, AllData[River], $G116, AllData[Phosphate (PPM)], "&lt;&gt;0")</f>
        <v>0.79166666666666663</v>
      </c>
      <c r="M116" s="67"/>
      <c r="N116" s="67"/>
      <c r="O116" s="63">
        <f>COUNTIFS(AllData[District],$F$111,AllData[River],$G116,AllData[Season],O$106, AllData[Year], "2023")</f>
        <v>0</v>
      </c>
      <c r="P116" s="64" t="str">
        <f>IFERROR(AVERAGEIFS(AllData[Nitrate (PPM)], AllData[District], $F$111, AllData[River],$G116, AllData[Season], O$106, AllData[Year], "2023"), "")</f>
        <v/>
      </c>
      <c r="Q116" s="122" t="str">
        <f t="shared" si="108"/>
        <v/>
      </c>
      <c r="R116" s="65" t="str">
        <f>IFERROR(AVERAGEIFS(AllData[Phosphate (PPM)], AllData[District], $F$111, AllData[River], $G116, AllData[Season], O$106, AllData[Year], "2023"),"")</f>
        <v/>
      </c>
      <c r="S116" s="68" t="str">
        <f t="shared" si="109"/>
        <v/>
      </c>
      <c r="T116" s="67">
        <f>COUNTIFS(AllData[District],$F$111,AllData[River],$G116,AllData[Season],T$106, AllData[Year], "2023")</f>
        <v>0</v>
      </c>
      <c r="U116" s="64" t="str">
        <f>IFERROR(AVERAGEIFS(AllData[Nitrate (PPM)], AllData[District], $F$111, AllData[River],$G116, AllData[Season], T$106, AllData[Year], "2023"), "")</f>
        <v/>
      </c>
      <c r="V116" s="66" t="str">
        <f t="shared" si="121"/>
        <v/>
      </c>
      <c r="W116" s="65" t="str">
        <f>IFERROR(AVERAGEIFS(AllData[Phosphate (PPM)], AllData[District], $F$111, AllData[River], $G116, AllData[Season], T$106, AllData[Year], "2023"),"")</f>
        <v/>
      </c>
      <c r="X116" s="68" t="str">
        <f t="shared" si="122"/>
        <v/>
      </c>
      <c r="Y116" s="67">
        <f>COUNTIFS(AllData[District],$F$111,AllData[River],$G116,AllData[Season],Y$106, AllData[Year], "2023")</f>
        <v>4</v>
      </c>
      <c r="Z116" s="64">
        <f>IFERROR(AVERAGEIFS(AllData[Nitrate (PPM)], AllData[District], $F$111, AllData[River],$G116, AllData[Season], Y$106, AllData[Year], "2023"), "")</f>
        <v>2.125</v>
      </c>
      <c r="AA116" s="66">
        <f t="shared" si="110"/>
        <v>0.34920634920634924</v>
      </c>
      <c r="AB116" s="65">
        <f>IFERROR(AVERAGEIFS(AllData[Phosphate (PPM)], AllData[District], $F$111, AllData[River], $G116, AllData[Season], Y$106, AllData[Year], "2023"),"")</f>
        <v>0.28500000000000003</v>
      </c>
      <c r="AC116" s="66">
        <f t="shared" si="111"/>
        <v>0.58685968819599088</v>
      </c>
      <c r="AD116" s="63">
        <f>COUNTIFS(AllData[District],$F$111,AllData[River],$G116,AllData[Season],AD$106, AllData[Year], "2024")</f>
        <v>10</v>
      </c>
      <c r="AE116" s="64">
        <f>IFERROR(AVERAGEIFS(AllData[Nitrate (PPM)], AllData[District], $F$111, AllData[River],$G116, AllData[Season], AD$106, AllData[Year], "2024"), "")</f>
        <v>1.7</v>
      </c>
      <c r="AF116" s="66">
        <f t="shared" si="112"/>
        <v>7.9365079365079361E-2</v>
      </c>
      <c r="AG116" s="65">
        <f>IFERROR(AVERAGEIFS(AllData[Phosphate (PPM)], AllData[District], $F$111, AllData[River], $G116, AllData[Season], AD$106, AllData[Year], "2024"),"")</f>
        <v>0.16300000000000001</v>
      </c>
      <c r="AH116" s="68">
        <f t="shared" si="113"/>
        <v>-9.2427616926503503E-2</v>
      </c>
      <c r="AI116" s="67">
        <f>COUNTIFS(AllData[District],$F$111,AllData[River],$G116,AllData[Season],AI$106, AllData[Year], "2024")</f>
        <v>6</v>
      </c>
      <c r="AJ116" s="64">
        <f>IFERROR(AVERAGEIFS(AllData[Nitrate (PPM)], AllData[District], $F$111, AllData[River],$G116, AllData[Season], AI$106, AllData[Year], "2024"), "")</f>
        <v>4.9999999999999996E-2</v>
      </c>
      <c r="AK116" s="66">
        <f t="shared" si="123"/>
        <v>-0.96825396825396826</v>
      </c>
      <c r="AL116" s="66" t="str">
        <f t="shared" si="124"/>
        <v/>
      </c>
      <c r="AM116" s="65">
        <f>IFERROR(AVERAGEIFS(AllData[Phosphate (PPM)], AllData[District], $F$111, AllData[River], $G116, AllData[Season], AI$106, AllData[Year], "2024"),"")</f>
        <v>0.11166666666666669</v>
      </c>
      <c r="AN116" s="66">
        <f t="shared" si="125"/>
        <v>-0.37824795842613212</v>
      </c>
      <c r="AO116" s="68" t="str">
        <f t="shared" si="126"/>
        <v/>
      </c>
      <c r="AP116" s="67">
        <f>COUNTIFS(AllData[District],$F$111,AllData[River],$G116,AllData[Season],AP$106, AllData[Year], "2024")</f>
        <v>2</v>
      </c>
      <c r="AQ116" s="64">
        <f>IFERROR(AVERAGEIFS(AllData[Nitrate (PPM)], AllData[District], $F$111, AllData[River],$G116, AllData[Season], AP$106, AllData[Year], "2024"), "")</f>
        <v>2</v>
      </c>
      <c r="AR116" s="66">
        <f t="shared" si="98"/>
        <v>0.26984126984126988</v>
      </c>
      <c r="AS116" s="66" t="str">
        <f t="shared" si="118"/>
        <v/>
      </c>
      <c r="AT116" s="65">
        <f>IFERROR(AVERAGEIFS(AllData[Phosphate (PPM)], AllData[District], $F$111, AllData[River], $G116, AllData[Season], AP$106, AllData[Year], "2024"),"")</f>
        <v>0.14500000000000002</v>
      </c>
      <c r="AU116" s="66">
        <f t="shared" si="119"/>
        <v>-0.19265033407572391</v>
      </c>
      <c r="AV116" s="68" t="str">
        <f t="shared" si="120"/>
        <v/>
      </c>
      <c r="AW116" s="67">
        <f>COUNTIFS(AllData[District],$F$111,AllData[River],$G116,AllData[Season],AW$106, AllData[Year], "2024")</f>
        <v>3</v>
      </c>
      <c r="AX116" s="64">
        <f>IFERROR(AVERAGEIFS(AllData[Nitrate (PPM)], AllData[District], $F$111, AllData[River],$G116, AllData[Season], AW$106, AllData[Year], "2024"), "")</f>
        <v>2</v>
      </c>
      <c r="AY116" s="66">
        <f t="shared" si="127"/>
        <v>0.26984126984126988</v>
      </c>
      <c r="AZ116" s="66">
        <f t="shared" si="102"/>
        <v>-5.8823529411764705E-2</v>
      </c>
      <c r="BA116" s="65">
        <f>IFERROR(AVERAGEIFS(AllData[Phosphate (PPM)], AllData[District], $F$111, AllData[River], $G116, AllData[Season], AW$106, AllData[Year], "2024"),"")</f>
        <v>0.19333333333333333</v>
      </c>
      <c r="BB116" s="66">
        <f t="shared" si="128"/>
        <v>7.6466221232367973E-2</v>
      </c>
      <c r="BC116" s="69">
        <f t="shared" si="103"/>
        <v>-0.32163742690058489</v>
      </c>
      <c r="BD116" s="63">
        <f>COUNTIFS(AllData[District],$F$111,AllData[River],$G116,AllData[Season],BD$106, AllData[Year], "2025")</f>
        <v>1</v>
      </c>
      <c r="BE116" s="64">
        <f>IFERROR(AVERAGEIFS(AllData[Nitrate (PPM)], AllData[District], $F$111, AllData[River],$G116, AllData[Season], BD$106, AllData[Year], "2025"), "")</f>
        <v>1</v>
      </c>
      <c r="BF116" s="66">
        <f t="shared" si="104"/>
        <v>-0.36507936507936506</v>
      </c>
      <c r="BG116" s="66">
        <f t="shared" si="105"/>
        <v>-0.41176470588235292</v>
      </c>
      <c r="BH116" s="56">
        <f>IFERROR(AVERAGEIFS(AllData[Phosphate (PPM)], AllData[District], $F$111, AllData[River], $G116, AllData[Season], BD$106, AllData[Year], "2025"),"")</f>
        <v>0.17</v>
      </c>
      <c r="BI116" s="66">
        <f t="shared" si="106"/>
        <v>-5.3452115812917721E-2</v>
      </c>
      <c r="BJ116" s="66">
        <f t="shared" si="107"/>
        <v>4.2944785276073656E-2</v>
      </c>
      <c r="BK116" s="201"/>
      <c r="BL116" s="64"/>
      <c r="BM116" s="66"/>
      <c r="BN116" s="66"/>
      <c r="BO116" s="65"/>
      <c r="BP116" s="66"/>
      <c r="BQ116" s="68"/>
      <c r="BR116" s="67"/>
      <c r="BS116" s="64"/>
      <c r="BT116" s="66"/>
      <c r="BU116" s="66"/>
      <c r="BV116" s="65"/>
      <c r="BW116" s="66"/>
      <c r="BX116" s="68"/>
      <c r="BY116" s="67"/>
      <c r="BZ116" s="64"/>
      <c r="CA116" s="66"/>
      <c r="CB116" s="66"/>
      <c r="CC116" s="65"/>
      <c r="CD116" s="66"/>
      <c r="CE116" s="69"/>
    </row>
    <row r="117" spans="5:83" x14ac:dyDescent="0.35">
      <c r="E117" s="29"/>
      <c r="F117" s="61"/>
      <c r="G117" s="62" t="s">
        <v>2995</v>
      </c>
      <c r="H117" s="63">
        <f>COUNTIFS(AllData[District], $F$111, AllData[River], $G117)</f>
        <v>59</v>
      </c>
      <c r="I117" s="64">
        <f t="shared" si="84"/>
        <v>8.1413003663003671</v>
      </c>
      <c r="J117" s="65">
        <f t="shared" si="85"/>
        <v>0.47655769230769229</v>
      </c>
      <c r="K117" s="66" cm="1">
        <f t="array" ref="K117">SUM(COUNTIFS(AllData[District], $F$111, AllData[River], $G117, AllData[Nitrate Pollution Category], {"High","Very high"}))/COUNTIFS(AllData[District], $F$111, AllData[River], $G117, AllData[Nitrate (PPM)], "&lt;&gt;0")</f>
        <v>1</v>
      </c>
      <c r="L117" s="66" cm="1">
        <f t="array" ref="L117">SUM(COUNTIFS(AllData[District], $F$111, AllData[River], $G117, AllData[Phosphate Pollution Category], {"High","Very high"}))/COUNTIFS(AllData[District], $F$111, AllData[River], $G117, AllData[Phosphate (PPM)], "&lt;&gt;0")</f>
        <v>0.96551724137931039</v>
      </c>
      <c r="M117" s="67"/>
      <c r="N117" s="67"/>
      <c r="O117" s="63">
        <f>COUNTIFS(AllData[District],$F$111,AllData[River],$G117,AllData[Season],O$106, AllData[Year], "2023")</f>
        <v>0</v>
      </c>
      <c r="P117" s="64" t="str">
        <f>IFERROR(AVERAGEIFS(AllData[Nitrate (PPM)], AllData[District], $F$111, AllData[River],$G117, AllData[Season], O$106, AllData[Year], "2023"), "")</f>
        <v/>
      </c>
      <c r="Q117" s="122" t="str">
        <f t="shared" si="108"/>
        <v/>
      </c>
      <c r="R117" s="65" t="str">
        <f>IFERROR(AVERAGEIFS(AllData[Phosphate (PPM)], AllData[District], $F$111, AllData[River], $G117, AllData[Season], O$106, AllData[Year], "2023"),"")</f>
        <v/>
      </c>
      <c r="S117" s="68" t="str">
        <f t="shared" si="109"/>
        <v/>
      </c>
      <c r="T117" s="67">
        <f>COUNTIFS(AllData[District],$F$111,AllData[River],$G117,AllData[Season],T$106, AllData[Year], "2023")</f>
        <v>0</v>
      </c>
      <c r="U117" s="64" t="str">
        <f>IFERROR(AVERAGEIFS(AllData[Nitrate (PPM)], AllData[District], $F$111, AllData[River],$G117, AllData[Season], T$106, AllData[Year], "2023"), "")</f>
        <v/>
      </c>
      <c r="V117" s="66" t="str">
        <f t="shared" si="121"/>
        <v/>
      </c>
      <c r="W117" s="65" t="str">
        <f>IFERROR(AVERAGEIFS(AllData[Phosphate (PPM)], AllData[District], $F$111, AllData[River], $G117, AllData[Season], T$106, AllData[Year], "2023"),"")</f>
        <v/>
      </c>
      <c r="X117" s="68" t="str">
        <f t="shared" si="122"/>
        <v/>
      </c>
      <c r="Y117" s="67">
        <f>COUNTIFS(AllData[District],$F$111,AllData[River],$G117,AllData[Season],Y$106, AllData[Year], "2023")</f>
        <v>7</v>
      </c>
      <c r="Z117" s="64">
        <f>IFERROR(AVERAGEIFS(AllData[Nitrate (PPM)], AllData[District], $F$111, AllData[River],$G117, AllData[Season], Y$106, AllData[Year], "2023"), "")</f>
        <v>7.8571428571428568</v>
      </c>
      <c r="AA117" s="66">
        <f t="shared" si="110"/>
        <v>-3.4903209115553051E-2</v>
      </c>
      <c r="AB117" s="65">
        <f>IFERROR(AVERAGEIFS(AllData[Phosphate (PPM)], AllData[District], $F$111, AllData[River], $G117, AllData[Season], Y$106, AllData[Year], "2023"),"")</f>
        <v>0.55999999999999994</v>
      </c>
      <c r="AC117" s="66">
        <f t="shared" si="111"/>
        <v>0.1750938218796658</v>
      </c>
      <c r="AD117" s="63">
        <f>COUNTIFS(AllData[District],$F$111,AllData[River],$G117,AllData[Season],AD$106, AllData[Year], "2024")</f>
        <v>13</v>
      </c>
      <c r="AE117" s="64">
        <f>IFERROR(AVERAGEIFS(AllData[Nitrate (PPM)], AllData[District], $F$111, AllData[River],$G117, AllData[Season], AD$106, AllData[Year], "2024"), "")</f>
        <v>6.384615384615385</v>
      </c>
      <c r="AF117" s="66">
        <f t="shared" si="112"/>
        <v>-0.21577449579879196</v>
      </c>
      <c r="AG117" s="65">
        <f>IFERROR(AVERAGEIFS(AllData[Phosphate (PPM)], AllData[District], $F$111, AllData[River], $G117, AllData[Season], AD$106, AllData[Year], "2024"),"")</f>
        <v>0.5823076923076923</v>
      </c>
      <c r="AH117" s="68">
        <f t="shared" si="113"/>
        <v>0.22190387797102623</v>
      </c>
      <c r="AI117" s="67">
        <f>COUNTIFS(AllData[District],$F$111,AllData[River],$G117,AllData[Season],AI$106, AllData[Year], "2024")</f>
        <v>13</v>
      </c>
      <c r="AJ117" s="64">
        <f>IFERROR(AVERAGEIFS(AllData[Nitrate (PPM)], AllData[District], $F$111, AllData[River],$G117, AllData[Season], AI$106, AllData[Year], "2024"), "")</f>
        <v>9.9230769230769234</v>
      </c>
      <c r="AK117" s="66">
        <f t="shared" si="123"/>
        <v>0.21885650652958832</v>
      </c>
      <c r="AL117" s="66" t="str">
        <f t="shared" si="124"/>
        <v/>
      </c>
      <c r="AM117" s="65">
        <f>IFERROR(AVERAGEIFS(AllData[Phosphate (PPM)], AllData[District], $F$111, AllData[River], $G117, AllData[Season], AI$106, AllData[Year], "2024"),"")</f>
        <v>0.34923076923076923</v>
      </c>
      <c r="AN117" s="66">
        <f t="shared" si="125"/>
        <v>-0.26718050119042813</v>
      </c>
      <c r="AO117" s="68" t="str">
        <f t="shared" si="126"/>
        <v/>
      </c>
      <c r="AP117" s="67">
        <f>COUNTIFS(AllData[District],$F$111,AllData[River],$G117,AllData[Season],AP$106, AllData[Year], "2024")</f>
        <v>12</v>
      </c>
      <c r="AQ117" s="64">
        <f>IFERROR(AVERAGEIFS(AllData[Nitrate (PPM)], AllData[District], $F$111, AllData[River],$G117, AllData[Season], AP$106, AllData[Year], "2024"), "")</f>
        <v>9.1666666666666661</v>
      </c>
      <c r="AR117" s="66">
        <f t="shared" si="98"/>
        <v>0.12594625603185475</v>
      </c>
      <c r="AS117" s="66" t="str">
        <f t="shared" si="118"/>
        <v/>
      </c>
      <c r="AT117" s="65">
        <f>IFERROR(AVERAGEIFS(AllData[Phosphate (PPM)], AllData[District], $F$111, AllData[River], $G117, AllData[Season], AP$106, AllData[Year], "2024"),"")</f>
        <v>0.4375</v>
      </c>
      <c r="AU117" s="66">
        <f t="shared" si="119"/>
        <v>-8.1957951656511013E-2</v>
      </c>
      <c r="AV117" s="68" t="str">
        <f t="shared" si="120"/>
        <v/>
      </c>
      <c r="AW117" s="67">
        <f>COUNTIFS(AllData[District],$F$111,AllData[River],$G117,AllData[Season],AW$106, AllData[Year], "2024")</f>
        <v>8</v>
      </c>
      <c r="AX117" s="64">
        <f>IFERROR(AVERAGEIFS(AllData[Nitrate (PPM)], AllData[District], $F$111, AllData[River],$G117, AllData[Season], AW$106, AllData[Year], "2024"), "")</f>
        <v>7.375</v>
      </c>
      <c r="AY117" s="66">
        <f t="shared" si="127"/>
        <v>-9.4125057647098609E-2</v>
      </c>
      <c r="AZ117" s="66">
        <f t="shared" si="102"/>
        <v>-6.1363636363636322E-2</v>
      </c>
      <c r="BA117" s="65">
        <f>IFERROR(AVERAGEIFS(AllData[Phosphate (PPM)], AllData[District], $F$111, AllData[River], $G117, AllData[Season], AW$106, AllData[Year], "2024"),"")</f>
        <v>0.45374999999999999</v>
      </c>
      <c r="BB117" s="66">
        <f t="shared" si="128"/>
        <v>-4.7859247003752874E-2</v>
      </c>
      <c r="BC117" s="69">
        <f t="shared" si="103"/>
        <v>-0.18973214285714279</v>
      </c>
      <c r="BD117" s="63">
        <f>COUNTIFS(AllData[District],$F$111,AllData[River],$G117,AllData[Season],BD$106, AllData[Year], "2025")</f>
        <v>6</v>
      </c>
      <c r="BE117" s="64">
        <f>IFERROR(AVERAGEIFS(AllData[Nitrate (PPM)], AllData[District], $F$111, AllData[River],$G117, AllData[Season], BD$106, AllData[Year], "2025"), "")</f>
        <v>13</v>
      </c>
      <c r="BF117" s="66">
        <f t="shared" si="104"/>
        <v>0.5967965085542668</v>
      </c>
      <c r="BG117" s="66">
        <f t="shared" si="105"/>
        <v>1.0361445783132528</v>
      </c>
      <c r="BH117" s="56">
        <f>IFERROR(AVERAGEIFS(AllData[Phosphate (PPM)], AllData[District], $F$111, AllData[River], $G117, AllData[Season], BD$106, AllData[Year], "2025"),"")</f>
        <v>0.25166666666666665</v>
      </c>
      <c r="BI117" s="66">
        <f t="shared" si="106"/>
        <v>-0.47190724076241208</v>
      </c>
      <c r="BJ117" s="66">
        <f t="shared" si="107"/>
        <v>-0.56781153676794371</v>
      </c>
      <c r="BK117" s="201"/>
      <c r="BL117" s="64"/>
      <c r="BM117" s="66"/>
      <c r="BN117" s="66"/>
      <c r="BO117" s="65"/>
      <c r="BP117" s="66"/>
      <c r="BQ117" s="68"/>
      <c r="BR117" s="67"/>
      <c r="BS117" s="64"/>
      <c r="BT117" s="66"/>
      <c r="BU117" s="66"/>
      <c r="BV117" s="65"/>
      <c r="BW117" s="66"/>
      <c r="BX117" s="68"/>
      <c r="BY117" s="67"/>
      <c r="BZ117" s="64"/>
      <c r="CA117" s="66"/>
      <c r="CB117" s="66"/>
      <c r="CC117" s="65"/>
      <c r="CD117" s="66"/>
      <c r="CE117" s="69"/>
    </row>
    <row r="118" spans="5:83" x14ac:dyDescent="0.35">
      <c r="E118" s="29"/>
      <c r="F118" s="61"/>
      <c r="G118" s="62" t="s">
        <v>3562</v>
      </c>
      <c r="H118" s="63">
        <f>COUNTIFS(AllData[District], $F$111, AllData[River], $G118)</f>
        <v>446</v>
      </c>
      <c r="I118" s="64">
        <f t="shared" si="84"/>
        <v>3.8200129873878015</v>
      </c>
      <c r="J118" s="65">
        <f t="shared" si="85"/>
        <v>0.59690329797784702</v>
      </c>
      <c r="K118" s="66" cm="1">
        <f t="array" ref="K118">SUM(COUNTIFS(AllData[District], $F$111, AllData[River], $G118, AllData[Nitrate Pollution Category], {"High","Very high"}))/COUNTIFS(AllData[District], $F$111, AllData[River], $G118, AllData[Nitrate (PPM)], "&lt;&gt;0")</f>
        <v>0.86167800453514742</v>
      </c>
      <c r="L118" s="66" cm="1">
        <f t="array" ref="L118">SUM(COUNTIFS(AllData[District], $F$111, AllData[River], $G118, AllData[Phosphate Pollution Category], {"High","Very high"}))/COUNTIFS(AllData[District], $F$111, AllData[River], $G118, AllData[Phosphate (PPM)], "&lt;&gt;0")</f>
        <v>0.97303370786516852</v>
      </c>
      <c r="M118" s="67"/>
      <c r="N118" s="67"/>
      <c r="O118" s="63">
        <f>COUNTIFS(AllData[District],$F$111,AllData[River],$G118,AllData[Season],O$106, AllData[Year], "2023")</f>
        <v>2</v>
      </c>
      <c r="P118" s="64">
        <f>IFERROR(AVERAGEIFS(AllData[Nitrate (PPM)], AllData[District], $F$111, AllData[River],$G118, AllData[Season], O$106, AllData[Year], "2023"), "")</f>
        <v>3.5</v>
      </c>
      <c r="Q118" s="122">
        <f t="shared" si="108"/>
        <v>-8.3772748533672531E-2</v>
      </c>
      <c r="R118" s="65">
        <f>IFERROR(AVERAGEIFS(AllData[Phosphate (PPM)], AllData[District], $F$111, AllData[River], $G118, AllData[Season], O$106, AllData[Year], "2023"),"")</f>
        <v>0.66500000000000004</v>
      </c>
      <c r="S118" s="68">
        <f t="shared" si="109"/>
        <v>0.11408330671458326</v>
      </c>
      <c r="T118" s="67">
        <f>COUNTIFS(AllData[District],$F$111,AllData[River],$G118,AllData[Season],T$106, AllData[Year], "2023")</f>
        <v>45</v>
      </c>
      <c r="U118" s="64">
        <f>IFERROR(AVERAGEIFS(AllData[Nitrate (PPM)], AllData[District], $F$111, AllData[River],$G118, AllData[Season], T$106, AllData[Year], "2023"), "")</f>
        <v>5.7159090909090908</v>
      </c>
      <c r="V118" s="66">
        <f t="shared" si="121"/>
        <v>0.49630619314143737</v>
      </c>
      <c r="W118" s="65">
        <f>IFERROR(AVERAGEIFS(AllData[Phosphate (PPM)], AllData[District], $F$111, AllData[River], $G118, AllData[Season], T$106, AllData[Year], "2023"),"")</f>
        <v>0.51777777777777778</v>
      </c>
      <c r="X118" s="68">
        <f t="shared" si="122"/>
        <v>-0.13256003186466872</v>
      </c>
      <c r="Y118" s="67">
        <f>COUNTIFS(AllData[District],$F$111,AllData[River],$G118,AllData[Season],Y$106, AllData[Year], "2023")</f>
        <v>79</v>
      </c>
      <c r="Z118" s="64">
        <f>IFERROR(AVERAGEIFS(AllData[Nitrate (PPM)], AllData[District], $F$111, AllData[River],$G118, AllData[Season], Y$106, AllData[Year], "2023"), "")</f>
        <v>4.0594936708860754</v>
      </c>
      <c r="AA118" s="66">
        <f t="shared" si="110"/>
        <v>6.2691065263114562E-2</v>
      </c>
      <c r="AB118" s="65">
        <f>IFERROR(AVERAGEIFS(AllData[Phosphate (PPM)], AllData[District], $F$111, AllData[River], $G118, AllData[Season], Y$106, AllData[Year], "2023"),"")</f>
        <v>0.53126582278481005</v>
      </c>
      <c r="AC118" s="66">
        <f t="shared" si="111"/>
        <v>-0.10996333143978204</v>
      </c>
      <c r="AD118" s="63">
        <f>COUNTIFS(AllData[District],$F$111,AllData[River],$G118,AllData[Season],AD$106, AllData[Year], "2024")</f>
        <v>103</v>
      </c>
      <c r="AE118" s="64">
        <f>IFERROR(AVERAGEIFS(AllData[Nitrate (PPM)], AllData[District], $F$111, AllData[River],$G118, AllData[Season], AD$106, AllData[Year], "2024"), "")</f>
        <v>3.8304854368932033</v>
      </c>
      <c r="AF118" s="66">
        <f t="shared" si="112"/>
        <v>2.7414696075583472E-3</v>
      </c>
      <c r="AG118" s="65">
        <f>IFERROR(AVERAGEIFS(AllData[Phosphate (PPM)], AllData[District], $F$111, AllData[River], $G118, AllData[Season], AD$106, AllData[Year], "2024"),"")</f>
        <v>0.61679611650485455</v>
      </c>
      <c r="AH118" s="68">
        <f t="shared" si="113"/>
        <v>3.3326702322468676E-2</v>
      </c>
      <c r="AI118" s="67">
        <f>COUNTIFS(AllData[District],$F$111,AllData[River],$G118,AllData[Season],AI$106, AllData[Year], "2024")</f>
        <v>85</v>
      </c>
      <c r="AJ118" s="64">
        <f>IFERROR(AVERAGEIFS(AllData[Nitrate (PPM)], AllData[District], $F$111, AllData[River],$G118, AllData[Season], AI$106, AllData[Year], "2024"), "")</f>
        <v>3.4623529411764706</v>
      </c>
      <c r="AK118" s="66">
        <f t="shared" si="123"/>
        <v>-9.3627966028436385E-2</v>
      </c>
      <c r="AL118" s="66">
        <f t="shared" si="124"/>
        <v>-1.075630252100839E-2</v>
      </c>
      <c r="AM118" s="65">
        <f>IFERROR(AVERAGEIFS(AllData[Phosphate (PPM)], AllData[District], $F$111, AllData[River], $G118, AllData[Season], AI$106, AllData[Year], "2024"),"")</f>
        <v>0.89341176470588235</v>
      </c>
      <c r="AN118" s="66">
        <f t="shared" si="125"/>
        <v>0.49674456102442188</v>
      </c>
      <c r="AO118" s="68">
        <f t="shared" si="126"/>
        <v>0.3434763379035824</v>
      </c>
      <c r="AP118" s="67">
        <f>COUNTIFS(AllData[District],$F$111,AllData[River],$G118,AllData[Season],AP$106, AllData[Year], "2024")</f>
        <v>77</v>
      </c>
      <c r="AQ118" s="64">
        <f>IFERROR(AVERAGEIFS(AllData[Nitrate (PPM)], AllData[District], $F$111, AllData[River],$G118, AllData[Season], AP$106, AllData[Year], "2024"), "")</f>
        <v>3.3610389610389606</v>
      </c>
      <c r="AR118" s="66">
        <f t="shared" si="98"/>
        <v>-0.12014986018743778</v>
      </c>
      <c r="AS118" s="66">
        <f t="shared" si="118"/>
        <v>-0.41198523146833294</v>
      </c>
      <c r="AT118" s="65">
        <f>IFERROR(AVERAGEIFS(AllData[Phosphate (PPM)], AllData[District], $F$111, AllData[River], $G118, AllData[Season], AP$106, AllData[Year], "2024"),"")</f>
        <v>0.43623376623376625</v>
      </c>
      <c r="AU118" s="66">
        <f t="shared" si="119"/>
        <v>-0.26917179430635968</v>
      </c>
      <c r="AV118" s="68">
        <f t="shared" si="120"/>
        <v>-0.15748843431246862</v>
      </c>
      <c r="AW118" s="67">
        <f>COUNTIFS(AllData[District],$F$111,AllData[River],$G118,AllData[Season],AW$106, AllData[Year], "2024")</f>
        <v>37</v>
      </c>
      <c r="AX118" s="64">
        <f>IFERROR(AVERAGEIFS(AllData[Nitrate (PPM)], AllData[District], $F$111, AllData[River],$G118, AllData[Season], AW$106, AllData[Year], "2024"), "")</f>
        <v>2.810810810810811</v>
      </c>
      <c r="AY118" s="66">
        <f t="shared" si="127"/>
        <v>-0.26418815326256323</v>
      </c>
      <c r="AZ118" s="66">
        <f t="shared" si="102"/>
        <v>-0.30759571545352637</v>
      </c>
      <c r="BA118" s="65">
        <f>IFERROR(AVERAGEIFS(AllData[Phosphate (PPM)], AllData[District], $F$111, AllData[River], $G118, AllData[Season], AW$106, AllData[Year], "2024"),"")</f>
        <v>0.51783783783783799</v>
      </c>
      <c r="BB118" s="66">
        <f t="shared" si="128"/>
        <v>-0.13245941245066367</v>
      </c>
      <c r="BC118" s="69">
        <f t="shared" si="103"/>
        <v>-2.5275454153223562E-2</v>
      </c>
      <c r="BD118" s="63">
        <f>COUNTIFS(AllData[District],$F$111,AllData[River],$G118,AllData[Season],BD$106, AllData[Year], "2025")</f>
        <v>18</v>
      </c>
      <c r="BE118" s="64">
        <f>IFERROR(AVERAGEIFS(AllData[Nitrate (PPM)], AllData[District], $F$111, AllData[River],$G118, AllData[Season], BD$106, AllData[Year], "2025"), "")</f>
        <v>1.875</v>
      </c>
      <c r="BF118" s="66">
        <f t="shared" si="104"/>
        <v>-0.50916397242875311</v>
      </c>
      <c r="BG118" s="66">
        <f t="shared" si="105"/>
        <v>-0.51050590561159825</v>
      </c>
      <c r="BH118" s="56">
        <f>IFERROR(AVERAGEIFS(AllData[Phosphate (PPM)], AllData[District], $F$111, AllData[River], $G118, AllData[Season], BD$106, AllData[Year], "2025"),"")</f>
        <v>0.24388888888888893</v>
      </c>
      <c r="BI118" s="66">
        <f t="shared" si="106"/>
        <v>-0.59140971458003166</v>
      </c>
      <c r="BJ118" s="66">
        <f t="shared" si="107"/>
        <v>-0.60458750896339442</v>
      </c>
      <c r="BK118" s="201"/>
      <c r="BL118" s="64"/>
      <c r="BM118" s="66"/>
      <c r="BN118" s="66"/>
      <c r="BO118" s="65"/>
      <c r="BP118" s="66"/>
      <c r="BQ118" s="68"/>
      <c r="BR118" s="67"/>
      <c r="BS118" s="64"/>
      <c r="BT118" s="66"/>
      <c r="BU118" s="66"/>
      <c r="BV118" s="65"/>
      <c r="BW118" s="66"/>
      <c r="BX118" s="68"/>
      <c r="BY118" s="67"/>
      <c r="BZ118" s="64"/>
      <c r="CA118" s="66"/>
      <c r="CB118" s="66"/>
      <c r="CC118" s="65"/>
      <c r="CD118" s="66"/>
      <c r="CE118" s="69"/>
    </row>
    <row r="119" spans="5:83" x14ac:dyDescent="0.35">
      <c r="E119" s="29"/>
      <c r="F119" s="61"/>
      <c r="G119" s="62" t="s">
        <v>3571</v>
      </c>
      <c r="H119" s="63">
        <f>COUNTIFS(AllData[District], $F$111, AllData[River], $G119)</f>
        <v>19</v>
      </c>
      <c r="I119" s="64">
        <f t="shared" ref="I119:I120" si="129">AVERAGE(P119,U119,Z119,AE119,AJ119,AQ119,AX119)</f>
        <v>1.4444444444444444</v>
      </c>
      <c r="J119" s="65">
        <f t="shared" ref="J119:J120" si="130">AVERAGE(R119,W119,AB119,AG119,AM119,AT119,BA119)</f>
        <v>0.72777777777777775</v>
      </c>
      <c r="K119" s="66" cm="1">
        <f t="array" ref="K119">SUM(COUNTIFS(AllData[District], $F$111, AllData[River], $G119, AllData[Nitrate Pollution Category], {"High","Very high"}))/COUNTIFS(AllData[District], $F$111, AllData[River], $G119, AllData[Nitrate (PPM)], "&lt;&gt;0")</f>
        <v>0.88888888888888884</v>
      </c>
      <c r="L119" s="66" cm="1">
        <f t="array" ref="L119">SUM(COUNTIFS(AllData[District], $F$111, AllData[River], $G119, AllData[Phosphate Pollution Category], {"High","Very high"}))/COUNTIFS(AllData[District], $F$111, AllData[River], $G119, AllData[Phosphate (PPM)], "&lt;&gt;0")</f>
        <v>1</v>
      </c>
      <c r="M119" s="67"/>
      <c r="N119" s="67"/>
      <c r="O119" s="63">
        <f>COUNTIFS(AllData[District],$F$111,AllData[River],$G119,AllData[Season],O$106, AllData[Year], "2023")</f>
        <v>0</v>
      </c>
      <c r="P119" s="64" t="str">
        <f>IFERROR(AVERAGEIFS(AllData[Nitrate (PPM)], AllData[District], $F$111, AllData[River],$G119, AllData[Season], O$106, AllData[Year], "2023"), "")</f>
        <v/>
      </c>
      <c r="Q119" s="122" t="str">
        <f t="shared" ref="Q119:Q120" si="131">IFERROR((P119-$I119)/$I119, "")</f>
        <v/>
      </c>
      <c r="R119" s="65" t="str">
        <f>IFERROR(AVERAGEIFS(AllData[Phosphate (PPM)], AllData[District], $F$111, AllData[River], $G119, AllData[Season], O$106, AllData[Year], "2023"),"")</f>
        <v/>
      </c>
      <c r="S119" s="68" t="str">
        <f t="shared" ref="S119:S120" si="132">IFERROR((R119-$J119)/$J119, "")</f>
        <v/>
      </c>
      <c r="T119" s="67">
        <f>COUNTIFS(AllData[District],$F$111,AllData[River],$G119,AllData[Season],T$106, AllData[Year], "2023")</f>
        <v>0</v>
      </c>
      <c r="U119" s="64" t="str">
        <f>IFERROR(AVERAGEIFS(AllData[Nitrate (PPM)], AllData[District], $F$111, AllData[River],$G119, AllData[Season], T$106, AllData[Year], "2023"), "")</f>
        <v/>
      </c>
      <c r="V119" s="66" t="str">
        <f t="shared" ref="V119:V120" si="133">IFERROR((U119-I119)/I119,"")</f>
        <v/>
      </c>
      <c r="W119" s="65" t="str">
        <f>IFERROR(AVERAGEIFS(AllData[Phosphate (PPM)], AllData[District], $F$111, AllData[River], $G119, AllData[Season], T$106, AllData[Year], "2023"),"")</f>
        <v/>
      </c>
      <c r="X119" s="68" t="str">
        <f t="shared" ref="X119:X120" si="134">IFERROR((W119-J119)/J119,"")</f>
        <v/>
      </c>
      <c r="Y119" s="67">
        <f>COUNTIFS(AllData[District],$F$111,AllData[River],$G119,AllData[Season],Y$106, AllData[Year], "2023")</f>
        <v>0</v>
      </c>
      <c r="Z119" s="64" t="str">
        <f>IFERROR(AVERAGEIFS(AllData[Nitrate (PPM)], AllData[District], $F$111, AllData[River],$G119, AllData[Season], Y$106, AllData[Year], "2023"), "")</f>
        <v/>
      </c>
      <c r="AA119" s="66" t="str">
        <f t="shared" ref="AA119:AA120" si="135">IFERROR((Z119-$I119)/$I119, "")</f>
        <v/>
      </c>
      <c r="AB119" s="65" t="str">
        <f>IFERROR(AVERAGEIFS(AllData[Phosphate (PPM)], AllData[District], $F$111, AllData[River], $G119, AllData[Season], Y$106, AllData[Year], "2023"),"")</f>
        <v/>
      </c>
      <c r="AC119" s="66" t="str">
        <f t="shared" ref="AC119:AC120" si="136">IFERROR((AB119-$J119)/$J119,"")</f>
        <v/>
      </c>
      <c r="AD119" s="63">
        <f>COUNTIFS(AllData[District],$F$111,AllData[River],$G119,AllData[Season],AD$106, AllData[Year], "2024")</f>
        <v>0</v>
      </c>
      <c r="AE119" s="64" t="str">
        <f>IFERROR(AVERAGEIFS(AllData[Nitrate (PPM)], AllData[District], $F$111, AllData[River],$G119, AllData[Season], AD$106, AllData[Year], "2024"), "")</f>
        <v/>
      </c>
      <c r="AF119" s="66" t="str">
        <f t="shared" ref="AF119:AF120" si="137">IFERROR((AE119-$I119)/$I119,"")</f>
        <v/>
      </c>
      <c r="AG119" s="65" t="str">
        <f>IFERROR(AVERAGEIFS(AllData[Phosphate (PPM)], AllData[District], $F$111, AllData[River], $G119, AllData[Season], AD$106, AllData[Year], "2024"),"")</f>
        <v/>
      </c>
      <c r="AH119" s="68" t="str">
        <f t="shared" ref="AH119:AH120" si="138">IFERROR((AG119-$J119)/$J119,"")</f>
        <v/>
      </c>
      <c r="AI119" s="67">
        <f>COUNTIFS(AllData[District],$F$111,AllData[River],$G119,AllData[Season],AI$106, AllData[Year], "2024")</f>
        <v>0</v>
      </c>
      <c r="AJ119" s="64" t="str">
        <f>IFERROR(AVERAGEIFS(AllData[Nitrate (PPM)], AllData[District], $F$111, AllData[River],$G119, AllData[Season], AI$106, AllData[Year], "2024"), "")</f>
        <v/>
      </c>
      <c r="AK119" s="66" t="str">
        <f t="shared" ref="AK119:AK120" si="139">IFERROR((AJ119-I119)/I119, "")</f>
        <v/>
      </c>
      <c r="AL119" s="66" t="str">
        <f t="shared" ref="AL119:AL120" si="140">IFERROR((AJ119-P119)/P119,"")</f>
        <v/>
      </c>
      <c r="AM119" s="65" t="str">
        <f>IFERROR(AVERAGEIFS(AllData[Phosphate (PPM)], AllData[District], $F$111, AllData[River], $G119, AllData[Season], AI$106, AllData[Year], "2024"),"")</f>
        <v/>
      </c>
      <c r="AN119" s="66" t="str">
        <f t="shared" ref="AN119:AN120" si="141">IFERROR((AM119-J119)/J119, "")</f>
        <v/>
      </c>
      <c r="AO119" s="68" t="str">
        <f t="shared" ref="AO119:AO120" si="142">IFERROR((AM119-R119)/R119,"")</f>
        <v/>
      </c>
      <c r="AP119" s="67">
        <f>COUNTIFS(AllData[District],$F$111,AllData[River],$G119,AllData[Season],AP$106, AllData[Year], "2024")</f>
        <v>0</v>
      </c>
      <c r="AQ119" s="64" t="str">
        <f>IFERROR(AVERAGEIFS(AllData[Nitrate (PPM)], AllData[District], $F$111, AllData[River],$G119, AllData[Season], AP$106, AllData[Year], "2024"), "")</f>
        <v/>
      </c>
      <c r="AR119" s="66" t="str">
        <f t="shared" si="98"/>
        <v/>
      </c>
      <c r="AS119" s="66" t="str">
        <f t="shared" ref="AS119:AS120" si="143">IFERROR((AQ119-U119)/U119,"")</f>
        <v/>
      </c>
      <c r="AT119" s="65" t="str">
        <f>IFERROR(AVERAGEIFS(AllData[Phosphate (PPM)], AllData[District], $F$111, AllData[River], $G119, AllData[Season], AP$106, AllData[Year], "2024"),"")</f>
        <v/>
      </c>
      <c r="AU119" s="66" t="str">
        <f t="shared" ref="AU119:AU120" si="144">IFERROR((AT119-J119)/J119, "")</f>
        <v/>
      </c>
      <c r="AV119" s="68" t="str">
        <f t="shared" ref="AV119:AV120" si="145">IFERROR((AT119-W119)/W119,"")</f>
        <v/>
      </c>
      <c r="AW119" s="67">
        <f>COUNTIFS(AllData[District],$F$111,AllData[River],$G119,AllData[Season],AW$106, AllData[Year], "2024")</f>
        <v>9</v>
      </c>
      <c r="AX119" s="64">
        <f>IFERROR(AVERAGEIFS(AllData[Nitrate (PPM)], AllData[District], $F$111, AllData[River],$G119, AllData[Season], AW$106, AllData[Year], "2024"), "")</f>
        <v>1.4444444444444444</v>
      </c>
      <c r="AY119" s="66">
        <f t="shared" si="127"/>
        <v>0</v>
      </c>
      <c r="AZ119" s="66" t="str">
        <f t="shared" si="102"/>
        <v/>
      </c>
      <c r="BA119" s="65">
        <f>IFERROR(AVERAGEIFS(AllData[Phosphate (PPM)], AllData[District], $F$111, AllData[River], $G119, AllData[Season], AW$106, AllData[Year], "2024"),"")</f>
        <v>0.72777777777777775</v>
      </c>
      <c r="BB119" s="66">
        <f t="shared" si="128"/>
        <v>0</v>
      </c>
      <c r="BC119" s="69" t="str">
        <f t="shared" si="103"/>
        <v/>
      </c>
      <c r="BD119" s="63">
        <f>COUNTIFS(AllData[District],$F$111,AllData[River],$G119,AllData[Season],BD$106, AllData[Year], "2025")</f>
        <v>10</v>
      </c>
      <c r="BE119" s="64">
        <f>IFERROR(AVERAGEIFS(AllData[Nitrate (PPM)], AllData[District], $F$111, AllData[River],$G119, AllData[Season], BD$106, AllData[Year], "2025"), "")</f>
        <v>3.2</v>
      </c>
      <c r="BF119" s="66">
        <f t="shared" si="104"/>
        <v>1.2153846153846155</v>
      </c>
      <c r="BG119" s="66" t="str">
        <f t="shared" si="105"/>
        <v/>
      </c>
      <c r="BH119" s="56">
        <f>IFERROR(AVERAGEIFS(AllData[Phosphate (PPM)], AllData[District], $F$111, AllData[River], $G119, AllData[Season], BD$106, AllData[Year], "2025"),"")</f>
        <v>0.40700000000000003</v>
      </c>
      <c r="BI119" s="66">
        <f t="shared" si="106"/>
        <v>-0.44076335877862588</v>
      </c>
      <c r="BJ119" s="66" t="str">
        <f t="shared" si="107"/>
        <v/>
      </c>
      <c r="BK119" s="201"/>
      <c r="BL119" s="64"/>
      <c r="BM119" s="66"/>
      <c r="BN119" s="66"/>
      <c r="BO119" s="65"/>
      <c r="BP119" s="66"/>
      <c r="BQ119" s="68"/>
      <c r="BR119" s="67"/>
      <c r="BS119" s="64"/>
      <c r="BT119" s="66"/>
      <c r="BU119" s="66"/>
      <c r="BV119" s="65"/>
      <c r="BW119" s="66"/>
      <c r="BX119" s="68"/>
      <c r="BY119" s="67"/>
      <c r="BZ119" s="64"/>
      <c r="CA119" s="66"/>
      <c r="CB119" s="66"/>
      <c r="CC119" s="65"/>
      <c r="CD119" s="66"/>
      <c r="CE119" s="69"/>
    </row>
    <row r="120" spans="5:83" x14ac:dyDescent="0.35">
      <c r="E120" s="29"/>
      <c r="F120" s="61"/>
      <c r="G120" s="62" t="s">
        <v>3572</v>
      </c>
      <c r="H120" s="63">
        <f>COUNTIFS(AllData[District], $F$111, AllData[River], $G120)</f>
        <v>38</v>
      </c>
      <c r="I120" s="64">
        <f t="shared" si="129"/>
        <v>4.9373913043478268</v>
      </c>
      <c r="J120" s="65">
        <f t="shared" si="130"/>
        <v>0.17249999999999999</v>
      </c>
      <c r="K120" s="66" cm="1">
        <f t="array" ref="K120">SUM(COUNTIFS(AllData[District], $F$111, AllData[River], $G120, AllData[Nitrate Pollution Category], {"High","Very high"}))/COUNTIFS(AllData[District], $F$111, AllData[River], $G120, AllData[Nitrate (PPM)], "&lt;&gt;0")</f>
        <v>0.94736842105263153</v>
      </c>
      <c r="L120" s="66" cm="1">
        <f t="array" ref="L120">SUM(COUNTIFS(AllData[District], $F$111, AllData[River], $G120, AllData[Phosphate Pollution Category], {"High","Very high"}))/COUNTIFS(AllData[District], $F$111, AllData[River], $G120, AllData[Phosphate (PPM)], "&lt;&gt;0")</f>
        <v>0.72972972972972971</v>
      </c>
      <c r="M120" s="67"/>
      <c r="N120" s="67"/>
      <c r="O120" s="63">
        <f>COUNTIFS(AllData[District],$F$111,AllData[River],$G120,AllData[Season],O$106, AllData[Year], "2023")</f>
        <v>0</v>
      </c>
      <c r="P120" s="64" t="str">
        <f>IFERROR(AVERAGEIFS(AllData[Nitrate (PPM)], AllData[District], $F$111, AllData[River],$G120, AllData[Season], O$106, AllData[Year], "2023"), "")</f>
        <v/>
      </c>
      <c r="Q120" s="122" t="str">
        <f t="shared" si="131"/>
        <v/>
      </c>
      <c r="R120" s="65" t="str">
        <f>IFERROR(AVERAGEIFS(AllData[Phosphate (PPM)], AllData[District], $F$111, AllData[River], $G120, AllData[Season], O$106, AllData[Year], "2023"),"")</f>
        <v/>
      </c>
      <c r="S120" s="68" t="str">
        <f t="shared" si="132"/>
        <v/>
      </c>
      <c r="T120" s="67">
        <f>COUNTIFS(AllData[District],$F$111,AllData[River],$G120,AllData[Season],T$106, AllData[Year], "2023")</f>
        <v>0</v>
      </c>
      <c r="U120" s="64" t="str">
        <f>IFERROR(AVERAGEIFS(AllData[Nitrate (PPM)], AllData[District], $F$111, AllData[River],$G120, AllData[Season], T$106, AllData[Year], "2023"), "")</f>
        <v/>
      </c>
      <c r="V120" s="66" t="str">
        <f t="shared" si="133"/>
        <v/>
      </c>
      <c r="W120" s="65" t="str">
        <f>IFERROR(AVERAGEIFS(AllData[Phosphate (PPM)], AllData[District], $F$111, AllData[River], $G120, AllData[Season], T$106, AllData[Year], "2023"),"")</f>
        <v/>
      </c>
      <c r="X120" s="68" t="str">
        <f t="shared" si="134"/>
        <v/>
      </c>
      <c r="Y120" s="67">
        <f>COUNTIFS(AllData[District],$F$111,AllData[River],$G120,AllData[Season],Y$106, AllData[Year], "2023")</f>
        <v>0</v>
      </c>
      <c r="Z120" s="64" t="str">
        <f>IFERROR(AVERAGEIFS(AllData[Nitrate (PPM)], AllData[District], $F$111, AllData[River],$G120, AllData[Season], Y$106, AllData[Year], "2023"), "")</f>
        <v/>
      </c>
      <c r="AA120" s="66" t="str">
        <f t="shared" si="135"/>
        <v/>
      </c>
      <c r="AB120" s="65" t="str">
        <f>IFERROR(AVERAGEIFS(AllData[Phosphate (PPM)], AllData[District], $F$111, AllData[River], $G120, AllData[Season], Y$106, AllData[Year], "2023"),"")</f>
        <v/>
      </c>
      <c r="AC120" s="66" t="str">
        <f t="shared" si="136"/>
        <v/>
      </c>
      <c r="AD120" s="63">
        <f>COUNTIFS(AllData[District],$F$111,AllData[River],$G120,AllData[Season],AD$106, AllData[Year], "2024")</f>
        <v>0</v>
      </c>
      <c r="AE120" s="64" t="str">
        <f>IFERROR(AVERAGEIFS(AllData[Nitrate (PPM)], AllData[District], $F$111, AllData[River],$G120, AllData[Season], AD$106, AllData[Year], "2024"), "")</f>
        <v/>
      </c>
      <c r="AF120" s="66" t="str">
        <f t="shared" si="137"/>
        <v/>
      </c>
      <c r="AG120" s="65" t="str">
        <f>IFERROR(AVERAGEIFS(AllData[Phosphate (PPM)], AllData[District], $F$111, AllData[River], $G120, AllData[Season], AD$106, AllData[Year], "2024"),"")</f>
        <v/>
      </c>
      <c r="AH120" s="68" t="str">
        <f t="shared" si="138"/>
        <v/>
      </c>
      <c r="AI120" s="67">
        <f>COUNTIFS(AllData[District],$F$111,AllData[River],$G120,AllData[Season],AI$106, AllData[Year], "2024")</f>
        <v>0</v>
      </c>
      <c r="AJ120" s="64" t="str">
        <f>IFERROR(AVERAGEIFS(AllData[Nitrate (PPM)], AllData[District], $F$111, AllData[River],$G120, AllData[Season], AI$106, AllData[Year], "2024"), "")</f>
        <v/>
      </c>
      <c r="AK120" s="66" t="str">
        <f t="shared" si="139"/>
        <v/>
      </c>
      <c r="AL120" s="66" t="str">
        <f t="shared" si="140"/>
        <v/>
      </c>
      <c r="AM120" s="65" t="str">
        <f>IFERROR(AVERAGEIFS(AllData[Phosphate (PPM)], AllData[District], $F$111, AllData[River], $G120, AllData[Season], AI$106, AllData[Year], "2024"),"")</f>
        <v/>
      </c>
      <c r="AN120" s="66" t="str">
        <f t="shared" si="141"/>
        <v/>
      </c>
      <c r="AO120" s="68" t="str">
        <f t="shared" si="142"/>
        <v/>
      </c>
      <c r="AP120" s="67">
        <f>COUNTIFS(AllData[District],$F$111,AllData[River],$G120,AllData[Season],AP$106, AllData[Year], "2024")</f>
        <v>2</v>
      </c>
      <c r="AQ120" s="64">
        <f>IFERROR(AVERAGEIFS(AllData[Nitrate (PPM)], AllData[District], $F$111, AllData[River],$G120, AllData[Season], AP$106, AllData[Year], "2024"), "")</f>
        <v>5</v>
      </c>
      <c r="AR120" s="66">
        <f t="shared" si="98"/>
        <v>1.2680521310320388E-2</v>
      </c>
      <c r="AS120" s="66" t="str">
        <f t="shared" si="143"/>
        <v/>
      </c>
      <c r="AT120" s="65" t="str">
        <f>IFERROR(AVERAGEIFS(AllData[Phosphate (PPM)], AllData[District], $F$111, AllData[River], $G120, AllData[Season], AP$106, AllData[Year], "2024"),"")</f>
        <v/>
      </c>
      <c r="AU120" s="66" t="str">
        <f t="shared" si="144"/>
        <v/>
      </c>
      <c r="AV120" s="68" t="str">
        <f t="shared" si="145"/>
        <v/>
      </c>
      <c r="AW120" s="67">
        <f>COUNTIFS(AllData[District],$F$111,AllData[River],$G120,AllData[Season],AW$106, AllData[Year], "2024")</f>
        <v>24</v>
      </c>
      <c r="AX120" s="64">
        <f>IFERROR(AVERAGEIFS(AllData[Nitrate (PPM)], AllData[District], $F$111, AllData[River],$G120, AllData[Season], AW$106, AllData[Year], "2024"), "")</f>
        <v>4.8747826086956527</v>
      </c>
      <c r="AY120" s="66">
        <f t="shared" si="127"/>
        <v>-1.2680521310320568E-2</v>
      </c>
      <c r="AZ120" s="66" t="str">
        <f t="shared" si="102"/>
        <v/>
      </c>
      <c r="BA120" s="65">
        <f>IFERROR(AVERAGEIFS(AllData[Phosphate (PPM)], AllData[District], $F$111, AllData[River], $G120, AllData[Season], AW$106, AllData[Year], "2024"),"")</f>
        <v>0.17249999999999999</v>
      </c>
      <c r="BB120" s="66">
        <f t="shared" si="128"/>
        <v>0</v>
      </c>
      <c r="BC120" s="69" t="str">
        <f t="shared" si="103"/>
        <v/>
      </c>
      <c r="BD120" s="63">
        <f>COUNTIFS(AllData[District],$F$111,AllData[River],$G120,AllData[Season],BD$106, AllData[Year], "2025")</f>
        <v>12</v>
      </c>
      <c r="BE120" s="64">
        <f>IFERROR(AVERAGEIFS(AllData[Nitrate (PPM)], AllData[District], $F$111, AllData[River],$G120, AllData[Season], BD$106, AllData[Year], "2025"), "")</f>
        <v>5.375</v>
      </c>
      <c r="BF120" s="66">
        <f t="shared" si="104"/>
        <v>8.863156040859442E-2</v>
      </c>
      <c r="BG120" s="66" t="str">
        <f t="shared" si="105"/>
        <v/>
      </c>
      <c r="BH120" s="56">
        <f>IFERROR(AVERAGEIFS(AllData[Phosphate (PPM)], AllData[District], $F$111, AllData[River], $G120, AllData[Season], BD$106, AllData[Year], "2025"),"")</f>
        <v>0.15833333333333335</v>
      </c>
      <c r="BI120" s="66">
        <f t="shared" si="106"/>
        <v>-8.2125603864734109E-2</v>
      </c>
      <c r="BJ120" s="66" t="str">
        <f t="shared" si="107"/>
        <v/>
      </c>
      <c r="BK120" s="201"/>
      <c r="BL120" s="64"/>
      <c r="BM120" s="66"/>
      <c r="BN120" s="66"/>
      <c r="BO120" s="65"/>
      <c r="BP120" s="66"/>
      <c r="BQ120" s="68"/>
      <c r="BR120" s="67"/>
      <c r="BS120" s="64"/>
      <c r="BT120" s="66"/>
      <c r="BU120" s="66"/>
      <c r="BV120" s="65"/>
      <c r="BW120" s="66"/>
      <c r="BX120" s="68"/>
      <c r="BY120" s="67"/>
      <c r="BZ120" s="64"/>
      <c r="CA120" s="66"/>
      <c r="CB120" s="66"/>
      <c r="CC120" s="65"/>
      <c r="CD120" s="66"/>
      <c r="CE120" s="69"/>
    </row>
    <row r="121" spans="5:83" s="71" customFormat="1" x14ac:dyDescent="0.35">
      <c r="E121" s="74"/>
      <c r="F121" s="84"/>
      <c r="G121" s="91" t="s">
        <v>3623</v>
      </c>
      <c r="H121" s="85">
        <f>COUNTIFS(AllData[District], $F$111)</f>
        <v>1441</v>
      </c>
      <c r="I121" s="88">
        <f t="shared" si="84"/>
        <v>5.5098366558123315</v>
      </c>
      <c r="J121" s="89">
        <f t="shared" si="85"/>
        <v>0.64377922758977102</v>
      </c>
      <c r="K121" s="86" cm="1">
        <f t="array" ref="K121">SUM(COUNTIFS(AllData[District], F111, AllData[Nitrate Pollution Category], {"High","Very high"}))/COUNTIFS(AllData[District], F111, AllData[Nitrate (PPM)], "&lt;&gt;0")</f>
        <v>0.93451957295373667</v>
      </c>
      <c r="L121" s="86" cm="1">
        <f t="array" ref="L121">SUM(COUNTIFS(AllData[District], F111, AllData[Phosphate Pollution Category], {"High","Very high"}))/COUNTIFS(AllData[District], F111, AllData[Phosphate (PPM)], "&lt;&gt;0")</f>
        <v>0.95649122807017539</v>
      </c>
      <c r="M121" s="87">
        <v>3</v>
      </c>
      <c r="N121" s="87">
        <v>3</v>
      </c>
      <c r="O121" s="85">
        <f>COUNTIFS(AllData[District], $F$111, AllData[Season], O$106, AllData[Year], "2023")</f>
        <v>44</v>
      </c>
      <c r="P121" s="88">
        <f>IFERROR(AVERAGEIFS(AllData[Nitrate (PPM)], AllData[District], $F111, AllData[Season], O$106, AllData[Year], "2023"), "")</f>
        <v>6.8181818181818183</v>
      </c>
      <c r="Q121" s="86">
        <f t="shared" si="108"/>
        <v>0.23745625217206981</v>
      </c>
      <c r="R121" s="89">
        <f>IFERROR(AVERAGEIFS(AllData[Phosphate (PPM)], AllData[District], $F111, AllData[Season], O$106, AllData[Year], "2023"),"")</f>
        <v>0.60909090909090913</v>
      </c>
      <c r="S121" s="90">
        <f t="shared" si="109"/>
        <v>-5.3882320230695578E-2</v>
      </c>
      <c r="T121" s="87">
        <f>COUNTIFS(AllData[District], $F$111, AllData[Season], T$106, AllData[Year], "2023")</f>
        <v>130</v>
      </c>
      <c r="U121" s="88">
        <f>IFERROR(AVERAGEIFS(AllData[Nitrate (PPM)], AllData[District], $F111, AllData[Season], T$106, AllData[Year], "2023"), "")</f>
        <v>6.7628906249999998</v>
      </c>
      <c r="V121" s="86">
        <f t="shared" ref="V121:V126" si="146">IFERROR((U121-$I121)/$I121, "")</f>
        <v>0.22742125537711189</v>
      </c>
      <c r="W121" s="89">
        <f>IFERROR(AVERAGEIFS(AllData[Phosphate (PPM)], AllData[District], $F111, AllData[Season], T$106, AllData[Year], "2023"),"")</f>
        <v>0.5893846153846154</v>
      </c>
      <c r="X121" s="90">
        <f t="shared" ref="X121:X126" si="147">IFERROR((W121-$J121)/$J121, "")</f>
        <v>-8.4492648836779427E-2</v>
      </c>
      <c r="Y121" s="87">
        <f>COUNTIFS(AllData[District], $F$111, AllData[Season], Y$106, AllData[Year], "2023")</f>
        <v>194</v>
      </c>
      <c r="Z121" s="88">
        <f>IFERROR(AVERAGEIFS(AllData[Nitrate (PPM)], AllData[District], $F111, AllData[Season], Y$106, AllData[Year], "2023"), "")</f>
        <v>5.4829896907216495</v>
      </c>
      <c r="AA121" s="86">
        <f t="shared" si="110"/>
        <v>-4.8725519044854216E-3</v>
      </c>
      <c r="AB121" s="89">
        <f>IFERROR(AVERAGEIFS(AllData[Phosphate (PPM)], AllData[District], $F111, AllData[Season], Y$106, AllData[Year], "2023"),"")</f>
        <v>0.57855670103092816</v>
      </c>
      <c r="AC121" s="90">
        <f t="shared" si="111"/>
        <v>-0.10131194633760995</v>
      </c>
      <c r="AD121" s="85">
        <f>COUNTIFS(AllData[District], $F$111, AllData[Season], AD$106, AllData[Year], "2024")</f>
        <v>306</v>
      </c>
      <c r="AE121" s="88">
        <f>IFERROR(AVERAGEIFS(AllData[Nitrate (PPM)], AllData[District], $F111, AllData[Season], AD$106, AllData[Year], "2024"), "")</f>
        <v>4.3694117647058821</v>
      </c>
      <c r="AF121" s="86">
        <f t="shared" si="112"/>
        <v>-0.20697980037274138</v>
      </c>
      <c r="AG121" s="89">
        <f>IFERROR(AVERAGEIFS(AllData[Phosphate (PPM)], AllData[District], $F111, AllData[Season], AD$106, AllData[Year], "2024"),"")</f>
        <v>0.6088562091503269</v>
      </c>
      <c r="AH121" s="90">
        <f t="shared" si="113"/>
        <v>-5.4246886110618286E-2</v>
      </c>
      <c r="AI121" s="87">
        <f>COUNTIFS(AllData[District], $F$111, AllData[Season], AI$106, AllData[Year], "2024")</f>
        <v>233</v>
      </c>
      <c r="AJ121" s="88">
        <f>IFERROR(AVERAGEIFS(AllData[Nitrate (PPM)], AllData[District], $F111, AllData[Season], AI$106, AllData[Year], "2024"), "")</f>
        <v>4.9624463519313302</v>
      </c>
      <c r="AK121" s="86">
        <f t="shared" ref="AK121:AK126" si="148">IFERROR((AJ121-$I121)/$I121, "")</f>
        <v>-9.9347827907667427E-2</v>
      </c>
      <c r="AL121" s="86">
        <f t="shared" si="115"/>
        <v>-0.27217453505007161</v>
      </c>
      <c r="AM121" s="89">
        <f>IFERROR(AVERAGEIFS(AllData[Phosphate (PPM)], AllData[District], $F111, AllData[Season], AI$106, AllData[Year], "2024"),"")</f>
        <v>0.81716738197424899</v>
      </c>
      <c r="AN121" s="86">
        <f t="shared" ref="AN121:AN126" si="149">IFERROR((AM121-$J121)/$J121, "")</f>
        <v>0.26932859426611439</v>
      </c>
      <c r="AO121" s="90">
        <f t="shared" si="117"/>
        <v>0.34161808980846842</v>
      </c>
      <c r="AP121" s="87">
        <f>COUNTIFS(AllData[District], $F$111, AllData[Season], AP$106, AllData[Year], "2024")</f>
        <v>216</v>
      </c>
      <c r="AQ121" s="88">
        <f>IFERROR(AVERAGEIFS(AllData[Nitrate (PPM)], AllData[District], $F111, AllData[Season], AP$106, AllData[Year], "2024"), "")</f>
        <v>5.6369767441860468</v>
      </c>
      <c r="AR121" s="86">
        <f t="shared" si="98"/>
        <v>2.3075110264765303E-2</v>
      </c>
      <c r="AS121" s="86">
        <f t="shared" si="118"/>
        <v>-0.16648411799709581</v>
      </c>
      <c r="AT121" s="89">
        <f>IFERROR(AVERAGEIFS(AllData[Phosphate (PPM)], AllData[District], $F111, AllData[Season], AP$106, AllData[Year], "2024"),"")</f>
        <v>0.65713615023474192</v>
      </c>
      <c r="AU121" s="86">
        <f t="shared" si="119"/>
        <v>2.0747675713268278E-2</v>
      </c>
      <c r="AV121" s="90">
        <f t="shared" si="120"/>
        <v>0.11495300875119353</v>
      </c>
      <c r="AW121" s="87">
        <f>COUNTIFS(AllData[District], $F$111, AllData[Season], AW$106, AllData[Year], "2024")</f>
        <v>199</v>
      </c>
      <c r="AX121" s="88">
        <f>IFERROR(AVERAGEIFS(AllData[Nitrate (PPM)], AllData[District], $F111, AllData[Season], AW$106, AllData[Year], "2024"), "")</f>
        <v>4.5359595959595964</v>
      </c>
      <c r="AY121" s="86">
        <f>IFERROR((AX121-$I121)/$I121, "")</f>
        <v>-0.17675243762905227</v>
      </c>
      <c r="AZ121" s="86">
        <f t="shared" si="102"/>
        <v>-0.17272148010138039</v>
      </c>
      <c r="BA121" s="89">
        <f>IFERROR(AVERAGEIFS(AllData[Phosphate (PPM)], AllData[District], $F111, AllData[Season], AW$106, AllData[Year], "2024"),"")</f>
        <v>0.64626262626262643</v>
      </c>
      <c r="BB121" s="86">
        <f>IFERROR((BA121-$J121)/$J121, "")</f>
        <v>3.8575315363202109E-3</v>
      </c>
      <c r="BC121" s="93">
        <f t="shared" si="103"/>
        <v>0.11702556570696238</v>
      </c>
      <c r="BD121" s="85">
        <f>COUNTIFS(AllData[District], $F$111, AllData[Season], BD$106, AllData[Year], "2025")</f>
        <v>119</v>
      </c>
      <c r="BE121" s="88">
        <f>IFERROR(AVERAGEIFS(AllData[Nitrate (PPM)], AllData[District], $F111, AllData[Season], BD$106, AllData[Year], "2025"), "")</f>
        <v>6.1953781512605044</v>
      </c>
      <c r="BF121" s="86">
        <f t="shared" si="104"/>
        <v>0.12442138275097403</v>
      </c>
      <c r="BG121" s="86">
        <f t="shared" si="105"/>
        <v>0.41789753057927548</v>
      </c>
      <c r="BH121" s="89">
        <f>IFERROR(AVERAGEIFS(AllData[Phosphate (PPM)], AllData[District], $F111, AllData[Season], BD$106, AllData[Year], "2025"),"")</f>
        <v>1.0046218487394962</v>
      </c>
      <c r="BI121" s="86">
        <f t="shared" si="106"/>
        <v>0.56050677885441391</v>
      </c>
      <c r="BJ121" s="86">
        <f t="shared" si="107"/>
        <v>0.65001495203846171</v>
      </c>
      <c r="BK121" s="202"/>
      <c r="BL121" s="88"/>
      <c r="BM121" s="86"/>
      <c r="BN121" s="86"/>
      <c r="BO121" s="89"/>
      <c r="BP121" s="86"/>
      <c r="BQ121" s="90"/>
      <c r="BR121" s="87"/>
      <c r="BS121" s="88"/>
      <c r="BT121" s="86"/>
      <c r="BU121" s="86"/>
      <c r="BV121" s="89"/>
      <c r="BW121" s="86"/>
      <c r="BX121" s="90"/>
      <c r="BY121" s="87"/>
      <c r="BZ121" s="88"/>
      <c r="CA121" s="86"/>
      <c r="CB121" s="86"/>
      <c r="CC121" s="89"/>
      <c r="CD121" s="86"/>
      <c r="CE121" s="93"/>
    </row>
    <row r="122" spans="5:83" x14ac:dyDescent="0.35">
      <c r="E122" s="29"/>
      <c r="F122" s="52" t="e" vm="4">
        <v>#VALUE!</v>
      </c>
      <c r="G122" s="53" t="s">
        <v>3552</v>
      </c>
      <c r="H122" s="54">
        <f>COUNTIFS(AllData[District], $F$122, AllData[River], $G122)</f>
        <v>255</v>
      </c>
      <c r="I122" s="55">
        <f t="shared" si="84"/>
        <v>8.050527004691137</v>
      </c>
      <c r="J122" s="56">
        <f t="shared" si="85"/>
        <v>0.80747052916414608</v>
      </c>
      <c r="K122" s="57" cm="1">
        <f t="array" ref="K122">SUM(COUNTIFS(AllData[District], $F$122, AllData[River], $G122, AllData[Nitrate Pollution Category], {"High","Very high"}))/COUNTIFS(AllData[District], $F$122, AllData[River], $G122, AllData[Nitrate (PPM)], "&lt;&gt;0")</f>
        <v>0.99212598425196852</v>
      </c>
      <c r="L122" s="57" cm="1">
        <f t="array" ref="L122">SUM(COUNTIFS(AllData[District], $F$122, AllData[River], $G122, AllData[Phosphate Pollution Category], {"High","Very high"}))/COUNTIFS(AllData[District], $F$122, AllData[River], $G122, AllData[Phosphate (PPM)], "&lt;&gt;0")</f>
        <v>0.98039215686274506</v>
      </c>
      <c r="M122" s="58"/>
      <c r="N122" s="58"/>
      <c r="O122" s="54">
        <f>COUNTIFS(AllData[District],$F$122,AllData[River],$G122,AllData[Season],O$106, AllData[Year], "2023")</f>
        <v>14</v>
      </c>
      <c r="P122" s="64">
        <f>IFERROR(AVERAGEIFS(AllData[Nitrate (PPM)], AllData[District], $F$122, AllData[River],$G122, AllData[Season], O$106, AllData[Year], "2023"), "")</f>
        <v>8.9230769230769234</v>
      </c>
      <c r="Q122" s="57">
        <f t="shared" si="108"/>
        <v>0.10838419868380557</v>
      </c>
      <c r="R122" s="56">
        <f>IFERROR(AVERAGEIFS(AllData[Phosphate (PPM)], AllData[District], $F$122, AllData[River], $G122, AllData[Season], O$106, AllData[Year], "2023"),"")</f>
        <v>1.0514285714285714</v>
      </c>
      <c r="S122" s="59">
        <f t="shared" si="109"/>
        <v>0.30212624913624864</v>
      </c>
      <c r="T122" s="58">
        <f>COUNTIFS(AllData[District],$F$122,AllData[River],$G122,AllData[Season],T$106, AllData[Year], "2023")</f>
        <v>15</v>
      </c>
      <c r="U122" s="64">
        <f>IFERROR(AVERAGEIFS(AllData[Nitrate (PPM)], AllData[District], $F$122, AllData[River],$G122, AllData[Season], T$106, AllData[Year], "2023"), "")</f>
        <v>8.1999999999999993</v>
      </c>
      <c r="V122" s="57">
        <f t="shared" si="146"/>
        <v>1.8566858445635E-2</v>
      </c>
      <c r="W122" s="56">
        <f>IFERROR(AVERAGEIFS(AllData[Phosphate (PPM)], AllData[District], $F$122, AllData[River], $G122, AllData[Season], T$106, AllData[Year], "2023"),"")</f>
        <v>0.95533333333333337</v>
      </c>
      <c r="X122" s="59">
        <f t="shared" si="147"/>
        <v>0.18311851495341586</v>
      </c>
      <c r="Y122" s="58">
        <f>COUNTIFS(AllData[District],$F$122,AllData[River],$G122,AllData[Season],Y$106, AllData[Year], "2023")</f>
        <v>22</v>
      </c>
      <c r="Z122" s="64">
        <f>IFERROR(AVERAGEIFS(AllData[Nitrate (PPM)], AllData[District], $F$122, AllData[River],$G122, AllData[Season], Y$106, AllData[Year], "2023"), "")</f>
        <v>6.1363636363636367</v>
      </c>
      <c r="AA122" s="57">
        <f t="shared" si="110"/>
        <v>-0.23776870349134843</v>
      </c>
      <c r="AB122" s="56">
        <f>IFERROR(AVERAGEIFS(AllData[Phosphate (PPM)], AllData[District], $F$122, AllData[River], $G122, AllData[Season], Y$106, AllData[Year], "2023"),"")</f>
        <v>0.71181818181818168</v>
      </c>
      <c r="AC122" s="59">
        <f t="shared" si="111"/>
        <v>-0.11845924264874289</v>
      </c>
      <c r="AD122" s="54">
        <f>COUNTIFS(AllData[District],$F$122,AllData[River],$G122,AllData[Season],AD$106, AllData[Year], "2024")</f>
        <v>37</v>
      </c>
      <c r="AE122" s="64">
        <f>IFERROR(AVERAGEIFS(AllData[Nitrate (PPM)], AllData[District], $F$122, AllData[River],$G122, AllData[Season], AD$106, AllData[Year], "2024"), "")</f>
        <v>7.7297297297297298</v>
      </c>
      <c r="AF122" s="57">
        <f t="shared" si="112"/>
        <v>-3.9847984457970866E-2</v>
      </c>
      <c r="AG122" s="56">
        <f>IFERROR(AVERAGEIFS(AllData[Phosphate (PPM)], AllData[District], $F$122, AllData[River], $G122, AllData[Season], AD$106, AllData[Year], "2024"),"")</f>
        <v>0.57162162162162167</v>
      </c>
      <c r="AH122" s="59">
        <f t="shared" si="113"/>
        <v>-0.29208361051475606</v>
      </c>
      <c r="AI122" s="58">
        <f>COUNTIFS(AllData[District],$F$122,AllData[River],$G122,AllData[Season],AI$106, AllData[Year], "2024")</f>
        <v>47</v>
      </c>
      <c r="AJ122" s="64">
        <f>IFERROR(AVERAGEIFS(AllData[Nitrate (PPM)], AllData[District], $F$122, AllData[River],$G122, AllData[Season], AI$106, AllData[Year], "2024"), "")</f>
        <v>9.2340425531914896</v>
      </c>
      <c r="AK122" s="57">
        <f t="shared" si="148"/>
        <v>0.14701094075092278</v>
      </c>
      <c r="AL122" s="57">
        <f t="shared" si="115"/>
        <v>3.4849596478356559E-2</v>
      </c>
      <c r="AM122" s="56">
        <f>IFERROR(AVERAGEIFS(AllData[Phosphate (PPM)], AllData[District], $F$122, AllData[River], $G122, AllData[Season], AI$106, AllData[Year], "2024"),"")</f>
        <v>0.94978723404255339</v>
      </c>
      <c r="AN122" s="57">
        <f t="shared" si="149"/>
        <v>0.17625002986267077</v>
      </c>
      <c r="AO122" s="59">
        <f t="shared" si="117"/>
        <v>-9.6669750231267115E-2</v>
      </c>
      <c r="AP122" s="58">
        <f>COUNTIFS(AllData[District],$F$122,AllData[River],$G122,AllData[Season],AP$106, AllData[Year], "2024")</f>
        <v>50</v>
      </c>
      <c r="AQ122" s="64">
        <f>IFERROR(AVERAGEIFS(AllData[Nitrate (PPM)], AllData[District], $F$122, AllData[River],$G122, AllData[Season], AP$106, AllData[Year], "2024"), "")</f>
        <v>9.44</v>
      </c>
      <c r="AR122" s="57">
        <f t="shared" si="98"/>
        <v>0.17259404191790179</v>
      </c>
      <c r="AS122" s="57">
        <f t="shared" si="118"/>
        <v>0.151219512195122</v>
      </c>
      <c r="AT122" s="56">
        <f>IFERROR(AVERAGEIFS(AllData[Phosphate (PPM)], AllData[District], $F$122, AllData[River], $G122, AllData[Season], AP$106, AllData[Year], "2024"),"")</f>
        <v>0.89039999999999997</v>
      </c>
      <c r="AU122" s="57">
        <f t="shared" si="119"/>
        <v>0.10270278337179491</v>
      </c>
      <c r="AV122" s="59">
        <f t="shared" si="120"/>
        <v>-6.7969295184926795E-2</v>
      </c>
      <c r="AW122" s="58">
        <f>COUNTIFS(AllData[District],$F$122,AllData[River],$G122,AllData[Season],AW$106, AllData[Year], "2024")</f>
        <v>42</v>
      </c>
      <c r="AX122" s="64">
        <f>IFERROR(AVERAGEIFS(AllData[Nitrate (PPM)], AllData[District], $F$122, AllData[River],$G122, AllData[Season], AW$106, AllData[Year], "2024"), "")</f>
        <v>6.6904761904761907</v>
      </c>
      <c r="AY122" s="57">
        <f>IFERROR((AX122-$I122)/$I122, "")</f>
        <v>-0.16893935184894462</v>
      </c>
      <c r="AZ122" s="57">
        <f t="shared" si="102"/>
        <v>9.0299823633156945E-2</v>
      </c>
      <c r="BA122" s="56">
        <f>IFERROR(AVERAGEIFS(AllData[Phosphate (PPM)], AllData[District], $F$122, AllData[River], $G122, AllData[Season], AW$106, AllData[Year], "2024"),"")</f>
        <v>0.52190476190476198</v>
      </c>
      <c r="BB122" s="57">
        <f>IFERROR((BA122-$J122)/$J122, "")</f>
        <v>-0.3536547241606301</v>
      </c>
      <c r="BC122" s="60">
        <f t="shared" si="103"/>
        <v>-0.26680046220276082</v>
      </c>
      <c r="BD122" s="54">
        <f>COUNTIFS(AllData[District],$F$122,AllData[River],$G122,AllData[Season],BD$106, AllData[Year], "2025")</f>
        <v>28</v>
      </c>
      <c r="BE122" s="64">
        <f>IFERROR(AVERAGEIFS(AllData[Nitrate (PPM)], AllData[District], $F$122, AllData[River],$G122, AllData[Season], BD$106, AllData[Year], "2025"), "")</f>
        <v>8.0357142857142865</v>
      </c>
      <c r="BF122" s="57">
        <f t="shared" si="104"/>
        <v>-1.8399688577181346E-3</v>
      </c>
      <c r="BG122" s="57">
        <f t="shared" si="105"/>
        <v>3.9585414585414674E-2</v>
      </c>
      <c r="BH122" s="56">
        <f>IFERROR(AVERAGEIFS(AllData[Phosphate (PPM)], AllData[District], $F$122, AllData[River], $G122, AllData[Season], BD$106, AllData[Year], "2025"),"")</f>
        <v>0.45142857142857146</v>
      </c>
      <c r="BI122" s="57">
        <f t="shared" si="106"/>
        <v>-0.44093492564258885</v>
      </c>
      <c r="BJ122" s="57">
        <f t="shared" si="107"/>
        <v>-0.21026680175616347</v>
      </c>
      <c r="BK122" s="199"/>
      <c r="BL122" s="64"/>
      <c r="BM122" s="57"/>
      <c r="BN122" s="57"/>
      <c r="BO122" s="56"/>
      <c r="BP122" s="57"/>
      <c r="BQ122" s="59"/>
      <c r="BR122" s="58"/>
      <c r="BS122" s="64"/>
      <c r="BT122" s="57"/>
      <c r="BU122" s="57"/>
      <c r="BV122" s="56"/>
      <c r="BW122" s="57"/>
      <c r="BX122" s="59"/>
      <c r="BY122" s="58"/>
      <c r="BZ122" s="64"/>
      <c r="CA122" s="57"/>
      <c r="CB122" s="57"/>
      <c r="CC122" s="56"/>
      <c r="CD122" s="57"/>
      <c r="CE122" s="60"/>
    </row>
    <row r="123" spans="5:83" x14ac:dyDescent="0.35">
      <c r="E123" s="29"/>
      <c r="F123" s="52"/>
      <c r="G123" s="52" t="s">
        <v>3574</v>
      </c>
      <c r="H123" s="54">
        <f>COUNTIFS(AllData[District], $F$122, AllData[River], $G123)</f>
        <v>188</v>
      </c>
      <c r="I123" s="55">
        <f t="shared" si="84"/>
        <v>5.6491850869437075</v>
      </c>
      <c r="J123" s="56">
        <f t="shared" si="85"/>
        <v>0.47902389794113931</v>
      </c>
      <c r="K123" s="57" cm="1">
        <f t="array" ref="K123">SUM(COUNTIFS(AllData[District], $F$122, AllData[River], $G123, AllData[Nitrate Pollution Category], {"High","Very high"}))/COUNTIFS(AllData[District], $F$122, AllData[River], $G123, AllData[Nitrate (PPM)], "&lt;&gt;0")</f>
        <v>1</v>
      </c>
      <c r="L123" s="57" cm="1">
        <f t="array" ref="L123">SUM(COUNTIFS(AllData[District], $F$122, AllData[River], $G123, AllData[Phosphate Pollution Category], {"High","Very high"}))/COUNTIFS(AllData[District], $F$122, AllData[River], $G123, AllData[Phosphate (PPM)], "&lt;&gt;0")</f>
        <v>0.96739130434782605</v>
      </c>
      <c r="M123" s="58"/>
      <c r="N123" s="58"/>
      <c r="O123" s="54">
        <f>COUNTIFS(AllData[District],$F$122,AllData[River],$G123,AllData[Season],O$106, AllData[Year], "2023")</f>
        <v>2</v>
      </c>
      <c r="P123" s="55">
        <f>IFERROR(AVERAGEIFS(AllData[Nitrate (PPM)], AllData[District], $F$122, AllData[River],$G123, AllData[Season], O$106, AllData[Year], "2023"), "")</f>
        <v>6</v>
      </c>
      <c r="Q123" s="57">
        <f t="shared" si="108"/>
        <v>6.21000918994652E-2</v>
      </c>
      <c r="R123" s="56">
        <f>IFERROR(AVERAGEIFS(AllData[Phosphate (PPM)], AllData[District], $F$122, AllData[River], $G123, AllData[Season], O$106, AllData[Year], "2023"),"")</f>
        <v>0.64</v>
      </c>
      <c r="S123" s="59">
        <f t="shared" si="109"/>
        <v>0.33605025292212215</v>
      </c>
      <c r="T123" s="58">
        <f>COUNTIFS(AllData[District],$F$122,AllData[River],$G123,AllData[Season],T$106, AllData[Year], "2023")</f>
        <v>9</v>
      </c>
      <c r="U123" s="55">
        <f>IFERROR(AVERAGEIFS(AllData[Nitrate (PPM)], AllData[District], $F$122, AllData[River],$G123, AllData[Season], T$106, AllData[Year], "2023"), "")</f>
        <v>6.5555555555555554</v>
      </c>
      <c r="V123" s="57">
        <f t="shared" si="146"/>
        <v>0.16044269300126748</v>
      </c>
      <c r="W123" s="56">
        <f>IFERROR(AVERAGEIFS(AllData[Phosphate (PPM)], AllData[District], $F$122, AllData[River], $G123, AllData[Season], T$106, AllData[Year], "2023"),"")</f>
        <v>0.54333333333333333</v>
      </c>
      <c r="X123" s="59">
        <f t="shared" si="147"/>
        <v>0.13425099597034329</v>
      </c>
      <c r="Y123" s="58">
        <f>COUNTIFS(AllData[District],$F$122,AllData[River],$G123,AllData[Season],Y$106, AllData[Year], "2023")</f>
        <v>13</v>
      </c>
      <c r="Z123" s="55">
        <f>IFERROR(AVERAGEIFS(AllData[Nitrate (PPM)], AllData[District], $F$122, AllData[River],$G123, AllData[Season], Y$106, AllData[Year], "2023"), "")</f>
        <v>4.8461538461538458</v>
      </c>
      <c r="AA123" s="57">
        <f t="shared" si="110"/>
        <v>-0.14214992577350893</v>
      </c>
      <c r="AB123" s="56">
        <f>IFERROR(AVERAGEIFS(AllData[Phosphate (PPM)], AllData[District], $F$122, AllData[River], $G123, AllData[Season], Y$106, AllData[Year], "2023"),"")</f>
        <v>0.40846153846153849</v>
      </c>
      <c r="AC123" s="59">
        <f t="shared" si="111"/>
        <v>-0.14730446598359748</v>
      </c>
      <c r="AD123" s="54">
        <f>COUNTIFS(AllData[District],$F$122,AllData[River],$G123,AllData[Season],AD$106, AllData[Year], "2024")</f>
        <v>29</v>
      </c>
      <c r="AE123" s="55">
        <f>IFERROR(AVERAGEIFS(AllData[Nitrate (PPM)], AllData[District], $F$122, AllData[River],$G123, AllData[Season], AD$106, AllData[Year], "2024"), "")</f>
        <v>6.4482758620689653</v>
      </c>
      <c r="AF123" s="57">
        <f t="shared" si="112"/>
        <v>0.14145239761609188</v>
      </c>
      <c r="AG123" s="56">
        <f>IFERROR(AVERAGEIFS(AllData[Phosphate (PPM)], AllData[District], $F$122, AllData[River], $G123, AllData[Season], AD$106, AllData[Year], "2024"),"")</f>
        <v>0.35034482758620689</v>
      </c>
      <c r="AH123" s="59">
        <f t="shared" si="113"/>
        <v>-0.26862766327107973</v>
      </c>
      <c r="AI123" s="58">
        <f>COUNTIFS(AllData[District],$F$122,AllData[River],$G123,AllData[Season],AI$106, AllData[Year], "2024")</f>
        <v>50</v>
      </c>
      <c r="AJ123" s="55">
        <f>IFERROR(AVERAGEIFS(AllData[Nitrate (PPM)], AllData[District], $F$122, AllData[River],$G123, AllData[Season], AI$106, AllData[Year], "2024"), "")</f>
        <v>6.04</v>
      </c>
      <c r="AK123" s="57">
        <f t="shared" si="148"/>
        <v>6.9180759178794973E-2</v>
      </c>
      <c r="AL123" s="57">
        <f t="shared" si="115"/>
        <v>6.6666666666666723E-3</v>
      </c>
      <c r="AM123" s="56">
        <f>IFERROR(AVERAGEIFS(AllData[Phosphate (PPM)], AllData[District], $F$122, AllData[River], $G123, AllData[Season], AI$106, AllData[Year], "2024"),"")</f>
        <v>0.60919999999999985</v>
      </c>
      <c r="AN123" s="57">
        <f t="shared" si="149"/>
        <v>0.27175283450024473</v>
      </c>
      <c r="AO123" s="59">
        <f t="shared" si="117"/>
        <v>-4.8125000000000251E-2</v>
      </c>
      <c r="AP123" s="58">
        <f>COUNTIFS(AllData[District],$F$122,AllData[River],$G123,AllData[Season],AP$106, AllData[Year], "2024")</f>
        <v>40</v>
      </c>
      <c r="AQ123" s="55">
        <f>IFERROR(AVERAGEIFS(AllData[Nitrate (PPM)], AllData[District], $F$122, AllData[River],$G123, AllData[Season], AP$106, AllData[Year], "2024"), "")</f>
        <v>5.2750000000000004</v>
      </c>
      <c r="AR123" s="57">
        <f t="shared" si="98"/>
        <v>-6.6237002538386783E-2</v>
      </c>
      <c r="AS123" s="57">
        <f t="shared" si="118"/>
        <v>-0.19533898305084738</v>
      </c>
      <c r="AT123" s="56">
        <f>IFERROR(AVERAGEIFS(AllData[Phosphate (PPM)], AllData[District], $F$122, AllData[River], $G123, AllData[Season], AP$106, AllData[Year], "2024"),"")</f>
        <v>0.4870000000000001</v>
      </c>
      <c r="AU123" s="57">
        <f t="shared" si="119"/>
        <v>1.6650739332927527E-2</v>
      </c>
      <c r="AV123" s="59">
        <f t="shared" si="120"/>
        <v>-0.10368098159509184</v>
      </c>
      <c r="AW123" s="58">
        <f>COUNTIFS(AllData[District],$F$122,AllData[River],$G123,AllData[Season],AW$106, AllData[Year], "2024")</f>
        <v>29</v>
      </c>
      <c r="AX123" s="55">
        <f>IFERROR(AVERAGEIFS(AllData[Nitrate (PPM)], AllData[District], $F$122, AllData[River],$G123, AllData[Season], AW$106, AllData[Year], "2024"), "")</f>
        <v>4.3793103448275863</v>
      </c>
      <c r="AY123" s="57">
        <f t="shared" ref="AY123:AY125" si="150">IFERROR((AX123-$I123)/$I123, "")</f>
        <v>-0.22478901338372367</v>
      </c>
      <c r="AZ123" s="57">
        <f t="shared" si="102"/>
        <v>-9.6332785987958316E-2</v>
      </c>
      <c r="BA123" s="56">
        <f>IFERROR(AVERAGEIFS(AllData[Phosphate (PPM)], AllData[District], $F$122, AllData[River], $G123, AllData[Season], AW$106, AllData[Year], "2024"),"")</f>
        <v>0.31482758620689649</v>
      </c>
      <c r="BB123" s="57">
        <f t="shared" ref="BB123:BB125" si="151">IFERROR((BA123-$J123)/$J123, "")</f>
        <v>-0.34277269347096051</v>
      </c>
      <c r="BC123" s="60">
        <f t="shared" si="103"/>
        <v>-0.22923566465354914</v>
      </c>
      <c r="BD123" s="54">
        <f>COUNTIFS(AllData[District],$F$122,AllData[River],$G123,AllData[Season],BD$106, AllData[Year], "2025")</f>
        <v>16</v>
      </c>
      <c r="BE123" s="64">
        <f>IFERROR(AVERAGEIFS(AllData[Nitrate (PPM)], AllData[District], $F$122, AllData[River],$G123, AllData[Season], BD$106, AllData[Year], "2025"), "")</f>
        <v>5.5</v>
      </c>
      <c r="BF123" s="57">
        <f t="shared" si="104"/>
        <v>-2.6408249092156902E-2</v>
      </c>
      <c r="BG123" s="57">
        <f t="shared" si="105"/>
        <v>-0.14705882352941174</v>
      </c>
      <c r="BH123" s="56">
        <f>IFERROR(AVERAGEIFS(AllData[Phosphate (PPM)], AllData[District], $F$122, AllData[River], $G123, AllData[Season], BD$106, AllData[Year], "2025"),"")</f>
        <v>0.32687500000000003</v>
      </c>
      <c r="BI123" s="57">
        <f t="shared" si="106"/>
        <v>-0.317622771212627</v>
      </c>
      <c r="BJ123" s="57">
        <f t="shared" si="107"/>
        <v>-6.6990649606299107E-2</v>
      </c>
      <c r="BK123" s="199"/>
      <c r="BL123" s="55"/>
      <c r="BM123" s="57"/>
      <c r="BN123" s="57"/>
      <c r="BO123" s="56"/>
      <c r="BP123" s="57"/>
      <c r="BQ123" s="59"/>
      <c r="BR123" s="58"/>
      <c r="BS123" s="55"/>
      <c r="BT123" s="57"/>
      <c r="BU123" s="57"/>
      <c r="BV123" s="56"/>
      <c r="BW123" s="57"/>
      <c r="BX123" s="59"/>
      <c r="BY123" s="58"/>
      <c r="BZ123" s="55"/>
      <c r="CA123" s="57"/>
      <c r="CB123" s="57"/>
      <c r="CC123" s="56"/>
      <c r="CD123" s="57"/>
      <c r="CE123" s="60"/>
    </row>
    <row r="124" spans="5:83" x14ac:dyDescent="0.35">
      <c r="E124" s="29"/>
      <c r="F124" s="52"/>
      <c r="G124" t="s">
        <v>3188</v>
      </c>
      <c r="H124" s="54">
        <f>COUNTIFS(AllData[District], $F$122, AllData[River], $G124)</f>
        <v>11</v>
      </c>
      <c r="I124" s="55">
        <f>AVERAGE(P124,U124,Z124,AE124,AJ124,AQ124,AX124,BE124)</f>
        <v>4.0909090909090908</v>
      </c>
      <c r="J124" s="56" t="e">
        <f t="shared" si="85"/>
        <v>#DIV/0!</v>
      </c>
      <c r="K124" s="57" cm="1">
        <f t="array" ref="K124">SUM(COUNTIFS(AllData[District], $F$122, AllData[River], $G124, AllData[Nitrate Pollution Category], {"High","Very high"}))/COUNTIFS(AllData[District], $F$122, AllData[River], $G124, AllData[Nitrate (PPM)], "&lt;&gt;0")</f>
        <v>1</v>
      </c>
      <c r="L124" s="57" cm="1">
        <f t="array" ref="L124">SUM(COUNTIFS(AllData[District], $F$122, AllData[River], $G124, AllData[Phosphate Pollution Category], {"High","Very high"}))/COUNTIFS(AllData[District], $F$122, AllData[River], $G124, AllData[Phosphate (PPM)], "&lt;&gt;0")</f>
        <v>0.125</v>
      </c>
      <c r="M124" s="58"/>
      <c r="N124" s="58"/>
      <c r="O124" s="54">
        <f>COUNTIFS(AllData[District],$F$122,AllData[River],$G124,AllData[Season],O$106, AllData[Year], "2023")</f>
        <v>0</v>
      </c>
      <c r="P124" s="55" t="str">
        <f>IFERROR(AVERAGEIFS(AllData[Nitrate (PPM)], AllData[District], $F$122, AllData[River],$G124, AllData[Season], O$106, AllData[Year], "2023"), "")</f>
        <v/>
      </c>
      <c r="Q124" s="57" t="str">
        <f t="shared" si="108"/>
        <v/>
      </c>
      <c r="R124" s="56" t="str">
        <f>IFERROR(AVERAGEIFS(AllData[Phosphate (PPM)], AllData[District], $F$122, AllData[River], $G124, AllData[Season], O$106, AllData[Year], "2023"),"")</f>
        <v/>
      </c>
      <c r="S124" s="59" t="str">
        <f t="shared" ref="S124" si="152">IFERROR((R124-$J124)/$J124, "")</f>
        <v/>
      </c>
      <c r="T124" s="58">
        <f>COUNTIFS(AllData[District],$F$122,AllData[River],$G124,AllData[Season],T$106, AllData[Year], "2023")</f>
        <v>0</v>
      </c>
      <c r="U124" s="55" t="str">
        <f>IFERROR(AVERAGEIFS(AllData[Nitrate (PPM)], AllData[District], $F$122, AllData[River],$G124, AllData[Season], T$106, AllData[Year], "2023"), "")</f>
        <v/>
      </c>
      <c r="V124" s="57" t="str">
        <f t="shared" ref="V124" si="153">IFERROR((U124-$I124)/$I124, "")</f>
        <v/>
      </c>
      <c r="W124" s="56" t="str">
        <f>IFERROR(AVERAGEIFS(AllData[Phosphate (PPM)], AllData[District], $F$122, AllData[River], $G124, AllData[Season], T$106, AllData[Year], "2023"),"")</f>
        <v/>
      </c>
      <c r="X124" s="59" t="str">
        <f t="shared" ref="X124" si="154">IFERROR((W124-$J124)/$J124, "")</f>
        <v/>
      </c>
      <c r="Y124" s="58">
        <f>COUNTIFS(AllData[District],$F$122,AllData[River],$G124,AllData[Season],Y$106, AllData[Year], "2023")</f>
        <v>0</v>
      </c>
      <c r="Z124" s="55" t="str">
        <f>IFERROR(AVERAGEIFS(AllData[Nitrate (PPM)], AllData[District], $F$122, AllData[River],$G124, AllData[Season], Y$106, AllData[Year], "2023"), "")</f>
        <v/>
      </c>
      <c r="AA124" s="57" t="str">
        <f t="shared" ref="AA124" si="155">IFERROR((Z124-$I124)/$I124, "")</f>
        <v/>
      </c>
      <c r="AB124" s="56" t="str">
        <f>IFERROR(AVERAGEIFS(AllData[Phosphate (PPM)], AllData[District], $F$122, AllData[River], $G124, AllData[Season], Y$106, AllData[Year], "2023"),"")</f>
        <v/>
      </c>
      <c r="AC124" s="59" t="str">
        <f t="shared" ref="AC124" si="156">IFERROR((AB124-$J124)/$J124,"")</f>
        <v/>
      </c>
      <c r="AD124" s="54">
        <f>COUNTIFS(AllData[District],$F$122,AllData[River],$G124,AllData[Season],AD$106, AllData[Year], "2024")</f>
        <v>0</v>
      </c>
      <c r="AE124" s="55" t="str">
        <f>IFERROR(AVERAGEIFS(AllData[Nitrate (PPM)], AllData[District], $F$122, AllData[River],$G124, AllData[Season], AD$106, AllData[Year], "2024"), "")</f>
        <v/>
      </c>
      <c r="AF124" s="57" t="str">
        <f t="shared" ref="AF124" si="157">IFERROR((AE124-$I124)/$I124,"")</f>
        <v/>
      </c>
      <c r="AG124" s="56" t="str">
        <f>IFERROR(AVERAGEIFS(AllData[Phosphate (PPM)], AllData[District], $F$122, AllData[River], $G124, AllData[Season], AD$106, AllData[Year], "2024"),"")</f>
        <v/>
      </c>
      <c r="AH124" s="59" t="str">
        <f t="shared" ref="AH124" si="158">IFERROR((AG124-$J124)/$J124,"")</f>
        <v/>
      </c>
      <c r="AI124" s="58">
        <f>COUNTIFS(AllData[District],$F$122,AllData[River],$G124,AllData[Season],AI$106, AllData[Year], "2024")</f>
        <v>0</v>
      </c>
      <c r="AJ124" s="55" t="str">
        <f>IFERROR(AVERAGEIFS(AllData[Nitrate (PPM)], AllData[District], $F$122, AllData[River],$G124, AllData[Season], AI$106, AllData[Year], "2024"), "")</f>
        <v/>
      </c>
      <c r="AK124" s="57" t="str">
        <f t="shared" ref="AK124" si="159">IFERROR((AJ124-$I124)/$I124, "")</f>
        <v/>
      </c>
      <c r="AL124" s="57" t="str">
        <f t="shared" ref="AL124" si="160">IFERROR((AJ124-P124)/P124,"")</f>
        <v/>
      </c>
      <c r="AM124" s="56" t="str">
        <f>IFERROR(AVERAGEIFS(AllData[Phosphate (PPM)], AllData[District], $F$122, AllData[River], $G124, AllData[Season], AI$106, AllData[Year], "2024"),"")</f>
        <v/>
      </c>
      <c r="AN124" s="57" t="str">
        <f t="shared" ref="AN124" si="161">IFERROR((AM124-$J124)/$J124, "")</f>
        <v/>
      </c>
      <c r="AO124" s="59" t="str">
        <f t="shared" ref="AO124" si="162">IFERROR((AM124-R124)/R124,"")</f>
        <v/>
      </c>
      <c r="AP124" s="58">
        <f>COUNTIFS(AllData[District],$F$122,AllData[River],$G124,AllData[Season],AP$106, AllData[Year], "2024")</f>
        <v>0</v>
      </c>
      <c r="AQ124" s="55" t="str">
        <f>IFERROR(AVERAGEIFS(AllData[Nitrate (PPM)], AllData[District], $F$122, AllData[River],$G124, AllData[Season], AP$106, AllData[Year], "2024"), "")</f>
        <v/>
      </c>
      <c r="AR124" s="57" t="str">
        <f t="shared" ref="AR124" si="163">IFERROR((AQ124-I124)/I124, "")</f>
        <v/>
      </c>
      <c r="AS124" s="57" t="str">
        <f t="shared" ref="AS124" si="164">IFERROR((AQ124-U124)/U124,"")</f>
        <v/>
      </c>
      <c r="AT124" s="56" t="str">
        <f>IFERROR(AVERAGEIFS(AllData[Phosphate (PPM)], AllData[District], $F$122, AllData[River], $G124, AllData[Season], AP$106, AllData[Year], "2024"),"")</f>
        <v/>
      </c>
      <c r="AU124" s="57" t="str">
        <f t="shared" ref="AU124" si="165">IFERROR((AT124-J124)/J124, "")</f>
        <v/>
      </c>
      <c r="AV124" s="59" t="str">
        <f t="shared" ref="AV124" si="166">IFERROR((AT124-W124)/W124,"")</f>
        <v/>
      </c>
      <c r="AW124" s="58">
        <f>COUNTIFS(AllData[District],$F$122,AllData[River],$G124,AllData[Season],AW$106, AllData[Year], "2024")</f>
        <v>0</v>
      </c>
      <c r="AX124" s="55" t="str">
        <f>IFERROR(AVERAGEIFS(AllData[Nitrate (PPM)], AllData[District], $F$122, AllData[River],$G124, AllData[Season], AW$106, AllData[Year], "2024"), "")</f>
        <v/>
      </c>
      <c r="AY124" s="57" t="str">
        <f t="shared" si="150"/>
        <v/>
      </c>
      <c r="AZ124" s="57" t="str">
        <f t="shared" ref="AZ124" si="167">IFERROR((AX124-Z124)/Z124,"")</f>
        <v/>
      </c>
      <c r="BA124" s="56" t="str">
        <f>IFERROR(AVERAGEIFS(AllData[Phosphate (PPM)], AllData[District], $F$122, AllData[River], $G124, AllData[Season], AW$106, AllData[Year], "2024"),"")</f>
        <v/>
      </c>
      <c r="BB124" s="57" t="str">
        <f t="shared" si="151"/>
        <v/>
      </c>
      <c r="BC124" s="60" t="str">
        <f t="shared" ref="BC124" si="168">IFERROR((BA124-AB124)/AB124,"")</f>
        <v/>
      </c>
      <c r="BD124" s="54">
        <f>COUNTIFS(AllData[District],$F$122,AllData[River],$G124,AllData[Season],BD$106, AllData[Year], "2025")</f>
        <v>11</v>
      </c>
      <c r="BE124" s="64">
        <f>IFERROR(AVERAGEIFS(AllData[Nitrate (PPM)], AllData[District], $F$122, AllData[River],$G124, AllData[Season], BD$106, AllData[Year], "2025"), "")</f>
        <v>4.0909090909090908</v>
      </c>
      <c r="BF124" s="57">
        <f t="shared" ref="BF124" si="169">IFERROR((BE124-$I124)/$I124,"")</f>
        <v>0</v>
      </c>
      <c r="BG124" s="57" t="str">
        <f t="shared" si="105"/>
        <v/>
      </c>
      <c r="BH124" s="56">
        <f>IFERROR(AVERAGEIFS(AllData[Phosphate (PPM)], AllData[District], $F$122, AllData[River], $G124, AllData[Season], BD$106, AllData[Year], "2025"),"")</f>
        <v>4.5454545454545456E-2</v>
      </c>
      <c r="BI124" s="57" t="str">
        <f t="shared" ref="BI124" si="170">IFERROR((BH124-$J124)/$J124,"")</f>
        <v/>
      </c>
      <c r="BJ124" s="57" t="str">
        <f t="shared" si="107"/>
        <v/>
      </c>
      <c r="BK124" s="199"/>
      <c r="BL124" s="55"/>
      <c r="BM124" s="57"/>
      <c r="BN124" s="57"/>
      <c r="BO124" s="56"/>
      <c r="BP124" s="57"/>
      <c r="BQ124" s="59"/>
      <c r="BR124" s="58"/>
      <c r="BS124" s="55"/>
      <c r="BT124" s="57"/>
      <c r="BU124" s="57"/>
      <c r="BV124" s="56"/>
      <c r="BW124" s="57"/>
      <c r="BX124" s="59"/>
      <c r="BY124" s="58"/>
      <c r="BZ124" s="55"/>
      <c r="CA124" s="57"/>
      <c r="CB124" s="57"/>
      <c r="CC124" s="56"/>
      <c r="CD124" s="57"/>
      <c r="CE124" s="60"/>
    </row>
    <row r="125" spans="5:83" x14ac:dyDescent="0.35">
      <c r="E125" s="29"/>
      <c r="F125" s="52"/>
      <c r="G125" s="52" t="s">
        <v>3551</v>
      </c>
      <c r="H125" s="54">
        <f>COUNTIFS(AllData[District], $F$122, AllData[River], $G125)</f>
        <v>88</v>
      </c>
      <c r="I125" s="55">
        <f t="shared" si="84"/>
        <v>4.5556776556776555</v>
      </c>
      <c r="J125" s="56">
        <f t="shared" si="85"/>
        <v>0.5736608391608391</v>
      </c>
      <c r="K125" s="57" cm="1">
        <f t="array" ref="K125">SUM(COUNTIFS(AllData[District], $F$122, AllData[River], $G125, AllData[Nitrate Pollution Category], {"High","Very high"}))/COUNTIFS(AllData[District], $F$122, AllData[River], $G125, AllData[Nitrate (PPM)], "&lt;&gt;0")</f>
        <v>1</v>
      </c>
      <c r="L125" s="57" cm="1">
        <f t="array" ref="L125">SUM(COUNTIFS(AllData[District], $F$122, AllData[River], $G125, AllData[Phosphate Pollution Category], {"High","Very high"}))/COUNTIFS(AllData[District], $F$122, AllData[River], $G125, AllData[Phosphate (PPM)], "&lt;&gt;0")</f>
        <v>0.98863636363636365</v>
      </c>
      <c r="M125" s="58"/>
      <c r="N125" s="58"/>
      <c r="O125" s="54">
        <f>COUNTIFS(AllData[District],$F$122,AllData[River],$G125,AllData[Season],O$106, AllData[Year], "2023")</f>
        <v>5</v>
      </c>
      <c r="P125" s="55">
        <f>IFERROR(AVERAGEIFS(AllData[Nitrate (PPM)], AllData[District], $F$122, AllData[River],$G125, AllData[Season], O$106, AllData[Year], "2023"), "")</f>
        <v>7.8</v>
      </c>
      <c r="Q125" s="57">
        <f t="shared" si="108"/>
        <v>0.71214923212993486</v>
      </c>
      <c r="R125" s="56">
        <f>IFERROR(AVERAGEIFS(AllData[Phosphate (PPM)], AllData[District], $F$122, AllData[River], $G125, AllData[Season], O$106, AllData[Year], "2023"),"")</f>
        <v>0.75399999999999989</v>
      </c>
      <c r="S125" s="59">
        <f t="shared" si="109"/>
        <v>0.31436547264227416</v>
      </c>
      <c r="T125" s="58">
        <f>COUNTIFS(AllData[District],$F$122,AllData[River],$G125,AllData[Season],T$106, AllData[Year], "2023")</f>
        <v>12</v>
      </c>
      <c r="U125" s="55">
        <f>IFERROR(AVERAGEIFS(AllData[Nitrate (PPM)], AllData[District], $F$122, AllData[River],$G125, AllData[Season], T$106, AllData[Year], "2023"), "")</f>
        <v>5.083333333333333</v>
      </c>
      <c r="V125" s="57">
        <f t="shared" si="146"/>
        <v>0.11582375170861138</v>
      </c>
      <c r="W125" s="56">
        <f>IFERROR(AVERAGEIFS(AllData[Phosphate (PPM)], AllData[District], $F$122, AllData[River], $G125, AllData[Season], T$106, AllData[Year], "2023"),"")</f>
        <v>0.60181818181818192</v>
      </c>
      <c r="X125" s="59">
        <f t="shared" si="147"/>
        <v>4.9083606087757123E-2</v>
      </c>
      <c r="Y125" s="58">
        <f>COUNTIFS(AllData[District],$F$122,AllData[River],$G125,AllData[Season],Y$106, AllData[Year], "2023")</f>
        <v>13</v>
      </c>
      <c r="Z125" s="55">
        <f>IFERROR(AVERAGEIFS(AllData[Nitrate (PPM)], AllData[District], $F$122, AllData[River],$G125, AllData[Season], Y$106, AllData[Year], "2023"), "")</f>
        <v>3.7692307692307692</v>
      </c>
      <c r="AA125" s="57">
        <f t="shared" si="110"/>
        <v>-0.17263005547961724</v>
      </c>
      <c r="AB125" s="56">
        <f>IFERROR(AVERAGEIFS(AllData[Phosphate (PPM)], AllData[District], $F$122, AllData[River], $G125, AllData[Season], Y$106, AllData[Year], "2023"),"")</f>
        <v>0.44307692307692303</v>
      </c>
      <c r="AC125" s="59">
        <f t="shared" si="111"/>
        <v>-0.22763261350545813</v>
      </c>
      <c r="AD125" s="54">
        <f>COUNTIFS(AllData[District],$F$122,AllData[River],$G125,AllData[Season],AD$106, AllData[Year], "2024")</f>
        <v>13</v>
      </c>
      <c r="AE125" s="55">
        <f>IFERROR(AVERAGEIFS(AllData[Nitrate (PPM)], AllData[District], $F$122, AllData[River],$G125, AllData[Season], AD$106, AllData[Year], "2024"), "")</f>
        <v>3.9230769230769229</v>
      </c>
      <c r="AF125" s="57">
        <f t="shared" si="112"/>
        <v>-0.13885985366245879</v>
      </c>
      <c r="AG125" s="56">
        <f>IFERROR(AVERAGEIFS(AllData[Phosphate (PPM)], AllData[District], $F$122, AllData[River], $G125, AllData[Season], AD$106, AllData[Year], "2024"),"")</f>
        <v>0.41000000000000003</v>
      </c>
      <c r="AH125" s="59">
        <f t="shared" si="113"/>
        <v>-0.28529198437223802</v>
      </c>
      <c r="AI125" s="58">
        <f>COUNTIFS(AllData[District],$F$122,AllData[River],$G125,AllData[Season],AI$106, AllData[Year], "2024")</f>
        <v>13</v>
      </c>
      <c r="AJ125" s="55">
        <f>IFERROR(AVERAGEIFS(AllData[Nitrate (PPM)], AllData[District], $F$122, AllData[River],$G125, AllData[Season], AI$106, AllData[Year], "2024"), "")</f>
        <v>5</v>
      </c>
      <c r="AK125" s="57">
        <f t="shared" si="148"/>
        <v>9.753155905765061E-2</v>
      </c>
      <c r="AL125" s="57">
        <f t="shared" si="115"/>
        <v>-0.35897435897435898</v>
      </c>
      <c r="AM125" s="56">
        <f>IFERROR(AVERAGEIFS(AllData[Phosphate (PPM)], AllData[District], $F$122, AllData[River], $G125, AllData[Season], AI$106, AllData[Year], "2024"),"")</f>
        <v>0.90846153846153821</v>
      </c>
      <c r="AN125" s="57">
        <f t="shared" si="149"/>
        <v>0.58362132543412115</v>
      </c>
      <c r="AO125" s="59">
        <f t="shared" si="117"/>
        <v>0.20485615180575376</v>
      </c>
      <c r="AP125" s="58">
        <f>COUNTIFS(AllData[District],$F$122,AllData[River],$G125,AllData[Season],AP$106, AllData[Year], "2024")</f>
        <v>13</v>
      </c>
      <c r="AQ125" s="55">
        <f>IFERROR(AVERAGEIFS(AllData[Nitrate (PPM)], AllData[District], $F$122, AllData[River],$G125, AllData[Season], AP$106, AllData[Year], "2024"), "")</f>
        <v>3.2307692307692308</v>
      </c>
      <c r="AR125" s="57">
        <f t="shared" si="98"/>
        <v>-0.2908257618396719</v>
      </c>
      <c r="AS125" s="57">
        <f t="shared" si="118"/>
        <v>-0.36443883984867587</v>
      </c>
      <c r="AT125" s="56">
        <f>IFERROR(AVERAGEIFS(AllData[Phosphate (PPM)], AllData[District], $F$122, AllData[River], $G125, AllData[Season], AP$106, AllData[Year], "2024"),"")</f>
        <v>0.52076923076923076</v>
      </c>
      <c r="AU125" s="57">
        <f t="shared" si="119"/>
        <v>-9.2200137748602612E-2</v>
      </c>
      <c r="AV125" s="59">
        <f t="shared" si="120"/>
        <v>-0.13467348361608197</v>
      </c>
      <c r="AW125" s="58">
        <f>COUNTIFS(AllData[District],$F$122,AllData[River],$G125,AllData[Season],AW$106, AllData[Year], "2024")</f>
        <v>12</v>
      </c>
      <c r="AX125" s="55">
        <f>IFERROR(AVERAGEIFS(AllData[Nitrate (PPM)], AllData[District], $F$122, AllData[River],$G125, AllData[Season], AW$106, AllData[Year], "2024"), "")</f>
        <v>3.0833333333333335</v>
      </c>
      <c r="AY125" s="57">
        <f t="shared" si="150"/>
        <v>-0.32318887191444878</v>
      </c>
      <c r="AZ125" s="57">
        <f t="shared" si="102"/>
        <v>-0.18197278911564621</v>
      </c>
      <c r="BA125" s="56">
        <f>IFERROR(AVERAGEIFS(AllData[Phosphate (PPM)], AllData[District], $F$122, AllData[River], $G125, AllData[Season], AW$106, AllData[Year], "2024"),"")</f>
        <v>0.37749999999999995</v>
      </c>
      <c r="BB125" s="57">
        <f t="shared" si="151"/>
        <v>-0.34194566853785346</v>
      </c>
      <c r="BC125" s="60">
        <f t="shared" si="103"/>
        <v>-0.14800347222222227</v>
      </c>
      <c r="BD125" s="54">
        <f>COUNTIFS(AllData[District],$F$122,AllData[River],$G125,AllData[Season],BD$106, AllData[Year], "2025")</f>
        <v>7</v>
      </c>
      <c r="BE125" s="64">
        <f>IFERROR(AVERAGEIFS(AllData[Nitrate (PPM)], AllData[District], $F$122, AllData[River],$G125, AllData[Season], BD$106, AllData[Year], "2025"), "")</f>
        <v>4.8571428571428568</v>
      </c>
      <c r="BF125" s="57">
        <f t="shared" si="104"/>
        <v>6.6173514513146223E-2</v>
      </c>
      <c r="BG125" s="57">
        <f t="shared" si="105"/>
        <v>0.23809523809523805</v>
      </c>
      <c r="BH125" s="56">
        <f>IFERROR(AVERAGEIFS(AllData[Phosphate (PPM)], AllData[District], $F$122, AllData[River], $G125, AllData[Season], BD$106, AllData[Year], "2025"),"")</f>
        <v>0.55000000000000004</v>
      </c>
      <c r="BI125" s="57">
        <f t="shared" si="106"/>
        <v>-4.1245344889587608E-2</v>
      </c>
      <c r="BJ125" s="57">
        <f t="shared" si="107"/>
        <v>0.34146341463414637</v>
      </c>
      <c r="BK125" s="199"/>
      <c r="BL125" s="55"/>
      <c r="BM125" s="57"/>
      <c r="BN125" s="57"/>
      <c r="BO125" s="56"/>
      <c r="BP125" s="57"/>
      <c r="BQ125" s="59"/>
      <c r="BR125" s="58"/>
      <c r="BS125" s="55"/>
      <c r="BT125" s="57"/>
      <c r="BU125" s="57"/>
      <c r="BV125" s="56"/>
      <c r="BW125" s="57"/>
      <c r="BX125" s="59"/>
      <c r="BY125" s="58"/>
      <c r="BZ125" s="55"/>
      <c r="CA125" s="57"/>
      <c r="CB125" s="57"/>
      <c r="CC125" s="56"/>
      <c r="CD125" s="57"/>
      <c r="CE125" s="60"/>
    </row>
    <row r="126" spans="5:83" s="71" customFormat="1" x14ac:dyDescent="0.35">
      <c r="E126" s="74"/>
      <c r="F126" s="82"/>
      <c r="G126" s="82" t="s">
        <v>3623</v>
      </c>
      <c r="H126" s="76">
        <f>COUNTIFS(AllData[District], $F$122)</f>
        <v>542</v>
      </c>
      <c r="I126" s="77">
        <f t="shared" si="84"/>
        <v>6.6515490917350606</v>
      </c>
      <c r="J126" s="78">
        <f t="shared" si="85"/>
        <v>0.65803424865651183</v>
      </c>
      <c r="K126" s="79" cm="1">
        <f t="array" ref="K126">SUM(COUNTIFS(AllData[District], F122, AllData[Nitrate Pollution Category], {"High","Very high"}))/COUNTIFS(AllData[District], F122, AllData[Nitrate (PPM)], "&lt;&gt;0")</f>
        <v>0.99630314232902029</v>
      </c>
      <c r="L126" s="79" cm="1">
        <f t="array" ref="L126">SUM(COUNTIFS(AllData[District], F122, AllData[Phosphate Pollution Category], {"High","Very high"}))/COUNTIFS(AllData[District], F122, AllData[Phosphate (PPM)], "&lt;&gt;0")</f>
        <v>0.96448598130841123</v>
      </c>
      <c r="M126" s="80">
        <v>1</v>
      </c>
      <c r="N126" s="83">
        <v>2</v>
      </c>
      <c r="O126" s="76">
        <f>COUNTIFS(AllData[District], $F$122, AllData[Season], O$106, AllData[Year], "2023")</f>
        <v>21</v>
      </c>
      <c r="P126" s="77">
        <f>IFERROR(AVERAGEIFS(AllData[Nitrate (PPM)], AllData[District], $F122, AllData[Season], O$106, AllData[Year], "2023"), "")</f>
        <v>8.35</v>
      </c>
      <c r="Q126" s="79">
        <f t="shared" si="108"/>
        <v>0.25534666960142621</v>
      </c>
      <c r="R126" s="78">
        <f>IFERROR(AVERAGEIFS(AllData[Phosphate (PPM)], AllData[District], $F122, AllData[Season], O$106, AllData[Year], "2023"),"")</f>
        <v>0.94142857142857139</v>
      </c>
      <c r="S126" s="81">
        <f t="shared" si="109"/>
        <v>0.43066804402758213</v>
      </c>
      <c r="T126" s="80">
        <f>COUNTIFS(AllData[District], $F$122, AllData[Season], T$106, AllData[Year], "2023")</f>
        <v>36</v>
      </c>
      <c r="U126" s="77">
        <f>IFERROR(AVERAGEIFS(AllData[Nitrate (PPM)], AllData[District], $F122, AllData[Season], T$106, AllData[Year], "2023"), "")</f>
        <v>6.75</v>
      </c>
      <c r="V126" s="79">
        <f t="shared" si="146"/>
        <v>1.4801199977200865E-2</v>
      </c>
      <c r="W126" s="78">
        <f>IFERROR(AVERAGEIFS(AllData[Phosphate (PPM)], AllData[District], $F122, AllData[Season], T$106, AllData[Year], "2023"),"")</f>
        <v>0.73828571428571421</v>
      </c>
      <c r="X126" s="81">
        <f t="shared" si="147"/>
        <v>0.12195636593847405</v>
      </c>
      <c r="Y126" s="80">
        <f>COUNTIFS(AllData[District], $F$122, AllData[Season], Y$106, AllData[Year], "2023")</f>
        <v>48</v>
      </c>
      <c r="Z126" s="77">
        <f>IFERROR(AVERAGEIFS(AllData[Nitrate (PPM)], AllData[District], $F122, AllData[Season], Y$106, AllData[Year], "2023"), "")</f>
        <v>5.145833333333333</v>
      </c>
      <c r="AA126" s="79">
        <f t="shared" si="110"/>
        <v>-0.22637069014083766</v>
      </c>
      <c r="AB126" s="78">
        <f>IFERROR(AVERAGEIFS(AllData[Phosphate (PPM)], AllData[District], $F122, AllData[Season], Y$106, AllData[Year], "2023"),"")</f>
        <v>0.55687500000000012</v>
      </c>
      <c r="AC126" s="81">
        <f t="shared" si="111"/>
        <v>-0.15372945840288013</v>
      </c>
      <c r="AD126" s="76">
        <f>COUNTIFS(AllData[District], $F$122, AllData[Season], AD$106, AllData[Year], "2024")</f>
        <v>79</v>
      </c>
      <c r="AE126" s="77">
        <f>IFERROR(AVERAGEIFS(AllData[Nitrate (PPM)], AllData[District], $F122, AllData[Season], AD$106, AllData[Year], "2024"), "")</f>
        <v>6.6329113924050631</v>
      </c>
      <c r="AF126" s="79">
        <f t="shared" si="112"/>
        <v>-2.802008836280847E-3</v>
      </c>
      <c r="AG126" s="78">
        <f>IFERROR(AVERAGEIFS(AllData[Phosphate (PPM)], AllData[District], $F122, AllData[Season], AD$106, AllData[Year], "2024"),"")</f>
        <v>0.46379746835443048</v>
      </c>
      <c r="AH126" s="81">
        <f t="shared" si="113"/>
        <v>-0.29517731136129854</v>
      </c>
      <c r="AI126" s="80">
        <f>COUNTIFS(AllData[District], $F$122, AllData[Season], AI$106, AllData[Year], "2024")</f>
        <v>110</v>
      </c>
      <c r="AJ126" s="77">
        <f>IFERROR(AVERAGEIFS(AllData[Nitrate (PPM)], AllData[District], $F122, AllData[Season], AI$106, AllData[Year], "2024"), "")</f>
        <v>7.2818181818181822</v>
      </c>
      <c r="AK126" s="79">
        <f t="shared" si="148"/>
        <v>9.4755233914798564E-2</v>
      </c>
      <c r="AL126" s="79">
        <f t="shared" ref="AL126:AL127" si="171">IFERROR((AJ126-P126)/P126,"")</f>
        <v>-0.12792596624931946</v>
      </c>
      <c r="AM126" s="78">
        <f>IFERROR(AVERAGEIFS(AllData[Phosphate (PPM)], AllData[District], $F122, AllData[Season], AI$106, AllData[Year], "2024"),"")</f>
        <v>0.79009090909090907</v>
      </c>
      <c r="AN126" s="79">
        <f t="shared" si="149"/>
        <v>0.20068356731281575</v>
      </c>
      <c r="AO126" s="81">
        <f t="shared" ref="AO126:AO127" si="172">IFERROR((AM126-R126)/R126,"")</f>
        <v>-0.1607532073389433</v>
      </c>
      <c r="AP126" s="80">
        <f>COUNTIFS(AllData[District], $F$122, AllData[Season], AP$106, AllData[Year], "2024")</f>
        <v>103</v>
      </c>
      <c r="AQ126" s="77">
        <f>IFERROR(AVERAGEIFS(AllData[Nitrate (PPM)], AllData[District], $F122, AllData[Season], AP$106, AllData[Year], "2024"), "")</f>
        <v>7.0388349514563107</v>
      </c>
      <c r="AR126" s="79">
        <f t="shared" si="98"/>
        <v>5.8224911878418731E-2</v>
      </c>
      <c r="AS126" s="79">
        <f t="shared" si="118"/>
        <v>4.2790363178712688E-2</v>
      </c>
      <c r="AT126" s="78">
        <f>IFERROR(AVERAGEIFS(AllData[Phosphate (PPM)], AllData[District], $F122, AllData[Season], AP$106, AllData[Year], "2024"),"")</f>
        <v>0.68708737864077651</v>
      </c>
      <c r="AU126" s="79">
        <f t="shared" si="119"/>
        <v>4.415139492143693E-2</v>
      </c>
      <c r="AV126" s="81">
        <f t="shared" si="120"/>
        <v>-6.9347590850341312E-2</v>
      </c>
      <c r="AW126" s="80">
        <f>COUNTIFS(AllData[District], $F$122, AllData[Season], AW$106, AllData[Year], "2024")</f>
        <v>83</v>
      </c>
      <c r="AX126" s="77">
        <f>IFERROR(AVERAGEIFS(AllData[Nitrate (PPM)], AllData[District], $F122, AllData[Season], AW$106, AllData[Year], "2024"), "")</f>
        <v>5.3614457831325302</v>
      </c>
      <c r="AY126" s="79">
        <f>IFERROR((AX126-$I126)/$I126, "")</f>
        <v>-0.19395531639472666</v>
      </c>
      <c r="AZ126" s="79">
        <f t="shared" si="102"/>
        <v>4.1900395102677991E-2</v>
      </c>
      <c r="BA126" s="78">
        <f>IFERROR(AVERAGEIFS(AllData[Phosphate (PPM)], AllData[District], $F122, AllData[Season], AW$106, AllData[Year], "2024"),"")</f>
        <v>0.42867469879518061</v>
      </c>
      <c r="BB126" s="79">
        <f>IFERROR((BA126-$J126)/$J126, "")</f>
        <v>-0.34855260243613084</v>
      </c>
      <c r="BC126" s="92">
        <f t="shared" si="103"/>
        <v>-0.23021378443065227</v>
      </c>
      <c r="BD126" s="76">
        <f>COUNTIFS(AllData[District], $F$122, AllData[Season], BD$106, AllData[Year], "2025")</f>
        <v>62</v>
      </c>
      <c r="BE126" s="77">
        <f>IFERROR(AVERAGEIFS(AllData[Nitrate (PPM)], AllData[District], $F122, AllData[Season], BD$106, AllData[Year], "2025"), "")</f>
        <v>6.32258064516129</v>
      </c>
      <c r="BF126" s="79">
        <f t="shared" si="104"/>
        <v>-4.9457418420399711E-2</v>
      </c>
      <c r="BG126" s="79">
        <f t="shared" si="105"/>
        <v>-4.6786505786752051E-2</v>
      </c>
      <c r="BH126" s="78">
        <f>IFERROR(AVERAGEIFS(AllData[Phosphate (PPM)], AllData[District], $F122, AllData[Season], BD$106, AllData[Year], "2025"),"")</f>
        <v>0.3583870967741935</v>
      </c>
      <c r="BI126" s="79">
        <f t="shared" si="106"/>
        <v>-0.45536710664239538</v>
      </c>
      <c r="BJ126" s="79">
        <f t="shared" si="107"/>
        <v>-0.22727672911677727</v>
      </c>
      <c r="BK126" s="200"/>
      <c r="BL126" s="77"/>
      <c r="BM126" s="79"/>
      <c r="BN126" s="79"/>
      <c r="BO126" s="78"/>
      <c r="BP126" s="79"/>
      <c r="BQ126" s="81"/>
      <c r="BR126" s="80"/>
      <c r="BS126" s="77"/>
      <c r="BT126" s="79"/>
      <c r="BU126" s="79"/>
      <c r="BV126" s="78"/>
      <c r="BW126" s="79"/>
      <c r="BX126" s="81"/>
      <c r="BY126" s="80"/>
      <c r="BZ126" s="77"/>
      <c r="CA126" s="79"/>
      <c r="CB126" s="79"/>
      <c r="CC126" s="78"/>
      <c r="CD126" s="79"/>
      <c r="CE126" s="92"/>
    </row>
    <row r="127" spans="5:83" x14ac:dyDescent="0.35">
      <c r="E127" s="29"/>
      <c r="F127" s="61" t="e" vm="6">
        <v>#VALUE!</v>
      </c>
      <c r="G127" s="61" t="s">
        <v>3552</v>
      </c>
      <c r="H127" s="63">
        <f>COUNTIFS(AllData[District], $F$127, AllData[River], $G127)</f>
        <v>124</v>
      </c>
      <c r="I127" s="64">
        <f t="shared" si="84"/>
        <v>7.0488888888888894</v>
      </c>
      <c r="J127" s="65">
        <f t="shared" si="85"/>
        <v>0.61956288156288142</v>
      </c>
      <c r="K127" s="66" cm="1">
        <f t="array" ref="K127">SUM(COUNTIFS(AllData[District], $F$127, AllData[River], $G127, AllData[Nitrate Pollution Category], {"High","Very high"}))/COUNTIFS(AllData[District], $F$127, AllData[River], $G127, AllData[Nitrate (PPM)], "&lt;&gt;0")</f>
        <v>0.98347107438016534</v>
      </c>
      <c r="L127" s="66" cm="1">
        <f t="array" ref="L127">SUM(COUNTIFS(AllData[District], $F$127, AllData[River], $G127, AllData[Phosphate Pollution Category], {"High","Very high"}))/COUNTIFS(AllData[District], $F$127, AllData[River], $G127, AllData[Phosphate (PPM)], "&lt;&gt;0")</f>
        <v>0.95967741935483875</v>
      </c>
      <c r="M127" s="67"/>
      <c r="N127" s="67"/>
      <c r="O127" s="63">
        <f>COUNTIFS(AllData[District],$F$127,AllData[River],$G127,AllData[Season],O$106, AllData[Year], "2023")</f>
        <v>0</v>
      </c>
      <c r="P127" s="64" t="str">
        <f>IFERROR(AVERAGEIFS(AllData[Nitrate (PPM)], AllData[District], $F$127, AllData[River],$G127, AllData[Season], O$106, AllData[Year], "2023"), "")</f>
        <v/>
      </c>
      <c r="Q127" s="66" t="str">
        <f t="shared" si="108"/>
        <v/>
      </c>
      <c r="R127" s="65" t="str">
        <f>IFERROR(AVERAGEIFS(AllData[Phosphate (PPM)], AllData[District], $F$127, AllData[River], $G127, AllData[Season], O$106, AllData[Year], "2023"),"")</f>
        <v/>
      </c>
      <c r="S127" s="68" t="str">
        <f t="shared" si="109"/>
        <v/>
      </c>
      <c r="T127" s="67">
        <f>COUNTIFS(AllData[District],$F$127,AllData[River],$G127,AllData[Season],T$106, AllData[Year], "2023")</f>
        <v>0</v>
      </c>
      <c r="U127" s="64" t="str">
        <f>IFERROR(AVERAGEIFS(AllData[Nitrate (PPM)], AllData[District], $F$127, AllData[River],$G127, AllData[Season], T$106, AllData[Year], "2023"), "")</f>
        <v/>
      </c>
      <c r="V127" s="66" t="str">
        <f>IFERROR((U127-I127)/I127,"")</f>
        <v/>
      </c>
      <c r="W127" s="65" t="str">
        <f>IFERROR(AVERAGEIFS(AllData[Phosphate (PPM)], AllData[District], $F$127, AllData[River], $G127, AllData[Season], T$106, AllData[Year], "2023"),"")</f>
        <v/>
      </c>
      <c r="X127" s="68" t="str">
        <f>IFERROR((W127-J127)/J127,"")</f>
        <v/>
      </c>
      <c r="Y127" s="67">
        <f>COUNTIFS(AllData[District],$F$127,AllData[River],$G127,AllData[Season],Y$106, AllData[Year], "2023")</f>
        <v>5</v>
      </c>
      <c r="Z127" s="64">
        <f>IFERROR(AVERAGEIFS(AllData[Nitrate (PPM)], AllData[District], $F$127, AllData[River],$G127, AllData[Season], Y$106, AllData[Year], "2023"), "")</f>
        <v>8</v>
      </c>
      <c r="AA127" s="66">
        <f t="shared" si="110"/>
        <v>0.13493064312736436</v>
      </c>
      <c r="AB127" s="65">
        <f>IFERROR(AVERAGEIFS(AllData[Phosphate (PPM)], AllData[District], $F$127, AllData[River], $G127, AllData[Season], Y$106, AllData[Year], "2023"),"")</f>
        <v>0.59400000000000008</v>
      </c>
      <c r="AC127" s="66">
        <f t="shared" si="111"/>
        <v>-4.1259543338680267E-2</v>
      </c>
      <c r="AD127" s="63">
        <f>COUNTIFS(AllData[District],$F$127,AllData[River],$G127,AllData[Season],AD$106, AllData[Year], "2024")</f>
        <v>18</v>
      </c>
      <c r="AE127" s="64">
        <f>IFERROR(AVERAGEIFS(AllData[Nitrate (PPM)], AllData[District], $F$127, AllData[River],$G127, AllData[Season], AD$106, AllData[Year], "2024"), "")</f>
        <v>6.6111111111111107</v>
      </c>
      <c r="AF127" s="66">
        <f t="shared" si="112"/>
        <v>-6.2105926860025348E-2</v>
      </c>
      <c r="AG127" s="65">
        <f>IFERROR(AVERAGEIFS(AllData[Phosphate (PPM)], AllData[District], $F$127, AllData[River], $G127, AllData[Season], AD$106, AllData[Year], "2024"),"")</f>
        <v>0.52444444444444438</v>
      </c>
      <c r="AH127" s="68">
        <f t="shared" si="113"/>
        <v>-0.15352507380444669</v>
      </c>
      <c r="AI127" s="67">
        <f>COUNTIFS(AllData[District],$F$127,AllData[River],$G127,AllData[Season],AI$106, AllData[Year], "2024")</f>
        <v>14</v>
      </c>
      <c r="AJ127" s="64">
        <f>IFERROR(AVERAGEIFS(AllData[Nitrate (PPM)], AllData[District], $F$127, AllData[River],$G127, AllData[Season], AI$106, AllData[Year], "2024"), "")</f>
        <v>8.5</v>
      </c>
      <c r="AK127" s="66">
        <f t="shared" ref="AK127" si="173">IFERROR((AJ127-I127)/I127, "")</f>
        <v>0.20586380832282464</v>
      </c>
      <c r="AL127" s="66" t="str">
        <f t="shared" si="171"/>
        <v/>
      </c>
      <c r="AM127" s="65">
        <f>IFERROR(AVERAGEIFS(AllData[Phosphate (PPM)], AllData[District], $F$127, AllData[River], $G127, AllData[Season], AI$106, AllData[Year], "2024"),"")</f>
        <v>0.83785714285714274</v>
      </c>
      <c r="AN127" s="66">
        <f t="shared" ref="AN127" si="174">IFERROR((AM127-J127)/J127, "")</f>
        <v>0.35233592552155812</v>
      </c>
      <c r="AO127" s="68" t="str">
        <f t="shared" si="172"/>
        <v/>
      </c>
      <c r="AP127" s="67">
        <f>COUNTIFS(AllData[District],$F$127,AllData[River],$G127,AllData[Season],AP$106, AllData[Year], "2024")</f>
        <v>27</v>
      </c>
      <c r="AQ127" s="64">
        <f>IFERROR(AVERAGEIFS(AllData[Nitrate (PPM)], AllData[District], $F$127, AllData[River],$G127, AllData[Season], AP$106, AllData[Year], "2024"), "")</f>
        <v>7</v>
      </c>
      <c r="AR127" s="66">
        <f t="shared" si="98"/>
        <v>-6.9356872635561919E-3</v>
      </c>
      <c r="AS127" s="66" t="str">
        <f t="shared" si="118"/>
        <v/>
      </c>
      <c r="AT127" s="65">
        <f>IFERROR(AVERAGEIFS(AllData[Phosphate (PPM)], AllData[District], $F$127, AllData[River], $G127, AllData[Season], AP$106, AllData[Year], "2024"),"")</f>
        <v>0.66884615384615365</v>
      </c>
      <c r="AU127" s="66">
        <f t="shared" si="119"/>
        <v>7.9545230597017791E-2</v>
      </c>
      <c r="AV127" s="68" t="str">
        <f t="shared" si="120"/>
        <v/>
      </c>
      <c r="AW127" s="67">
        <f>COUNTIFS(AllData[District],$F$127,AllData[River],$G127,AllData[Season],AW$106, AllData[Year], "2024")</f>
        <v>30</v>
      </c>
      <c r="AX127" s="64">
        <f>IFERROR(AVERAGEIFS(AllData[Nitrate (PPM)], AllData[District], $F$127, AllData[River],$G127, AllData[Season], AW$106, AllData[Year], "2024"), "")</f>
        <v>5.1333333333333337</v>
      </c>
      <c r="AY127" s="66">
        <f>IFERROR((AX127-$I127)/$I127, "")</f>
        <v>-0.27175283732660782</v>
      </c>
      <c r="AZ127" s="66">
        <f t="shared" si="102"/>
        <v>-0.35833333333333328</v>
      </c>
      <c r="BA127" s="65">
        <f>IFERROR(AVERAGEIFS(AllData[Phosphate (PPM)], AllData[District], $F$127, AllData[River], $G127, AllData[Season], AW$106, AllData[Year], "2024"),"")</f>
        <v>0.47266666666666662</v>
      </c>
      <c r="BB127" s="66">
        <f>IFERROR((BA127-$J127)/$J127, "")</f>
        <v>-0.23709653897544833</v>
      </c>
      <c r="BC127" s="69">
        <f t="shared" si="103"/>
        <v>-0.20426487093153778</v>
      </c>
      <c r="BD127" s="63">
        <f>COUNTIFS(AllData[District],$F$127,AllData[River],$G127,AllData[Season],BD$106, AllData[Year], "2025")</f>
        <v>30</v>
      </c>
      <c r="BE127" s="64">
        <f>IFERROR(AVERAGEIFS(AllData[Nitrate (PPM)], AllData[District], $F$127, AllData[River],$G127, AllData[Season], BD$106, AllData[Year], "2025"), "")</f>
        <v>8.3033333333333328</v>
      </c>
      <c r="BF127" s="66">
        <f t="shared" si="104"/>
        <v>0.17796343001261017</v>
      </c>
      <c r="BG127" s="66">
        <f t="shared" si="105"/>
        <v>0.25596638655462184</v>
      </c>
      <c r="BH127" s="65">
        <f>IFERROR(AVERAGEIFS(AllData[Phosphate (PPM)], AllData[District], $F$127, AllData[River], $G127, AllData[Season], BD$106, AllData[Year], "2025"),"")</f>
        <v>0.37733333333333335</v>
      </c>
      <c r="BI127" s="66">
        <f t="shared" si="106"/>
        <v>-0.39096846411862296</v>
      </c>
      <c r="BJ127" s="66">
        <f t="shared" si="107"/>
        <v>-0.28050847457627104</v>
      </c>
      <c r="BK127" s="201"/>
      <c r="BL127" s="64"/>
      <c r="BM127" s="66"/>
      <c r="BN127" s="66"/>
      <c r="BO127" s="65"/>
      <c r="BP127" s="66"/>
      <c r="BQ127" s="68"/>
      <c r="BR127" s="67"/>
      <c r="BS127" s="64"/>
      <c r="BT127" s="66"/>
      <c r="BU127" s="66"/>
      <c r="BV127" s="65"/>
      <c r="BW127" s="66"/>
      <c r="BX127" s="68"/>
      <c r="BY127" s="67"/>
      <c r="BZ127" s="64"/>
      <c r="CA127" s="66"/>
      <c r="CB127" s="66"/>
      <c r="CC127" s="65"/>
      <c r="CD127" s="66"/>
      <c r="CE127" s="69"/>
    </row>
    <row r="128" spans="5:83" x14ac:dyDescent="0.35">
      <c r="E128" s="29"/>
      <c r="F128" s="61"/>
      <c r="G128" s="61" t="s">
        <v>3580</v>
      </c>
      <c r="H128" s="63">
        <f>COUNTIFS(AllData[District], $F$127, AllData[River], $G128)</f>
        <v>64</v>
      </c>
      <c r="I128" s="64">
        <f t="shared" si="84"/>
        <v>4.2315476190476193</v>
      </c>
      <c r="J128" s="65">
        <f t="shared" si="85"/>
        <v>0.74291428571428564</v>
      </c>
      <c r="K128" s="66" cm="1">
        <f t="array" ref="K128">SUM(COUNTIFS(AllData[District], $F$127, AllData[River], $G128, AllData[Nitrate Pollution Category], {"High","Very high"}))/COUNTIFS(AllData[District], $F$127, AllData[River], $G128, AllData[Nitrate (PPM)], "&lt;&gt;0")</f>
        <v>0.984375</v>
      </c>
      <c r="L128" s="66" cm="1">
        <f t="array" ref="L128">SUM(COUNTIFS(AllData[District], $F$127, AllData[River], $G128, AllData[Phosphate Pollution Category], {"High","Very high"}))/COUNTIFS(AllData[District], $F$127, AllData[River], $G128, AllData[Phosphate (PPM)], "&lt;&gt;0")</f>
        <v>0.953125</v>
      </c>
      <c r="M128" s="67"/>
      <c r="N128" s="67"/>
      <c r="O128" s="63">
        <f>COUNTIFS(AllData[District],$F$127,AllData[River],$G128,AllData[Season],O$106, AllData[Year], "2023")</f>
        <v>0</v>
      </c>
      <c r="P128" s="64" t="str">
        <f>IFERROR(AVERAGEIFS(AllData[Nitrate (PPM)], AllData[District], $F$127, AllData[River],$G128, AllData[Season], O$106, AllData[Year], "2023"), "")</f>
        <v/>
      </c>
      <c r="Q128" s="64" t="str">
        <f t="shared" si="108"/>
        <v/>
      </c>
      <c r="R128" s="65" t="str">
        <f>IFERROR(AVERAGEIFS(AllData[Phosphate (PPM)], AllData[District], $F$127, AllData[River], $G128, AllData[Season], O$106, AllData[Year], "2023"),"")</f>
        <v/>
      </c>
      <c r="S128" s="126" t="str">
        <f t="shared" si="109"/>
        <v/>
      </c>
      <c r="T128" s="67">
        <f>COUNTIFS(AllData[District],$F$127,AllData[River],$G128,AllData[Season],T$106, AllData[Year], "2023")</f>
        <v>0</v>
      </c>
      <c r="U128" s="64" t="str">
        <f>IFERROR(AVERAGEIFS(AllData[Nitrate (PPM)], AllData[District], $F$127, AllData[River],$G128, AllData[Season], T$106, AllData[Year], "2023"), "")</f>
        <v/>
      </c>
      <c r="V128" s="66" t="str">
        <f t="shared" ref="V128:V130" si="175">IFERROR((U128-I128)/I128,"")</f>
        <v/>
      </c>
      <c r="W128" s="65" t="str">
        <f>IFERROR(AVERAGEIFS(AllData[Phosphate (PPM)], AllData[District], $F$127, AllData[River], $G128, AllData[Season], T$106, AllData[Year], "2023"),"")</f>
        <v/>
      </c>
      <c r="X128" s="68" t="str">
        <f t="shared" ref="X128:X130" si="176">IFERROR((W128-J128)/J128,"")</f>
        <v/>
      </c>
      <c r="Y128" s="67">
        <f>COUNTIFS(AllData[District],$F$127,AllData[River],$G128,AllData[Season],Y$106, AllData[Year], "2023")</f>
        <v>1</v>
      </c>
      <c r="Z128" s="64" t="str">
        <f>IFERROR(AVERAGEIFS(AllData[Nitrate (PPM)], AllData[District], $F$127, AllData[River],$G128, AllData[Season], Y$106, AllData[Year], "2023"), "")</f>
        <v/>
      </c>
      <c r="AA128" s="66" t="str">
        <f t="shared" si="110"/>
        <v/>
      </c>
      <c r="AB128" s="65">
        <f>IFERROR(AVERAGEIFS(AllData[Phosphate (PPM)], AllData[District], $F$127, AllData[River], $G128, AllData[Season], Y$106, AllData[Year], "2023"),"")</f>
        <v>0.21</v>
      </c>
      <c r="AC128" s="66">
        <f t="shared" si="111"/>
        <v>-0.71732943619721556</v>
      </c>
      <c r="AD128" s="63">
        <f>COUNTIFS(AllData[District],$F$127,AllData[River],$G128,AllData[Season],AD$106, AllData[Year], "2024")</f>
        <v>15</v>
      </c>
      <c r="AE128" s="64">
        <f>IFERROR(AVERAGEIFS(AllData[Nitrate (PPM)], AllData[District], $F$127, AllData[River],$G128, AllData[Season], AD$106, AllData[Year], "2024"), "")</f>
        <v>4.9333333333333336</v>
      </c>
      <c r="AF128" s="66">
        <f t="shared" si="112"/>
        <v>0.1658461105640737</v>
      </c>
      <c r="AG128" s="65">
        <f>IFERROR(AVERAGEIFS(AllData[Phosphate (PPM)], AllData[District], $F$127, AllData[River], $G128, AllData[Season], AD$106, AllData[Year], "2024"),"")</f>
        <v>0.8680000000000001</v>
      </c>
      <c r="AH128" s="68">
        <f t="shared" si="113"/>
        <v>0.16837166371817577</v>
      </c>
      <c r="AI128" s="67">
        <f>COUNTIFS(AllData[District],$F$127,AllData[River],$G128,AllData[Season],AI$106, AllData[Year], "2024")</f>
        <v>16</v>
      </c>
      <c r="AJ128" s="64">
        <f>IFERROR(AVERAGEIFS(AllData[Nitrate (PPM)], AllData[District], $F$127, AllData[River],$G128, AllData[Season], AI$106, AllData[Year], "2024"), "")</f>
        <v>5</v>
      </c>
      <c r="AK128" s="66">
        <f t="shared" ref="AK128:AK130" si="177">IFERROR((AJ128-I128)/I128, "")</f>
        <v>0.1816007877338584</v>
      </c>
      <c r="AL128" s="66" t="str">
        <f t="shared" ref="AL128:AL130" si="178">IFERROR((AJ128-P128)/P128,"")</f>
        <v/>
      </c>
      <c r="AM128" s="65">
        <f>IFERROR(AVERAGEIFS(AllData[Phosphate (PPM)], AllData[District], $F$127, AllData[River], $G128, AllData[Season], AI$106, AllData[Year], "2024"),"")</f>
        <v>1.39</v>
      </c>
      <c r="AN128" s="66">
        <f t="shared" ref="AN128:AN130" si="179">IFERROR((AM128-J128)/J128, "")</f>
        <v>0.87100992231366825</v>
      </c>
      <c r="AO128" s="68" t="str">
        <f t="shared" ref="AO128:AO130" si="180">IFERROR((AM128-R128)/R128,"")</f>
        <v/>
      </c>
      <c r="AP128" s="67">
        <f>COUNTIFS(AllData[District],$F$127,AllData[River],$G128,AllData[Season],AP$106, AllData[Year], "2024")</f>
        <v>14</v>
      </c>
      <c r="AQ128" s="64">
        <f>IFERROR(AVERAGEIFS(AllData[Nitrate (PPM)], AllData[District], $F$127, AllData[River],$G128, AllData[Season], AP$106, AllData[Year], "2024"), "")</f>
        <v>4.1428571428571432</v>
      </c>
      <c r="AR128" s="66">
        <f t="shared" si="98"/>
        <v>-2.0959347306231516E-2</v>
      </c>
      <c r="AS128" s="66" t="str">
        <f t="shared" si="118"/>
        <v/>
      </c>
      <c r="AT128" s="65">
        <f>IFERROR(AVERAGEIFS(AllData[Phosphate (PPM)], AllData[District], $F$127, AllData[River], $G128, AllData[Season], AP$106, AllData[Year], "2024"),"")</f>
        <v>0.86857142857142855</v>
      </c>
      <c r="AU128" s="66">
        <f t="shared" si="119"/>
        <v>0.16914083532036006</v>
      </c>
      <c r="AV128" s="68" t="str">
        <f t="shared" si="120"/>
        <v/>
      </c>
      <c r="AW128" s="67">
        <f>COUNTIFS(AllData[District],$F$127,AllData[River],$G128,AllData[Season],AW$106, AllData[Year], "2024")</f>
        <v>10</v>
      </c>
      <c r="AX128" s="64">
        <f>IFERROR(AVERAGEIFS(AllData[Nitrate (PPM)], AllData[District], $F$127, AllData[River],$G128, AllData[Season], AW$106, AllData[Year], "2024"), "")</f>
        <v>2.85</v>
      </c>
      <c r="AY128" s="66">
        <f t="shared" ref="AY128:AY130" si="181">IFERROR((AX128-$I128)/$I128, "")</f>
        <v>-0.32648755099170068</v>
      </c>
      <c r="AZ128" s="66" t="str">
        <f t="shared" si="102"/>
        <v/>
      </c>
      <c r="BA128" s="65">
        <f>IFERROR(AVERAGEIFS(AllData[Phosphate (PPM)], AllData[District], $F$127, AllData[River], $G128, AllData[Season], AW$106, AllData[Year], "2024"),"")</f>
        <v>0.378</v>
      </c>
      <c r="BB128" s="66">
        <f t="shared" ref="BB128:BB130" si="182">IFERROR((BA128-$J128)/$J128, "")</f>
        <v>-0.49119298515498805</v>
      </c>
      <c r="BC128" s="69">
        <f t="shared" si="103"/>
        <v>0.8</v>
      </c>
      <c r="BD128" s="63">
        <f>COUNTIFS(AllData[District],$F$127,AllData[River],$G128,AllData[Season],BD$106, AllData[Year], "2025")</f>
        <v>8</v>
      </c>
      <c r="BE128" s="64">
        <f>IFERROR(AVERAGEIFS(AllData[Nitrate (PPM)], AllData[District], $F$127, AllData[River],$G128, AllData[Season], BD$106, AllData[Year], "2025"), "")</f>
        <v>2.5</v>
      </c>
      <c r="BF128" s="66">
        <f t="shared" si="104"/>
        <v>-0.40919960613307077</v>
      </c>
      <c r="BG128" s="66">
        <f t="shared" si="105"/>
        <v>-0.49324324324324326</v>
      </c>
      <c r="BH128" s="65">
        <f>IFERROR(AVERAGEIFS(AllData[Phosphate (PPM)], AllData[District], $F$127, AllData[River], $G128, AllData[Season], BD$106, AllData[Year], "2025"),"")</f>
        <v>0.44500000000000001</v>
      </c>
      <c r="BI128" s="66">
        <f t="shared" si="106"/>
        <v>-0.40100761479886154</v>
      </c>
      <c r="BJ128" s="66">
        <f t="shared" si="107"/>
        <v>-0.48732718894009219</v>
      </c>
      <c r="BK128" s="201"/>
      <c r="BL128" s="64"/>
      <c r="BM128" s="66"/>
      <c r="BN128" s="66"/>
      <c r="BO128" s="65"/>
      <c r="BP128" s="66"/>
      <c r="BQ128" s="68"/>
      <c r="BR128" s="67"/>
      <c r="BS128" s="64"/>
      <c r="BT128" s="66"/>
      <c r="BU128" s="66"/>
      <c r="BV128" s="65"/>
      <c r="BW128" s="66"/>
      <c r="BX128" s="68"/>
      <c r="BY128" s="67"/>
      <c r="BZ128" s="64"/>
      <c r="CA128" s="66"/>
      <c r="CB128" s="66"/>
      <c r="CC128" s="65"/>
      <c r="CD128" s="66"/>
      <c r="CE128" s="69"/>
    </row>
    <row r="129" spans="5:83" x14ac:dyDescent="0.35">
      <c r="E129" s="29"/>
      <c r="F129" s="61"/>
      <c r="G129" s="61" t="s">
        <v>3582</v>
      </c>
      <c r="H129" s="63">
        <f>COUNTIFS(AllData[District], $F$127, AllData[River], $G129)</f>
        <v>62</v>
      </c>
      <c r="I129" s="64">
        <f t="shared" si="84"/>
        <v>6.5411953242835592</v>
      </c>
      <c r="J129" s="65">
        <f t="shared" si="85"/>
        <v>0.78659596530920062</v>
      </c>
      <c r="K129" s="66" cm="1">
        <f t="array" ref="K129">SUM(COUNTIFS(AllData[District], $F$127, AllData[River], $G129, AllData[Nitrate Pollution Category], {"High","Very high"}))/COUNTIFS(AllData[District], $F$127, AllData[River], $G129, AllData[Nitrate (PPM)], "&lt;&gt;0")</f>
        <v>1</v>
      </c>
      <c r="L129" s="66" cm="1">
        <f t="array" ref="L129">SUM(COUNTIFS(AllData[District], $F$127, AllData[River], $G129, AllData[Phosphate Pollution Category], {"High","Very high"}))/COUNTIFS(AllData[District], $F$127, AllData[River], $G129, AllData[Phosphate (PPM)], "&lt;&gt;0")</f>
        <v>1</v>
      </c>
      <c r="M129" s="67"/>
      <c r="N129" s="67"/>
      <c r="O129" s="63">
        <f>COUNTIFS(AllData[District],$F$127,AllData[River],$G129,AllData[Season],O$106, AllData[Year], "2023")</f>
        <v>0</v>
      </c>
      <c r="P129" s="64" t="str">
        <f>IFERROR(AVERAGEIFS(AllData[Nitrate (PPM)], AllData[District], $F$127, AllData[River],$G129, AllData[Season], O$106, AllData[Year], "2023"), "")</f>
        <v/>
      </c>
      <c r="Q129" s="64" t="str">
        <f t="shared" si="108"/>
        <v/>
      </c>
      <c r="R129" s="65" t="str">
        <f>IFERROR(AVERAGEIFS(AllData[Phosphate (PPM)], AllData[District], $F$127, AllData[River], $G129, AllData[Season], O$106, AllData[Year], "2023"),"")</f>
        <v/>
      </c>
      <c r="S129" s="126" t="str">
        <f t="shared" si="109"/>
        <v/>
      </c>
      <c r="T129" s="67">
        <f>COUNTIFS(AllData[District],$F$127,AllData[River],$G129,AllData[Season],T$106, AllData[Year], "2023")</f>
        <v>0</v>
      </c>
      <c r="U129" s="64" t="str">
        <f>IFERROR(AVERAGEIFS(AllData[Nitrate (PPM)], AllData[District], $F$127, AllData[River],$G129, AllData[Season], T$106, AllData[Year], "2023"), "")</f>
        <v/>
      </c>
      <c r="V129" s="66" t="str">
        <f t="shared" si="175"/>
        <v/>
      </c>
      <c r="W129" s="65" t="str">
        <f>IFERROR(AVERAGEIFS(AllData[Phosphate (PPM)], AllData[District], $F$127, AllData[River], $G129, AllData[Season], T$106, AllData[Year], "2023"),"")</f>
        <v/>
      </c>
      <c r="X129" s="68" t="str">
        <f t="shared" si="176"/>
        <v/>
      </c>
      <c r="Y129" s="67">
        <f>COUNTIFS(AllData[District],$F$127,AllData[River],$G129,AllData[Season],Y$106, AllData[Year], "2023")</f>
        <v>0</v>
      </c>
      <c r="Z129" s="64" t="str">
        <f>IFERROR(AVERAGEIFS(AllData[Nitrate (PPM)], AllData[District], $F$127, AllData[River],$G129, AllData[Season], Y$106, AllData[Year], "2023"), "")</f>
        <v/>
      </c>
      <c r="AA129" s="66" t="str">
        <f t="shared" si="110"/>
        <v/>
      </c>
      <c r="AB129" s="65" t="str">
        <f>IFERROR(AVERAGEIFS(AllData[Phosphate (PPM)], AllData[District], $F$127, AllData[River], $G129, AllData[Season], Y$106, AllData[Year], "2023"),"")</f>
        <v/>
      </c>
      <c r="AC129" s="66" t="str">
        <f t="shared" si="111"/>
        <v/>
      </c>
      <c r="AD129" s="63">
        <f>COUNTIFS(AllData[District],$F$127,AllData[River],$G129,AllData[Season],AD$106, AllData[Year], "2024")</f>
        <v>13</v>
      </c>
      <c r="AE129" s="64">
        <f>IFERROR(AVERAGEIFS(AllData[Nitrate (PPM)], AllData[District], $F$127, AllData[River],$G129, AllData[Season], AD$106, AllData[Year], "2024"), "")</f>
        <v>5.6923076923076925</v>
      </c>
      <c r="AF129" s="66">
        <f t="shared" si="112"/>
        <v>-0.12977561284929881</v>
      </c>
      <c r="AG129" s="65">
        <f>IFERROR(AVERAGEIFS(AllData[Phosphate (PPM)], AllData[District], $F$127, AllData[River], $G129, AllData[Season], AD$106, AllData[Year], "2024"),"")</f>
        <v>0.6446153846153847</v>
      </c>
      <c r="AH129" s="68">
        <f t="shared" si="113"/>
        <v>-0.18050001138514002</v>
      </c>
      <c r="AI129" s="67">
        <f>COUNTIFS(AllData[District],$F$127,AllData[River],$G129,AllData[Season],AI$106, AllData[Year], "2024")</f>
        <v>17</v>
      </c>
      <c r="AJ129" s="64">
        <f>IFERROR(AVERAGEIFS(AllData[Nitrate (PPM)], AllData[District], $F$127, AllData[River],$G129, AllData[Season], AI$106, AllData[Year], "2024"), "")</f>
        <v>8.235294117647058</v>
      </c>
      <c r="AK129" s="66">
        <f t="shared" si="177"/>
        <v>0.2589891769588839</v>
      </c>
      <c r="AL129" s="66" t="str">
        <f t="shared" si="178"/>
        <v/>
      </c>
      <c r="AM129" s="65">
        <f>IFERROR(AVERAGEIFS(AllData[Phosphate (PPM)], AllData[District], $F$127, AllData[River], $G129, AllData[Season], AI$106, AllData[Year], "2024"),"")</f>
        <v>1.175294117647059</v>
      </c>
      <c r="AN129" s="66">
        <f t="shared" si="179"/>
        <v>0.49415223250613327</v>
      </c>
      <c r="AO129" s="68" t="str">
        <f t="shared" si="180"/>
        <v/>
      </c>
      <c r="AP129" s="67">
        <f>COUNTIFS(AllData[District],$F$127,AllData[River],$G129,AllData[Season],AP$106, AllData[Year], "2024")</f>
        <v>13</v>
      </c>
      <c r="AQ129" s="64">
        <f>IFERROR(AVERAGEIFS(AllData[Nitrate (PPM)], AllData[District], $F$127, AllData[River],$G129, AllData[Season], AP$106, AllData[Year], "2024"), "")</f>
        <v>7.1538461538461542</v>
      </c>
      <c r="AR129" s="66">
        <f t="shared" si="98"/>
        <v>9.3660378446151521E-2</v>
      </c>
      <c r="AS129" s="66" t="str">
        <f t="shared" si="118"/>
        <v/>
      </c>
      <c r="AT129" s="65">
        <f>IFERROR(AVERAGEIFS(AllData[Phosphate (PPM)], AllData[District], $F$127, AllData[River], $G129, AllData[Season], AP$106, AllData[Year], "2024"),"")</f>
        <v>0.8323076923076923</v>
      </c>
      <c r="AU129" s="66">
        <f t="shared" si="119"/>
        <v>5.8113350454986126E-2</v>
      </c>
      <c r="AV129" s="68" t="str">
        <f t="shared" si="120"/>
        <v/>
      </c>
      <c r="AW129" s="67">
        <f>COUNTIFS(AllData[District],$F$127,AllData[River],$G129,AllData[Season],AW$106, AllData[Year], "2024")</f>
        <v>12</v>
      </c>
      <c r="AX129" s="64">
        <f>IFERROR(AVERAGEIFS(AllData[Nitrate (PPM)], AllData[District], $F$127, AllData[River],$G129, AllData[Season], AW$106, AllData[Year], "2024"), "")</f>
        <v>5.083333333333333</v>
      </c>
      <c r="AY129" s="66">
        <f t="shared" si="181"/>
        <v>-0.2228739425557365</v>
      </c>
      <c r="AZ129" s="66" t="str">
        <f t="shared" si="102"/>
        <v/>
      </c>
      <c r="BA129" s="65">
        <f>IFERROR(AVERAGEIFS(AllData[Phosphate (PPM)], AllData[District], $F$127, AllData[River], $G129, AllData[Season], AW$106, AllData[Year], "2024"),"")</f>
        <v>0.4941666666666667</v>
      </c>
      <c r="BB129" s="66">
        <f t="shared" si="182"/>
        <v>-0.371765571575979</v>
      </c>
      <c r="BC129" s="69" t="str">
        <f t="shared" si="103"/>
        <v/>
      </c>
      <c r="BD129" s="63">
        <f>COUNTIFS(AllData[District],$F$127,AllData[River],$G129,AllData[Season],BD$106, AllData[Year], "2025")</f>
        <v>7</v>
      </c>
      <c r="BE129" s="64">
        <f>IFERROR(AVERAGEIFS(AllData[Nitrate (PPM)], AllData[District], $F$127, AllData[River],$G129, AllData[Season], BD$106, AllData[Year], "2025"), "")</f>
        <v>6.4285714285714288</v>
      </c>
      <c r="BF129" s="66">
        <f t="shared" si="104"/>
        <v>-1.7217632271891499E-2</v>
      </c>
      <c r="BG129" s="66">
        <f t="shared" si="105"/>
        <v>0.12934362934362933</v>
      </c>
      <c r="BH129" s="65">
        <f>IFERROR(AVERAGEIFS(AllData[Phosphate (PPM)], AllData[District], $F$127, AllData[River], $G129, AllData[Season], BD$106, AllData[Year], "2025"),"")</f>
        <v>0.60571428571428576</v>
      </c>
      <c r="BI129" s="66">
        <f t="shared" si="106"/>
        <v>-0.22995500558385476</v>
      </c>
      <c r="BJ129" s="66">
        <f t="shared" si="107"/>
        <v>-6.0347766791680926E-2</v>
      </c>
      <c r="BK129" s="201"/>
      <c r="BL129" s="64"/>
      <c r="BM129" s="66"/>
      <c r="BN129" s="66"/>
      <c r="BO129" s="65"/>
      <c r="BP129" s="66"/>
      <c r="BQ129" s="68"/>
      <c r="BR129" s="67"/>
      <c r="BS129" s="64"/>
      <c r="BT129" s="66"/>
      <c r="BU129" s="66"/>
      <c r="BV129" s="65"/>
      <c r="BW129" s="66"/>
      <c r="BX129" s="68"/>
      <c r="BY129" s="67"/>
      <c r="BZ129" s="64"/>
      <c r="CA129" s="66"/>
      <c r="CB129" s="66"/>
      <c r="CC129" s="65"/>
      <c r="CD129" s="66"/>
      <c r="CE129" s="69"/>
    </row>
    <row r="130" spans="5:83" x14ac:dyDescent="0.35">
      <c r="E130" s="29"/>
      <c r="F130" s="61"/>
      <c r="G130" s="61" t="s">
        <v>3587</v>
      </c>
      <c r="H130" s="63">
        <f>COUNTIFS(AllData[District], $F$127, AllData[River], $G130)</f>
        <v>6</v>
      </c>
      <c r="I130" s="64">
        <f t="shared" si="84"/>
        <v>4.833333333333333</v>
      </c>
      <c r="J130" s="65">
        <f t="shared" si="85"/>
        <v>1.76</v>
      </c>
      <c r="K130" s="66" cm="1">
        <f t="array" ref="K130">SUM(COUNTIFS(AllData[District], $F$127, AllData[River], $G130, AllData[Nitrate Pollution Category], {"High","Very high"}))/COUNTIFS(AllData[District], $F$127, AllData[River], $G130, AllData[Nitrate (PPM)], "&lt;&gt;0")</f>
        <v>0.83333333333333337</v>
      </c>
      <c r="L130" s="66" cm="1">
        <f t="array" ref="L130">SUM(COUNTIFS(AllData[District], $F$127, AllData[River], $G130, AllData[Phosphate Pollution Category], {"High","Very high"}))/COUNTIFS(AllData[District], $F$127, AllData[River], $G130, AllData[Phosphate (PPM)], "&lt;&gt;0")</f>
        <v>1</v>
      </c>
      <c r="M130" s="67"/>
      <c r="N130" s="67"/>
      <c r="O130" s="63">
        <f>COUNTIFS(AllData[District],$F$127,AllData[River],$G130,AllData[Season],O$106, AllData[Year], "2023")</f>
        <v>0</v>
      </c>
      <c r="P130" s="64" t="str">
        <f>IFERROR(AVERAGEIFS(AllData[Nitrate (PPM)], AllData[District], $F$127, AllData[River],$G130, AllData[Season], O$106, AllData[Year], "2023"), "")</f>
        <v/>
      </c>
      <c r="Q130" s="66" t="str">
        <f t="shared" si="108"/>
        <v/>
      </c>
      <c r="R130" s="65" t="str">
        <f>IFERROR(AVERAGEIFS(AllData[Phosphate (PPM)], AllData[District], $F$127, AllData[River], $G130, AllData[Season], O$106, AllData[Year], "2023"),"")</f>
        <v/>
      </c>
      <c r="S130" s="68" t="str">
        <f t="shared" si="109"/>
        <v/>
      </c>
      <c r="T130" s="67">
        <f>COUNTIFS(AllData[District],$F$127,AllData[River],$G130,AllData[Season],T$106, AllData[Year], "2023")</f>
        <v>0</v>
      </c>
      <c r="U130" s="64" t="str">
        <f>IFERROR(AVERAGEIFS(AllData[Nitrate (PPM)], AllData[District], $F$127, AllData[River],$G130, AllData[Season], T$106, AllData[Year], "2023"), "")</f>
        <v/>
      </c>
      <c r="V130" s="66" t="str">
        <f t="shared" si="175"/>
        <v/>
      </c>
      <c r="W130" s="65" t="str">
        <f>IFERROR(AVERAGEIFS(AllData[Phosphate (PPM)], AllData[District], $F$127, AllData[River], $G130, AllData[Season], T$106, AllData[Year], "2023"),"")</f>
        <v/>
      </c>
      <c r="X130" s="68" t="str">
        <f t="shared" si="176"/>
        <v/>
      </c>
      <c r="Y130" s="67">
        <f>COUNTIFS(AllData[District],$F$127,AllData[River],$G130,AllData[Season],Y$106, AllData[Year], "2023")</f>
        <v>0</v>
      </c>
      <c r="Z130" s="64" t="str">
        <f>IFERROR(AVERAGEIFS(AllData[Nitrate (PPM)], AllData[District], $F$127, AllData[River],$G130, AllData[Season], Y$106, AllData[Year], "2023"), "")</f>
        <v/>
      </c>
      <c r="AA130" s="66" t="str">
        <f t="shared" si="110"/>
        <v/>
      </c>
      <c r="AB130" s="65" t="str">
        <f>IFERROR(AVERAGEIFS(AllData[Phosphate (PPM)], AllData[District], $F$127, AllData[River], $G130, AllData[Season], Y$106, AllData[Year], "2023"),"")</f>
        <v/>
      </c>
      <c r="AC130" s="66" t="str">
        <f t="shared" si="111"/>
        <v/>
      </c>
      <c r="AD130" s="63">
        <f>COUNTIFS(AllData[District],$F$127,AllData[River],$G130,AllData[Season],AD$106, AllData[Year], "2024")</f>
        <v>0</v>
      </c>
      <c r="AE130" s="64" t="str">
        <f>IFERROR(AVERAGEIFS(AllData[Nitrate (PPM)], AllData[District], $F$127, AllData[River],$G130, AllData[Season], AD$106, AllData[Year], "2024"), "")</f>
        <v/>
      </c>
      <c r="AF130" s="66" t="str">
        <f t="shared" si="112"/>
        <v/>
      </c>
      <c r="AG130" s="65" t="str">
        <f>IFERROR(AVERAGEIFS(AllData[Phosphate (PPM)], AllData[District], $F$127, AllData[River], $G130, AllData[Season], AD$106, AllData[Year], "2024"),"")</f>
        <v/>
      </c>
      <c r="AH130" s="68" t="str">
        <f t="shared" si="113"/>
        <v/>
      </c>
      <c r="AI130" s="67">
        <f>COUNTIFS(AllData[District],$F$127,AllData[River],$G130,AllData[Season],AI$106, AllData[Year], "2024")</f>
        <v>6</v>
      </c>
      <c r="AJ130" s="64">
        <f>IFERROR(AVERAGEIFS(AllData[Nitrate (PPM)], AllData[District], $F$127, AllData[River],$G130, AllData[Season], AI$106, AllData[Year], "2024"), "")</f>
        <v>4.833333333333333</v>
      </c>
      <c r="AK130" s="66">
        <f t="shared" si="177"/>
        <v>0</v>
      </c>
      <c r="AL130" s="66" t="str">
        <f t="shared" si="178"/>
        <v/>
      </c>
      <c r="AM130" s="65">
        <f>IFERROR(AVERAGEIFS(AllData[Phosphate (PPM)], AllData[District], $F$127, AllData[River], $G130, AllData[Season], AI$106, AllData[Year], "2024"),"")</f>
        <v>1.76</v>
      </c>
      <c r="AN130" s="66">
        <f t="shared" si="179"/>
        <v>0</v>
      </c>
      <c r="AO130" s="68" t="str">
        <f t="shared" si="180"/>
        <v/>
      </c>
      <c r="AP130" s="67">
        <f>COUNTIFS(AllData[District],$F$127,AllData[River],$G130,AllData[Season],AP$106, AllData[Year], "2024")</f>
        <v>0</v>
      </c>
      <c r="AQ130" s="64" t="str">
        <f>IFERROR(AVERAGEIFS(AllData[Nitrate (PPM)], AllData[District], $F$127, AllData[River],$G130, AllData[Season], AP$106, AllData[Year], "2024"), "")</f>
        <v/>
      </c>
      <c r="AR130" s="66" t="str">
        <f t="shared" si="98"/>
        <v/>
      </c>
      <c r="AS130" s="66" t="str">
        <f t="shared" si="118"/>
        <v/>
      </c>
      <c r="AT130" s="65" t="str">
        <f>IFERROR(AVERAGEIFS(AllData[Phosphate (PPM)], AllData[District], $F$127, AllData[River], $G130, AllData[Season], AP$106, AllData[Year], "2024"),"")</f>
        <v/>
      </c>
      <c r="AU130" s="66" t="str">
        <f t="shared" si="119"/>
        <v/>
      </c>
      <c r="AV130" s="68" t="str">
        <f t="shared" si="120"/>
        <v/>
      </c>
      <c r="AW130" s="67">
        <f>COUNTIFS(AllData[District],$F$127,AllData[River],$G130,AllData[Season],AW$106, AllData[Year], "2024")</f>
        <v>0</v>
      </c>
      <c r="AX130" s="64" t="str">
        <f>IFERROR(AVERAGEIFS(AllData[Nitrate (PPM)], AllData[District], $F$127, AllData[River],$G130, AllData[Season], AW$106, AllData[Year], "2024"), "")</f>
        <v/>
      </c>
      <c r="AY130" s="66" t="str">
        <f t="shared" si="181"/>
        <v/>
      </c>
      <c r="AZ130" s="66" t="str">
        <f t="shared" si="102"/>
        <v/>
      </c>
      <c r="BA130" s="65" t="str">
        <f>IFERROR(AVERAGEIFS(AllData[Phosphate (PPM)], AllData[District], $F$127, AllData[River], $G130, AllData[Season], AW$106, AllData[Year], "2024"),"")</f>
        <v/>
      </c>
      <c r="BB130" s="66" t="str">
        <f t="shared" si="182"/>
        <v/>
      </c>
      <c r="BC130" s="69" t="str">
        <f t="shared" si="103"/>
        <v/>
      </c>
      <c r="BD130" s="63">
        <f>COUNTIFS(AllData[District],$F$127,AllData[River],$G130,AllData[Season],BD$106, AllData[Year], "2025")</f>
        <v>0</v>
      </c>
      <c r="BE130" s="64" t="str">
        <f>IFERROR(AVERAGEIFS(AllData[Nitrate (PPM)], AllData[District], $F$127, AllData[River],$G130, AllData[Season], BD$106, AllData[Year], "2025"), "")</f>
        <v/>
      </c>
      <c r="BF130" s="66" t="str">
        <f t="shared" si="104"/>
        <v/>
      </c>
      <c r="BG130" s="66" t="str">
        <f t="shared" si="105"/>
        <v/>
      </c>
      <c r="BH130" s="65" t="str">
        <f>IFERROR(AVERAGEIFS(AllData[Phosphate (PPM)], AllData[District], $F$127, AllData[River], $G130, AllData[Season], BD$106, AllData[Year], "2025"),"")</f>
        <v/>
      </c>
      <c r="BI130" s="66" t="str">
        <f t="shared" si="106"/>
        <v/>
      </c>
      <c r="BJ130" s="66" t="str">
        <f t="shared" si="107"/>
        <v/>
      </c>
      <c r="BK130" s="201"/>
      <c r="BL130" s="64"/>
      <c r="BM130" s="66"/>
      <c r="BN130" s="66"/>
      <c r="BO130" s="65"/>
      <c r="BP130" s="66"/>
      <c r="BQ130" s="68"/>
      <c r="BR130" s="67"/>
      <c r="BS130" s="64"/>
      <c r="BT130" s="66"/>
      <c r="BU130" s="66"/>
      <c r="BV130" s="65"/>
      <c r="BW130" s="66"/>
      <c r="BX130" s="68"/>
      <c r="BY130" s="67"/>
      <c r="BZ130" s="64"/>
      <c r="CA130" s="66"/>
      <c r="CB130" s="66"/>
      <c r="CC130" s="65"/>
      <c r="CD130" s="66"/>
      <c r="CE130" s="69"/>
    </row>
    <row r="131" spans="5:83" s="71" customFormat="1" ht="15" thickBot="1" x14ac:dyDescent="0.4">
      <c r="E131" s="74"/>
      <c r="F131" s="114"/>
      <c r="G131" s="115" t="s">
        <v>3623</v>
      </c>
      <c r="H131" s="116">
        <f>COUNTIFS(AllData[District], $F$127)</f>
        <v>256</v>
      </c>
      <c r="I131" s="120">
        <f t="shared" si="84"/>
        <v>6.3426910456237771</v>
      </c>
      <c r="J131" s="121">
        <f t="shared" si="85"/>
        <v>0.7277451568120149</v>
      </c>
      <c r="K131" s="117" cm="1">
        <f t="array" ref="K131">SUM(COUNTIFS(AllData[District], F127, AllData[Nitrate Pollution Category], {"High","Very high"}))/COUNTIFS(AllData[District], F127, AllData[Nitrate (PPM)], "&lt;&gt;0")</f>
        <v>0.98418972332015808</v>
      </c>
      <c r="L131" s="117" cm="1">
        <f t="array" ref="L131">SUM(COUNTIFS(AllData[District], F127, AllData[Phosphate Pollution Category], {"High","Very high"}))/COUNTIFS(AllData[District], F127, AllData[Phosphate (PPM)], "&lt;&gt;0")</f>
        <v>0.96875</v>
      </c>
      <c r="M131" s="118">
        <v>2</v>
      </c>
      <c r="N131" s="119">
        <v>1</v>
      </c>
      <c r="O131" s="116">
        <f>COUNTIFS(AllData[District], $F$127, AllData[Season], O$106, AllData[Year], "2023")</f>
        <v>0</v>
      </c>
      <c r="P131" s="120" t="str">
        <f>IFERROR(AVERAGEIFS(AllData[Nitrate (PPM)], AllData[District], $F127, AllData[Season], O$106, AllData[Year], "2023"), "")</f>
        <v/>
      </c>
      <c r="Q131" s="117" t="str">
        <f t="shared" si="108"/>
        <v/>
      </c>
      <c r="R131" s="121" t="str">
        <f>IFERROR(AVERAGEIFS(AllData[Phosphate (PPM)], AllData[District], $F127, AllData[Season], O$106, AllData[Year], "2023"),"")</f>
        <v/>
      </c>
      <c r="S131" s="135" t="str">
        <f t="shared" si="109"/>
        <v/>
      </c>
      <c r="T131" s="118">
        <f>COUNTIFS(AllData[District], $F$127, AllData[Season], T$106, AllData[Year], "2023")</f>
        <v>0</v>
      </c>
      <c r="U131" s="120" t="str">
        <f>IFERROR(AVERAGEIFS(AllData[Nitrate (PPM)], AllData[District], $F127, AllData[Season], T$106, AllData[Year], "2023"), "")</f>
        <v/>
      </c>
      <c r="V131" s="117" t="str">
        <f t="shared" ref="V131" si="183">IFERROR((U131-$I131)/$I131, "")</f>
        <v/>
      </c>
      <c r="W131" s="121" t="str">
        <f>IFERROR(AVERAGEIFS(AllData[Phosphate (PPM)], AllData[District], $F127, AllData[Season], T$106, AllData[Year], "2023"),"")</f>
        <v/>
      </c>
      <c r="X131" s="135" t="str">
        <f t="shared" ref="X131" si="184">IFERROR((W131-$J131)/$J131, "")</f>
        <v/>
      </c>
      <c r="Y131" s="118">
        <f>COUNTIFS(AllData[District], $F$127, AllData[Season], Y$106, AllData[Year], "2023")</f>
        <v>6</v>
      </c>
      <c r="Z131" s="120">
        <f>IFERROR(AVERAGEIFS(AllData[Nitrate (PPM)], AllData[District], $F127, AllData[Season], Y$106, AllData[Year], "2023"), "")</f>
        <v>8</v>
      </c>
      <c r="AA131" s="117">
        <f t="shared" si="110"/>
        <v>0.26129429014514355</v>
      </c>
      <c r="AB131" s="121">
        <f>IFERROR(AVERAGEIFS(AllData[Phosphate (PPM)], AllData[District], $F127, AllData[Season], Y$106, AllData[Year], "2023"),"")</f>
        <v>0.53</v>
      </c>
      <c r="AC131" s="117">
        <f t="shared" si="111"/>
        <v>-0.27172308185225719</v>
      </c>
      <c r="AD131" s="116">
        <f>COUNTIFS(AllData[District], $F$127, AllData[Season], AD$106, AllData[Year], "2024")</f>
        <v>46</v>
      </c>
      <c r="AE131" s="120">
        <f>IFERROR(AVERAGEIFS(AllData[Nitrate (PPM)], AllData[District], $F127, AllData[Season], AD$106, AllData[Year], "2024"), "")</f>
        <v>5.8043478260869561</v>
      </c>
      <c r="AF131" s="117">
        <f t="shared" si="112"/>
        <v>-8.4876153617518213E-2</v>
      </c>
      <c r="AG131" s="121">
        <f>IFERROR(AVERAGEIFS(AllData[Phosphate (PPM)], AllData[District], $F127, AllData[Season], AD$106, AllData[Year], "2024"),"")</f>
        <v>0.67043478260869593</v>
      </c>
      <c r="AH131" s="135">
        <f t="shared" si="113"/>
        <v>-7.8750608872994413E-2</v>
      </c>
      <c r="AI131" s="118">
        <f>COUNTIFS(AllData[District], $F$127, AllData[Season], AI$106, AllData[Year], "2024")</f>
        <v>53</v>
      </c>
      <c r="AJ131" s="120">
        <f>IFERROR(AVERAGEIFS(AllData[Nitrate (PPM)], AllData[District], $F127, AllData[Season], AI$106, AllData[Year], "2024"), "")</f>
        <v>6.9433962264150946</v>
      </c>
      <c r="AK131" s="117">
        <f t="shared" ref="AK131" si="185">IFERROR((AJ131-$I131)/$I131, "")</f>
        <v>9.4708251824086861E-2</v>
      </c>
      <c r="AL131" s="117" t="str">
        <f t="shared" ref="AL131" si="186">IFERROR((AJ131-P131)/P131,"")</f>
        <v/>
      </c>
      <c r="AM131" s="121">
        <f>IFERROR(AVERAGEIFS(AllData[Phosphate (PPM)], AllData[District], $F127, AllData[Season], AI$106, AllData[Year], "2024"),"")</f>
        <v>1.2171698113207545</v>
      </c>
      <c r="AN131" s="117">
        <f t="shared" ref="AN131" si="187">IFERROR((AM131-$J131)/$J131, "")</f>
        <v>0.67252203594556348</v>
      </c>
      <c r="AO131" s="135" t="str">
        <f t="shared" ref="AO131" si="188">IFERROR((AM131-R131)/R131,"")</f>
        <v/>
      </c>
      <c r="AP131" s="118">
        <f>COUNTIFS(AllData[District], $F$127, AllData[Season], AP$106, AllData[Year], "2024")</f>
        <v>54</v>
      </c>
      <c r="AQ131" s="120">
        <f>IFERROR(AVERAGEIFS(AllData[Nitrate (PPM)], AllData[District], $F127, AllData[Season], AP$106, AllData[Year], "2024"), "")</f>
        <v>6.283018867924528</v>
      </c>
      <c r="AR131" s="117">
        <f t="shared" si="98"/>
        <v>-9.4080221265736477E-3</v>
      </c>
      <c r="AS131" s="117" t="str">
        <f t="shared" si="118"/>
        <v/>
      </c>
      <c r="AT131" s="121">
        <f>IFERROR(AVERAGEIFS(AllData[Phosphate (PPM)], AllData[District], $F127, AllData[Season], AP$106, AllData[Year], "2024"),"")</f>
        <v>0.7616981132075471</v>
      </c>
      <c r="AU131" s="117">
        <f t="shared" si="119"/>
        <v>4.6655008388194114E-2</v>
      </c>
      <c r="AV131" s="135" t="str">
        <f t="shared" si="120"/>
        <v/>
      </c>
      <c r="AW131" s="118">
        <f>COUNTIFS(AllData[District], $F$127, AllData[Season], AW$106, AllData[Year], "2024")</f>
        <v>52</v>
      </c>
      <c r="AX131" s="120">
        <f>IFERROR(AVERAGEIFS(AllData[Nitrate (PPM)], AllData[District], $F127, AllData[Season], AW$106, AllData[Year], "2024"), "")</f>
        <v>4.6826923076923075</v>
      </c>
      <c r="AY131" s="117">
        <f t="shared" ref="AY131" si="189">IFERROR((AX131-I131)/I131, "")</f>
        <v>-0.26171836622513839</v>
      </c>
      <c r="AZ131" s="117">
        <f t="shared" si="102"/>
        <v>-0.41466346153846156</v>
      </c>
      <c r="BA131" s="121">
        <f>IFERROR(AVERAGEIFS(AllData[Phosphate (PPM)], AllData[District], $F127, AllData[Season], AW$106, AllData[Year], "2024"),"")</f>
        <v>0.45942307692307693</v>
      </c>
      <c r="BB131" s="117">
        <f>IFERROR((BA131-$J131)/$J131, "")</f>
        <v>-0.36870335360850598</v>
      </c>
      <c r="BC131" s="136">
        <f t="shared" si="103"/>
        <v>-0.13316400580551527</v>
      </c>
      <c r="BD131" s="116">
        <f>COUNTIFS(AllData[District], $F$127, AllData[Season], BD$106, AllData[Year], "2025")</f>
        <v>45</v>
      </c>
      <c r="BE131" s="120">
        <f>IFERROR(AVERAGEIFS(AllData[Nitrate (PPM)], AllData[District], $F127, AllData[Season], BD$106, AllData[Year], "2025"), "")</f>
        <v>6.98</v>
      </c>
      <c r="BF131" s="117">
        <f t="shared" si="104"/>
        <v>0.10047926815163778</v>
      </c>
      <c r="BG131" s="117">
        <f t="shared" si="105"/>
        <v>0.2025468164794009</v>
      </c>
      <c r="BH131" s="121">
        <f>IFERROR(AVERAGEIFS(AllData[Phosphate (PPM)], AllData[District], $F127, AllData[Season], BD$106, AllData[Year], "2025"),"")</f>
        <v>0.42488888888888893</v>
      </c>
      <c r="BI131" s="117">
        <f t="shared" si="106"/>
        <v>-0.41615703668826654</v>
      </c>
      <c r="BJ131" s="117">
        <f t="shared" si="107"/>
        <v>-0.36624873901138516</v>
      </c>
      <c r="BK131" s="203"/>
      <c r="BL131" s="204"/>
      <c r="BM131" s="205"/>
      <c r="BN131" s="205"/>
      <c r="BO131" s="206"/>
      <c r="BP131" s="205"/>
      <c r="BQ131" s="207"/>
      <c r="BR131" s="118"/>
      <c r="BS131" s="120"/>
      <c r="BT131" s="117"/>
      <c r="BU131" s="117"/>
      <c r="BV131" s="121"/>
      <c r="BW131" s="117"/>
      <c r="BX131" s="135"/>
      <c r="BY131" s="118"/>
      <c r="BZ131" s="120"/>
      <c r="CA131" s="117"/>
      <c r="CB131" s="117"/>
      <c r="CC131" s="121"/>
      <c r="CD131" s="117"/>
      <c r="CE131" s="136"/>
    </row>
    <row r="132" spans="5:83" s="71" customFormat="1" ht="15" hidden="1" customHeight="1" x14ac:dyDescent="0.35">
      <c r="E132" s="74"/>
      <c r="F132" s="127"/>
      <c r="G132" s="128"/>
      <c r="H132" s="129"/>
      <c r="I132" s="130"/>
      <c r="J132" s="131"/>
      <c r="K132" s="132"/>
      <c r="L132" s="132"/>
      <c r="M132" s="133"/>
      <c r="N132" s="134"/>
      <c r="O132" s="70"/>
      <c r="P132" s="94"/>
      <c r="Q132" s="72"/>
      <c r="R132" s="95"/>
      <c r="S132" s="73"/>
      <c r="T132" s="96"/>
      <c r="U132" s="94"/>
      <c r="V132" s="72"/>
      <c r="W132" s="95"/>
      <c r="X132" s="73"/>
      <c r="Y132" s="96"/>
      <c r="Z132" s="94"/>
      <c r="AA132" s="72"/>
      <c r="AB132" s="95"/>
      <c r="AC132" s="72"/>
      <c r="AD132" s="70"/>
      <c r="AE132" s="94"/>
      <c r="AF132" s="72"/>
      <c r="AG132" s="95"/>
      <c r="AH132" s="73"/>
      <c r="AI132" s="96"/>
      <c r="AJ132" s="94"/>
      <c r="AK132" s="72"/>
      <c r="AL132" s="72"/>
      <c r="AM132" s="95"/>
      <c r="AN132" s="72"/>
      <c r="AO132" s="138"/>
      <c r="AP132" s="96"/>
      <c r="AQ132" s="94"/>
      <c r="AR132" s="72"/>
      <c r="AS132" s="72" t="str">
        <f t="shared" si="118"/>
        <v/>
      </c>
      <c r="AT132" s="95"/>
      <c r="AU132" s="72" t="str">
        <f t="shared" si="119"/>
        <v/>
      </c>
      <c r="AV132" s="138" t="str">
        <f t="shared" si="120"/>
        <v/>
      </c>
      <c r="AW132" s="96"/>
      <c r="AX132" s="94"/>
      <c r="AY132" s="72"/>
      <c r="AZ132" s="72" t="str">
        <f t="shared" ref="AZ132" si="190">IFERROR((AX132-AB132)/AB132,"")</f>
        <v/>
      </c>
      <c r="BA132" s="95"/>
      <c r="BB132" s="72" t="str">
        <f t="shared" ref="BB132" si="191">IFERROR((BA132-Q132)/Q132, "")</f>
        <v/>
      </c>
      <c r="BC132" s="74" t="str">
        <f t="shared" ref="BC132" si="192">IFERROR((BA132-AD132)/AD132,"")</f>
        <v/>
      </c>
      <c r="BD132" s="70"/>
      <c r="BE132" s="94"/>
      <c r="BF132" s="72"/>
      <c r="BG132" s="117" t="str">
        <f t="shared" si="105"/>
        <v/>
      </c>
      <c r="BH132" s="95"/>
      <c r="BI132" s="72"/>
      <c r="BJ132" s="117" t="str">
        <f t="shared" si="107"/>
        <v/>
      </c>
      <c r="BK132" s="96"/>
      <c r="BL132" s="94"/>
      <c r="BM132" s="72"/>
      <c r="BN132" s="72"/>
      <c r="BO132" s="95"/>
      <c r="BP132" s="72"/>
      <c r="BQ132" s="138"/>
      <c r="BR132" s="96"/>
      <c r="BS132" s="94"/>
      <c r="BT132" s="72"/>
      <c r="BU132" s="72" t="str">
        <f>IFERROR((BS132-#REF!)/#REF!,"")</f>
        <v/>
      </c>
      <c r="BV132" s="95"/>
      <c r="BW132" s="72" t="str">
        <f>IFERROR((BV132-AY132)/AY132, "")</f>
        <v/>
      </c>
      <c r="BX132" s="138" t="str">
        <f>IFERROR((BV132-#REF!)/#REF!,"")</f>
        <v/>
      </c>
      <c r="BY132" s="96"/>
      <c r="BZ132" s="94"/>
      <c r="CA132" s="72"/>
      <c r="CB132" s="72" t="str">
        <f>IFERROR((BZ132-#REF!)/#REF!,"")</f>
        <v/>
      </c>
      <c r="CC132" s="95"/>
      <c r="CD132" s="72" t="str">
        <f>IFERROR((CC132-#REF!)/#REF!, "")</f>
        <v/>
      </c>
      <c r="CE132" s="74" t="str">
        <f t="shared" ref="CE132" si="193">IFERROR((CC132-BD132)/BD132,"")</f>
        <v/>
      </c>
    </row>
    <row r="133" spans="5:83" ht="21" thickTop="1" thickBot="1" x14ac:dyDescent="0.4">
      <c r="E133" s="29"/>
      <c r="F133" s="32"/>
      <c r="G133" s="20"/>
      <c r="H133" s="34">
        <f>SUM(H110,H121,H126,H131)</f>
        <v>2359</v>
      </c>
      <c r="I133" s="30">
        <f>AVERAGE(I110,I121,I126,I131)</f>
        <v>5.6401714651081027</v>
      </c>
      <c r="J133" s="31">
        <f>AVERAGE(J110,J121,J126,J131)</f>
        <v>0.58475733889312465</v>
      </c>
      <c r="K133" s="35" cm="1">
        <f t="array" ref="K133">SUM(COUNTIF(AllData[Nitrate Pollution Category], {"High","Very high"}))/COUNTA(AllData[Nitrate (PPM)])</f>
        <v>0.94272380144251167</v>
      </c>
      <c r="L133" s="35" cm="1">
        <f t="array" ref="L133">SUM(COUNTIF(AllData[Phosphate Pollution Category], {"High","Very high"}))/COUNTA(AllData[Phosphate (PPM)])</f>
        <v>0.93211709800593978</v>
      </c>
      <c r="M133" s="31"/>
      <c r="N133" s="31"/>
      <c r="O133" s="38">
        <f>COUNTIFS(AllData[Season], "Summer", AllData[Year], "2023")</f>
        <v>65</v>
      </c>
      <c r="P133" s="39">
        <f>AVERAGE(P110,P121,P126,P131)</f>
        <v>7.584090909090909</v>
      </c>
      <c r="Q133" s="40">
        <f>(P133-$I133)/$I133</f>
        <v>0.34465608998033326</v>
      </c>
      <c r="R133" s="41">
        <f>AVERAGE(R110,R121,R126,R131)</f>
        <v>0.77525974025974032</v>
      </c>
      <c r="S133" s="42">
        <f>(R133-$J133)/$J133</f>
        <v>0.32578026592571513</v>
      </c>
      <c r="T133" s="109">
        <f>COUNTIFS(AllData[Season], "Autumn", AllData[Year], "2023")</f>
        <v>166</v>
      </c>
      <c r="U133" s="39">
        <f>AVERAGE(U110,U121,U126,U131)</f>
        <v>6.7564453125000004</v>
      </c>
      <c r="V133" s="40">
        <f>(U133-$I133)/$I133</f>
        <v>0.19791487799573526</v>
      </c>
      <c r="W133" s="41">
        <f>AVERAGE(W110,W121,W126,W131)</f>
        <v>0.6638351648351648</v>
      </c>
      <c r="X133" s="42">
        <f>(W133-$J133)/$J133</f>
        <v>0.13523186573720472</v>
      </c>
      <c r="Y133" s="109">
        <f>COUNTIFS(AllData[Season], "Winter", AllData[Year], "2023")</f>
        <v>248</v>
      </c>
      <c r="Z133" s="39">
        <f>AVERAGE(Z110,Z121,Z126,Z131)</f>
        <v>6.2096076746849933</v>
      </c>
      <c r="AA133" s="40">
        <f>(Z133-$I133)/$I133</f>
        <v>0.10096079757496812</v>
      </c>
      <c r="AB133" s="41">
        <f>AVERAGE(AB110,AB121,AB126,AB131)</f>
        <v>0.5551439003436428</v>
      </c>
      <c r="AC133" s="45">
        <f>(AB133-$J133)/$J133</f>
        <v>-5.064226915995021E-2</v>
      </c>
      <c r="AD133" s="38">
        <f>COUNTIFS(AllData[Season], "Spring", AllData[Year], "2024")</f>
        <v>431</v>
      </c>
      <c r="AE133" s="39">
        <f>AVERAGE(AE110,AE121,AE126,AE131)</f>
        <v>5.6022236610659668</v>
      </c>
      <c r="AF133" s="40">
        <f>(AE133-$I133)/$I133</f>
        <v>-6.7281295040218436E-3</v>
      </c>
      <c r="AG133" s="41">
        <f>AVERAGE(AG110,AG121,AG126,AG131)</f>
        <v>0.5810294867044844</v>
      </c>
      <c r="AH133" s="42">
        <f>(AG133-$J133)/$J133</f>
        <v>-6.375041304648903E-3</v>
      </c>
      <c r="AI133" s="109">
        <f>COUNTIFS(AllData[Season], "Summer", AllData[Year], "2024")</f>
        <v>419</v>
      </c>
      <c r="AJ133" s="39">
        <f>AVERAGE(AJ110,AJ121,AJ126,AJ131)</f>
        <v>5.8512630161281081</v>
      </c>
      <c r="AK133" s="40">
        <f>(AJ133-$I133)/$I133</f>
        <v>3.7426442143804473E-2</v>
      </c>
      <c r="AL133" s="40">
        <f>(AJ133-P133)/P133</f>
        <v>-0.22848195172419311</v>
      </c>
      <c r="AM133" s="41">
        <f>AVERAGE(AM110,AM121,AM126,AM131)</f>
        <v>0.80306354733560847</v>
      </c>
      <c r="AN133" s="40">
        <f>(AM133-$J133)/$J133</f>
        <v>0.37332786426539127</v>
      </c>
      <c r="AO133" s="42">
        <f>IFERROR((AM133-R133)/R133,"")</f>
        <v>3.5863860370916295E-2</v>
      </c>
      <c r="AP133" s="109">
        <f>COUNTIFS(AllData[Season], "Autumn", AllData[Year], "2024")</f>
        <v>413</v>
      </c>
      <c r="AQ133" s="39">
        <f>AVERAGE(AQ110,AQ121,AQ126,AQ131)</f>
        <v>5.6757332819173625</v>
      </c>
      <c r="AR133" s="40">
        <f>(AQ133-$I133)/$I133</f>
        <v>6.3050949832388009E-3</v>
      </c>
      <c r="AS133" s="40">
        <f t="shared" si="118"/>
        <v>-0.15995275334845505</v>
      </c>
      <c r="AT133" s="41">
        <f>AVERAGE(AT110,AT121,AT126,AT131)</f>
        <v>0.61769835923871508</v>
      </c>
      <c r="AU133" s="40">
        <f t="shared" si="119"/>
        <v>5.6332803634314067E-2</v>
      </c>
      <c r="AV133" s="42">
        <f t="shared" si="120"/>
        <v>-6.9500394134597909E-2</v>
      </c>
      <c r="AW133" s="109">
        <f>COUNTIFS(AllData[Season], "Winter", AllData[Year], "2024")</f>
        <v>373</v>
      </c>
      <c r="AX133" s="39">
        <f>AVERAGE(AX110,AX121,AX126,AX131)</f>
        <v>4.6971077550294416</v>
      </c>
      <c r="AY133" s="40">
        <f>(AX133-$I133)/$I133</f>
        <v>-0.1672047943777514</v>
      </c>
      <c r="AZ133" s="40">
        <f>IFERROR((AX133-Z133)/Z133,"")</f>
        <v>-0.24357415136251409</v>
      </c>
      <c r="BA133" s="41">
        <f>AVERAGE(BA110,BA121,BA126,BA131)</f>
        <v>0.42751867192379245</v>
      </c>
      <c r="BB133" s="40">
        <f>IFERROR((BA133-$J133)/$J133, "")</f>
        <v>-0.26889558541833114</v>
      </c>
      <c r="BC133" s="45">
        <f>IFERROR((BA133-AB133)/AB133,"")</f>
        <v>-0.22989575917315913</v>
      </c>
      <c r="BD133" s="38">
        <f>COUNTIFS(AllData[Season], "Spring", AllData[Year], "2025")</f>
        <v>249</v>
      </c>
      <c r="BE133" s="39">
        <f>AVERAGE(BE110,BE121,BE126,BE131)</f>
        <v>5.7153987900145395</v>
      </c>
      <c r="BF133" s="40">
        <f>(BE133-$I133)/$I133</f>
        <v>1.3337772685071188E-2</v>
      </c>
      <c r="BG133" s="40">
        <f t="shared" si="105"/>
        <v>2.0201822668222114E-2</v>
      </c>
      <c r="BH133" s="41">
        <f>AVERAGE(BH110,BH121,BH126,BH131)</f>
        <v>0.46606536769155377</v>
      </c>
      <c r="BI133" s="40">
        <f>(BH133-$J133)/$J133</f>
        <v>-0.20297645417540294</v>
      </c>
      <c r="BJ133" s="45">
        <f t="shared" si="107"/>
        <v>-0.19786279637026782</v>
      </c>
      <c r="BK133" s="208">
        <f>COUNTIFS(AllData[Season], "Summer", AllData[Year], "2024")</f>
        <v>419</v>
      </c>
      <c r="BL133" s="39" t="e">
        <f>AVERAGE(BL110,BL121,BL126,BL131)</f>
        <v>#DIV/0!</v>
      </c>
      <c r="BM133" s="40" t="e">
        <f>(BL133-$I133)/$I133</f>
        <v>#DIV/0!</v>
      </c>
      <c r="BN133" s="40" t="e">
        <f>(BL133-#REF!)/#REF!</f>
        <v>#DIV/0!</v>
      </c>
      <c r="BO133" s="41" t="e">
        <f>AVERAGE(BO110,BO121,BO126,BO131)</f>
        <v>#DIV/0!</v>
      </c>
      <c r="BP133" s="40" t="e">
        <f>(BO133-$J133)/$J133</f>
        <v>#DIV/0!</v>
      </c>
      <c r="BQ133" s="42" t="str">
        <f>IFERROR((BO133-#REF!)/#REF!,"")</f>
        <v/>
      </c>
      <c r="BR133" s="109">
        <f>COUNTIFS(AllData[Season], "Autumn", AllData[Year], "2024")</f>
        <v>413</v>
      </c>
      <c r="BS133" s="39" t="e">
        <f>AVERAGE(BS110,BS121,BS126,BS131)</f>
        <v>#DIV/0!</v>
      </c>
      <c r="BT133" s="40" t="e">
        <f>(BS133-$I133)/$I133</f>
        <v>#DIV/0!</v>
      </c>
      <c r="BU133" s="40" t="str">
        <f>IFERROR((BS133-#REF!)/#REF!,"")</f>
        <v/>
      </c>
      <c r="BV133" s="41" t="e">
        <f>AVERAGE(BV110,BV121,BV126,BV131)</f>
        <v>#DIV/0!</v>
      </c>
      <c r="BW133" s="40" t="str">
        <f>IFERROR((BV133-AY133)/AY133, "")</f>
        <v/>
      </c>
      <c r="BX133" s="42" t="str">
        <f>IFERROR((BV133-#REF!)/#REF!,"")</f>
        <v/>
      </c>
      <c r="BY133" s="109">
        <f>COUNTIFS(AllData[Season], "Winter", AllData[Year], "2024")</f>
        <v>373</v>
      </c>
      <c r="BZ133" s="39" t="e">
        <f>AVERAGE(BZ110,BZ121,BZ126,BZ131)</f>
        <v>#DIV/0!</v>
      </c>
      <c r="CA133" s="40" t="e">
        <f>(BZ133-$I133)/$I133</f>
        <v>#DIV/0!</v>
      </c>
      <c r="CB133" s="40" t="str">
        <f>IFERROR((BZ133-#REF!)/#REF!,"")</f>
        <v/>
      </c>
      <c r="CC133" s="41" t="e">
        <f>AVERAGE(CC110,CC121,CC126,CC131)</f>
        <v>#DIV/0!</v>
      </c>
      <c r="CD133" s="40" t="str">
        <f>IFERROR((CC133-AY133)/AY133, "")</f>
        <v/>
      </c>
      <c r="CE133" s="45" t="str">
        <f>IFERROR((CC133-#REF!)/#REF!,"")</f>
        <v/>
      </c>
    </row>
  </sheetData>
  <autoFilter ref="B11:BC101" xr:uid="{15B109FA-FCE8-4FB2-8DE0-509B32FC351D}"/>
  <mergeCells count="43">
    <mergeCell ref="BD9:CE9"/>
    <mergeCell ref="BD10:BI10"/>
    <mergeCell ref="BK10:BQ10"/>
    <mergeCell ref="BR10:BX10"/>
    <mergeCell ref="BY10:CE10"/>
    <mergeCell ref="B6:B7"/>
    <mergeCell ref="AW10:BC10"/>
    <mergeCell ref="AD9:BC9"/>
    <mergeCell ref="AW106:BC106"/>
    <mergeCell ref="AD105:BC105"/>
    <mergeCell ref="O105:AC105"/>
    <mergeCell ref="AD10:AH10"/>
    <mergeCell ref="O9:AC9"/>
    <mergeCell ref="AP106:AV106"/>
    <mergeCell ref="Y106:AC106"/>
    <mergeCell ref="AI10:AO10"/>
    <mergeCell ref="Y10:AC10"/>
    <mergeCell ref="O8:AH8"/>
    <mergeCell ref="O104:AH104"/>
    <mergeCell ref="AP10:AV10"/>
    <mergeCell ref="AD106:AH106"/>
    <mergeCell ref="D2:K2"/>
    <mergeCell ref="F3:G3"/>
    <mergeCell ref="H3:I3"/>
    <mergeCell ref="J3:K3"/>
    <mergeCell ref="F4:G4"/>
    <mergeCell ref="H4:I4"/>
    <mergeCell ref="J4:K4"/>
    <mergeCell ref="H10:N10"/>
    <mergeCell ref="O10:S10"/>
    <mergeCell ref="T10:X10"/>
    <mergeCell ref="B100:G100"/>
    <mergeCell ref="B8:F9"/>
    <mergeCell ref="BD106:BJ106"/>
    <mergeCell ref="B104:F105"/>
    <mergeCell ref="H106:N106"/>
    <mergeCell ref="O106:S106"/>
    <mergeCell ref="T106:X106"/>
    <mergeCell ref="BD105:CE105"/>
    <mergeCell ref="BK106:BQ106"/>
    <mergeCell ref="BR106:BX106"/>
    <mergeCell ref="BY106:CE106"/>
    <mergeCell ref="AI106:AO106"/>
  </mergeCells>
  <conditionalFormatting sqref="K12:K99 K108:K131">
    <cfRule type="dataBar" priority="268">
      <dataBar>
        <cfvo type="min"/>
        <cfvo type="max"/>
        <color theme="0"/>
      </dataBar>
      <extLst>
        <ext xmlns:x14="http://schemas.microsoft.com/office/spreadsheetml/2009/9/main" uri="{B025F937-C7B1-47D3-B67F-A62EFF666E3E}">
          <x14:id>{8380C27F-1944-4B53-9E17-AFA1C920BFB8}</x14:id>
        </ext>
      </extLst>
    </cfRule>
  </conditionalFormatting>
  <conditionalFormatting sqref="L12:L99 L108:L131">
    <cfRule type="dataBar" priority="270">
      <dataBar>
        <cfvo type="min"/>
        <cfvo type="max"/>
        <color theme="0"/>
      </dataBar>
      <extLst>
        <ext xmlns:x14="http://schemas.microsoft.com/office/spreadsheetml/2009/9/main" uri="{B025F937-C7B1-47D3-B67F-A62EFF666E3E}">
          <x14:id>{8936B2EC-78A3-435C-95E9-CFA6894C16A6}</x14:id>
        </ext>
      </extLst>
    </cfRule>
  </conditionalFormatting>
  <conditionalFormatting sqref="M12:N100">
    <cfRule type="top10" dxfId="36" priority="78" bottom="1" rank="10"/>
  </conditionalFormatting>
  <conditionalFormatting sqref="Q12:Q100 S12:S100 V12:V100 X12:X100 AA12:AA100 AC12:AC100 AF12:AF100 AH12:AH100 AK12:AL100 AN12:AO100 Q108:Q131 S108:S131 V108:V131 X108:X131 AA108:AA131 AC108:AC131 AF108:AF131 AH108:AH131 AK108:AL131 AN108:AO131">
    <cfRule type="cellIs" dxfId="35" priority="119" operator="lessThan">
      <formula>0</formula>
    </cfRule>
    <cfRule type="cellIs" dxfId="34" priority="120" operator="greaterThan">
      <formula>0</formula>
    </cfRule>
  </conditionalFormatting>
  <conditionalFormatting sqref="U12:U100 P12:P100 Z12:Z100 AE12:AE100 AJ12:AJ100 I12:I100 I108:I131 P108:P131 U108:U131 Z108:Z131 AE108:AE131 AJ108:AJ131">
    <cfRule type="colorScale" priority="256">
      <colorScale>
        <cfvo type="min"/>
        <cfvo type="max"/>
        <color rgb="FFFCFCFF"/>
        <color rgb="FFF8696B"/>
      </colorScale>
    </cfRule>
  </conditionalFormatting>
  <conditionalFormatting sqref="W12:W100 R12:R100 AB12:AB100 AG12:AG100 AM12:AM100 J12:J100 J108:J131 R108:R131 W108:W131 AB108:AB131 AG108:AG131 AM108:AM131">
    <cfRule type="colorScale" priority="272">
      <colorScale>
        <cfvo type="min"/>
        <cfvo type="max"/>
        <color rgb="FFFCFCFF"/>
        <color theme="4"/>
      </colorScale>
    </cfRule>
  </conditionalFormatting>
  <conditionalFormatting sqref="AQ12:AQ100">
    <cfRule type="colorScale" priority="90">
      <colorScale>
        <cfvo type="min"/>
        <cfvo type="max"/>
        <color rgb="FFFCFCFF"/>
        <color rgb="FFF8696B"/>
      </colorScale>
    </cfRule>
  </conditionalFormatting>
  <conditionalFormatting sqref="AQ108:AQ131">
    <cfRule type="colorScale" priority="85">
      <colorScale>
        <cfvo type="min"/>
        <cfvo type="max"/>
        <color rgb="FFFCFCFF"/>
        <color rgb="FFF8696B"/>
      </colorScale>
    </cfRule>
  </conditionalFormatting>
  <conditionalFormatting sqref="AR12:AS100 AU12:AV100">
    <cfRule type="cellIs" dxfId="33" priority="88" operator="lessThan">
      <formula>0</formula>
    </cfRule>
    <cfRule type="cellIs" dxfId="32" priority="89" operator="greaterThan">
      <formula>0</formula>
    </cfRule>
  </conditionalFormatting>
  <conditionalFormatting sqref="AR108:AS131 AU108:AV131">
    <cfRule type="cellIs" dxfId="31" priority="83" operator="lessThan">
      <formula>0</formula>
    </cfRule>
    <cfRule type="cellIs" dxfId="30" priority="84" operator="greaterThan">
      <formula>0</formula>
    </cfRule>
  </conditionalFormatting>
  <conditionalFormatting sqref="AT12:AT100">
    <cfRule type="colorScale" priority="77">
      <colorScale>
        <cfvo type="min"/>
        <cfvo type="max"/>
        <color rgb="FFFCFCFF"/>
        <color theme="4"/>
      </colorScale>
    </cfRule>
  </conditionalFormatting>
  <conditionalFormatting sqref="AT108:AT131">
    <cfRule type="colorScale" priority="86">
      <colorScale>
        <cfvo type="min"/>
        <cfvo type="max"/>
        <color rgb="FFFCFCFF"/>
        <color theme="4"/>
      </colorScale>
    </cfRule>
  </conditionalFormatting>
  <conditionalFormatting sqref="AX12:AX100">
    <cfRule type="colorScale" priority="82">
      <colorScale>
        <cfvo type="min"/>
        <cfvo type="max"/>
        <color rgb="FFFCFCFF"/>
        <color rgb="FFF8696B"/>
      </colorScale>
    </cfRule>
  </conditionalFormatting>
  <conditionalFormatting sqref="AX108:AX131">
    <cfRule type="colorScale" priority="74">
      <colorScale>
        <cfvo type="min"/>
        <cfvo type="max"/>
        <color rgb="FFFCFCFF"/>
        <color rgb="FFF8696B"/>
      </colorScale>
    </cfRule>
  </conditionalFormatting>
  <conditionalFormatting sqref="AY12:AZ100 BB12:BC100">
    <cfRule type="cellIs" dxfId="29" priority="80" operator="lessThan">
      <formula>0</formula>
    </cfRule>
    <cfRule type="cellIs" dxfId="28" priority="81" operator="greaterThan">
      <formula>0</formula>
    </cfRule>
  </conditionalFormatting>
  <conditionalFormatting sqref="AY108:AZ131 BB108:BC131">
    <cfRule type="cellIs" dxfId="27" priority="72" operator="lessThan">
      <formula>0</formula>
    </cfRule>
    <cfRule type="cellIs" dxfId="26" priority="73" operator="greaterThan">
      <formula>0</formula>
    </cfRule>
  </conditionalFormatting>
  <conditionalFormatting sqref="BA12:BA100">
    <cfRule type="colorScale" priority="76">
      <colorScale>
        <cfvo type="min"/>
        <cfvo type="max"/>
        <color rgb="FFFCFCFF"/>
        <color theme="4"/>
      </colorScale>
    </cfRule>
  </conditionalFormatting>
  <conditionalFormatting sqref="BA108:BA131">
    <cfRule type="colorScale" priority="75">
      <colorScale>
        <cfvo type="min"/>
        <cfvo type="max"/>
        <color rgb="FFFCFCFF"/>
        <color theme="4"/>
      </colorScale>
    </cfRule>
  </conditionalFormatting>
  <conditionalFormatting sqref="BE12:BE100">
    <cfRule type="colorScale" priority="47">
      <colorScale>
        <cfvo type="min"/>
        <cfvo type="max"/>
        <color rgb="FFFCFCFF"/>
        <color rgb="FFF8696B"/>
      </colorScale>
    </cfRule>
  </conditionalFormatting>
  <conditionalFormatting sqref="BE108:BE131">
    <cfRule type="colorScale" priority="71">
      <colorScale>
        <cfvo type="min"/>
        <cfvo type="max"/>
        <color rgb="FFFCFCFF"/>
        <color rgb="FFF8696B"/>
      </colorScale>
    </cfRule>
  </conditionalFormatting>
  <conditionalFormatting sqref="BF108:BF131 BI108:BI131">
    <cfRule type="cellIs" dxfId="25" priority="69" operator="greaterThan">
      <formula>0</formula>
    </cfRule>
  </conditionalFormatting>
  <conditionalFormatting sqref="BF12:BG100 BI12:BJ100">
    <cfRule type="cellIs" dxfId="24" priority="45" operator="lessThan">
      <formula>0</formula>
    </cfRule>
    <cfRule type="cellIs" dxfId="23" priority="46" operator="greaterThan">
      <formula>0</formula>
    </cfRule>
  </conditionalFormatting>
  <conditionalFormatting sqref="BF108:BG131 BI108:BJ131">
    <cfRule type="cellIs" dxfId="22" priority="68" operator="lessThan">
      <formula>0</formula>
    </cfRule>
  </conditionalFormatting>
  <conditionalFormatting sqref="BG108:BG132">
    <cfRule type="cellIs" dxfId="21" priority="2" operator="greaterThan">
      <formula>0</formula>
    </cfRule>
    <cfRule type="cellIs" dxfId="20" priority="6" operator="lessThan">
      <formula>0</formula>
    </cfRule>
  </conditionalFormatting>
  <conditionalFormatting sqref="BH12:BH100">
    <cfRule type="colorScale" priority="44">
      <colorScale>
        <cfvo type="min"/>
        <cfvo type="max"/>
        <color rgb="FFFCFCFF"/>
        <color theme="4"/>
      </colorScale>
    </cfRule>
  </conditionalFormatting>
  <conditionalFormatting sqref="BH108:BH131">
    <cfRule type="colorScale" priority="273">
      <colorScale>
        <cfvo type="min"/>
        <cfvo type="max"/>
        <color rgb="FFFCFCFF"/>
        <color theme="4"/>
      </colorScale>
    </cfRule>
  </conditionalFormatting>
  <conditionalFormatting sqref="BJ108:BJ132">
    <cfRule type="cellIs" dxfId="19" priority="1" operator="greaterThan">
      <formula>0</formula>
    </cfRule>
    <cfRule type="cellIs" dxfId="18" priority="4" operator="lessThan">
      <formula>0</formula>
    </cfRule>
  </conditionalFormatting>
  <conditionalFormatting sqref="BL12:BL100">
    <cfRule type="colorScale" priority="42">
      <colorScale>
        <cfvo type="min"/>
        <cfvo type="max"/>
        <color rgb="FFFCFCFF"/>
        <color rgb="FFF8696B"/>
      </colorScale>
    </cfRule>
  </conditionalFormatting>
  <conditionalFormatting sqref="BL108:BL131">
    <cfRule type="colorScale" priority="22">
      <colorScale>
        <cfvo type="min"/>
        <cfvo type="max"/>
        <color rgb="FFFCFCFF"/>
        <color rgb="FFF8696B"/>
      </colorScale>
    </cfRule>
  </conditionalFormatting>
  <conditionalFormatting sqref="BM12:BN100 BP12:BQ100">
    <cfRule type="cellIs" dxfId="17" priority="40" operator="lessThan">
      <formula>0</formula>
    </cfRule>
    <cfRule type="cellIs" dxfId="16" priority="41" operator="greaterThan">
      <formula>0</formula>
    </cfRule>
  </conditionalFormatting>
  <conditionalFormatting sqref="BM108:BN131">
    <cfRule type="cellIs" dxfId="15" priority="10" operator="lessThan">
      <formula>0</formula>
    </cfRule>
    <cfRule type="cellIs" dxfId="14" priority="11" operator="greaterThan">
      <formula>0</formula>
    </cfRule>
  </conditionalFormatting>
  <conditionalFormatting sqref="BO12:BO100">
    <cfRule type="colorScale" priority="43">
      <colorScale>
        <cfvo type="min"/>
        <cfvo type="max"/>
        <color rgb="FFFCFCFF"/>
        <color theme="4"/>
      </colorScale>
    </cfRule>
  </conditionalFormatting>
  <conditionalFormatting sqref="BO108:BO131">
    <cfRule type="colorScale" priority="23">
      <colorScale>
        <cfvo type="min"/>
        <cfvo type="max"/>
        <color rgb="FFFCFCFF"/>
        <color theme="4"/>
      </colorScale>
    </cfRule>
  </conditionalFormatting>
  <conditionalFormatting sqref="BP108:BQ131">
    <cfRule type="cellIs" dxfId="13" priority="20" operator="lessThan">
      <formula>0</formula>
    </cfRule>
    <cfRule type="cellIs" dxfId="12" priority="21" operator="greaterThan">
      <formula>0</formula>
    </cfRule>
  </conditionalFormatting>
  <conditionalFormatting sqref="BS12:BS100">
    <cfRule type="colorScale" priority="31">
      <colorScale>
        <cfvo type="min"/>
        <cfvo type="max"/>
        <color rgb="FFFCFCFF"/>
        <color rgb="FFF8696B"/>
      </colorScale>
    </cfRule>
  </conditionalFormatting>
  <conditionalFormatting sqref="BS108:BS131">
    <cfRule type="colorScale" priority="18">
      <colorScale>
        <cfvo type="min"/>
        <cfvo type="max"/>
        <color rgb="FFFCFCFF"/>
        <color rgb="FFF8696B"/>
      </colorScale>
    </cfRule>
  </conditionalFormatting>
  <conditionalFormatting sqref="BT12:BU100 BW12:BX100">
    <cfRule type="cellIs" dxfId="11" priority="29" operator="lessThan">
      <formula>0</formula>
    </cfRule>
    <cfRule type="cellIs" dxfId="10" priority="30" operator="greaterThan">
      <formula>0</formula>
    </cfRule>
  </conditionalFormatting>
  <conditionalFormatting sqref="BT108:BU131 BW108:BX131">
    <cfRule type="cellIs" dxfId="9" priority="16" operator="lessThan">
      <formula>0</formula>
    </cfRule>
    <cfRule type="cellIs" dxfId="8" priority="17" operator="greaterThan">
      <formula>0</formula>
    </cfRule>
  </conditionalFormatting>
  <conditionalFormatting sqref="BV12:BV100">
    <cfRule type="colorScale" priority="28">
      <colorScale>
        <cfvo type="min"/>
        <cfvo type="max"/>
        <color rgb="FFFCFCFF"/>
        <color theme="4"/>
      </colorScale>
    </cfRule>
  </conditionalFormatting>
  <conditionalFormatting sqref="BV108:BV131">
    <cfRule type="colorScale" priority="19">
      <colorScale>
        <cfvo type="min"/>
        <cfvo type="max"/>
        <color rgb="FFFCFCFF"/>
        <color theme="4"/>
      </colorScale>
    </cfRule>
  </conditionalFormatting>
  <conditionalFormatting sqref="BZ12:BZ100">
    <cfRule type="colorScale" priority="27">
      <colorScale>
        <cfvo type="min"/>
        <cfvo type="max"/>
        <color rgb="FFFCFCFF"/>
        <color rgb="FFF8696B"/>
      </colorScale>
    </cfRule>
  </conditionalFormatting>
  <conditionalFormatting sqref="BZ108:BZ131">
    <cfRule type="colorScale" priority="14">
      <colorScale>
        <cfvo type="min"/>
        <cfvo type="max"/>
        <color rgb="FFFCFCFF"/>
        <color rgb="FFF8696B"/>
      </colorScale>
    </cfRule>
  </conditionalFormatting>
  <conditionalFormatting sqref="CA12:CB100 CD12:CE100">
    <cfRule type="cellIs" dxfId="7" priority="25" operator="lessThan">
      <formula>0</formula>
    </cfRule>
    <cfRule type="cellIs" dxfId="6" priority="26" operator="greaterThan">
      <formula>0</formula>
    </cfRule>
  </conditionalFormatting>
  <conditionalFormatting sqref="CA108:CB131 CD108:CE131">
    <cfRule type="cellIs" dxfId="5" priority="12" operator="lessThan">
      <formula>0</formula>
    </cfRule>
    <cfRule type="cellIs" dxfId="4" priority="13" operator="greaterThan">
      <formula>0</formula>
    </cfRule>
  </conditionalFormatting>
  <conditionalFormatting sqref="CC12:CC100">
    <cfRule type="colorScale" priority="24">
      <colorScale>
        <cfvo type="min"/>
        <cfvo type="max"/>
        <color rgb="FFFCFCFF"/>
        <color theme="4"/>
      </colorScale>
    </cfRule>
  </conditionalFormatting>
  <conditionalFormatting sqref="CC108:CC131">
    <cfRule type="colorScale" priority="15">
      <colorScale>
        <cfvo type="min"/>
        <cfvo type="max"/>
        <color rgb="FFFCFCFF"/>
        <color theme="4"/>
      </colorScale>
    </cfRule>
  </conditionalFormatting>
  <hyperlinks>
    <hyperlink ref="F6" r:id="rId1" xr:uid="{FDAA15FD-AEDC-43E9-A953-5FE4A294E3ED}"/>
    <hyperlink ref="F5" r:id="rId2" xr:uid="{167F6873-8998-4411-A3D6-2936D804AD95}"/>
  </hyperlinks>
  <pageMargins left="0.7" right="0.7" top="0.75" bottom="0.75" header="0.3" footer="0.3"/>
  <pageSetup paperSize="9" scale="25" orientation="landscape" r:id="rId3"/>
  <extLst>
    <ext xmlns:x14="http://schemas.microsoft.com/office/spreadsheetml/2009/9/main" uri="{78C0D931-6437-407d-A8EE-F0AAD7539E65}">
      <x14:conditionalFormattings>
        <x14:conditionalFormatting xmlns:xm="http://schemas.microsoft.com/office/excel/2006/main">
          <x14:cfRule type="dataBar" id="{8380C27F-1944-4B53-9E17-AFA1C920BFB8}">
            <x14:dataBar minLength="0" maxLength="100" border="1" negativeBarBorderColorSameAsPositive="0">
              <x14:cfvo type="autoMin"/>
              <x14:cfvo type="autoMax"/>
              <x14:borderColor rgb="FFFF555A"/>
              <x14:negativeFillColor rgb="FFFF0000"/>
              <x14:negativeBorderColor rgb="FFFF0000"/>
              <x14:axisColor rgb="FF000000"/>
            </x14:dataBar>
          </x14:cfRule>
          <xm:sqref>K12:K99 K108:K131</xm:sqref>
        </x14:conditionalFormatting>
        <x14:conditionalFormatting xmlns:xm="http://schemas.microsoft.com/office/excel/2006/main">
          <x14:cfRule type="dataBar" id="{8936B2EC-78A3-435C-95E9-CFA6894C16A6}">
            <x14:dataBar minLength="0" maxLength="100" border="1" negativeBarBorderColorSameAsPositive="0">
              <x14:cfvo type="autoMin"/>
              <x14:cfvo type="autoMax"/>
              <x14:borderColor rgb="FF638EC6"/>
              <x14:negativeFillColor rgb="FFFF0000"/>
              <x14:negativeBorderColor rgb="FFFF0000"/>
              <x14:axisColor rgb="FF000000"/>
            </x14:dataBar>
          </x14:cfRule>
          <xm:sqref>L12:L99 L108:L131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3CC00-BE99-42A5-A7BD-7ADBF32307B4}">
  <dimension ref="A1:E79"/>
  <sheetViews>
    <sheetView topLeftCell="A49" workbookViewId="0">
      <selection activeCell="E54" sqref="E54"/>
    </sheetView>
  </sheetViews>
  <sheetFormatPr defaultRowHeight="14.5" x14ac:dyDescent="0.35"/>
  <cols>
    <col min="1" max="1" width="53.26953125" bestFit="1" customWidth="1"/>
    <col min="2" max="2" width="10.08984375" bestFit="1" customWidth="1"/>
    <col min="3" max="3" width="10.7265625" bestFit="1" customWidth="1"/>
    <col min="5" max="5" width="78.08984375" bestFit="1" customWidth="1"/>
    <col min="6" max="6" width="15" bestFit="1" customWidth="1"/>
  </cols>
  <sheetData>
    <row r="1" spans="1:5" x14ac:dyDescent="0.35">
      <c r="A1" s="21" t="s">
        <v>7</v>
      </c>
      <c r="B1" s="21" t="s">
        <v>12</v>
      </c>
      <c r="C1" s="21" t="s">
        <v>13</v>
      </c>
    </row>
    <row r="2" spans="1:5" x14ac:dyDescent="0.35">
      <c r="A2" s="13" t="s">
        <v>27</v>
      </c>
      <c r="B2" s="113" cm="1">
        <f t="array" ref="B2:C79">Tables!C12:D89</f>
        <v>51.991313075757589</v>
      </c>
      <c r="C2" s="113">
        <v>-2.1621998181818181</v>
      </c>
      <c r="E2" t="str">
        <f>ROUND(B2,4)&amp;", "&amp;ROUND(C2,4)&amp;" {"&amp;A2&amp;"} &lt;default-dot&gt;"</f>
        <v>51.9913, -2.1622 {Abbey Mill} &lt;default-dot&gt;</v>
      </c>
    </row>
    <row r="3" spans="1:5" x14ac:dyDescent="0.35">
      <c r="A3" s="13" t="s">
        <v>288</v>
      </c>
      <c r="B3" s="113">
        <v>52.21226301333337</v>
      </c>
      <c r="C3" s="113">
        <v>-1.6595226800000011</v>
      </c>
      <c r="E3" t="str">
        <f t="shared" ref="E3:E66" si="0">ROUND(B3,4)&amp;", "&amp;ROUND(C3,4)&amp;" {"&amp;A3&amp;"} &lt;default-dot&gt;"</f>
        <v>52.2123, -1.6595 {Alveston Weir} &lt;default-dot&gt;</v>
      </c>
    </row>
    <row r="4" spans="1:5" x14ac:dyDescent="0.35">
      <c r="A4" s="13" t="s">
        <v>784</v>
      </c>
      <c r="B4" s="113">
        <v>52.123126101694929</v>
      </c>
      <c r="C4" s="113">
        <v>-2.0572511355932215</v>
      </c>
      <c r="E4" t="str">
        <f t="shared" si="0"/>
        <v>52.1231, -2.0573 {Avon Smiths Meadow Wyre Piddle} &lt;default-dot&gt;</v>
      </c>
    </row>
    <row r="5" spans="1:5" x14ac:dyDescent="0.35">
      <c r="A5" s="13" t="s">
        <v>67</v>
      </c>
      <c r="B5" s="113">
        <v>51.566927775862098</v>
      </c>
      <c r="C5" s="113">
        <v>-7.2113336724137929</v>
      </c>
      <c r="E5" t="str">
        <f t="shared" si="0"/>
        <v>51.5669, -7.2113 {Avonbank Drive} &lt;default-dot&gt;</v>
      </c>
    </row>
    <row r="6" spans="1:5" x14ac:dyDescent="0.35">
      <c r="A6" s="13" t="s">
        <v>51</v>
      </c>
      <c r="B6" s="113">
        <v>52.16120999999999</v>
      </c>
      <c r="C6" s="113">
        <v>-1.8301499999999999</v>
      </c>
      <c r="E6" t="str">
        <f t="shared" si="0"/>
        <v>52.1612, -1.8302 {Barton} &lt;default-dot&gt;</v>
      </c>
    </row>
    <row r="7" spans="1:5" x14ac:dyDescent="0.35">
      <c r="A7" s="13" t="s">
        <v>538</v>
      </c>
      <c r="B7" s="113">
        <v>52.24489999999998</v>
      </c>
      <c r="C7" s="113">
        <v>-1.6617000000000013</v>
      </c>
      <c r="E7" t="str">
        <f t="shared" si="0"/>
        <v>52.2449, -1.6617 {Bell Brook 1} &lt;default-dot&gt;</v>
      </c>
    </row>
    <row r="8" spans="1:5" x14ac:dyDescent="0.35">
      <c r="A8" s="13" t="s">
        <v>572</v>
      </c>
      <c r="B8" s="113">
        <v>51.997466254237274</v>
      </c>
      <c r="C8" s="113">
        <v>-2.1561788644067801</v>
      </c>
      <c r="E8" t="str">
        <f t="shared" si="0"/>
        <v>51.9975, -2.1562 {Black Bear} &lt;default-dot&gt;</v>
      </c>
    </row>
    <row r="9" spans="1:5" x14ac:dyDescent="0.35">
      <c r="A9" s="13" t="s">
        <v>3553</v>
      </c>
      <c r="B9" s="113">
        <v>52.033540000000002</v>
      </c>
      <c r="C9" s="113">
        <v>-2.116123</v>
      </c>
      <c r="E9" t="str">
        <f t="shared" si="0"/>
        <v>52.0335, -2.1161 {Bredon Dock Lane} &lt;default-dot&gt;</v>
      </c>
    </row>
    <row r="10" spans="1:5" x14ac:dyDescent="0.35">
      <c r="A10" s="13" t="s">
        <v>1849</v>
      </c>
      <c r="B10" s="113">
        <v>52.033057272727277</v>
      </c>
      <c r="C10" s="113">
        <v>-2.1161551818181823</v>
      </c>
      <c r="E10" t="str">
        <f t="shared" si="0"/>
        <v>52.0331, -2.1162 {Bredon Marina} &lt;default-dot&gt;</v>
      </c>
    </row>
    <row r="11" spans="1:5" x14ac:dyDescent="0.35">
      <c r="A11" s="13" t="s">
        <v>1766</v>
      </c>
      <c r="B11" s="113" t="str">
        <v>Unknown</v>
      </c>
      <c r="C11" s="113" t="str">
        <v>Unknown</v>
      </c>
    </row>
    <row r="12" spans="1:5" x14ac:dyDescent="0.35">
      <c r="A12" s="13" t="s">
        <v>3555</v>
      </c>
      <c r="B12" s="113">
        <v>52.018128913043483</v>
      </c>
      <c r="C12" s="113">
        <v>-2.0388751739130435</v>
      </c>
      <c r="E12" t="str">
        <f t="shared" si="0"/>
        <v>52.0181, -2.0389 {Carrant Back Lane Beckford} &lt;default-dot&gt;</v>
      </c>
    </row>
    <row r="13" spans="1:5" x14ac:dyDescent="0.35">
      <c r="A13" s="13" t="s">
        <v>3556</v>
      </c>
      <c r="B13" s="113">
        <v>52.015557999999999</v>
      </c>
      <c r="C13" s="113">
        <v>-2.0442779999999998</v>
      </c>
      <c r="E13" t="str">
        <f t="shared" si="0"/>
        <v>52.0156, -2.0443 {Carrant Beckford Sewage Works} &lt;default-dot&gt;</v>
      </c>
    </row>
    <row r="14" spans="1:5" x14ac:dyDescent="0.35">
      <c r="A14" s="13" t="s">
        <v>603</v>
      </c>
      <c r="B14" s="113">
        <v>51.996322536231894</v>
      </c>
      <c r="C14" s="113">
        <v>-2.1558410144927538</v>
      </c>
      <c r="E14" t="str">
        <f t="shared" si="0"/>
        <v>51.9963, -2.1558 {Carrant Bredon Rd} &lt;default-dot&gt;</v>
      </c>
    </row>
    <row r="15" spans="1:5" x14ac:dyDescent="0.35">
      <c r="A15" s="13" t="s">
        <v>2103</v>
      </c>
      <c r="B15" s="113">
        <v>52.011600000000001</v>
      </c>
      <c r="C15" s="113">
        <v>-2.1206</v>
      </c>
      <c r="E15" t="str">
        <f t="shared" si="0"/>
        <v>52.0116, -2.1206 {Carrant M5 Bridge} &lt;default-dot&gt;</v>
      </c>
    </row>
    <row r="16" spans="1:5" x14ac:dyDescent="0.35">
      <c r="A16" s="13" t="s">
        <v>3560</v>
      </c>
      <c r="B16" s="113">
        <v>52.012994652173923</v>
      </c>
      <c r="C16" s="113">
        <v>-2.1224405652173912</v>
      </c>
      <c r="E16" t="str">
        <f t="shared" si="0"/>
        <v>52.013, -2.1224 {Carrant Mitton Bridge} &lt;default-dot&gt;</v>
      </c>
    </row>
    <row r="17" spans="1:5" x14ac:dyDescent="0.35">
      <c r="A17" s="13" t="s">
        <v>1244</v>
      </c>
      <c r="B17" s="113">
        <v>51.999974666666667</v>
      </c>
      <c r="C17" s="113">
        <v>-2.141273</v>
      </c>
      <c r="E17" t="str">
        <f t="shared" si="0"/>
        <v>52, -2.1413 {Carrant Mitton Path} &lt;default-dot&gt;</v>
      </c>
    </row>
    <row r="18" spans="1:5" x14ac:dyDescent="0.35">
      <c r="A18" s="13" t="s">
        <v>2358</v>
      </c>
      <c r="B18" s="113">
        <v>52.048665</v>
      </c>
      <c r="C18" s="113">
        <v>-1.7862663333333331</v>
      </c>
      <c r="E18" t="str">
        <f t="shared" si="0"/>
        <v>52.0487, -1.7863 {Chipping Campden Craves} &lt;default-dot&gt;</v>
      </c>
    </row>
    <row r="19" spans="1:5" x14ac:dyDescent="0.35">
      <c r="A19" s="13" t="s">
        <v>3548</v>
      </c>
      <c r="B19" s="113">
        <v>52.198878750000006</v>
      </c>
      <c r="C19" s="113">
        <v>-1.6653499999999999</v>
      </c>
    </row>
    <row r="20" spans="1:5" x14ac:dyDescent="0.35">
      <c r="A20" s="13" t="s">
        <v>3549</v>
      </c>
      <c r="B20" s="113">
        <v>52.047342199999981</v>
      </c>
      <c r="C20" s="113">
        <v>-1.7964858000000001</v>
      </c>
      <c r="E20" t="str">
        <f t="shared" si="0"/>
        <v>52.0473, -1.7965 {Chipping Campden Sewage Works} &lt;default-dot&gt;</v>
      </c>
    </row>
    <row r="21" spans="1:5" x14ac:dyDescent="0.35">
      <c r="A21" s="13" t="s">
        <v>3561</v>
      </c>
      <c r="B21" s="113" t="str">
        <v>Unknown</v>
      </c>
      <c r="C21" s="113" t="str">
        <v>Unknown</v>
      </c>
      <c r="E21" t="e">
        <f t="shared" si="0"/>
        <v>#VALUE!</v>
      </c>
    </row>
    <row r="22" spans="1:5" x14ac:dyDescent="0.35">
      <c r="A22" s="13" t="s">
        <v>3563</v>
      </c>
      <c r="B22" s="113">
        <v>52.052216999999999</v>
      </c>
      <c r="C22" s="113">
        <v>-1.7616225000000001</v>
      </c>
      <c r="E22" t="str">
        <f t="shared" si="0"/>
        <v>52.0522, -1.7616 {Clifford Chambers Road Bridge} &lt;default-dot&gt;</v>
      </c>
    </row>
    <row r="23" spans="1:5" x14ac:dyDescent="0.35">
      <c r="A23" s="13" t="s">
        <v>875</v>
      </c>
      <c r="B23" s="113">
        <v>52.166363596153808</v>
      </c>
      <c r="C23" s="113">
        <v>-1.7080375384615398</v>
      </c>
      <c r="E23" t="str">
        <f t="shared" si="0"/>
        <v>52.1664, -1.708 {Fell Mill Footbridge} &lt;default-dot&gt;</v>
      </c>
    </row>
    <row r="24" spans="1:5" x14ac:dyDescent="0.35">
      <c r="A24" s="13" t="s">
        <v>39</v>
      </c>
      <c r="B24" s="113">
        <v>52.172840000000001</v>
      </c>
      <c r="C24" s="113">
        <v>-1.71377</v>
      </c>
      <c r="E24" t="str">
        <f t="shared" si="0"/>
        <v>52.1728, -1.7138 {Hampton Lucy} &lt;default-dot&gt;</v>
      </c>
    </row>
    <row r="25" spans="1:5" x14ac:dyDescent="0.35">
      <c r="A25" s="13" t="s">
        <v>36</v>
      </c>
      <c r="B25" s="113">
        <v>52.032915785714287</v>
      </c>
      <c r="C25" s="113">
        <v>-2.1158323571428572</v>
      </c>
      <c r="E25" t="str">
        <f t="shared" si="0"/>
        <v>52.0329, -2.1158 {Hampton Wood} &lt;default-dot&gt;</v>
      </c>
    </row>
    <row r="26" spans="1:5" x14ac:dyDescent="0.35">
      <c r="A26" s="13" t="s">
        <v>595</v>
      </c>
      <c r="B26" s="113">
        <v>52.069044372881365</v>
      </c>
      <c r="C26" s="113">
        <v>-1.6116270169491524</v>
      </c>
      <c r="E26" t="str">
        <f t="shared" si="0"/>
        <v>52.069, -1.6116 {Lower Lode} &lt;default-dot&gt;</v>
      </c>
    </row>
    <row r="27" spans="1:5" x14ac:dyDescent="0.35">
      <c r="A27" s="13" t="s">
        <v>212</v>
      </c>
      <c r="B27" s="113">
        <v>52.114730333333341</v>
      </c>
      <c r="C27" s="113">
        <v>-2.0147456666666668</v>
      </c>
      <c r="E27" t="str">
        <f t="shared" si="0"/>
        <v>52.1147, -2.0147 {Lucy's Mill Bridge} &lt;default-dot&gt;</v>
      </c>
    </row>
    <row r="28" spans="1:5" x14ac:dyDescent="0.35">
      <c r="A28" s="13" t="s">
        <v>915</v>
      </c>
      <c r="B28" s="113">
        <v>52.211679999999973</v>
      </c>
      <c r="C28" s="113">
        <v>-1.6244400000000001</v>
      </c>
      <c r="E28" t="str">
        <f t="shared" si="0"/>
        <v>52.2117, -1.6244 {Mill Bridge Peopleton} &lt;default-dot&gt;</v>
      </c>
    </row>
    <row r="29" spans="1:5" x14ac:dyDescent="0.35">
      <c r="A29" s="13" t="s">
        <v>938</v>
      </c>
      <c r="B29" s="113">
        <v>52.23814999999999</v>
      </c>
      <c r="C29" s="113">
        <v>-1.6245800000000008</v>
      </c>
      <c r="E29" t="str">
        <f t="shared" si="0"/>
        <v>52.2382, -1.6246 {Pershore Bridges} &lt;default-dot&gt;</v>
      </c>
    </row>
    <row r="30" spans="1:5" x14ac:dyDescent="0.35">
      <c r="A30" s="13" t="s">
        <v>3576</v>
      </c>
      <c r="B30" s="113">
        <v>52.050777363636364</v>
      </c>
      <c r="C30" s="113">
        <v>-1.5459150000000002</v>
      </c>
      <c r="E30" t="str">
        <f t="shared" si="0"/>
        <v>52.0508, -1.5459 {Pershore Leisure Centre} &lt;default-dot&gt;</v>
      </c>
    </row>
    <row r="31" spans="1:5" x14ac:dyDescent="0.35">
      <c r="A31" s="13" t="s">
        <v>1680</v>
      </c>
      <c r="B31" s="113">
        <v>51.953673000000002</v>
      </c>
      <c r="C31" s="113">
        <v>-1.9623280000000001</v>
      </c>
      <c r="E31" t="str">
        <f t="shared" si="0"/>
        <v>51.9537, -1.9623 {Piddle Brook Long Lane Pinvin} &lt;default-dot&gt;</v>
      </c>
    </row>
    <row r="32" spans="1:5" x14ac:dyDescent="0.35">
      <c r="A32" s="13" t="s">
        <v>1686</v>
      </c>
      <c r="B32" s="113">
        <v>51.939445666666671</v>
      </c>
      <c r="C32" s="113">
        <v>-2.0030190000000001</v>
      </c>
      <c r="E32" t="str">
        <f t="shared" si="0"/>
        <v>51.9394, -2.003 {Piddle Brook North of Radford} &lt;default-dot&gt;</v>
      </c>
    </row>
    <row r="33" spans="1:5" x14ac:dyDescent="0.35">
      <c r="A33" s="13" t="s">
        <v>1683</v>
      </c>
      <c r="B33" s="113">
        <v>51.958762</v>
      </c>
      <c r="C33" s="113">
        <v>-1.970119</v>
      </c>
      <c r="E33" t="str">
        <f t="shared" si="0"/>
        <v>51.9588, -1.9701 {Piddle Brook Norton Beachamp Bridge} &lt;default-dot&gt;</v>
      </c>
    </row>
    <row r="34" spans="1:5" x14ac:dyDescent="0.35">
      <c r="A34" s="13" t="s">
        <v>787</v>
      </c>
      <c r="B34" s="113">
        <v>51.962673500000001</v>
      </c>
      <c r="C34" s="113">
        <v>-1.9579365</v>
      </c>
      <c r="E34" t="str">
        <f t="shared" si="0"/>
        <v>51.9627, -1.9579 {Piddle Brook Wyre Piddle Bridge} &lt;default-dot&gt;</v>
      </c>
    </row>
    <row r="35" spans="1:5" x14ac:dyDescent="0.35">
      <c r="A35" s="13" t="s">
        <v>71</v>
      </c>
      <c r="B35" s="113">
        <v>51.963180999999999</v>
      </c>
      <c r="C35" s="113">
        <v>-1.9562710000000001</v>
      </c>
      <c r="E35" t="str">
        <f t="shared" si="0"/>
        <v>51.9632, -1.9563 {Pitch 16} &lt;default-dot&gt;</v>
      </c>
    </row>
    <row r="36" spans="1:5" x14ac:dyDescent="0.35">
      <c r="A36" s="13" t="s">
        <v>621</v>
      </c>
      <c r="B36" s="113">
        <v>51.984916745098026</v>
      </c>
      <c r="C36" s="113">
        <v>-2.1745787647058821</v>
      </c>
      <c r="E36" t="str">
        <f t="shared" si="0"/>
        <v>51.9849, -2.1746 {Preston Bagot Brook} &lt;default-dot&gt;</v>
      </c>
    </row>
    <row r="37" spans="1:5" x14ac:dyDescent="0.35">
      <c r="A37" s="13" t="s">
        <v>618</v>
      </c>
      <c r="B37" s="113">
        <v>52.183699000000011</v>
      </c>
      <c r="C37" s="113">
        <v>-1.7078160000000004</v>
      </c>
      <c r="E37" t="str">
        <f t="shared" si="0"/>
        <v>52.1837, -1.7078 {Preston Bagot Canal} &lt;default-dot&gt;</v>
      </c>
    </row>
    <row r="38" spans="1:5" x14ac:dyDescent="0.35">
      <c r="A38" s="13" t="s">
        <v>3564</v>
      </c>
      <c r="B38" s="113">
        <v>52.151811999999993</v>
      </c>
      <c r="C38" s="113">
        <v>-2.0958865161290317</v>
      </c>
      <c r="E38" t="str">
        <f t="shared" si="0"/>
        <v>52.1518, -2.0959 {Preston-on-Stour River Bridge} &lt;default-dot&gt;</v>
      </c>
    </row>
    <row r="39" spans="1:5" x14ac:dyDescent="0.35">
      <c r="A39" s="13" t="s">
        <v>541</v>
      </c>
      <c r="B39" s="113">
        <v>52.046251444444437</v>
      </c>
      <c r="C39" s="113">
        <v>-1.5494355555555552</v>
      </c>
      <c r="E39" t="str">
        <f t="shared" si="0"/>
        <v>52.0463, -1.5494 {Sherbourne Brook 1} &lt;default-dot&gt;</v>
      </c>
    </row>
    <row r="40" spans="1:5" x14ac:dyDescent="0.35">
      <c r="A40" s="13" t="s">
        <v>941</v>
      </c>
      <c r="B40" s="113">
        <v>52.104196285714281</v>
      </c>
      <c r="C40" s="113">
        <v>-2.0709292857142851</v>
      </c>
    </row>
    <row r="41" spans="1:5" x14ac:dyDescent="0.35">
      <c r="A41" s="13" t="s">
        <v>667</v>
      </c>
      <c r="B41" s="113">
        <v>52.108220000000003</v>
      </c>
      <c r="C41" s="113">
        <v>-2.0715195</v>
      </c>
      <c r="E41" t="str">
        <f t="shared" si="0"/>
        <v>52.1082, -2.0715 {Site 1  :  Middle Street} &lt;default-dot&gt;</v>
      </c>
    </row>
    <row r="42" spans="1:5" x14ac:dyDescent="0.35">
      <c r="A42" s="13" t="s">
        <v>623</v>
      </c>
      <c r="B42" s="113">
        <v>52.148406999999999</v>
      </c>
      <c r="C42" s="113">
        <v>-2.055247</v>
      </c>
      <c r="E42" t="str">
        <f t="shared" si="0"/>
        <v>52.1484, -2.0552 {Site 2  :  Cross Leys culvert} &lt;default-dot&gt;</v>
      </c>
    </row>
    <row r="43" spans="1:5" x14ac:dyDescent="0.35">
      <c r="A43" s="13" t="s">
        <v>673</v>
      </c>
      <c r="B43" s="113">
        <v>52.196624999999997</v>
      </c>
      <c r="C43" s="113">
        <v>-1.9924109999999999</v>
      </c>
      <c r="E43" t="str">
        <f t="shared" si="0"/>
        <v>52.1966, -1.9924 {Site 3  :  Severn Trent Water processing plant outflow} &lt;default-dot&gt;</v>
      </c>
    </row>
    <row r="44" spans="1:5" x14ac:dyDescent="0.35">
      <c r="A44" s="13" t="s">
        <v>3565</v>
      </c>
      <c r="B44" s="113">
        <v>52.169983999999999</v>
      </c>
      <c r="C44" s="113">
        <v>-2.058351</v>
      </c>
      <c r="E44" t="str">
        <f t="shared" si="0"/>
        <v>52.17, -2.0584 {Stour Ascott Village} &lt;default-dot&gt;</v>
      </c>
    </row>
    <row r="45" spans="1:5" x14ac:dyDescent="0.35">
      <c r="A45" s="13" t="s">
        <v>3566</v>
      </c>
      <c r="B45" s="113">
        <v>52.126394500000039</v>
      </c>
      <c r="C45" s="113">
        <v>-2.0564211206896545</v>
      </c>
      <c r="E45" t="str">
        <f t="shared" si="0"/>
        <v>52.1264, -2.0564 {Stour Cherington Sewage Works} &lt;default-dot&gt;</v>
      </c>
    </row>
    <row r="46" spans="1:5" x14ac:dyDescent="0.35">
      <c r="A46" s="13" t="s">
        <v>3568</v>
      </c>
      <c r="B46" s="113">
        <v>52.172747000000001</v>
      </c>
      <c r="C46" s="113">
        <v>-1.74515</v>
      </c>
      <c r="E46" t="str">
        <f t="shared" si="0"/>
        <v>52.1727, -1.7452 {Stour Newbold Mill} &lt;default-dot&gt;</v>
      </c>
    </row>
    <row r="47" spans="1:5" x14ac:dyDescent="0.35">
      <c r="A47" s="13" t="s">
        <v>2006</v>
      </c>
      <c r="B47" s="113">
        <v>51.289310076923087</v>
      </c>
      <c r="C47" s="113">
        <v>-0.10399761538461544</v>
      </c>
      <c r="E47" t="str">
        <f t="shared" si="0"/>
        <v>51.2893, -0.104 {Stour Shipston Mill Bridge} &lt;default-dot&gt;</v>
      </c>
    </row>
    <row r="48" spans="1:5" x14ac:dyDescent="0.35">
      <c r="A48" s="13" t="s">
        <v>3569</v>
      </c>
      <c r="B48" s="113">
        <v>52.286066538461554</v>
      </c>
      <c r="C48" s="113">
        <v>-1.7472480769230765</v>
      </c>
      <c r="E48" t="str">
        <f t="shared" si="0"/>
        <v>52.2861, -1.7472 {Stour Stretton-on-Fosse Sewage Works} &lt;default-dot&gt;</v>
      </c>
    </row>
    <row r="49" spans="1:5" x14ac:dyDescent="0.35">
      <c r="A49" s="13" t="s">
        <v>548</v>
      </c>
      <c r="B49" s="113">
        <v>52.286975789473694</v>
      </c>
      <c r="C49" s="113">
        <v>-1.5622505263157891</v>
      </c>
      <c r="E49" t="str">
        <f t="shared" si="0"/>
        <v>52.287, -1.5623 {Stour Stretton-on-Fosse Village} &lt;default-dot&gt;</v>
      </c>
    </row>
    <row r="50" spans="1:5" x14ac:dyDescent="0.35">
      <c r="A50" s="13" t="s">
        <v>925</v>
      </c>
      <c r="B50" s="113">
        <v>52.146672352941174</v>
      </c>
      <c r="C50" s="113">
        <v>-1.6984533333333334</v>
      </c>
      <c r="E50" t="str">
        <f t="shared" si="0"/>
        <v>52.1467, -1.6985 {Stour Whichford} &lt;default-dot&gt;</v>
      </c>
    </row>
    <row r="51" spans="1:5" x14ac:dyDescent="0.35">
      <c r="A51" s="13" t="s">
        <v>521</v>
      </c>
      <c r="B51" s="113">
        <v>52.080879000000003</v>
      </c>
      <c r="C51" s="113">
        <v>-2.0700668333333332</v>
      </c>
      <c r="E51" t="str">
        <f t="shared" si="0"/>
        <v>52.0809, -2.0701 {Stour Willington} &lt;default-dot&gt;</v>
      </c>
    </row>
    <row r="52" spans="1:5" x14ac:dyDescent="0.35">
      <c r="A52" s="13" t="s">
        <v>3554</v>
      </c>
      <c r="B52" s="113">
        <v>52.243465499999992</v>
      </c>
      <c r="C52" s="113">
        <v>-1.3470837857142859</v>
      </c>
      <c r="E52" t="str">
        <f t="shared" si="0"/>
        <v>52.2435, -1.3471 {Stratford RSC} &lt;default-dot&gt;</v>
      </c>
    </row>
    <row r="53" spans="1:5" x14ac:dyDescent="0.35">
      <c r="A53" s="13" t="s">
        <v>286</v>
      </c>
      <c r="B53" s="113">
        <v>52.2616625</v>
      </c>
      <c r="C53" s="113">
        <v>-1.3524859999999999</v>
      </c>
      <c r="E53" t="str">
        <f t="shared" si="0"/>
        <v>52.2617, -1.3525 {Swiffen Bank} &lt;default-dot&gt;</v>
      </c>
    </row>
    <row r="54" spans="1:5" x14ac:dyDescent="0.35">
      <c r="A54" s="13" t="s">
        <v>3551</v>
      </c>
      <c r="B54" s="113">
        <v>52.251350333333335</v>
      </c>
      <c r="C54" s="113">
        <v>-1.3833149999999999</v>
      </c>
      <c r="E54" t="str">
        <f t="shared" si="0"/>
        <v>52.2514, -1.3833 {Swilgate} &lt;default-dot&gt;</v>
      </c>
    </row>
    <row r="55" spans="1:5" x14ac:dyDescent="0.35">
      <c r="A55" s="13" t="s">
        <v>1409</v>
      </c>
      <c r="B55" s="113">
        <v>52.202280833333333</v>
      </c>
      <c r="C55" s="113">
        <v>-1.5377787083333334</v>
      </c>
      <c r="E55" t="str">
        <f t="shared" si="0"/>
        <v>52.2023, -1.5378 {Swillgate TNR 2nd bridge} &lt;default-dot&gt;</v>
      </c>
    </row>
    <row r="56" spans="1:5" x14ac:dyDescent="0.35">
      <c r="A56" s="13" t="s">
        <v>121</v>
      </c>
      <c r="B56" s="113">
        <v>52.252500000000033</v>
      </c>
      <c r="C56" s="113">
        <v>-1.6685000000000012</v>
      </c>
      <c r="E56" t="str">
        <f t="shared" si="0"/>
        <v>52.2525, -1.6685 {Talton Lodge} &lt;default-dot&gt;</v>
      </c>
    </row>
    <row r="57" spans="1:5" x14ac:dyDescent="0.35">
      <c r="A57" s="13" t="s">
        <v>530</v>
      </c>
      <c r="B57" s="113" t="str">
        <v>Unknown</v>
      </c>
      <c r="C57" s="113" t="str">
        <v>Unknown</v>
      </c>
      <c r="E57" t="e">
        <f t="shared" si="0"/>
        <v>#VALUE!</v>
      </c>
    </row>
    <row r="58" spans="1:5" x14ac:dyDescent="0.35">
      <c r="A58" s="13" t="s">
        <v>3557</v>
      </c>
      <c r="B58" s="113">
        <v>52.090081855670022</v>
      </c>
      <c r="C58" s="113">
        <v>-1.6925771134020597</v>
      </c>
      <c r="E58" t="str">
        <f t="shared" si="0"/>
        <v>52.0901, -1.6926 {Trinity Church} &lt;default-dot&gt;</v>
      </c>
    </row>
    <row r="59" spans="1:5" x14ac:dyDescent="0.35">
      <c r="A59" s="13" t="s">
        <v>56</v>
      </c>
      <c r="B59" s="113">
        <v>52.092997354838673</v>
      </c>
      <c r="C59" s="113">
        <v>-1.6862254516129045</v>
      </c>
      <c r="E59" t="str">
        <f t="shared" si="0"/>
        <v>52.093, -1.6862 {Twyning Fleet} &lt;default-dot&gt;</v>
      </c>
    </row>
    <row r="60" spans="1:5" x14ac:dyDescent="0.35">
      <c r="A60" s="13" t="s">
        <v>775</v>
      </c>
      <c r="B60" s="113">
        <v>52.130499999999998</v>
      </c>
      <c r="C60" s="113">
        <v>-2.0787</v>
      </c>
      <c r="E60" t="str">
        <f t="shared" si="0"/>
        <v>52.1305, -2.0787 {Walcot Lane, Bow Brook Ford} &lt;default-dot&gt;</v>
      </c>
    </row>
    <row r="61" spans="1:5" x14ac:dyDescent="0.35">
      <c r="A61" s="13" t="s">
        <v>41</v>
      </c>
      <c r="B61" s="113">
        <v>52.094779600000003</v>
      </c>
      <c r="C61" s="113">
        <v>-1.6739793999999999</v>
      </c>
      <c r="E61" t="str">
        <f t="shared" si="0"/>
        <v>52.0948, -1.674 {Welford Boat Station} &lt;default-dot&gt;</v>
      </c>
    </row>
    <row r="62" spans="1:5" x14ac:dyDescent="0.35">
      <c r="A62" s="13" t="s">
        <v>3558</v>
      </c>
      <c r="B62" s="113">
        <v>52.049778192307699</v>
      </c>
      <c r="C62" s="113">
        <v>-2.1187607692307697</v>
      </c>
      <c r="E62" t="str">
        <f t="shared" si="0"/>
        <v>52.0498, -2.1188 {Weston-on-Avon} &lt;default-dot&gt;</v>
      </c>
    </row>
    <row r="63" spans="1:5" x14ac:dyDescent="0.35">
      <c r="A63" s="13" t="s">
        <v>1907</v>
      </c>
      <c r="B63" s="113">
        <v>52.013255999999998</v>
      </c>
      <c r="C63" s="113">
        <v>-1.5387710000000001</v>
      </c>
      <c r="E63" t="str">
        <f t="shared" si="0"/>
        <v>52.0133, -1.5388 {Whitsun Brook Atch Lench Road, Church Lench.} &lt;default-dot&gt;</v>
      </c>
    </row>
    <row r="64" spans="1:5" x14ac:dyDescent="0.35">
      <c r="A64" s="13" t="s">
        <v>1698</v>
      </c>
      <c r="B64" s="113">
        <v>52.029943500000002</v>
      </c>
      <c r="C64" s="113">
        <v>-1.5807020000000001</v>
      </c>
      <c r="E64" t="str">
        <f t="shared" si="0"/>
        <v>52.0299, -1.5807 {Whitsun Brook north of Bishampton} &lt;default-dot&gt;</v>
      </c>
    </row>
    <row r="65" spans="1:5" x14ac:dyDescent="0.35">
      <c r="A65" s="13" t="s">
        <v>1689</v>
      </c>
      <c r="B65" s="113">
        <v>52.113052370370369</v>
      </c>
      <c r="C65" s="113">
        <v>-1.6333685185185181</v>
      </c>
      <c r="E65" t="str">
        <f t="shared" si="0"/>
        <v>52.1131, -1.6334 {Whitsun Brook Rous Church Lench} &lt;default-dot&gt;</v>
      </c>
    </row>
    <row r="66" spans="1:5" x14ac:dyDescent="0.35">
      <c r="A66" s="13" t="s">
        <v>1695</v>
      </c>
      <c r="B66" s="113">
        <v>52.062214921052629</v>
      </c>
      <c r="C66" s="113">
        <v>-1.6223788421052625</v>
      </c>
      <c r="E66" t="str">
        <f t="shared" si="0"/>
        <v>52.0622, -1.6224 {Whitsun Brook Rous Lench Bishampton} &lt;default-dot&gt;</v>
      </c>
    </row>
    <row r="67" spans="1:5" ht="15" thickBot="1" x14ac:dyDescent="0.4">
      <c r="A67" s="98" t="s">
        <v>1904</v>
      </c>
      <c r="B67" s="123">
        <v>52.045653647058828</v>
      </c>
      <c r="C67" s="123">
        <v>-1.6719221470588239</v>
      </c>
      <c r="E67" t="str">
        <f t="shared" ref="E67" si="1">ROUND(B67,4)&amp;", "&amp;ROUND(C67,4)&amp;" {"&amp;A67&amp;"} &lt;default-dot&gt;"</f>
        <v>52.0457, -1.6719 {Whitsun Brook. Low road, Church Lench} &lt;default-dot&gt;</v>
      </c>
    </row>
    <row r="68" spans="1:5" ht="15" thickTop="1" x14ac:dyDescent="0.35">
      <c r="B68">
        <v>52.046517558823531</v>
      </c>
      <c r="C68">
        <v>-1.6734143529411762</v>
      </c>
    </row>
    <row r="69" spans="1:5" x14ac:dyDescent="0.35">
      <c r="B69">
        <v>52.017437000000001</v>
      </c>
      <c r="C69">
        <v>-1.544745</v>
      </c>
    </row>
    <row r="70" spans="1:5" x14ac:dyDescent="0.35">
      <c r="B70">
        <v>52.053227523809518</v>
      </c>
      <c r="C70">
        <v>-1.6194739523809523</v>
      </c>
    </row>
    <row r="71" spans="1:5" x14ac:dyDescent="0.35">
      <c r="B71">
        <v>0</v>
      </c>
      <c r="C71">
        <v>0</v>
      </c>
    </row>
    <row r="72" spans="1:5" x14ac:dyDescent="0.35">
      <c r="B72">
        <v>52.206649805555557</v>
      </c>
      <c r="C72">
        <v>-1.6541018611111094</v>
      </c>
    </row>
    <row r="73" spans="1:5" x14ac:dyDescent="0.35">
      <c r="B73">
        <v>51.988591500000005</v>
      </c>
      <c r="C73">
        <v>-2.163898333333333</v>
      </c>
    </row>
    <row r="74" spans="1:5" x14ac:dyDescent="0.35">
      <c r="B74">
        <v>51.929875000000003</v>
      </c>
      <c r="C74">
        <v>-2.1277550000000001</v>
      </c>
    </row>
    <row r="75" spans="1:5" x14ac:dyDescent="0.35">
      <c r="B75">
        <v>51.980561000000002</v>
      </c>
      <c r="C75">
        <v>-2.150067</v>
      </c>
    </row>
    <row r="76" spans="1:5" x14ac:dyDescent="0.35">
      <c r="B76">
        <v>52.120947999999999</v>
      </c>
      <c r="C76">
        <v>-1.6505399999999999</v>
      </c>
    </row>
    <row r="77" spans="1:5" x14ac:dyDescent="0.35">
      <c r="B77">
        <v>52.262666528301864</v>
      </c>
      <c r="C77">
        <v>-1.6545845283018858</v>
      </c>
    </row>
    <row r="78" spans="1:5" x14ac:dyDescent="0.35">
      <c r="B78">
        <v>52.187393</v>
      </c>
      <c r="C78">
        <v>-1.706607</v>
      </c>
    </row>
    <row r="79" spans="1:5" x14ac:dyDescent="0.35">
      <c r="B79">
        <v>52.027216452380941</v>
      </c>
      <c r="C79">
        <v>-2.140853452380953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DD90-6711-469D-8599-51698D3337A8}">
  <dimension ref="A1:W84"/>
  <sheetViews>
    <sheetView zoomScale="85" zoomScaleNormal="85" workbookViewId="0">
      <selection activeCell="AB35" sqref="AB35"/>
    </sheetView>
  </sheetViews>
  <sheetFormatPr defaultRowHeight="14.5" x14ac:dyDescent="0.35"/>
  <cols>
    <col min="1" max="1" width="20.26953125" bestFit="1" customWidth="1"/>
    <col min="8" max="8" width="11.6328125" customWidth="1"/>
    <col min="17" max="17" width="12.453125" bestFit="1" customWidth="1"/>
    <col min="20" max="20" width="12.36328125" bestFit="1" customWidth="1"/>
  </cols>
  <sheetData>
    <row r="1" spans="1:21" x14ac:dyDescent="0.35">
      <c r="A1" s="105" t="s">
        <v>3668</v>
      </c>
    </row>
    <row r="3" spans="1:21" x14ac:dyDescent="0.35">
      <c r="A3" t="s">
        <v>3627</v>
      </c>
      <c r="B3" t="s">
        <v>3616</v>
      </c>
      <c r="I3" t="s">
        <v>10</v>
      </c>
      <c r="J3" t="s">
        <v>3616</v>
      </c>
      <c r="T3" t="s">
        <v>2</v>
      </c>
      <c r="U3" t="s">
        <v>3616</v>
      </c>
    </row>
    <row r="4" spans="1:21" x14ac:dyDescent="0.35">
      <c r="A4" t="e" vm="9">
        <v>#VALUE!</v>
      </c>
      <c r="B4">
        <f>Tables!H110</f>
        <v>120</v>
      </c>
      <c r="I4" t="s">
        <v>3552</v>
      </c>
      <c r="J4">
        <f>COUNTIF(AllData[River], Charts!I4)</f>
        <v>825</v>
      </c>
      <c r="T4" t="s">
        <v>3628</v>
      </c>
      <c r="U4">
        <f>Tables!O101</f>
        <v>65</v>
      </c>
    </row>
    <row r="5" spans="1:21" x14ac:dyDescent="0.35">
      <c r="A5" t="e" vm="1">
        <v>#VALUE!</v>
      </c>
      <c r="B5">
        <f>Tables!H121</f>
        <v>1441</v>
      </c>
      <c r="I5" t="s">
        <v>3562</v>
      </c>
      <c r="J5">
        <f>COUNTIF(AllData[River], Charts!I5)</f>
        <v>446</v>
      </c>
      <c r="T5" t="s">
        <v>3629</v>
      </c>
      <c r="U5">
        <f>Tables!T101</f>
        <v>166</v>
      </c>
    </row>
    <row r="6" spans="1:21" x14ac:dyDescent="0.35">
      <c r="A6" t="e" vm="4">
        <v>#VALUE!</v>
      </c>
      <c r="B6">
        <f>Tables!H126</f>
        <v>542</v>
      </c>
      <c r="I6" t="s">
        <v>3574</v>
      </c>
      <c r="J6">
        <f>COUNTIF(AllData[River], Charts!I6)</f>
        <v>188</v>
      </c>
      <c r="T6" t="s">
        <v>3630</v>
      </c>
      <c r="U6">
        <f>Tables!Y101</f>
        <v>248</v>
      </c>
    </row>
    <row r="7" spans="1:21" x14ac:dyDescent="0.35">
      <c r="A7" t="e" vm="6">
        <v>#VALUE!</v>
      </c>
      <c r="B7">
        <f>Tables!H131</f>
        <v>256</v>
      </c>
      <c r="I7" t="s">
        <v>3551</v>
      </c>
      <c r="J7">
        <f>COUNTIF(AllData[River], Charts!I7)</f>
        <v>89</v>
      </c>
      <c r="T7" s="11" t="s">
        <v>3631</v>
      </c>
      <c r="U7">
        <f>Tables!AD101</f>
        <v>431</v>
      </c>
    </row>
    <row r="8" spans="1:21" x14ac:dyDescent="0.35">
      <c r="A8" t="s">
        <v>3632</v>
      </c>
      <c r="B8">
        <f>SUM(B4:B7)</f>
        <v>2359</v>
      </c>
      <c r="I8" t="s">
        <v>3559</v>
      </c>
      <c r="J8">
        <f>COUNTIF(AllData[River], Charts!I8)</f>
        <v>268</v>
      </c>
      <c r="T8" s="11" t="s">
        <v>3633</v>
      </c>
      <c r="U8">
        <f>Tables!AI101</f>
        <v>419</v>
      </c>
    </row>
    <row r="9" spans="1:21" x14ac:dyDescent="0.35">
      <c r="I9" t="s">
        <v>3634</v>
      </c>
      <c r="J9">
        <f>J10-SUM(J4:J8)</f>
        <v>548</v>
      </c>
      <c r="T9" s="11" t="s">
        <v>3635</v>
      </c>
      <c r="U9">
        <f>Tables!AP101</f>
        <v>413</v>
      </c>
    </row>
    <row r="10" spans="1:21" x14ac:dyDescent="0.35">
      <c r="I10" t="s">
        <v>3623</v>
      </c>
      <c r="J10">
        <f>COUNTA(AllData[River])</f>
        <v>2364</v>
      </c>
      <c r="T10" s="11" t="s">
        <v>3636</v>
      </c>
      <c r="U10">
        <f>Tables!AW101</f>
        <v>373</v>
      </c>
    </row>
    <row r="11" spans="1:21" x14ac:dyDescent="0.35">
      <c r="T11" s="11" t="s">
        <v>3672</v>
      </c>
      <c r="U11">
        <f>Tables!BD101</f>
        <v>249</v>
      </c>
    </row>
    <row r="12" spans="1:21" x14ac:dyDescent="0.35">
      <c r="T12" t="s">
        <v>3623</v>
      </c>
      <c r="U12">
        <f>SUM(U4:U8)</f>
        <v>1329</v>
      </c>
    </row>
    <row r="19" spans="1:18" x14ac:dyDescent="0.35">
      <c r="A19" t="s">
        <v>3637</v>
      </c>
      <c r="B19" t="s">
        <v>3638</v>
      </c>
      <c r="Q19" t="s">
        <v>2</v>
      </c>
      <c r="R19" t="s">
        <v>3639</v>
      </c>
    </row>
    <row r="20" spans="1:18" x14ac:dyDescent="0.35">
      <c r="A20" t="s">
        <v>3591</v>
      </c>
      <c r="B20">
        <f>COUNTA(AllData[Nitrate (PPM)])</f>
        <v>2357</v>
      </c>
      <c r="Q20" t="s">
        <v>3628</v>
      </c>
      <c r="R20">
        <v>14</v>
      </c>
    </row>
    <row r="21" spans="1:18" x14ac:dyDescent="0.35">
      <c r="A21" t="s">
        <v>3597</v>
      </c>
      <c r="B21">
        <f>COUNTA(AllData[Phosphate (PPM)])</f>
        <v>2357</v>
      </c>
      <c r="H21" t="s">
        <v>3639</v>
      </c>
      <c r="I21">
        <f>Tables!C101</f>
        <v>87</v>
      </c>
      <c r="Q21" t="s">
        <v>3629</v>
      </c>
      <c r="R21">
        <v>22</v>
      </c>
    </row>
    <row r="22" spans="1:18" x14ac:dyDescent="0.35">
      <c r="A22" t="s">
        <v>3640</v>
      </c>
      <c r="B22">
        <f>COUNTA(AllData[Electrical Conductivity (µS)])</f>
        <v>2331</v>
      </c>
      <c r="H22" t="s">
        <v>3641</v>
      </c>
      <c r="I22">
        <f>COUNTIF(Tables!H12:H100, "&gt;"&amp;9)</f>
        <v>54</v>
      </c>
      <c r="Q22" t="s">
        <v>3630</v>
      </c>
      <c r="R22">
        <v>33</v>
      </c>
    </row>
    <row r="23" spans="1:18" x14ac:dyDescent="0.35">
      <c r="H23" t="s">
        <v>3642</v>
      </c>
      <c r="I23">
        <v>7</v>
      </c>
      <c r="Q23" s="11" t="s">
        <v>3631</v>
      </c>
      <c r="R23">
        <v>36</v>
      </c>
    </row>
    <row r="24" spans="1:18" x14ac:dyDescent="0.35">
      <c r="Q24" t="s">
        <v>3633</v>
      </c>
      <c r="R24">
        <v>48</v>
      </c>
    </row>
    <row r="25" spans="1:18" x14ac:dyDescent="0.35">
      <c r="Q25" t="s">
        <v>3635</v>
      </c>
      <c r="R25">
        <v>46</v>
      </c>
    </row>
    <row r="26" spans="1:18" x14ac:dyDescent="0.35">
      <c r="Q26" t="s">
        <v>3636</v>
      </c>
      <c r="R26">
        <v>47</v>
      </c>
    </row>
    <row r="27" spans="1:18" x14ac:dyDescent="0.35">
      <c r="Q27" t="s">
        <v>3672</v>
      </c>
      <c r="R27">
        <v>47</v>
      </c>
    </row>
    <row r="38" spans="3:18" x14ac:dyDescent="0.35">
      <c r="C38" s="102"/>
      <c r="I38" t="s">
        <v>3643</v>
      </c>
    </row>
    <row r="39" spans="3:18" x14ac:dyDescent="0.35">
      <c r="C39" s="102"/>
      <c r="I39" t="s">
        <v>3644</v>
      </c>
      <c r="J39">
        <f>COUNTIF(AllData[Nitrate Pollution Category], Charts!I39)</f>
        <v>1805</v>
      </c>
    </row>
    <row r="40" spans="3:18" x14ac:dyDescent="0.35">
      <c r="C40" s="102"/>
      <c r="I40" t="s">
        <v>3645</v>
      </c>
      <c r="J40">
        <f>COUNTIF(AllData[Nitrate Pollution Category], Charts!I40)</f>
        <v>417</v>
      </c>
    </row>
    <row r="41" spans="3:18" x14ac:dyDescent="0.35">
      <c r="C41" s="102"/>
      <c r="I41" t="s">
        <v>3646</v>
      </c>
      <c r="J41">
        <f>COUNTIF(AllData[Nitrate Pollution Category], Charts!I41)</f>
        <v>36</v>
      </c>
    </row>
    <row r="42" spans="3:18" x14ac:dyDescent="0.35">
      <c r="C42" s="102"/>
      <c r="I42" t="s">
        <v>3647</v>
      </c>
      <c r="J42">
        <f>COUNTIF(AllData[Nitrate Pollution Category], Charts!I42)</f>
        <v>100</v>
      </c>
    </row>
    <row r="43" spans="3:18" x14ac:dyDescent="0.35">
      <c r="C43" s="102"/>
    </row>
    <row r="44" spans="3:18" x14ac:dyDescent="0.35">
      <c r="C44" s="102"/>
    </row>
    <row r="45" spans="3:18" x14ac:dyDescent="0.35">
      <c r="C45" s="102"/>
    </row>
    <row r="46" spans="3:18" x14ac:dyDescent="0.35">
      <c r="C46" s="102"/>
    </row>
    <row r="47" spans="3:18" x14ac:dyDescent="0.35">
      <c r="C47" s="102"/>
    </row>
    <row r="48" spans="3:18" x14ac:dyDescent="0.35">
      <c r="C48" s="102"/>
      <c r="R48" t="s">
        <v>3648</v>
      </c>
    </row>
    <row r="49" spans="1:19" x14ac:dyDescent="0.35">
      <c r="C49" s="102"/>
      <c r="R49" t="s">
        <v>3644</v>
      </c>
      <c r="S49">
        <f>COUNTIF(AllData[Phosphate Pollution Category], Charts!R49)</f>
        <v>1094</v>
      </c>
    </row>
    <row r="50" spans="1:19" x14ac:dyDescent="0.35">
      <c r="C50" s="102"/>
      <c r="R50" t="s">
        <v>3645</v>
      </c>
      <c r="S50">
        <f>COUNTIF(AllData[Phosphate Pollution Category], Charts!R50)</f>
        <v>1103</v>
      </c>
    </row>
    <row r="51" spans="1:19" x14ac:dyDescent="0.35">
      <c r="C51" s="102"/>
      <c r="R51" t="s">
        <v>3646</v>
      </c>
      <c r="S51">
        <f>COUNTIF(AllData[Phosphate Pollution Category], Charts!R51)</f>
        <v>89</v>
      </c>
    </row>
    <row r="52" spans="1:19" x14ac:dyDescent="0.35">
      <c r="C52" s="102"/>
      <c r="R52" t="s">
        <v>3647</v>
      </c>
      <c r="S52">
        <f>COUNTIF(AllData[Phosphate Pollution Category], Charts!R52)</f>
        <v>72</v>
      </c>
    </row>
    <row r="53" spans="1:19" x14ac:dyDescent="0.35">
      <c r="A53" t="s">
        <v>3649</v>
      </c>
      <c r="B53" t="s">
        <v>3650</v>
      </c>
      <c r="C53" s="102" t="s">
        <v>3651</v>
      </c>
      <c r="D53" t="s">
        <v>3652</v>
      </c>
      <c r="E53" t="s">
        <v>3653</v>
      </c>
    </row>
    <row r="54" spans="1:19" x14ac:dyDescent="0.35">
      <c r="A54" t="s">
        <v>3591</v>
      </c>
      <c r="B54" s="12">
        <v>0</v>
      </c>
      <c r="C54" s="12">
        <v>0.5</v>
      </c>
      <c r="D54" s="104">
        <v>1</v>
      </c>
      <c r="E54" s="12">
        <v>2</v>
      </c>
    </row>
    <row r="55" spans="1:19" x14ac:dyDescent="0.35">
      <c r="A55" t="s">
        <v>3597</v>
      </c>
      <c r="B55" s="4">
        <v>0</v>
      </c>
      <c r="C55" s="4">
        <v>0.05</v>
      </c>
      <c r="D55" s="103">
        <v>0.1</v>
      </c>
      <c r="E55" s="4">
        <v>0.5</v>
      </c>
    </row>
    <row r="56" spans="1:19" x14ac:dyDescent="0.35">
      <c r="C56" s="102"/>
    </row>
    <row r="57" spans="1:19" x14ac:dyDescent="0.35">
      <c r="C57" s="102"/>
    </row>
    <row r="58" spans="1:19" x14ac:dyDescent="0.35">
      <c r="C58" s="102"/>
    </row>
    <row r="59" spans="1:19" x14ac:dyDescent="0.35">
      <c r="C59" s="102"/>
    </row>
    <row r="60" spans="1:19" x14ac:dyDescent="0.35">
      <c r="C60" s="102"/>
    </row>
    <row r="61" spans="1:19" x14ac:dyDescent="0.35">
      <c r="C61" s="102"/>
    </row>
    <row r="62" spans="1:19" x14ac:dyDescent="0.35">
      <c r="C62" s="102"/>
    </row>
    <row r="63" spans="1:19" x14ac:dyDescent="0.35">
      <c r="C63" s="102"/>
    </row>
    <row r="64" spans="1:19" x14ac:dyDescent="0.35">
      <c r="C64" s="102"/>
    </row>
    <row r="65" spans="1:23" x14ac:dyDescent="0.35">
      <c r="C65" s="102"/>
    </row>
    <row r="66" spans="1:23" x14ac:dyDescent="0.35">
      <c r="C66" s="102"/>
    </row>
    <row r="67" spans="1:23" x14ac:dyDescent="0.35">
      <c r="C67" s="102"/>
    </row>
    <row r="68" spans="1:23" x14ac:dyDescent="0.35">
      <c r="C68" s="102"/>
    </row>
    <row r="69" spans="1:23" x14ac:dyDescent="0.35">
      <c r="C69" s="102"/>
    </row>
    <row r="70" spans="1:23" x14ac:dyDescent="0.35">
      <c r="C70" s="102"/>
    </row>
    <row r="71" spans="1:23" x14ac:dyDescent="0.35">
      <c r="C71" s="102"/>
    </row>
    <row r="72" spans="1:23" x14ac:dyDescent="0.35">
      <c r="C72" s="102"/>
    </row>
    <row r="73" spans="1:23" x14ac:dyDescent="0.35">
      <c r="C73" s="102"/>
    </row>
    <row r="74" spans="1:23" x14ac:dyDescent="0.35">
      <c r="C74" s="102"/>
    </row>
    <row r="75" spans="1:23" x14ac:dyDescent="0.35">
      <c r="B75" s="12"/>
      <c r="C75" s="12"/>
      <c r="D75" s="12"/>
      <c r="V75" s="4"/>
      <c r="W75" s="4"/>
    </row>
    <row r="76" spans="1:23" x14ac:dyDescent="0.35">
      <c r="B76" s="12"/>
      <c r="C76" s="12"/>
      <c r="D76" s="12"/>
      <c r="V76" s="4"/>
      <c r="W76" s="4"/>
    </row>
    <row r="77" spans="1:23" x14ac:dyDescent="0.35">
      <c r="B77" s="12"/>
      <c r="C77" s="12"/>
      <c r="D77" s="12"/>
      <c r="U77" s="102"/>
      <c r="V77" s="4"/>
      <c r="W77" s="4"/>
    </row>
    <row r="78" spans="1:23" x14ac:dyDescent="0.35">
      <c r="A78" s="11"/>
      <c r="B78" s="12"/>
      <c r="C78" s="12"/>
      <c r="D78" s="12"/>
      <c r="S78" s="11"/>
      <c r="T78" s="4"/>
      <c r="U78" s="4"/>
      <c r="V78" s="4"/>
      <c r="W78" s="4"/>
    </row>
    <row r="79" spans="1:23" x14ac:dyDescent="0.35">
      <c r="A79" s="11"/>
      <c r="B79" s="12"/>
      <c r="C79" s="12"/>
      <c r="D79" s="12"/>
      <c r="S79" s="11"/>
      <c r="T79" s="4"/>
      <c r="U79" s="4"/>
      <c r="V79" s="4"/>
      <c r="W79" s="4"/>
    </row>
    <row r="80" spans="1:23" x14ac:dyDescent="0.35">
      <c r="B80" s="12"/>
      <c r="C80" s="12"/>
      <c r="D80" s="12"/>
      <c r="T80" s="4"/>
      <c r="U80" s="4"/>
      <c r="V80" s="4"/>
      <c r="W80" s="4"/>
    </row>
    <row r="81" spans="3:21" x14ac:dyDescent="0.35">
      <c r="C81" s="102"/>
      <c r="T81" s="4"/>
      <c r="U81" s="4"/>
    </row>
    <row r="82" spans="3:21" x14ac:dyDescent="0.35">
      <c r="T82" s="4"/>
      <c r="U82" s="4"/>
    </row>
    <row r="83" spans="3:21" x14ac:dyDescent="0.35">
      <c r="T83" s="4"/>
      <c r="U83" s="4"/>
    </row>
    <row r="84" spans="3:21" x14ac:dyDescent="0.35">
      <c r="T84" s="4"/>
      <c r="U84" s="4"/>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2F5C-8A2F-4295-8F98-D8A4D51CE0F1}">
  <dimension ref="A1:A5"/>
  <sheetViews>
    <sheetView workbookViewId="0">
      <selection activeCell="J2" sqref="J2"/>
    </sheetView>
  </sheetViews>
  <sheetFormatPr defaultRowHeight="14.5" x14ac:dyDescent="0.35"/>
  <sheetData>
    <row r="1" spans="1:1" x14ac:dyDescent="0.35">
      <c r="A1" s="137" t="s">
        <v>3654</v>
      </c>
    </row>
    <row r="2" spans="1:1" x14ac:dyDescent="0.35">
      <c r="A2" t="s">
        <v>3655</v>
      </c>
    </row>
    <row r="4" spans="1:1" x14ac:dyDescent="0.35">
      <c r="A4" t="s">
        <v>3656</v>
      </c>
    </row>
    <row r="5" spans="1:1" x14ac:dyDescent="0.35">
      <c r="A5" t="s">
        <v>3657</v>
      </c>
    </row>
  </sheetData>
  <hyperlinks>
    <hyperlink ref="A1" r:id="rId1" xr:uid="{5F1C301F-841B-46DB-9FF9-5CFBFEE3D86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75E5-16A6-4057-9D21-B12B9222362F}">
  <dimension ref="A1:V1238"/>
  <sheetViews>
    <sheetView workbookViewId="0">
      <selection activeCell="G1" sqref="G1:G1048576"/>
    </sheetView>
  </sheetViews>
  <sheetFormatPr defaultRowHeight="14.5" x14ac:dyDescent="0.35"/>
  <cols>
    <col min="1" max="1" width="27" customWidth="1"/>
    <col min="2" max="2" width="12" style="2" bestFit="1" customWidth="1"/>
    <col min="3" max="3" width="12.7265625" bestFit="1" customWidth="1"/>
    <col min="4" max="4" width="7.26953125" bestFit="1" customWidth="1"/>
    <col min="5" max="5" width="7.7265625" style="1" bestFit="1" customWidth="1"/>
    <col min="6" max="6" width="13.7265625" bestFit="1" customWidth="1"/>
    <col min="7" max="8" width="12" bestFit="1" customWidth="1"/>
  </cols>
  <sheetData>
    <row r="1" spans="1:22" ht="15" thickBot="1" x14ac:dyDescent="0.4">
      <c r="A1" s="8" t="s">
        <v>0</v>
      </c>
      <c r="B1" s="9" t="s">
        <v>1</v>
      </c>
      <c r="C1" s="9" t="s">
        <v>2</v>
      </c>
      <c r="D1" s="9" t="s">
        <v>3</v>
      </c>
      <c r="E1" s="10" t="s">
        <v>4</v>
      </c>
      <c r="F1" s="10" t="s">
        <v>5</v>
      </c>
      <c r="G1" s="5" t="s">
        <v>7</v>
      </c>
      <c r="H1" s="5" t="s">
        <v>8</v>
      </c>
      <c r="I1" s="5" t="s">
        <v>9</v>
      </c>
      <c r="J1" s="5" t="s">
        <v>10</v>
      </c>
      <c r="K1" s="5" t="s">
        <v>11</v>
      </c>
      <c r="L1" s="5" t="s">
        <v>12</v>
      </c>
      <c r="M1" s="5" t="s">
        <v>13</v>
      </c>
      <c r="N1" s="5" t="s">
        <v>14</v>
      </c>
      <c r="O1" s="5" t="s">
        <v>15</v>
      </c>
      <c r="P1" s="5" t="s">
        <v>16</v>
      </c>
      <c r="Q1" s="5" t="s">
        <v>17</v>
      </c>
      <c r="R1" s="5" t="s">
        <v>18</v>
      </c>
      <c r="S1" s="5" t="s">
        <v>19</v>
      </c>
      <c r="T1" s="5" t="s">
        <v>20</v>
      </c>
      <c r="U1" s="5" t="s">
        <v>21</v>
      </c>
      <c r="V1" s="6" t="s">
        <v>22</v>
      </c>
    </row>
    <row r="2" spans="1:22" ht="15" thickTop="1" x14ac:dyDescent="0.35">
      <c r="A2" t="s">
        <v>23</v>
      </c>
      <c r="B2" s="2">
        <v>45112</v>
      </c>
      <c r="C2" t="str" cm="1">
        <f t="array" ref="C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
        <f>YEAR(AllDataCorrected[[#This Row],[Date]])</f>
        <v>2023</v>
      </c>
      <c r="E2" s="1">
        <v>0.64444444444444449</v>
      </c>
      <c r="F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 t="str">
        <f>_xlfn.XLOOKUP(AllDataCorrected[[#This Row],[Location Name]], Locations[Location Name],Locations[Group As])</f>
        <v>Abbey Mill</v>
      </c>
      <c r="H2" t="e" vm="4">
        <f>_xlfn.XLOOKUP(AllDataCorrected[[#This Row],[Site Name]],LocationsKey[Site Name],LocationsKey[District])</f>
        <v>#VALUE!</v>
      </c>
      <c r="I2" t="e" vm="4">
        <f>_xlfn.XLOOKUP(AllDataCorrected[[#This Row],[Site Name]],LocationsKey[Site Name],LocationsKey[Town])</f>
        <v>#VALUE!</v>
      </c>
      <c r="J2" t="str">
        <f>_xlfn.XLOOKUP(AllDataCorrected[[#This Row],[Site Name]],LocationsKey[Site Name], LocationsKey[Waterway])</f>
        <v>Avon</v>
      </c>
      <c r="K2" t="s">
        <v>24</v>
      </c>
      <c r="L2">
        <f>_xlfn.XLOOKUP(AllDataCorrected[[#This Row],[Site Name]],Tables!$B$12:$B$100, Tables!C$12:C$100)</f>
        <v>51.991313075757589</v>
      </c>
      <c r="M2">
        <f>_xlfn.XLOOKUP(AllDataCorrected[[#This Row],[Site Name]],Tables!$B$12:$B$100, Tables!D$12:D$100)</f>
        <v>-2.1621998181818181</v>
      </c>
      <c r="N2" t="s">
        <v>25</v>
      </c>
      <c r="O2">
        <v>958</v>
      </c>
      <c r="P2">
        <v>19.100000000000001</v>
      </c>
      <c r="Q2">
        <v>7</v>
      </c>
      <c r="R2" t="str">
        <f>IF(AllDataCorrected[[#This Row],[Nitrate (PPM)]]&gt;2, "4. Very high (&gt;2ppm)", IF(AllDataCorrected[[#This Row],[Nitrate (PPM)]]&gt;1, "3. High (1-2ppm)", IF(AllDataCorrected[[#This Row],[Nitrate (PPM)]]&gt;0.5, "2. Some evidence (0.5-1ppm)", IF(AllDataCorrected[[#This Row],[Nitrate (PPM)]]&gt;=0, "1. No evidence (&lt;0.5ppm)"))))</f>
        <v>4. Very high (&gt;2ppm)</v>
      </c>
      <c r="S2">
        <v>1.29</v>
      </c>
      <c r="T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
        <v>0</v>
      </c>
    </row>
    <row r="3" spans="1:22" x14ac:dyDescent="0.35">
      <c r="A3" t="s">
        <v>26</v>
      </c>
      <c r="B3" s="2">
        <v>45116</v>
      </c>
      <c r="C3" t="str" cm="1">
        <f t="array" ref="C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
        <f>YEAR(AllDataCorrected[[#This Row],[Date]])</f>
        <v>2023</v>
      </c>
      <c r="E3" s="1">
        <v>0.43333333333333335</v>
      </c>
      <c r="F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 t="str">
        <f>_xlfn.XLOOKUP(AllDataCorrected[[#This Row],[Location Name]], Locations[Location Name],Locations[Group As])</f>
        <v>Abbey Mill</v>
      </c>
      <c r="H3" t="e" vm="4">
        <f>_xlfn.XLOOKUP(AllDataCorrected[[#This Row],[Site Name]],LocationsKey[Site Name],LocationsKey[District])</f>
        <v>#VALUE!</v>
      </c>
      <c r="I3" t="e" vm="4">
        <f>_xlfn.XLOOKUP(AllDataCorrected[[#This Row],[Site Name]],LocationsKey[Site Name],LocationsKey[Town])</f>
        <v>#VALUE!</v>
      </c>
      <c r="J3" t="str">
        <f>_xlfn.XLOOKUP(AllDataCorrected[[#This Row],[Site Name]],LocationsKey[Site Name], LocationsKey[Waterway])</f>
        <v>Avon</v>
      </c>
      <c r="K3" t="s">
        <v>27</v>
      </c>
      <c r="L3">
        <f>_xlfn.XLOOKUP(AllDataCorrected[[#This Row],[Site Name]],Tables!$B$12:$B$100, Tables!C$12:C$100)</f>
        <v>51.991313075757589</v>
      </c>
      <c r="M3">
        <f>_xlfn.XLOOKUP(AllDataCorrected[[#This Row],[Site Name]],Tables!$B$12:$B$100, Tables!D$12:D$100)</f>
        <v>-2.1621998181818181</v>
      </c>
      <c r="N3" t="s">
        <v>25</v>
      </c>
      <c r="O3">
        <v>993</v>
      </c>
      <c r="P3">
        <v>19</v>
      </c>
      <c r="Q3">
        <v>8</v>
      </c>
      <c r="R3" t="str">
        <f>IF(AllDataCorrected[[#This Row],[Nitrate (PPM)]]&gt;2, "4. Very high (&gt;2ppm)", IF(AllDataCorrected[[#This Row],[Nitrate (PPM)]]&gt;1, "3. High (1-2ppm)", IF(AllDataCorrected[[#This Row],[Nitrate (PPM)]]&gt;0.5, "2. Some evidence (0.5-1ppm)", IF(AllDataCorrected[[#This Row],[Nitrate (PPM)]]&gt;=0, "1. No evidence (&lt;0.5ppm)"))))</f>
        <v>4. Very high (&gt;2ppm)</v>
      </c>
      <c r="S3">
        <v>1.1100000000000001</v>
      </c>
      <c r="T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
        <v>0</v>
      </c>
      <c r="V3" t="s">
        <v>28</v>
      </c>
    </row>
    <row r="4" spans="1:22" x14ac:dyDescent="0.35">
      <c r="A4" t="s">
        <v>29</v>
      </c>
      <c r="B4" s="2">
        <v>45118</v>
      </c>
      <c r="C4" t="str" cm="1">
        <f t="array" ref="C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
        <f>YEAR(AllDataCorrected[[#This Row],[Date]])</f>
        <v>2023</v>
      </c>
      <c r="E4" s="1">
        <v>0.42986111111111114</v>
      </c>
      <c r="F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 t="str">
        <f>_xlfn.XLOOKUP(AllDataCorrected[[#This Row],[Location Name]], Locations[Location Name],Locations[Group As])</f>
        <v>Twyning Fleet</v>
      </c>
      <c r="H4" t="e" vm="4">
        <f>_xlfn.XLOOKUP(AllDataCorrected[[#This Row],[Site Name]],LocationsKey[Site Name],LocationsKey[District])</f>
        <v>#VALUE!</v>
      </c>
      <c r="I4" t="str">
        <f>_xlfn.XLOOKUP(AllDataCorrected[[#This Row],[Site Name]],LocationsKey[Site Name],LocationsKey[Town])</f>
        <v>Twyning Green</v>
      </c>
      <c r="J4" t="str">
        <f>_xlfn.XLOOKUP(AllDataCorrected[[#This Row],[Site Name]],LocationsKey[Site Name], LocationsKey[Waterway])</f>
        <v>Avon</v>
      </c>
      <c r="K4" t="s">
        <v>30</v>
      </c>
      <c r="L4">
        <f>_xlfn.XLOOKUP(AllDataCorrected[[#This Row],[Site Name]],Tables!$B$12:$B$100, Tables!C$12:C$100)</f>
        <v>52.027216452380941</v>
      </c>
      <c r="M4">
        <f>_xlfn.XLOOKUP(AllDataCorrected[[#This Row],[Site Name]],Tables!$B$12:$B$100, Tables!D$12:D$100)</f>
        <v>-2.140853452380953</v>
      </c>
      <c r="N4" t="s">
        <v>31</v>
      </c>
      <c r="P4">
        <v>19.399999999999999</v>
      </c>
      <c r="S4">
        <v>1.1599999999999999</v>
      </c>
      <c r="T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
        <v>0</v>
      </c>
      <c r="V4" t="s">
        <v>32</v>
      </c>
    </row>
    <row r="5" spans="1:22" x14ac:dyDescent="0.35">
      <c r="A5" t="s">
        <v>33</v>
      </c>
      <c r="B5" s="2">
        <v>45123</v>
      </c>
      <c r="C5" t="str" cm="1">
        <f t="array" ref="C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
        <f>YEAR(AllDataCorrected[[#This Row],[Date]])</f>
        <v>2023</v>
      </c>
      <c r="E5" s="1">
        <v>0.35</v>
      </c>
      <c r="F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 t="str">
        <f>_xlfn.XLOOKUP(AllDataCorrected[[#This Row],[Location Name]], Locations[Location Name],Locations[Group As])</f>
        <v>Abbey Mill</v>
      </c>
      <c r="H5" t="e" vm="4">
        <f>_xlfn.XLOOKUP(AllDataCorrected[[#This Row],[Site Name]],LocationsKey[Site Name],LocationsKey[District])</f>
        <v>#VALUE!</v>
      </c>
      <c r="I5" t="e" vm="4">
        <f>_xlfn.XLOOKUP(AllDataCorrected[[#This Row],[Site Name]],LocationsKey[Site Name],LocationsKey[Town])</f>
        <v>#VALUE!</v>
      </c>
      <c r="J5" t="str">
        <f>_xlfn.XLOOKUP(AllDataCorrected[[#This Row],[Site Name]],LocationsKey[Site Name], LocationsKey[Waterway])</f>
        <v>Avon</v>
      </c>
      <c r="K5" t="s">
        <v>24</v>
      </c>
      <c r="L5">
        <f>_xlfn.XLOOKUP(AllDataCorrected[[#This Row],[Site Name]],Tables!$B$12:$B$100, Tables!C$12:C$100)</f>
        <v>51.991313075757589</v>
      </c>
      <c r="M5">
        <f>_xlfn.XLOOKUP(AllDataCorrected[[#This Row],[Site Name]],Tables!$B$12:$B$100, Tables!D$12:D$100)</f>
        <v>-2.1621998181818181</v>
      </c>
      <c r="N5" t="s">
        <v>25</v>
      </c>
      <c r="O5">
        <v>982</v>
      </c>
      <c r="P5">
        <v>18.7</v>
      </c>
      <c r="Q5">
        <v>10</v>
      </c>
      <c r="R5" t="str">
        <f>IF(AllDataCorrected[[#This Row],[Nitrate (PPM)]]&gt;2, "4. Very high (&gt;2ppm)", IF(AllDataCorrected[[#This Row],[Nitrate (PPM)]]&gt;1, "3. High (1-2ppm)", IF(AllDataCorrected[[#This Row],[Nitrate (PPM)]]&gt;0.5, "2. Some evidence (0.5-1ppm)", IF(AllDataCorrected[[#This Row],[Nitrate (PPM)]]&gt;=0, "1. No evidence (&lt;0.5ppm)"))))</f>
        <v>4. Very high (&gt;2ppm)</v>
      </c>
      <c r="S5">
        <v>1.04</v>
      </c>
      <c r="T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
        <v>0</v>
      </c>
      <c r="V5" t="s">
        <v>34</v>
      </c>
    </row>
    <row r="6" spans="1:22" x14ac:dyDescent="0.35">
      <c r="A6" t="s">
        <v>35</v>
      </c>
      <c r="B6" s="2">
        <v>45123</v>
      </c>
      <c r="C6" t="str" cm="1">
        <f t="array" ref="C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
        <f>YEAR(AllDataCorrected[[#This Row],[Date]])</f>
        <v>2023</v>
      </c>
      <c r="E6" s="1">
        <v>0.47916666666666669</v>
      </c>
      <c r="F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 t="str">
        <f>_xlfn.XLOOKUP(AllDataCorrected[[#This Row],[Location Name]], Locations[Location Name],Locations[Group As])</f>
        <v>Hampton Wood</v>
      </c>
      <c r="H6" t="e" vm="1">
        <f>_xlfn.XLOOKUP(AllDataCorrected[[#This Row],[Site Name]],LocationsKey[Site Name],LocationsKey[District])</f>
        <v>#VALUE!</v>
      </c>
      <c r="I6" t="e" vm="34">
        <f>_xlfn.XLOOKUP(AllDataCorrected[[#This Row],[Site Name]],LocationsKey[Site Name],LocationsKey[Town])</f>
        <v>#VALUE!</v>
      </c>
      <c r="J6" t="str">
        <f>_xlfn.XLOOKUP(AllDataCorrected[[#This Row],[Site Name]],LocationsKey[Site Name], LocationsKey[Waterway])</f>
        <v>Avon</v>
      </c>
      <c r="K6" t="s">
        <v>36</v>
      </c>
      <c r="L6">
        <f>_xlfn.XLOOKUP(AllDataCorrected[[#This Row],[Site Name]],Tables!$B$12:$B$100, Tables!C$12:C$100)</f>
        <v>52.23814999999999</v>
      </c>
      <c r="M6">
        <f>_xlfn.XLOOKUP(AllDataCorrected[[#This Row],[Site Name]],Tables!$B$12:$B$100, Tables!D$12:D$100)</f>
        <v>-1.6245800000000008</v>
      </c>
      <c r="N6" t="s">
        <v>31</v>
      </c>
      <c r="O6">
        <v>682</v>
      </c>
      <c r="P6">
        <v>18</v>
      </c>
      <c r="Q6">
        <v>10</v>
      </c>
      <c r="R6" t="str">
        <f>IF(AllDataCorrected[[#This Row],[Nitrate (PPM)]]&gt;2, "4. Very high (&gt;2ppm)", IF(AllDataCorrected[[#This Row],[Nitrate (PPM)]]&gt;1, "3. High (1-2ppm)", IF(AllDataCorrected[[#This Row],[Nitrate (PPM)]]&gt;0.5, "2. Some evidence (0.5-1ppm)", IF(AllDataCorrected[[#This Row],[Nitrate (PPM)]]&gt;=0, "1. No evidence (&lt;0.5ppm)"))))</f>
        <v>4. Very high (&gt;2ppm)</v>
      </c>
      <c r="S6">
        <v>0.63</v>
      </c>
      <c r="T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
        <v>0</v>
      </c>
      <c r="V6" t="s">
        <v>37</v>
      </c>
    </row>
    <row r="7" spans="1:22" x14ac:dyDescent="0.35">
      <c r="A7" t="s">
        <v>38</v>
      </c>
      <c r="B7" s="2">
        <v>45123</v>
      </c>
      <c r="C7" t="str" cm="1">
        <f t="array" ref="C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7">
        <f>YEAR(AllDataCorrected[[#This Row],[Date]])</f>
        <v>2023</v>
      </c>
      <c r="E7" s="1">
        <v>0.52083333333333337</v>
      </c>
      <c r="F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 t="str">
        <f>_xlfn.XLOOKUP(AllDataCorrected[[#This Row],[Location Name]], Locations[Location Name],Locations[Group As])</f>
        <v>Hampton Lucy</v>
      </c>
      <c r="H7" t="e" vm="1">
        <f>_xlfn.XLOOKUP(AllDataCorrected[[#This Row],[Site Name]],LocationsKey[Site Name],LocationsKey[District])</f>
        <v>#VALUE!</v>
      </c>
      <c r="I7" t="e" vm="33">
        <f>_xlfn.XLOOKUP(AllDataCorrected[[#This Row],[Site Name]],LocationsKey[Site Name],LocationsKey[Town])</f>
        <v>#VALUE!</v>
      </c>
      <c r="J7" t="str">
        <f>_xlfn.XLOOKUP(AllDataCorrected[[#This Row],[Site Name]],LocationsKey[Site Name], LocationsKey[Waterway])</f>
        <v>Avon</v>
      </c>
      <c r="K7" t="s">
        <v>39</v>
      </c>
      <c r="L7">
        <f>_xlfn.XLOOKUP(AllDataCorrected[[#This Row],[Site Name]],Tables!$B$12:$B$100, Tables!C$12:C$100)</f>
        <v>52.211679999999973</v>
      </c>
      <c r="M7">
        <f>_xlfn.XLOOKUP(AllDataCorrected[[#This Row],[Site Name]],Tables!$B$12:$B$100, Tables!D$12:D$100)</f>
        <v>-1.6244400000000001</v>
      </c>
      <c r="N7" t="s">
        <v>25</v>
      </c>
      <c r="O7">
        <v>782</v>
      </c>
      <c r="P7">
        <v>18.5</v>
      </c>
      <c r="Q7">
        <v>5</v>
      </c>
      <c r="R7" t="str">
        <f>IF(AllDataCorrected[[#This Row],[Nitrate (PPM)]]&gt;2, "4. Very high (&gt;2ppm)", IF(AllDataCorrected[[#This Row],[Nitrate (PPM)]]&gt;1, "3. High (1-2ppm)", IF(AllDataCorrected[[#This Row],[Nitrate (PPM)]]&gt;0.5, "2. Some evidence (0.5-1ppm)", IF(AllDataCorrected[[#This Row],[Nitrate (PPM)]]&gt;=0, "1. No evidence (&lt;0.5ppm)"))))</f>
        <v>4. Very high (&gt;2ppm)</v>
      </c>
      <c r="S7">
        <v>0.55000000000000004</v>
      </c>
      <c r="T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
        <v>0</v>
      </c>
      <c r="V7" t="s">
        <v>37</v>
      </c>
    </row>
    <row r="8" spans="1:22" x14ac:dyDescent="0.35">
      <c r="A8" t="s">
        <v>40</v>
      </c>
      <c r="B8" s="2">
        <v>45123</v>
      </c>
      <c r="C8" t="str" cm="1">
        <f t="array" ref="C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
        <f>YEAR(AllDataCorrected[[#This Row],[Date]])</f>
        <v>2023</v>
      </c>
      <c r="E8" s="1">
        <v>0.69097222222222221</v>
      </c>
      <c r="F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 t="str">
        <f>_xlfn.XLOOKUP(AllDataCorrected[[#This Row],[Location Name]], Locations[Location Name],Locations[Group As])</f>
        <v>Welford Boat Station</v>
      </c>
      <c r="H8" t="e" vm="1">
        <f>_xlfn.XLOOKUP(AllDataCorrected[[#This Row],[Site Name]],LocationsKey[Site Name],LocationsKey[District])</f>
        <v>#VALUE!</v>
      </c>
      <c r="I8" t="e" vm="36">
        <f>_xlfn.XLOOKUP(AllDataCorrected[[#This Row],[Site Name]],LocationsKey[Site Name],LocationsKey[Town])</f>
        <v>#VALUE!</v>
      </c>
      <c r="J8" t="str">
        <f>_xlfn.XLOOKUP(AllDataCorrected[[#This Row],[Site Name]],LocationsKey[Site Name], LocationsKey[Waterway])</f>
        <v>Avon</v>
      </c>
      <c r="K8" t="s">
        <v>41</v>
      </c>
      <c r="L8">
        <f>_xlfn.XLOOKUP(AllDataCorrected[[#This Row],[Site Name]],Tables!$B$12:$B$100, Tables!C$12:C$100)</f>
        <v>52.175174684210546</v>
      </c>
      <c r="M8">
        <f>_xlfn.XLOOKUP(AllDataCorrected[[#This Row],[Site Name]],Tables!$B$12:$B$100, Tables!D$12:D$100)</f>
        <v>-1.7918551052631577</v>
      </c>
      <c r="N8" t="s">
        <v>25</v>
      </c>
      <c r="O8">
        <v>732</v>
      </c>
      <c r="P8">
        <v>19.5</v>
      </c>
      <c r="Q8">
        <v>7</v>
      </c>
      <c r="R8" t="str">
        <f>IF(AllDataCorrected[[#This Row],[Nitrate (PPM)]]&gt;2, "4. Very high (&gt;2ppm)", IF(AllDataCorrected[[#This Row],[Nitrate (PPM)]]&gt;1, "3. High (1-2ppm)", IF(AllDataCorrected[[#This Row],[Nitrate (PPM)]]&gt;0.5, "2. Some evidence (0.5-1ppm)", IF(AllDataCorrected[[#This Row],[Nitrate (PPM)]]&gt;=0, "1. No evidence (&lt;0.5ppm)"))))</f>
        <v>4. Very high (&gt;2ppm)</v>
      </c>
      <c r="S8">
        <v>0.61</v>
      </c>
      <c r="T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
        <v>0</v>
      </c>
      <c r="V8" t="s">
        <v>37</v>
      </c>
    </row>
    <row r="9" spans="1:22" x14ac:dyDescent="0.35">
      <c r="A9" t="s">
        <v>42</v>
      </c>
      <c r="B9" s="2">
        <v>45129</v>
      </c>
      <c r="C9" t="str" cm="1">
        <f t="array" ref="C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
        <f>YEAR(AllDataCorrected[[#This Row],[Date]])</f>
        <v>2023</v>
      </c>
      <c r="E9" s="1">
        <v>0.76736111111111116</v>
      </c>
      <c r="F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 t="str">
        <f>_xlfn.XLOOKUP(AllDataCorrected[[#This Row],[Location Name]], Locations[Location Name],Locations[Group As])</f>
        <v>Weston-on-Avon</v>
      </c>
      <c r="H9" t="e" vm="1">
        <f>_xlfn.XLOOKUP(AllDataCorrected[[#This Row],[Site Name]],LocationsKey[Site Name],LocationsKey[District])</f>
        <v>#VALUE!</v>
      </c>
      <c r="I9" t="e" vm="35">
        <f>_xlfn.XLOOKUP(AllDataCorrected[[#This Row],[Site Name]],LocationsKey[Site Name],LocationsKey[Town])</f>
        <v>#VALUE!</v>
      </c>
      <c r="J9" t="str">
        <f>_xlfn.XLOOKUP(AllDataCorrected[[#This Row],[Site Name]],LocationsKey[Site Name], LocationsKey[Waterway])</f>
        <v>Avon</v>
      </c>
      <c r="K9" t="s">
        <v>43</v>
      </c>
      <c r="L9">
        <f>_xlfn.XLOOKUP(AllDataCorrected[[#This Row],[Site Name]],Tables!$B$12:$B$100, Tables!C$12:C$100)</f>
        <v>52.167429999999996</v>
      </c>
      <c r="M9">
        <f>_xlfn.XLOOKUP(AllDataCorrected[[#This Row],[Site Name]],Tables!$B$12:$B$100, Tables!D$12:D$100)</f>
        <v>-1.7744752941176474</v>
      </c>
      <c r="N9" t="s">
        <v>25</v>
      </c>
      <c r="O9">
        <v>900</v>
      </c>
      <c r="P9">
        <v>18.399999999999999</v>
      </c>
      <c r="Q9">
        <v>2</v>
      </c>
      <c r="R9" t="str">
        <f>IF(AllDataCorrected[[#This Row],[Nitrate (PPM)]]&gt;2, "4. Very high (&gt;2ppm)", IF(AllDataCorrected[[#This Row],[Nitrate (PPM)]]&gt;1, "3. High (1-2ppm)", IF(AllDataCorrected[[#This Row],[Nitrate (PPM)]]&gt;0.5, "2. Some evidence (0.5-1ppm)", IF(AllDataCorrected[[#This Row],[Nitrate (PPM)]]&gt;=0, "1. No evidence (&lt;0.5ppm)"))))</f>
        <v>3. High (1-2ppm)</v>
      </c>
      <c r="S9">
        <v>0.9</v>
      </c>
      <c r="T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
        <v>0</v>
      </c>
      <c r="V9" t="s">
        <v>44</v>
      </c>
    </row>
    <row r="10" spans="1:22" x14ac:dyDescent="0.35">
      <c r="A10" t="s">
        <v>45</v>
      </c>
      <c r="B10" s="2">
        <v>45130</v>
      </c>
      <c r="C10" t="str" cm="1">
        <f t="array" ref="C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
        <f>YEAR(AllDataCorrected[[#This Row],[Date]])</f>
        <v>2023</v>
      </c>
      <c r="E10" s="1">
        <v>0.34513888888888888</v>
      </c>
      <c r="F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 t="str">
        <f>_xlfn.XLOOKUP(AllDataCorrected[[#This Row],[Location Name]], Locations[Location Name],Locations[Group As])</f>
        <v>Abbey Mill</v>
      </c>
      <c r="H10" t="e" vm="4">
        <f>_xlfn.XLOOKUP(AllDataCorrected[[#This Row],[Site Name]],LocationsKey[Site Name],LocationsKey[District])</f>
        <v>#VALUE!</v>
      </c>
      <c r="I10" t="e" vm="4">
        <f>_xlfn.XLOOKUP(AllDataCorrected[[#This Row],[Site Name]],LocationsKey[Site Name],LocationsKey[Town])</f>
        <v>#VALUE!</v>
      </c>
      <c r="J10" t="str">
        <f>_xlfn.XLOOKUP(AllDataCorrected[[#This Row],[Site Name]],LocationsKey[Site Name], LocationsKey[Waterway])</f>
        <v>Avon</v>
      </c>
      <c r="K10" t="s">
        <v>24</v>
      </c>
      <c r="L10">
        <f>_xlfn.XLOOKUP(AllDataCorrected[[#This Row],[Site Name]],Tables!$B$12:$B$100, Tables!C$12:C$100)</f>
        <v>51.991313075757589</v>
      </c>
      <c r="M10">
        <f>_xlfn.XLOOKUP(AllDataCorrected[[#This Row],[Site Name]],Tables!$B$12:$B$100, Tables!D$12:D$100)</f>
        <v>-2.1621998181818181</v>
      </c>
      <c r="N10" t="s">
        <v>25</v>
      </c>
      <c r="O10">
        <v>819</v>
      </c>
      <c r="P10">
        <v>19.3</v>
      </c>
      <c r="Q10">
        <v>12</v>
      </c>
      <c r="R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
        <v>0.86</v>
      </c>
      <c r="T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
        <v>0</v>
      </c>
    </row>
    <row r="11" spans="1:22" x14ac:dyDescent="0.35">
      <c r="A11" t="s">
        <v>46</v>
      </c>
      <c r="B11" s="2">
        <v>45130</v>
      </c>
      <c r="C11" t="str" cm="1">
        <f t="array" ref="C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
        <f>YEAR(AllDataCorrected[[#This Row],[Date]])</f>
        <v>2023</v>
      </c>
      <c r="E11" s="1">
        <v>0.41319444444444442</v>
      </c>
      <c r="F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 t="str">
        <f>_xlfn.XLOOKUP(AllDataCorrected[[#This Row],[Location Name]], Locations[Location Name],Locations[Group As])</f>
        <v>Hampton Wood</v>
      </c>
      <c r="H11" t="e" vm="1">
        <f>_xlfn.XLOOKUP(AllDataCorrected[[#This Row],[Site Name]],LocationsKey[Site Name],LocationsKey[District])</f>
        <v>#VALUE!</v>
      </c>
      <c r="I11" t="e" vm="34">
        <f>_xlfn.XLOOKUP(AllDataCorrected[[#This Row],[Site Name]],LocationsKey[Site Name],LocationsKey[Town])</f>
        <v>#VALUE!</v>
      </c>
      <c r="J11" t="str">
        <f>_xlfn.XLOOKUP(AllDataCorrected[[#This Row],[Site Name]],LocationsKey[Site Name], LocationsKey[Waterway])</f>
        <v>Avon</v>
      </c>
      <c r="K11" t="s">
        <v>36</v>
      </c>
      <c r="L11">
        <f>_xlfn.XLOOKUP(AllDataCorrected[[#This Row],[Site Name]],Tables!$B$12:$B$100, Tables!C$12:C$100)</f>
        <v>52.23814999999999</v>
      </c>
      <c r="M11">
        <f>_xlfn.XLOOKUP(AllDataCorrected[[#This Row],[Site Name]],Tables!$B$12:$B$100, Tables!D$12:D$100)</f>
        <v>-1.6245800000000008</v>
      </c>
      <c r="N11" t="s">
        <v>31</v>
      </c>
      <c r="O11">
        <v>806</v>
      </c>
      <c r="P11">
        <v>18.5</v>
      </c>
      <c r="Q11">
        <v>5</v>
      </c>
      <c r="R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
        <v>0.6</v>
      </c>
      <c r="T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
        <v>0</v>
      </c>
      <c r="V11" t="s">
        <v>47</v>
      </c>
    </row>
    <row r="12" spans="1:22" x14ac:dyDescent="0.35">
      <c r="A12" t="s">
        <v>48</v>
      </c>
      <c r="B12" s="2">
        <v>45130</v>
      </c>
      <c r="C12" t="str" cm="1">
        <f t="array" ref="C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
        <f>YEAR(AllDataCorrected[[#This Row],[Date]])</f>
        <v>2023</v>
      </c>
      <c r="E12" s="1">
        <v>0.49305555555555558</v>
      </c>
      <c r="F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 t="str">
        <f>_xlfn.XLOOKUP(AllDataCorrected[[#This Row],[Location Name]], Locations[Location Name],Locations[Group As])</f>
        <v>Hampton Lucy</v>
      </c>
      <c r="H12" t="e" vm="1">
        <f>_xlfn.XLOOKUP(AllDataCorrected[[#This Row],[Site Name]],LocationsKey[Site Name],LocationsKey[District])</f>
        <v>#VALUE!</v>
      </c>
      <c r="I12" t="e" vm="33">
        <f>_xlfn.XLOOKUP(AllDataCorrected[[#This Row],[Site Name]],LocationsKey[Site Name],LocationsKey[Town])</f>
        <v>#VALUE!</v>
      </c>
      <c r="J12" t="str">
        <f>_xlfn.XLOOKUP(AllDataCorrected[[#This Row],[Site Name]],LocationsKey[Site Name], LocationsKey[Waterway])</f>
        <v>Avon</v>
      </c>
      <c r="K12" t="s">
        <v>39</v>
      </c>
      <c r="L12">
        <f>_xlfn.XLOOKUP(AllDataCorrected[[#This Row],[Site Name]],Tables!$B$12:$B$100, Tables!C$12:C$100)</f>
        <v>52.211679999999973</v>
      </c>
      <c r="M12">
        <f>_xlfn.XLOOKUP(AllDataCorrected[[#This Row],[Site Name]],Tables!$B$12:$B$100, Tables!D$12:D$100)</f>
        <v>-1.6244400000000001</v>
      </c>
      <c r="N12" t="s">
        <v>25</v>
      </c>
      <c r="O12">
        <v>840</v>
      </c>
      <c r="P12">
        <v>19.399999999999999</v>
      </c>
      <c r="Q12">
        <v>5</v>
      </c>
      <c r="R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
        <v>0.6</v>
      </c>
      <c r="T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
        <v>0</v>
      </c>
      <c r="V12" t="s">
        <v>49</v>
      </c>
    </row>
    <row r="13" spans="1:22" x14ac:dyDescent="0.35">
      <c r="A13" t="s">
        <v>50</v>
      </c>
      <c r="B13" s="2">
        <v>45130</v>
      </c>
      <c r="C13" t="str" cm="1">
        <f t="array" ref="C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3">
        <f>YEAR(AllDataCorrected[[#This Row],[Date]])</f>
        <v>2023</v>
      </c>
      <c r="E13" s="1">
        <v>0.66666666666666663</v>
      </c>
      <c r="F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 t="str">
        <f>_xlfn.XLOOKUP(AllDataCorrected[[#This Row],[Location Name]], Locations[Location Name],Locations[Group As])</f>
        <v>Barton</v>
      </c>
      <c r="H13" t="e" vm="1">
        <f>_xlfn.XLOOKUP(AllDataCorrected[[#This Row],[Site Name]],LocationsKey[Site Name],LocationsKey[District])</f>
        <v>#VALUE!</v>
      </c>
      <c r="I13" t="str">
        <f>_xlfn.XLOOKUP(AllDataCorrected[[#This Row],[Site Name]],LocationsKey[Site Name],LocationsKey[Town])</f>
        <v>Barton</v>
      </c>
      <c r="J13" t="str">
        <f>_xlfn.XLOOKUP(AllDataCorrected[[#This Row],[Site Name]],LocationsKey[Site Name], LocationsKey[Waterway])</f>
        <v>Avon</v>
      </c>
      <c r="K13" t="s">
        <v>51</v>
      </c>
      <c r="L13">
        <f>_xlfn.XLOOKUP(AllDataCorrected[[#This Row],[Site Name]],Tables!$B$12:$B$100, Tables!C$12:C$100)</f>
        <v>52.16120999999999</v>
      </c>
      <c r="M13">
        <f>_xlfn.XLOOKUP(AllDataCorrected[[#This Row],[Site Name]],Tables!$B$12:$B$100, Tables!D$12:D$100)</f>
        <v>-1.8301499999999999</v>
      </c>
      <c r="N13" t="s">
        <v>31</v>
      </c>
      <c r="O13">
        <v>832</v>
      </c>
      <c r="P13">
        <v>18.7</v>
      </c>
      <c r="Q13">
        <v>4</v>
      </c>
      <c r="R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3">
        <v>0.71</v>
      </c>
      <c r="T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
        <v>0</v>
      </c>
      <c r="V13" t="s">
        <v>52</v>
      </c>
    </row>
    <row r="14" spans="1:22" x14ac:dyDescent="0.35">
      <c r="A14" t="s">
        <v>53</v>
      </c>
      <c r="B14" s="2">
        <v>45130</v>
      </c>
      <c r="C14" t="str" cm="1">
        <f t="array" ref="C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4">
        <f>YEAR(AllDataCorrected[[#This Row],[Date]])</f>
        <v>2023</v>
      </c>
      <c r="E14" s="1">
        <v>0.77083333333333337</v>
      </c>
      <c r="F1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4" t="str">
        <f>_xlfn.XLOOKUP(AllDataCorrected[[#This Row],[Location Name]], Locations[Location Name],Locations[Group As])</f>
        <v>Welford Boat Station</v>
      </c>
      <c r="H14" t="e" vm="1">
        <f>_xlfn.XLOOKUP(AllDataCorrected[[#This Row],[Site Name]],LocationsKey[Site Name],LocationsKey[District])</f>
        <v>#VALUE!</v>
      </c>
      <c r="I14" t="e" vm="36">
        <f>_xlfn.XLOOKUP(AllDataCorrected[[#This Row],[Site Name]],LocationsKey[Site Name],LocationsKey[Town])</f>
        <v>#VALUE!</v>
      </c>
      <c r="J14" t="str">
        <f>_xlfn.XLOOKUP(AllDataCorrected[[#This Row],[Site Name]],LocationsKey[Site Name], LocationsKey[Waterway])</f>
        <v>Avon</v>
      </c>
      <c r="K14" t="s">
        <v>41</v>
      </c>
      <c r="L14">
        <f>_xlfn.XLOOKUP(AllDataCorrected[[#This Row],[Site Name]],Tables!$B$12:$B$100, Tables!C$12:C$100)</f>
        <v>52.175174684210546</v>
      </c>
      <c r="M14">
        <f>_xlfn.XLOOKUP(AllDataCorrected[[#This Row],[Site Name]],Tables!$B$12:$B$100, Tables!D$12:D$100)</f>
        <v>-1.7918551052631577</v>
      </c>
      <c r="N14" t="s">
        <v>25</v>
      </c>
      <c r="O14">
        <v>892</v>
      </c>
      <c r="P14">
        <v>19.100000000000001</v>
      </c>
      <c r="Q14">
        <v>7</v>
      </c>
      <c r="R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4">
        <v>0.47</v>
      </c>
      <c r="T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
        <v>0</v>
      </c>
      <c r="V14" t="s">
        <v>54</v>
      </c>
    </row>
    <row r="15" spans="1:22" x14ac:dyDescent="0.35">
      <c r="A15" t="s">
        <v>55</v>
      </c>
      <c r="B15" s="2">
        <v>45132</v>
      </c>
      <c r="C15" t="str" cm="1">
        <f t="array" ref="C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5">
        <f>YEAR(AllDataCorrected[[#This Row],[Date]])</f>
        <v>2023</v>
      </c>
      <c r="E15" s="1">
        <v>0.4777777777777778</v>
      </c>
      <c r="F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 t="str">
        <f>_xlfn.XLOOKUP(AllDataCorrected[[#This Row],[Location Name]], Locations[Location Name],Locations[Group As])</f>
        <v>Twyning Fleet</v>
      </c>
      <c r="H15" t="e" vm="4">
        <f>_xlfn.XLOOKUP(AllDataCorrected[[#This Row],[Site Name]],LocationsKey[Site Name],LocationsKey[District])</f>
        <v>#VALUE!</v>
      </c>
      <c r="I15" t="str">
        <f>_xlfn.XLOOKUP(AllDataCorrected[[#This Row],[Site Name]],LocationsKey[Site Name],LocationsKey[Town])</f>
        <v>Twyning Green</v>
      </c>
      <c r="J15" t="str">
        <f>_xlfn.XLOOKUP(AllDataCorrected[[#This Row],[Site Name]],LocationsKey[Site Name], LocationsKey[Waterway])</f>
        <v>Avon</v>
      </c>
      <c r="K15" t="s">
        <v>56</v>
      </c>
      <c r="L15">
        <f>_xlfn.XLOOKUP(AllDataCorrected[[#This Row],[Site Name]],Tables!$B$12:$B$100, Tables!C$12:C$100)</f>
        <v>52.027216452380941</v>
      </c>
      <c r="M15">
        <f>_xlfn.XLOOKUP(AllDataCorrected[[#This Row],[Site Name]],Tables!$B$12:$B$100, Tables!D$12:D$100)</f>
        <v>-2.140853452380953</v>
      </c>
      <c r="N15" t="s">
        <v>31</v>
      </c>
      <c r="O15">
        <v>905</v>
      </c>
      <c r="P15">
        <v>19.5</v>
      </c>
      <c r="Q15">
        <v>10</v>
      </c>
      <c r="R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5">
        <v>1</v>
      </c>
      <c r="T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
        <v>0</v>
      </c>
      <c r="V15" t="s">
        <v>57</v>
      </c>
    </row>
    <row r="16" spans="1:22" x14ac:dyDescent="0.35">
      <c r="A16" t="s">
        <v>58</v>
      </c>
      <c r="B16" s="2">
        <v>45134</v>
      </c>
      <c r="C16" t="str" cm="1">
        <f t="array" ref="C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6">
        <f>YEAR(AllDataCorrected[[#This Row],[Date]])</f>
        <v>2023</v>
      </c>
      <c r="E16" s="1">
        <v>0.85416666666666663</v>
      </c>
      <c r="F16"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6" t="str">
        <f>_xlfn.XLOOKUP(AllDataCorrected[[#This Row],[Location Name]], Locations[Location Name],Locations[Group As])</f>
        <v>Abbey Mill</v>
      </c>
      <c r="H16" t="e" vm="4">
        <f>_xlfn.XLOOKUP(AllDataCorrected[[#This Row],[Site Name]],LocationsKey[Site Name],LocationsKey[District])</f>
        <v>#VALUE!</v>
      </c>
      <c r="I16" t="e" vm="4">
        <f>_xlfn.XLOOKUP(AllDataCorrected[[#This Row],[Site Name]],LocationsKey[Site Name],LocationsKey[Town])</f>
        <v>#VALUE!</v>
      </c>
      <c r="J16" t="str">
        <f>_xlfn.XLOOKUP(AllDataCorrected[[#This Row],[Site Name]],LocationsKey[Site Name], LocationsKey[Waterway])</f>
        <v>Avon</v>
      </c>
      <c r="K16" t="s">
        <v>24</v>
      </c>
      <c r="L16">
        <f>_xlfn.XLOOKUP(AllDataCorrected[[#This Row],[Site Name]],Tables!$B$12:$B$100, Tables!C$12:C$100)</f>
        <v>51.991313075757589</v>
      </c>
      <c r="M16">
        <f>_xlfn.XLOOKUP(AllDataCorrected[[#This Row],[Site Name]],Tables!$B$12:$B$100, Tables!D$12:D$100)</f>
        <v>-2.1621998181818181</v>
      </c>
      <c r="N16" t="s">
        <v>25</v>
      </c>
      <c r="O16">
        <v>856</v>
      </c>
      <c r="P16">
        <v>19.7</v>
      </c>
      <c r="Q16">
        <v>8</v>
      </c>
      <c r="R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6">
        <v>1.1399999999999999</v>
      </c>
      <c r="T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
        <v>0</v>
      </c>
    </row>
    <row r="17" spans="1:22" x14ac:dyDescent="0.35">
      <c r="A17" t="s">
        <v>59</v>
      </c>
      <c r="B17" s="2">
        <v>45137</v>
      </c>
      <c r="C17" t="str" cm="1">
        <f t="array" ref="C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7">
        <f>YEAR(AllDataCorrected[[#This Row],[Date]])</f>
        <v>2023</v>
      </c>
      <c r="E17" s="1">
        <v>0.40625</v>
      </c>
      <c r="F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 t="str">
        <f>_xlfn.XLOOKUP(AllDataCorrected[[#This Row],[Location Name]], Locations[Location Name],Locations[Group As])</f>
        <v>Hampton Wood</v>
      </c>
      <c r="H17" t="e" vm="1">
        <f>_xlfn.XLOOKUP(AllDataCorrected[[#This Row],[Site Name]],LocationsKey[Site Name],LocationsKey[District])</f>
        <v>#VALUE!</v>
      </c>
      <c r="I17" t="e" vm="34">
        <f>_xlfn.XLOOKUP(AllDataCorrected[[#This Row],[Site Name]],LocationsKey[Site Name],LocationsKey[Town])</f>
        <v>#VALUE!</v>
      </c>
      <c r="J17" t="str">
        <f>_xlfn.XLOOKUP(AllDataCorrected[[#This Row],[Site Name]],LocationsKey[Site Name], LocationsKey[Waterway])</f>
        <v>Avon</v>
      </c>
      <c r="K17" t="s">
        <v>36</v>
      </c>
      <c r="L17">
        <f>_xlfn.XLOOKUP(AllDataCorrected[[#This Row],[Site Name]],Tables!$B$12:$B$100, Tables!C$12:C$100)</f>
        <v>52.23814999999999</v>
      </c>
      <c r="M17">
        <f>_xlfn.XLOOKUP(AllDataCorrected[[#This Row],[Site Name]],Tables!$B$12:$B$100, Tables!D$12:D$100)</f>
        <v>-1.6245800000000008</v>
      </c>
      <c r="N17" t="s">
        <v>31</v>
      </c>
      <c r="O17">
        <v>734</v>
      </c>
      <c r="P17">
        <v>18.8</v>
      </c>
      <c r="Q17">
        <v>4</v>
      </c>
      <c r="R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7">
        <v>0.83</v>
      </c>
      <c r="T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
        <v>0</v>
      </c>
      <c r="V17" t="s">
        <v>60</v>
      </c>
    </row>
    <row r="18" spans="1:22" x14ac:dyDescent="0.35">
      <c r="A18" t="s">
        <v>61</v>
      </c>
      <c r="B18" s="2">
        <v>45137</v>
      </c>
      <c r="C18" t="str" cm="1">
        <f t="array" ref="C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8">
        <f>YEAR(AllDataCorrected[[#This Row],[Date]])</f>
        <v>2023</v>
      </c>
      <c r="E18" s="1">
        <v>0.52083333333333337</v>
      </c>
      <c r="F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 t="str">
        <f>_xlfn.XLOOKUP(AllDataCorrected[[#This Row],[Location Name]], Locations[Location Name],Locations[Group As])</f>
        <v>Hampton Lucy</v>
      </c>
      <c r="H18" t="e" vm="1">
        <f>_xlfn.XLOOKUP(AllDataCorrected[[#This Row],[Site Name]],LocationsKey[Site Name],LocationsKey[District])</f>
        <v>#VALUE!</v>
      </c>
      <c r="I18" t="e" vm="33">
        <f>_xlfn.XLOOKUP(AllDataCorrected[[#This Row],[Site Name]],LocationsKey[Site Name],LocationsKey[Town])</f>
        <v>#VALUE!</v>
      </c>
      <c r="J18" t="str">
        <f>_xlfn.XLOOKUP(AllDataCorrected[[#This Row],[Site Name]],LocationsKey[Site Name], LocationsKey[Waterway])</f>
        <v>Avon</v>
      </c>
      <c r="K18" t="s">
        <v>39</v>
      </c>
      <c r="L18">
        <f>_xlfn.XLOOKUP(AllDataCorrected[[#This Row],[Site Name]],Tables!$B$12:$B$100, Tables!C$12:C$100)</f>
        <v>52.211679999999973</v>
      </c>
      <c r="M18">
        <f>_xlfn.XLOOKUP(AllDataCorrected[[#This Row],[Site Name]],Tables!$B$12:$B$100, Tables!D$12:D$100)</f>
        <v>-1.6244400000000001</v>
      </c>
      <c r="N18" t="s">
        <v>25</v>
      </c>
      <c r="O18">
        <v>704</v>
      </c>
      <c r="P18">
        <v>19.399999999999999</v>
      </c>
      <c r="Q18">
        <v>5</v>
      </c>
      <c r="R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8">
        <v>0.7</v>
      </c>
      <c r="T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
        <v>0</v>
      </c>
      <c r="V18" t="s">
        <v>60</v>
      </c>
    </row>
    <row r="19" spans="1:22" x14ac:dyDescent="0.35">
      <c r="A19" t="s">
        <v>62</v>
      </c>
      <c r="B19" s="2">
        <v>45138</v>
      </c>
      <c r="C19" t="str" cm="1">
        <f t="array" ref="C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9">
        <f>YEAR(AllDataCorrected[[#This Row],[Date]])</f>
        <v>2023</v>
      </c>
      <c r="E19" s="1">
        <v>0.5</v>
      </c>
      <c r="F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 t="str">
        <f>_xlfn.XLOOKUP(AllDataCorrected[[#This Row],[Location Name]], Locations[Location Name],Locations[Group As])</f>
        <v>Welford Boat Station</v>
      </c>
      <c r="H19" t="e" vm="1">
        <f>_xlfn.XLOOKUP(AllDataCorrected[[#This Row],[Site Name]],LocationsKey[Site Name],LocationsKey[District])</f>
        <v>#VALUE!</v>
      </c>
      <c r="I19" t="e" vm="36">
        <f>_xlfn.XLOOKUP(AllDataCorrected[[#This Row],[Site Name]],LocationsKey[Site Name],LocationsKey[Town])</f>
        <v>#VALUE!</v>
      </c>
      <c r="J19" t="str">
        <f>_xlfn.XLOOKUP(AllDataCorrected[[#This Row],[Site Name]],LocationsKey[Site Name], LocationsKey[Waterway])</f>
        <v>Avon</v>
      </c>
      <c r="K19" t="s">
        <v>41</v>
      </c>
      <c r="L19">
        <f>_xlfn.XLOOKUP(AllDataCorrected[[#This Row],[Site Name]],Tables!$B$12:$B$100, Tables!C$12:C$100)</f>
        <v>52.175174684210546</v>
      </c>
      <c r="M19">
        <f>_xlfn.XLOOKUP(AllDataCorrected[[#This Row],[Site Name]],Tables!$B$12:$B$100, Tables!D$12:D$100)</f>
        <v>-1.7918551052631577</v>
      </c>
      <c r="N19" t="s">
        <v>25</v>
      </c>
      <c r="O19">
        <v>728</v>
      </c>
      <c r="P19">
        <v>18.7</v>
      </c>
      <c r="Q19">
        <v>4.5</v>
      </c>
      <c r="R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9">
        <v>0.59</v>
      </c>
      <c r="T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
        <v>0</v>
      </c>
      <c r="V19" t="s">
        <v>63</v>
      </c>
    </row>
    <row r="20" spans="1:22" x14ac:dyDescent="0.35">
      <c r="A20" t="s">
        <v>64</v>
      </c>
      <c r="B20" s="2">
        <v>45138</v>
      </c>
      <c r="C20" t="str" cm="1">
        <f t="array" ref="C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0">
        <f>YEAR(AllDataCorrected[[#This Row],[Date]])</f>
        <v>2023</v>
      </c>
      <c r="E20" s="1">
        <v>0.70833333333333337</v>
      </c>
      <c r="F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 t="str">
        <f>_xlfn.XLOOKUP(AllDataCorrected[[#This Row],[Location Name]], Locations[Location Name],Locations[Group As])</f>
        <v>Barton</v>
      </c>
      <c r="H20" t="e" vm="1">
        <f>_xlfn.XLOOKUP(AllDataCorrected[[#This Row],[Site Name]],LocationsKey[Site Name],LocationsKey[District])</f>
        <v>#VALUE!</v>
      </c>
      <c r="I20" t="str">
        <f>_xlfn.XLOOKUP(AllDataCorrected[[#This Row],[Site Name]],LocationsKey[Site Name],LocationsKey[Town])</f>
        <v>Barton</v>
      </c>
      <c r="J20" t="str">
        <f>_xlfn.XLOOKUP(AllDataCorrected[[#This Row],[Site Name]],LocationsKey[Site Name], LocationsKey[Waterway])</f>
        <v>Avon</v>
      </c>
      <c r="K20" t="s">
        <v>51</v>
      </c>
      <c r="L20">
        <f>_xlfn.XLOOKUP(AllDataCorrected[[#This Row],[Site Name]],Tables!$B$12:$B$100, Tables!C$12:C$100)</f>
        <v>52.16120999999999</v>
      </c>
      <c r="M20">
        <f>_xlfn.XLOOKUP(AllDataCorrected[[#This Row],[Site Name]],Tables!$B$12:$B$100, Tables!D$12:D$100)</f>
        <v>-1.8301499999999999</v>
      </c>
      <c r="N20" t="s">
        <v>31</v>
      </c>
      <c r="O20">
        <v>722</v>
      </c>
      <c r="P20">
        <v>17.5</v>
      </c>
      <c r="Q20">
        <v>4</v>
      </c>
      <c r="R20" t="str">
        <f>IF(AllDataCorrected[[#This Row],[Nitrate (PPM)]]&gt;2, "4. Very high (&gt;2ppm)", IF(AllDataCorrected[[#This Row],[Nitrate (PPM)]]&gt;1, "3. High (1-2ppm)", IF(AllDataCorrected[[#This Row],[Nitrate (PPM)]]&gt;0.5, "2. Some evidence (0.5-1ppm)", IF(AllDataCorrected[[#This Row],[Nitrate (PPM)]]&gt;=0, "1. No evidence (&lt;0.5ppm)"))))</f>
        <v>4. Very high (&gt;2ppm)</v>
      </c>
      <c r="S20">
        <v>0.61</v>
      </c>
      <c r="T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
        <v>0</v>
      </c>
      <c r="V20" t="s">
        <v>65</v>
      </c>
    </row>
    <row r="21" spans="1:22" x14ac:dyDescent="0.35">
      <c r="A21" t="s">
        <v>66</v>
      </c>
      <c r="B21" s="2">
        <v>45139</v>
      </c>
      <c r="C21" t="str" cm="1">
        <f t="array" ref="C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1">
        <f>YEAR(AllDataCorrected[[#This Row],[Date]])</f>
        <v>2023</v>
      </c>
      <c r="E21" s="1">
        <v>0.83333333333333337</v>
      </c>
      <c r="F2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21" t="str">
        <f>_xlfn.XLOOKUP(AllDataCorrected[[#This Row],[Location Name]], Locations[Location Name],Locations[Group As])</f>
        <v>Avonbank Drive</v>
      </c>
      <c r="H21" t="e" vm="1">
        <f>_xlfn.XLOOKUP(AllDataCorrected[[#This Row],[Site Name]],LocationsKey[Site Name],LocationsKey[District])</f>
        <v>#VALUE!</v>
      </c>
      <c r="I21" t="e" vm="12">
        <f>_xlfn.XLOOKUP(AllDataCorrected[[#This Row],[Site Name]],LocationsKey[Site Name],LocationsKey[Town])</f>
        <v>#VALUE!</v>
      </c>
      <c r="J21" t="str">
        <f>_xlfn.XLOOKUP(AllDataCorrected[[#This Row],[Site Name]],LocationsKey[Site Name], LocationsKey[Waterway])</f>
        <v>Avon</v>
      </c>
      <c r="K21" t="s">
        <v>67</v>
      </c>
      <c r="L21">
        <f>_xlfn.XLOOKUP(AllDataCorrected[[#This Row],[Site Name]],Tables!$B$12:$B$100, Tables!C$12:C$100)</f>
        <v>51.566927775862098</v>
      </c>
      <c r="M21">
        <f>_xlfn.XLOOKUP(AllDataCorrected[[#This Row],[Site Name]],Tables!$B$12:$B$100, Tables!D$12:D$100)</f>
        <v>-7.2113336724137929</v>
      </c>
      <c r="N21" t="s">
        <v>68</v>
      </c>
      <c r="O21">
        <v>893</v>
      </c>
      <c r="P21">
        <v>18.8</v>
      </c>
      <c r="Q21">
        <v>10</v>
      </c>
      <c r="R21" t="str">
        <f>IF(AllDataCorrected[[#This Row],[Nitrate (PPM)]]&gt;2, "4. Very high (&gt;2ppm)", IF(AllDataCorrected[[#This Row],[Nitrate (PPM)]]&gt;1, "3. High (1-2ppm)", IF(AllDataCorrected[[#This Row],[Nitrate (PPM)]]&gt;0.5, "2. Some evidence (0.5-1ppm)", IF(AllDataCorrected[[#This Row],[Nitrate (PPM)]]&gt;=0, "1. No evidence (&lt;0.5ppm)"))))</f>
        <v>4. Very high (&gt;2ppm)</v>
      </c>
      <c r="S21">
        <v>0.5</v>
      </c>
      <c r="T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
        <v>0.6</v>
      </c>
      <c r="V21" t="s">
        <v>69</v>
      </c>
    </row>
    <row r="22" spans="1:22" x14ac:dyDescent="0.35">
      <c r="A22" t="s">
        <v>70</v>
      </c>
      <c r="B22" s="2">
        <v>45139</v>
      </c>
      <c r="C22" t="str" cm="1">
        <f t="array" ref="C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2">
        <f>YEAR(AllDataCorrected[[#This Row],[Date]])</f>
        <v>2023</v>
      </c>
      <c r="E22" s="1">
        <v>0.85416666666666663</v>
      </c>
      <c r="F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22" t="str">
        <f>_xlfn.XLOOKUP(AllDataCorrected[[#This Row],[Location Name]], Locations[Location Name],Locations[Group As])</f>
        <v>Pitch 16</v>
      </c>
      <c r="H22" t="e" vm="1">
        <f>_xlfn.XLOOKUP(AllDataCorrected[[#This Row],[Site Name]],LocationsKey[Site Name],LocationsKey[District])</f>
        <v>#VALUE!</v>
      </c>
      <c r="I22" t="e" vm="12">
        <f>_xlfn.XLOOKUP(AllDataCorrected[[#This Row],[Site Name]],LocationsKey[Site Name],LocationsKey[Town])</f>
        <v>#VALUE!</v>
      </c>
      <c r="J22" t="str">
        <f>_xlfn.XLOOKUP(AllDataCorrected[[#This Row],[Site Name]],LocationsKey[Site Name], LocationsKey[Waterway])</f>
        <v>Avon</v>
      </c>
      <c r="K22" t="s">
        <v>71</v>
      </c>
      <c r="L22">
        <f>_xlfn.XLOOKUP(AllDataCorrected[[#This Row],[Site Name]],Tables!$B$12:$B$100, Tables!C$12:C$100)</f>
        <v>51.289310076923087</v>
      </c>
      <c r="M22">
        <f>_xlfn.XLOOKUP(AllDataCorrected[[#This Row],[Site Name]],Tables!$B$12:$B$100, Tables!D$12:D$100)</f>
        <v>-0.10399761538461544</v>
      </c>
      <c r="N22" t="s">
        <v>31</v>
      </c>
      <c r="O22">
        <v>887</v>
      </c>
      <c r="P22">
        <v>18.600000000000001</v>
      </c>
      <c r="Q22">
        <v>10</v>
      </c>
      <c r="R22" t="str">
        <f>IF(AllDataCorrected[[#This Row],[Nitrate (PPM)]]&gt;2, "4. Very high (&gt;2ppm)", IF(AllDataCorrected[[#This Row],[Nitrate (PPM)]]&gt;1, "3. High (1-2ppm)", IF(AllDataCorrected[[#This Row],[Nitrate (PPM)]]&gt;0.5, "2. Some evidence (0.5-1ppm)", IF(AllDataCorrected[[#This Row],[Nitrate (PPM)]]&gt;=0, "1. No evidence (&lt;0.5ppm)"))))</f>
        <v>4. Very high (&gt;2ppm)</v>
      </c>
      <c r="S22">
        <v>0.6</v>
      </c>
      <c r="T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
        <v>0.6</v>
      </c>
      <c r="V22" t="s">
        <v>72</v>
      </c>
    </row>
    <row r="23" spans="1:22" x14ac:dyDescent="0.35">
      <c r="A23" t="s">
        <v>73</v>
      </c>
      <c r="B23" s="2">
        <v>45142</v>
      </c>
      <c r="C23" t="str" cm="1">
        <f t="array" ref="C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3">
        <f>YEAR(AllDataCorrected[[#This Row],[Date]])</f>
        <v>2023</v>
      </c>
      <c r="E23" s="1">
        <v>0.45833333333333331</v>
      </c>
      <c r="F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 t="str">
        <f>_xlfn.XLOOKUP(AllDataCorrected[[#This Row],[Location Name]], Locations[Location Name],Locations[Group As])</f>
        <v>Pitch 16</v>
      </c>
      <c r="H23" t="e" vm="1">
        <f>_xlfn.XLOOKUP(AllDataCorrected[[#This Row],[Site Name]],LocationsKey[Site Name],LocationsKey[District])</f>
        <v>#VALUE!</v>
      </c>
      <c r="I23" t="e" vm="12">
        <f>_xlfn.XLOOKUP(AllDataCorrected[[#This Row],[Site Name]],LocationsKey[Site Name],LocationsKey[Town])</f>
        <v>#VALUE!</v>
      </c>
      <c r="J23" t="str">
        <f>_xlfn.XLOOKUP(AllDataCorrected[[#This Row],[Site Name]],LocationsKey[Site Name], LocationsKey[Waterway])</f>
        <v>Avon</v>
      </c>
      <c r="K23" t="s">
        <v>71</v>
      </c>
      <c r="L23">
        <f>_xlfn.XLOOKUP(AllDataCorrected[[#This Row],[Site Name]],Tables!$B$12:$B$100, Tables!C$12:C$100)</f>
        <v>51.289310076923087</v>
      </c>
      <c r="M23">
        <f>_xlfn.XLOOKUP(AllDataCorrected[[#This Row],[Site Name]],Tables!$B$12:$B$100, Tables!D$12:D$100)</f>
        <v>-0.10399761538461544</v>
      </c>
      <c r="N23" t="s">
        <v>31</v>
      </c>
      <c r="O23">
        <v>892</v>
      </c>
      <c r="P23">
        <v>18.5</v>
      </c>
      <c r="Q23">
        <v>10</v>
      </c>
      <c r="R23" t="str">
        <f>IF(AllDataCorrected[[#This Row],[Nitrate (PPM)]]&gt;2, "4. Very high (&gt;2ppm)", IF(AllDataCorrected[[#This Row],[Nitrate (PPM)]]&gt;1, "3. High (1-2ppm)", IF(AllDataCorrected[[#This Row],[Nitrate (PPM)]]&gt;0.5, "2. Some evidence (0.5-1ppm)", IF(AllDataCorrected[[#This Row],[Nitrate (PPM)]]&gt;=0, "1. No evidence (&lt;0.5ppm)"))))</f>
        <v>4. Very high (&gt;2ppm)</v>
      </c>
      <c r="S23">
        <v>0.56999999999999995</v>
      </c>
      <c r="T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
        <v>0.62</v>
      </c>
    </row>
    <row r="24" spans="1:22" x14ac:dyDescent="0.35">
      <c r="A24" t="s">
        <v>74</v>
      </c>
      <c r="B24" s="2">
        <v>45142</v>
      </c>
      <c r="C24" t="str" cm="1">
        <f t="array" ref="C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4">
        <f>YEAR(AllDataCorrected[[#This Row],[Date]])</f>
        <v>2023</v>
      </c>
      <c r="E24" s="1">
        <v>0.47569444444444442</v>
      </c>
      <c r="F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 t="str">
        <f>_xlfn.XLOOKUP(AllDataCorrected[[#This Row],[Location Name]], Locations[Location Name],Locations[Group As])</f>
        <v>Avonbank Drive</v>
      </c>
      <c r="H24" t="e" vm="1">
        <f>_xlfn.XLOOKUP(AllDataCorrected[[#This Row],[Site Name]],LocationsKey[Site Name],LocationsKey[District])</f>
        <v>#VALUE!</v>
      </c>
      <c r="I24" t="e" vm="12">
        <f>_xlfn.XLOOKUP(AllDataCorrected[[#This Row],[Site Name]],LocationsKey[Site Name],LocationsKey[Town])</f>
        <v>#VALUE!</v>
      </c>
      <c r="J24" t="str">
        <f>_xlfn.XLOOKUP(AllDataCorrected[[#This Row],[Site Name]],LocationsKey[Site Name], LocationsKey[Waterway])</f>
        <v>Avon</v>
      </c>
      <c r="K24" t="s">
        <v>67</v>
      </c>
      <c r="L24">
        <f>_xlfn.XLOOKUP(AllDataCorrected[[#This Row],[Site Name]],Tables!$B$12:$B$100, Tables!C$12:C$100)</f>
        <v>51.566927775862098</v>
      </c>
      <c r="M24">
        <f>_xlfn.XLOOKUP(AllDataCorrected[[#This Row],[Site Name]],Tables!$B$12:$B$100, Tables!D$12:D$100)</f>
        <v>-7.2113336724137929</v>
      </c>
      <c r="N24" t="s">
        <v>68</v>
      </c>
      <c r="O24">
        <v>896</v>
      </c>
      <c r="P24">
        <v>19.2</v>
      </c>
      <c r="Q24">
        <v>10</v>
      </c>
      <c r="R24" t="str">
        <f>IF(AllDataCorrected[[#This Row],[Nitrate (PPM)]]&gt;2, "4. Very high (&gt;2ppm)", IF(AllDataCorrected[[#This Row],[Nitrate (PPM)]]&gt;1, "3. High (1-2ppm)", IF(AllDataCorrected[[#This Row],[Nitrate (PPM)]]&gt;0.5, "2. Some evidence (0.5-1ppm)", IF(AllDataCorrected[[#This Row],[Nitrate (PPM)]]&gt;=0, "1. No evidence (&lt;0.5ppm)"))))</f>
        <v>4. Very high (&gt;2ppm)</v>
      </c>
      <c r="S24">
        <v>0.46</v>
      </c>
      <c r="T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
        <v>0.62</v>
      </c>
    </row>
    <row r="25" spans="1:22" x14ac:dyDescent="0.35">
      <c r="A25" t="s">
        <v>75</v>
      </c>
      <c r="B25" s="2">
        <v>45143</v>
      </c>
      <c r="C25" t="str" cm="1">
        <f t="array" ref="C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5">
        <f>YEAR(AllDataCorrected[[#This Row],[Date]])</f>
        <v>2023</v>
      </c>
      <c r="E25" s="1">
        <v>0.42777777777777776</v>
      </c>
      <c r="F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 t="str">
        <f>_xlfn.XLOOKUP(AllDataCorrected[[#This Row],[Location Name]], Locations[Location Name],Locations[Group As])</f>
        <v>Abbey Mill</v>
      </c>
      <c r="H25" t="e" vm="4">
        <f>_xlfn.XLOOKUP(AllDataCorrected[[#This Row],[Site Name]],LocationsKey[Site Name],LocationsKey[District])</f>
        <v>#VALUE!</v>
      </c>
      <c r="I25" t="e" vm="4">
        <f>_xlfn.XLOOKUP(AllDataCorrected[[#This Row],[Site Name]],LocationsKey[Site Name],LocationsKey[Town])</f>
        <v>#VALUE!</v>
      </c>
      <c r="J25" t="str">
        <f>_xlfn.XLOOKUP(AllDataCorrected[[#This Row],[Site Name]],LocationsKey[Site Name], LocationsKey[Waterway])</f>
        <v>Avon</v>
      </c>
      <c r="K25" t="s">
        <v>24</v>
      </c>
      <c r="L25">
        <f>_xlfn.XLOOKUP(AllDataCorrected[[#This Row],[Site Name]],Tables!$B$12:$B$100, Tables!C$12:C$100)</f>
        <v>51.991313075757589</v>
      </c>
      <c r="M25">
        <f>_xlfn.XLOOKUP(AllDataCorrected[[#This Row],[Site Name]],Tables!$B$12:$B$100, Tables!D$12:D$100)</f>
        <v>-2.1621998181818181</v>
      </c>
      <c r="N25" t="s">
        <v>25</v>
      </c>
      <c r="O25">
        <v>905</v>
      </c>
      <c r="P25">
        <v>18.399999999999999</v>
      </c>
      <c r="Q25">
        <v>8</v>
      </c>
      <c r="R25" t="str">
        <f>IF(AllDataCorrected[[#This Row],[Nitrate (PPM)]]&gt;2, "4. Very high (&gt;2ppm)", IF(AllDataCorrected[[#This Row],[Nitrate (PPM)]]&gt;1, "3. High (1-2ppm)", IF(AllDataCorrected[[#This Row],[Nitrate (PPM)]]&gt;0.5, "2. Some evidence (0.5-1ppm)", IF(AllDataCorrected[[#This Row],[Nitrate (PPM)]]&gt;=0, "1. No evidence (&lt;0.5ppm)"))))</f>
        <v>4. Very high (&gt;2ppm)</v>
      </c>
      <c r="S25">
        <v>0.99</v>
      </c>
      <c r="T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
        <v>0</v>
      </c>
    </row>
    <row r="26" spans="1:22" x14ac:dyDescent="0.35">
      <c r="A26" t="s">
        <v>76</v>
      </c>
      <c r="B26" s="2">
        <v>45143</v>
      </c>
      <c r="C26" t="str" cm="1">
        <f t="array" ref="C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6">
        <f>YEAR(AllDataCorrected[[#This Row],[Date]])</f>
        <v>2023</v>
      </c>
      <c r="E26" s="1">
        <v>0.64583333333333337</v>
      </c>
      <c r="F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 t="str">
        <f>_xlfn.XLOOKUP(AllDataCorrected[[#This Row],[Location Name]], Locations[Location Name],Locations[Group As])</f>
        <v>Weston-on-Avon</v>
      </c>
      <c r="H26" t="e" vm="1">
        <f>_xlfn.XLOOKUP(AllDataCorrected[[#This Row],[Site Name]],LocationsKey[Site Name],LocationsKey[District])</f>
        <v>#VALUE!</v>
      </c>
      <c r="I26" t="e" vm="35">
        <f>_xlfn.XLOOKUP(AllDataCorrected[[#This Row],[Site Name]],LocationsKey[Site Name],LocationsKey[Town])</f>
        <v>#VALUE!</v>
      </c>
      <c r="J26" t="str">
        <f>_xlfn.XLOOKUP(AllDataCorrected[[#This Row],[Site Name]],LocationsKey[Site Name], LocationsKey[Waterway])</f>
        <v>Avon</v>
      </c>
      <c r="K26" t="s">
        <v>43</v>
      </c>
      <c r="L26">
        <f>_xlfn.XLOOKUP(AllDataCorrected[[#This Row],[Site Name]],Tables!$B$12:$B$100, Tables!C$12:C$100)</f>
        <v>52.167429999999996</v>
      </c>
      <c r="M26">
        <f>_xlfn.XLOOKUP(AllDataCorrected[[#This Row],[Site Name]],Tables!$B$12:$B$100, Tables!D$12:D$100)</f>
        <v>-1.7744752941176474</v>
      </c>
      <c r="N26" t="s">
        <v>25</v>
      </c>
      <c r="O26">
        <v>912</v>
      </c>
      <c r="P26">
        <v>18</v>
      </c>
      <c r="Q26">
        <v>4</v>
      </c>
      <c r="R26" t="str">
        <f>IF(AllDataCorrected[[#This Row],[Nitrate (PPM)]]&gt;2, "4. Very high (&gt;2ppm)", IF(AllDataCorrected[[#This Row],[Nitrate (PPM)]]&gt;1, "3. High (1-2ppm)", IF(AllDataCorrected[[#This Row],[Nitrate (PPM)]]&gt;0.5, "2. Some evidence (0.5-1ppm)", IF(AllDataCorrected[[#This Row],[Nitrate (PPM)]]&gt;=0, "1. No evidence (&lt;0.5ppm)"))))</f>
        <v>4. Very high (&gt;2ppm)</v>
      </c>
      <c r="S26">
        <v>0.78</v>
      </c>
      <c r="T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
        <v>0</v>
      </c>
    </row>
    <row r="27" spans="1:22" x14ac:dyDescent="0.35">
      <c r="A27" t="s">
        <v>77</v>
      </c>
      <c r="B27" s="2">
        <v>45144</v>
      </c>
      <c r="C27" t="str" cm="1">
        <f t="array" ref="C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7">
        <f>YEAR(AllDataCorrected[[#This Row],[Date]])</f>
        <v>2023</v>
      </c>
      <c r="E27" s="1">
        <v>0.47916666666666669</v>
      </c>
      <c r="F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 t="str">
        <f>_xlfn.XLOOKUP(AllDataCorrected[[#This Row],[Location Name]], Locations[Location Name],Locations[Group As])</f>
        <v>Hampton Wood</v>
      </c>
      <c r="H27" t="e" vm="1">
        <f>_xlfn.XLOOKUP(AllDataCorrected[[#This Row],[Site Name]],LocationsKey[Site Name],LocationsKey[District])</f>
        <v>#VALUE!</v>
      </c>
      <c r="I27" t="e" vm="34">
        <f>_xlfn.XLOOKUP(AllDataCorrected[[#This Row],[Site Name]],LocationsKey[Site Name],LocationsKey[Town])</f>
        <v>#VALUE!</v>
      </c>
      <c r="J27" t="str">
        <f>_xlfn.XLOOKUP(AllDataCorrected[[#This Row],[Site Name]],LocationsKey[Site Name], LocationsKey[Waterway])</f>
        <v>Avon</v>
      </c>
      <c r="K27" t="s">
        <v>36</v>
      </c>
      <c r="L27">
        <f>_xlfn.XLOOKUP(AllDataCorrected[[#This Row],[Site Name]],Tables!$B$12:$B$100, Tables!C$12:C$100)</f>
        <v>52.23814999999999</v>
      </c>
      <c r="M27">
        <f>_xlfn.XLOOKUP(AllDataCorrected[[#This Row],[Site Name]],Tables!$B$12:$B$100, Tables!D$12:D$100)</f>
        <v>-1.6245800000000008</v>
      </c>
      <c r="N27" t="s">
        <v>31</v>
      </c>
      <c r="O27">
        <v>778</v>
      </c>
      <c r="P27">
        <v>17.399999999999999</v>
      </c>
      <c r="Q27">
        <v>6</v>
      </c>
      <c r="R27" t="str">
        <f>IF(AllDataCorrected[[#This Row],[Nitrate (PPM)]]&gt;2, "4. Very high (&gt;2ppm)", IF(AllDataCorrected[[#This Row],[Nitrate (PPM)]]&gt;1, "3. High (1-2ppm)", IF(AllDataCorrected[[#This Row],[Nitrate (PPM)]]&gt;0.5, "2. Some evidence (0.5-1ppm)", IF(AllDataCorrected[[#This Row],[Nitrate (PPM)]]&gt;=0, "1. No evidence (&lt;0.5ppm)"))))</f>
        <v>4. Very high (&gt;2ppm)</v>
      </c>
      <c r="S27">
        <v>0.56999999999999995</v>
      </c>
      <c r="T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
        <v>0</v>
      </c>
    </row>
    <row r="28" spans="1:22" x14ac:dyDescent="0.35">
      <c r="A28" t="s">
        <v>78</v>
      </c>
      <c r="B28" s="2">
        <v>45144</v>
      </c>
      <c r="C28" t="str" cm="1">
        <f t="array" ref="C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8">
        <f>YEAR(AllDataCorrected[[#This Row],[Date]])</f>
        <v>2023</v>
      </c>
      <c r="E28" s="1">
        <v>0.54166666666666663</v>
      </c>
      <c r="F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 t="str">
        <f>_xlfn.XLOOKUP(AllDataCorrected[[#This Row],[Location Name]], Locations[Location Name],Locations[Group As])</f>
        <v>Hampton Lucy</v>
      </c>
      <c r="H28" t="e" vm="1">
        <f>_xlfn.XLOOKUP(AllDataCorrected[[#This Row],[Site Name]],LocationsKey[Site Name],LocationsKey[District])</f>
        <v>#VALUE!</v>
      </c>
      <c r="I28" t="e" vm="33">
        <f>_xlfn.XLOOKUP(AllDataCorrected[[#This Row],[Site Name]],LocationsKey[Site Name],LocationsKey[Town])</f>
        <v>#VALUE!</v>
      </c>
      <c r="J28" t="str">
        <f>_xlfn.XLOOKUP(AllDataCorrected[[#This Row],[Site Name]],LocationsKey[Site Name], LocationsKey[Waterway])</f>
        <v>Avon</v>
      </c>
      <c r="K28" t="s">
        <v>39</v>
      </c>
      <c r="L28">
        <f>_xlfn.XLOOKUP(AllDataCorrected[[#This Row],[Site Name]],Tables!$B$12:$B$100, Tables!C$12:C$100)</f>
        <v>52.211679999999973</v>
      </c>
      <c r="M28">
        <f>_xlfn.XLOOKUP(AllDataCorrected[[#This Row],[Site Name]],Tables!$B$12:$B$100, Tables!D$12:D$100)</f>
        <v>-1.6244400000000001</v>
      </c>
      <c r="N28" t="s">
        <v>25</v>
      </c>
      <c r="O28">
        <v>784</v>
      </c>
      <c r="P28">
        <v>17.7</v>
      </c>
      <c r="Q28">
        <v>5</v>
      </c>
      <c r="R28" t="str">
        <f>IF(AllDataCorrected[[#This Row],[Nitrate (PPM)]]&gt;2, "4. Very high (&gt;2ppm)", IF(AllDataCorrected[[#This Row],[Nitrate (PPM)]]&gt;1, "3. High (1-2ppm)", IF(AllDataCorrected[[#This Row],[Nitrate (PPM)]]&gt;0.5, "2. Some evidence (0.5-1ppm)", IF(AllDataCorrected[[#This Row],[Nitrate (PPM)]]&gt;=0, "1. No evidence (&lt;0.5ppm)"))))</f>
        <v>4. Very high (&gt;2ppm)</v>
      </c>
      <c r="S28">
        <v>0.67</v>
      </c>
      <c r="T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
        <v>0</v>
      </c>
    </row>
    <row r="29" spans="1:22" x14ac:dyDescent="0.35">
      <c r="A29" t="s">
        <v>79</v>
      </c>
      <c r="B29" s="2">
        <v>45145</v>
      </c>
      <c r="C29" t="str" cm="1">
        <f t="array" ref="C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29">
        <f>YEAR(AllDataCorrected[[#This Row],[Date]])</f>
        <v>2023</v>
      </c>
      <c r="E29" s="1">
        <v>0.625</v>
      </c>
      <c r="F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 t="str">
        <f>_xlfn.XLOOKUP(AllDataCorrected[[#This Row],[Location Name]], Locations[Location Name],Locations[Group As])</f>
        <v>Welford Boat Station</v>
      </c>
      <c r="H29" t="e" vm="1">
        <f>_xlfn.XLOOKUP(AllDataCorrected[[#This Row],[Site Name]],LocationsKey[Site Name],LocationsKey[District])</f>
        <v>#VALUE!</v>
      </c>
      <c r="I29" t="e" vm="36">
        <f>_xlfn.XLOOKUP(AllDataCorrected[[#This Row],[Site Name]],LocationsKey[Site Name],LocationsKey[Town])</f>
        <v>#VALUE!</v>
      </c>
      <c r="J29" t="str">
        <f>_xlfn.XLOOKUP(AllDataCorrected[[#This Row],[Site Name]],LocationsKey[Site Name], LocationsKey[Waterway])</f>
        <v>Avon</v>
      </c>
      <c r="K29" t="s">
        <v>41</v>
      </c>
      <c r="L29">
        <f>_xlfn.XLOOKUP(AllDataCorrected[[#This Row],[Site Name]],Tables!$B$12:$B$100, Tables!C$12:C$100)</f>
        <v>52.175174684210546</v>
      </c>
      <c r="M29">
        <f>_xlfn.XLOOKUP(AllDataCorrected[[#This Row],[Site Name]],Tables!$B$12:$B$100, Tables!D$12:D$100)</f>
        <v>-1.7918551052631577</v>
      </c>
      <c r="N29" t="s">
        <v>31</v>
      </c>
      <c r="O29">
        <v>848</v>
      </c>
      <c r="P29">
        <v>17.2</v>
      </c>
      <c r="Q29">
        <v>9.5</v>
      </c>
      <c r="R29" t="str">
        <f>IF(AllDataCorrected[[#This Row],[Nitrate (PPM)]]&gt;2, "4. Very high (&gt;2ppm)", IF(AllDataCorrected[[#This Row],[Nitrate (PPM)]]&gt;1, "3. High (1-2ppm)", IF(AllDataCorrected[[#This Row],[Nitrate (PPM)]]&gt;0.5, "2. Some evidence (0.5-1ppm)", IF(AllDataCorrected[[#This Row],[Nitrate (PPM)]]&gt;=0, "1. No evidence (&lt;0.5ppm)"))))</f>
        <v>4. Very high (&gt;2ppm)</v>
      </c>
      <c r="S29">
        <v>0.62</v>
      </c>
      <c r="T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
        <v>0</v>
      </c>
      <c r="V29" t="s">
        <v>80</v>
      </c>
    </row>
    <row r="30" spans="1:22" x14ac:dyDescent="0.35">
      <c r="A30" t="s">
        <v>81</v>
      </c>
      <c r="B30" s="2">
        <v>45145</v>
      </c>
      <c r="C30" t="str" cm="1">
        <f t="array" ref="C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0">
        <f>YEAR(AllDataCorrected[[#This Row],[Date]])</f>
        <v>2023</v>
      </c>
      <c r="E30" s="1">
        <v>0.70833333333333337</v>
      </c>
      <c r="F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 t="str">
        <f>_xlfn.XLOOKUP(AllDataCorrected[[#This Row],[Location Name]], Locations[Location Name],Locations[Group As])</f>
        <v>Barton</v>
      </c>
      <c r="H30" t="e" vm="1">
        <f>_xlfn.XLOOKUP(AllDataCorrected[[#This Row],[Site Name]],LocationsKey[Site Name],LocationsKey[District])</f>
        <v>#VALUE!</v>
      </c>
      <c r="I30" t="str">
        <f>_xlfn.XLOOKUP(AllDataCorrected[[#This Row],[Site Name]],LocationsKey[Site Name],LocationsKey[Town])</f>
        <v>Barton</v>
      </c>
      <c r="J30" t="str">
        <f>_xlfn.XLOOKUP(AllDataCorrected[[#This Row],[Site Name]],LocationsKey[Site Name], LocationsKey[Waterway])</f>
        <v>Avon</v>
      </c>
      <c r="K30" t="s">
        <v>51</v>
      </c>
      <c r="L30">
        <f>_xlfn.XLOOKUP(AllDataCorrected[[#This Row],[Site Name]],Tables!$B$12:$B$100, Tables!C$12:C$100)</f>
        <v>52.16120999999999</v>
      </c>
      <c r="M30">
        <f>_xlfn.XLOOKUP(AllDataCorrected[[#This Row],[Site Name]],Tables!$B$12:$B$100, Tables!D$12:D$100)</f>
        <v>-1.8301499999999999</v>
      </c>
      <c r="N30" t="s">
        <v>31</v>
      </c>
      <c r="O30">
        <v>808</v>
      </c>
      <c r="P30">
        <v>17.399999999999999</v>
      </c>
      <c r="Q30">
        <v>4</v>
      </c>
      <c r="R30" t="str">
        <f>IF(AllDataCorrected[[#This Row],[Nitrate (PPM)]]&gt;2, "4. Very high (&gt;2ppm)", IF(AllDataCorrected[[#This Row],[Nitrate (PPM)]]&gt;1, "3. High (1-2ppm)", IF(AllDataCorrected[[#This Row],[Nitrate (PPM)]]&gt;0.5, "2. Some evidence (0.5-1ppm)", IF(AllDataCorrected[[#This Row],[Nitrate (PPM)]]&gt;=0, "1. No evidence (&lt;0.5ppm)"))))</f>
        <v>4. Very high (&gt;2ppm)</v>
      </c>
      <c r="S30">
        <v>0.57999999999999996</v>
      </c>
      <c r="T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
        <v>0</v>
      </c>
    </row>
    <row r="31" spans="1:22" x14ac:dyDescent="0.35">
      <c r="A31" t="s">
        <v>82</v>
      </c>
      <c r="B31" s="2">
        <v>45146</v>
      </c>
      <c r="C31" t="str" cm="1">
        <f t="array" ref="C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1">
        <f>YEAR(AllDataCorrected[[#This Row],[Date]])</f>
        <v>2023</v>
      </c>
      <c r="E31" s="1">
        <v>0.75208333333333333</v>
      </c>
      <c r="F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31" t="str">
        <f>_xlfn.XLOOKUP(AllDataCorrected[[#This Row],[Location Name]], Locations[Location Name],Locations[Group As])</f>
        <v>Twyning Fleet</v>
      </c>
      <c r="H31" t="e" vm="4">
        <f>_xlfn.XLOOKUP(AllDataCorrected[[#This Row],[Site Name]],LocationsKey[Site Name],LocationsKey[District])</f>
        <v>#VALUE!</v>
      </c>
      <c r="I31" t="str">
        <f>_xlfn.XLOOKUP(AllDataCorrected[[#This Row],[Site Name]],LocationsKey[Site Name],LocationsKey[Town])</f>
        <v>Twyning Green</v>
      </c>
      <c r="J31" t="str">
        <f>_xlfn.XLOOKUP(AllDataCorrected[[#This Row],[Site Name]],LocationsKey[Site Name], LocationsKey[Waterway])</f>
        <v>Avon</v>
      </c>
      <c r="K31" t="s">
        <v>56</v>
      </c>
      <c r="L31">
        <f>_xlfn.XLOOKUP(AllDataCorrected[[#This Row],[Site Name]],Tables!$B$12:$B$100, Tables!C$12:C$100)</f>
        <v>52.027216452380941</v>
      </c>
      <c r="M31">
        <f>_xlfn.XLOOKUP(AllDataCorrected[[#This Row],[Site Name]],Tables!$B$12:$B$100, Tables!D$12:D$100)</f>
        <v>-2.140853452380953</v>
      </c>
      <c r="N31" t="s">
        <v>31</v>
      </c>
      <c r="O31">
        <v>926</v>
      </c>
      <c r="P31">
        <v>18.399999999999999</v>
      </c>
      <c r="Q31">
        <v>10</v>
      </c>
      <c r="R31" t="str">
        <f>IF(AllDataCorrected[[#This Row],[Nitrate (PPM)]]&gt;2, "4. Very high (&gt;2ppm)", IF(AllDataCorrected[[#This Row],[Nitrate (PPM)]]&gt;1, "3. High (1-2ppm)", IF(AllDataCorrected[[#This Row],[Nitrate (PPM)]]&gt;0.5, "2. Some evidence (0.5-1ppm)", IF(AllDataCorrected[[#This Row],[Nitrate (PPM)]]&gt;=0, "1. No evidence (&lt;0.5ppm)"))))</f>
        <v>4. Very high (&gt;2ppm)</v>
      </c>
      <c r="S31">
        <v>1.17</v>
      </c>
      <c r="T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
        <v>0</v>
      </c>
      <c r="V31" t="s">
        <v>83</v>
      </c>
    </row>
    <row r="32" spans="1:22" x14ac:dyDescent="0.35">
      <c r="A32" t="s">
        <v>84</v>
      </c>
      <c r="B32" s="2">
        <v>45148</v>
      </c>
      <c r="C32" t="str" cm="1">
        <f t="array" ref="C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2">
        <f>YEAR(AllDataCorrected[[#This Row],[Date]])</f>
        <v>2023</v>
      </c>
      <c r="E32" s="1">
        <v>0.43125000000000002</v>
      </c>
      <c r="F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 t="str">
        <f>_xlfn.XLOOKUP(AllDataCorrected[[#This Row],[Location Name]], Locations[Location Name],Locations[Group As])</f>
        <v>Swilgate</v>
      </c>
      <c r="H32" t="e" vm="4">
        <f>_xlfn.XLOOKUP(AllDataCorrected[[#This Row],[Site Name]],LocationsKey[Site Name],LocationsKey[District])</f>
        <v>#VALUE!</v>
      </c>
      <c r="I32" t="e" vm="4">
        <f>_xlfn.XLOOKUP(AllDataCorrected[[#This Row],[Site Name]],LocationsKey[Site Name],LocationsKey[Town])</f>
        <v>#VALUE!</v>
      </c>
      <c r="J32" t="str">
        <f>_xlfn.XLOOKUP(AllDataCorrected[[#This Row],[Site Name]],LocationsKey[Site Name], LocationsKey[Waterway])</f>
        <v>Swilgate</v>
      </c>
      <c r="K32" t="s">
        <v>85</v>
      </c>
      <c r="L32">
        <f>_xlfn.XLOOKUP(AllDataCorrected[[#This Row],[Site Name]],Tables!$B$12:$B$100, Tables!C$12:C$100)</f>
        <v>51.988591500000005</v>
      </c>
      <c r="M32">
        <f>_xlfn.XLOOKUP(AllDataCorrected[[#This Row],[Site Name]],Tables!$B$12:$B$100, Tables!D$12:D$100)</f>
        <v>-2.163898333333333</v>
      </c>
      <c r="N32" t="s">
        <v>25</v>
      </c>
      <c r="O32">
        <v>806</v>
      </c>
      <c r="P32">
        <v>18.600000000000001</v>
      </c>
      <c r="Q32">
        <v>8</v>
      </c>
      <c r="R32" t="str">
        <f>IF(AllDataCorrected[[#This Row],[Nitrate (PPM)]]&gt;2, "4. Very high (&gt;2ppm)", IF(AllDataCorrected[[#This Row],[Nitrate (PPM)]]&gt;1, "3. High (1-2ppm)", IF(AllDataCorrected[[#This Row],[Nitrate (PPM)]]&gt;0.5, "2. Some evidence (0.5-1ppm)", IF(AllDataCorrected[[#This Row],[Nitrate (PPM)]]&gt;=0, "1. No evidence (&lt;0.5ppm)"))))</f>
        <v>4. Very high (&gt;2ppm)</v>
      </c>
      <c r="S32">
        <v>0.76</v>
      </c>
      <c r="T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
        <v>0</v>
      </c>
    </row>
    <row r="33" spans="1:22" x14ac:dyDescent="0.35">
      <c r="A33" t="s">
        <v>86</v>
      </c>
      <c r="B33" s="2">
        <v>45150</v>
      </c>
      <c r="C33" t="str" cm="1">
        <f t="array" ref="C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3">
        <f>YEAR(AllDataCorrected[[#This Row],[Date]])</f>
        <v>2023</v>
      </c>
      <c r="E33" s="1">
        <v>0.43055555555555558</v>
      </c>
      <c r="F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 t="str">
        <f>_xlfn.XLOOKUP(AllDataCorrected[[#This Row],[Location Name]], Locations[Location Name],Locations[Group As])</f>
        <v>Pitch 16</v>
      </c>
      <c r="H33" t="e" vm="1">
        <f>_xlfn.XLOOKUP(AllDataCorrected[[#This Row],[Site Name]],LocationsKey[Site Name],LocationsKey[District])</f>
        <v>#VALUE!</v>
      </c>
      <c r="I33" t="e" vm="12">
        <f>_xlfn.XLOOKUP(AllDataCorrected[[#This Row],[Site Name]],LocationsKey[Site Name],LocationsKey[Town])</f>
        <v>#VALUE!</v>
      </c>
      <c r="J33" t="str">
        <f>_xlfn.XLOOKUP(AllDataCorrected[[#This Row],[Site Name]],LocationsKey[Site Name], LocationsKey[Waterway])</f>
        <v>Avon</v>
      </c>
      <c r="K33" t="s">
        <v>71</v>
      </c>
      <c r="L33">
        <f>_xlfn.XLOOKUP(AllDataCorrected[[#This Row],[Site Name]],Tables!$B$12:$B$100, Tables!C$12:C$100)</f>
        <v>51.289310076923087</v>
      </c>
      <c r="M33">
        <f>_xlfn.XLOOKUP(AllDataCorrected[[#This Row],[Site Name]],Tables!$B$12:$B$100, Tables!D$12:D$100)</f>
        <v>-0.10399761538461544</v>
      </c>
      <c r="N33" t="s">
        <v>31</v>
      </c>
      <c r="O33">
        <v>929</v>
      </c>
      <c r="P33">
        <v>20.2</v>
      </c>
      <c r="Q33">
        <v>10</v>
      </c>
      <c r="R33" t="str">
        <f>IF(AllDataCorrected[[#This Row],[Nitrate (PPM)]]&gt;2, "4. Very high (&gt;2ppm)", IF(AllDataCorrected[[#This Row],[Nitrate (PPM)]]&gt;1, "3. High (1-2ppm)", IF(AllDataCorrected[[#This Row],[Nitrate (PPM)]]&gt;0.5, "2. Some evidence (0.5-1ppm)", IF(AllDataCorrected[[#This Row],[Nitrate (PPM)]]&gt;=0, "1. No evidence (&lt;0.5ppm)"))))</f>
        <v>4. Very high (&gt;2ppm)</v>
      </c>
      <c r="S33">
        <v>0.51</v>
      </c>
      <c r="T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
        <v>0.59</v>
      </c>
      <c r="V33" t="s">
        <v>87</v>
      </c>
    </row>
    <row r="34" spans="1:22" x14ac:dyDescent="0.35">
      <c r="A34" t="s">
        <v>88</v>
      </c>
      <c r="B34" s="2">
        <v>45150</v>
      </c>
      <c r="C34" t="str" cm="1">
        <f t="array" ref="C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4">
        <f>YEAR(AllDataCorrected[[#This Row],[Date]])</f>
        <v>2023</v>
      </c>
      <c r="E34" s="1">
        <v>0.44861111111111113</v>
      </c>
      <c r="F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 t="str">
        <f>_xlfn.XLOOKUP(AllDataCorrected[[#This Row],[Location Name]], Locations[Location Name],Locations[Group As])</f>
        <v>Avonbank Drive</v>
      </c>
      <c r="H34" t="e" vm="1">
        <f>_xlfn.XLOOKUP(AllDataCorrected[[#This Row],[Site Name]],LocationsKey[Site Name],LocationsKey[District])</f>
        <v>#VALUE!</v>
      </c>
      <c r="I34" t="e" vm="12">
        <f>_xlfn.XLOOKUP(AllDataCorrected[[#This Row],[Site Name]],LocationsKey[Site Name],LocationsKey[Town])</f>
        <v>#VALUE!</v>
      </c>
      <c r="J34" t="str">
        <f>_xlfn.XLOOKUP(AllDataCorrected[[#This Row],[Site Name]],LocationsKey[Site Name], LocationsKey[Waterway])</f>
        <v>Avon</v>
      </c>
      <c r="K34" t="s">
        <v>67</v>
      </c>
      <c r="L34">
        <f>_xlfn.XLOOKUP(AllDataCorrected[[#This Row],[Site Name]],Tables!$B$12:$B$100, Tables!C$12:C$100)</f>
        <v>51.566927775862098</v>
      </c>
      <c r="M34">
        <f>_xlfn.XLOOKUP(AllDataCorrected[[#This Row],[Site Name]],Tables!$B$12:$B$100, Tables!D$12:D$100)</f>
        <v>-7.2113336724137929</v>
      </c>
      <c r="N34" t="s">
        <v>68</v>
      </c>
      <c r="O34">
        <v>951</v>
      </c>
      <c r="P34">
        <v>20</v>
      </c>
      <c r="Q34">
        <v>10</v>
      </c>
      <c r="R34" t="str">
        <f>IF(AllDataCorrected[[#This Row],[Nitrate (PPM)]]&gt;2, "4. Very high (&gt;2ppm)", IF(AllDataCorrected[[#This Row],[Nitrate (PPM)]]&gt;1, "3. High (1-2ppm)", IF(AllDataCorrected[[#This Row],[Nitrate (PPM)]]&gt;0.5, "2. Some evidence (0.5-1ppm)", IF(AllDataCorrected[[#This Row],[Nitrate (PPM)]]&gt;=0, "1. No evidence (&lt;0.5ppm)"))))</f>
        <v>4. Very high (&gt;2ppm)</v>
      </c>
      <c r="S34">
        <v>0.54</v>
      </c>
      <c r="T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
        <v>0.59</v>
      </c>
      <c r="V34" t="s">
        <v>89</v>
      </c>
    </row>
    <row r="35" spans="1:22" x14ac:dyDescent="0.35">
      <c r="A35" t="s">
        <v>90</v>
      </c>
      <c r="B35" s="2">
        <v>45150</v>
      </c>
      <c r="C35" t="str" cm="1">
        <f t="array" ref="C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5">
        <f>YEAR(AllDataCorrected[[#This Row],[Date]])</f>
        <v>2023</v>
      </c>
      <c r="E35" s="1">
        <v>0.64583333333333337</v>
      </c>
      <c r="F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 t="str">
        <f>_xlfn.XLOOKUP(AllDataCorrected[[#This Row],[Location Name]], Locations[Location Name],Locations[Group As])</f>
        <v>Carrant Bredon Rd</v>
      </c>
      <c r="H35" t="e" vm="4">
        <f>_xlfn.XLOOKUP(AllDataCorrected[[#This Row],[Site Name]],LocationsKey[Site Name],LocationsKey[District])</f>
        <v>#VALUE!</v>
      </c>
      <c r="I35" t="e" vm="4">
        <f>_xlfn.XLOOKUP(AllDataCorrected[[#This Row],[Site Name]],LocationsKey[Site Name],LocationsKey[Town])</f>
        <v>#VALUE!</v>
      </c>
      <c r="J35" t="str">
        <f>_xlfn.XLOOKUP(AllDataCorrected[[#This Row],[Site Name]],LocationsKey[Site Name], LocationsKey[Waterway])</f>
        <v>Carrant</v>
      </c>
      <c r="K35" t="s">
        <v>91</v>
      </c>
      <c r="L35">
        <f>_xlfn.XLOOKUP(AllDataCorrected[[#This Row],[Site Name]],Tables!$B$12:$B$100, Tables!C$12:C$100)</f>
        <v>51.996322536231894</v>
      </c>
      <c r="M35">
        <f>_xlfn.XLOOKUP(AllDataCorrected[[#This Row],[Site Name]],Tables!$B$12:$B$100, Tables!D$12:D$100)</f>
        <v>-2.1558410144927538</v>
      </c>
      <c r="N35" t="s">
        <v>25</v>
      </c>
      <c r="O35">
        <v>684</v>
      </c>
      <c r="P35">
        <v>19.399999999999999</v>
      </c>
      <c r="Q35">
        <v>7</v>
      </c>
      <c r="R35" t="str">
        <f>IF(AllDataCorrected[[#This Row],[Nitrate (PPM)]]&gt;2, "4. Very high (&gt;2ppm)", IF(AllDataCorrected[[#This Row],[Nitrate (PPM)]]&gt;1, "3. High (1-2ppm)", IF(AllDataCorrected[[#This Row],[Nitrate (PPM)]]&gt;0.5, "2. Some evidence (0.5-1ppm)", IF(AllDataCorrected[[#This Row],[Nitrate (PPM)]]&gt;=0, "1. No evidence (&lt;0.5ppm)"))))</f>
        <v>4. Very high (&gt;2ppm)</v>
      </c>
      <c r="S35">
        <v>0.64</v>
      </c>
      <c r="T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
        <v>0</v>
      </c>
    </row>
    <row r="36" spans="1:22" x14ac:dyDescent="0.35">
      <c r="A36" t="s">
        <v>92</v>
      </c>
      <c r="B36" s="2">
        <v>45150</v>
      </c>
      <c r="C36" t="str" cm="1">
        <f t="array" ref="C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6">
        <f>YEAR(AllDataCorrected[[#This Row],[Date]])</f>
        <v>2023</v>
      </c>
      <c r="E36" s="1">
        <v>0.69791666666666663</v>
      </c>
      <c r="F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 t="str">
        <f>_xlfn.XLOOKUP(AllDataCorrected[[#This Row],[Location Name]], Locations[Location Name],Locations[Group As])</f>
        <v>Swilgate</v>
      </c>
      <c r="H36" t="e" vm="4">
        <f>_xlfn.XLOOKUP(AllDataCorrected[[#This Row],[Site Name]],LocationsKey[Site Name],LocationsKey[District])</f>
        <v>#VALUE!</v>
      </c>
      <c r="I36" t="e" vm="4">
        <f>_xlfn.XLOOKUP(AllDataCorrected[[#This Row],[Site Name]],LocationsKey[Site Name],LocationsKey[Town])</f>
        <v>#VALUE!</v>
      </c>
      <c r="J36" t="str">
        <f>_xlfn.XLOOKUP(AllDataCorrected[[#This Row],[Site Name]],LocationsKey[Site Name], LocationsKey[Waterway])</f>
        <v>Swilgate</v>
      </c>
      <c r="K36" t="s">
        <v>85</v>
      </c>
      <c r="L36">
        <f>_xlfn.XLOOKUP(AllDataCorrected[[#This Row],[Site Name]],Tables!$B$12:$B$100, Tables!C$12:C$100)</f>
        <v>51.988591500000005</v>
      </c>
      <c r="M36">
        <f>_xlfn.XLOOKUP(AllDataCorrected[[#This Row],[Site Name]],Tables!$B$12:$B$100, Tables!D$12:D$100)</f>
        <v>-2.163898333333333</v>
      </c>
      <c r="N36" t="s">
        <v>25</v>
      </c>
      <c r="O36">
        <v>989</v>
      </c>
      <c r="P36">
        <v>19.5</v>
      </c>
      <c r="Q36">
        <v>7</v>
      </c>
      <c r="R36" t="str">
        <f>IF(AllDataCorrected[[#This Row],[Nitrate (PPM)]]&gt;2, "4. Very high (&gt;2ppm)", IF(AllDataCorrected[[#This Row],[Nitrate (PPM)]]&gt;1, "3. High (1-2ppm)", IF(AllDataCorrected[[#This Row],[Nitrate (PPM)]]&gt;0.5, "2. Some evidence (0.5-1ppm)", IF(AllDataCorrected[[#This Row],[Nitrate (PPM)]]&gt;=0, "1. No evidence (&lt;0.5ppm)"))))</f>
        <v>4. Very high (&gt;2ppm)</v>
      </c>
      <c r="S36">
        <v>0.8</v>
      </c>
      <c r="T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
        <v>0</v>
      </c>
    </row>
    <row r="37" spans="1:22" x14ac:dyDescent="0.35">
      <c r="A37" t="s">
        <v>93</v>
      </c>
      <c r="B37" s="2">
        <v>45151</v>
      </c>
      <c r="C37" t="str" cm="1">
        <f t="array" ref="C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7">
        <f>YEAR(AllDataCorrected[[#This Row],[Date]])</f>
        <v>2023</v>
      </c>
      <c r="E37" s="1">
        <v>0.46875</v>
      </c>
      <c r="F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 t="str">
        <f>_xlfn.XLOOKUP(AllDataCorrected[[#This Row],[Location Name]], Locations[Location Name],Locations[Group As])</f>
        <v>Hampton Wood</v>
      </c>
      <c r="H37" t="e" vm="1">
        <f>_xlfn.XLOOKUP(AllDataCorrected[[#This Row],[Site Name]],LocationsKey[Site Name],LocationsKey[District])</f>
        <v>#VALUE!</v>
      </c>
      <c r="I37" t="e" vm="34">
        <f>_xlfn.XLOOKUP(AllDataCorrected[[#This Row],[Site Name]],LocationsKey[Site Name],LocationsKey[Town])</f>
        <v>#VALUE!</v>
      </c>
      <c r="J37" t="str">
        <f>_xlfn.XLOOKUP(AllDataCorrected[[#This Row],[Site Name]],LocationsKey[Site Name], LocationsKey[Waterway])</f>
        <v>Avon</v>
      </c>
      <c r="K37" t="s">
        <v>36</v>
      </c>
      <c r="L37">
        <f>_xlfn.XLOOKUP(AllDataCorrected[[#This Row],[Site Name]],Tables!$B$12:$B$100, Tables!C$12:C$100)</f>
        <v>52.23814999999999</v>
      </c>
      <c r="M37">
        <f>_xlfn.XLOOKUP(AllDataCorrected[[#This Row],[Site Name]],Tables!$B$12:$B$100, Tables!D$12:D$100)</f>
        <v>-1.6245800000000008</v>
      </c>
      <c r="N37" t="s">
        <v>31</v>
      </c>
      <c r="O37">
        <v>888</v>
      </c>
      <c r="P37">
        <v>18.600000000000001</v>
      </c>
      <c r="Q37">
        <v>6</v>
      </c>
      <c r="R37" t="str">
        <f>IF(AllDataCorrected[[#This Row],[Nitrate (PPM)]]&gt;2, "4. Very high (&gt;2ppm)", IF(AllDataCorrected[[#This Row],[Nitrate (PPM)]]&gt;1, "3. High (1-2ppm)", IF(AllDataCorrected[[#This Row],[Nitrate (PPM)]]&gt;0.5, "2. Some evidence (0.5-1ppm)", IF(AllDataCorrected[[#This Row],[Nitrate (PPM)]]&gt;=0, "1. No evidence (&lt;0.5ppm)"))))</f>
        <v>4. Very high (&gt;2ppm)</v>
      </c>
      <c r="S37">
        <v>0.57999999999999996</v>
      </c>
      <c r="T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
        <v>0</v>
      </c>
    </row>
    <row r="38" spans="1:22" x14ac:dyDescent="0.35">
      <c r="A38" t="s">
        <v>94</v>
      </c>
      <c r="B38" s="2">
        <v>45151</v>
      </c>
      <c r="C38" t="str" cm="1">
        <f t="array" ref="C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8">
        <f>YEAR(AllDataCorrected[[#This Row],[Date]])</f>
        <v>2023</v>
      </c>
      <c r="E38" s="1">
        <v>0.52083333333333337</v>
      </c>
      <c r="F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 t="str">
        <f>_xlfn.XLOOKUP(AllDataCorrected[[#This Row],[Location Name]], Locations[Location Name],Locations[Group As])</f>
        <v>Hampton Lucy</v>
      </c>
      <c r="H38" t="e" vm="1">
        <f>_xlfn.XLOOKUP(AllDataCorrected[[#This Row],[Site Name]],LocationsKey[Site Name],LocationsKey[District])</f>
        <v>#VALUE!</v>
      </c>
      <c r="I38" t="e" vm="33">
        <f>_xlfn.XLOOKUP(AllDataCorrected[[#This Row],[Site Name]],LocationsKey[Site Name],LocationsKey[Town])</f>
        <v>#VALUE!</v>
      </c>
      <c r="J38" t="str">
        <f>_xlfn.XLOOKUP(AllDataCorrected[[#This Row],[Site Name]],LocationsKey[Site Name], LocationsKey[Waterway])</f>
        <v>Avon</v>
      </c>
      <c r="K38" t="s">
        <v>39</v>
      </c>
      <c r="L38">
        <f>_xlfn.XLOOKUP(AllDataCorrected[[#This Row],[Site Name]],Tables!$B$12:$B$100, Tables!C$12:C$100)</f>
        <v>52.211679999999973</v>
      </c>
      <c r="M38">
        <f>_xlfn.XLOOKUP(AllDataCorrected[[#This Row],[Site Name]],Tables!$B$12:$B$100, Tables!D$12:D$100)</f>
        <v>-1.6244400000000001</v>
      </c>
      <c r="N38" t="s">
        <v>25</v>
      </c>
      <c r="O38">
        <v>868</v>
      </c>
      <c r="P38">
        <v>20</v>
      </c>
      <c r="Q38">
        <v>6</v>
      </c>
      <c r="R38" t="str">
        <f>IF(AllDataCorrected[[#This Row],[Nitrate (PPM)]]&gt;2, "4. Very high (&gt;2ppm)", IF(AllDataCorrected[[#This Row],[Nitrate (PPM)]]&gt;1, "3. High (1-2ppm)", IF(AllDataCorrected[[#This Row],[Nitrate (PPM)]]&gt;0.5, "2. Some evidence (0.5-1ppm)", IF(AllDataCorrected[[#This Row],[Nitrate (PPM)]]&gt;=0, "1. No evidence (&lt;0.5ppm)"))))</f>
        <v>4. Very high (&gt;2ppm)</v>
      </c>
      <c r="S38">
        <v>0.61</v>
      </c>
      <c r="T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
        <v>0</v>
      </c>
    </row>
    <row r="39" spans="1:22" x14ac:dyDescent="0.35">
      <c r="A39" t="s">
        <v>95</v>
      </c>
      <c r="B39" s="2">
        <v>45151</v>
      </c>
      <c r="C39" t="str" cm="1">
        <f t="array" ref="C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39">
        <f>YEAR(AllDataCorrected[[#This Row],[Date]])</f>
        <v>2023</v>
      </c>
      <c r="E39" s="1">
        <v>0.63194444444444442</v>
      </c>
      <c r="F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 t="str">
        <f>_xlfn.XLOOKUP(AllDataCorrected[[#This Row],[Location Name]], Locations[Location Name],Locations[Group As])</f>
        <v>Abbey Mill</v>
      </c>
      <c r="H39" t="e" vm="4">
        <f>_xlfn.XLOOKUP(AllDataCorrected[[#This Row],[Site Name]],LocationsKey[Site Name],LocationsKey[District])</f>
        <v>#VALUE!</v>
      </c>
      <c r="I39" t="e" vm="4">
        <f>_xlfn.XLOOKUP(AllDataCorrected[[#This Row],[Site Name]],LocationsKey[Site Name],LocationsKey[Town])</f>
        <v>#VALUE!</v>
      </c>
      <c r="J39" t="str">
        <f>_xlfn.XLOOKUP(AllDataCorrected[[#This Row],[Site Name]],LocationsKey[Site Name], LocationsKey[Waterway])</f>
        <v>Avon</v>
      </c>
      <c r="K39" t="s">
        <v>27</v>
      </c>
      <c r="L39">
        <f>_xlfn.XLOOKUP(AllDataCorrected[[#This Row],[Site Name]],Tables!$B$12:$B$100, Tables!C$12:C$100)</f>
        <v>51.991313075757589</v>
      </c>
      <c r="M39">
        <f>_xlfn.XLOOKUP(AllDataCorrected[[#This Row],[Site Name]],Tables!$B$12:$B$100, Tables!D$12:D$100)</f>
        <v>-2.1621998181818181</v>
      </c>
      <c r="N39" t="s">
        <v>25</v>
      </c>
      <c r="O39">
        <v>896</v>
      </c>
      <c r="P39">
        <v>19.7</v>
      </c>
      <c r="Q39">
        <v>8</v>
      </c>
      <c r="R39" t="str">
        <f>IF(AllDataCorrected[[#This Row],[Nitrate (PPM)]]&gt;2, "4. Very high (&gt;2ppm)", IF(AllDataCorrected[[#This Row],[Nitrate (PPM)]]&gt;1, "3. High (1-2ppm)", IF(AllDataCorrected[[#This Row],[Nitrate (PPM)]]&gt;0.5, "2. Some evidence (0.5-1ppm)", IF(AllDataCorrected[[#This Row],[Nitrate (PPM)]]&gt;=0, "1. No evidence (&lt;0.5ppm)"))))</f>
        <v>4. Very high (&gt;2ppm)</v>
      </c>
      <c r="S39">
        <v>0.91</v>
      </c>
      <c r="T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
        <v>0</v>
      </c>
    </row>
    <row r="40" spans="1:22" x14ac:dyDescent="0.35">
      <c r="A40" t="s">
        <v>96</v>
      </c>
      <c r="B40" s="2">
        <v>45151</v>
      </c>
      <c r="C40" t="str" cm="1">
        <f t="array" ref="C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0">
        <f>YEAR(AllDataCorrected[[#This Row],[Date]])</f>
        <v>2023</v>
      </c>
      <c r="E40" s="1">
        <v>0.79166666666666663</v>
      </c>
      <c r="F4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0" t="str">
        <f>_xlfn.XLOOKUP(AllDataCorrected[[#This Row],[Location Name]], Locations[Location Name],Locations[Group As])</f>
        <v>Welford Boat Station</v>
      </c>
      <c r="H40" t="e" vm="1">
        <f>_xlfn.XLOOKUP(AllDataCorrected[[#This Row],[Site Name]],LocationsKey[Site Name],LocationsKey[District])</f>
        <v>#VALUE!</v>
      </c>
      <c r="I40" t="e" vm="36">
        <f>_xlfn.XLOOKUP(AllDataCorrected[[#This Row],[Site Name]],LocationsKey[Site Name],LocationsKey[Town])</f>
        <v>#VALUE!</v>
      </c>
      <c r="J40" t="str">
        <f>_xlfn.XLOOKUP(AllDataCorrected[[#This Row],[Site Name]],LocationsKey[Site Name], LocationsKey[Waterway])</f>
        <v>Avon</v>
      </c>
      <c r="K40" t="s">
        <v>41</v>
      </c>
      <c r="L40">
        <f>_xlfn.XLOOKUP(AllDataCorrected[[#This Row],[Site Name]],Tables!$B$12:$B$100, Tables!C$12:C$100)</f>
        <v>52.175174684210546</v>
      </c>
      <c r="M40">
        <f>_xlfn.XLOOKUP(AllDataCorrected[[#This Row],[Site Name]],Tables!$B$12:$B$100, Tables!D$12:D$100)</f>
        <v>-1.7918551052631577</v>
      </c>
      <c r="N40" t="s">
        <v>31</v>
      </c>
      <c r="O40">
        <v>952</v>
      </c>
      <c r="P40">
        <v>19.3</v>
      </c>
      <c r="Q40">
        <v>9</v>
      </c>
      <c r="R40" t="str">
        <f>IF(AllDataCorrected[[#This Row],[Nitrate (PPM)]]&gt;2, "4. Very high (&gt;2ppm)", IF(AllDataCorrected[[#This Row],[Nitrate (PPM)]]&gt;1, "3. High (1-2ppm)", IF(AllDataCorrected[[#This Row],[Nitrate (PPM)]]&gt;0.5, "2. Some evidence (0.5-1ppm)", IF(AllDataCorrected[[#This Row],[Nitrate (PPM)]]&gt;=0, "1. No evidence (&lt;0.5ppm)"))))</f>
        <v>4. Very high (&gt;2ppm)</v>
      </c>
      <c r="S40">
        <v>0.61</v>
      </c>
      <c r="T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
        <v>0</v>
      </c>
      <c r="V40" t="s">
        <v>97</v>
      </c>
    </row>
    <row r="41" spans="1:22" x14ac:dyDescent="0.35">
      <c r="A41" t="s">
        <v>98</v>
      </c>
      <c r="B41" s="2">
        <v>45152</v>
      </c>
      <c r="C41" t="str" cm="1">
        <f t="array" ref="C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1">
        <f>YEAR(AllDataCorrected[[#This Row],[Date]])</f>
        <v>2023</v>
      </c>
      <c r="E41" s="1">
        <v>0.5</v>
      </c>
      <c r="F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 t="str">
        <f>_xlfn.XLOOKUP(AllDataCorrected[[#This Row],[Location Name]], Locations[Location Name],Locations[Group As])</f>
        <v>Barton</v>
      </c>
      <c r="H41" t="e" vm="1">
        <f>_xlfn.XLOOKUP(AllDataCorrected[[#This Row],[Site Name]],LocationsKey[Site Name],LocationsKey[District])</f>
        <v>#VALUE!</v>
      </c>
      <c r="I41" t="str">
        <f>_xlfn.XLOOKUP(AllDataCorrected[[#This Row],[Site Name]],LocationsKey[Site Name],LocationsKey[Town])</f>
        <v>Barton</v>
      </c>
      <c r="J41" t="str">
        <f>_xlfn.XLOOKUP(AllDataCorrected[[#This Row],[Site Name]],LocationsKey[Site Name], LocationsKey[Waterway])</f>
        <v>Avon</v>
      </c>
      <c r="K41" t="s">
        <v>51</v>
      </c>
      <c r="L41">
        <f>_xlfn.XLOOKUP(AllDataCorrected[[#This Row],[Site Name]],Tables!$B$12:$B$100, Tables!C$12:C$100)</f>
        <v>52.16120999999999</v>
      </c>
      <c r="M41">
        <f>_xlfn.XLOOKUP(AllDataCorrected[[#This Row],[Site Name]],Tables!$B$12:$B$100, Tables!D$12:D$100)</f>
        <v>-1.8301499999999999</v>
      </c>
      <c r="N41" t="s">
        <v>31</v>
      </c>
      <c r="O41">
        <v>932</v>
      </c>
      <c r="P41">
        <v>18.399999999999999</v>
      </c>
      <c r="Q41">
        <v>6</v>
      </c>
      <c r="R41" t="str">
        <f>IF(AllDataCorrected[[#This Row],[Nitrate (PPM)]]&gt;2, "4. Very high (&gt;2ppm)", IF(AllDataCorrected[[#This Row],[Nitrate (PPM)]]&gt;1, "3. High (1-2ppm)", IF(AllDataCorrected[[#This Row],[Nitrate (PPM)]]&gt;0.5, "2. Some evidence (0.5-1ppm)", IF(AllDataCorrected[[#This Row],[Nitrate (PPM)]]&gt;=0, "1. No evidence (&lt;0.5ppm)"))))</f>
        <v>4. Very high (&gt;2ppm)</v>
      </c>
      <c r="S41">
        <v>0.73</v>
      </c>
      <c r="T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
        <v>0</v>
      </c>
    </row>
    <row r="42" spans="1:22" x14ac:dyDescent="0.35">
      <c r="A42" t="s">
        <v>99</v>
      </c>
      <c r="B42" s="2">
        <v>45152</v>
      </c>
      <c r="C42" t="str" cm="1">
        <f t="array" ref="C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2">
        <f>YEAR(AllDataCorrected[[#This Row],[Date]])</f>
        <v>2023</v>
      </c>
      <c r="E42" s="1">
        <v>0.63194444444444442</v>
      </c>
      <c r="F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 t="str">
        <f>_xlfn.XLOOKUP(AllDataCorrected[[#This Row],[Location Name]], Locations[Location Name],Locations[Group As])</f>
        <v>Weston-on-Avon</v>
      </c>
      <c r="H42" t="e" vm="1">
        <f>_xlfn.XLOOKUP(AllDataCorrected[[#This Row],[Site Name]],LocationsKey[Site Name],LocationsKey[District])</f>
        <v>#VALUE!</v>
      </c>
      <c r="I42" t="e" vm="35">
        <f>_xlfn.XLOOKUP(AllDataCorrected[[#This Row],[Site Name]],LocationsKey[Site Name],LocationsKey[Town])</f>
        <v>#VALUE!</v>
      </c>
      <c r="J42" t="str">
        <f>_xlfn.XLOOKUP(AllDataCorrected[[#This Row],[Site Name]],LocationsKey[Site Name], LocationsKey[Waterway])</f>
        <v>Avon</v>
      </c>
      <c r="K42" t="s">
        <v>43</v>
      </c>
      <c r="L42">
        <f>_xlfn.XLOOKUP(AllDataCorrected[[#This Row],[Site Name]],Tables!$B$12:$B$100, Tables!C$12:C$100)</f>
        <v>52.167429999999996</v>
      </c>
      <c r="M42">
        <f>_xlfn.XLOOKUP(AllDataCorrected[[#This Row],[Site Name]],Tables!$B$12:$B$100, Tables!D$12:D$100)</f>
        <v>-1.7744752941176474</v>
      </c>
      <c r="N42" t="s">
        <v>31</v>
      </c>
      <c r="O42">
        <v>948</v>
      </c>
      <c r="P42">
        <v>20</v>
      </c>
      <c r="Q42">
        <v>5</v>
      </c>
      <c r="R42" t="str">
        <f>IF(AllDataCorrected[[#This Row],[Nitrate (PPM)]]&gt;2, "4. Very high (&gt;2ppm)", IF(AllDataCorrected[[#This Row],[Nitrate (PPM)]]&gt;1, "3. High (1-2ppm)", IF(AllDataCorrected[[#This Row],[Nitrate (PPM)]]&gt;0.5, "2. Some evidence (0.5-1ppm)", IF(AllDataCorrected[[#This Row],[Nitrate (PPM)]]&gt;=0, "1. No evidence (&lt;0.5ppm)"))))</f>
        <v>4. Very high (&gt;2ppm)</v>
      </c>
      <c r="S42">
        <v>0.84</v>
      </c>
      <c r="T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
        <v>0</v>
      </c>
    </row>
    <row r="43" spans="1:22" x14ac:dyDescent="0.35">
      <c r="A43" t="s">
        <v>100</v>
      </c>
      <c r="B43" s="2">
        <v>45154</v>
      </c>
      <c r="C43" t="str" cm="1">
        <f t="array" ref="C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3">
        <f>YEAR(AllDataCorrected[[#This Row],[Date]])</f>
        <v>2023</v>
      </c>
      <c r="E43" s="1">
        <v>0.81388888888888888</v>
      </c>
      <c r="F4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3" t="str">
        <f>_xlfn.XLOOKUP(AllDataCorrected[[#This Row],[Location Name]], Locations[Location Name],Locations[Group As])</f>
        <v>Abbey Mill</v>
      </c>
      <c r="H43" t="e" vm="4">
        <f>_xlfn.XLOOKUP(AllDataCorrected[[#This Row],[Site Name]],LocationsKey[Site Name],LocationsKey[District])</f>
        <v>#VALUE!</v>
      </c>
      <c r="I43" t="e" vm="4">
        <f>_xlfn.XLOOKUP(AllDataCorrected[[#This Row],[Site Name]],LocationsKey[Site Name],LocationsKey[Town])</f>
        <v>#VALUE!</v>
      </c>
      <c r="J43" t="str">
        <f>_xlfn.XLOOKUP(AllDataCorrected[[#This Row],[Site Name]],LocationsKey[Site Name], LocationsKey[Waterway])</f>
        <v>Avon</v>
      </c>
      <c r="K43" t="s">
        <v>27</v>
      </c>
      <c r="L43">
        <f>_xlfn.XLOOKUP(AllDataCorrected[[#This Row],[Site Name]],Tables!$B$12:$B$100, Tables!C$12:C$100)</f>
        <v>51.991313075757589</v>
      </c>
      <c r="M43">
        <f>_xlfn.XLOOKUP(AllDataCorrected[[#This Row],[Site Name]],Tables!$B$12:$B$100, Tables!D$12:D$100)</f>
        <v>-2.1621998181818181</v>
      </c>
      <c r="N43" t="s">
        <v>25</v>
      </c>
      <c r="O43">
        <v>931</v>
      </c>
      <c r="P43">
        <v>21.2</v>
      </c>
      <c r="Q43">
        <v>7</v>
      </c>
      <c r="R43" t="str">
        <f>IF(AllDataCorrected[[#This Row],[Nitrate (PPM)]]&gt;2, "4. Very high (&gt;2ppm)", IF(AllDataCorrected[[#This Row],[Nitrate (PPM)]]&gt;1, "3. High (1-2ppm)", IF(AllDataCorrected[[#This Row],[Nitrate (PPM)]]&gt;0.5, "2. Some evidence (0.5-1ppm)", IF(AllDataCorrected[[#This Row],[Nitrate (PPM)]]&gt;=0, "1. No evidence (&lt;0.5ppm)"))))</f>
        <v>4. Very high (&gt;2ppm)</v>
      </c>
      <c r="S43">
        <v>1.05</v>
      </c>
      <c r="T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
        <v>0</v>
      </c>
    </row>
    <row r="44" spans="1:22" x14ac:dyDescent="0.35">
      <c r="A44" t="s">
        <v>101</v>
      </c>
      <c r="B44" s="2">
        <v>45155</v>
      </c>
      <c r="C44" t="str" cm="1">
        <f t="array" ref="C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4">
        <f>YEAR(AllDataCorrected[[#This Row],[Date]])</f>
        <v>2023</v>
      </c>
      <c r="E44" s="1">
        <v>0.44097222222222221</v>
      </c>
      <c r="F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 t="str">
        <f>_xlfn.XLOOKUP(AllDataCorrected[[#This Row],[Location Name]], Locations[Location Name],Locations[Group As])</f>
        <v>Swilgate</v>
      </c>
      <c r="H44" t="e" vm="4">
        <f>_xlfn.XLOOKUP(AllDataCorrected[[#This Row],[Site Name]],LocationsKey[Site Name],LocationsKey[District])</f>
        <v>#VALUE!</v>
      </c>
      <c r="I44" t="e" vm="4">
        <f>_xlfn.XLOOKUP(AllDataCorrected[[#This Row],[Site Name]],LocationsKey[Site Name],LocationsKey[Town])</f>
        <v>#VALUE!</v>
      </c>
      <c r="J44" t="str">
        <f>_xlfn.XLOOKUP(AllDataCorrected[[#This Row],[Site Name]],LocationsKey[Site Name], LocationsKey[Waterway])</f>
        <v>Swilgate</v>
      </c>
      <c r="K44" t="s">
        <v>85</v>
      </c>
      <c r="L44">
        <f>_xlfn.XLOOKUP(AllDataCorrected[[#This Row],[Site Name]],Tables!$B$12:$B$100, Tables!C$12:C$100)</f>
        <v>51.988591500000005</v>
      </c>
      <c r="M44">
        <f>_xlfn.XLOOKUP(AllDataCorrected[[#This Row],[Site Name]],Tables!$B$12:$B$100, Tables!D$12:D$100)</f>
        <v>-2.163898333333333</v>
      </c>
      <c r="N44" t="s">
        <v>25</v>
      </c>
      <c r="O44">
        <v>890</v>
      </c>
      <c r="P44">
        <v>18.3</v>
      </c>
      <c r="Q44">
        <v>7</v>
      </c>
      <c r="R44" t="str">
        <f>IF(AllDataCorrected[[#This Row],[Nitrate (PPM)]]&gt;2, "4. Very high (&gt;2ppm)", IF(AllDataCorrected[[#This Row],[Nitrate (PPM)]]&gt;1, "3. High (1-2ppm)", IF(AllDataCorrected[[#This Row],[Nitrate (PPM)]]&gt;0.5, "2. Some evidence (0.5-1ppm)", IF(AllDataCorrected[[#This Row],[Nitrate (PPM)]]&gt;=0, "1. No evidence (&lt;0.5ppm)"))))</f>
        <v>4. Very high (&gt;2ppm)</v>
      </c>
      <c r="S44">
        <v>0.65</v>
      </c>
      <c r="T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
        <v>0</v>
      </c>
    </row>
    <row r="45" spans="1:22" x14ac:dyDescent="0.35">
      <c r="A45" t="s">
        <v>102</v>
      </c>
      <c r="B45" s="2">
        <v>45157</v>
      </c>
      <c r="C45" t="str" cm="1">
        <f t="array" ref="C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5">
        <f>YEAR(AllDataCorrected[[#This Row],[Date]])</f>
        <v>2023</v>
      </c>
      <c r="E45" s="1">
        <v>0.60416666666666663</v>
      </c>
      <c r="F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 t="str">
        <f>_xlfn.XLOOKUP(AllDataCorrected[[#This Row],[Location Name]], Locations[Location Name],Locations[Group As])</f>
        <v>Carrant Bredon Rd</v>
      </c>
      <c r="H45" t="e" vm="4">
        <f>_xlfn.XLOOKUP(AllDataCorrected[[#This Row],[Site Name]],LocationsKey[Site Name],LocationsKey[District])</f>
        <v>#VALUE!</v>
      </c>
      <c r="I45" t="e" vm="4">
        <f>_xlfn.XLOOKUP(AllDataCorrected[[#This Row],[Site Name]],LocationsKey[Site Name],LocationsKey[Town])</f>
        <v>#VALUE!</v>
      </c>
      <c r="J45" t="str">
        <f>_xlfn.XLOOKUP(AllDataCorrected[[#This Row],[Site Name]],LocationsKey[Site Name], LocationsKey[Waterway])</f>
        <v>Carrant</v>
      </c>
      <c r="K45" t="s">
        <v>91</v>
      </c>
      <c r="L45">
        <f>_xlfn.XLOOKUP(AllDataCorrected[[#This Row],[Site Name]],Tables!$B$12:$B$100, Tables!C$12:C$100)</f>
        <v>51.996322536231894</v>
      </c>
      <c r="M45">
        <f>_xlfn.XLOOKUP(AllDataCorrected[[#This Row],[Site Name]],Tables!$B$12:$B$100, Tables!D$12:D$100)</f>
        <v>-2.1558410144927538</v>
      </c>
      <c r="N45" t="s">
        <v>25</v>
      </c>
      <c r="O45">
        <v>632</v>
      </c>
      <c r="P45">
        <v>19.399999999999999</v>
      </c>
      <c r="Q45">
        <v>5</v>
      </c>
      <c r="R45" t="str">
        <f>IF(AllDataCorrected[[#This Row],[Nitrate (PPM)]]&gt;2, "4. Very high (&gt;2ppm)", IF(AllDataCorrected[[#This Row],[Nitrate (PPM)]]&gt;1, "3. High (1-2ppm)", IF(AllDataCorrected[[#This Row],[Nitrate (PPM)]]&gt;0.5, "2. Some evidence (0.5-1ppm)", IF(AllDataCorrected[[#This Row],[Nitrate (PPM)]]&gt;=0, "1. No evidence (&lt;0.5ppm)"))))</f>
        <v>4. Very high (&gt;2ppm)</v>
      </c>
      <c r="S45">
        <v>0.64</v>
      </c>
      <c r="T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
        <v>0</v>
      </c>
    </row>
    <row r="46" spans="1:22" x14ac:dyDescent="0.35">
      <c r="A46" t="s">
        <v>103</v>
      </c>
      <c r="B46" s="2">
        <v>45157</v>
      </c>
      <c r="C46" t="str" cm="1">
        <f t="array" ref="C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6">
        <f>YEAR(AllDataCorrected[[#This Row],[Date]])</f>
        <v>2023</v>
      </c>
      <c r="E46" s="1">
        <v>0.74861111111111112</v>
      </c>
      <c r="F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 t="str">
        <f>_xlfn.XLOOKUP(AllDataCorrected[[#This Row],[Location Name]], Locations[Location Name],Locations[Group As])</f>
        <v>Avonbank Drive</v>
      </c>
      <c r="H46" t="e" vm="1">
        <f>_xlfn.XLOOKUP(AllDataCorrected[[#This Row],[Site Name]],LocationsKey[Site Name],LocationsKey[District])</f>
        <v>#VALUE!</v>
      </c>
      <c r="I46" t="e" vm="12">
        <f>_xlfn.XLOOKUP(AllDataCorrected[[#This Row],[Site Name]],LocationsKey[Site Name],LocationsKey[Town])</f>
        <v>#VALUE!</v>
      </c>
      <c r="J46" t="str">
        <f>_xlfn.XLOOKUP(AllDataCorrected[[#This Row],[Site Name]],LocationsKey[Site Name], LocationsKey[Waterway])</f>
        <v>Avon</v>
      </c>
      <c r="K46" t="s">
        <v>104</v>
      </c>
      <c r="L46">
        <f>_xlfn.XLOOKUP(AllDataCorrected[[#This Row],[Site Name]],Tables!$B$12:$B$100, Tables!C$12:C$100)</f>
        <v>51.566927775862098</v>
      </c>
      <c r="M46">
        <f>_xlfn.XLOOKUP(AllDataCorrected[[#This Row],[Site Name]],Tables!$B$12:$B$100, Tables!D$12:D$100)</f>
        <v>-7.2113336724137929</v>
      </c>
      <c r="N46" t="s">
        <v>68</v>
      </c>
      <c r="O46">
        <v>919</v>
      </c>
      <c r="P46">
        <v>20.7</v>
      </c>
      <c r="Q46">
        <v>10</v>
      </c>
      <c r="R46" t="str">
        <f>IF(AllDataCorrected[[#This Row],[Nitrate (PPM)]]&gt;2, "4. Very high (&gt;2ppm)", IF(AllDataCorrected[[#This Row],[Nitrate (PPM)]]&gt;1, "3. High (1-2ppm)", IF(AllDataCorrected[[#This Row],[Nitrate (PPM)]]&gt;0.5, "2. Some evidence (0.5-1ppm)", IF(AllDataCorrected[[#This Row],[Nitrate (PPM)]]&gt;=0, "1. No evidence (&lt;0.5ppm)"))))</f>
        <v>4. Very high (&gt;2ppm)</v>
      </c>
      <c r="S46">
        <v>0.49</v>
      </c>
      <c r="T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
        <v>0.57999999999999996</v>
      </c>
    </row>
    <row r="47" spans="1:22" x14ac:dyDescent="0.35">
      <c r="A47" t="s">
        <v>105</v>
      </c>
      <c r="B47" s="2">
        <v>45157</v>
      </c>
      <c r="C47" t="str" cm="1">
        <f t="array" ref="C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7">
        <f>YEAR(AllDataCorrected[[#This Row],[Date]])</f>
        <v>2023</v>
      </c>
      <c r="E47" s="1">
        <v>0.75</v>
      </c>
      <c r="F4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7" t="str">
        <f>_xlfn.XLOOKUP(AllDataCorrected[[#This Row],[Location Name]], Locations[Location Name],Locations[Group As])</f>
        <v>Pitch 16</v>
      </c>
      <c r="H47" t="e" vm="1">
        <f>_xlfn.XLOOKUP(AllDataCorrected[[#This Row],[Site Name]],LocationsKey[Site Name],LocationsKey[District])</f>
        <v>#VALUE!</v>
      </c>
      <c r="I47" t="e" vm="12">
        <f>_xlfn.XLOOKUP(AllDataCorrected[[#This Row],[Site Name]],LocationsKey[Site Name],LocationsKey[Town])</f>
        <v>#VALUE!</v>
      </c>
      <c r="J47" t="str">
        <f>_xlfn.XLOOKUP(AllDataCorrected[[#This Row],[Site Name]],LocationsKey[Site Name], LocationsKey[Waterway])</f>
        <v>Avon</v>
      </c>
      <c r="K47" t="s">
        <v>71</v>
      </c>
      <c r="L47">
        <f>_xlfn.XLOOKUP(AllDataCorrected[[#This Row],[Site Name]],Tables!$B$12:$B$100, Tables!C$12:C$100)</f>
        <v>51.289310076923087</v>
      </c>
      <c r="M47">
        <f>_xlfn.XLOOKUP(AllDataCorrected[[#This Row],[Site Name]],Tables!$B$12:$B$100, Tables!D$12:D$100)</f>
        <v>-0.10399761538461544</v>
      </c>
      <c r="N47" t="s">
        <v>31</v>
      </c>
      <c r="O47">
        <v>952</v>
      </c>
      <c r="P47">
        <v>19.7</v>
      </c>
      <c r="Q47">
        <v>10</v>
      </c>
      <c r="R47" t="str">
        <f>IF(AllDataCorrected[[#This Row],[Nitrate (PPM)]]&gt;2, "4. Very high (&gt;2ppm)", IF(AllDataCorrected[[#This Row],[Nitrate (PPM)]]&gt;1, "3. High (1-2ppm)", IF(AllDataCorrected[[#This Row],[Nitrate (PPM)]]&gt;0.5, "2. Some evidence (0.5-1ppm)", IF(AllDataCorrected[[#This Row],[Nitrate (PPM)]]&gt;=0, "1. No evidence (&lt;0.5ppm)"))))</f>
        <v>4. Very high (&gt;2ppm)</v>
      </c>
      <c r="S47">
        <v>0.55000000000000004</v>
      </c>
      <c r="T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
        <v>0.57999999999999996</v>
      </c>
    </row>
    <row r="48" spans="1:22" x14ac:dyDescent="0.35">
      <c r="A48" t="s">
        <v>106</v>
      </c>
      <c r="B48" s="2">
        <v>45158</v>
      </c>
      <c r="C48" t="str" cm="1">
        <f t="array" ref="C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8">
        <f>YEAR(AllDataCorrected[[#This Row],[Date]])</f>
        <v>2023</v>
      </c>
      <c r="E48" s="1">
        <v>0.47916666666666669</v>
      </c>
      <c r="F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 t="str">
        <f>_xlfn.XLOOKUP(AllDataCorrected[[#This Row],[Location Name]], Locations[Location Name],Locations[Group As])</f>
        <v>Hampton Wood</v>
      </c>
      <c r="H48" t="e" vm="1">
        <f>_xlfn.XLOOKUP(AllDataCorrected[[#This Row],[Site Name]],LocationsKey[Site Name],LocationsKey[District])</f>
        <v>#VALUE!</v>
      </c>
      <c r="I48" t="e" vm="34">
        <f>_xlfn.XLOOKUP(AllDataCorrected[[#This Row],[Site Name]],LocationsKey[Site Name],LocationsKey[Town])</f>
        <v>#VALUE!</v>
      </c>
      <c r="J48" t="str">
        <f>_xlfn.XLOOKUP(AllDataCorrected[[#This Row],[Site Name]],LocationsKey[Site Name], LocationsKey[Waterway])</f>
        <v>Avon</v>
      </c>
      <c r="K48" t="s">
        <v>36</v>
      </c>
      <c r="L48">
        <f>_xlfn.XLOOKUP(AllDataCorrected[[#This Row],[Site Name]],Tables!$B$12:$B$100, Tables!C$12:C$100)</f>
        <v>52.23814999999999</v>
      </c>
      <c r="M48">
        <f>_xlfn.XLOOKUP(AllDataCorrected[[#This Row],[Site Name]],Tables!$B$12:$B$100, Tables!D$12:D$100)</f>
        <v>-1.6245800000000008</v>
      </c>
      <c r="N48" t="s">
        <v>31</v>
      </c>
      <c r="O48">
        <v>930</v>
      </c>
      <c r="P48">
        <v>21.4</v>
      </c>
      <c r="Q48">
        <v>9</v>
      </c>
      <c r="R48" t="str">
        <f>IF(AllDataCorrected[[#This Row],[Nitrate (PPM)]]&gt;2, "4. Very high (&gt;2ppm)", IF(AllDataCorrected[[#This Row],[Nitrate (PPM)]]&gt;1, "3. High (1-2ppm)", IF(AllDataCorrected[[#This Row],[Nitrate (PPM)]]&gt;0.5, "2. Some evidence (0.5-1ppm)", IF(AllDataCorrected[[#This Row],[Nitrate (PPM)]]&gt;=0, "1. No evidence (&lt;0.5ppm)"))))</f>
        <v>4. Very high (&gt;2ppm)</v>
      </c>
      <c r="S48">
        <v>0.49</v>
      </c>
      <c r="T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
        <v>0</v>
      </c>
    </row>
    <row r="49" spans="1:22" x14ac:dyDescent="0.35">
      <c r="A49" t="s">
        <v>107</v>
      </c>
      <c r="B49" s="2">
        <v>45158</v>
      </c>
      <c r="C49" t="str" cm="1">
        <f t="array" ref="C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49">
        <f>YEAR(AllDataCorrected[[#This Row],[Date]])</f>
        <v>2023</v>
      </c>
      <c r="E49" s="1">
        <v>0.54166666666666663</v>
      </c>
      <c r="F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 t="str">
        <f>_xlfn.XLOOKUP(AllDataCorrected[[#This Row],[Location Name]], Locations[Location Name],Locations[Group As])</f>
        <v>Hampton Lucy</v>
      </c>
      <c r="H49" t="e" vm="1">
        <f>_xlfn.XLOOKUP(AllDataCorrected[[#This Row],[Site Name]],LocationsKey[Site Name],LocationsKey[District])</f>
        <v>#VALUE!</v>
      </c>
      <c r="I49" t="e" vm="33">
        <f>_xlfn.XLOOKUP(AllDataCorrected[[#This Row],[Site Name]],LocationsKey[Site Name],LocationsKey[Town])</f>
        <v>#VALUE!</v>
      </c>
      <c r="J49" t="str">
        <f>_xlfn.XLOOKUP(AllDataCorrected[[#This Row],[Site Name]],LocationsKey[Site Name], LocationsKey[Waterway])</f>
        <v>Avon</v>
      </c>
      <c r="K49" t="s">
        <v>39</v>
      </c>
      <c r="L49">
        <f>_xlfn.XLOOKUP(AllDataCorrected[[#This Row],[Site Name]],Tables!$B$12:$B$100, Tables!C$12:C$100)</f>
        <v>52.211679999999973</v>
      </c>
      <c r="M49">
        <f>_xlfn.XLOOKUP(AllDataCorrected[[#This Row],[Site Name]],Tables!$B$12:$B$100, Tables!D$12:D$100)</f>
        <v>-1.6244400000000001</v>
      </c>
      <c r="N49" t="s">
        <v>25</v>
      </c>
      <c r="O49">
        <v>892</v>
      </c>
      <c r="P49">
        <v>22.1</v>
      </c>
      <c r="Q49">
        <v>10</v>
      </c>
      <c r="R49" t="str">
        <f>IF(AllDataCorrected[[#This Row],[Nitrate (PPM)]]&gt;2, "4. Very high (&gt;2ppm)", IF(AllDataCorrected[[#This Row],[Nitrate (PPM)]]&gt;1, "3. High (1-2ppm)", IF(AllDataCorrected[[#This Row],[Nitrate (PPM)]]&gt;0.5, "2. Some evidence (0.5-1ppm)", IF(AllDataCorrected[[#This Row],[Nitrate (PPM)]]&gt;=0, "1. No evidence (&lt;0.5ppm)"))))</f>
        <v>4. Very high (&gt;2ppm)</v>
      </c>
      <c r="S49">
        <v>0.56999999999999995</v>
      </c>
      <c r="T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
        <v>0</v>
      </c>
    </row>
    <row r="50" spans="1:22" x14ac:dyDescent="0.35">
      <c r="A50" t="s">
        <v>108</v>
      </c>
      <c r="B50" s="2">
        <v>45158</v>
      </c>
      <c r="C50" t="str" cm="1">
        <f t="array" ref="C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0">
        <f>YEAR(AllDataCorrected[[#This Row],[Date]])</f>
        <v>2023</v>
      </c>
      <c r="E50" s="1">
        <v>0.70833333333333337</v>
      </c>
      <c r="F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 t="str">
        <f>_xlfn.XLOOKUP(AllDataCorrected[[#This Row],[Location Name]], Locations[Location Name],Locations[Group As])</f>
        <v>Welford Boat Station</v>
      </c>
      <c r="H50" t="e" vm="1">
        <f>_xlfn.XLOOKUP(AllDataCorrected[[#This Row],[Site Name]],LocationsKey[Site Name],LocationsKey[District])</f>
        <v>#VALUE!</v>
      </c>
      <c r="I50" t="e" vm="36">
        <f>_xlfn.XLOOKUP(AllDataCorrected[[#This Row],[Site Name]],LocationsKey[Site Name],LocationsKey[Town])</f>
        <v>#VALUE!</v>
      </c>
      <c r="J50" t="str">
        <f>_xlfn.XLOOKUP(AllDataCorrected[[#This Row],[Site Name]],LocationsKey[Site Name], LocationsKey[Waterway])</f>
        <v>Avon</v>
      </c>
      <c r="K50" t="s">
        <v>41</v>
      </c>
      <c r="L50">
        <f>_xlfn.XLOOKUP(AllDataCorrected[[#This Row],[Site Name]],Tables!$B$12:$B$100, Tables!C$12:C$100)</f>
        <v>52.175174684210546</v>
      </c>
      <c r="M50">
        <f>_xlfn.XLOOKUP(AllDataCorrected[[#This Row],[Site Name]],Tables!$B$12:$B$100, Tables!D$12:D$100)</f>
        <v>-1.7918551052631577</v>
      </c>
      <c r="N50" t="s">
        <v>31</v>
      </c>
      <c r="O50">
        <v>896</v>
      </c>
      <c r="P50">
        <v>21.3</v>
      </c>
      <c r="Q50">
        <v>4</v>
      </c>
      <c r="R50" t="str">
        <f>IF(AllDataCorrected[[#This Row],[Nitrate (PPM)]]&gt;2, "4. Very high (&gt;2ppm)", IF(AllDataCorrected[[#This Row],[Nitrate (PPM)]]&gt;1, "3. High (1-2ppm)", IF(AllDataCorrected[[#This Row],[Nitrate (PPM)]]&gt;0.5, "2. Some evidence (0.5-1ppm)", IF(AllDataCorrected[[#This Row],[Nitrate (PPM)]]&gt;=0, "1. No evidence (&lt;0.5ppm)"))))</f>
        <v>4. Very high (&gt;2ppm)</v>
      </c>
      <c r="S50">
        <v>0.51</v>
      </c>
      <c r="T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
        <v>0</v>
      </c>
      <c r="V50" t="s">
        <v>97</v>
      </c>
    </row>
    <row r="51" spans="1:22" x14ac:dyDescent="0.35">
      <c r="A51" t="s">
        <v>109</v>
      </c>
      <c r="B51" s="2">
        <v>45159</v>
      </c>
      <c r="C51" t="str" cm="1">
        <f t="array" ref="C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1">
        <f>YEAR(AllDataCorrected[[#This Row],[Date]])</f>
        <v>2023</v>
      </c>
      <c r="E51" s="1">
        <v>0.67708333333333337</v>
      </c>
      <c r="F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 t="str">
        <f>_xlfn.XLOOKUP(AllDataCorrected[[#This Row],[Location Name]], Locations[Location Name],Locations[Group As])</f>
        <v>Weston-on-Avon</v>
      </c>
      <c r="H51" t="e" vm="1">
        <f>_xlfn.XLOOKUP(AllDataCorrected[[#This Row],[Site Name]],LocationsKey[Site Name],LocationsKey[District])</f>
        <v>#VALUE!</v>
      </c>
      <c r="I51" t="e" vm="35">
        <f>_xlfn.XLOOKUP(AllDataCorrected[[#This Row],[Site Name]],LocationsKey[Site Name],LocationsKey[Town])</f>
        <v>#VALUE!</v>
      </c>
      <c r="J51" t="str">
        <f>_xlfn.XLOOKUP(AllDataCorrected[[#This Row],[Site Name]],LocationsKey[Site Name], LocationsKey[Waterway])</f>
        <v>Avon</v>
      </c>
      <c r="K51" t="s">
        <v>43</v>
      </c>
      <c r="L51">
        <f>_xlfn.XLOOKUP(AllDataCorrected[[#This Row],[Site Name]],Tables!$B$12:$B$100, Tables!C$12:C$100)</f>
        <v>52.167429999999996</v>
      </c>
      <c r="M51">
        <f>_xlfn.XLOOKUP(AllDataCorrected[[#This Row],[Site Name]],Tables!$B$12:$B$100, Tables!D$12:D$100)</f>
        <v>-1.7744752941176474</v>
      </c>
      <c r="N51" t="s">
        <v>31</v>
      </c>
      <c r="O51">
        <v>954</v>
      </c>
      <c r="P51">
        <v>21.3</v>
      </c>
      <c r="Q51">
        <v>6</v>
      </c>
      <c r="R51" t="str">
        <f>IF(AllDataCorrected[[#This Row],[Nitrate (PPM)]]&gt;2, "4. Very high (&gt;2ppm)", IF(AllDataCorrected[[#This Row],[Nitrate (PPM)]]&gt;1, "3. High (1-2ppm)", IF(AllDataCorrected[[#This Row],[Nitrate (PPM)]]&gt;0.5, "2. Some evidence (0.5-1ppm)", IF(AllDataCorrected[[#This Row],[Nitrate (PPM)]]&gt;=0, "1. No evidence (&lt;0.5ppm)"))))</f>
        <v>4. Very high (&gt;2ppm)</v>
      </c>
      <c r="S51">
        <v>0.68</v>
      </c>
      <c r="T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
        <v>0</v>
      </c>
    </row>
    <row r="52" spans="1:22" x14ac:dyDescent="0.35">
      <c r="A52" t="s">
        <v>110</v>
      </c>
      <c r="B52" s="2">
        <v>45160</v>
      </c>
      <c r="C52" t="str" cm="1">
        <f t="array" ref="C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2">
        <f>YEAR(AllDataCorrected[[#This Row],[Date]])</f>
        <v>2023</v>
      </c>
      <c r="E52" s="1">
        <v>0.39583333333333331</v>
      </c>
      <c r="F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2" t="str">
        <f>_xlfn.XLOOKUP(AllDataCorrected[[#This Row],[Location Name]], Locations[Location Name],Locations[Group As])</f>
        <v>Abbey Mill</v>
      </c>
      <c r="H52" t="e" vm="4">
        <f>_xlfn.XLOOKUP(AllDataCorrected[[#This Row],[Site Name]],LocationsKey[Site Name],LocationsKey[District])</f>
        <v>#VALUE!</v>
      </c>
      <c r="I52" t="e" vm="4">
        <f>_xlfn.XLOOKUP(AllDataCorrected[[#This Row],[Site Name]],LocationsKey[Site Name],LocationsKey[Town])</f>
        <v>#VALUE!</v>
      </c>
      <c r="J52" t="str">
        <f>_xlfn.XLOOKUP(AllDataCorrected[[#This Row],[Site Name]],LocationsKey[Site Name], LocationsKey[Waterway])</f>
        <v>Avon</v>
      </c>
      <c r="K52" t="s">
        <v>27</v>
      </c>
      <c r="L52">
        <f>_xlfn.XLOOKUP(AllDataCorrected[[#This Row],[Site Name]],Tables!$B$12:$B$100, Tables!C$12:C$100)</f>
        <v>51.991313075757589</v>
      </c>
      <c r="M52">
        <f>_xlfn.XLOOKUP(AllDataCorrected[[#This Row],[Site Name]],Tables!$B$12:$B$100, Tables!D$12:D$100)</f>
        <v>-2.1621998181818181</v>
      </c>
      <c r="N52" t="s">
        <v>25</v>
      </c>
      <c r="O52">
        <v>985</v>
      </c>
      <c r="P52">
        <v>20.8</v>
      </c>
      <c r="Q52">
        <v>10</v>
      </c>
      <c r="R52" t="str">
        <f>IF(AllDataCorrected[[#This Row],[Nitrate (PPM)]]&gt;2, "4. Very high (&gt;2ppm)", IF(AllDataCorrected[[#This Row],[Nitrate (PPM)]]&gt;1, "3. High (1-2ppm)", IF(AllDataCorrected[[#This Row],[Nitrate (PPM)]]&gt;0.5, "2. Some evidence (0.5-1ppm)", IF(AllDataCorrected[[#This Row],[Nitrate (PPM)]]&gt;=0, "1. No evidence (&lt;0.5ppm)"))))</f>
        <v>4. Very high (&gt;2ppm)</v>
      </c>
      <c r="S52">
        <v>0.91</v>
      </c>
      <c r="T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
        <v>0</v>
      </c>
    </row>
    <row r="53" spans="1:22" x14ac:dyDescent="0.35">
      <c r="A53" t="s">
        <v>111</v>
      </c>
      <c r="B53" s="2">
        <v>45162</v>
      </c>
      <c r="C53" t="str" cm="1">
        <f t="array" ref="C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3">
        <f>YEAR(AllDataCorrected[[#This Row],[Date]])</f>
        <v>2023</v>
      </c>
      <c r="E53" s="1">
        <v>0.4375</v>
      </c>
      <c r="F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 t="str">
        <f>_xlfn.XLOOKUP(AllDataCorrected[[#This Row],[Location Name]], Locations[Location Name],Locations[Group As])</f>
        <v>Swilgate</v>
      </c>
      <c r="H53" t="e" vm="4">
        <f>_xlfn.XLOOKUP(AllDataCorrected[[#This Row],[Site Name]],LocationsKey[Site Name],LocationsKey[District])</f>
        <v>#VALUE!</v>
      </c>
      <c r="I53" t="e" vm="4">
        <f>_xlfn.XLOOKUP(AllDataCorrected[[#This Row],[Site Name]],LocationsKey[Site Name],LocationsKey[Town])</f>
        <v>#VALUE!</v>
      </c>
      <c r="J53" t="str">
        <f>_xlfn.XLOOKUP(AllDataCorrected[[#This Row],[Site Name]],LocationsKey[Site Name], LocationsKey[Waterway])</f>
        <v>Swilgate</v>
      </c>
      <c r="K53" t="s">
        <v>85</v>
      </c>
      <c r="L53">
        <f>_xlfn.XLOOKUP(AllDataCorrected[[#This Row],[Site Name]],Tables!$B$12:$B$100, Tables!C$12:C$100)</f>
        <v>51.988591500000005</v>
      </c>
      <c r="M53">
        <f>_xlfn.XLOOKUP(AllDataCorrected[[#This Row],[Site Name]],Tables!$B$12:$B$100, Tables!D$12:D$100)</f>
        <v>-2.163898333333333</v>
      </c>
      <c r="N53" t="s">
        <v>25</v>
      </c>
      <c r="O53">
        <v>984</v>
      </c>
      <c r="P53">
        <v>18.5</v>
      </c>
      <c r="Q53">
        <v>9</v>
      </c>
      <c r="R53" t="str">
        <f>IF(AllDataCorrected[[#This Row],[Nitrate (PPM)]]&gt;2, "4. Very high (&gt;2ppm)", IF(AllDataCorrected[[#This Row],[Nitrate (PPM)]]&gt;1, "3. High (1-2ppm)", IF(AllDataCorrected[[#This Row],[Nitrate (PPM)]]&gt;0.5, "2. Some evidence (0.5-1ppm)", IF(AllDataCorrected[[#This Row],[Nitrate (PPM)]]&gt;=0, "1. No evidence (&lt;0.5ppm)"))))</f>
        <v>4. Very high (&gt;2ppm)</v>
      </c>
      <c r="S53">
        <v>0.91</v>
      </c>
      <c r="T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
        <v>0</v>
      </c>
    </row>
    <row r="54" spans="1:22" x14ac:dyDescent="0.35">
      <c r="A54" t="s">
        <v>112</v>
      </c>
      <c r="B54" s="2">
        <v>45164</v>
      </c>
      <c r="C54" t="str" cm="1">
        <f t="array" ref="C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4">
        <f>YEAR(AllDataCorrected[[#This Row],[Date]])</f>
        <v>2023</v>
      </c>
      <c r="E54" s="1">
        <v>0.4513888888888889</v>
      </c>
      <c r="F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 t="str">
        <f>_xlfn.XLOOKUP(AllDataCorrected[[#This Row],[Location Name]], Locations[Location Name],Locations[Group As])</f>
        <v>Pitch 16</v>
      </c>
      <c r="H54" t="e" vm="1">
        <f>_xlfn.XLOOKUP(AllDataCorrected[[#This Row],[Site Name]],LocationsKey[Site Name],LocationsKey[District])</f>
        <v>#VALUE!</v>
      </c>
      <c r="I54" t="e" vm="12">
        <f>_xlfn.XLOOKUP(AllDataCorrected[[#This Row],[Site Name]],LocationsKey[Site Name],LocationsKey[Town])</f>
        <v>#VALUE!</v>
      </c>
      <c r="J54" t="str">
        <f>_xlfn.XLOOKUP(AllDataCorrected[[#This Row],[Site Name]],LocationsKey[Site Name], LocationsKey[Waterway])</f>
        <v>Avon</v>
      </c>
      <c r="K54" t="s">
        <v>71</v>
      </c>
      <c r="L54">
        <f>_xlfn.XLOOKUP(AllDataCorrected[[#This Row],[Site Name]],Tables!$B$12:$B$100, Tables!C$12:C$100)</f>
        <v>51.289310076923087</v>
      </c>
      <c r="M54">
        <f>_xlfn.XLOOKUP(AllDataCorrected[[#This Row],[Site Name]],Tables!$B$12:$B$100, Tables!D$12:D$100)</f>
        <v>-0.10399761538461544</v>
      </c>
      <c r="N54" t="s">
        <v>31</v>
      </c>
      <c r="O54">
        <v>981</v>
      </c>
      <c r="P54">
        <v>19.100000000000001</v>
      </c>
      <c r="Q54">
        <v>10</v>
      </c>
      <c r="R54" t="str">
        <f>IF(AllDataCorrected[[#This Row],[Nitrate (PPM)]]&gt;2, "4. Very high (&gt;2ppm)", IF(AllDataCorrected[[#This Row],[Nitrate (PPM)]]&gt;1, "3. High (1-2ppm)", IF(AllDataCorrected[[#This Row],[Nitrate (PPM)]]&gt;0.5, "2. Some evidence (0.5-1ppm)", IF(AllDataCorrected[[#This Row],[Nitrate (PPM)]]&gt;=0, "1. No evidence (&lt;0.5ppm)"))))</f>
        <v>4. Very high (&gt;2ppm)</v>
      </c>
      <c r="S54">
        <v>0.88</v>
      </c>
      <c r="T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
        <v>0.5</v>
      </c>
      <c r="V54" t="s">
        <v>72</v>
      </c>
    </row>
    <row r="55" spans="1:22" x14ac:dyDescent="0.35">
      <c r="A55" t="s">
        <v>113</v>
      </c>
      <c r="B55" s="2">
        <v>45164</v>
      </c>
      <c r="C55" t="str" cm="1">
        <f t="array" ref="C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5">
        <f>YEAR(AllDataCorrected[[#This Row],[Date]])</f>
        <v>2023</v>
      </c>
      <c r="E55" s="1">
        <v>0.46527777777777779</v>
      </c>
      <c r="F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5" t="str">
        <f>_xlfn.XLOOKUP(AllDataCorrected[[#This Row],[Location Name]], Locations[Location Name],Locations[Group As])</f>
        <v>Avonbank Drive</v>
      </c>
      <c r="H55" t="e" vm="1">
        <f>_xlfn.XLOOKUP(AllDataCorrected[[#This Row],[Site Name]],LocationsKey[Site Name],LocationsKey[District])</f>
        <v>#VALUE!</v>
      </c>
      <c r="I55" t="e" vm="12">
        <f>_xlfn.XLOOKUP(AllDataCorrected[[#This Row],[Site Name]],LocationsKey[Site Name],LocationsKey[Town])</f>
        <v>#VALUE!</v>
      </c>
      <c r="J55" t="str">
        <f>_xlfn.XLOOKUP(AllDataCorrected[[#This Row],[Site Name]],LocationsKey[Site Name], LocationsKey[Waterway])</f>
        <v>Avon</v>
      </c>
      <c r="K55" t="s">
        <v>67</v>
      </c>
      <c r="L55">
        <f>_xlfn.XLOOKUP(AllDataCorrected[[#This Row],[Site Name]],Tables!$B$12:$B$100, Tables!C$12:C$100)</f>
        <v>51.566927775862098</v>
      </c>
      <c r="M55">
        <f>_xlfn.XLOOKUP(AllDataCorrected[[#This Row],[Site Name]],Tables!$B$12:$B$100, Tables!D$12:D$100)</f>
        <v>-7.2113336724137929</v>
      </c>
      <c r="N55" t="s">
        <v>68</v>
      </c>
      <c r="O55">
        <v>1000</v>
      </c>
      <c r="P55">
        <v>20.5</v>
      </c>
      <c r="Q55">
        <v>10</v>
      </c>
      <c r="R55" t="str">
        <f>IF(AllDataCorrected[[#This Row],[Nitrate (PPM)]]&gt;2, "4. Very high (&gt;2ppm)", IF(AllDataCorrected[[#This Row],[Nitrate (PPM)]]&gt;1, "3. High (1-2ppm)", IF(AllDataCorrected[[#This Row],[Nitrate (PPM)]]&gt;0.5, "2. Some evidence (0.5-1ppm)", IF(AllDataCorrected[[#This Row],[Nitrate (PPM)]]&gt;=0, "1. No evidence (&lt;0.5ppm)"))))</f>
        <v>4. Very high (&gt;2ppm)</v>
      </c>
      <c r="S55">
        <v>0.56000000000000005</v>
      </c>
      <c r="T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
        <v>0.5</v>
      </c>
      <c r="V55" t="s">
        <v>72</v>
      </c>
    </row>
    <row r="56" spans="1:22" x14ac:dyDescent="0.35">
      <c r="A56" t="s">
        <v>114</v>
      </c>
      <c r="B56" s="2">
        <v>45165</v>
      </c>
      <c r="C56" t="str" cm="1">
        <f t="array" ref="C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6">
        <f>YEAR(AllDataCorrected[[#This Row],[Date]])</f>
        <v>2023</v>
      </c>
      <c r="E56" s="1">
        <v>0.39652777777777776</v>
      </c>
      <c r="F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 t="str">
        <f>_xlfn.XLOOKUP(AllDataCorrected[[#This Row],[Location Name]], Locations[Location Name],Locations[Group As])</f>
        <v>Abbey Mill</v>
      </c>
      <c r="H56" t="e" vm="4">
        <f>_xlfn.XLOOKUP(AllDataCorrected[[#This Row],[Site Name]],LocationsKey[Site Name],LocationsKey[District])</f>
        <v>#VALUE!</v>
      </c>
      <c r="I56" t="e" vm="4">
        <f>_xlfn.XLOOKUP(AllDataCorrected[[#This Row],[Site Name]],LocationsKey[Site Name],LocationsKey[Town])</f>
        <v>#VALUE!</v>
      </c>
      <c r="J56" t="str">
        <f>_xlfn.XLOOKUP(AllDataCorrected[[#This Row],[Site Name]],LocationsKey[Site Name], LocationsKey[Waterway])</f>
        <v>Avon</v>
      </c>
      <c r="K56" t="s">
        <v>27</v>
      </c>
      <c r="L56">
        <f>_xlfn.XLOOKUP(AllDataCorrected[[#This Row],[Site Name]],Tables!$B$12:$B$100, Tables!C$12:C$100)</f>
        <v>51.991313075757589</v>
      </c>
      <c r="M56">
        <f>_xlfn.XLOOKUP(AllDataCorrected[[#This Row],[Site Name]],Tables!$B$12:$B$100, Tables!D$12:D$100)</f>
        <v>-2.1621998181818181</v>
      </c>
      <c r="N56" t="s">
        <v>25</v>
      </c>
      <c r="O56">
        <v>997</v>
      </c>
      <c r="P56">
        <v>19.399999999999999</v>
      </c>
      <c r="Q56">
        <v>8</v>
      </c>
      <c r="R56" t="str">
        <f>IF(AllDataCorrected[[#This Row],[Nitrate (PPM)]]&gt;2, "4. Very high (&gt;2ppm)", IF(AllDataCorrected[[#This Row],[Nitrate (PPM)]]&gt;1, "3. High (1-2ppm)", IF(AllDataCorrected[[#This Row],[Nitrate (PPM)]]&gt;0.5, "2. Some evidence (0.5-1ppm)", IF(AllDataCorrected[[#This Row],[Nitrate (PPM)]]&gt;=0, "1. No evidence (&lt;0.5ppm)"))))</f>
        <v>4. Very high (&gt;2ppm)</v>
      </c>
      <c r="S56">
        <v>1.02</v>
      </c>
      <c r="T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
        <v>0</v>
      </c>
    </row>
    <row r="57" spans="1:22" x14ac:dyDescent="0.35">
      <c r="A57" t="s">
        <v>115</v>
      </c>
      <c r="B57" s="2">
        <v>45165</v>
      </c>
      <c r="C57" t="str" cm="1">
        <f t="array" ref="C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7">
        <f>YEAR(AllDataCorrected[[#This Row],[Date]])</f>
        <v>2023</v>
      </c>
      <c r="E57" s="1">
        <v>0.40277777777777779</v>
      </c>
      <c r="F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 t="str">
        <f>_xlfn.XLOOKUP(AllDataCorrected[[#This Row],[Location Name]], Locations[Location Name],Locations[Group As])</f>
        <v>Twyning Fleet</v>
      </c>
      <c r="H57" t="e" vm="4">
        <f>_xlfn.XLOOKUP(AllDataCorrected[[#This Row],[Site Name]],LocationsKey[Site Name],LocationsKey[District])</f>
        <v>#VALUE!</v>
      </c>
      <c r="I57" t="str">
        <f>_xlfn.XLOOKUP(AllDataCorrected[[#This Row],[Site Name]],LocationsKey[Site Name],LocationsKey[Town])</f>
        <v>Twyning Green</v>
      </c>
      <c r="J57" t="str">
        <f>_xlfn.XLOOKUP(AllDataCorrected[[#This Row],[Site Name]],LocationsKey[Site Name], LocationsKey[Waterway])</f>
        <v>Avon</v>
      </c>
      <c r="K57" t="s">
        <v>56</v>
      </c>
      <c r="L57">
        <f>_xlfn.XLOOKUP(AllDataCorrected[[#This Row],[Site Name]],Tables!$B$12:$B$100, Tables!C$12:C$100)</f>
        <v>52.027216452380941</v>
      </c>
      <c r="M57">
        <f>_xlfn.XLOOKUP(AllDataCorrected[[#This Row],[Site Name]],Tables!$B$12:$B$100, Tables!D$12:D$100)</f>
        <v>-2.140853452380953</v>
      </c>
      <c r="N57" t="s">
        <v>31</v>
      </c>
      <c r="O57">
        <v>1010</v>
      </c>
      <c r="P57">
        <v>20.399999999999999</v>
      </c>
      <c r="Q57">
        <v>10</v>
      </c>
      <c r="R57" t="str">
        <f>IF(AllDataCorrected[[#This Row],[Nitrate (PPM)]]&gt;2, "4. Very high (&gt;2ppm)", IF(AllDataCorrected[[#This Row],[Nitrate (PPM)]]&gt;1, "3. High (1-2ppm)", IF(AllDataCorrected[[#This Row],[Nitrate (PPM)]]&gt;0.5, "2. Some evidence (0.5-1ppm)", IF(AllDataCorrected[[#This Row],[Nitrate (PPM)]]&gt;=0, "1. No evidence (&lt;0.5ppm)"))))</f>
        <v>4. Very high (&gt;2ppm)</v>
      </c>
      <c r="S57">
        <v>1.07</v>
      </c>
      <c r="T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
        <v>0</v>
      </c>
      <c r="V57" t="s">
        <v>116</v>
      </c>
    </row>
    <row r="58" spans="1:22" x14ac:dyDescent="0.35">
      <c r="A58" t="s">
        <v>117</v>
      </c>
      <c r="B58" s="2">
        <v>45165</v>
      </c>
      <c r="C58" t="str" cm="1">
        <f t="array" ref="C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8">
        <f>YEAR(AllDataCorrected[[#This Row],[Date]])</f>
        <v>2023</v>
      </c>
      <c r="E58" s="1">
        <v>0.46527777777777779</v>
      </c>
      <c r="F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8" t="str">
        <f>_xlfn.XLOOKUP(AllDataCorrected[[#This Row],[Location Name]], Locations[Location Name],Locations[Group As])</f>
        <v>Hampton Wood</v>
      </c>
      <c r="H58" t="e" vm="1">
        <f>_xlfn.XLOOKUP(AllDataCorrected[[#This Row],[Site Name]],LocationsKey[Site Name],LocationsKey[District])</f>
        <v>#VALUE!</v>
      </c>
      <c r="I58" t="e" vm="34">
        <f>_xlfn.XLOOKUP(AllDataCorrected[[#This Row],[Site Name]],LocationsKey[Site Name],LocationsKey[Town])</f>
        <v>#VALUE!</v>
      </c>
      <c r="J58" t="str">
        <f>_xlfn.XLOOKUP(AllDataCorrected[[#This Row],[Site Name]],LocationsKey[Site Name], LocationsKey[Waterway])</f>
        <v>Avon</v>
      </c>
      <c r="K58" t="s">
        <v>36</v>
      </c>
      <c r="L58">
        <f>_xlfn.XLOOKUP(AllDataCorrected[[#This Row],[Site Name]],Tables!$B$12:$B$100, Tables!C$12:C$100)</f>
        <v>52.23814999999999</v>
      </c>
      <c r="M58">
        <f>_xlfn.XLOOKUP(AllDataCorrected[[#This Row],[Site Name]],Tables!$B$12:$B$100, Tables!D$12:D$100)</f>
        <v>-1.6245800000000008</v>
      </c>
      <c r="N58" t="s">
        <v>31</v>
      </c>
      <c r="O58">
        <v>950</v>
      </c>
      <c r="P58">
        <v>19.100000000000001</v>
      </c>
      <c r="Q58">
        <v>7</v>
      </c>
      <c r="R58" t="str">
        <f>IF(AllDataCorrected[[#This Row],[Nitrate (PPM)]]&gt;2, "4. Very high (&gt;2ppm)", IF(AllDataCorrected[[#This Row],[Nitrate (PPM)]]&gt;1, "3. High (1-2ppm)", IF(AllDataCorrected[[#This Row],[Nitrate (PPM)]]&gt;0.5, "2. Some evidence (0.5-1ppm)", IF(AllDataCorrected[[#This Row],[Nitrate (PPM)]]&gt;=0, "1. No evidence (&lt;0.5ppm)"))))</f>
        <v>4. Very high (&gt;2ppm)</v>
      </c>
      <c r="S58">
        <v>0.42</v>
      </c>
      <c r="T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
        <v>0</v>
      </c>
    </row>
    <row r="59" spans="1:22" x14ac:dyDescent="0.35">
      <c r="A59" t="s">
        <v>118</v>
      </c>
      <c r="B59" s="2">
        <v>45165</v>
      </c>
      <c r="C59" t="str" cm="1">
        <f t="array" ref="C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59">
        <f>YEAR(AllDataCorrected[[#This Row],[Date]])</f>
        <v>2023</v>
      </c>
      <c r="E59" s="1">
        <v>0.52083333333333337</v>
      </c>
      <c r="F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 t="str">
        <f>_xlfn.XLOOKUP(AllDataCorrected[[#This Row],[Location Name]], Locations[Location Name],Locations[Group As])</f>
        <v>Hampton Lucy</v>
      </c>
      <c r="H59" t="e" vm="1">
        <f>_xlfn.XLOOKUP(AllDataCorrected[[#This Row],[Site Name]],LocationsKey[Site Name],LocationsKey[District])</f>
        <v>#VALUE!</v>
      </c>
      <c r="I59" t="e" vm="33">
        <f>_xlfn.XLOOKUP(AllDataCorrected[[#This Row],[Site Name]],LocationsKey[Site Name],LocationsKey[Town])</f>
        <v>#VALUE!</v>
      </c>
      <c r="J59" t="str">
        <f>_xlfn.XLOOKUP(AllDataCorrected[[#This Row],[Site Name]],LocationsKey[Site Name], LocationsKey[Waterway])</f>
        <v>Avon</v>
      </c>
      <c r="K59" t="s">
        <v>39</v>
      </c>
      <c r="L59">
        <f>_xlfn.XLOOKUP(AllDataCorrected[[#This Row],[Site Name]],Tables!$B$12:$B$100, Tables!C$12:C$100)</f>
        <v>52.211679999999973</v>
      </c>
      <c r="M59">
        <f>_xlfn.XLOOKUP(AllDataCorrected[[#This Row],[Site Name]],Tables!$B$12:$B$100, Tables!D$12:D$100)</f>
        <v>-1.6244400000000001</v>
      </c>
      <c r="N59" t="s">
        <v>25</v>
      </c>
      <c r="O59">
        <v>948</v>
      </c>
      <c r="P59">
        <v>18.8</v>
      </c>
      <c r="Q59">
        <v>7</v>
      </c>
      <c r="R59" t="str">
        <f>IF(AllDataCorrected[[#This Row],[Nitrate (PPM)]]&gt;2, "4. Very high (&gt;2ppm)", IF(AllDataCorrected[[#This Row],[Nitrate (PPM)]]&gt;1, "3. High (1-2ppm)", IF(AllDataCorrected[[#This Row],[Nitrate (PPM)]]&gt;0.5, "2. Some evidence (0.5-1ppm)", IF(AllDataCorrected[[#This Row],[Nitrate (PPM)]]&gt;=0, "1. No evidence (&lt;0.5ppm)"))))</f>
        <v>4. Very high (&gt;2ppm)</v>
      </c>
      <c r="S59">
        <v>0.49</v>
      </c>
      <c r="T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
        <v>0</v>
      </c>
    </row>
    <row r="60" spans="1:22" x14ac:dyDescent="0.35">
      <c r="A60" t="s">
        <v>119</v>
      </c>
      <c r="B60" s="2">
        <v>45165</v>
      </c>
      <c r="C60" t="str" cm="1">
        <f t="array" ref="C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0">
        <f>YEAR(AllDataCorrected[[#This Row],[Date]])</f>
        <v>2023</v>
      </c>
      <c r="E60" s="1">
        <v>0.70833333333333337</v>
      </c>
      <c r="F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 t="str">
        <f>_xlfn.XLOOKUP(AllDataCorrected[[#This Row],[Location Name]], Locations[Location Name],Locations[Group As])</f>
        <v>Welford Boat Station</v>
      </c>
      <c r="H60" t="e" vm="1">
        <f>_xlfn.XLOOKUP(AllDataCorrected[[#This Row],[Site Name]],LocationsKey[Site Name],LocationsKey[District])</f>
        <v>#VALUE!</v>
      </c>
      <c r="I60" t="e" vm="36">
        <f>_xlfn.XLOOKUP(AllDataCorrected[[#This Row],[Site Name]],LocationsKey[Site Name],LocationsKey[Town])</f>
        <v>#VALUE!</v>
      </c>
      <c r="J60" t="str">
        <f>_xlfn.XLOOKUP(AllDataCorrected[[#This Row],[Site Name]],LocationsKey[Site Name], LocationsKey[Waterway])</f>
        <v>Avon</v>
      </c>
      <c r="K60" t="s">
        <v>41</v>
      </c>
      <c r="L60">
        <f>_xlfn.XLOOKUP(AllDataCorrected[[#This Row],[Site Name]],Tables!$B$12:$B$100, Tables!C$12:C$100)</f>
        <v>52.175174684210546</v>
      </c>
      <c r="M60">
        <f>_xlfn.XLOOKUP(AllDataCorrected[[#This Row],[Site Name]],Tables!$B$12:$B$100, Tables!D$12:D$100)</f>
        <v>-1.7918551052631577</v>
      </c>
      <c r="N60" t="s">
        <v>31</v>
      </c>
      <c r="O60">
        <v>992</v>
      </c>
      <c r="P60">
        <v>18.600000000000001</v>
      </c>
      <c r="Q60">
        <v>5</v>
      </c>
      <c r="R60" t="str">
        <f>IF(AllDataCorrected[[#This Row],[Nitrate (PPM)]]&gt;2, "4. Very high (&gt;2ppm)", IF(AllDataCorrected[[#This Row],[Nitrate (PPM)]]&gt;1, "3. High (1-2ppm)", IF(AllDataCorrected[[#This Row],[Nitrate (PPM)]]&gt;0.5, "2. Some evidence (0.5-1ppm)", IF(AllDataCorrected[[#This Row],[Nitrate (PPM)]]&gt;=0, "1. No evidence (&lt;0.5ppm)"))))</f>
        <v>4. Very high (&gt;2ppm)</v>
      </c>
      <c r="S60">
        <v>0.54</v>
      </c>
      <c r="T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
        <v>0</v>
      </c>
      <c r="V60" t="s">
        <v>97</v>
      </c>
    </row>
    <row r="61" spans="1:22" x14ac:dyDescent="0.35">
      <c r="A61" t="s">
        <v>120</v>
      </c>
      <c r="B61" s="2">
        <v>45167</v>
      </c>
      <c r="C61" t="str" cm="1">
        <f t="array" ref="C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1">
        <f>YEAR(AllDataCorrected[[#This Row],[Date]])</f>
        <v>2023</v>
      </c>
      <c r="E61" s="1">
        <v>0.60624999999999996</v>
      </c>
      <c r="F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 t="str">
        <f>_xlfn.XLOOKUP(AllDataCorrected[[#This Row],[Location Name]], Locations[Location Name],Locations[Group As])</f>
        <v>Talton Lodge</v>
      </c>
      <c r="H61" t="e" vm="1">
        <f>_xlfn.XLOOKUP(AllDataCorrected[[#This Row],[Site Name]],LocationsKey[Site Name],LocationsKey[District])</f>
        <v>#VALUE!</v>
      </c>
      <c r="I61" t="e" vm="27">
        <f>_xlfn.XLOOKUP(AllDataCorrected[[#This Row],[Site Name]],LocationsKey[Site Name],LocationsKey[Town])</f>
        <v>#VALUE!</v>
      </c>
      <c r="J61" t="str">
        <f>_xlfn.XLOOKUP(AllDataCorrected[[#This Row],[Site Name]],LocationsKey[Site Name], LocationsKey[Waterway])</f>
        <v>Avon</v>
      </c>
      <c r="K61" t="s">
        <v>121</v>
      </c>
      <c r="L61">
        <f>_xlfn.XLOOKUP(AllDataCorrected[[#This Row],[Site Name]],Tables!$B$12:$B$100, Tables!C$12:C$100)</f>
        <v>52.120947999999999</v>
      </c>
      <c r="M61">
        <f>_xlfn.XLOOKUP(AllDataCorrected[[#This Row],[Site Name]],Tables!$B$12:$B$100, Tables!D$12:D$100)</f>
        <v>-1.6505399999999999</v>
      </c>
      <c r="N61" t="s">
        <v>31</v>
      </c>
      <c r="O61">
        <v>819</v>
      </c>
      <c r="P61">
        <v>15.8</v>
      </c>
      <c r="Q61">
        <v>10</v>
      </c>
      <c r="R61" t="str">
        <f>IF(AllDataCorrected[[#This Row],[Nitrate (PPM)]]&gt;2, "4. Very high (&gt;2ppm)", IF(AllDataCorrected[[#This Row],[Nitrate (PPM)]]&gt;1, "3. High (1-2ppm)", IF(AllDataCorrected[[#This Row],[Nitrate (PPM)]]&gt;0.5, "2. Some evidence (0.5-1ppm)", IF(AllDataCorrected[[#This Row],[Nitrate (PPM)]]&gt;=0, "1. No evidence (&lt;0.5ppm)"))))</f>
        <v>4. Very high (&gt;2ppm)</v>
      </c>
      <c r="S61">
        <v>0.33</v>
      </c>
      <c r="T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
        <v>0.5</v>
      </c>
    </row>
    <row r="62" spans="1:22" x14ac:dyDescent="0.35">
      <c r="A62" t="s">
        <v>122</v>
      </c>
      <c r="B62" s="2">
        <v>45167</v>
      </c>
      <c r="C62" t="str" cm="1">
        <f t="array" ref="C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2">
        <f>YEAR(AllDataCorrected[[#This Row],[Date]])</f>
        <v>2023</v>
      </c>
      <c r="E62" s="1">
        <v>0.69791666666666663</v>
      </c>
      <c r="F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 t="str">
        <f>_xlfn.XLOOKUP(AllDataCorrected[[#This Row],[Location Name]], Locations[Location Name],Locations[Group As])</f>
        <v>Weston-on-Avon</v>
      </c>
      <c r="H62" t="e" vm="1">
        <f>_xlfn.XLOOKUP(AllDataCorrected[[#This Row],[Site Name]],LocationsKey[Site Name],LocationsKey[District])</f>
        <v>#VALUE!</v>
      </c>
      <c r="I62" t="e" vm="35">
        <f>_xlfn.XLOOKUP(AllDataCorrected[[#This Row],[Site Name]],LocationsKey[Site Name],LocationsKey[Town])</f>
        <v>#VALUE!</v>
      </c>
      <c r="J62" t="str">
        <f>_xlfn.XLOOKUP(AllDataCorrected[[#This Row],[Site Name]],LocationsKey[Site Name], LocationsKey[Waterway])</f>
        <v>Avon</v>
      </c>
      <c r="K62" t="s">
        <v>43</v>
      </c>
      <c r="L62">
        <f>_xlfn.XLOOKUP(AllDataCorrected[[#This Row],[Site Name]],Tables!$B$12:$B$100, Tables!C$12:C$100)</f>
        <v>52.167429999999996</v>
      </c>
      <c r="M62">
        <f>_xlfn.XLOOKUP(AllDataCorrected[[#This Row],[Site Name]],Tables!$B$12:$B$100, Tables!D$12:D$100)</f>
        <v>-1.7744752941176474</v>
      </c>
      <c r="N62" t="s">
        <v>31</v>
      </c>
      <c r="O62">
        <v>1028</v>
      </c>
      <c r="P62">
        <v>18.5</v>
      </c>
      <c r="Q62">
        <v>5</v>
      </c>
      <c r="R62" t="str">
        <f>IF(AllDataCorrected[[#This Row],[Nitrate (PPM)]]&gt;2, "4. Very high (&gt;2ppm)", IF(AllDataCorrected[[#This Row],[Nitrate (PPM)]]&gt;1, "3. High (1-2ppm)", IF(AllDataCorrected[[#This Row],[Nitrate (PPM)]]&gt;0.5, "2. Some evidence (0.5-1ppm)", IF(AllDataCorrected[[#This Row],[Nitrate (PPM)]]&gt;=0, "1. No evidence (&lt;0.5ppm)"))))</f>
        <v>4. Very high (&gt;2ppm)</v>
      </c>
      <c r="S62">
        <v>0.76</v>
      </c>
      <c r="T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
        <v>0</v>
      </c>
    </row>
    <row r="63" spans="1:22" x14ac:dyDescent="0.35">
      <c r="A63" t="s">
        <v>123</v>
      </c>
      <c r="B63" s="2">
        <v>45168</v>
      </c>
      <c r="C63" t="str" cm="1">
        <f t="array" ref="C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3">
        <f>YEAR(AllDataCorrected[[#This Row],[Date]])</f>
        <v>2023</v>
      </c>
      <c r="E63" s="1">
        <v>0.47708333333333336</v>
      </c>
      <c r="F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 t="str">
        <f>_xlfn.XLOOKUP(AllDataCorrected[[#This Row],[Location Name]], Locations[Location Name],Locations[Group As])</f>
        <v>Stour Newbold Mill</v>
      </c>
      <c r="H63" t="e" vm="1">
        <f>_xlfn.XLOOKUP(AllDataCorrected[[#This Row],[Site Name]],LocationsKey[Site Name],LocationsKey[District])</f>
        <v>#VALUE!</v>
      </c>
      <c r="I63" t="e" vm="27">
        <f>_xlfn.XLOOKUP(AllDataCorrected[[#This Row],[Site Name]],LocationsKey[Site Name],LocationsKey[Town])</f>
        <v>#VALUE!</v>
      </c>
      <c r="J63" t="str">
        <f>_xlfn.XLOOKUP(AllDataCorrected[[#This Row],[Site Name]],LocationsKey[Site Name], LocationsKey[Waterway])</f>
        <v>Stour</v>
      </c>
      <c r="K63" t="s">
        <v>124</v>
      </c>
      <c r="L63">
        <f>_xlfn.XLOOKUP(AllDataCorrected[[#This Row],[Site Name]],Tables!$B$12:$B$100, Tables!C$12:C$100)</f>
        <v>52.113052370370369</v>
      </c>
      <c r="M63">
        <f>_xlfn.XLOOKUP(AllDataCorrected[[#This Row],[Site Name]],Tables!$B$12:$B$100, Tables!D$12:D$100)</f>
        <v>-1.6333685185185181</v>
      </c>
      <c r="N63" t="s">
        <v>31</v>
      </c>
      <c r="O63">
        <v>637</v>
      </c>
      <c r="P63">
        <v>18.399999999999999</v>
      </c>
      <c r="Q63">
        <v>2</v>
      </c>
      <c r="R63" t="str">
        <f>IF(AllDataCorrected[[#This Row],[Nitrate (PPM)]]&gt;2, "4. Very high (&gt;2ppm)", IF(AllDataCorrected[[#This Row],[Nitrate (PPM)]]&gt;1, "3. High (1-2ppm)", IF(AllDataCorrected[[#This Row],[Nitrate (PPM)]]&gt;0.5, "2. Some evidence (0.5-1ppm)", IF(AllDataCorrected[[#This Row],[Nitrate (PPM)]]&gt;=0, "1. No evidence (&lt;0.5ppm)"))))</f>
        <v>3. High (1-2ppm)</v>
      </c>
      <c r="S63">
        <v>0.78</v>
      </c>
      <c r="T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3">
        <v>2</v>
      </c>
      <c r="V63" t="s">
        <v>125</v>
      </c>
    </row>
    <row r="64" spans="1:22" x14ac:dyDescent="0.35">
      <c r="A64" t="s">
        <v>126</v>
      </c>
      <c r="B64" s="2">
        <v>45168</v>
      </c>
      <c r="C64" t="str" cm="1">
        <f t="array" ref="C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4">
        <f>YEAR(AllDataCorrected[[#This Row],[Date]])</f>
        <v>2023</v>
      </c>
      <c r="E64" s="1">
        <v>0.52083333333333337</v>
      </c>
      <c r="F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 t="str">
        <f>_xlfn.XLOOKUP(AllDataCorrected[[#This Row],[Location Name]], Locations[Location Name],Locations[Group As])</f>
        <v>Barton</v>
      </c>
      <c r="H64" t="e" vm="1">
        <f>_xlfn.XLOOKUP(AllDataCorrected[[#This Row],[Site Name]],LocationsKey[Site Name],LocationsKey[District])</f>
        <v>#VALUE!</v>
      </c>
      <c r="I64" t="str">
        <f>_xlfn.XLOOKUP(AllDataCorrected[[#This Row],[Site Name]],LocationsKey[Site Name],LocationsKey[Town])</f>
        <v>Barton</v>
      </c>
      <c r="J64" t="str">
        <f>_xlfn.XLOOKUP(AllDataCorrected[[#This Row],[Site Name]],LocationsKey[Site Name], LocationsKey[Waterway])</f>
        <v>Avon</v>
      </c>
      <c r="K64" t="s">
        <v>51</v>
      </c>
      <c r="L64">
        <f>_xlfn.XLOOKUP(AllDataCorrected[[#This Row],[Site Name]],Tables!$B$12:$B$100, Tables!C$12:C$100)</f>
        <v>52.16120999999999</v>
      </c>
      <c r="M64">
        <f>_xlfn.XLOOKUP(AllDataCorrected[[#This Row],[Site Name]],Tables!$B$12:$B$100, Tables!D$12:D$100)</f>
        <v>-1.8301499999999999</v>
      </c>
      <c r="N64" t="s">
        <v>31</v>
      </c>
      <c r="O64">
        <v>1018</v>
      </c>
      <c r="P64">
        <v>17</v>
      </c>
      <c r="Q64">
        <v>7</v>
      </c>
      <c r="R64" t="str">
        <f>IF(AllDataCorrected[[#This Row],[Nitrate (PPM)]]&gt;2, "4. Very high (&gt;2ppm)", IF(AllDataCorrected[[#This Row],[Nitrate (PPM)]]&gt;1, "3. High (1-2ppm)", IF(AllDataCorrected[[#This Row],[Nitrate (PPM)]]&gt;0.5, "2. Some evidence (0.5-1ppm)", IF(AllDataCorrected[[#This Row],[Nitrate (PPM)]]&gt;=0, "1. No evidence (&lt;0.5ppm)"))))</f>
        <v>4. Very high (&gt;2ppm)</v>
      </c>
      <c r="S64">
        <v>0.63</v>
      </c>
      <c r="T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
        <v>0</v>
      </c>
    </row>
    <row r="65" spans="1:22" x14ac:dyDescent="0.35">
      <c r="A65" t="s">
        <v>127</v>
      </c>
      <c r="B65" s="2">
        <v>45169</v>
      </c>
      <c r="C65" t="str" cm="1">
        <f t="array" ref="C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5">
        <f>YEAR(AllDataCorrected[[#This Row],[Date]])</f>
        <v>2023</v>
      </c>
      <c r="E65" s="1">
        <v>0.43055555555555558</v>
      </c>
      <c r="F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 t="str">
        <f>_xlfn.XLOOKUP(AllDataCorrected[[#This Row],[Location Name]], Locations[Location Name],Locations[Group As])</f>
        <v>Preston-on-Stour River Bridge</v>
      </c>
      <c r="H65" t="e" vm="1">
        <f>_xlfn.XLOOKUP(AllDataCorrected[[#This Row],[Site Name]],LocationsKey[Site Name],LocationsKey[District])</f>
        <v>#VALUE!</v>
      </c>
      <c r="I65" t="e" vm="20">
        <f>_xlfn.XLOOKUP(AllDataCorrected[[#This Row],[Site Name]],LocationsKey[Site Name],LocationsKey[Town])</f>
        <v>#VALUE!</v>
      </c>
      <c r="J65" t="str">
        <f>_xlfn.XLOOKUP(AllDataCorrected[[#This Row],[Site Name]],LocationsKey[Site Name], LocationsKey[Waterway])</f>
        <v>Stour</v>
      </c>
      <c r="K65" t="s">
        <v>128</v>
      </c>
      <c r="L65">
        <f>_xlfn.XLOOKUP(AllDataCorrected[[#This Row],[Site Name]],Tables!$B$12:$B$100, Tables!C$12:C$100)</f>
        <v>52.146672352941174</v>
      </c>
      <c r="M65">
        <f>_xlfn.XLOOKUP(AllDataCorrected[[#This Row],[Site Name]],Tables!$B$12:$B$100, Tables!D$12:D$100)</f>
        <v>-1.6984533333333334</v>
      </c>
      <c r="N65" t="s">
        <v>31</v>
      </c>
      <c r="O65">
        <v>699</v>
      </c>
      <c r="P65">
        <v>16</v>
      </c>
      <c r="Q65">
        <v>5</v>
      </c>
      <c r="R65" t="str">
        <f>IF(AllDataCorrected[[#This Row],[Nitrate (PPM)]]&gt;2, "4. Very high (&gt;2ppm)", IF(AllDataCorrected[[#This Row],[Nitrate (PPM)]]&gt;1, "3. High (1-2ppm)", IF(AllDataCorrected[[#This Row],[Nitrate (PPM)]]&gt;0.5, "2. Some evidence (0.5-1ppm)", IF(AllDataCorrected[[#This Row],[Nitrate (PPM)]]&gt;=0, "1. No evidence (&lt;0.5ppm)"))))</f>
        <v>4. Very high (&gt;2ppm)</v>
      </c>
      <c r="S65">
        <v>0.55000000000000004</v>
      </c>
      <c r="T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
        <v>4</v>
      </c>
      <c r="V65" t="s">
        <v>129</v>
      </c>
    </row>
    <row r="66" spans="1:22" x14ac:dyDescent="0.35">
      <c r="A66" t="s">
        <v>130</v>
      </c>
      <c r="B66" s="2">
        <v>45169</v>
      </c>
      <c r="C66" t="str" cm="1">
        <f t="array" ref="C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66">
        <f>YEAR(AllDataCorrected[[#This Row],[Date]])</f>
        <v>2023</v>
      </c>
      <c r="E66" s="1">
        <v>0.60763888888888884</v>
      </c>
      <c r="F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 t="str">
        <f>_xlfn.XLOOKUP(AllDataCorrected[[#This Row],[Location Name]], Locations[Location Name],Locations[Group As])</f>
        <v>Swilgate</v>
      </c>
      <c r="H66" t="e" vm="4">
        <f>_xlfn.XLOOKUP(AllDataCorrected[[#This Row],[Site Name]],LocationsKey[Site Name],LocationsKey[District])</f>
        <v>#VALUE!</v>
      </c>
      <c r="I66" t="e" vm="4">
        <f>_xlfn.XLOOKUP(AllDataCorrected[[#This Row],[Site Name]],LocationsKey[Site Name],LocationsKey[Town])</f>
        <v>#VALUE!</v>
      </c>
      <c r="J66" t="str">
        <f>_xlfn.XLOOKUP(AllDataCorrected[[#This Row],[Site Name]],LocationsKey[Site Name], LocationsKey[Waterway])</f>
        <v>Swilgate</v>
      </c>
      <c r="K66" t="s">
        <v>85</v>
      </c>
      <c r="L66">
        <f>_xlfn.XLOOKUP(AllDataCorrected[[#This Row],[Site Name]],Tables!$B$12:$B$100, Tables!C$12:C$100)</f>
        <v>51.988591500000005</v>
      </c>
      <c r="M66">
        <f>_xlfn.XLOOKUP(AllDataCorrected[[#This Row],[Site Name]],Tables!$B$12:$B$100, Tables!D$12:D$100)</f>
        <v>-2.163898333333333</v>
      </c>
      <c r="N66" t="s">
        <v>25</v>
      </c>
      <c r="O66">
        <v>872</v>
      </c>
      <c r="P66">
        <v>15.7</v>
      </c>
      <c r="Q66">
        <v>8</v>
      </c>
      <c r="R66" t="str">
        <f>IF(AllDataCorrected[[#This Row],[Nitrate (PPM)]]&gt;2, "4. Very high (&gt;2ppm)", IF(AllDataCorrected[[#This Row],[Nitrate (PPM)]]&gt;1, "3. High (1-2ppm)", IF(AllDataCorrected[[#This Row],[Nitrate (PPM)]]&gt;0.5, "2. Some evidence (0.5-1ppm)", IF(AllDataCorrected[[#This Row],[Nitrate (PPM)]]&gt;=0, "1. No evidence (&lt;0.5ppm)"))))</f>
        <v>4. Very high (&gt;2ppm)</v>
      </c>
      <c r="S66">
        <v>0.65</v>
      </c>
      <c r="T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
        <v>0</v>
      </c>
    </row>
    <row r="67" spans="1:22" x14ac:dyDescent="0.35">
      <c r="A67" t="s">
        <v>131</v>
      </c>
      <c r="B67" s="2">
        <v>45171</v>
      </c>
      <c r="C67" t="str" cm="1">
        <f t="array" ref="C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7">
        <f>YEAR(AllDataCorrected[[#This Row],[Date]])</f>
        <v>2023</v>
      </c>
      <c r="E67" s="1">
        <v>0.45833333333333331</v>
      </c>
      <c r="F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7" t="str">
        <f>_xlfn.XLOOKUP(AllDataCorrected[[#This Row],[Location Name]], Locations[Location Name],Locations[Group As])</f>
        <v>Avonbank Drive</v>
      </c>
      <c r="H67" t="e" vm="1">
        <f>_xlfn.XLOOKUP(AllDataCorrected[[#This Row],[Site Name]],LocationsKey[Site Name],LocationsKey[District])</f>
        <v>#VALUE!</v>
      </c>
      <c r="I67" t="e" vm="12">
        <f>_xlfn.XLOOKUP(AllDataCorrected[[#This Row],[Site Name]],LocationsKey[Site Name],LocationsKey[Town])</f>
        <v>#VALUE!</v>
      </c>
      <c r="J67" t="str">
        <f>_xlfn.XLOOKUP(AllDataCorrected[[#This Row],[Site Name]],LocationsKey[Site Name], LocationsKey[Waterway])</f>
        <v>Avon</v>
      </c>
      <c r="K67" t="s">
        <v>104</v>
      </c>
      <c r="L67">
        <f>_xlfn.XLOOKUP(AllDataCorrected[[#This Row],[Site Name]],Tables!$B$12:$B$100, Tables!C$12:C$100)</f>
        <v>51.566927775862098</v>
      </c>
      <c r="M67">
        <f>_xlfn.XLOOKUP(AllDataCorrected[[#This Row],[Site Name]],Tables!$B$12:$B$100, Tables!D$12:D$100)</f>
        <v>-7.2113336724137929</v>
      </c>
      <c r="N67" t="s">
        <v>68</v>
      </c>
      <c r="O67">
        <v>990</v>
      </c>
      <c r="P67">
        <v>23.4</v>
      </c>
      <c r="Q67">
        <v>10</v>
      </c>
      <c r="R67" t="str">
        <f>IF(AllDataCorrected[[#This Row],[Nitrate (PPM)]]&gt;2, "4. Very high (&gt;2ppm)", IF(AllDataCorrected[[#This Row],[Nitrate (PPM)]]&gt;1, "3. High (1-2ppm)", IF(AllDataCorrected[[#This Row],[Nitrate (PPM)]]&gt;0.5, "2. Some evidence (0.5-1ppm)", IF(AllDataCorrected[[#This Row],[Nitrate (PPM)]]&gt;=0, "1. No evidence (&lt;0.5ppm)"))))</f>
        <v>4. Very high (&gt;2ppm)</v>
      </c>
      <c r="S67">
        <v>0.51</v>
      </c>
      <c r="T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
        <v>0.56999999999999995</v>
      </c>
    </row>
    <row r="68" spans="1:22" x14ac:dyDescent="0.35">
      <c r="A68" t="s">
        <v>132</v>
      </c>
      <c r="B68" s="2">
        <v>45171</v>
      </c>
      <c r="C68" t="str" cm="1">
        <f t="array" ref="C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8">
        <f>YEAR(AllDataCorrected[[#This Row],[Date]])</f>
        <v>2023</v>
      </c>
      <c r="E68" s="1">
        <v>0.45833333333333331</v>
      </c>
      <c r="F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 t="str">
        <f>_xlfn.XLOOKUP(AllDataCorrected[[#This Row],[Location Name]], Locations[Location Name],Locations[Group As])</f>
        <v>Pitch 16</v>
      </c>
      <c r="H68" t="e" vm="1">
        <f>_xlfn.XLOOKUP(AllDataCorrected[[#This Row],[Site Name]],LocationsKey[Site Name],LocationsKey[District])</f>
        <v>#VALUE!</v>
      </c>
      <c r="I68" t="e" vm="12">
        <f>_xlfn.XLOOKUP(AllDataCorrected[[#This Row],[Site Name]],LocationsKey[Site Name],LocationsKey[Town])</f>
        <v>#VALUE!</v>
      </c>
      <c r="J68" t="str">
        <f>_xlfn.XLOOKUP(AllDataCorrected[[#This Row],[Site Name]],LocationsKey[Site Name], LocationsKey[Waterway])</f>
        <v>Avon</v>
      </c>
      <c r="K68" t="s">
        <v>71</v>
      </c>
      <c r="L68">
        <f>_xlfn.XLOOKUP(AllDataCorrected[[#This Row],[Site Name]],Tables!$B$12:$B$100, Tables!C$12:C$100)</f>
        <v>51.289310076923087</v>
      </c>
      <c r="M68">
        <f>_xlfn.XLOOKUP(AllDataCorrected[[#This Row],[Site Name]],Tables!$B$12:$B$100, Tables!D$12:D$100)</f>
        <v>-0.10399761538461544</v>
      </c>
      <c r="N68" t="s">
        <v>31</v>
      </c>
      <c r="O68">
        <v>971</v>
      </c>
      <c r="P68">
        <v>21.7</v>
      </c>
      <c r="Q68">
        <v>10</v>
      </c>
      <c r="R68" t="str">
        <f>IF(AllDataCorrected[[#This Row],[Nitrate (PPM)]]&gt;2, "4. Very high (&gt;2ppm)", IF(AllDataCorrected[[#This Row],[Nitrate (PPM)]]&gt;1, "3. High (1-2ppm)", IF(AllDataCorrected[[#This Row],[Nitrate (PPM)]]&gt;0.5, "2. Some evidence (0.5-1ppm)", IF(AllDataCorrected[[#This Row],[Nitrate (PPM)]]&gt;=0, "1. No evidence (&lt;0.5ppm)"))))</f>
        <v>4. Very high (&gt;2ppm)</v>
      </c>
      <c r="S68">
        <v>0.45</v>
      </c>
      <c r="T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
        <v>0.56999999999999995</v>
      </c>
    </row>
    <row r="69" spans="1:22" x14ac:dyDescent="0.35">
      <c r="A69" t="s">
        <v>133</v>
      </c>
      <c r="B69" s="2">
        <v>45171</v>
      </c>
      <c r="C69" t="str" cm="1">
        <f t="array" ref="C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69">
        <f>YEAR(AllDataCorrected[[#This Row],[Date]])</f>
        <v>2023</v>
      </c>
      <c r="E69" s="1">
        <v>0.60416666666666663</v>
      </c>
      <c r="F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 t="str">
        <f>_xlfn.XLOOKUP(AllDataCorrected[[#This Row],[Location Name]], Locations[Location Name],Locations[Group As])</f>
        <v>Carrant Bredon Rd</v>
      </c>
      <c r="H69" t="e" vm="4">
        <f>_xlfn.XLOOKUP(AllDataCorrected[[#This Row],[Site Name]],LocationsKey[Site Name],LocationsKey[District])</f>
        <v>#VALUE!</v>
      </c>
      <c r="I69" t="e" vm="4">
        <f>_xlfn.XLOOKUP(AllDataCorrected[[#This Row],[Site Name]],LocationsKey[Site Name],LocationsKey[Town])</f>
        <v>#VALUE!</v>
      </c>
      <c r="J69" t="str">
        <f>_xlfn.XLOOKUP(AllDataCorrected[[#This Row],[Site Name]],LocationsKey[Site Name], LocationsKey[Waterway])</f>
        <v>Carrant</v>
      </c>
      <c r="K69" t="s">
        <v>91</v>
      </c>
      <c r="L69">
        <f>_xlfn.XLOOKUP(AllDataCorrected[[#This Row],[Site Name]],Tables!$B$12:$B$100, Tables!C$12:C$100)</f>
        <v>51.996322536231894</v>
      </c>
      <c r="M69">
        <f>_xlfn.XLOOKUP(AllDataCorrected[[#This Row],[Site Name]],Tables!$B$12:$B$100, Tables!D$12:D$100)</f>
        <v>-2.1558410144927538</v>
      </c>
      <c r="N69" t="s">
        <v>25</v>
      </c>
      <c r="O69">
        <v>641</v>
      </c>
      <c r="P69">
        <v>17.3</v>
      </c>
      <c r="Q69">
        <v>6</v>
      </c>
      <c r="R69" t="str">
        <f>IF(AllDataCorrected[[#This Row],[Nitrate (PPM)]]&gt;2, "4. Very high (&gt;2ppm)", IF(AllDataCorrected[[#This Row],[Nitrate (PPM)]]&gt;1, "3. High (1-2ppm)", IF(AllDataCorrected[[#This Row],[Nitrate (PPM)]]&gt;0.5, "2. Some evidence (0.5-1ppm)", IF(AllDataCorrected[[#This Row],[Nitrate (PPM)]]&gt;=0, "1. No evidence (&lt;0.5ppm)"))))</f>
        <v>4. Very high (&gt;2ppm)</v>
      </c>
      <c r="S69">
        <v>0.11</v>
      </c>
      <c r="T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
        <v>0</v>
      </c>
    </row>
    <row r="70" spans="1:22" x14ac:dyDescent="0.35">
      <c r="A70" t="s">
        <v>134</v>
      </c>
      <c r="B70" s="2">
        <v>45171</v>
      </c>
      <c r="C70" t="str" cm="1">
        <f t="array" ref="C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0">
        <f>YEAR(AllDataCorrected[[#This Row],[Date]])</f>
        <v>2023</v>
      </c>
      <c r="E70" s="1">
        <v>0.625</v>
      </c>
      <c r="F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 t="str">
        <f>_xlfn.XLOOKUP(AllDataCorrected[[#This Row],[Location Name]], Locations[Location Name],Locations[Group As])</f>
        <v>Abbey Mill</v>
      </c>
      <c r="H70" t="e" vm="4">
        <f>_xlfn.XLOOKUP(AllDataCorrected[[#This Row],[Site Name]],LocationsKey[Site Name],LocationsKey[District])</f>
        <v>#VALUE!</v>
      </c>
      <c r="I70" t="e" vm="4">
        <f>_xlfn.XLOOKUP(AllDataCorrected[[#This Row],[Site Name]],LocationsKey[Site Name],LocationsKey[Town])</f>
        <v>#VALUE!</v>
      </c>
      <c r="J70" t="str">
        <f>_xlfn.XLOOKUP(AllDataCorrected[[#This Row],[Site Name]],LocationsKey[Site Name], LocationsKey[Waterway])</f>
        <v>Avon</v>
      </c>
      <c r="K70" t="s">
        <v>27</v>
      </c>
      <c r="L70">
        <f>_xlfn.XLOOKUP(AllDataCorrected[[#This Row],[Site Name]],Tables!$B$12:$B$100, Tables!C$12:C$100)</f>
        <v>51.991313075757589</v>
      </c>
      <c r="M70">
        <f>_xlfn.XLOOKUP(AllDataCorrected[[#This Row],[Site Name]],Tables!$B$12:$B$100, Tables!D$12:D$100)</f>
        <v>-2.1621998181818181</v>
      </c>
      <c r="N70" t="s">
        <v>25</v>
      </c>
      <c r="O70">
        <v>1020</v>
      </c>
      <c r="P70">
        <v>19.5</v>
      </c>
      <c r="Q70">
        <v>10</v>
      </c>
      <c r="R70" t="str">
        <f>IF(AllDataCorrected[[#This Row],[Nitrate (PPM)]]&gt;2, "4. Very high (&gt;2ppm)", IF(AllDataCorrected[[#This Row],[Nitrate (PPM)]]&gt;1, "3. High (1-2ppm)", IF(AllDataCorrected[[#This Row],[Nitrate (PPM)]]&gt;0.5, "2. Some evidence (0.5-1ppm)", IF(AllDataCorrected[[#This Row],[Nitrate (PPM)]]&gt;=0, "1. No evidence (&lt;0.5ppm)"))))</f>
        <v>4. Very high (&gt;2ppm)</v>
      </c>
      <c r="S70">
        <v>1.08</v>
      </c>
      <c r="T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
        <v>0</v>
      </c>
    </row>
    <row r="71" spans="1:22" x14ac:dyDescent="0.35">
      <c r="A71" t="s">
        <v>135</v>
      </c>
      <c r="B71" s="2">
        <v>45172</v>
      </c>
      <c r="C71" t="str" cm="1">
        <f t="array" ref="C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1">
        <f>YEAR(AllDataCorrected[[#This Row],[Date]])</f>
        <v>2023</v>
      </c>
      <c r="E71" s="1">
        <v>0.49305555555555558</v>
      </c>
      <c r="F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 t="str">
        <f>_xlfn.XLOOKUP(AllDataCorrected[[#This Row],[Location Name]], Locations[Location Name],Locations[Group As])</f>
        <v>Hampton Wood</v>
      </c>
      <c r="H71" t="e" vm="1">
        <f>_xlfn.XLOOKUP(AllDataCorrected[[#This Row],[Site Name]],LocationsKey[Site Name],LocationsKey[District])</f>
        <v>#VALUE!</v>
      </c>
      <c r="I71" t="e" vm="34">
        <f>_xlfn.XLOOKUP(AllDataCorrected[[#This Row],[Site Name]],LocationsKey[Site Name],LocationsKey[Town])</f>
        <v>#VALUE!</v>
      </c>
      <c r="J71" t="str">
        <f>_xlfn.XLOOKUP(AllDataCorrected[[#This Row],[Site Name]],LocationsKey[Site Name], LocationsKey[Waterway])</f>
        <v>Avon</v>
      </c>
      <c r="K71" t="s">
        <v>36</v>
      </c>
      <c r="L71">
        <f>_xlfn.XLOOKUP(AllDataCorrected[[#This Row],[Site Name]],Tables!$B$12:$B$100, Tables!C$12:C$100)</f>
        <v>52.23814999999999</v>
      </c>
      <c r="M71">
        <f>_xlfn.XLOOKUP(AllDataCorrected[[#This Row],[Site Name]],Tables!$B$12:$B$100, Tables!D$12:D$100)</f>
        <v>-1.6245800000000008</v>
      </c>
      <c r="N71" t="s">
        <v>31</v>
      </c>
      <c r="O71">
        <v>890</v>
      </c>
      <c r="P71">
        <v>21.2</v>
      </c>
      <c r="Q71">
        <v>5</v>
      </c>
      <c r="R71" t="str">
        <f>IF(AllDataCorrected[[#This Row],[Nitrate (PPM)]]&gt;2, "4. Very high (&gt;2ppm)", IF(AllDataCorrected[[#This Row],[Nitrate (PPM)]]&gt;1, "3. High (1-2ppm)", IF(AllDataCorrected[[#This Row],[Nitrate (PPM)]]&gt;0.5, "2. Some evidence (0.5-1ppm)", IF(AllDataCorrected[[#This Row],[Nitrate (PPM)]]&gt;=0, "1. No evidence (&lt;0.5ppm)"))))</f>
        <v>4. Very high (&gt;2ppm)</v>
      </c>
      <c r="S71">
        <v>0.52</v>
      </c>
      <c r="T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
        <v>0</v>
      </c>
    </row>
    <row r="72" spans="1:22" x14ac:dyDescent="0.35">
      <c r="A72" t="s">
        <v>136</v>
      </c>
      <c r="B72" s="2">
        <v>45172</v>
      </c>
      <c r="C72" t="str" cm="1">
        <f t="array" ref="C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2">
        <f>YEAR(AllDataCorrected[[#This Row],[Date]])</f>
        <v>2023</v>
      </c>
      <c r="E72" s="1">
        <v>0.53125</v>
      </c>
      <c r="F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 t="str">
        <f>_xlfn.XLOOKUP(AllDataCorrected[[#This Row],[Location Name]], Locations[Location Name],Locations[Group As])</f>
        <v>Hampton Lucy</v>
      </c>
      <c r="H72" t="e" vm="1">
        <f>_xlfn.XLOOKUP(AllDataCorrected[[#This Row],[Site Name]],LocationsKey[Site Name],LocationsKey[District])</f>
        <v>#VALUE!</v>
      </c>
      <c r="I72" t="e" vm="33">
        <f>_xlfn.XLOOKUP(AllDataCorrected[[#This Row],[Site Name]],LocationsKey[Site Name],LocationsKey[Town])</f>
        <v>#VALUE!</v>
      </c>
      <c r="J72" t="str">
        <f>_xlfn.XLOOKUP(AllDataCorrected[[#This Row],[Site Name]],LocationsKey[Site Name], LocationsKey[Waterway])</f>
        <v>Avon</v>
      </c>
      <c r="K72" t="s">
        <v>39</v>
      </c>
      <c r="L72">
        <f>_xlfn.XLOOKUP(AllDataCorrected[[#This Row],[Site Name]],Tables!$B$12:$B$100, Tables!C$12:C$100)</f>
        <v>52.211679999999973</v>
      </c>
      <c r="M72">
        <f>_xlfn.XLOOKUP(AllDataCorrected[[#This Row],[Site Name]],Tables!$B$12:$B$100, Tables!D$12:D$100)</f>
        <v>-1.6244400000000001</v>
      </c>
      <c r="N72" t="s">
        <v>25</v>
      </c>
      <c r="O72">
        <v>834</v>
      </c>
      <c r="P72">
        <v>21.1</v>
      </c>
      <c r="Q72">
        <v>6</v>
      </c>
      <c r="R72" t="str">
        <f>IF(AllDataCorrected[[#This Row],[Nitrate (PPM)]]&gt;2, "4. Very high (&gt;2ppm)", IF(AllDataCorrected[[#This Row],[Nitrate (PPM)]]&gt;1, "3. High (1-2ppm)", IF(AllDataCorrected[[#This Row],[Nitrate (PPM)]]&gt;0.5, "2. Some evidence (0.5-1ppm)", IF(AllDataCorrected[[#This Row],[Nitrate (PPM)]]&gt;=0, "1. No evidence (&lt;0.5ppm)"))))</f>
        <v>4. Very high (&gt;2ppm)</v>
      </c>
      <c r="S72">
        <v>0.53</v>
      </c>
      <c r="T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
        <v>0</v>
      </c>
    </row>
    <row r="73" spans="1:22" x14ac:dyDescent="0.35">
      <c r="A73" t="s">
        <v>137</v>
      </c>
      <c r="B73" s="2">
        <v>45172</v>
      </c>
      <c r="C73" t="str" cm="1">
        <f t="array" ref="C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3">
        <f>YEAR(AllDataCorrected[[#This Row],[Date]])</f>
        <v>2023</v>
      </c>
      <c r="E73" s="1">
        <v>0.75</v>
      </c>
      <c r="F7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73" t="str">
        <f>_xlfn.XLOOKUP(AllDataCorrected[[#This Row],[Location Name]], Locations[Location Name],Locations[Group As])</f>
        <v>Welford Boat Station</v>
      </c>
      <c r="H73" t="e" vm="1">
        <f>_xlfn.XLOOKUP(AllDataCorrected[[#This Row],[Site Name]],LocationsKey[Site Name],LocationsKey[District])</f>
        <v>#VALUE!</v>
      </c>
      <c r="I73" t="e" vm="36">
        <f>_xlfn.XLOOKUP(AllDataCorrected[[#This Row],[Site Name]],LocationsKey[Site Name],LocationsKey[Town])</f>
        <v>#VALUE!</v>
      </c>
      <c r="J73" t="str">
        <f>_xlfn.XLOOKUP(AllDataCorrected[[#This Row],[Site Name]],LocationsKey[Site Name], LocationsKey[Waterway])</f>
        <v>Avon</v>
      </c>
      <c r="K73" t="s">
        <v>41</v>
      </c>
      <c r="L73">
        <f>_xlfn.XLOOKUP(AllDataCorrected[[#This Row],[Site Name]],Tables!$B$12:$B$100, Tables!C$12:C$100)</f>
        <v>52.175174684210546</v>
      </c>
      <c r="M73">
        <f>_xlfn.XLOOKUP(AllDataCorrected[[#This Row],[Site Name]],Tables!$B$12:$B$100, Tables!D$12:D$100)</f>
        <v>-1.7918551052631577</v>
      </c>
      <c r="N73" t="s">
        <v>31</v>
      </c>
      <c r="O73">
        <v>992</v>
      </c>
      <c r="P73">
        <v>20.100000000000001</v>
      </c>
      <c r="Q73">
        <v>4.5</v>
      </c>
      <c r="R73" t="str">
        <f>IF(AllDataCorrected[[#This Row],[Nitrate (PPM)]]&gt;2, "4. Very high (&gt;2ppm)", IF(AllDataCorrected[[#This Row],[Nitrate (PPM)]]&gt;1, "3. High (1-2ppm)", IF(AllDataCorrected[[#This Row],[Nitrate (PPM)]]&gt;0.5, "2. Some evidence (0.5-1ppm)", IF(AllDataCorrected[[#This Row],[Nitrate (PPM)]]&gt;=0, "1. No evidence (&lt;0.5ppm)"))))</f>
        <v>4. Very high (&gt;2ppm)</v>
      </c>
      <c r="S73">
        <v>0.54</v>
      </c>
      <c r="T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
        <v>0</v>
      </c>
      <c r="V73" t="s">
        <v>138</v>
      </c>
    </row>
    <row r="74" spans="1:22" x14ac:dyDescent="0.35">
      <c r="A74" t="s">
        <v>139</v>
      </c>
      <c r="B74" s="2">
        <v>45173</v>
      </c>
      <c r="C74" t="str" cm="1">
        <f t="array" ref="C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4">
        <f>YEAR(AllDataCorrected[[#This Row],[Date]])</f>
        <v>2023</v>
      </c>
      <c r="E74" s="1">
        <v>0.71180555555555558</v>
      </c>
      <c r="F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 t="str">
        <f>_xlfn.XLOOKUP(AllDataCorrected[[#This Row],[Location Name]], Locations[Location Name],Locations[Group As])</f>
        <v>Weston-on-Avon</v>
      </c>
      <c r="H74" t="e" vm="1">
        <f>_xlfn.XLOOKUP(AllDataCorrected[[#This Row],[Site Name]],LocationsKey[Site Name],LocationsKey[District])</f>
        <v>#VALUE!</v>
      </c>
      <c r="I74" t="e" vm="35">
        <f>_xlfn.XLOOKUP(AllDataCorrected[[#This Row],[Site Name]],LocationsKey[Site Name],LocationsKey[Town])</f>
        <v>#VALUE!</v>
      </c>
      <c r="J74" t="str">
        <f>_xlfn.XLOOKUP(AllDataCorrected[[#This Row],[Site Name]],LocationsKey[Site Name], LocationsKey[Waterway])</f>
        <v>Avon</v>
      </c>
      <c r="K74" t="s">
        <v>43</v>
      </c>
      <c r="L74">
        <f>_xlfn.XLOOKUP(AllDataCorrected[[#This Row],[Site Name]],Tables!$B$12:$B$100, Tables!C$12:C$100)</f>
        <v>52.167429999999996</v>
      </c>
      <c r="M74">
        <f>_xlfn.XLOOKUP(AllDataCorrected[[#This Row],[Site Name]],Tables!$B$12:$B$100, Tables!D$12:D$100)</f>
        <v>-1.7744752941176474</v>
      </c>
      <c r="N74" t="s">
        <v>31</v>
      </c>
      <c r="O74">
        <v>976</v>
      </c>
      <c r="P74">
        <v>21.6</v>
      </c>
      <c r="Q74">
        <v>4</v>
      </c>
      <c r="R74" t="str">
        <f>IF(AllDataCorrected[[#This Row],[Nitrate (PPM)]]&gt;2, "4. Very high (&gt;2ppm)", IF(AllDataCorrected[[#This Row],[Nitrate (PPM)]]&gt;1, "3. High (1-2ppm)", IF(AllDataCorrected[[#This Row],[Nitrate (PPM)]]&gt;0.5, "2. Some evidence (0.5-1ppm)", IF(AllDataCorrected[[#This Row],[Nitrate (PPM)]]&gt;=0, "1. No evidence (&lt;0.5ppm)"))))</f>
        <v>4. Very high (&gt;2ppm)</v>
      </c>
      <c r="S74">
        <v>0.7</v>
      </c>
      <c r="T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
        <v>0</v>
      </c>
    </row>
    <row r="75" spans="1:22" x14ac:dyDescent="0.35">
      <c r="A75" t="s">
        <v>140</v>
      </c>
      <c r="B75" s="2">
        <v>45175</v>
      </c>
      <c r="C75" t="str" cm="1">
        <f t="array" ref="C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5">
        <f>YEAR(AllDataCorrected[[#This Row],[Date]])</f>
        <v>2023</v>
      </c>
      <c r="E75" s="1">
        <v>0.65694444444444444</v>
      </c>
      <c r="F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 t="str">
        <f>_xlfn.XLOOKUP(AllDataCorrected[[#This Row],[Location Name]], Locations[Location Name],Locations[Group As])</f>
        <v>Stour Newbold Mill</v>
      </c>
      <c r="H75" t="e" vm="1">
        <f>_xlfn.XLOOKUP(AllDataCorrected[[#This Row],[Site Name]],LocationsKey[Site Name],LocationsKey[District])</f>
        <v>#VALUE!</v>
      </c>
      <c r="I75" t="e" vm="27">
        <f>_xlfn.XLOOKUP(AllDataCorrected[[#This Row],[Site Name]],LocationsKey[Site Name],LocationsKey[Town])</f>
        <v>#VALUE!</v>
      </c>
      <c r="J75" t="str">
        <f>_xlfn.XLOOKUP(AllDataCorrected[[#This Row],[Site Name]],LocationsKey[Site Name], LocationsKey[Waterway])</f>
        <v>Stour</v>
      </c>
      <c r="K75" t="s">
        <v>141</v>
      </c>
      <c r="L75">
        <f>_xlfn.XLOOKUP(AllDataCorrected[[#This Row],[Site Name]],Tables!$B$12:$B$100, Tables!C$12:C$100)</f>
        <v>52.113052370370369</v>
      </c>
      <c r="M75">
        <f>_xlfn.XLOOKUP(AllDataCorrected[[#This Row],[Site Name]],Tables!$B$12:$B$100, Tables!D$12:D$100)</f>
        <v>-1.6333685185185181</v>
      </c>
      <c r="N75" t="s">
        <v>31</v>
      </c>
      <c r="O75">
        <v>694</v>
      </c>
      <c r="P75">
        <v>19.7</v>
      </c>
      <c r="Q75">
        <v>10</v>
      </c>
      <c r="R75" t="str">
        <f>IF(AllDataCorrected[[#This Row],[Nitrate (PPM)]]&gt;2, "4. Very high (&gt;2ppm)", IF(AllDataCorrected[[#This Row],[Nitrate (PPM)]]&gt;1, "3. High (1-2ppm)", IF(AllDataCorrected[[#This Row],[Nitrate (PPM)]]&gt;0.5, "2. Some evidence (0.5-1ppm)", IF(AllDataCorrected[[#This Row],[Nitrate (PPM)]]&gt;=0, "1. No evidence (&lt;0.5ppm)"))))</f>
        <v>4. Very high (&gt;2ppm)</v>
      </c>
      <c r="S75">
        <v>0.56999999999999995</v>
      </c>
      <c r="T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
        <v>2</v>
      </c>
      <c r="V75" t="s">
        <v>142</v>
      </c>
    </row>
    <row r="76" spans="1:22" x14ac:dyDescent="0.35">
      <c r="A76" t="s">
        <v>143</v>
      </c>
      <c r="B76" s="2">
        <v>45176</v>
      </c>
      <c r="C76" t="str" cm="1">
        <f t="array" ref="C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6">
        <f>YEAR(AllDataCorrected[[#This Row],[Date]])</f>
        <v>2023</v>
      </c>
      <c r="E76" s="1">
        <v>0.46527777777777779</v>
      </c>
      <c r="F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 t="str">
        <f>_xlfn.XLOOKUP(AllDataCorrected[[#This Row],[Location Name]], Locations[Location Name],Locations[Group As])</f>
        <v>Swilgate</v>
      </c>
      <c r="H76" t="e" vm="4">
        <f>_xlfn.XLOOKUP(AllDataCorrected[[#This Row],[Site Name]],LocationsKey[Site Name],LocationsKey[District])</f>
        <v>#VALUE!</v>
      </c>
      <c r="I76" t="e" vm="4">
        <f>_xlfn.XLOOKUP(AllDataCorrected[[#This Row],[Site Name]],LocationsKey[Site Name],LocationsKey[Town])</f>
        <v>#VALUE!</v>
      </c>
      <c r="J76" t="str">
        <f>_xlfn.XLOOKUP(AllDataCorrected[[#This Row],[Site Name]],LocationsKey[Site Name], LocationsKey[Waterway])</f>
        <v>Swilgate</v>
      </c>
      <c r="K76" t="s">
        <v>85</v>
      </c>
      <c r="L76">
        <f>_xlfn.XLOOKUP(AllDataCorrected[[#This Row],[Site Name]],Tables!$B$12:$B$100, Tables!C$12:C$100)</f>
        <v>51.988591500000005</v>
      </c>
      <c r="M76">
        <f>_xlfn.XLOOKUP(AllDataCorrected[[#This Row],[Site Name]],Tables!$B$12:$B$100, Tables!D$12:D$100)</f>
        <v>-2.163898333333333</v>
      </c>
      <c r="N76" t="s">
        <v>25</v>
      </c>
      <c r="O76">
        <v>111</v>
      </c>
      <c r="P76">
        <v>20.2</v>
      </c>
      <c r="Q76">
        <v>8</v>
      </c>
      <c r="R76" t="str">
        <f>IF(AllDataCorrected[[#This Row],[Nitrate (PPM)]]&gt;2, "4. Very high (&gt;2ppm)", IF(AllDataCorrected[[#This Row],[Nitrate (PPM)]]&gt;1, "3. High (1-2ppm)", IF(AllDataCorrected[[#This Row],[Nitrate (PPM)]]&gt;0.5, "2. Some evidence (0.5-1ppm)", IF(AllDataCorrected[[#This Row],[Nitrate (PPM)]]&gt;=0, "1. No evidence (&lt;0.5ppm)"))))</f>
        <v>4. Very high (&gt;2ppm)</v>
      </c>
      <c r="U76">
        <v>0</v>
      </c>
      <c r="V76" t="s">
        <v>144</v>
      </c>
    </row>
    <row r="77" spans="1:22" x14ac:dyDescent="0.35">
      <c r="A77" t="s">
        <v>145</v>
      </c>
      <c r="B77" s="2">
        <v>45176</v>
      </c>
      <c r="C77" t="str" cm="1">
        <f t="array" ref="C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7">
        <f>YEAR(AllDataCorrected[[#This Row],[Date]])</f>
        <v>2023</v>
      </c>
      <c r="E77" s="1">
        <v>0.55347222222222225</v>
      </c>
      <c r="F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 t="str">
        <f>_xlfn.XLOOKUP(AllDataCorrected[[#This Row],[Location Name]], Locations[Location Name],Locations[Group As])</f>
        <v>Preston-on-Stour River Bridge</v>
      </c>
      <c r="H77" t="e" vm="1">
        <f>_xlfn.XLOOKUP(AllDataCorrected[[#This Row],[Site Name]],LocationsKey[Site Name],LocationsKey[District])</f>
        <v>#VALUE!</v>
      </c>
      <c r="I77" t="e" vm="20">
        <f>_xlfn.XLOOKUP(AllDataCorrected[[#This Row],[Site Name]],LocationsKey[Site Name],LocationsKey[Town])</f>
        <v>#VALUE!</v>
      </c>
      <c r="J77" t="str">
        <f>_xlfn.XLOOKUP(AllDataCorrected[[#This Row],[Site Name]],LocationsKey[Site Name], LocationsKey[Waterway])</f>
        <v>Stour</v>
      </c>
      <c r="K77" t="s">
        <v>146</v>
      </c>
      <c r="L77">
        <f>_xlfn.XLOOKUP(AllDataCorrected[[#This Row],[Site Name]],Tables!$B$12:$B$100, Tables!C$12:C$100)</f>
        <v>52.146672352941174</v>
      </c>
      <c r="M77">
        <f>_xlfn.XLOOKUP(AllDataCorrected[[#This Row],[Site Name]],Tables!$B$12:$B$100, Tables!D$12:D$100)</f>
        <v>-1.6984533333333334</v>
      </c>
      <c r="N77" t="s">
        <v>31</v>
      </c>
      <c r="O77">
        <v>712</v>
      </c>
      <c r="P77">
        <v>21.4</v>
      </c>
      <c r="Q77">
        <v>5</v>
      </c>
      <c r="R77" t="str">
        <f>IF(AllDataCorrected[[#This Row],[Nitrate (PPM)]]&gt;2, "4. Very high (&gt;2ppm)", IF(AllDataCorrected[[#This Row],[Nitrate (PPM)]]&gt;1, "3. High (1-2ppm)", IF(AllDataCorrected[[#This Row],[Nitrate (PPM)]]&gt;0.5, "2. Some evidence (0.5-1ppm)", IF(AllDataCorrected[[#This Row],[Nitrate (PPM)]]&gt;=0, "1. No evidence (&lt;0.5ppm)"))))</f>
        <v>4. Very high (&gt;2ppm)</v>
      </c>
      <c r="S77">
        <v>0.6</v>
      </c>
      <c r="T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
        <v>4</v>
      </c>
      <c r="V77" t="s">
        <v>147</v>
      </c>
    </row>
    <row r="78" spans="1:22" x14ac:dyDescent="0.35">
      <c r="A78" t="s">
        <v>148</v>
      </c>
      <c r="B78" s="2">
        <v>45178</v>
      </c>
      <c r="C78" t="str" cm="1">
        <f t="array" ref="C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8">
        <f>YEAR(AllDataCorrected[[#This Row],[Date]])</f>
        <v>2023</v>
      </c>
      <c r="E78" s="1">
        <v>0.46875</v>
      </c>
      <c r="F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 t="str">
        <f>_xlfn.XLOOKUP(AllDataCorrected[[#This Row],[Location Name]], Locations[Location Name],Locations[Group As])</f>
        <v>Avonbank Drive</v>
      </c>
      <c r="H78" t="e" vm="1">
        <f>_xlfn.XLOOKUP(AllDataCorrected[[#This Row],[Site Name]],LocationsKey[Site Name],LocationsKey[District])</f>
        <v>#VALUE!</v>
      </c>
      <c r="I78" t="e" vm="12">
        <f>_xlfn.XLOOKUP(AllDataCorrected[[#This Row],[Site Name]],LocationsKey[Site Name],LocationsKey[Town])</f>
        <v>#VALUE!</v>
      </c>
      <c r="J78" t="str">
        <f>_xlfn.XLOOKUP(AllDataCorrected[[#This Row],[Site Name]],LocationsKey[Site Name], LocationsKey[Waterway])</f>
        <v>Avon</v>
      </c>
      <c r="K78" t="s">
        <v>104</v>
      </c>
      <c r="L78">
        <f>_xlfn.XLOOKUP(AllDataCorrected[[#This Row],[Site Name]],Tables!$B$12:$B$100, Tables!C$12:C$100)</f>
        <v>51.566927775862098</v>
      </c>
      <c r="M78">
        <f>_xlfn.XLOOKUP(AllDataCorrected[[#This Row],[Site Name]],Tables!$B$12:$B$100, Tables!D$12:D$100)</f>
        <v>-7.2113336724137929</v>
      </c>
      <c r="N78" t="s">
        <v>68</v>
      </c>
      <c r="O78">
        <v>1030</v>
      </c>
      <c r="P78">
        <v>22.7</v>
      </c>
      <c r="Q78">
        <v>15</v>
      </c>
      <c r="R78" t="str">
        <f>IF(AllDataCorrected[[#This Row],[Nitrate (PPM)]]&gt;2, "4. Very high (&gt;2ppm)", IF(AllDataCorrected[[#This Row],[Nitrate (PPM)]]&gt;1, "3. High (1-2ppm)", IF(AllDataCorrected[[#This Row],[Nitrate (PPM)]]&gt;0.5, "2. Some evidence (0.5-1ppm)", IF(AllDataCorrected[[#This Row],[Nitrate (PPM)]]&gt;=0, "1. No evidence (&lt;0.5ppm)"))))</f>
        <v>4. Very high (&gt;2ppm)</v>
      </c>
      <c r="S78">
        <v>0.67</v>
      </c>
      <c r="T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
        <v>1</v>
      </c>
    </row>
    <row r="79" spans="1:22" x14ac:dyDescent="0.35">
      <c r="A79" t="s">
        <v>149</v>
      </c>
      <c r="B79" s="2">
        <v>45178</v>
      </c>
      <c r="C79" t="str" cm="1">
        <f t="array" ref="C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79">
        <f>YEAR(AllDataCorrected[[#This Row],[Date]])</f>
        <v>2023</v>
      </c>
      <c r="E79" s="1">
        <v>0.4861111111111111</v>
      </c>
      <c r="F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 t="str">
        <f>_xlfn.XLOOKUP(AllDataCorrected[[#This Row],[Location Name]], Locations[Location Name],Locations[Group As])</f>
        <v>Pitch 16</v>
      </c>
      <c r="H79" t="e" vm="1">
        <f>_xlfn.XLOOKUP(AllDataCorrected[[#This Row],[Site Name]],LocationsKey[Site Name],LocationsKey[District])</f>
        <v>#VALUE!</v>
      </c>
      <c r="I79" t="e" vm="12">
        <f>_xlfn.XLOOKUP(AllDataCorrected[[#This Row],[Site Name]],LocationsKey[Site Name],LocationsKey[Town])</f>
        <v>#VALUE!</v>
      </c>
      <c r="J79" t="str">
        <f>_xlfn.XLOOKUP(AllDataCorrected[[#This Row],[Site Name]],LocationsKey[Site Name], LocationsKey[Waterway])</f>
        <v>Avon</v>
      </c>
      <c r="K79" t="s">
        <v>71</v>
      </c>
      <c r="L79">
        <f>_xlfn.XLOOKUP(AllDataCorrected[[#This Row],[Site Name]],Tables!$B$12:$B$100, Tables!C$12:C$100)</f>
        <v>51.289310076923087</v>
      </c>
      <c r="M79">
        <f>_xlfn.XLOOKUP(AllDataCorrected[[#This Row],[Site Name]],Tables!$B$12:$B$100, Tables!D$12:D$100)</f>
        <v>-0.10399761538461544</v>
      </c>
      <c r="N79" t="s">
        <v>31</v>
      </c>
      <c r="O79">
        <v>1010</v>
      </c>
      <c r="P79">
        <v>24.4</v>
      </c>
      <c r="Q79">
        <v>15</v>
      </c>
      <c r="R79" t="str">
        <f>IF(AllDataCorrected[[#This Row],[Nitrate (PPM)]]&gt;2, "4. Very high (&gt;2ppm)", IF(AllDataCorrected[[#This Row],[Nitrate (PPM)]]&gt;1, "3. High (1-2ppm)", IF(AllDataCorrected[[#This Row],[Nitrate (PPM)]]&gt;0.5, "2. Some evidence (0.5-1ppm)", IF(AllDataCorrected[[#This Row],[Nitrate (PPM)]]&gt;=0, "1. No evidence (&lt;0.5ppm)"))))</f>
        <v>4. Very high (&gt;2ppm)</v>
      </c>
      <c r="S79">
        <v>0.69</v>
      </c>
      <c r="T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
        <v>1</v>
      </c>
    </row>
    <row r="80" spans="1:22" x14ac:dyDescent="0.35">
      <c r="A80" t="s">
        <v>150</v>
      </c>
      <c r="B80" s="2">
        <v>45178</v>
      </c>
      <c r="C80" t="str" cm="1">
        <f t="array" ref="C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0">
        <f>YEAR(AllDataCorrected[[#This Row],[Date]])</f>
        <v>2023</v>
      </c>
      <c r="E80" s="1">
        <v>0.58333333333333337</v>
      </c>
      <c r="F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 t="str">
        <f>_xlfn.XLOOKUP(AllDataCorrected[[#This Row],[Location Name]], Locations[Location Name],Locations[Group As])</f>
        <v>Carrant Bredon Rd</v>
      </c>
      <c r="H80" t="e" vm="4">
        <f>_xlfn.XLOOKUP(AllDataCorrected[[#This Row],[Site Name]],LocationsKey[Site Name],LocationsKey[District])</f>
        <v>#VALUE!</v>
      </c>
      <c r="I80" t="e" vm="4">
        <f>_xlfn.XLOOKUP(AllDataCorrected[[#This Row],[Site Name]],LocationsKey[Site Name],LocationsKey[Town])</f>
        <v>#VALUE!</v>
      </c>
      <c r="J80" t="str">
        <f>_xlfn.XLOOKUP(AllDataCorrected[[#This Row],[Site Name]],LocationsKey[Site Name], LocationsKey[Waterway])</f>
        <v>Carrant</v>
      </c>
      <c r="K80" t="s">
        <v>91</v>
      </c>
      <c r="L80">
        <f>_xlfn.XLOOKUP(AllDataCorrected[[#This Row],[Site Name]],Tables!$B$12:$B$100, Tables!C$12:C$100)</f>
        <v>51.996322536231894</v>
      </c>
      <c r="M80">
        <f>_xlfn.XLOOKUP(AllDataCorrected[[#This Row],[Site Name]],Tables!$B$12:$B$100, Tables!D$12:D$100)</f>
        <v>-2.1558410144927538</v>
      </c>
      <c r="N80" t="s">
        <v>25</v>
      </c>
      <c r="O80">
        <v>684</v>
      </c>
      <c r="P80">
        <v>21.3</v>
      </c>
      <c r="Q80">
        <v>8</v>
      </c>
      <c r="R80" t="str">
        <f>IF(AllDataCorrected[[#This Row],[Nitrate (PPM)]]&gt;2, "4. Very high (&gt;2ppm)", IF(AllDataCorrected[[#This Row],[Nitrate (PPM)]]&gt;1, "3. High (1-2ppm)", IF(AllDataCorrected[[#This Row],[Nitrate (PPM)]]&gt;0.5, "2. Some evidence (0.5-1ppm)", IF(AllDataCorrected[[#This Row],[Nitrate (PPM)]]&gt;=0, "1. No evidence (&lt;0.5ppm)"))))</f>
        <v>4. Very high (&gt;2ppm)</v>
      </c>
      <c r="S80">
        <v>0.6</v>
      </c>
      <c r="T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
        <v>0</v>
      </c>
    </row>
    <row r="81" spans="1:22" x14ac:dyDescent="0.35">
      <c r="A81" t="s">
        <v>151</v>
      </c>
      <c r="B81" s="2">
        <v>45179</v>
      </c>
      <c r="C81" t="str" cm="1">
        <f t="array" ref="C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1">
        <f>YEAR(AllDataCorrected[[#This Row],[Date]])</f>
        <v>2023</v>
      </c>
      <c r="E81" s="1">
        <v>0.4861111111111111</v>
      </c>
      <c r="F8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 t="str">
        <f>_xlfn.XLOOKUP(AllDataCorrected[[#This Row],[Location Name]], Locations[Location Name],Locations[Group As])</f>
        <v>Hampton Wood</v>
      </c>
      <c r="H81" t="e" vm="1">
        <f>_xlfn.XLOOKUP(AllDataCorrected[[#This Row],[Site Name]],LocationsKey[Site Name],LocationsKey[District])</f>
        <v>#VALUE!</v>
      </c>
      <c r="I81" t="e" vm="34">
        <f>_xlfn.XLOOKUP(AllDataCorrected[[#This Row],[Site Name]],LocationsKey[Site Name],LocationsKey[Town])</f>
        <v>#VALUE!</v>
      </c>
      <c r="J81" t="str">
        <f>_xlfn.XLOOKUP(AllDataCorrected[[#This Row],[Site Name]],LocationsKey[Site Name], LocationsKey[Waterway])</f>
        <v>Avon</v>
      </c>
      <c r="K81" t="s">
        <v>36</v>
      </c>
      <c r="L81">
        <f>_xlfn.XLOOKUP(AllDataCorrected[[#This Row],[Site Name]],Tables!$B$12:$B$100, Tables!C$12:C$100)</f>
        <v>52.23814999999999</v>
      </c>
      <c r="M81">
        <f>_xlfn.XLOOKUP(AllDataCorrected[[#This Row],[Site Name]],Tables!$B$12:$B$100, Tables!D$12:D$100)</f>
        <v>-1.6245800000000008</v>
      </c>
      <c r="N81" t="s">
        <v>31</v>
      </c>
      <c r="O81">
        <v>984</v>
      </c>
      <c r="P81">
        <v>22.3</v>
      </c>
      <c r="Q81">
        <v>6</v>
      </c>
      <c r="R81" t="str">
        <f>IF(AllDataCorrected[[#This Row],[Nitrate (PPM)]]&gt;2, "4. Very high (&gt;2ppm)", IF(AllDataCorrected[[#This Row],[Nitrate (PPM)]]&gt;1, "3. High (1-2ppm)", IF(AllDataCorrected[[#This Row],[Nitrate (PPM)]]&gt;0.5, "2. Some evidence (0.5-1ppm)", IF(AllDataCorrected[[#This Row],[Nitrate (PPM)]]&gt;=0, "1. No evidence (&lt;0.5ppm)"))))</f>
        <v>4. Very high (&gt;2ppm)</v>
      </c>
      <c r="S81">
        <v>0.5</v>
      </c>
      <c r="T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
        <v>0</v>
      </c>
    </row>
    <row r="82" spans="1:22" x14ac:dyDescent="0.35">
      <c r="A82" t="s">
        <v>152</v>
      </c>
      <c r="B82" s="2">
        <v>45179</v>
      </c>
      <c r="C82" t="str" cm="1">
        <f t="array" ref="C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2">
        <f>YEAR(AllDataCorrected[[#This Row],[Date]])</f>
        <v>2023</v>
      </c>
      <c r="E82" s="1">
        <v>0.52083333333333337</v>
      </c>
      <c r="F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 t="str">
        <f>_xlfn.XLOOKUP(AllDataCorrected[[#This Row],[Location Name]], Locations[Location Name],Locations[Group As])</f>
        <v>Hampton Lucy</v>
      </c>
      <c r="H82" t="e" vm="1">
        <f>_xlfn.XLOOKUP(AllDataCorrected[[#This Row],[Site Name]],LocationsKey[Site Name],LocationsKey[District])</f>
        <v>#VALUE!</v>
      </c>
      <c r="I82" t="e" vm="33">
        <f>_xlfn.XLOOKUP(AllDataCorrected[[#This Row],[Site Name]],LocationsKey[Site Name],LocationsKey[Town])</f>
        <v>#VALUE!</v>
      </c>
      <c r="J82" t="str">
        <f>_xlfn.XLOOKUP(AllDataCorrected[[#This Row],[Site Name]],LocationsKey[Site Name], LocationsKey[Waterway])</f>
        <v>Avon</v>
      </c>
      <c r="K82" t="s">
        <v>39</v>
      </c>
      <c r="L82">
        <f>_xlfn.XLOOKUP(AllDataCorrected[[#This Row],[Site Name]],Tables!$B$12:$B$100, Tables!C$12:C$100)</f>
        <v>52.211679999999973</v>
      </c>
      <c r="M82">
        <f>_xlfn.XLOOKUP(AllDataCorrected[[#This Row],[Site Name]],Tables!$B$12:$B$100, Tables!D$12:D$100)</f>
        <v>-1.6244400000000001</v>
      </c>
      <c r="N82" t="s">
        <v>25</v>
      </c>
      <c r="O82">
        <v>964</v>
      </c>
      <c r="P82">
        <v>21.6</v>
      </c>
      <c r="Q82">
        <v>7</v>
      </c>
      <c r="R82" t="str">
        <f>IF(AllDataCorrected[[#This Row],[Nitrate (PPM)]]&gt;2, "4. Very high (&gt;2ppm)", IF(AllDataCorrected[[#This Row],[Nitrate (PPM)]]&gt;1, "3. High (1-2ppm)", IF(AllDataCorrected[[#This Row],[Nitrate (PPM)]]&gt;0.5, "2. Some evidence (0.5-1ppm)", IF(AllDataCorrected[[#This Row],[Nitrate (PPM)]]&gt;=0, "1. No evidence (&lt;0.5ppm)"))))</f>
        <v>4. Very high (&gt;2ppm)</v>
      </c>
      <c r="S82">
        <v>0.69</v>
      </c>
      <c r="T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
        <v>0</v>
      </c>
    </row>
    <row r="83" spans="1:22" x14ac:dyDescent="0.35">
      <c r="A83" t="s">
        <v>153</v>
      </c>
      <c r="B83" s="2">
        <v>45179</v>
      </c>
      <c r="C83" t="str" cm="1">
        <f t="array" ref="C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3">
        <f>YEAR(AllDataCorrected[[#This Row],[Date]])</f>
        <v>2023</v>
      </c>
      <c r="E83" s="1">
        <v>0.75486111111111109</v>
      </c>
      <c r="F8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3" t="str">
        <f>_xlfn.XLOOKUP(AllDataCorrected[[#This Row],[Location Name]], Locations[Location Name],Locations[Group As])</f>
        <v>Abbey Mill</v>
      </c>
      <c r="H83" t="e" vm="4">
        <f>_xlfn.XLOOKUP(AllDataCorrected[[#This Row],[Site Name]],LocationsKey[Site Name],LocationsKey[District])</f>
        <v>#VALUE!</v>
      </c>
      <c r="I83" t="e" vm="4">
        <f>_xlfn.XLOOKUP(AllDataCorrected[[#This Row],[Site Name]],LocationsKey[Site Name],LocationsKey[Town])</f>
        <v>#VALUE!</v>
      </c>
      <c r="J83" t="str">
        <f>_xlfn.XLOOKUP(AllDataCorrected[[#This Row],[Site Name]],LocationsKey[Site Name], LocationsKey[Waterway])</f>
        <v>Avon</v>
      </c>
      <c r="K83" t="s">
        <v>27</v>
      </c>
      <c r="L83">
        <f>_xlfn.XLOOKUP(AllDataCorrected[[#This Row],[Site Name]],Tables!$B$12:$B$100, Tables!C$12:C$100)</f>
        <v>51.991313075757589</v>
      </c>
      <c r="M83">
        <f>_xlfn.XLOOKUP(AllDataCorrected[[#This Row],[Site Name]],Tables!$B$12:$B$100, Tables!D$12:D$100)</f>
        <v>-2.1621998181818181</v>
      </c>
      <c r="N83" t="s">
        <v>25</v>
      </c>
      <c r="O83">
        <v>1020</v>
      </c>
      <c r="P83">
        <v>23.3</v>
      </c>
      <c r="Q83">
        <v>10</v>
      </c>
      <c r="R83" t="str">
        <f>IF(AllDataCorrected[[#This Row],[Nitrate (PPM)]]&gt;2, "4. Very high (&gt;2ppm)", IF(AllDataCorrected[[#This Row],[Nitrate (PPM)]]&gt;1, "3. High (1-2ppm)", IF(AllDataCorrected[[#This Row],[Nitrate (PPM)]]&gt;0.5, "2. Some evidence (0.5-1ppm)", IF(AllDataCorrected[[#This Row],[Nitrate (PPM)]]&gt;=0, "1. No evidence (&lt;0.5ppm)"))))</f>
        <v>4. Very high (&gt;2ppm)</v>
      </c>
      <c r="S83">
        <v>0.97</v>
      </c>
      <c r="T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
        <v>0</v>
      </c>
    </row>
    <row r="84" spans="1:22" x14ac:dyDescent="0.35">
      <c r="A84" t="s">
        <v>154</v>
      </c>
      <c r="B84" s="2">
        <v>45180</v>
      </c>
      <c r="C84" t="str" cm="1">
        <f t="array" ref="C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4">
        <f>YEAR(AllDataCorrected[[#This Row],[Date]])</f>
        <v>2023</v>
      </c>
      <c r="E84" s="1">
        <v>0.78472222222222221</v>
      </c>
      <c r="F8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4" t="str">
        <f>_xlfn.XLOOKUP(AllDataCorrected[[#This Row],[Location Name]], Locations[Location Name],Locations[Group As])</f>
        <v>Stour Shipston Mill Bridge</v>
      </c>
      <c r="H84" t="e" vm="1">
        <f>_xlfn.XLOOKUP(AllDataCorrected[[#This Row],[Site Name]],LocationsKey[Site Name],LocationsKey[District])</f>
        <v>#VALUE!</v>
      </c>
      <c r="I84" t="e" vm="15">
        <f>_xlfn.XLOOKUP(AllDataCorrected[[#This Row],[Site Name]],LocationsKey[Site Name],LocationsKey[Town])</f>
        <v>#VALUE!</v>
      </c>
      <c r="J84" t="str">
        <f>_xlfn.XLOOKUP(AllDataCorrected[[#This Row],[Site Name]],LocationsKey[Site Name], LocationsKey[Waterway])</f>
        <v>Stour</v>
      </c>
      <c r="K84" t="s">
        <v>155</v>
      </c>
      <c r="L84">
        <f>_xlfn.XLOOKUP(AllDataCorrected[[#This Row],[Site Name]],Tables!$B$12:$B$100, Tables!C$12:C$100)</f>
        <v>52.062214921052629</v>
      </c>
      <c r="M84">
        <f>_xlfn.XLOOKUP(AllDataCorrected[[#This Row],[Site Name]],Tables!$B$12:$B$100, Tables!D$12:D$100)</f>
        <v>-1.6223788421052625</v>
      </c>
      <c r="N84" t="s">
        <v>25</v>
      </c>
      <c r="O84">
        <v>678</v>
      </c>
      <c r="P84">
        <v>20.100000000000001</v>
      </c>
      <c r="Q84">
        <v>4</v>
      </c>
      <c r="R84" t="str">
        <f>IF(AllDataCorrected[[#This Row],[Nitrate (PPM)]]&gt;2, "4. Very high (&gt;2ppm)", IF(AllDataCorrected[[#This Row],[Nitrate (PPM)]]&gt;1, "3. High (1-2ppm)", IF(AllDataCorrected[[#This Row],[Nitrate (PPM)]]&gt;0.5, "2. Some evidence (0.5-1ppm)", IF(AllDataCorrected[[#This Row],[Nitrate (PPM)]]&gt;=0, "1. No evidence (&lt;0.5ppm)"))))</f>
        <v>4. Very high (&gt;2ppm)</v>
      </c>
      <c r="S84">
        <v>0.69</v>
      </c>
      <c r="T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
        <v>0</v>
      </c>
    </row>
    <row r="85" spans="1:22" x14ac:dyDescent="0.35">
      <c r="A85" t="s">
        <v>156</v>
      </c>
      <c r="B85" s="2">
        <v>45182</v>
      </c>
      <c r="C85" t="str" cm="1">
        <f t="array" ref="C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5">
        <f>YEAR(AllDataCorrected[[#This Row],[Date]])</f>
        <v>2023</v>
      </c>
      <c r="E85" s="1">
        <v>0.67500000000000004</v>
      </c>
      <c r="F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5" t="str">
        <f>_xlfn.XLOOKUP(AllDataCorrected[[#This Row],[Location Name]], Locations[Location Name],Locations[Group As])</f>
        <v>Stour Newbold Mill</v>
      </c>
      <c r="H85" t="e" vm="1">
        <f>_xlfn.XLOOKUP(AllDataCorrected[[#This Row],[Site Name]],LocationsKey[Site Name],LocationsKey[District])</f>
        <v>#VALUE!</v>
      </c>
      <c r="I85" t="e" vm="27">
        <f>_xlfn.XLOOKUP(AllDataCorrected[[#This Row],[Site Name]],LocationsKey[Site Name],LocationsKey[Town])</f>
        <v>#VALUE!</v>
      </c>
      <c r="J85" t="str">
        <f>_xlfn.XLOOKUP(AllDataCorrected[[#This Row],[Site Name]],LocationsKey[Site Name], LocationsKey[Waterway])</f>
        <v>Stour</v>
      </c>
      <c r="K85" t="s">
        <v>157</v>
      </c>
      <c r="L85">
        <f>_xlfn.XLOOKUP(AllDataCorrected[[#This Row],[Site Name]],Tables!$B$12:$B$100, Tables!C$12:C$100)</f>
        <v>52.113052370370369</v>
      </c>
      <c r="M85">
        <f>_xlfn.XLOOKUP(AllDataCorrected[[#This Row],[Site Name]],Tables!$B$12:$B$100, Tables!D$12:D$100)</f>
        <v>-1.6333685185185181</v>
      </c>
      <c r="N85" t="s">
        <v>158</v>
      </c>
      <c r="O85">
        <v>729</v>
      </c>
      <c r="P85">
        <v>17.7</v>
      </c>
      <c r="Q85">
        <v>5</v>
      </c>
      <c r="R85" t="str">
        <f>IF(AllDataCorrected[[#This Row],[Nitrate (PPM)]]&gt;2, "4. Very high (&gt;2ppm)", IF(AllDataCorrected[[#This Row],[Nitrate (PPM)]]&gt;1, "3. High (1-2ppm)", IF(AllDataCorrected[[#This Row],[Nitrate (PPM)]]&gt;0.5, "2. Some evidence (0.5-1ppm)", IF(AllDataCorrected[[#This Row],[Nitrate (PPM)]]&gt;=0, "1. No evidence (&lt;0.5ppm)"))))</f>
        <v>4. Very high (&gt;2ppm)</v>
      </c>
      <c r="S85">
        <v>0.78</v>
      </c>
      <c r="T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
        <v>2.1</v>
      </c>
      <c r="V85" t="s">
        <v>159</v>
      </c>
    </row>
    <row r="86" spans="1:22" x14ac:dyDescent="0.35">
      <c r="A86" t="s">
        <v>160</v>
      </c>
      <c r="B86" s="2">
        <v>45183</v>
      </c>
      <c r="C86" t="str" cm="1">
        <f t="array" ref="C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6">
        <f>YEAR(AllDataCorrected[[#This Row],[Date]])</f>
        <v>2023</v>
      </c>
      <c r="E86" s="1">
        <v>0.46736111111111112</v>
      </c>
      <c r="F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 t="str">
        <f>_xlfn.XLOOKUP(AllDataCorrected[[#This Row],[Location Name]], Locations[Location Name],Locations[Group As])</f>
        <v>Stour Shipston Mill Bridge</v>
      </c>
      <c r="H86" t="e" vm="1">
        <f>_xlfn.XLOOKUP(AllDataCorrected[[#This Row],[Site Name]],LocationsKey[Site Name],LocationsKey[District])</f>
        <v>#VALUE!</v>
      </c>
      <c r="I86" t="e" vm="15">
        <f>_xlfn.XLOOKUP(AllDataCorrected[[#This Row],[Site Name]],LocationsKey[Site Name],LocationsKey[Town])</f>
        <v>#VALUE!</v>
      </c>
      <c r="J86" t="str">
        <f>_xlfn.XLOOKUP(AllDataCorrected[[#This Row],[Site Name]],LocationsKey[Site Name], LocationsKey[Waterway])</f>
        <v>Stour</v>
      </c>
      <c r="K86" t="s">
        <v>161</v>
      </c>
      <c r="L86">
        <f>_xlfn.XLOOKUP(AllDataCorrected[[#This Row],[Site Name]],Tables!$B$12:$B$100, Tables!C$12:C$100)</f>
        <v>52.062214921052629</v>
      </c>
      <c r="M86">
        <f>_xlfn.XLOOKUP(AllDataCorrected[[#This Row],[Site Name]],Tables!$B$12:$B$100, Tables!D$12:D$100)</f>
        <v>-1.6223788421052625</v>
      </c>
      <c r="N86" t="s">
        <v>162</v>
      </c>
      <c r="O86">
        <v>656</v>
      </c>
      <c r="P86">
        <v>16.3</v>
      </c>
      <c r="Q86">
        <v>10</v>
      </c>
      <c r="R86" t="str">
        <f>IF(AllDataCorrected[[#This Row],[Nitrate (PPM)]]&gt;2, "4. Very high (&gt;2ppm)", IF(AllDataCorrected[[#This Row],[Nitrate (PPM)]]&gt;1, "3. High (1-2ppm)", IF(AllDataCorrected[[#This Row],[Nitrate (PPM)]]&gt;0.5, "2. Some evidence (0.5-1ppm)", IF(AllDataCorrected[[#This Row],[Nitrate (PPM)]]&gt;=0, "1. No evidence (&lt;0.5ppm)"))))</f>
        <v>4. Very high (&gt;2ppm)</v>
      </c>
      <c r="S86">
        <v>0.55000000000000004</v>
      </c>
      <c r="T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
        <v>0.5</v>
      </c>
    </row>
    <row r="87" spans="1:22" x14ac:dyDescent="0.35">
      <c r="A87" t="s">
        <v>163</v>
      </c>
      <c r="B87" s="2">
        <v>45183</v>
      </c>
      <c r="C87" t="str" cm="1">
        <f t="array" ref="C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7">
        <f>YEAR(AllDataCorrected[[#This Row],[Date]])</f>
        <v>2023</v>
      </c>
      <c r="E87" s="1">
        <v>0.5</v>
      </c>
      <c r="F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 t="str">
        <f>_xlfn.XLOOKUP(AllDataCorrected[[#This Row],[Location Name]], Locations[Location Name],Locations[Group As])</f>
        <v>Preston-on-Stour River Bridge</v>
      </c>
      <c r="H87" t="e" vm="1">
        <f>_xlfn.XLOOKUP(AllDataCorrected[[#This Row],[Site Name]],LocationsKey[Site Name],LocationsKey[District])</f>
        <v>#VALUE!</v>
      </c>
      <c r="I87" t="e" vm="20">
        <f>_xlfn.XLOOKUP(AllDataCorrected[[#This Row],[Site Name]],LocationsKey[Site Name],LocationsKey[Town])</f>
        <v>#VALUE!</v>
      </c>
      <c r="J87" t="str">
        <f>_xlfn.XLOOKUP(AllDataCorrected[[#This Row],[Site Name]],LocationsKey[Site Name], LocationsKey[Waterway])</f>
        <v>Stour</v>
      </c>
      <c r="K87" t="s">
        <v>164</v>
      </c>
      <c r="L87">
        <f>_xlfn.XLOOKUP(AllDataCorrected[[#This Row],[Site Name]],Tables!$B$12:$B$100, Tables!C$12:C$100)</f>
        <v>52.146672352941174</v>
      </c>
      <c r="M87">
        <f>_xlfn.XLOOKUP(AllDataCorrected[[#This Row],[Site Name]],Tables!$B$12:$B$100, Tables!D$12:D$100)</f>
        <v>-1.6984533333333334</v>
      </c>
      <c r="N87" t="s">
        <v>31</v>
      </c>
      <c r="O87">
        <v>717</v>
      </c>
      <c r="P87">
        <v>17.7</v>
      </c>
      <c r="Q87">
        <v>5</v>
      </c>
      <c r="R87" t="str">
        <f>IF(AllDataCorrected[[#This Row],[Nitrate (PPM)]]&gt;2, "4. Very high (&gt;2ppm)", IF(AllDataCorrected[[#This Row],[Nitrate (PPM)]]&gt;1, "3. High (1-2ppm)", IF(AllDataCorrected[[#This Row],[Nitrate (PPM)]]&gt;0.5, "2. Some evidence (0.5-1ppm)", IF(AllDataCorrected[[#This Row],[Nitrate (PPM)]]&gt;=0, "1. No evidence (&lt;0.5ppm)"))))</f>
        <v>4. Very high (&gt;2ppm)</v>
      </c>
      <c r="S87">
        <v>0.6</v>
      </c>
      <c r="T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
        <v>5</v>
      </c>
      <c r="V87" t="s">
        <v>165</v>
      </c>
    </row>
    <row r="88" spans="1:22" x14ac:dyDescent="0.35">
      <c r="A88" t="s">
        <v>166</v>
      </c>
      <c r="B88" s="2">
        <v>45183</v>
      </c>
      <c r="C88" t="str" cm="1">
        <f t="array" ref="C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8">
        <f>YEAR(AllDataCorrected[[#This Row],[Date]])</f>
        <v>2023</v>
      </c>
      <c r="E88" s="1">
        <v>0.66666666666666663</v>
      </c>
      <c r="F8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8" t="str">
        <f>_xlfn.XLOOKUP(AllDataCorrected[[#This Row],[Location Name]], Locations[Location Name],Locations[Group As])</f>
        <v>Welford Boat Station</v>
      </c>
      <c r="H88" t="e" vm="1">
        <f>_xlfn.XLOOKUP(AllDataCorrected[[#This Row],[Site Name]],LocationsKey[Site Name],LocationsKey[District])</f>
        <v>#VALUE!</v>
      </c>
      <c r="I88" t="e" vm="36">
        <f>_xlfn.XLOOKUP(AllDataCorrected[[#This Row],[Site Name]],LocationsKey[Site Name],LocationsKey[Town])</f>
        <v>#VALUE!</v>
      </c>
      <c r="J88" t="str">
        <f>_xlfn.XLOOKUP(AllDataCorrected[[#This Row],[Site Name]],LocationsKey[Site Name], LocationsKey[Waterway])</f>
        <v>Avon</v>
      </c>
      <c r="K88" t="s">
        <v>41</v>
      </c>
      <c r="L88">
        <f>_xlfn.XLOOKUP(AllDataCorrected[[#This Row],[Site Name]],Tables!$B$12:$B$100, Tables!C$12:C$100)</f>
        <v>52.175174684210546</v>
      </c>
      <c r="M88">
        <f>_xlfn.XLOOKUP(AllDataCorrected[[#This Row],[Site Name]],Tables!$B$12:$B$100, Tables!D$12:D$100)</f>
        <v>-1.7918551052631577</v>
      </c>
      <c r="N88" t="s">
        <v>31</v>
      </c>
      <c r="O88">
        <v>1026</v>
      </c>
      <c r="P88">
        <v>18.8</v>
      </c>
      <c r="Q88">
        <v>5</v>
      </c>
      <c r="R88" t="str">
        <f>IF(AllDataCorrected[[#This Row],[Nitrate (PPM)]]&gt;2, "4. Very high (&gt;2ppm)", IF(AllDataCorrected[[#This Row],[Nitrate (PPM)]]&gt;1, "3. High (1-2ppm)", IF(AllDataCorrected[[#This Row],[Nitrate (PPM)]]&gt;0.5, "2. Some evidence (0.5-1ppm)", IF(AllDataCorrected[[#This Row],[Nitrate (PPM)]]&gt;=0, "1. No evidence (&lt;0.5ppm)"))))</f>
        <v>4. Very high (&gt;2ppm)</v>
      </c>
      <c r="S88">
        <v>0.56999999999999995</v>
      </c>
      <c r="T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
        <v>0</v>
      </c>
      <c r="V88" t="s">
        <v>167</v>
      </c>
    </row>
    <row r="89" spans="1:22" x14ac:dyDescent="0.35">
      <c r="A89" t="s">
        <v>168</v>
      </c>
      <c r="B89" s="2">
        <v>45185</v>
      </c>
      <c r="C89" t="str" cm="1">
        <f t="array" ref="C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89">
        <f>YEAR(AllDataCorrected[[#This Row],[Date]])</f>
        <v>2023</v>
      </c>
      <c r="E89" s="1">
        <v>0.41319444444444442</v>
      </c>
      <c r="F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 t="str">
        <f>_xlfn.XLOOKUP(AllDataCorrected[[#This Row],[Location Name]], Locations[Location Name],Locations[Group As])</f>
        <v>Twyning Fleet</v>
      </c>
      <c r="H89" t="e" vm="4">
        <f>_xlfn.XLOOKUP(AllDataCorrected[[#This Row],[Site Name]],LocationsKey[Site Name],LocationsKey[District])</f>
        <v>#VALUE!</v>
      </c>
      <c r="I89" t="str">
        <f>_xlfn.XLOOKUP(AllDataCorrected[[#This Row],[Site Name]],LocationsKey[Site Name],LocationsKey[Town])</f>
        <v>Twyning Green</v>
      </c>
      <c r="J89" t="str">
        <f>_xlfn.XLOOKUP(AllDataCorrected[[#This Row],[Site Name]],LocationsKey[Site Name], LocationsKey[Waterway])</f>
        <v>Avon</v>
      </c>
      <c r="K89" t="s">
        <v>56</v>
      </c>
      <c r="L89">
        <f>_xlfn.XLOOKUP(AllDataCorrected[[#This Row],[Site Name]],Tables!$B$12:$B$100, Tables!C$12:C$100)</f>
        <v>52.027216452380941</v>
      </c>
      <c r="M89">
        <f>_xlfn.XLOOKUP(AllDataCorrected[[#This Row],[Site Name]],Tables!$B$12:$B$100, Tables!D$12:D$100)</f>
        <v>-2.140853452380953</v>
      </c>
      <c r="N89" t="s">
        <v>31</v>
      </c>
      <c r="O89">
        <v>1010</v>
      </c>
      <c r="P89">
        <v>19.8</v>
      </c>
      <c r="Q89">
        <v>10</v>
      </c>
      <c r="R89" t="str">
        <f>IF(AllDataCorrected[[#This Row],[Nitrate (PPM)]]&gt;2, "4. Very high (&gt;2ppm)", IF(AllDataCorrected[[#This Row],[Nitrate (PPM)]]&gt;1, "3. High (1-2ppm)", IF(AllDataCorrected[[#This Row],[Nitrate (PPM)]]&gt;0.5, "2. Some evidence (0.5-1ppm)", IF(AllDataCorrected[[#This Row],[Nitrate (PPM)]]&gt;=0, "1. No evidence (&lt;0.5ppm)"))))</f>
        <v>4. Very high (&gt;2ppm)</v>
      </c>
      <c r="S89">
        <v>1.25</v>
      </c>
      <c r="T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
        <v>0</v>
      </c>
      <c r="V89" t="s">
        <v>116</v>
      </c>
    </row>
    <row r="90" spans="1:22" x14ac:dyDescent="0.35">
      <c r="A90" t="s">
        <v>169</v>
      </c>
      <c r="B90" s="2">
        <v>45185</v>
      </c>
      <c r="C90" t="str" cm="1">
        <f t="array" ref="C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0">
        <f>YEAR(AllDataCorrected[[#This Row],[Date]])</f>
        <v>2023</v>
      </c>
      <c r="E90" s="1">
        <v>0.44791666666666669</v>
      </c>
      <c r="F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 t="str">
        <f>_xlfn.XLOOKUP(AllDataCorrected[[#This Row],[Location Name]], Locations[Location Name],Locations[Group As])</f>
        <v>Pitch 16</v>
      </c>
      <c r="H90" t="e" vm="1">
        <f>_xlfn.XLOOKUP(AllDataCorrected[[#This Row],[Site Name]],LocationsKey[Site Name],LocationsKey[District])</f>
        <v>#VALUE!</v>
      </c>
      <c r="I90" t="e" vm="12">
        <f>_xlfn.XLOOKUP(AllDataCorrected[[#This Row],[Site Name]],LocationsKey[Site Name],LocationsKey[Town])</f>
        <v>#VALUE!</v>
      </c>
      <c r="J90" t="str">
        <f>_xlfn.XLOOKUP(AllDataCorrected[[#This Row],[Site Name]],LocationsKey[Site Name], LocationsKey[Waterway])</f>
        <v>Avon</v>
      </c>
      <c r="K90" t="s">
        <v>71</v>
      </c>
      <c r="L90">
        <f>_xlfn.XLOOKUP(AllDataCorrected[[#This Row],[Site Name]],Tables!$B$12:$B$100, Tables!C$12:C$100)</f>
        <v>51.289310076923087</v>
      </c>
      <c r="M90">
        <f>_xlfn.XLOOKUP(AllDataCorrected[[#This Row],[Site Name]],Tables!$B$12:$B$100, Tables!D$12:D$100)</f>
        <v>-0.10399761538461544</v>
      </c>
      <c r="N90" t="s">
        <v>31</v>
      </c>
      <c r="O90">
        <v>966</v>
      </c>
      <c r="P90">
        <v>18.600000000000001</v>
      </c>
      <c r="Q90">
        <v>15</v>
      </c>
      <c r="R90" t="str">
        <f>IF(AllDataCorrected[[#This Row],[Nitrate (PPM)]]&gt;2, "4. Very high (&gt;2ppm)", IF(AllDataCorrected[[#This Row],[Nitrate (PPM)]]&gt;1, "3. High (1-2ppm)", IF(AllDataCorrected[[#This Row],[Nitrate (PPM)]]&gt;0.5, "2. Some evidence (0.5-1ppm)", IF(AllDataCorrected[[#This Row],[Nitrate (PPM)]]&gt;=0, "1. No evidence (&lt;0.5ppm)"))))</f>
        <v>4. Very high (&gt;2ppm)</v>
      </c>
      <c r="S90">
        <v>0.73</v>
      </c>
      <c r="T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
        <v>1</v>
      </c>
    </row>
    <row r="91" spans="1:22" x14ac:dyDescent="0.35">
      <c r="A91" t="s">
        <v>170</v>
      </c>
      <c r="B91" s="2">
        <v>45185</v>
      </c>
      <c r="C91" t="str" cm="1">
        <f t="array" ref="C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1">
        <f>YEAR(AllDataCorrected[[#This Row],[Date]])</f>
        <v>2023</v>
      </c>
      <c r="E91" s="1">
        <v>0.46180555555555558</v>
      </c>
      <c r="F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 t="str">
        <f>_xlfn.XLOOKUP(AllDataCorrected[[#This Row],[Location Name]], Locations[Location Name],Locations[Group As])</f>
        <v>Avonbank Drive</v>
      </c>
      <c r="H91" t="e" vm="1">
        <f>_xlfn.XLOOKUP(AllDataCorrected[[#This Row],[Site Name]],LocationsKey[Site Name],LocationsKey[District])</f>
        <v>#VALUE!</v>
      </c>
      <c r="I91" t="e" vm="12">
        <f>_xlfn.XLOOKUP(AllDataCorrected[[#This Row],[Site Name]],LocationsKey[Site Name],LocationsKey[Town])</f>
        <v>#VALUE!</v>
      </c>
      <c r="J91" t="str">
        <f>_xlfn.XLOOKUP(AllDataCorrected[[#This Row],[Site Name]],LocationsKey[Site Name], LocationsKey[Waterway])</f>
        <v>Avon</v>
      </c>
      <c r="K91" t="s">
        <v>104</v>
      </c>
      <c r="L91">
        <f>_xlfn.XLOOKUP(AllDataCorrected[[#This Row],[Site Name]],Tables!$B$12:$B$100, Tables!C$12:C$100)</f>
        <v>51.566927775862098</v>
      </c>
      <c r="M91">
        <f>_xlfn.XLOOKUP(AllDataCorrected[[#This Row],[Site Name]],Tables!$B$12:$B$100, Tables!D$12:D$100)</f>
        <v>-7.2113336724137929</v>
      </c>
      <c r="N91" t="s">
        <v>68</v>
      </c>
      <c r="O91">
        <v>921</v>
      </c>
      <c r="P91">
        <v>18.2</v>
      </c>
      <c r="Q91">
        <v>15</v>
      </c>
      <c r="R91" t="str">
        <f>IF(AllDataCorrected[[#This Row],[Nitrate (PPM)]]&gt;2, "4. Very high (&gt;2ppm)", IF(AllDataCorrected[[#This Row],[Nitrate (PPM)]]&gt;1, "3. High (1-2ppm)", IF(AllDataCorrected[[#This Row],[Nitrate (PPM)]]&gt;0.5, "2. Some evidence (0.5-1ppm)", IF(AllDataCorrected[[#This Row],[Nitrate (PPM)]]&gt;=0, "1. No evidence (&lt;0.5ppm)"))))</f>
        <v>4. Very high (&gt;2ppm)</v>
      </c>
      <c r="S91">
        <v>0.56000000000000005</v>
      </c>
      <c r="T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
        <v>1</v>
      </c>
    </row>
    <row r="92" spans="1:22" x14ac:dyDescent="0.35">
      <c r="A92" t="s">
        <v>171</v>
      </c>
      <c r="B92" s="2">
        <v>45185</v>
      </c>
      <c r="C92" t="str" cm="1">
        <f t="array" ref="C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2">
        <f>YEAR(AllDataCorrected[[#This Row],[Date]])</f>
        <v>2023</v>
      </c>
      <c r="E92" s="1">
        <v>0.6333333333333333</v>
      </c>
      <c r="F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 t="str">
        <f>_xlfn.XLOOKUP(AllDataCorrected[[#This Row],[Location Name]], Locations[Location Name],Locations[Group As])</f>
        <v>Abbey Mill</v>
      </c>
      <c r="H92" t="e" vm="4">
        <f>_xlfn.XLOOKUP(AllDataCorrected[[#This Row],[Site Name]],LocationsKey[Site Name],LocationsKey[District])</f>
        <v>#VALUE!</v>
      </c>
      <c r="I92" t="e" vm="4">
        <f>_xlfn.XLOOKUP(AllDataCorrected[[#This Row],[Site Name]],LocationsKey[Site Name],LocationsKey[Town])</f>
        <v>#VALUE!</v>
      </c>
      <c r="J92" t="str">
        <f>_xlfn.XLOOKUP(AllDataCorrected[[#This Row],[Site Name]],LocationsKey[Site Name], LocationsKey[Waterway])</f>
        <v>Avon</v>
      </c>
      <c r="K92" t="s">
        <v>24</v>
      </c>
      <c r="L92">
        <f>_xlfn.XLOOKUP(AllDataCorrected[[#This Row],[Site Name]],Tables!$B$12:$B$100, Tables!C$12:C$100)</f>
        <v>51.991313075757589</v>
      </c>
      <c r="M92">
        <f>_xlfn.XLOOKUP(AllDataCorrected[[#This Row],[Site Name]],Tables!$B$12:$B$100, Tables!D$12:D$100)</f>
        <v>-2.1621998181818181</v>
      </c>
      <c r="N92" t="s">
        <v>25</v>
      </c>
      <c r="P92">
        <v>20</v>
      </c>
      <c r="Q92">
        <v>5</v>
      </c>
      <c r="R92" t="str">
        <f>IF(AllDataCorrected[[#This Row],[Nitrate (PPM)]]&gt;2, "4. Very high (&gt;2ppm)", IF(AllDataCorrected[[#This Row],[Nitrate (PPM)]]&gt;1, "3. High (1-2ppm)", IF(AllDataCorrected[[#This Row],[Nitrate (PPM)]]&gt;0.5, "2. Some evidence (0.5-1ppm)", IF(AllDataCorrected[[#This Row],[Nitrate (PPM)]]&gt;=0, "1. No evidence (&lt;0.5ppm)"))))</f>
        <v>4. Very high (&gt;2ppm)</v>
      </c>
      <c r="S92">
        <v>1.1000000000000001</v>
      </c>
      <c r="T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
        <v>0</v>
      </c>
    </row>
    <row r="93" spans="1:22" x14ac:dyDescent="0.35">
      <c r="A93" t="s">
        <v>172</v>
      </c>
      <c r="B93" s="2">
        <v>45186</v>
      </c>
      <c r="C93" t="str" cm="1">
        <f t="array" ref="C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3">
        <f>YEAR(AllDataCorrected[[#This Row],[Date]])</f>
        <v>2023</v>
      </c>
      <c r="E93" s="1">
        <v>0.5</v>
      </c>
      <c r="F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 t="str">
        <f>_xlfn.XLOOKUP(AllDataCorrected[[#This Row],[Location Name]], Locations[Location Name],Locations[Group As])</f>
        <v>Hampton Wood</v>
      </c>
      <c r="H93" t="e" vm="1">
        <f>_xlfn.XLOOKUP(AllDataCorrected[[#This Row],[Site Name]],LocationsKey[Site Name],LocationsKey[District])</f>
        <v>#VALUE!</v>
      </c>
      <c r="I93" t="e" vm="34">
        <f>_xlfn.XLOOKUP(AllDataCorrected[[#This Row],[Site Name]],LocationsKey[Site Name],LocationsKey[Town])</f>
        <v>#VALUE!</v>
      </c>
      <c r="J93" t="str">
        <f>_xlfn.XLOOKUP(AllDataCorrected[[#This Row],[Site Name]],LocationsKey[Site Name], LocationsKey[Waterway])</f>
        <v>Avon</v>
      </c>
      <c r="K93" t="s">
        <v>36</v>
      </c>
      <c r="L93">
        <f>_xlfn.XLOOKUP(AllDataCorrected[[#This Row],[Site Name]],Tables!$B$12:$B$100, Tables!C$12:C$100)</f>
        <v>52.23814999999999</v>
      </c>
      <c r="M93">
        <f>_xlfn.XLOOKUP(AllDataCorrected[[#This Row],[Site Name]],Tables!$B$12:$B$100, Tables!D$12:D$100)</f>
        <v>-1.6245800000000008</v>
      </c>
      <c r="N93" t="s">
        <v>31</v>
      </c>
      <c r="O93">
        <v>912</v>
      </c>
      <c r="P93">
        <v>18.8</v>
      </c>
      <c r="Q93">
        <v>6</v>
      </c>
      <c r="R93" t="str">
        <f>IF(AllDataCorrected[[#This Row],[Nitrate (PPM)]]&gt;2, "4. Very high (&gt;2ppm)", IF(AllDataCorrected[[#This Row],[Nitrate (PPM)]]&gt;1, "3. High (1-2ppm)", IF(AllDataCorrected[[#This Row],[Nitrate (PPM)]]&gt;0.5, "2. Some evidence (0.5-1ppm)", IF(AllDataCorrected[[#This Row],[Nitrate (PPM)]]&gt;=0, "1. No evidence (&lt;0.5ppm)"))))</f>
        <v>4. Very high (&gt;2ppm)</v>
      </c>
      <c r="S93">
        <v>0.62</v>
      </c>
      <c r="T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
        <v>0</v>
      </c>
    </row>
    <row r="94" spans="1:22" x14ac:dyDescent="0.35">
      <c r="A94" t="s">
        <v>173</v>
      </c>
      <c r="B94" s="2">
        <v>45186</v>
      </c>
      <c r="C94" t="str" cm="1">
        <f t="array" ref="C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4">
        <f>YEAR(AllDataCorrected[[#This Row],[Date]])</f>
        <v>2023</v>
      </c>
      <c r="E94" s="1">
        <v>0.50069444444444444</v>
      </c>
      <c r="F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 t="str">
        <f>_xlfn.XLOOKUP(AllDataCorrected[[#This Row],[Location Name]], Locations[Location Name],Locations[Group As])</f>
        <v>Carrant Bredon Rd</v>
      </c>
      <c r="H94" t="e" vm="4">
        <f>_xlfn.XLOOKUP(AllDataCorrected[[#This Row],[Site Name]],LocationsKey[Site Name],LocationsKey[District])</f>
        <v>#VALUE!</v>
      </c>
      <c r="I94" t="e" vm="4">
        <f>_xlfn.XLOOKUP(AllDataCorrected[[#This Row],[Site Name]],LocationsKey[Site Name],LocationsKey[Town])</f>
        <v>#VALUE!</v>
      </c>
      <c r="J94" t="str">
        <f>_xlfn.XLOOKUP(AllDataCorrected[[#This Row],[Site Name]],LocationsKey[Site Name], LocationsKey[Waterway])</f>
        <v>Carrant</v>
      </c>
      <c r="K94" t="s">
        <v>91</v>
      </c>
      <c r="L94">
        <f>_xlfn.XLOOKUP(AllDataCorrected[[#This Row],[Site Name]],Tables!$B$12:$B$100, Tables!C$12:C$100)</f>
        <v>51.996322536231894</v>
      </c>
      <c r="M94">
        <f>_xlfn.XLOOKUP(AllDataCorrected[[#This Row],[Site Name]],Tables!$B$12:$B$100, Tables!D$12:D$100)</f>
        <v>-2.1558410144927538</v>
      </c>
      <c r="N94" t="s">
        <v>25</v>
      </c>
      <c r="O94">
        <v>661</v>
      </c>
      <c r="P94">
        <v>16.600000000000001</v>
      </c>
      <c r="Q94">
        <v>7</v>
      </c>
      <c r="R94" t="str">
        <f>IF(AllDataCorrected[[#This Row],[Nitrate (PPM)]]&gt;2, "4. Very high (&gt;2ppm)", IF(AllDataCorrected[[#This Row],[Nitrate (PPM)]]&gt;1, "3. High (1-2ppm)", IF(AllDataCorrected[[#This Row],[Nitrate (PPM)]]&gt;0.5, "2. Some evidence (0.5-1ppm)", IF(AllDataCorrected[[#This Row],[Nitrate (PPM)]]&gt;=0, "1. No evidence (&lt;0.5ppm)"))))</f>
        <v>4. Very high (&gt;2ppm)</v>
      </c>
      <c r="S94">
        <v>0.68</v>
      </c>
      <c r="T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
        <v>0</v>
      </c>
    </row>
    <row r="95" spans="1:22" x14ac:dyDescent="0.35">
      <c r="A95" t="s">
        <v>174</v>
      </c>
      <c r="B95" s="2">
        <v>45186</v>
      </c>
      <c r="C95" t="str" cm="1">
        <f t="array" ref="C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5">
        <f>YEAR(AllDataCorrected[[#This Row],[Date]])</f>
        <v>2023</v>
      </c>
      <c r="E95" s="1">
        <v>0.52777777777777779</v>
      </c>
      <c r="F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 t="str">
        <f>_xlfn.XLOOKUP(AllDataCorrected[[#This Row],[Location Name]], Locations[Location Name],Locations[Group As])</f>
        <v>Hampton Lucy</v>
      </c>
      <c r="H95" t="e" vm="1">
        <f>_xlfn.XLOOKUP(AllDataCorrected[[#This Row],[Site Name]],LocationsKey[Site Name],LocationsKey[District])</f>
        <v>#VALUE!</v>
      </c>
      <c r="I95" t="e" vm="33">
        <f>_xlfn.XLOOKUP(AllDataCorrected[[#This Row],[Site Name]],LocationsKey[Site Name],LocationsKey[Town])</f>
        <v>#VALUE!</v>
      </c>
      <c r="J95" t="str">
        <f>_xlfn.XLOOKUP(AllDataCorrected[[#This Row],[Site Name]],LocationsKey[Site Name], LocationsKey[Waterway])</f>
        <v>Avon</v>
      </c>
      <c r="K95" t="s">
        <v>39</v>
      </c>
      <c r="L95">
        <f>_xlfn.XLOOKUP(AllDataCorrected[[#This Row],[Site Name]],Tables!$B$12:$B$100, Tables!C$12:C$100)</f>
        <v>52.211679999999973</v>
      </c>
      <c r="M95">
        <f>_xlfn.XLOOKUP(AllDataCorrected[[#This Row],[Site Name]],Tables!$B$12:$B$100, Tables!D$12:D$100)</f>
        <v>-1.6244400000000001</v>
      </c>
      <c r="N95" t="s">
        <v>25</v>
      </c>
      <c r="O95">
        <v>854</v>
      </c>
      <c r="P95">
        <v>18.600000000000001</v>
      </c>
      <c r="Q95">
        <v>4</v>
      </c>
      <c r="R95" t="str">
        <f>IF(AllDataCorrected[[#This Row],[Nitrate (PPM)]]&gt;2, "4. Very high (&gt;2ppm)", IF(AllDataCorrected[[#This Row],[Nitrate (PPM)]]&gt;1, "3. High (1-2ppm)", IF(AllDataCorrected[[#This Row],[Nitrate (PPM)]]&gt;0.5, "2. Some evidence (0.5-1ppm)", IF(AllDataCorrected[[#This Row],[Nitrate (PPM)]]&gt;=0, "1. No evidence (&lt;0.5ppm)"))))</f>
        <v>4. Very high (&gt;2ppm)</v>
      </c>
      <c r="S95">
        <v>0.61</v>
      </c>
      <c r="T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
        <v>0</v>
      </c>
    </row>
    <row r="96" spans="1:22" x14ac:dyDescent="0.35">
      <c r="A96" t="s">
        <v>175</v>
      </c>
      <c r="B96" s="2">
        <v>45186</v>
      </c>
      <c r="C96" t="str" cm="1">
        <f t="array" ref="C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6">
        <f>YEAR(AllDataCorrected[[#This Row],[Date]])</f>
        <v>2023</v>
      </c>
      <c r="E96" s="1">
        <v>0.70833333333333337</v>
      </c>
      <c r="F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 t="str">
        <f>_xlfn.XLOOKUP(AllDataCorrected[[#This Row],[Location Name]], Locations[Location Name],Locations[Group As])</f>
        <v>Welford Boat Station</v>
      </c>
      <c r="H96" t="e" vm="1">
        <f>_xlfn.XLOOKUP(AllDataCorrected[[#This Row],[Site Name]],LocationsKey[Site Name],LocationsKey[District])</f>
        <v>#VALUE!</v>
      </c>
      <c r="I96" t="e" vm="36">
        <f>_xlfn.XLOOKUP(AllDataCorrected[[#This Row],[Site Name]],LocationsKey[Site Name],LocationsKey[Town])</f>
        <v>#VALUE!</v>
      </c>
      <c r="J96" t="str">
        <f>_xlfn.XLOOKUP(AllDataCorrected[[#This Row],[Site Name]],LocationsKey[Site Name], LocationsKey[Waterway])</f>
        <v>Avon</v>
      </c>
      <c r="K96" t="s">
        <v>41</v>
      </c>
      <c r="L96">
        <f>_xlfn.XLOOKUP(AllDataCorrected[[#This Row],[Site Name]],Tables!$B$12:$B$100, Tables!C$12:C$100)</f>
        <v>52.175174684210546</v>
      </c>
      <c r="M96">
        <f>_xlfn.XLOOKUP(AllDataCorrected[[#This Row],[Site Name]],Tables!$B$12:$B$100, Tables!D$12:D$100)</f>
        <v>-1.7918551052631577</v>
      </c>
      <c r="N96" t="s">
        <v>31</v>
      </c>
      <c r="O96">
        <v>836</v>
      </c>
      <c r="P96">
        <v>18.2</v>
      </c>
      <c r="Q96">
        <v>4</v>
      </c>
      <c r="R96" t="str">
        <f>IF(AllDataCorrected[[#This Row],[Nitrate (PPM)]]&gt;2, "4. Very high (&gt;2ppm)", IF(AllDataCorrected[[#This Row],[Nitrate (PPM)]]&gt;1, "3. High (1-2ppm)", IF(AllDataCorrected[[#This Row],[Nitrate (PPM)]]&gt;0.5, "2. Some evidence (0.5-1ppm)", IF(AllDataCorrected[[#This Row],[Nitrate (PPM)]]&gt;=0, "1. No evidence (&lt;0.5ppm)"))))</f>
        <v>4. Very high (&gt;2ppm)</v>
      </c>
      <c r="S96">
        <v>0.65</v>
      </c>
      <c r="T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
        <v>0</v>
      </c>
      <c r="V96" t="s">
        <v>176</v>
      </c>
    </row>
    <row r="97" spans="1:22" x14ac:dyDescent="0.35">
      <c r="A97" t="s">
        <v>177</v>
      </c>
      <c r="B97" s="2">
        <v>45187</v>
      </c>
      <c r="C97" t="str" cm="1">
        <f t="array" ref="C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7">
        <f>YEAR(AllDataCorrected[[#This Row],[Date]])</f>
        <v>2023</v>
      </c>
      <c r="E97" s="1">
        <v>0.72916666666666663</v>
      </c>
      <c r="F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 t="str">
        <f>_xlfn.XLOOKUP(AllDataCorrected[[#This Row],[Location Name]], Locations[Location Name],Locations[Group As])</f>
        <v>Barton</v>
      </c>
      <c r="H97" t="e" vm="1">
        <f>_xlfn.XLOOKUP(AllDataCorrected[[#This Row],[Site Name]],LocationsKey[Site Name],LocationsKey[District])</f>
        <v>#VALUE!</v>
      </c>
      <c r="I97" t="str">
        <f>_xlfn.XLOOKUP(AllDataCorrected[[#This Row],[Site Name]],LocationsKey[Site Name],LocationsKey[Town])</f>
        <v>Barton</v>
      </c>
      <c r="J97" t="str">
        <f>_xlfn.XLOOKUP(AllDataCorrected[[#This Row],[Site Name]],LocationsKey[Site Name], LocationsKey[Waterway])</f>
        <v>Avon</v>
      </c>
      <c r="K97" t="s">
        <v>51</v>
      </c>
      <c r="L97">
        <f>_xlfn.XLOOKUP(AllDataCorrected[[#This Row],[Site Name]],Tables!$B$12:$B$100, Tables!C$12:C$100)</f>
        <v>52.16120999999999</v>
      </c>
      <c r="M97">
        <f>_xlfn.XLOOKUP(AllDataCorrected[[#This Row],[Site Name]],Tables!$B$12:$B$100, Tables!D$12:D$100)</f>
        <v>-1.8301499999999999</v>
      </c>
      <c r="N97" t="s">
        <v>31</v>
      </c>
      <c r="O97">
        <v>872</v>
      </c>
      <c r="P97">
        <v>17.100000000000001</v>
      </c>
      <c r="S97">
        <v>0.66</v>
      </c>
      <c r="T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
        <v>0</v>
      </c>
      <c r="V97" t="s">
        <v>178</v>
      </c>
    </row>
    <row r="98" spans="1:22" x14ac:dyDescent="0.35">
      <c r="A98" t="s">
        <v>179</v>
      </c>
      <c r="B98" s="2">
        <v>45189</v>
      </c>
      <c r="C98" t="str" cm="1">
        <f t="array" ref="C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8">
        <f>YEAR(AllDataCorrected[[#This Row],[Date]])</f>
        <v>2023</v>
      </c>
      <c r="E98" s="1">
        <v>0.70833333333333337</v>
      </c>
      <c r="F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 t="str">
        <f>_xlfn.XLOOKUP(AllDataCorrected[[#This Row],[Location Name]], Locations[Location Name],Locations[Group As])</f>
        <v>Stour Newbold Mill</v>
      </c>
      <c r="H98" t="e" vm="1">
        <f>_xlfn.XLOOKUP(AllDataCorrected[[#This Row],[Site Name]],LocationsKey[Site Name],LocationsKey[District])</f>
        <v>#VALUE!</v>
      </c>
      <c r="I98" t="e" vm="27">
        <f>_xlfn.XLOOKUP(AllDataCorrected[[#This Row],[Site Name]],LocationsKey[Site Name],LocationsKey[Town])</f>
        <v>#VALUE!</v>
      </c>
      <c r="J98" t="str">
        <f>_xlfn.XLOOKUP(AllDataCorrected[[#This Row],[Site Name]],LocationsKey[Site Name], LocationsKey[Waterway])</f>
        <v>Stour</v>
      </c>
      <c r="K98" t="s">
        <v>141</v>
      </c>
      <c r="L98">
        <f>_xlfn.XLOOKUP(AllDataCorrected[[#This Row],[Site Name]],Tables!$B$12:$B$100, Tables!C$12:C$100)</f>
        <v>52.113052370370369</v>
      </c>
      <c r="M98">
        <f>_xlfn.XLOOKUP(AllDataCorrected[[#This Row],[Site Name]],Tables!$B$12:$B$100, Tables!D$12:D$100)</f>
        <v>-1.6333685185185181</v>
      </c>
      <c r="N98" t="s">
        <v>31</v>
      </c>
      <c r="O98">
        <v>668</v>
      </c>
      <c r="P98">
        <v>16.399999999999999</v>
      </c>
      <c r="Q98">
        <v>10</v>
      </c>
      <c r="R98" t="str">
        <f>IF(AllDataCorrected[[#This Row],[Nitrate (PPM)]]&gt;2, "4. Very high (&gt;2ppm)", IF(AllDataCorrected[[#This Row],[Nitrate (PPM)]]&gt;1, "3. High (1-2ppm)", IF(AllDataCorrected[[#This Row],[Nitrate (PPM)]]&gt;0.5, "2. Some evidence (0.5-1ppm)", IF(AllDataCorrected[[#This Row],[Nitrate (PPM)]]&gt;=0, "1. No evidence (&lt;0.5ppm)"))))</f>
        <v>4. Very high (&gt;2ppm)</v>
      </c>
      <c r="S98">
        <v>0.79</v>
      </c>
      <c r="T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
        <v>2.1</v>
      </c>
      <c r="V98" t="s">
        <v>180</v>
      </c>
    </row>
    <row r="99" spans="1:22" x14ac:dyDescent="0.35">
      <c r="A99" t="s">
        <v>181</v>
      </c>
      <c r="B99" s="2">
        <v>45190</v>
      </c>
      <c r="C99" t="str" cm="1">
        <f t="array" ref="C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99">
        <f>YEAR(AllDataCorrected[[#This Row],[Date]])</f>
        <v>2023</v>
      </c>
      <c r="E99" s="1">
        <v>0.42708333333333331</v>
      </c>
      <c r="F9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 t="str">
        <f>_xlfn.XLOOKUP(AllDataCorrected[[#This Row],[Location Name]], Locations[Location Name],Locations[Group As])</f>
        <v>Swilgate</v>
      </c>
      <c r="H99" t="e" vm="4">
        <f>_xlfn.XLOOKUP(AllDataCorrected[[#This Row],[Site Name]],LocationsKey[Site Name],LocationsKey[District])</f>
        <v>#VALUE!</v>
      </c>
      <c r="I99" t="e" vm="4">
        <f>_xlfn.XLOOKUP(AllDataCorrected[[#This Row],[Site Name]],LocationsKey[Site Name],LocationsKey[Town])</f>
        <v>#VALUE!</v>
      </c>
      <c r="J99" t="str">
        <f>_xlfn.XLOOKUP(AllDataCorrected[[#This Row],[Site Name]],LocationsKey[Site Name], LocationsKey[Waterway])</f>
        <v>Swilgate</v>
      </c>
      <c r="K99" t="s">
        <v>85</v>
      </c>
      <c r="L99">
        <f>_xlfn.XLOOKUP(AllDataCorrected[[#This Row],[Site Name]],Tables!$B$12:$B$100, Tables!C$12:C$100)</f>
        <v>51.988591500000005</v>
      </c>
      <c r="M99">
        <f>_xlfn.XLOOKUP(AllDataCorrected[[#This Row],[Site Name]],Tables!$B$12:$B$100, Tables!D$12:D$100)</f>
        <v>-2.163898333333333</v>
      </c>
      <c r="N99" t="s">
        <v>25</v>
      </c>
      <c r="O99">
        <v>736</v>
      </c>
      <c r="P99">
        <v>15.8</v>
      </c>
      <c r="Q99">
        <v>7</v>
      </c>
      <c r="R99" t="str">
        <f>IF(AllDataCorrected[[#This Row],[Nitrate (PPM)]]&gt;2, "4. Very high (&gt;2ppm)", IF(AllDataCorrected[[#This Row],[Nitrate (PPM)]]&gt;1, "3. High (1-2ppm)", IF(AllDataCorrected[[#This Row],[Nitrate (PPM)]]&gt;0.5, "2. Some evidence (0.5-1ppm)", IF(AllDataCorrected[[#This Row],[Nitrate (PPM)]]&gt;=0, "1. No evidence (&lt;0.5ppm)"))))</f>
        <v>4. Very high (&gt;2ppm)</v>
      </c>
      <c r="S99">
        <v>0.83</v>
      </c>
      <c r="T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
        <v>0</v>
      </c>
    </row>
    <row r="100" spans="1:22" x14ac:dyDescent="0.35">
      <c r="A100" t="s">
        <v>182</v>
      </c>
      <c r="B100" s="2">
        <v>45190</v>
      </c>
      <c r="C100" t="str" cm="1">
        <f t="array" ref="C1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0">
        <f>YEAR(AllDataCorrected[[#This Row],[Date]])</f>
        <v>2023</v>
      </c>
      <c r="E100" s="1">
        <v>0.4375</v>
      </c>
      <c r="F10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 t="str">
        <f>_xlfn.XLOOKUP(AllDataCorrected[[#This Row],[Location Name]], Locations[Location Name],Locations[Group As])</f>
        <v>Abbey Mill</v>
      </c>
      <c r="H100" t="e" vm="4">
        <f>_xlfn.XLOOKUP(AllDataCorrected[[#This Row],[Site Name]],LocationsKey[Site Name],LocationsKey[District])</f>
        <v>#VALUE!</v>
      </c>
      <c r="I100" t="e" vm="4">
        <f>_xlfn.XLOOKUP(AllDataCorrected[[#This Row],[Site Name]],LocationsKey[Site Name],LocationsKey[Town])</f>
        <v>#VALUE!</v>
      </c>
      <c r="J100" t="str">
        <f>_xlfn.XLOOKUP(AllDataCorrected[[#This Row],[Site Name]],LocationsKey[Site Name], LocationsKey[Waterway])</f>
        <v>Avon</v>
      </c>
      <c r="K100" t="s">
        <v>24</v>
      </c>
      <c r="L100">
        <f>_xlfn.XLOOKUP(AllDataCorrected[[#This Row],[Site Name]],Tables!$B$12:$B$100, Tables!C$12:C$100)</f>
        <v>51.991313075757589</v>
      </c>
      <c r="M100">
        <f>_xlfn.XLOOKUP(AllDataCorrected[[#This Row],[Site Name]],Tables!$B$12:$B$100, Tables!D$12:D$100)</f>
        <v>-2.1621998181818181</v>
      </c>
      <c r="N100" t="s">
        <v>25</v>
      </c>
      <c r="O100">
        <v>105</v>
      </c>
      <c r="P100">
        <v>17.100000000000001</v>
      </c>
      <c r="Q100">
        <v>8</v>
      </c>
      <c r="R1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
        <v>1.04</v>
      </c>
      <c r="T1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
        <v>0</v>
      </c>
    </row>
    <row r="101" spans="1:22" x14ac:dyDescent="0.35">
      <c r="A101" t="s">
        <v>183</v>
      </c>
      <c r="B101" s="2">
        <v>45190</v>
      </c>
      <c r="C101" t="str" cm="1">
        <f t="array" ref="C1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1">
        <f>YEAR(AllDataCorrected[[#This Row],[Date]])</f>
        <v>2023</v>
      </c>
      <c r="E101" s="1">
        <v>0.58333333333333337</v>
      </c>
      <c r="F1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 t="str">
        <f>_xlfn.XLOOKUP(AllDataCorrected[[#This Row],[Location Name]], Locations[Location Name],Locations[Group As])</f>
        <v>Preston-on-Stour River Bridge</v>
      </c>
      <c r="H101" t="e" vm="1">
        <f>_xlfn.XLOOKUP(AllDataCorrected[[#This Row],[Site Name]],LocationsKey[Site Name],LocationsKey[District])</f>
        <v>#VALUE!</v>
      </c>
      <c r="I101" t="e" vm="20">
        <f>_xlfn.XLOOKUP(AllDataCorrected[[#This Row],[Site Name]],LocationsKey[Site Name],LocationsKey[Town])</f>
        <v>#VALUE!</v>
      </c>
      <c r="J101" t="str">
        <f>_xlfn.XLOOKUP(AllDataCorrected[[#This Row],[Site Name]],LocationsKey[Site Name], LocationsKey[Waterway])</f>
        <v>Stour</v>
      </c>
      <c r="K101" t="s">
        <v>184</v>
      </c>
      <c r="L101">
        <f>_xlfn.XLOOKUP(AllDataCorrected[[#This Row],[Site Name]],Tables!$B$12:$B$100, Tables!C$12:C$100)</f>
        <v>52.146672352941174</v>
      </c>
      <c r="M101">
        <f>_xlfn.XLOOKUP(AllDataCorrected[[#This Row],[Site Name]],Tables!$B$12:$B$100, Tables!D$12:D$100)</f>
        <v>-1.6984533333333334</v>
      </c>
      <c r="N101" t="s">
        <v>31</v>
      </c>
      <c r="O101">
        <v>671</v>
      </c>
      <c r="P101">
        <v>16.2</v>
      </c>
      <c r="Q101">
        <v>5</v>
      </c>
      <c r="R1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
        <v>0.8</v>
      </c>
      <c r="T1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
        <v>7</v>
      </c>
      <c r="V101" t="s">
        <v>185</v>
      </c>
    </row>
    <row r="102" spans="1:22" x14ac:dyDescent="0.35">
      <c r="A102" t="s">
        <v>186</v>
      </c>
      <c r="B102" s="2">
        <v>45192</v>
      </c>
      <c r="C102" t="str" cm="1">
        <f t="array" ref="C1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2">
        <f>YEAR(AllDataCorrected[[#This Row],[Date]])</f>
        <v>2023</v>
      </c>
      <c r="E102" s="1">
        <v>0.46527777777777779</v>
      </c>
      <c r="F1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 t="str">
        <f>_xlfn.XLOOKUP(AllDataCorrected[[#This Row],[Location Name]], Locations[Location Name],Locations[Group As])</f>
        <v>Pitch 16</v>
      </c>
      <c r="H102" t="e" vm="1">
        <f>_xlfn.XLOOKUP(AllDataCorrected[[#This Row],[Site Name]],LocationsKey[Site Name],LocationsKey[District])</f>
        <v>#VALUE!</v>
      </c>
      <c r="I102" t="e" vm="12">
        <f>_xlfn.XLOOKUP(AllDataCorrected[[#This Row],[Site Name]],LocationsKey[Site Name],LocationsKey[Town])</f>
        <v>#VALUE!</v>
      </c>
      <c r="J102" t="str">
        <f>_xlfn.XLOOKUP(AllDataCorrected[[#This Row],[Site Name]],LocationsKey[Site Name], LocationsKey[Waterway])</f>
        <v>Avon</v>
      </c>
      <c r="K102" t="s">
        <v>71</v>
      </c>
      <c r="L102">
        <f>_xlfn.XLOOKUP(AllDataCorrected[[#This Row],[Site Name]],Tables!$B$12:$B$100, Tables!C$12:C$100)</f>
        <v>51.289310076923087</v>
      </c>
      <c r="M102">
        <f>_xlfn.XLOOKUP(AllDataCorrected[[#This Row],[Site Name]],Tables!$B$12:$B$100, Tables!D$12:D$100)</f>
        <v>-0.10399761538461544</v>
      </c>
      <c r="N102" t="s">
        <v>31</v>
      </c>
      <c r="O102">
        <v>856</v>
      </c>
      <c r="P102">
        <v>15.5</v>
      </c>
      <c r="Q102">
        <v>15</v>
      </c>
      <c r="R1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
        <v>0.97</v>
      </c>
      <c r="T1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
        <v>0.6</v>
      </c>
      <c r="V102" t="s">
        <v>187</v>
      </c>
    </row>
    <row r="103" spans="1:22" x14ac:dyDescent="0.35">
      <c r="A103" t="s">
        <v>188</v>
      </c>
      <c r="B103" s="2">
        <v>45192</v>
      </c>
      <c r="C103" t="str" cm="1">
        <f t="array" ref="C1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3">
        <f>YEAR(AllDataCorrected[[#This Row],[Date]])</f>
        <v>2023</v>
      </c>
      <c r="E103" s="1">
        <v>0.48888888888888887</v>
      </c>
      <c r="F1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 t="str">
        <f>_xlfn.XLOOKUP(AllDataCorrected[[#This Row],[Location Name]], Locations[Location Name],Locations[Group As])</f>
        <v>Avonbank Drive</v>
      </c>
      <c r="H103" t="e" vm="1">
        <f>_xlfn.XLOOKUP(AllDataCorrected[[#This Row],[Site Name]],LocationsKey[Site Name],LocationsKey[District])</f>
        <v>#VALUE!</v>
      </c>
      <c r="I103" t="e" vm="12">
        <f>_xlfn.XLOOKUP(AllDataCorrected[[#This Row],[Site Name]],LocationsKey[Site Name],LocationsKey[Town])</f>
        <v>#VALUE!</v>
      </c>
      <c r="J103" t="str">
        <f>_xlfn.XLOOKUP(AllDataCorrected[[#This Row],[Site Name]],LocationsKey[Site Name], LocationsKey[Waterway])</f>
        <v>Avon</v>
      </c>
      <c r="K103" t="s">
        <v>67</v>
      </c>
      <c r="L103">
        <f>_xlfn.XLOOKUP(AllDataCorrected[[#This Row],[Site Name]],Tables!$B$12:$B$100, Tables!C$12:C$100)</f>
        <v>51.566927775862098</v>
      </c>
      <c r="M103">
        <f>_xlfn.XLOOKUP(AllDataCorrected[[#This Row],[Site Name]],Tables!$B$12:$B$100, Tables!D$12:D$100)</f>
        <v>-7.2113336724137929</v>
      </c>
      <c r="N103" t="s">
        <v>68</v>
      </c>
      <c r="O103">
        <v>882</v>
      </c>
      <c r="P103">
        <v>18.5</v>
      </c>
      <c r="Q103">
        <v>15</v>
      </c>
      <c r="R1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
        <v>0.8</v>
      </c>
      <c r="T1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
        <v>0.6</v>
      </c>
    </row>
    <row r="104" spans="1:22" x14ac:dyDescent="0.35">
      <c r="A104" t="s">
        <v>189</v>
      </c>
      <c r="B104" s="2">
        <v>45192</v>
      </c>
      <c r="C104" t="str" cm="1">
        <f t="array" ref="C1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4">
        <f>YEAR(AllDataCorrected[[#This Row],[Date]])</f>
        <v>2023</v>
      </c>
      <c r="E104" s="1">
        <v>0.53194444444444444</v>
      </c>
      <c r="F1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 t="str">
        <f>_xlfn.XLOOKUP(AllDataCorrected[[#This Row],[Location Name]], Locations[Location Name],Locations[Group As])</f>
        <v>Trinity Church</v>
      </c>
      <c r="H104" t="e" vm="1">
        <f>_xlfn.XLOOKUP(AllDataCorrected[[#This Row],[Site Name]],LocationsKey[Site Name],LocationsKey[District])</f>
        <v>#VALUE!</v>
      </c>
      <c r="I104" t="e" vm="12">
        <f>_xlfn.XLOOKUP(AllDataCorrected[[#This Row],[Site Name]],LocationsKey[Site Name],LocationsKey[Town])</f>
        <v>#VALUE!</v>
      </c>
      <c r="J104" t="str">
        <f>_xlfn.XLOOKUP(AllDataCorrected[[#This Row],[Site Name]],LocationsKey[Site Name], LocationsKey[Waterway])</f>
        <v>Avon</v>
      </c>
      <c r="K104" t="s">
        <v>190</v>
      </c>
      <c r="L104">
        <f>_xlfn.XLOOKUP(AllDataCorrected[[#This Row],[Site Name]],Tables!$B$12:$B$100, Tables!C$12:C$100)</f>
        <v>52.187393</v>
      </c>
      <c r="M104">
        <f>_xlfn.XLOOKUP(AllDataCorrected[[#This Row],[Site Name]],Tables!$B$12:$B$100, Tables!D$12:D$100)</f>
        <v>-1.706607</v>
      </c>
      <c r="N104" t="s">
        <v>191</v>
      </c>
      <c r="O104">
        <v>887</v>
      </c>
      <c r="P104">
        <v>16.600000000000001</v>
      </c>
      <c r="Q104">
        <v>15</v>
      </c>
      <c r="R1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
        <v>0.6</v>
      </c>
      <c r="T1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
        <v>0.6</v>
      </c>
      <c r="V104" t="s">
        <v>192</v>
      </c>
    </row>
    <row r="105" spans="1:22" x14ac:dyDescent="0.35">
      <c r="A105" t="s">
        <v>193</v>
      </c>
      <c r="B105" s="2">
        <v>45192</v>
      </c>
      <c r="C105" t="str" cm="1">
        <f t="array" ref="C1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5">
        <f>YEAR(AllDataCorrected[[#This Row],[Date]])</f>
        <v>2023</v>
      </c>
      <c r="E105" s="1">
        <v>0.60416666666666663</v>
      </c>
      <c r="F1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 t="str">
        <f>_xlfn.XLOOKUP(AllDataCorrected[[#This Row],[Location Name]], Locations[Location Name],Locations[Group As])</f>
        <v>Carrant Bredon Rd</v>
      </c>
      <c r="H105" t="e" vm="4">
        <f>_xlfn.XLOOKUP(AllDataCorrected[[#This Row],[Site Name]],LocationsKey[Site Name],LocationsKey[District])</f>
        <v>#VALUE!</v>
      </c>
      <c r="I105" t="e" vm="4">
        <f>_xlfn.XLOOKUP(AllDataCorrected[[#This Row],[Site Name]],LocationsKey[Site Name],LocationsKey[Town])</f>
        <v>#VALUE!</v>
      </c>
      <c r="J105" t="str">
        <f>_xlfn.XLOOKUP(AllDataCorrected[[#This Row],[Site Name]],LocationsKey[Site Name], LocationsKey[Waterway])</f>
        <v>Carrant</v>
      </c>
      <c r="K105" t="s">
        <v>91</v>
      </c>
      <c r="L105">
        <f>_xlfn.XLOOKUP(AllDataCorrected[[#This Row],[Site Name]],Tables!$B$12:$B$100, Tables!C$12:C$100)</f>
        <v>51.996322536231894</v>
      </c>
      <c r="M105">
        <f>_xlfn.XLOOKUP(AllDataCorrected[[#This Row],[Site Name]],Tables!$B$12:$B$100, Tables!D$12:D$100)</f>
        <v>-2.1558410144927538</v>
      </c>
      <c r="N105" t="s">
        <v>25</v>
      </c>
      <c r="O105">
        <v>655</v>
      </c>
      <c r="P105">
        <v>13.4</v>
      </c>
      <c r="Q105">
        <v>8</v>
      </c>
      <c r="R1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
        <v>0.94</v>
      </c>
      <c r="T1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
        <v>0</v>
      </c>
    </row>
    <row r="106" spans="1:22" x14ac:dyDescent="0.35">
      <c r="A106" t="s">
        <v>194</v>
      </c>
      <c r="B106" s="2">
        <v>45196</v>
      </c>
      <c r="C106" t="str" cm="1">
        <f t="array" ref="C1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6">
        <f>YEAR(AllDataCorrected[[#This Row],[Date]])</f>
        <v>2023</v>
      </c>
      <c r="E106" s="1">
        <v>0.67222222222222228</v>
      </c>
      <c r="F1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6" t="str">
        <f>_xlfn.XLOOKUP(AllDataCorrected[[#This Row],[Location Name]], Locations[Location Name],Locations[Group As])</f>
        <v>Stour Newbold Mill</v>
      </c>
      <c r="H106" t="e" vm="1">
        <f>_xlfn.XLOOKUP(AllDataCorrected[[#This Row],[Site Name]],LocationsKey[Site Name],LocationsKey[District])</f>
        <v>#VALUE!</v>
      </c>
      <c r="I106" t="e" vm="27">
        <f>_xlfn.XLOOKUP(AllDataCorrected[[#This Row],[Site Name]],LocationsKey[Site Name],LocationsKey[Town])</f>
        <v>#VALUE!</v>
      </c>
      <c r="J106" t="str">
        <f>_xlfn.XLOOKUP(AllDataCorrected[[#This Row],[Site Name]],LocationsKey[Site Name], LocationsKey[Waterway])</f>
        <v>Stour</v>
      </c>
      <c r="K106" t="s">
        <v>141</v>
      </c>
      <c r="L106">
        <f>_xlfn.XLOOKUP(AllDataCorrected[[#This Row],[Site Name]],Tables!$B$12:$B$100, Tables!C$12:C$100)</f>
        <v>52.113052370370369</v>
      </c>
      <c r="M106">
        <f>_xlfn.XLOOKUP(AllDataCorrected[[#This Row],[Site Name]],Tables!$B$12:$B$100, Tables!D$12:D$100)</f>
        <v>-1.6333685185185181</v>
      </c>
      <c r="N106" t="s">
        <v>31</v>
      </c>
      <c r="O106">
        <v>687</v>
      </c>
      <c r="P106">
        <v>16.7</v>
      </c>
      <c r="Q106">
        <v>5</v>
      </c>
      <c r="R1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
        <v>0.7</v>
      </c>
      <c r="T1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
        <v>2</v>
      </c>
      <c r="V106" t="s">
        <v>116</v>
      </c>
    </row>
    <row r="107" spans="1:22" x14ac:dyDescent="0.35">
      <c r="A107" t="s">
        <v>195</v>
      </c>
      <c r="B107" s="2">
        <v>45197</v>
      </c>
      <c r="C107" t="str" cm="1">
        <f t="array" ref="C1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7">
        <f>YEAR(AllDataCorrected[[#This Row],[Date]])</f>
        <v>2023</v>
      </c>
      <c r="E107" s="1">
        <v>0.46875</v>
      </c>
      <c r="F1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7" t="str">
        <f>_xlfn.XLOOKUP(AllDataCorrected[[#This Row],[Location Name]], Locations[Location Name],Locations[Group As])</f>
        <v>Preston-on-Stour River Bridge</v>
      </c>
      <c r="H107" t="e" vm="1">
        <f>_xlfn.XLOOKUP(AllDataCorrected[[#This Row],[Site Name]],LocationsKey[Site Name],LocationsKey[District])</f>
        <v>#VALUE!</v>
      </c>
      <c r="I107" t="e" vm="20">
        <f>_xlfn.XLOOKUP(AllDataCorrected[[#This Row],[Site Name]],LocationsKey[Site Name],LocationsKey[Town])</f>
        <v>#VALUE!</v>
      </c>
      <c r="J107" t="str">
        <f>_xlfn.XLOOKUP(AllDataCorrected[[#This Row],[Site Name]],LocationsKey[Site Name], LocationsKey[Waterway])</f>
        <v>Stour</v>
      </c>
      <c r="K107" t="s">
        <v>164</v>
      </c>
      <c r="L107">
        <f>_xlfn.XLOOKUP(AllDataCorrected[[#This Row],[Site Name]],Tables!$B$12:$B$100, Tables!C$12:C$100)</f>
        <v>52.146672352941174</v>
      </c>
      <c r="M107">
        <f>_xlfn.XLOOKUP(AllDataCorrected[[#This Row],[Site Name]],Tables!$B$12:$B$100, Tables!D$12:D$100)</f>
        <v>-1.6984533333333334</v>
      </c>
      <c r="N107" t="s">
        <v>31</v>
      </c>
      <c r="O107">
        <v>705</v>
      </c>
      <c r="P107">
        <v>15.1</v>
      </c>
      <c r="Q107">
        <v>5</v>
      </c>
      <c r="R1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
        <v>0.6</v>
      </c>
      <c r="T1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
        <v>6</v>
      </c>
      <c r="V107" t="s">
        <v>196</v>
      </c>
    </row>
    <row r="108" spans="1:22" x14ac:dyDescent="0.35">
      <c r="A108" t="s">
        <v>197</v>
      </c>
      <c r="B108" s="2">
        <v>45197</v>
      </c>
      <c r="C108" t="str" cm="1">
        <f t="array" ref="C1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8">
        <f>YEAR(AllDataCorrected[[#This Row],[Date]])</f>
        <v>2023</v>
      </c>
      <c r="E108" s="1">
        <v>0.62916666666666665</v>
      </c>
      <c r="F1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 t="str">
        <f>_xlfn.XLOOKUP(AllDataCorrected[[#This Row],[Location Name]], Locations[Location Name],Locations[Group As])</f>
        <v>Swilgate</v>
      </c>
      <c r="H108" t="e" vm="4">
        <f>_xlfn.XLOOKUP(AllDataCorrected[[#This Row],[Site Name]],LocationsKey[Site Name],LocationsKey[District])</f>
        <v>#VALUE!</v>
      </c>
      <c r="I108" t="e" vm="4">
        <f>_xlfn.XLOOKUP(AllDataCorrected[[#This Row],[Site Name]],LocationsKey[Site Name],LocationsKey[Town])</f>
        <v>#VALUE!</v>
      </c>
      <c r="J108" t="str">
        <f>_xlfn.XLOOKUP(AllDataCorrected[[#This Row],[Site Name]],LocationsKey[Site Name], LocationsKey[Waterway])</f>
        <v>Swilgate</v>
      </c>
      <c r="K108" t="s">
        <v>85</v>
      </c>
      <c r="L108">
        <f>_xlfn.XLOOKUP(AllDataCorrected[[#This Row],[Site Name]],Tables!$B$12:$B$100, Tables!C$12:C$100)</f>
        <v>51.988591500000005</v>
      </c>
      <c r="M108">
        <f>_xlfn.XLOOKUP(AllDataCorrected[[#This Row],[Site Name]],Tables!$B$12:$B$100, Tables!D$12:D$100)</f>
        <v>-2.163898333333333</v>
      </c>
      <c r="N108" t="s">
        <v>25</v>
      </c>
      <c r="O108">
        <v>813</v>
      </c>
      <c r="P108">
        <v>15.6</v>
      </c>
      <c r="Q108">
        <v>7</v>
      </c>
      <c r="R1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
        <v>0.62</v>
      </c>
      <c r="T1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
        <v>0</v>
      </c>
    </row>
    <row r="109" spans="1:22" x14ac:dyDescent="0.35">
      <c r="A109" t="s">
        <v>198</v>
      </c>
      <c r="B109" s="2">
        <v>45199</v>
      </c>
      <c r="C109" t="str" cm="1">
        <f t="array" ref="C1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9">
        <f>YEAR(AllDataCorrected[[#This Row],[Date]])</f>
        <v>2023</v>
      </c>
      <c r="E109" s="1">
        <v>0.39583333333333331</v>
      </c>
      <c r="F1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 t="str">
        <f>_xlfn.XLOOKUP(AllDataCorrected[[#This Row],[Location Name]], Locations[Location Name],Locations[Group As])</f>
        <v>Avonbank Drive</v>
      </c>
      <c r="H109" t="e" vm="1">
        <f>_xlfn.XLOOKUP(AllDataCorrected[[#This Row],[Site Name]],LocationsKey[Site Name],LocationsKey[District])</f>
        <v>#VALUE!</v>
      </c>
      <c r="I109" t="e" vm="12">
        <f>_xlfn.XLOOKUP(AllDataCorrected[[#This Row],[Site Name]],LocationsKey[Site Name],LocationsKey[Town])</f>
        <v>#VALUE!</v>
      </c>
      <c r="J109" t="str">
        <f>_xlfn.XLOOKUP(AllDataCorrected[[#This Row],[Site Name]],LocationsKey[Site Name], LocationsKey[Waterway])</f>
        <v>Avon</v>
      </c>
      <c r="K109" t="s">
        <v>104</v>
      </c>
      <c r="L109">
        <f>_xlfn.XLOOKUP(AllDataCorrected[[#This Row],[Site Name]],Tables!$B$12:$B$100, Tables!C$12:C$100)</f>
        <v>51.566927775862098</v>
      </c>
      <c r="M109">
        <f>_xlfn.XLOOKUP(AllDataCorrected[[#This Row],[Site Name]],Tables!$B$12:$B$100, Tables!D$12:D$100)</f>
        <v>-7.2113336724137929</v>
      </c>
      <c r="N109" t="s">
        <v>68</v>
      </c>
      <c r="O109">
        <v>917</v>
      </c>
      <c r="P109">
        <v>18.899999999999999</v>
      </c>
      <c r="Q109">
        <v>10</v>
      </c>
      <c r="R1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
        <v>0.95</v>
      </c>
      <c r="T1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
        <v>0.6</v>
      </c>
    </row>
    <row r="110" spans="1:22" x14ac:dyDescent="0.35">
      <c r="A110" t="s">
        <v>199</v>
      </c>
      <c r="B110" s="2">
        <v>45199</v>
      </c>
      <c r="C110" t="str" cm="1">
        <f t="array" ref="C1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0">
        <f>YEAR(AllDataCorrected[[#This Row],[Date]])</f>
        <v>2023</v>
      </c>
      <c r="E110" s="1">
        <v>0.39583333333333331</v>
      </c>
      <c r="F1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 t="str">
        <f>_xlfn.XLOOKUP(AllDataCorrected[[#This Row],[Location Name]], Locations[Location Name],Locations[Group As])</f>
        <v>Pitch 16</v>
      </c>
      <c r="H110" t="e" vm="1">
        <f>_xlfn.XLOOKUP(AllDataCorrected[[#This Row],[Site Name]],LocationsKey[Site Name],LocationsKey[District])</f>
        <v>#VALUE!</v>
      </c>
      <c r="I110" t="e" vm="12">
        <f>_xlfn.XLOOKUP(AllDataCorrected[[#This Row],[Site Name]],LocationsKey[Site Name],LocationsKey[Town])</f>
        <v>#VALUE!</v>
      </c>
      <c r="J110" t="str">
        <f>_xlfn.XLOOKUP(AllDataCorrected[[#This Row],[Site Name]],LocationsKey[Site Name], LocationsKey[Waterway])</f>
        <v>Avon</v>
      </c>
      <c r="K110" t="s">
        <v>71</v>
      </c>
      <c r="L110">
        <f>_xlfn.XLOOKUP(AllDataCorrected[[#This Row],[Site Name]],Tables!$B$12:$B$100, Tables!C$12:C$100)</f>
        <v>51.289310076923087</v>
      </c>
      <c r="M110">
        <f>_xlfn.XLOOKUP(AllDataCorrected[[#This Row],[Site Name]],Tables!$B$12:$B$100, Tables!D$12:D$100)</f>
        <v>-0.10399761538461544</v>
      </c>
      <c r="N110" t="s">
        <v>31</v>
      </c>
      <c r="O110">
        <v>902</v>
      </c>
      <c r="P110">
        <v>19.3</v>
      </c>
      <c r="Q110">
        <v>15</v>
      </c>
      <c r="R1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
        <v>0.74</v>
      </c>
      <c r="T1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
        <v>0.6</v>
      </c>
    </row>
    <row r="111" spans="1:22" x14ac:dyDescent="0.35">
      <c r="A111" t="s">
        <v>200</v>
      </c>
      <c r="B111" s="2">
        <v>45200</v>
      </c>
      <c r="C111" t="str" cm="1">
        <f t="array" ref="C1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1">
        <f>YEAR(AllDataCorrected[[#This Row],[Date]])</f>
        <v>2023</v>
      </c>
      <c r="E111" s="1">
        <v>0.42708333333333331</v>
      </c>
      <c r="F1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 t="str">
        <f>_xlfn.XLOOKUP(AllDataCorrected[[#This Row],[Location Name]], Locations[Location Name],Locations[Group As])</f>
        <v>Abbey Mill</v>
      </c>
      <c r="H111" t="e" vm="4">
        <f>_xlfn.XLOOKUP(AllDataCorrected[[#This Row],[Site Name]],LocationsKey[Site Name],LocationsKey[District])</f>
        <v>#VALUE!</v>
      </c>
      <c r="I111" t="e" vm="4">
        <f>_xlfn.XLOOKUP(AllDataCorrected[[#This Row],[Site Name]],LocationsKey[Site Name],LocationsKey[Town])</f>
        <v>#VALUE!</v>
      </c>
      <c r="J111" t="str">
        <f>_xlfn.XLOOKUP(AllDataCorrected[[#This Row],[Site Name]],LocationsKey[Site Name], LocationsKey[Waterway])</f>
        <v>Avon</v>
      </c>
      <c r="K111" t="s">
        <v>27</v>
      </c>
      <c r="L111">
        <f>_xlfn.XLOOKUP(AllDataCorrected[[#This Row],[Site Name]],Tables!$B$12:$B$100, Tables!C$12:C$100)</f>
        <v>51.991313075757589</v>
      </c>
      <c r="M111">
        <f>_xlfn.XLOOKUP(AllDataCorrected[[#This Row],[Site Name]],Tables!$B$12:$B$100, Tables!D$12:D$100)</f>
        <v>-2.1621998181818181</v>
      </c>
      <c r="N111" t="s">
        <v>25</v>
      </c>
      <c r="O111">
        <v>870</v>
      </c>
      <c r="P111">
        <v>17.5</v>
      </c>
      <c r="Q111">
        <v>10</v>
      </c>
      <c r="R1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
        <v>0.98</v>
      </c>
      <c r="T1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
        <v>0</v>
      </c>
    </row>
    <row r="112" spans="1:22" x14ac:dyDescent="0.35">
      <c r="A112" t="s">
        <v>201</v>
      </c>
      <c r="B112" s="2">
        <v>45200</v>
      </c>
      <c r="C112" t="str" cm="1">
        <f t="array" ref="C1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2">
        <f>YEAR(AllDataCorrected[[#This Row],[Date]])</f>
        <v>2023</v>
      </c>
      <c r="E112" s="1">
        <v>0.43125000000000002</v>
      </c>
      <c r="F1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 t="str">
        <f>_xlfn.XLOOKUP(AllDataCorrected[[#This Row],[Location Name]], Locations[Location Name],Locations[Group As])</f>
        <v>Stour Shipston Mill Bridge</v>
      </c>
      <c r="H112" t="e" vm="1">
        <f>_xlfn.XLOOKUP(AllDataCorrected[[#This Row],[Site Name]],LocationsKey[Site Name],LocationsKey[District])</f>
        <v>#VALUE!</v>
      </c>
      <c r="I112" t="e" vm="15">
        <f>_xlfn.XLOOKUP(AllDataCorrected[[#This Row],[Site Name]],LocationsKey[Site Name],LocationsKey[Town])</f>
        <v>#VALUE!</v>
      </c>
      <c r="J112" t="str">
        <f>_xlfn.XLOOKUP(AllDataCorrected[[#This Row],[Site Name]],LocationsKey[Site Name], LocationsKey[Waterway])</f>
        <v>Stour</v>
      </c>
      <c r="K112" t="s">
        <v>202</v>
      </c>
      <c r="L112">
        <f>_xlfn.XLOOKUP(AllDataCorrected[[#This Row],[Site Name]],Tables!$B$12:$B$100, Tables!C$12:C$100)</f>
        <v>52.062214921052629</v>
      </c>
      <c r="M112">
        <f>_xlfn.XLOOKUP(AllDataCorrected[[#This Row],[Site Name]],Tables!$B$12:$B$100, Tables!D$12:D$100)</f>
        <v>-1.6223788421052625</v>
      </c>
      <c r="N112" t="s">
        <v>203</v>
      </c>
      <c r="O112">
        <v>642</v>
      </c>
      <c r="P112">
        <v>16</v>
      </c>
      <c r="Q112">
        <v>10</v>
      </c>
      <c r="R1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
        <v>0.41</v>
      </c>
      <c r="T1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
        <v>5</v>
      </c>
    </row>
    <row r="113" spans="1:22" x14ac:dyDescent="0.35">
      <c r="A113" t="s">
        <v>204</v>
      </c>
      <c r="B113" s="2">
        <v>45203</v>
      </c>
      <c r="C113" t="str" cm="1">
        <f t="array" ref="C1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3">
        <f>YEAR(AllDataCorrected[[#This Row],[Date]])</f>
        <v>2023</v>
      </c>
      <c r="E113" s="1">
        <v>0.67708333333333337</v>
      </c>
      <c r="F1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 t="str">
        <f>_xlfn.XLOOKUP(AllDataCorrected[[#This Row],[Location Name]], Locations[Location Name],Locations[Group As])</f>
        <v>Stour Newbold Mill</v>
      </c>
      <c r="H113" t="e" vm="1">
        <f>_xlfn.XLOOKUP(AllDataCorrected[[#This Row],[Site Name]],LocationsKey[Site Name],LocationsKey[District])</f>
        <v>#VALUE!</v>
      </c>
      <c r="I113" t="e" vm="27">
        <f>_xlfn.XLOOKUP(AllDataCorrected[[#This Row],[Site Name]],LocationsKey[Site Name],LocationsKey[Town])</f>
        <v>#VALUE!</v>
      </c>
      <c r="J113" t="str">
        <f>_xlfn.XLOOKUP(AllDataCorrected[[#This Row],[Site Name]],LocationsKey[Site Name], LocationsKey[Waterway])</f>
        <v>Stour</v>
      </c>
      <c r="K113" t="s">
        <v>205</v>
      </c>
      <c r="L113">
        <f>_xlfn.XLOOKUP(AllDataCorrected[[#This Row],[Site Name]],Tables!$B$12:$B$100, Tables!C$12:C$100)</f>
        <v>52.113052370370369</v>
      </c>
      <c r="M113">
        <f>_xlfn.XLOOKUP(AllDataCorrected[[#This Row],[Site Name]],Tables!$B$12:$B$100, Tables!D$12:D$100)</f>
        <v>-1.6333685185185181</v>
      </c>
      <c r="N113" t="s">
        <v>31</v>
      </c>
      <c r="O113">
        <v>704</v>
      </c>
      <c r="P113">
        <v>15.5</v>
      </c>
      <c r="Q113">
        <v>2</v>
      </c>
      <c r="R113" t="str">
        <f>IF(AllDataCorrected[[#This Row],[Nitrate (PPM)]]&gt;2, "4. Very high (&gt;2ppm)", IF(AllDataCorrected[[#This Row],[Nitrate (PPM)]]&gt;1, "3. High (1-2ppm)", IF(AllDataCorrected[[#This Row],[Nitrate (PPM)]]&gt;0.5, "2. Some evidence (0.5-1ppm)", IF(AllDataCorrected[[#This Row],[Nitrate (PPM)]]&gt;=0, "1. No evidence (&lt;0.5ppm)"))))</f>
        <v>3. High (1-2ppm)</v>
      </c>
      <c r="S113">
        <v>0.71</v>
      </c>
      <c r="T1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
        <v>2</v>
      </c>
      <c r="V113" t="s">
        <v>116</v>
      </c>
    </row>
    <row r="114" spans="1:22" x14ac:dyDescent="0.35">
      <c r="A114" t="s">
        <v>206</v>
      </c>
      <c r="B114" s="2">
        <v>45204</v>
      </c>
      <c r="C114" t="str" cm="1">
        <f t="array" ref="C1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4">
        <f>YEAR(AllDataCorrected[[#This Row],[Date]])</f>
        <v>2023</v>
      </c>
      <c r="E114" s="1">
        <v>0.4375</v>
      </c>
      <c r="F1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 t="str">
        <f>_xlfn.XLOOKUP(AllDataCorrected[[#This Row],[Location Name]], Locations[Location Name],Locations[Group As])</f>
        <v>Swilgate</v>
      </c>
      <c r="H114" t="e" vm="4">
        <f>_xlfn.XLOOKUP(AllDataCorrected[[#This Row],[Site Name]],LocationsKey[Site Name],LocationsKey[District])</f>
        <v>#VALUE!</v>
      </c>
      <c r="I114" t="e" vm="4">
        <f>_xlfn.XLOOKUP(AllDataCorrected[[#This Row],[Site Name]],LocationsKey[Site Name],LocationsKey[Town])</f>
        <v>#VALUE!</v>
      </c>
      <c r="J114" t="str">
        <f>_xlfn.XLOOKUP(AllDataCorrected[[#This Row],[Site Name]],LocationsKey[Site Name], LocationsKey[Waterway])</f>
        <v>Swilgate</v>
      </c>
      <c r="K114" t="s">
        <v>85</v>
      </c>
      <c r="L114">
        <f>_xlfn.XLOOKUP(AllDataCorrected[[#This Row],[Site Name]],Tables!$B$12:$B$100, Tables!C$12:C$100)</f>
        <v>51.988591500000005</v>
      </c>
      <c r="M114">
        <f>_xlfn.XLOOKUP(AllDataCorrected[[#This Row],[Site Name]],Tables!$B$12:$B$100, Tables!D$12:D$100)</f>
        <v>-2.163898333333333</v>
      </c>
      <c r="N114" t="s">
        <v>25</v>
      </c>
      <c r="O114">
        <v>868</v>
      </c>
      <c r="P114">
        <v>15.2</v>
      </c>
      <c r="Q114">
        <v>10</v>
      </c>
      <c r="R1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
        <v>0.7</v>
      </c>
      <c r="T1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
        <v>0</v>
      </c>
    </row>
    <row r="115" spans="1:22" x14ac:dyDescent="0.35">
      <c r="A115" t="s">
        <v>207</v>
      </c>
      <c r="B115" s="2">
        <v>45204</v>
      </c>
      <c r="C115" t="str" cm="1">
        <f t="array" ref="C1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5">
        <f>YEAR(AllDataCorrected[[#This Row],[Date]])</f>
        <v>2023</v>
      </c>
      <c r="E115" s="1">
        <v>0.59236111111111112</v>
      </c>
      <c r="F1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 t="str">
        <f>_xlfn.XLOOKUP(AllDataCorrected[[#This Row],[Location Name]], Locations[Location Name],Locations[Group As])</f>
        <v>Preston-on-Stour River Bridge</v>
      </c>
      <c r="H115" t="e" vm="1">
        <f>_xlfn.XLOOKUP(AllDataCorrected[[#This Row],[Site Name]],LocationsKey[Site Name],LocationsKey[District])</f>
        <v>#VALUE!</v>
      </c>
      <c r="I115" t="e" vm="20">
        <f>_xlfn.XLOOKUP(AllDataCorrected[[#This Row],[Site Name]],LocationsKey[Site Name],LocationsKey[Town])</f>
        <v>#VALUE!</v>
      </c>
      <c r="J115" t="str">
        <f>_xlfn.XLOOKUP(AllDataCorrected[[#This Row],[Site Name]],LocationsKey[Site Name], LocationsKey[Waterway])</f>
        <v>Stour</v>
      </c>
      <c r="K115" t="s">
        <v>164</v>
      </c>
      <c r="L115">
        <f>_xlfn.XLOOKUP(AllDataCorrected[[#This Row],[Site Name]],Tables!$B$12:$B$100, Tables!C$12:C$100)</f>
        <v>52.146672352941174</v>
      </c>
      <c r="M115">
        <f>_xlfn.XLOOKUP(AllDataCorrected[[#This Row],[Site Name]],Tables!$B$12:$B$100, Tables!D$12:D$100)</f>
        <v>-1.6984533333333334</v>
      </c>
      <c r="N115" t="s">
        <v>31</v>
      </c>
      <c r="O115">
        <v>692</v>
      </c>
      <c r="P115">
        <v>15.8</v>
      </c>
      <c r="Q115">
        <v>5</v>
      </c>
      <c r="R1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
        <v>0.61</v>
      </c>
      <c r="T1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
        <v>6</v>
      </c>
      <c r="V115" t="s">
        <v>208</v>
      </c>
    </row>
    <row r="116" spans="1:22" x14ac:dyDescent="0.35">
      <c r="A116" t="s">
        <v>209</v>
      </c>
      <c r="B116" s="2">
        <v>45206</v>
      </c>
      <c r="C116" t="str" cm="1">
        <f t="array" ref="C1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6">
        <f>YEAR(AllDataCorrected[[#This Row],[Date]])</f>
        <v>2023</v>
      </c>
      <c r="E116" s="1">
        <v>0.48888888888888887</v>
      </c>
      <c r="F1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 t="str">
        <f>_xlfn.XLOOKUP(AllDataCorrected[[#This Row],[Location Name]], Locations[Location Name],Locations[Group As])</f>
        <v>Site 1  :  Middle Street</v>
      </c>
      <c r="H116" t="e" vm="1">
        <f>_xlfn.XLOOKUP(AllDataCorrected[[#This Row],[Site Name]],LocationsKey[Site Name],LocationsKey[District])</f>
        <v>#VALUE!</v>
      </c>
      <c r="I116" t="e" vm="14">
        <f>_xlfn.XLOOKUP(AllDataCorrected[[#This Row],[Site Name]],LocationsKey[Site Name],LocationsKey[Town])</f>
        <v>#VALUE!</v>
      </c>
      <c r="J116" t="str">
        <f>_xlfn.XLOOKUP(AllDataCorrected[[#This Row],[Site Name]],LocationsKey[Site Name], LocationsKey[Waterway])</f>
        <v>Fosseway Brook</v>
      </c>
      <c r="K116" t="s">
        <v>210</v>
      </c>
      <c r="L116">
        <f>_xlfn.XLOOKUP(AllDataCorrected[[#This Row],[Site Name]],Tables!$B$12:$B$100, Tables!C$12:C$100)</f>
        <v>52.090081855670022</v>
      </c>
      <c r="M116">
        <f>_xlfn.XLOOKUP(AllDataCorrected[[#This Row],[Site Name]],Tables!$B$12:$B$100, Tables!D$12:D$100)</f>
        <v>-1.6925771134020597</v>
      </c>
      <c r="N116" t="s">
        <v>68</v>
      </c>
      <c r="O116">
        <v>608</v>
      </c>
      <c r="P116">
        <v>17.100000000000001</v>
      </c>
      <c r="Q116">
        <v>1</v>
      </c>
      <c r="R116"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16">
        <v>0.18</v>
      </c>
      <c r="T1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
        <v>0</v>
      </c>
    </row>
    <row r="117" spans="1:22" x14ac:dyDescent="0.35">
      <c r="A117" t="s">
        <v>211</v>
      </c>
      <c r="B117" s="2">
        <v>45207</v>
      </c>
      <c r="C117" t="str" cm="1">
        <f t="array" ref="C1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7">
        <f>YEAR(AllDataCorrected[[#This Row],[Date]])</f>
        <v>2023</v>
      </c>
      <c r="E117" s="1">
        <v>0.41666666666666669</v>
      </c>
      <c r="F1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 t="str">
        <f>_xlfn.XLOOKUP(AllDataCorrected[[#This Row],[Location Name]], Locations[Location Name],Locations[Group As])</f>
        <v>Lucy's Mill Bridge</v>
      </c>
      <c r="H117" t="e" vm="1">
        <f>_xlfn.XLOOKUP(AllDataCorrected[[#This Row],[Site Name]],LocationsKey[Site Name],LocationsKey[District])</f>
        <v>#VALUE!</v>
      </c>
      <c r="I117" t="e" vm="12">
        <f>_xlfn.XLOOKUP(AllDataCorrected[[#This Row],[Site Name]],LocationsKey[Site Name],LocationsKey[Town])</f>
        <v>#VALUE!</v>
      </c>
      <c r="J117" t="str">
        <f>_xlfn.XLOOKUP(AllDataCorrected[[#This Row],[Site Name]],LocationsKey[Site Name], LocationsKey[Waterway])</f>
        <v>Avon</v>
      </c>
      <c r="K117" t="s">
        <v>212</v>
      </c>
      <c r="L117">
        <f>_xlfn.XLOOKUP(AllDataCorrected[[#This Row],[Site Name]],Tables!$B$12:$B$100, Tables!C$12:C$100)</f>
        <v>52.183699000000011</v>
      </c>
      <c r="M117">
        <f>_xlfn.XLOOKUP(AllDataCorrected[[#This Row],[Site Name]],Tables!$B$12:$B$100, Tables!D$12:D$100)</f>
        <v>-1.7078160000000004</v>
      </c>
      <c r="N117" t="s">
        <v>31</v>
      </c>
      <c r="P117">
        <v>16</v>
      </c>
      <c r="Q117">
        <v>10</v>
      </c>
      <c r="R1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
        <v>0.59</v>
      </c>
      <c r="T1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
        <v>0.7</v>
      </c>
    </row>
    <row r="118" spans="1:22" x14ac:dyDescent="0.35">
      <c r="A118" t="s">
        <v>213</v>
      </c>
      <c r="B118" s="2">
        <v>45207</v>
      </c>
      <c r="C118" t="str" cm="1">
        <f t="array" ref="C1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8">
        <f>YEAR(AllDataCorrected[[#This Row],[Date]])</f>
        <v>2023</v>
      </c>
      <c r="E118" s="1">
        <v>0.52083333333333337</v>
      </c>
      <c r="F1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 t="str">
        <f>_xlfn.XLOOKUP(AllDataCorrected[[#This Row],[Location Name]], Locations[Location Name],Locations[Group As])</f>
        <v>Hampton Wood</v>
      </c>
      <c r="H118" t="e" vm="1">
        <f>_xlfn.XLOOKUP(AllDataCorrected[[#This Row],[Site Name]],LocationsKey[Site Name],LocationsKey[District])</f>
        <v>#VALUE!</v>
      </c>
      <c r="I118" t="e" vm="34">
        <f>_xlfn.XLOOKUP(AllDataCorrected[[#This Row],[Site Name]],LocationsKey[Site Name],LocationsKey[Town])</f>
        <v>#VALUE!</v>
      </c>
      <c r="J118" t="str">
        <f>_xlfn.XLOOKUP(AllDataCorrected[[#This Row],[Site Name]],LocationsKey[Site Name], LocationsKey[Waterway])</f>
        <v>Avon</v>
      </c>
      <c r="K118" t="s">
        <v>36</v>
      </c>
      <c r="L118">
        <f>_xlfn.XLOOKUP(AllDataCorrected[[#This Row],[Site Name]],Tables!$B$12:$B$100, Tables!C$12:C$100)</f>
        <v>52.23814999999999</v>
      </c>
      <c r="M118">
        <f>_xlfn.XLOOKUP(AllDataCorrected[[#This Row],[Site Name]],Tables!$B$12:$B$100, Tables!D$12:D$100)</f>
        <v>-1.6245800000000008</v>
      </c>
      <c r="N118" t="s">
        <v>31</v>
      </c>
      <c r="O118">
        <v>918</v>
      </c>
      <c r="P118">
        <v>16.100000000000001</v>
      </c>
      <c r="Q118">
        <v>9</v>
      </c>
      <c r="R1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
        <v>0.73</v>
      </c>
      <c r="T1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
        <v>0</v>
      </c>
    </row>
    <row r="119" spans="1:22" x14ac:dyDescent="0.35">
      <c r="A119" t="s">
        <v>214</v>
      </c>
      <c r="B119" s="2">
        <v>45207</v>
      </c>
      <c r="C119" t="str" cm="1">
        <f t="array" ref="C1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9">
        <f>YEAR(AllDataCorrected[[#This Row],[Date]])</f>
        <v>2023</v>
      </c>
      <c r="E119" s="1">
        <v>0.58333333333333337</v>
      </c>
      <c r="F1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 t="str">
        <f>_xlfn.XLOOKUP(AllDataCorrected[[#This Row],[Location Name]], Locations[Location Name],Locations[Group As])</f>
        <v>Hampton Lucy</v>
      </c>
      <c r="H119" t="e" vm="1">
        <f>_xlfn.XLOOKUP(AllDataCorrected[[#This Row],[Site Name]],LocationsKey[Site Name],LocationsKey[District])</f>
        <v>#VALUE!</v>
      </c>
      <c r="I119" t="e" vm="33">
        <f>_xlfn.XLOOKUP(AllDataCorrected[[#This Row],[Site Name]],LocationsKey[Site Name],LocationsKey[Town])</f>
        <v>#VALUE!</v>
      </c>
      <c r="J119" t="str">
        <f>_xlfn.XLOOKUP(AllDataCorrected[[#This Row],[Site Name]],LocationsKey[Site Name], LocationsKey[Waterway])</f>
        <v>Avon</v>
      </c>
      <c r="K119" t="s">
        <v>39</v>
      </c>
      <c r="L119">
        <f>_xlfn.XLOOKUP(AllDataCorrected[[#This Row],[Site Name]],Tables!$B$12:$B$100, Tables!C$12:C$100)</f>
        <v>52.211679999999973</v>
      </c>
      <c r="M119">
        <f>_xlfn.XLOOKUP(AllDataCorrected[[#This Row],[Site Name]],Tables!$B$12:$B$100, Tables!D$12:D$100)</f>
        <v>-1.6244400000000001</v>
      </c>
      <c r="N119" t="s">
        <v>25</v>
      </c>
      <c r="O119">
        <v>884</v>
      </c>
      <c r="P119">
        <v>18</v>
      </c>
      <c r="Q119">
        <v>7.5</v>
      </c>
      <c r="R1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
        <v>0.6</v>
      </c>
      <c r="T1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
        <v>0</v>
      </c>
    </row>
    <row r="120" spans="1:22" x14ac:dyDescent="0.35">
      <c r="A120" t="s">
        <v>215</v>
      </c>
      <c r="B120" s="2">
        <v>45207</v>
      </c>
      <c r="C120" t="str" cm="1">
        <f t="array" ref="C1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0">
        <f>YEAR(AllDataCorrected[[#This Row],[Date]])</f>
        <v>2023</v>
      </c>
      <c r="E120" s="1">
        <v>0.66666666666666663</v>
      </c>
      <c r="F1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 t="str">
        <f>_xlfn.XLOOKUP(AllDataCorrected[[#This Row],[Location Name]], Locations[Location Name],Locations[Group As])</f>
        <v>Welford Boat Station</v>
      </c>
      <c r="H120" t="e" vm="1">
        <f>_xlfn.XLOOKUP(AllDataCorrected[[#This Row],[Site Name]],LocationsKey[Site Name],LocationsKey[District])</f>
        <v>#VALUE!</v>
      </c>
      <c r="I120" t="e" vm="36">
        <f>_xlfn.XLOOKUP(AllDataCorrected[[#This Row],[Site Name]],LocationsKey[Site Name],LocationsKey[Town])</f>
        <v>#VALUE!</v>
      </c>
      <c r="J120" t="str">
        <f>_xlfn.XLOOKUP(AllDataCorrected[[#This Row],[Site Name]],LocationsKey[Site Name], LocationsKey[Waterway])</f>
        <v>Avon</v>
      </c>
      <c r="K120" t="s">
        <v>41</v>
      </c>
      <c r="L120">
        <f>_xlfn.XLOOKUP(AllDataCorrected[[#This Row],[Site Name]],Tables!$B$12:$B$100, Tables!C$12:C$100)</f>
        <v>52.175174684210546</v>
      </c>
      <c r="M120">
        <f>_xlfn.XLOOKUP(AllDataCorrected[[#This Row],[Site Name]],Tables!$B$12:$B$100, Tables!D$12:D$100)</f>
        <v>-1.7918551052631577</v>
      </c>
      <c r="N120" t="s">
        <v>31</v>
      </c>
      <c r="O120">
        <v>830</v>
      </c>
      <c r="P120">
        <v>17.600000000000001</v>
      </c>
      <c r="Q120">
        <v>4.5</v>
      </c>
      <c r="R1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
        <v>0.56999999999999995</v>
      </c>
      <c r="T1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
        <v>0</v>
      </c>
      <c r="V120" t="s">
        <v>97</v>
      </c>
    </row>
    <row r="121" spans="1:22" x14ac:dyDescent="0.35">
      <c r="A121" t="s">
        <v>216</v>
      </c>
      <c r="B121" s="2">
        <v>45207</v>
      </c>
      <c r="C121" t="str" cm="1">
        <f t="array" ref="C1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1">
        <f>YEAR(AllDataCorrected[[#This Row],[Date]])</f>
        <v>2023</v>
      </c>
      <c r="E121" s="1">
        <v>0.69374999999999998</v>
      </c>
      <c r="F1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 t="str">
        <f>_xlfn.XLOOKUP(AllDataCorrected[[#This Row],[Location Name]], Locations[Location Name],Locations[Group As])</f>
        <v>Abbey Mill</v>
      </c>
      <c r="H121" t="e" vm="4">
        <f>_xlfn.XLOOKUP(AllDataCorrected[[#This Row],[Site Name]],LocationsKey[Site Name],LocationsKey[District])</f>
        <v>#VALUE!</v>
      </c>
      <c r="I121" t="e" vm="4">
        <f>_xlfn.XLOOKUP(AllDataCorrected[[#This Row],[Site Name]],LocationsKey[Site Name],LocationsKey[Town])</f>
        <v>#VALUE!</v>
      </c>
      <c r="J121" t="str">
        <f>_xlfn.XLOOKUP(AllDataCorrected[[#This Row],[Site Name]],LocationsKey[Site Name], LocationsKey[Waterway])</f>
        <v>Avon</v>
      </c>
      <c r="K121" t="s">
        <v>24</v>
      </c>
      <c r="L121">
        <f>_xlfn.XLOOKUP(AllDataCorrected[[#This Row],[Site Name]],Tables!$B$12:$B$100, Tables!C$12:C$100)</f>
        <v>51.991313075757589</v>
      </c>
      <c r="M121">
        <f>_xlfn.XLOOKUP(AllDataCorrected[[#This Row],[Site Name]],Tables!$B$12:$B$100, Tables!D$12:D$100)</f>
        <v>-2.1621998181818181</v>
      </c>
      <c r="N121" t="s">
        <v>25</v>
      </c>
      <c r="O121">
        <v>811</v>
      </c>
      <c r="P121">
        <v>18.100000000000001</v>
      </c>
      <c r="Q121">
        <v>9</v>
      </c>
      <c r="R1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
        <v>1.01</v>
      </c>
      <c r="T1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
        <v>0</v>
      </c>
    </row>
    <row r="122" spans="1:22" x14ac:dyDescent="0.35">
      <c r="A122" t="s">
        <v>217</v>
      </c>
      <c r="B122" s="2">
        <v>45207</v>
      </c>
      <c r="C122" t="str" cm="1">
        <f t="array" ref="C1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2">
        <f>YEAR(AllDataCorrected[[#This Row],[Date]])</f>
        <v>2023</v>
      </c>
      <c r="E122" s="1">
        <v>0.77083333333333337</v>
      </c>
      <c r="F1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2" t="str">
        <f>_xlfn.XLOOKUP(AllDataCorrected[[#This Row],[Location Name]], Locations[Location Name],Locations[Group As])</f>
        <v>Avonbank Drive</v>
      </c>
      <c r="H122" t="e" vm="1">
        <f>_xlfn.XLOOKUP(AllDataCorrected[[#This Row],[Site Name]],LocationsKey[Site Name],LocationsKey[District])</f>
        <v>#VALUE!</v>
      </c>
      <c r="I122" t="e" vm="12">
        <f>_xlfn.XLOOKUP(AllDataCorrected[[#This Row],[Site Name]],LocationsKey[Site Name],LocationsKey[Town])</f>
        <v>#VALUE!</v>
      </c>
      <c r="J122" t="str">
        <f>_xlfn.XLOOKUP(AllDataCorrected[[#This Row],[Site Name]],LocationsKey[Site Name], LocationsKey[Waterway])</f>
        <v>Avon</v>
      </c>
      <c r="K122" t="s">
        <v>104</v>
      </c>
      <c r="L122">
        <f>_xlfn.XLOOKUP(AllDataCorrected[[#This Row],[Site Name]],Tables!$B$12:$B$100, Tables!C$12:C$100)</f>
        <v>51.566927775862098</v>
      </c>
      <c r="M122">
        <f>_xlfn.XLOOKUP(AllDataCorrected[[#This Row],[Site Name]],Tables!$B$12:$B$100, Tables!D$12:D$100)</f>
        <v>-7.2113336724137929</v>
      </c>
      <c r="N122" t="s">
        <v>68</v>
      </c>
      <c r="O122">
        <v>915</v>
      </c>
      <c r="P122">
        <v>18</v>
      </c>
      <c r="Q122">
        <v>20</v>
      </c>
      <c r="R1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
        <v>1.74</v>
      </c>
      <c r="T1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
        <v>0.56999999999999995</v>
      </c>
    </row>
    <row r="123" spans="1:22" x14ac:dyDescent="0.35">
      <c r="A123" t="s">
        <v>218</v>
      </c>
      <c r="B123" s="2">
        <v>45207</v>
      </c>
      <c r="C123" t="str" cm="1">
        <f t="array" ref="C1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
        <f>YEAR(AllDataCorrected[[#This Row],[Date]])</f>
        <v>2023</v>
      </c>
      <c r="E123" s="1">
        <v>0.77083333333333337</v>
      </c>
      <c r="F12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 t="str">
        <f>_xlfn.XLOOKUP(AllDataCorrected[[#This Row],[Location Name]], Locations[Location Name],Locations[Group As])</f>
        <v>Pitch 16</v>
      </c>
      <c r="H123" t="e" vm="1">
        <f>_xlfn.XLOOKUP(AllDataCorrected[[#This Row],[Site Name]],LocationsKey[Site Name],LocationsKey[District])</f>
        <v>#VALUE!</v>
      </c>
      <c r="I123" t="e" vm="12">
        <f>_xlfn.XLOOKUP(AllDataCorrected[[#This Row],[Site Name]],LocationsKey[Site Name],LocationsKey[Town])</f>
        <v>#VALUE!</v>
      </c>
      <c r="J123" t="str">
        <f>_xlfn.XLOOKUP(AllDataCorrected[[#This Row],[Site Name]],LocationsKey[Site Name], LocationsKey[Waterway])</f>
        <v>Avon</v>
      </c>
      <c r="K123" t="s">
        <v>71</v>
      </c>
      <c r="L123">
        <f>_xlfn.XLOOKUP(AllDataCorrected[[#This Row],[Site Name]],Tables!$B$12:$B$100, Tables!C$12:C$100)</f>
        <v>51.289310076923087</v>
      </c>
      <c r="M123">
        <f>_xlfn.XLOOKUP(AllDataCorrected[[#This Row],[Site Name]],Tables!$B$12:$B$100, Tables!D$12:D$100)</f>
        <v>-0.10399761538461544</v>
      </c>
      <c r="N123" t="s">
        <v>31</v>
      </c>
      <c r="O123">
        <v>925</v>
      </c>
      <c r="P123">
        <v>17.399999999999999</v>
      </c>
      <c r="Q123">
        <v>0.15</v>
      </c>
      <c r="R12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3">
        <v>0.97</v>
      </c>
      <c r="T1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
        <v>0.56999999999999995</v>
      </c>
    </row>
    <row r="124" spans="1:22" x14ac:dyDescent="0.35">
      <c r="A124" t="s">
        <v>219</v>
      </c>
      <c r="B124" s="2">
        <v>45209</v>
      </c>
      <c r="C124" t="str" cm="1">
        <f t="array" ref="C1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4">
        <f>YEAR(AllDataCorrected[[#This Row],[Date]])</f>
        <v>2023</v>
      </c>
      <c r="E124" s="1">
        <v>0.6875</v>
      </c>
      <c r="F1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4" t="str">
        <f>_xlfn.XLOOKUP(AllDataCorrected[[#This Row],[Location Name]], Locations[Location Name],Locations[Group As])</f>
        <v>Weston-on-Avon</v>
      </c>
      <c r="H124" t="e" vm="1">
        <f>_xlfn.XLOOKUP(AllDataCorrected[[#This Row],[Site Name]],LocationsKey[Site Name],LocationsKey[District])</f>
        <v>#VALUE!</v>
      </c>
      <c r="I124" t="e" vm="35">
        <f>_xlfn.XLOOKUP(AllDataCorrected[[#This Row],[Site Name]],LocationsKey[Site Name],LocationsKey[Town])</f>
        <v>#VALUE!</v>
      </c>
      <c r="J124" t="str">
        <f>_xlfn.XLOOKUP(AllDataCorrected[[#This Row],[Site Name]],LocationsKey[Site Name], LocationsKey[Waterway])</f>
        <v>Avon</v>
      </c>
      <c r="K124" t="s">
        <v>43</v>
      </c>
      <c r="L124">
        <f>_xlfn.XLOOKUP(AllDataCorrected[[#This Row],[Site Name]],Tables!$B$12:$B$100, Tables!C$12:C$100)</f>
        <v>52.167429999999996</v>
      </c>
      <c r="M124">
        <f>_xlfn.XLOOKUP(AllDataCorrected[[#This Row],[Site Name]],Tables!$B$12:$B$100, Tables!D$12:D$100)</f>
        <v>-1.7744752941176474</v>
      </c>
      <c r="N124" t="s">
        <v>31</v>
      </c>
      <c r="O124">
        <v>972</v>
      </c>
      <c r="P124">
        <v>17.7</v>
      </c>
      <c r="Q124">
        <v>4</v>
      </c>
      <c r="R1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4">
        <v>0.66</v>
      </c>
      <c r="T1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4">
        <v>0</v>
      </c>
    </row>
    <row r="125" spans="1:22" x14ac:dyDescent="0.35">
      <c r="A125" t="s">
        <v>220</v>
      </c>
      <c r="B125" s="2">
        <v>45210</v>
      </c>
      <c r="C125" t="str" cm="1">
        <f t="array" ref="C1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5">
        <f>YEAR(AllDataCorrected[[#This Row],[Date]])</f>
        <v>2023</v>
      </c>
      <c r="E125" s="1">
        <v>0.52083333333333337</v>
      </c>
      <c r="F1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5" t="str">
        <f>_xlfn.XLOOKUP(AllDataCorrected[[#This Row],[Location Name]], Locations[Location Name],Locations[Group As])</f>
        <v>Barton</v>
      </c>
      <c r="H125" t="e" vm="1">
        <f>_xlfn.XLOOKUP(AllDataCorrected[[#This Row],[Site Name]],LocationsKey[Site Name],LocationsKey[District])</f>
        <v>#VALUE!</v>
      </c>
      <c r="I125" t="str">
        <f>_xlfn.XLOOKUP(AllDataCorrected[[#This Row],[Site Name]],LocationsKey[Site Name],LocationsKey[Town])</f>
        <v>Barton</v>
      </c>
      <c r="J125" t="str">
        <f>_xlfn.XLOOKUP(AllDataCorrected[[#This Row],[Site Name]],LocationsKey[Site Name], LocationsKey[Waterway])</f>
        <v>Avon</v>
      </c>
      <c r="K125" t="s">
        <v>51</v>
      </c>
      <c r="L125">
        <f>_xlfn.XLOOKUP(AllDataCorrected[[#This Row],[Site Name]],Tables!$B$12:$B$100, Tables!C$12:C$100)</f>
        <v>52.16120999999999</v>
      </c>
      <c r="M125">
        <f>_xlfn.XLOOKUP(AllDataCorrected[[#This Row],[Site Name]],Tables!$B$12:$B$100, Tables!D$12:D$100)</f>
        <v>-1.8301499999999999</v>
      </c>
      <c r="N125" t="s">
        <v>31</v>
      </c>
      <c r="O125">
        <v>962</v>
      </c>
      <c r="P125">
        <v>16.5</v>
      </c>
      <c r="Q125">
        <v>4</v>
      </c>
      <c r="R12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5">
        <v>0.84</v>
      </c>
      <c r="T1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5">
        <v>0</v>
      </c>
    </row>
    <row r="126" spans="1:22" x14ac:dyDescent="0.35">
      <c r="A126" t="s">
        <v>221</v>
      </c>
      <c r="B126" s="2">
        <v>45210</v>
      </c>
      <c r="C126" t="str" cm="1">
        <f t="array" ref="C1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6">
        <f>YEAR(AllDataCorrected[[#This Row],[Date]])</f>
        <v>2023</v>
      </c>
      <c r="E126" s="1">
        <v>0.65902777777777777</v>
      </c>
      <c r="F1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6" t="str">
        <f>_xlfn.XLOOKUP(AllDataCorrected[[#This Row],[Location Name]], Locations[Location Name],Locations[Group As])</f>
        <v>Stour Newbold Mill</v>
      </c>
      <c r="H126" t="e" vm="1">
        <f>_xlfn.XLOOKUP(AllDataCorrected[[#This Row],[Site Name]],LocationsKey[Site Name],LocationsKey[District])</f>
        <v>#VALUE!</v>
      </c>
      <c r="I126" t="e" vm="27">
        <f>_xlfn.XLOOKUP(AllDataCorrected[[#This Row],[Site Name]],LocationsKey[Site Name],LocationsKey[Town])</f>
        <v>#VALUE!</v>
      </c>
      <c r="J126" t="str">
        <f>_xlfn.XLOOKUP(AllDataCorrected[[#This Row],[Site Name]],LocationsKey[Site Name], LocationsKey[Waterway])</f>
        <v>Stour</v>
      </c>
      <c r="K126" t="s">
        <v>222</v>
      </c>
      <c r="L126">
        <f>_xlfn.XLOOKUP(AllDataCorrected[[#This Row],[Site Name]],Tables!$B$12:$B$100, Tables!C$12:C$100)</f>
        <v>52.113052370370369</v>
      </c>
      <c r="M126">
        <f>_xlfn.XLOOKUP(AllDataCorrected[[#This Row],[Site Name]],Tables!$B$12:$B$100, Tables!D$12:D$100)</f>
        <v>-1.6333685185185181</v>
      </c>
      <c r="N126" t="s">
        <v>158</v>
      </c>
      <c r="O126">
        <v>711</v>
      </c>
      <c r="P126">
        <v>15.8</v>
      </c>
      <c r="Q126">
        <v>5</v>
      </c>
      <c r="R12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6">
        <v>0.76</v>
      </c>
      <c r="T1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6">
        <v>2.5</v>
      </c>
      <c r="V126" t="s">
        <v>223</v>
      </c>
    </row>
    <row r="127" spans="1:22" x14ac:dyDescent="0.35">
      <c r="A127" t="s">
        <v>224</v>
      </c>
      <c r="B127" s="2">
        <v>45210</v>
      </c>
      <c r="C127" t="str" cm="1">
        <f t="array" ref="C1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7">
        <f>YEAR(AllDataCorrected[[#This Row],[Date]])</f>
        <v>2023</v>
      </c>
      <c r="E127" s="1">
        <v>0.68680555555555556</v>
      </c>
      <c r="F1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7" t="str">
        <f>_xlfn.XLOOKUP(AllDataCorrected[[#This Row],[Location Name]], Locations[Location Name],Locations[Group As])</f>
        <v>Stour Shipston Mill Bridge</v>
      </c>
      <c r="H127" t="e" vm="1">
        <f>_xlfn.XLOOKUP(AllDataCorrected[[#This Row],[Site Name]],LocationsKey[Site Name],LocationsKey[District])</f>
        <v>#VALUE!</v>
      </c>
      <c r="I127" t="e" vm="15">
        <f>_xlfn.XLOOKUP(AllDataCorrected[[#This Row],[Site Name]],LocationsKey[Site Name],LocationsKey[Town])</f>
        <v>#VALUE!</v>
      </c>
      <c r="J127" t="str">
        <f>_xlfn.XLOOKUP(AllDataCorrected[[#This Row],[Site Name]],LocationsKey[Site Name], LocationsKey[Waterway])</f>
        <v>Stour</v>
      </c>
      <c r="K127" t="s">
        <v>225</v>
      </c>
      <c r="L127">
        <f>_xlfn.XLOOKUP(AllDataCorrected[[#This Row],[Site Name]],Tables!$B$12:$B$100, Tables!C$12:C$100)</f>
        <v>52.062214921052629</v>
      </c>
      <c r="M127">
        <f>_xlfn.XLOOKUP(AllDataCorrected[[#This Row],[Site Name]],Tables!$B$12:$B$100, Tables!D$12:D$100)</f>
        <v>-1.6223788421052625</v>
      </c>
      <c r="N127" t="s">
        <v>162</v>
      </c>
      <c r="O127">
        <v>684</v>
      </c>
      <c r="P127">
        <v>15.7</v>
      </c>
      <c r="Q127">
        <v>10</v>
      </c>
      <c r="R1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7">
        <v>0.42</v>
      </c>
      <c r="T1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7">
        <v>0.5</v>
      </c>
      <c r="V127" t="s">
        <v>226</v>
      </c>
    </row>
    <row r="128" spans="1:22" x14ac:dyDescent="0.35">
      <c r="A128" t="s">
        <v>227</v>
      </c>
      <c r="B128" s="2">
        <v>45211</v>
      </c>
      <c r="C128" t="str" cm="1">
        <f t="array" ref="C1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8">
        <f>YEAR(AllDataCorrected[[#This Row],[Date]])</f>
        <v>2023</v>
      </c>
      <c r="E128" s="1">
        <v>0.4375</v>
      </c>
      <c r="F1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8" t="str">
        <f>_xlfn.XLOOKUP(AllDataCorrected[[#This Row],[Location Name]], Locations[Location Name],Locations[Group As])</f>
        <v>Swilgate</v>
      </c>
      <c r="H128" t="e" vm="4">
        <f>_xlfn.XLOOKUP(AllDataCorrected[[#This Row],[Site Name]],LocationsKey[Site Name],LocationsKey[District])</f>
        <v>#VALUE!</v>
      </c>
      <c r="I128" t="e" vm="4">
        <f>_xlfn.XLOOKUP(AllDataCorrected[[#This Row],[Site Name]],LocationsKey[Site Name],LocationsKey[Town])</f>
        <v>#VALUE!</v>
      </c>
      <c r="J128" t="str">
        <f>_xlfn.XLOOKUP(AllDataCorrected[[#This Row],[Site Name]],LocationsKey[Site Name], LocationsKey[Waterway])</f>
        <v>Swilgate</v>
      </c>
      <c r="K128" t="s">
        <v>85</v>
      </c>
      <c r="L128">
        <f>_xlfn.XLOOKUP(AllDataCorrected[[#This Row],[Site Name]],Tables!$B$12:$B$100, Tables!C$12:C$100)</f>
        <v>51.988591500000005</v>
      </c>
      <c r="M128">
        <f>_xlfn.XLOOKUP(AllDataCorrected[[#This Row],[Site Name]],Tables!$B$12:$B$100, Tables!D$12:D$100)</f>
        <v>-2.163898333333333</v>
      </c>
      <c r="N128" t="s">
        <v>25</v>
      </c>
      <c r="O128">
        <v>637</v>
      </c>
      <c r="P128">
        <v>15</v>
      </c>
      <c r="Q128">
        <v>3</v>
      </c>
      <c r="R1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8">
        <v>0.67</v>
      </c>
      <c r="T1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8">
        <v>0</v>
      </c>
      <c r="V128" t="s">
        <v>228</v>
      </c>
    </row>
    <row r="129" spans="1:22" x14ac:dyDescent="0.35">
      <c r="A129" t="s">
        <v>229</v>
      </c>
      <c r="B129" s="2">
        <v>45211</v>
      </c>
      <c r="C129" t="str" cm="1">
        <f t="array" ref="C1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9">
        <f>YEAR(AllDataCorrected[[#This Row],[Date]])</f>
        <v>2023</v>
      </c>
      <c r="E129" s="1">
        <v>0.58888888888888891</v>
      </c>
      <c r="F1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9" t="str">
        <f>_xlfn.XLOOKUP(AllDataCorrected[[#This Row],[Location Name]], Locations[Location Name],Locations[Group As])</f>
        <v>Preston-on-Stour River Bridge</v>
      </c>
      <c r="H129" t="e" vm="1">
        <f>_xlfn.XLOOKUP(AllDataCorrected[[#This Row],[Site Name]],LocationsKey[Site Name],LocationsKey[District])</f>
        <v>#VALUE!</v>
      </c>
      <c r="I129" t="e" vm="20">
        <f>_xlfn.XLOOKUP(AllDataCorrected[[#This Row],[Site Name]],LocationsKey[Site Name],LocationsKey[Town])</f>
        <v>#VALUE!</v>
      </c>
      <c r="J129" t="str">
        <f>_xlfn.XLOOKUP(AllDataCorrected[[#This Row],[Site Name]],LocationsKey[Site Name], LocationsKey[Waterway])</f>
        <v>Stour</v>
      </c>
      <c r="K129" t="s">
        <v>230</v>
      </c>
      <c r="L129">
        <f>_xlfn.XLOOKUP(AllDataCorrected[[#This Row],[Site Name]],Tables!$B$12:$B$100, Tables!C$12:C$100)</f>
        <v>52.146672352941174</v>
      </c>
      <c r="M129">
        <f>_xlfn.XLOOKUP(AllDataCorrected[[#This Row],[Site Name]],Tables!$B$12:$B$100, Tables!D$12:D$100)</f>
        <v>-1.6984533333333334</v>
      </c>
      <c r="N129" t="s">
        <v>31</v>
      </c>
      <c r="O129">
        <v>718</v>
      </c>
      <c r="P129">
        <v>15.2</v>
      </c>
      <c r="Q129">
        <v>5</v>
      </c>
      <c r="R1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9">
        <v>0.69</v>
      </c>
      <c r="T1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9">
        <v>1.2</v>
      </c>
      <c r="V129" t="s">
        <v>231</v>
      </c>
    </row>
    <row r="130" spans="1:22" x14ac:dyDescent="0.35">
      <c r="A130" t="s">
        <v>232</v>
      </c>
      <c r="B130" s="2">
        <v>45212</v>
      </c>
      <c r="C130" t="str" cm="1">
        <f t="array" ref="C1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0">
        <f>YEAR(AllDataCorrected[[#This Row],[Date]])</f>
        <v>2023</v>
      </c>
      <c r="E130" s="1">
        <v>0.53194444444444444</v>
      </c>
      <c r="F1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0" t="str">
        <f>_xlfn.XLOOKUP(AllDataCorrected[[#This Row],[Location Name]], Locations[Location Name],Locations[Group As])</f>
        <v>Twyning Fleet</v>
      </c>
      <c r="H130" t="e" vm="4">
        <f>_xlfn.XLOOKUP(AllDataCorrected[[#This Row],[Site Name]],LocationsKey[Site Name],LocationsKey[District])</f>
        <v>#VALUE!</v>
      </c>
      <c r="I130" t="str">
        <f>_xlfn.XLOOKUP(AllDataCorrected[[#This Row],[Site Name]],LocationsKey[Site Name],LocationsKey[Town])</f>
        <v>Twyning Green</v>
      </c>
      <c r="J130" t="str">
        <f>_xlfn.XLOOKUP(AllDataCorrected[[#This Row],[Site Name]],LocationsKey[Site Name], LocationsKey[Waterway])</f>
        <v>Avon</v>
      </c>
      <c r="K130" t="s">
        <v>56</v>
      </c>
      <c r="L130">
        <f>_xlfn.XLOOKUP(AllDataCorrected[[#This Row],[Site Name]],Tables!$B$12:$B$100, Tables!C$12:C$100)</f>
        <v>52.027216452380941</v>
      </c>
      <c r="M130">
        <f>_xlfn.XLOOKUP(AllDataCorrected[[#This Row],[Site Name]],Tables!$B$12:$B$100, Tables!D$12:D$100)</f>
        <v>-2.140853452380953</v>
      </c>
      <c r="N130" t="s">
        <v>31</v>
      </c>
      <c r="P130">
        <v>17.600000000000001</v>
      </c>
      <c r="Q130">
        <v>10</v>
      </c>
      <c r="R130" t="str">
        <f>IF(AllDataCorrected[[#This Row],[Nitrate (PPM)]]&gt;2, "4. Very high (&gt;2ppm)", IF(AllDataCorrected[[#This Row],[Nitrate (PPM)]]&gt;1, "3. High (1-2ppm)", IF(AllDataCorrected[[#This Row],[Nitrate (PPM)]]&gt;0.5, "2. Some evidence (0.5-1ppm)", IF(AllDataCorrected[[#This Row],[Nitrate (PPM)]]&gt;=0, "1. No evidence (&lt;0.5ppm)"))))</f>
        <v>4. Very high (&gt;2ppm)</v>
      </c>
      <c r="S130">
        <v>1.02</v>
      </c>
      <c r="T1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0">
        <v>0</v>
      </c>
      <c r="V130" t="s">
        <v>233</v>
      </c>
    </row>
    <row r="131" spans="1:22" x14ac:dyDescent="0.35">
      <c r="A131" t="s">
        <v>234</v>
      </c>
      <c r="B131" s="2">
        <v>45213</v>
      </c>
      <c r="C131" t="str" cm="1">
        <f t="array" ref="C1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1">
        <f>YEAR(AllDataCorrected[[#This Row],[Date]])</f>
        <v>2023</v>
      </c>
      <c r="E131" s="1">
        <v>0.47916666666666669</v>
      </c>
      <c r="F1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1" t="str">
        <f>_xlfn.XLOOKUP(AllDataCorrected[[#This Row],[Location Name]], Locations[Location Name],Locations[Group As])</f>
        <v>Pitch 16</v>
      </c>
      <c r="H131" t="e" vm="1">
        <f>_xlfn.XLOOKUP(AllDataCorrected[[#This Row],[Site Name]],LocationsKey[Site Name],LocationsKey[District])</f>
        <v>#VALUE!</v>
      </c>
      <c r="I131" t="e" vm="12">
        <f>_xlfn.XLOOKUP(AllDataCorrected[[#This Row],[Site Name]],LocationsKey[Site Name],LocationsKey[Town])</f>
        <v>#VALUE!</v>
      </c>
      <c r="J131" t="str">
        <f>_xlfn.XLOOKUP(AllDataCorrected[[#This Row],[Site Name]],LocationsKey[Site Name], LocationsKey[Waterway])</f>
        <v>Avon</v>
      </c>
      <c r="K131" t="s">
        <v>71</v>
      </c>
      <c r="L131">
        <f>_xlfn.XLOOKUP(AllDataCorrected[[#This Row],[Site Name]],Tables!$B$12:$B$100, Tables!C$12:C$100)</f>
        <v>51.289310076923087</v>
      </c>
      <c r="M131">
        <f>_xlfn.XLOOKUP(AllDataCorrected[[#This Row],[Site Name]],Tables!$B$12:$B$100, Tables!D$12:D$100)</f>
        <v>-0.10399761538461544</v>
      </c>
      <c r="N131" t="s">
        <v>31</v>
      </c>
      <c r="O131">
        <v>679</v>
      </c>
      <c r="P131">
        <v>15.3</v>
      </c>
      <c r="Q131">
        <v>5</v>
      </c>
      <c r="R131" t="str">
        <f>IF(AllDataCorrected[[#This Row],[Nitrate (PPM)]]&gt;2, "4. Very high (&gt;2ppm)", IF(AllDataCorrected[[#This Row],[Nitrate (PPM)]]&gt;1, "3. High (1-2ppm)", IF(AllDataCorrected[[#This Row],[Nitrate (PPM)]]&gt;0.5, "2. Some evidence (0.5-1ppm)", IF(AllDataCorrected[[#This Row],[Nitrate (PPM)]]&gt;=0, "1. No evidence (&lt;0.5ppm)"))))</f>
        <v>4. Very high (&gt;2ppm)</v>
      </c>
      <c r="S131">
        <v>0.84</v>
      </c>
      <c r="T1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1">
        <v>0.9</v>
      </c>
      <c r="V131" t="s">
        <v>235</v>
      </c>
    </row>
    <row r="132" spans="1:22" x14ac:dyDescent="0.35">
      <c r="A132" t="s">
        <v>236</v>
      </c>
      <c r="B132" s="2">
        <v>45213</v>
      </c>
      <c r="C132" t="str" cm="1">
        <f t="array" ref="C1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2">
        <f>YEAR(AllDataCorrected[[#This Row],[Date]])</f>
        <v>2023</v>
      </c>
      <c r="E132" s="1">
        <v>0.49305555555555558</v>
      </c>
      <c r="F1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2" t="str">
        <f>_xlfn.XLOOKUP(AllDataCorrected[[#This Row],[Location Name]], Locations[Location Name],Locations[Group As])</f>
        <v>Avonbank Drive</v>
      </c>
      <c r="H132" t="e" vm="1">
        <f>_xlfn.XLOOKUP(AllDataCorrected[[#This Row],[Site Name]],LocationsKey[Site Name],LocationsKey[District])</f>
        <v>#VALUE!</v>
      </c>
      <c r="I132" t="e" vm="12">
        <f>_xlfn.XLOOKUP(AllDataCorrected[[#This Row],[Site Name]],LocationsKey[Site Name],LocationsKey[Town])</f>
        <v>#VALUE!</v>
      </c>
      <c r="J132" t="str">
        <f>_xlfn.XLOOKUP(AllDataCorrected[[#This Row],[Site Name]],LocationsKey[Site Name], LocationsKey[Waterway])</f>
        <v>Avon</v>
      </c>
      <c r="K132" t="s">
        <v>67</v>
      </c>
      <c r="L132">
        <f>_xlfn.XLOOKUP(AllDataCorrected[[#This Row],[Site Name]],Tables!$B$12:$B$100, Tables!C$12:C$100)</f>
        <v>51.566927775862098</v>
      </c>
      <c r="M132">
        <f>_xlfn.XLOOKUP(AllDataCorrected[[#This Row],[Site Name]],Tables!$B$12:$B$100, Tables!D$12:D$100)</f>
        <v>-7.2113336724137929</v>
      </c>
      <c r="N132" t="s">
        <v>68</v>
      </c>
      <c r="O132">
        <v>688</v>
      </c>
      <c r="P132">
        <v>15.5</v>
      </c>
      <c r="Q132">
        <v>10</v>
      </c>
      <c r="R1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32">
        <v>0.86</v>
      </c>
      <c r="T1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2">
        <v>0.9</v>
      </c>
    </row>
    <row r="133" spans="1:22" x14ac:dyDescent="0.35">
      <c r="A133" t="s">
        <v>237</v>
      </c>
      <c r="B133" s="2">
        <v>45213</v>
      </c>
      <c r="C133" t="str" cm="1">
        <f t="array" ref="C1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3">
        <f>YEAR(AllDataCorrected[[#This Row],[Date]])</f>
        <v>2023</v>
      </c>
      <c r="E133" s="1">
        <v>0.52916666666666667</v>
      </c>
      <c r="F1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3" t="str">
        <f>_xlfn.XLOOKUP(AllDataCorrected[[#This Row],[Location Name]], Locations[Location Name],Locations[Group As])</f>
        <v>Carrant Bredon Rd</v>
      </c>
      <c r="H133" t="e" vm="4">
        <f>_xlfn.XLOOKUP(AllDataCorrected[[#This Row],[Site Name]],LocationsKey[Site Name],LocationsKey[District])</f>
        <v>#VALUE!</v>
      </c>
      <c r="I133" t="e" vm="4">
        <f>_xlfn.XLOOKUP(AllDataCorrected[[#This Row],[Site Name]],LocationsKey[Site Name],LocationsKey[Town])</f>
        <v>#VALUE!</v>
      </c>
      <c r="J133" t="str">
        <f>_xlfn.XLOOKUP(AllDataCorrected[[#This Row],[Site Name]],LocationsKey[Site Name], LocationsKey[Waterway])</f>
        <v>Carrant</v>
      </c>
      <c r="K133" t="s">
        <v>91</v>
      </c>
      <c r="L133">
        <f>_xlfn.XLOOKUP(AllDataCorrected[[#This Row],[Site Name]],Tables!$B$12:$B$100, Tables!C$12:C$100)</f>
        <v>51.996322536231894</v>
      </c>
      <c r="M133">
        <f>_xlfn.XLOOKUP(AllDataCorrected[[#This Row],[Site Name]],Tables!$B$12:$B$100, Tables!D$12:D$100)</f>
        <v>-2.1558410144927538</v>
      </c>
      <c r="N133" t="s">
        <v>25</v>
      </c>
      <c r="O133">
        <v>694</v>
      </c>
      <c r="P133">
        <v>14.1</v>
      </c>
      <c r="Q133">
        <v>7</v>
      </c>
      <c r="R1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33">
        <v>0.93</v>
      </c>
      <c r="T1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3">
        <v>0.3</v>
      </c>
      <c r="V133" t="s">
        <v>238</v>
      </c>
    </row>
    <row r="134" spans="1:22" x14ac:dyDescent="0.35">
      <c r="A134" t="s">
        <v>239</v>
      </c>
      <c r="B134" s="2">
        <v>45213</v>
      </c>
      <c r="C134" t="str" cm="1">
        <f t="array" ref="C1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4">
        <f>YEAR(AllDataCorrected[[#This Row],[Date]])</f>
        <v>2023</v>
      </c>
      <c r="E134" s="1">
        <v>0.625</v>
      </c>
      <c r="F1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4" t="str">
        <f>_xlfn.XLOOKUP(AllDataCorrected[[#This Row],[Location Name]], Locations[Location Name],Locations[Group As])</f>
        <v>Abbey Mill</v>
      </c>
      <c r="H134" t="e" vm="4">
        <f>_xlfn.XLOOKUP(AllDataCorrected[[#This Row],[Site Name]],LocationsKey[Site Name],LocationsKey[District])</f>
        <v>#VALUE!</v>
      </c>
      <c r="I134" t="e" vm="4">
        <f>_xlfn.XLOOKUP(AllDataCorrected[[#This Row],[Site Name]],LocationsKey[Site Name],LocationsKey[Town])</f>
        <v>#VALUE!</v>
      </c>
      <c r="J134" t="str">
        <f>_xlfn.XLOOKUP(AllDataCorrected[[#This Row],[Site Name]],LocationsKey[Site Name], LocationsKey[Waterway])</f>
        <v>Avon</v>
      </c>
      <c r="K134" t="s">
        <v>24</v>
      </c>
      <c r="L134">
        <f>_xlfn.XLOOKUP(AllDataCorrected[[#This Row],[Site Name]],Tables!$B$12:$B$100, Tables!C$12:C$100)</f>
        <v>51.991313075757589</v>
      </c>
      <c r="M134">
        <f>_xlfn.XLOOKUP(AllDataCorrected[[#This Row],[Site Name]],Tables!$B$12:$B$100, Tables!D$12:D$100)</f>
        <v>-2.1621998181818181</v>
      </c>
      <c r="N134" t="s">
        <v>25</v>
      </c>
      <c r="O134">
        <v>906</v>
      </c>
      <c r="P134">
        <v>15.6</v>
      </c>
      <c r="Q134">
        <v>9</v>
      </c>
      <c r="R1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34">
        <v>1.1499999999999999</v>
      </c>
      <c r="T1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4">
        <v>1</v>
      </c>
      <c r="V134" t="s">
        <v>240</v>
      </c>
    </row>
    <row r="135" spans="1:22" x14ac:dyDescent="0.35">
      <c r="A135" t="s">
        <v>241</v>
      </c>
      <c r="B135" s="2">
        <v>45214</v>
      </c>
      <c r="C135" t="str" cm="1">
        <f t="array" ref="C1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5">
        <f>YEAR(AllDataCorrected[[#This Row],[Date]])</f>
        <v>2023</v>
      </c>
      <c r="E135" s="1">
        <v>0.40277777777777779</v>
      </c>
      <c r="F1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5" t="str">
        <f>_xlfn.XLOOKUP(AllDataCorrected[[#This Row],[Location Name]], Locations[Location Name],Locations[Group As])</f>
        <v>Lucy's Mill Bridge</v>
      </c>
      <c r="H135" t="e" vm="1">
        <f>_xlfn.XLOOKUP(AllDataCorrected[[#This Row],[Site Name]],LocationsKey[Site Name],LocationsKey[District])</f>
        <v>#VALUE!</v>
      </c>
      <c r="I135" t="e" vm="12">
        <f>_xlfn.XLOOKUP(AllDataCorrected[[#This Row],[Site Name]],LocationsKey[Site Name],LocationsKey[Town])</f>
        <v>#VALUE!</v>
      </c>
      <c r="J135" t="str">
        <f>_xlfn.XLOOKUP(AllDataCorrected[[#This Row],[Site Name]],LocationsKey[Site Name], LocationsKey[Waterway])</f>
        <v>Avon</v>
      </c>
      <c r="K135" t="s">
        <v>212</v>
      </c>
      <c r="L135">
        <f>_xlfn.XLOOKUP(AllDataCorrected[[#This Row],[Site Name]],Tables!$B$12:$B$100, Tables!C$12:C$100)</f>
        <v>52.183699000000011</v>
      </c>
      <c r="M135">
        <f>_xlfn.XLOOKUP(AllDataCorrected[[#This Row],[Site Name]],Tables!$B$12:$B$100, Tables!D$12:D$100)</f>
        <v>-1.7078160000000004</v>
      </c>
      <c r="N135" t="s">
        <v>31</v>
      </c>
      <c r="P135">
        <v>13</v>
      </c>
      <c r="Q135">
        <v>5</v>
      </c>
      <c r="R1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35">
        <v>0.76</v>
      </c>
      <c r="T1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5">
        <v>0.7</v>
      </c>
    </row>
    <row r="136" spans="1:22" x14ac:dyDescent="0.35">
      <c r="A136" t="s">
        <v>242</v>
      </c>
      <c r="B136" s="2">
        <v>45214</v>
      </c>
      <c r="C136" t="str" cm="1">
        <f t="array" ref="C1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6">
        <f>YEAR(AllDataCorrected[[#This Row],[Date]])</f>
        <v>2023</v>
      </c>
      <c r="E136" s="1">
        <v>0.4375</v>
      </c>
      <c r="F1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36" t="str">
        <f>_xlfn.XLOOKUP(AllDataCorrected[[#This Row],[Location Name]], Locations[Location Name],Locations[Group As])</f>
        <v>Hampton Wood</v>
      </c>
      <c r="H136" t="e" vm="1">
        <f>_xlfn.XLOOKUP(AllDataCorrected[[#This Row],[Site Name]],LocationsKey[Site Name],LocationsKey[District])</f>
        <v>#VALUE!</v>
      </c>
      <c r="I136" t="e" vm="34">
        <f>_xlfn.XLOOKUP(AllDataCorrected[[#This Row],[Site Name]],LocationsKey[Site Name],LocationsKey[Town])</f>
        <v>#VALUE!</v>
      </c>
      <c r="J136" t="str">
        <f>_xlfn.XLOOKUP(AllDataCorrected[[#This Row],[Site Name]],LocationsKey[Site Name], LocationsKey[Waterway])</f>
        <v>Avon</v>
      </c>
      <c r="K136" t="s">
        <v>36</v>
      </c>
      <c r="L136">
        <f>_xlfn.XLOOKUP(AllDataCorrected[[#This Row],[Site Name]],Tables!$B$12:$B$100, Tables!C$12:C$100)</f>
        <v>52.23814999999999</v>
      </c>
      <c r="M136">
        <f>_xlfn.XLOOKUP(AllDataCorrected[[#This Row],[Site Name]],Tables!$B$12:$B$100, Tables!D$12:D$100)</f>
        <v>-1.6245800000000008</v>
      </c>
      <c r="N136" t="s">
        <v>31</v>
      </c>
      <c r="O136">
        <v>608</v>
      </c>
      <c r="P136">
        <v>12.6</v>
      </c>
      <c r="Q136">
        <v>4</v>
      </c>
      <c r="R1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36">
        <v>0.74</v>
      </c>
      <c r="T1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6">
        <v>0</v>
      </c>
      <c r="V136" t="s">
        <v>243</v>
      </c>
    </row>
    <row r="137" spans="1:22" x14ac:dyDescent="0.35">
      <c r="A137" t="s">
        <v>244</v>
      </c>
      <c r="B137" s="2">
        <v>45214</v>
      </c>
      <c r="C137" t="str" cm="1">
        <f t="array" ref="C1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7">
        <f>YEAR(AllDataCorrected[[#This Row],[Date]])</f>
        <v>2023</v>
      </c>
      <c r="E137" s="1">
        <v>0.51041666666666663</v>
      </c>
      <c r="F1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7" t="str">
        <f>_xlfn.XLOOKUP(AllDataCorrected[[#This Row],[Location Name]], Locations[Location Name],Locations[Group As])</f>
        <v>Hampton Lucy</v>
      </c>
      <c r="H137" t="e" vm="1">
        <f>_xlfn.XLOOKUP(AllDataCorrected[[#This Row],[Site Name]],LocationsKey[Site Name],LocationsKey[District])</f>
        <v>#VALUE!</v>
      </c>
      <c r="I137" t="e" vm="33">
        <f>_xlfn.XLOOKUP(AllDataCorrected[[#This Row],[Site Name]],LocationsKey[Site Name],LocationsKey[Town])</f>
        <v>#VALUE!</v>
      </c>
      <c r="J137" t="str">
        <f>_xlfn.XLOOKUP(AllDataCorrected[[#This Row],[Site Name]],LocationsKey[Site Name], LocationsKey[Waterway])</f>
        <v>Avon</v>
      </c>
      <c r="K137" t="s">
        <v>39</v>
      </c>
      <c r="L137">
        <f>_xlfn.XLOOKUP(AllDataCorrected[[#This Row],[Site Name]],Tables!$B$12:$B$100, Tables!C$12:C$100)</f>
        <v>52.211679999999973</v>
      </c>
      <c r="M137">
        <f>_xlfn.XLOOKUP(AllDataCorrected[[#This Row],[Site Name]],Tables!$B$12:$B$100, Tables!D$12:D$100)</f>
        <v>-1.6244400000000001</v>
      </c>
      <c r="N137" t="s">
        <v>25</v>
      </c>
      <c r="O137">
        <v>586</v>
      </c>
      <c r="P137">
        <v>13.1</v>
      </c>
      <c r="Q137">
        <v>3</v>
      </c>
      <c r="R1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37">
        <v>0.6</v>
      </c>
      <c r="T1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7">
        <v>0</v>
      </c>
      <c r="V137" t="s">
        <v>245</v>
      </c>
    </row>
    <row r="138" spans="1:22" x14ac:dyDescent="0.35">
      <c r="A138" t="s">
        <v>246</v>
      </c>
      <c r="B138" s="2">
        <v>45214</v>
      </c>
      <c r="C138" t="str" cm="1">
        <f t="array" ref="C1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8">
        <f>YEAR(AllDataCorrected[[#This Row],[Date]])</f>
        <v>2023</v>
      </c>
      <c r="E138" s="1">
        <v>0.66666666666666663</v>
      </c>
      <c r="F1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8" t="str">
        <f>_xlfn.XLOOKUP(AllDataCorrected[[#This Row],[Location Name]], Locations[Location Name],Locations[Group As])</f>
        <v>Welford Boat Station</v>
      </c>
      <c r="H138" t="e" vm="1">
        <f>_xlfn.XLOOKUP(AllDataCorrected[[#This Row],[Site Name]],LocationsKey[Site Name],LocationsKey[District])</f>
        <v>#VALUE!</v>
      </c>
      <c r="I138" t="e" vm="36">
        <f>_xlfn.XLOOKUP(AllDataCorrected[[#This Row],[Site Name]],LocationsKey[Site Name],LocationsKey[Town])</f>
        <v>#VALUE!</v>
      </c>
      <c r="J138" t="str">
        <f>_xlfn.XLOOKUP(AllDataCorrected[[#This Row],[Site Name]],LocationsKey[Site Name], LocationsKey[Waterway])</f>
        <v>Avon</v>
      </c>
      <c r="K138" t="s">
        <v>41</v>
      </c>
      <c r="L138">
        <f>_xlfn.XLOOKUP(AllDataCorrected[[#This Row],[Site Name]],Tables!$B$12:$B$100, Tables!C$12:C$100)</f>
        <v>52.175174684210546</v>
      </c>
      <c r="M138">
        <f>_xlfn.XLOOKUP(AllDataCorrected[[#This Row],[Site Name]],Tables!$B$12:$B$100, Tables!D$12:D$100)</f>
        <v>-1.7918551052631577</v>
      </c>
      <c r="N138" t="s">
        <v>31</v>
      </c>
      <c r="O138">
        <v>582</v>
      </c>
      <c r="P138">
        <v>13.2</v>
      </c>
      <c r="Q138">
        <v>2</v>
      </c>
      <c r="R138" t="str">
        <f>IF(AllDataCorrected[[#This Row],[Nitrate (PPM)]]&gt;2, "4. Very high (&gt;2ppm)", IF(AllDataCorrected[[#This Row],[Nitrate (PPM)]]&gt;1, "3. High (1-2ppm)", IF(AllDataCorrected[[#This Row],[Nitrate (PPM)]]&gt;0.5, "2. Some evidence (0.5-1ppm)", IF(AllDataCorrected[[#This Row],[Nitrate (PPM)]]&gt;=0, "1. No evidence (&lt;0.5ppm)"))))</f>
        <v>3. High (1-2ppm)</v>
      </c>
      <c r="S138">
        <v>0.78</v>
      </c>
      <c r="T1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8">
        <v>0</v>
      </c>
      <c r="V138" t="s">
        <v>247</v>
      </c>
    </row>
    <row r="139" spans="1:22" x14ac:dyDescent="0.35">
      <c r="A139" t="s">
        <v>248</v>
      </c>
      <c r="B139" s="2">
        <v>45215</v>
      </c>
      <c r="C139" t="str" cm="1">
        <f t="array" ref="C1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39">
        <f>YEAR(AllDataCorrected[[#This Row],[Date]])</f>
        <v>2023</v>
      </c>
      <c r="E139" s="1">
        <v>0.625</v>
      </c>
      <c r="F1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39" t="str">
        <f>_xlfn.XLOOKUP(AllDataCorrected[[#This Row],[Location Name]], Locations[Location Name],Locations[Group As])</f>
        <v>Weston-on-Avon</v>
      </c>
      <c r="H139" t="e" vm="1">
        <f>_xlfn.XLOOKUP(AllDataCorrected[[#This Row],[Site Name]],LocationsKey[Site Name],LocationsKey[District])</f>
        <v>#VALUE!</v>
      </c>
      <c r="I139" t="e" vm="35">
        <f>_xlfn.XLOOKUP(AllDataCorrected[[#This Row],[Site Name]],LocationsKey[Site Name],LocationsKey[Town])</f>
        <v>#VALUE!</v>
      </c>
      <c r="J139" t="str">
        <f>_xlfn.XLOOKUP(AllDataCorrected[[#This Row],[Site Name]],LocationsKey[Site Name], LocationsKey[Waterway])</f>
        <v>Avon</v>
      </c>
      <c r="K139" t="s">
        <v>43</v>
      </c>
      <c r="L139">
        <f>_xlfn.XLOOKUP(AllDataCorrected[[#This Row],[Site Name]],Tables!$B$12:$B$100, Tables!C$12:C$100)</f>
        <v>52.167429999999996</v>
      </c>
      <c r="M139">
        <f>_xlfn.XLOOKUP(AllDataCorrected[[#This Row],[Site Name]],Tables!$B$12:$B$100, Tables!D$12:D$100)</f>
        <v>-1.7744752941176474</v>
      </c>
      <c r="N139" t="s">
        <v>31</v>
      </c>
      <c r="O139">
        <v>696</v>
      </c>
      <c r="P139">
        <v>12</v>
      </c>
      <c r="Q139">
        <v>4</v>
      </c>
      <c r="R139" t="str">
        <f>IF(AllDataCorrected[[#This Row],[Nitrate (PPM)]]&gt;2, "4. Very high (&gt;2ppm)", IF(AllDataCorrected[[#This Row],[Nitrate (PPM)]]&gt;1, "3. High (1-2ppm)", IF(AllDataCorrected[[#This Row],[Nitrate (PPM)]]&gt;0.5, "2. Some evidence (0.5-1ppm)", IF(AllDataCorrected[[#This Row],[Nitrate (PPM)]]&gt;=0, "1. No evidence (&lt;0.5ppm)"))))</f>
        <v>4. Very high (&gt;2ppm)</v>
      </c>
      <c r="S139">
        <v>0.64</v>
      </c>
      <c r="T1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39">
        <v>0</v>
      </c>
      <c r="V139" t="s">
        <v>249</v>
      </c>
    </row>
    <row r="140" spans="1:22" x14ac:dyDescent="0.35">
      <c r="A140" t="s">
        <v>250</v>
      </c>
      <c r="B140" s="2">
        <v>45216</v>
      </c>
      <c r="C140" t="str" cm="1">
        <f t="array" ref="C1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0">
        <f>YEAR(AllDataCorrected[[#This Row],[Date]])</f>
        <v>2023</v>
      </c>
      <c r="E140" s="1">
        <v>0.42708333333333331</v>
      </c>
      <c r="F1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0" t="str">
        <f>_xlfn.XLOOKUP(AllDataCorrected[[#This Row],[Location Name]], Locations[Location Name],Locations[Group As])</f>
        <v>Clifford Chambers Mill Bridge</v>
      </c>
      <c r="H140" t="e" vm="1">
        <f>_xlfn.XLOOKUP(AllDataCorrected[[#This Row],[Site Name]],LocationsKey[Site Name],LocationsKey[District])</f>
        <v>#VALUE!</v>
      </c>
      <c r="I140" t="e" vm="22">
        <f>_xlfn.XLOOKUP(AllDataCorrected[[#This Row],[Site Name]],LocationsKey[Site Name],LocationsKey[Town])</f>
        <v>#VALUE!</v>
      </c>
      <c r="J140" t="str">
        <f>_xlfn.XLOOKUP(AllDataCorrected[[#This Row],[Site Name]],LocationsKey[Site Name], LocationsKey[Waterway])</f>
        <v>Stour</v>
      </c>
      <c r="K140" t="s">
        <v>251</v>
      </c>
      <c r="L140">
        <f>_xlfn.XLOOKUP(AllDataCorrected[[#This Row],[Site Name]],Tables!$B$12:$B$100, Tables!C$12:C$100)</f>
        <v>52.166363596153808</v>
      </c>
      <c r="M140">
        <f>_xlfn.XLOOKUP(AllDataCorrected[[#This Row],[Site Name]],Tables!$B$12:$B$100, Tables!D$12:D$100)</f>
        <v>-1.7080375384615398</v>
      </c>
      <c r="N140" t="s">
        <v>68</v>
      </c>
      <c r="O140">
        <v>599</v>
      </c>
      <c r="P140">
        <v>12.6</v>
      </c>
      <c r="Q140">
        <v>8</v>
      </c>
      <c r="R1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40">
        <v>0.42</v>
      </c>
      <c r="T1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0">
        <v>0.5</v>
      </c>
    </row>
    <row r="141" spans="1:22" x14ac:dyDescent="0.35">
      <c r="A141" t="s">
        <v>252</v>
      </c>
      <c r="B141" s="2">
        <v>45217</v>
      </c>
      <c r="C141" t="str" cm="1">
        <f t="array" ref="C1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1">
        <f>YEAR(AllDataCorrected[[#This Row],[Date]])</f>
        <v>2023</v>
      </c>
      <c r="E141" s="1">
        <v>0.66666666666666663</v>
      </c>
      <c r="F1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1" t="str">
        <f>_xlfn.XLOOKUP(AllDataCorrected[[#This Row],[Location Name]], Locations[Location Name],Locations[Group As])</f>
        <v>Stour Newbold Mill</v>
      </c>
      <c r="H141" t="e" vm="1">
        <f>_xlfn.XLOOKUP(AllDataCorrected[[#This Row],[Site Name]],LocationsKey[Site Name],LocationsKey[District])</f>
        <v>#VALUE!</v>
      </c>
      <c r="I141" t="e" vm="27">
        <f>_xlfn.XLOOKUP(AllDataCorrected[[#This Row],[Site Name]],LocationsKey[Site Name],LocationsKey[Town])</f>
        <v>#VALUE!</v>
      </c>
      <c r="J141" t="str">
        <f>_xlfn.XLOOKUP(AllDataCorrected[[#This Row],[Site Name]],LocationsKey[Site Name], LocationsKey[Waterway])</f>
        <v>Stour</v>
      </c>
      <c r="K141" t="s">
        <v>205</v>
      </c>
      <c r="L141">
        <f>_xlfn.XLOOKUP(AllDataCorrected[[#This Row],[Site Name]],Tables!$B$12:$B$100, Tables!C$12:C$100)</f>
        <v>52.113052370370369</v>
      </c>
      <c r="M141">
        <f>_xlfn.XLOOKUP(AllDataCorrected[[#This Row],[Site Name]],Tables!$B$12:$B$100, Tables!D$12:D$100)</f>
        <v>-1.6333685185185181</v>
      </c>
      <c r="N141" t="s">
        <v>31</v>
      </c>
      <c r="O141">
        <v>674</v>
      </c>
      <c r="P141">
        <v>11.7</v>
      </c>
      <c r="Q141">
        <v>5</v>
      </c>
      <c r="R1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41">
        <v>0.52</v>
      </c>
      <c r="T1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1">
        <v>2</v>
      </c>
      <c r="V141" t="s">
        <v>253</v>
      </c>
    </row>
    <row r="142" spans="1:22" x14ac:dyDescent="0.35">
      <c r="A142" t="s">
        <v>254</v>
      </c>
      <c r="B142" s="2">
        <v>45218</v>
      </c>
      <c r="C142" t="str" cm="1">
        <f t="array" ref="C1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2">
        <f>YEAR(AllDataCorrected[[#This Row],[Date]])</f>
        <v>2023</v>
      </c>
      <c r="E142" s="1">
        <v>0.42708333333333331</v>
      </c>
      <c r="F1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2" t="str">
        <f>_xlfn.XLOOKUP(AllDataCorrected[[#This Row],[Location Name]], Locations[Location Name],Locations[Group As])</f>
        <v>Swilgate</v>
      </c>
      <c r="H142" t="e" vm="4">
        <f>_xlfn.XLOOKUP(AllDataCorrected[[#This Row],[Site Name]],LocationsKey[Site Name],LocationsKey[District])</f>
        <v>#VALUE!</v>
      </c>
      <c r="I142" t="e" vm="4">
        <f>_xlfn.XLOOKUP(AllDataCorrected[[#This Row],[Site Name]],LocationsKey[Site Name],LocationsKey[Town])</f>
        <v>#VALUE!</v>
      </c>
      <c r="J142" t="str">
        <f>_xlfn.XLOOKUP(AllDataCorrected[[#This Row],[Site Name]],LocationsKey[Site Name], LocationsKey[Waterway])</f>
        <v>Swilgate</v>
      </c>
      <c r="K142" t="s">
        <v>85</v>
      </c>
      <c r="L142">
        <f>_xlfn.XLOOKUP(AllDataCorrected[[#This Row],[Site Name]],Tables!$B$12:$B$100, Tables!C$12:C$100)</f>
        <v>51.988591500000005</v>
      </c>
      <c r="M142">
        <f>_xlfn.XLOOKUP(AllDataCorrected[[#This Row],[Site Name]],Tables!$B$12:$B$100, Tables!D$12:D$100)</f>
        <v>-2.163898333333333</v>
      </c>
      <c r="N142" t="s">
        <v>25</v>
      </c>
      <c r="O142">
        <v>542</v>
      </c>
      <c r="P142">
        <v>14.6</v>
      </c>
      <c r="Q142">
        <v>6</v>
      </c>
      <c r="R142" t="str">
        <f>IF(AllDataCorrected[[#This Row],[Nitrate (PPM)]]&gt;2, "4. Very high (&gt;2ppm)", IF(AllDataCorrected[[#This Row],[Nitrate (PPM)]]&gt;1, "3. High (1-2ppm)", IF(AllDataCorrected[[#This Row],[Nitrate (PPM)]]&gt;0.5, "2. Some evidence (0.5-1ppm)", IF(AllDataCorrected[[#This Row],[Nitrate (PPM)]]&gt;=0, "1. No evidence (&lt;0.5ppm)"))))</f>
        <v>4. Very high (&gt;2ppm)</v>
      </c>
      <c r="S142">
        <v>0.6</v>
      </c>
      <c r="T1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2">
        <v>1</v>
      </c>
      <c r="V142" t="s">
        <v>28</v>
      </c>
    </row>
    <row r="143" spans="1:22" x14ac:dyDescent="0.35">
      <c r="A143" t="s">
        <v>255</v>
      </c>
      <c r="B143" s="2">
        <v>45218</v>
      </c>
      <c r="C143" t="str" cm="1">
        <f t="array" ref="C1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3">
        <f>YEAR(AllDataCorrected[[#This Row],[Date]])</f>
        <v>2023</v>
      </c>
      <c r="E143" s="1">
        <v>0.52083333333333337</v>
      </c>
      <c r="F1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3" t="str">
        <f>_xlfn.XLOOKUP(AllDataCorrected[[#This Row],[Location Name]], Locations[Location Name],Locations[Group As])</f>
        <v>Preston-on-Stour River Bridge</v>
      </c>
      <c r="H143" t="e" vm="1">
        <f>_xlfn.XLOOKUP(AllDataCorrected[[#This Row],[Site Name]],LocationsKey[Site Name],LocationsKey[District])</f>
        <v>#VALUE!</v>
      </c>
      <c r="I143" t="e" vm="20">
        <f>_xlfn.XLOOKUP(AllDataCorrected[[#This Row],[Site Name]],LocationsKey[Site Name],LocationsKey[Town])</f>
        <v>#VALUE!</v>
      </c>
      <c r="J143" t="str">
        <f>_xlfn.XLOOKUP(AllDataCorrected[[#This Row],[Site Name]],LocationsKey[Site Name], LocationsKey[Waterway])</f>
        <v>Stour</v>
      </c>
      <c r="K143" t="s">
        <v>164</v>
      </c>
      <c r="L143">
        <f>_xlfn.XLOOKUP(AllDataCorrected[[#This Row],[Site Name]],Tables!$B$12:$B$100, Tables!C$12:C$100)</f>
        <v>52.146672352941174</v>
      </c>
      <c r="M143">
        <f>_xlfn.XLOOKUP(AllDataCorrected[[#This Row],[Site Name]],Tables!$B$12:$B$100, Tables!D$12:D$100)</f>
        <v>-1.6984533333333334</v>
      </c>
      <c r="N143" t="s">
        <v>31</v>
      </c>
      <c r="O143">
        <v>675</v>
      </c>
      <c r="P143">
        <v>14.7</v>
      </c>
      <c r="Q143">
        <v>5</v>
      </c>
      <c r="R143" t="str">
        <f>IF(AllDataCorrected[[#This Row],[Nitrate (PPM)]]&gt;2, "4. Very high (&gt;2ppm)", IF(AllDataCorrected[[#This Row],[Nitrate (PPM)]]&gt;1, "3. High (1-2ppm)", IF(AllDataCorrected[[#This Row],[Nitrate (PPM)]]&gt;0.5, "2. Some evidence (0.5-1ppm)", IF(AllDataCorrected[[#This Row],[Nitrate (PPM)]]&gt;=0, "1. No evidence (&lt;0.5ppm)"))))</f>
        <v>4. Very high (&gt;2ppm)</v>
      </c>
      <c r="S143">
        <v>0.61</v>
      </c>
      <c r="T1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3">
        <v>1.5</v>
      </c>
      <c r="V143" t="s">
        <v>256</v>
      </c>
    </row>
    <row r="144" spans="1:22" x14ac:dyDescent="0.35">
      <c r="A144" t="s">
        <v>257</v>
      </c>
      <c r="B144" s="2">
        <v>45220</v>
      </c>
      <c r="C144" t="str" cm="1">
        <f t="array" ref="C1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4">
        <f>YEAR(AllDataCorrected[[#This Row],[Date]])</f>
        <v>2023</v>
      </c>
      <c r="E144" s="1">
        <v>0.46875</v>
      </c>
      <c r="F1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4" t="str">
        <f>_xlfn.XLOOKUP(AllDataCorrected[[#This Row],[Location Name]], Locations[Location Name],Locations[Group As])</f>
        <v>Avonbank Drive</v>
      </c>
      <c r="H144" t="e" vm="1">
        <f>_xlfn.XLOOKUP(AllDataCorrected[[#This Row],[Site Name]],LocationsKey[Site Name],LocationsKey[District])</f>
        <v>#VALUE!</v>
      </c>
      <c r="I144" t="e" vm="12">
        <f>_xlfn.XLOOKUP(AllDataCorrected[[#This Row],[Site Name]],LocationsKey[Site Name],LocationsKey[Town])</f>
        <v>#VALUE!</v>
      </c>
      <c r="J144" t="str">
        <f>_xlfn.XLOOKUP(AllDataCorrected[[#This Row],[Site Name]],LocationsKey[Site Name], LocationsKey[Waterway])</f>
        <v>Avon</v>
      </c>
      <c r="K144" t="s">
        <v>104</v>
      </c>
      <c r="L144">
        <f>_xlfn.XLOOKUP(AllDataCorrected[[#This Row],[Site Name]],Tables!$B$12:$B$100, Tables!C$12:C$100)</f>
        <v>51.566927775862098</v>
      </c>
      <c r="M144">
        <f>_xlfn.XLOOKUP(AllDataCorrected[[#This Row],[Site Name]],Tables!$B$12:$B$100, Tables!D$12:D$100)</f>
        <v>-7.2113336724137929</v>
      </c>
      <c r="N144" t="s">
        <v>68</v>
      </c>
      <c r="O144">
        <v>454</v>
      </c>
      <c r="P144">
        <v>14.7</v>
      </c>
      <c r="Q144">
        <v>10</v>
      </c>
      <c r="R1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44">
        <v>1.1000000000000001</v>
      </c>
      <c r="T1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4">
        <v>1.1000000000000001</v>
      </c>
      <c r="V144" t="s">
        <v>258</v>
      </c>
    </row>
    <row r="145" spans="1:22" x14ac:dyDescent="0.35">
      <c r="A145" t="s">
        <v>259</v>
      </c>
      <c r="B145" s="2">
        <v>45220</v>
      </c>
      <c r="C145" t="str" cm="1">
        <f t="array" ref="C1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5">
        <f>YEAR(AllDataCorrected[[#This Row],[Date]])</f>
        <v>2023</v>
      </c>
      <c r="E145" s="1">
        <v>0.65625</v>
      </c>
      <c r="F1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5" t="str">
        <f>_xlfn.XLOOKUP(AllDataCorrected[[#This Row],[Location Name]], Locations[Location Name],Locations[Group As])</f>
        <v>Abbey Mill</v>
      </c>
      <c r="H145" t="e" vm="4">
        <f>_xlfn.XLOOKUP(AllDataCorrected[[#This Row],[Site Name]],LocationsKey[Site Name],LocationsKey[District])</f>
        <v>#VALUE!</v>
      </c>
      <c r="I145" t="e" vm="4">
        <f>_xlfn.XLOOKUP(AllDataCorrected[[#This Row],[Site Name]],LocationsKey[Site Name],LocationsKey[Town])</f>
        <v>#VALUE!</v>
      </c>
      <c r="J145" t="str">
        <f>_xlfn.XLOOKUP(AllDataCorrected[[#This Row],[Site Name]],LocationsKey[Site Name], LocationsKey[Waterway])</f>
        <v>Avon</v>
      </c>
      <c r="K145" t="s">
        <v>24</v>
      </c>
      <c r="L145">
        <f>_xlfn.XLOOKUP(AllDataCorrected[[#This Row],[Site Name]],Tables!$B$12:$B$100, Tables!C$12:C$100)</f>
        <v>51.991313075757589</v>
      </c>
      <c r="M145">
        <f>_xlfn.XLOOKUP(AllDataCorrected[[#This Row],[Site Name]],Tables!$B$12:$B$100, Tables!D$12:D$100)</f>
        <v>-2.1621998181818181</v>
      </c>
      <c r="N145" t="s">
        <v>25</v>
      </c>
      <c r="O145">
        <v>435</v>
      </c>
      <c r="P145">
        <v>15.3</v>
      </c>
      <c r="Q145">
        <v>4</v>
      </c>
      <c r="R145" t="str">
        <f>IF(AllDataCorrected[[#This Row],[Nitrate (PPM)]]&gt;2, "4. Very high (&gt;2ppm)", IF(AllDataCorrected[[#This Row],[Nitrate (PPM)]]&gt;1, "3. High (1-2ppm)", IF(AllDataCorrected[[#This Row],[Nitrate (PPM)]]&gt;0.5, "2. Some evidence (0.5-1ppm)", IF(AllDataCorrected[[#This Row],[Nitrate (PPM)]]&gt;=0, "1. No evidence (&lt;0.5ppm)"))))</f>
        <v>4. Very high (&gt;2ppm)</v>
      </c>
      <c r="S145">
        <v>1.1499999999999999</v>
      </c>
      <c r="T1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5">
        <v>2</v>
      </c>
      <c r="V145" t="s">
        <v>260</v>
      </c>
    </row>
    <row r="146" spans="1:22" x14ac:dyDescent="0.35">
      <c r="A146" t="s">
        <v>261</v>
      </c>
      <c r="B146" s="2">
        <v>45221</v>
      </c>
      <c r="C146" t="str" cm="1">
        <f t="array" ref="C1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6">
        <f>YEAR(AllDataCorrected[[#This Row],[Date]])</f>
        <v>2023</v>
      </c>
      <c r="E146" s="1">
        <v>0.42708333333333331</v>
      </c>
      <c r="F1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6" t="str">
        <f>_xlfn.XLOOKUP(AllDataCorrected[[#This Row],[Location Name]], Locations[Location Name],Locations[Group As])</f>
        <v>Lucy's Mill Bridge</v>
      </c>
      <c r="H146" t="e" vm="1">
        <f>_xlfn.XLOOKUP(AllDataCorrected[[#This Row],[Site Name]],LocationsKey[Site Name],LocationsKey[District])</f>
        <v>#VALUE!</v>
      </c>
      <c r="I146" t="e" vm="12">
        <f>_xlfn.XLOOKUP(AllDataCorrected[[#This Row],[Site Name]],LocationsKey[Site Name],LocationsKey[Town])</f>
        <v>#VALUE!</v>
      </c>
      <c r="J146" t="str">
        <f>_xlfn.XLOOKUP(AllDataCorrected[[#This Row],[Site Name]],LocationsKey[Site Name], LocationsKey[Waterway])</f>
        <v>Avon</v>
      </c>
      <c r="K146" t="s">
        <v>212</v>
      </c>
      <c r="L146">
        <f>_xlfn.XLOOKUP(AllDataCorrected[[#This Row],[Site Name]],Tables!$B$12:$B$100, Tables!C$12:C$100)</f>
        <v>52.183699000000011</v>
      </c>
      <c r="M146">
        <f>_xlfn.XLOOKUP(AllDataCorrected[[#This Row],[Site Name]],Tables!$B$12:$B$100, Tables!D$12:D$100)</f>
        <v>-1.7078160000000004</v>
      </c>
      <c r="N146" t="s">
        <v>31</v>
      </c>
      <c r="P146">
        <v>13</v>
      </c>
      <c r="Q146">
        <v>10</v>
      </c>
      <c r="R1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46">
        <v>0.88</v>
      </c>
      <c r="T1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6">
        <v>0.7</v>
      </c>
    </row>
    <row r="147" spans="1:22" x14ac:dyDescent="0.35">
      <c r="A147" t="s">
        <v>262</v>
      </c>
      <c r="B147" s="2">
        <v>45221</v>
      </c>
      <c r="C147" t="str" cm="1">
        <f t="array" ref="C1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7">
        <f>YEAR(AllDataCorrected[[#This Row],[Date]])</f>
        <v>2023</v>
      </c>
      <c r="E147" s="1">
        <v>0.44444444444444442</v>
      </c>
      <c r="F1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47" t="str">
        <f>_xlfn.XLOOKUP(AllDataCorrected[[#This Row],[Location Name]], Locations[Location Name],Locations[Group As])</f>
        <v>Hampton Wood</v>
      </c>
      <c r="H147" t="e" vm="1">
        <f>_xlfn.XLOOKUP(AllDataCorrected[[#This Row],[Site Name]],LocationsKey[Site Name],LocationsKey[District])</f>
        <v>#VALUE!</v>
      </c>
      <c r="I147" t="e" vm="34">
        <f>_xlfn.XLOOKUP(AllDataCorrected[[#This Row],[Site Name]],LocationsKey[Site Name],LocationsKey[Town])</f>
        <v>#VALUE!</v>
      </c>
      <c r="J147" t="str">
        <f>_xlfn.XLOOKUP(AllDataCorrected[[#This Row],[Site Name]],LocationsKey[Site Name], LocationsKey[Waterway])</f>
        <v>Avon</v>
      </c>
      <c r="K147" t="s">
        <v>36</v>
      </c>
      <c r="L147">
        <f>_xlfn.XLOOKUP(AllDataCorrected[[#This Row],[Site Name]],Tables!$B$12:$B$100, Tables!C$12:C$100)</f>
        <v>52.23814999999999</v>
      </c>
      <c r="M147">
        <f>_xlfn.XLOOKUP(AllDataCorrected[[#This Row],[Site Name]],Tables!$B$12:$B$100, Tables!D$12:D$100)</f>
        <v>-1.6245800000000008</v>
      </c>
      <c r="N147" t="s">
        <v>31</v>
      </c>
      <c r="O147">
        <v>530</v>
      </c>
      <c r="P147">
        <v>11.5</v>
      </c>
      <c r="Q147">
        <v>3</v>
      </c>
      <c r="R147" t="str">
        <f>IF(AllDataCorrected[[#This Row],[Nitrate (PPM)]]&gt;2, "4. Very high (&gt;2ppm)", IF(AllDataCorrected[[#This Row],[Nitrate (PPM)]]&gt;1, "3. High (1-2ppm)", IF(AllDataCorrected[[#This Row],[Nitrate (PPM)]]&gt;0.5, "2. Some evidence (0.5-1ppm)", IF(AllDataCorrected[[#This Row],[Nitrate (PPM)]]&gt;=0, "1. No evidence (&lt;0.5ppm)"))))</f>
        <v>4. Very high (&gt;2ppm)</v>
      </c>
      <c r="S147">
        <v>0.73</v>
      </c>
      <c r="T1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7">
        <v>0</v>
      </c>
      <c r="V147" t="s">
        <v>263</v>
      </c>
    </row>
    <row r="148" spans="1:22" x14ac:dyDescent="0.35">
      <c r="A148" t="s">
        <v>264</v>
      </c>
      <c r="B148" s="2">
        <v>45221</v>
      </c>
      <c r="C148" t="str" cm="1">
        <f t="array" ref="C1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8">
        <f>YEAR(AllDataCorrected[[#This Row],[Date]])</f>
        <v>2023</v>
      </c>
      <c r="E148" s="1">
        <v>0.52083333333333337</v>
      </c>
      <c r="F1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8" t="str">
        <f>_xlfn.XLOOKUP(AllDataCorrected[[#This Row],[Location Name]], Locations[Location Name],Locations[Group As])</f>
        <v>Hampton Lucy</v>
      </c>
      <c r="H148" t="e" vm="1">
        <f>_xlfn.XLOOKUP(AllDataCorrected[[#This Row],[Site Name]],LocationsKey[Site Name],LocationsKey[District])</f>
        <v>#VALUE!</v>
      </c>
      <c r="I148" t="e" vm="33">
        <f>_xlfn.XLOOKUP(AllDataCorrected[[#This Row],[Site Name]],LocationsKey[Site Name],LocationsKey[Town])</f>
        <v>#VALUE!</v>
      </c>
      <c r="J148" t="str">
        <f>_xlfn.XLOOKUP(AllDataCorrected[[#This Row],[Site Name]],LocationsKey[Site Name], LocationsKey[Waterway])</f>
        <v>Avon</v>
      </c>
      <c r="K148" t="s">
        <v>39</v>
      </c>
      <c r="L148">
        <f>_xlfn.XLOOKUP(AllDataCorrected[[#This Row],[Site Name]],Tables!$B$12:$B$100, Tables!C$12:C$100)</f>
        <v>52.211679999999973</v>
      </c>
      <c r="M148">
        <f>_xlfn.XLOOKUP(AllDataCorrected[[#This Row],[Site Name]],Tables!$B$12:$B$100, Tables!D$12:D$100)</f>
        <v>-1.6244400000000001</v>
      </c>
      <c r="N148" t="s">
        <v>25</v>
      </c>
      <c r="O148">
        <v>506</v>
      </c>
      <c r="P148">
        <v>12.5</v>
      </c>
      <c r="Q148">
        <v>2</v>
      </c>
      <c r="R148" t="str">
        <f>IF(AllDataCorrected[[#This Row],[Nitrate (PPM)]]&gt;2, "4. Very high (&gt;2ppm)", IF(AllDataCorrected[[#This Row],[Nitrate (PPM)]]&gt;1, "3. High (1-2ppm)", IF(AllDataCorrected[[#This Row],[Nitrate (PPM)]]&gt;0.5, "2. Some evidence (0.5-1ppm)", IF(AllDataCorrected[[#This Row],[Nitrate (PPM)]]&gt;=0, "1. No evidence (&lt;0.5ppm)"))))</f>
        <v>3. High (1-2ppm)</v>
      </c>
      <c r="S148">
        <v>0.74</v>
      </c>
      <c r="T1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48">
        <v>0</v>
      </c>
    </row>
    <row r="149" spans="1:22" x14ac:dyDescent="0.35">
      <c r="A149" t="s">
        <v>265</v>
      </c>
      <c r="B149" s="2">
        <v>45221</v>
      </c>
      <c r="C149" t="str" cm="1">
        <f t="array" ref="C1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49">
        <f>YEAR(AllDataCorrected[[#This Row],[Date]])</f>
        <v>2023</v>
      </c>
      <c r="E149" s="1">
        <v>0.71597222222222223</v>
      </c>
      <c r="F1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49" t="str">
        <f>_xlfn.XLOOKUP(AllDataCorrected[[#This Row],[Location Name]], Locations[Location Name],Locations[Group As])</f>
        <v>Clifford Chambers Mill Bridge</v>
      </c>
      <c r="H149" t="e" vm="1">
        <f>_xlfn.XLOOKUP(AllDataCorrected[[#This Row],[Site Name]],LocationsKey[Site Name],LocationsKey[District])</f>
        <v>#VALUE!</v>
      </c>
      <c r="I149" t="e" vm="22">
        <f>_xlfn.XLOOKUP(AllDataCorrected[[#This Row],[Site Name]],LocationsKey[Site Name],LocationsKey[Town])</f>
        <v>#VALUE!</v>
      </c>
      <c r="J149" t="str">
        <f>_xlfn.XLOOKUP(AllDataCorrected[[#This Row],[Site Name]],LocationsKey[Site Name], LocationsKey[Waterway])</f>
        <v>Stour</v>
      </c>
      <c r="K149" t="s">
        <v>266</v>
      </c>
      <c r="L149">
        <f>_xlfn.XLOOKUP(AllDataCorrected[[#This Row],[Site Name]],Tables!$B$12:$B$100, Tables!C$12:C$100)</f>
        <v>52.166363596153808</v>
      </c>
      <c r="M149">
        <f>_xlfn.XLOOKUP(AllDataCorrected[[#This Row],[Site Name]],Tables!$B$12:$B$100, Tables!D$12:D$100)</f>
        <v>-1.7080375384615398</v>
      </c>
      <c r="N149" t="s">
        <v>68</v>
      </c>
      <c r="O149">
        <v>521</v>
      </c>
      <c r="P149">
        <v>14.5</v>
      </c>
      <c r="Q149">
        <v>5</v>
      </c>
      <c r="R149" t="str">
        <f>IF(AllDataCorrected[[#This Row],[Nitrate (PPM)]]&gt;2, "4. Very high (&gt;2ppm)", IF(AllDataCorrected[[#This Row],[Nitrate (PPM)]]&gt;1, "3. High (1-2ppm)", IF(AllDataCorrected[[#This Row],[Nitrate (PPM)]]&gt;0.5, "2. Some evidence (0.5-1ppm)", IF(AllDataCorrected[[#This Row],[Nitrate (PPM)]]&gt;=0, "1. No evidence (&lt;0.5ppm)"))))</f>
        <v>4. Very high (&gt;2ppm)</v>
      </c>
      <c r="S149">
        <v>0.28000000000000003</v>
      </c>
      <c r="T1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49">
        <v>1.25</v>
      </c>
      <c r="V149" t="s">
        <v>267</v>
      </c>
    </row>
    <row r="150" spans="1:22" x14ac:dyDescent="0.35">
      <c r="A150" t="s">
        <v>268</v>
      </c>
      <c r="B150" s="2">
        <v>45223</v>
      </c>
      <c r="C150" t="str" cm="1">
        <f t="array" ref="C1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0">
        <f>YEAR(AllDataCorrected[[#This Row],[Date]])</f>
        <v>2023</v>
      </c>
      <c r="E150" s="1">
        <v>0.64583333333333337</v>
      </c>
      <c r="F1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0" t="str">
        <f>_xlfn.XLOOKUP(AllDataCorrected[[#This Row],[Location Name]], Locations[Location Name],Locations[Group As])</f>
        <v>Weston-on-Avon</v>
      </c>
      <c r="H150" t="e" vm="1">
        <f>_xlfn.XLOOKUP(AllDataCorrected[[#This Row],[Site Name]],LocationsKey[Site Name],LocationsKey[District])</f>
        <v>#VALUE!</v>
      </c>
      <c r="I150" t="e" vm="35">
        <f>_xlfn.XLOOKUP(AllDataCorrected[[#This Row],[Site Name]],LocationsKey[Site Name],LocationsKey[Town])</f>
        <v>#VALUE!</v>
      </c>
      <c r="J150" t="str">
        <f>_xlfn.XLOOKUP(AllDataCorrected[[#This Row],[Site Name]],LocationsKey[Site Name], LocationsKey[Waterway])</f>
        <v>Avon</v>
      </c>
      <c r="K150" t="s">
        <v>43</v>
      </c>
      <c r="L150">
        <f>_xlfn.XLOOKUP(AllDataCorrected[[#This Row],[Site Name]],Tables!$B$12:$B$100, Tables!C$12:C$100)</f>
        <v>52.167429999999996</v>
      </c>
      <c r="M150">
        <f>_xlfn.XLOOKUP(AllDataCorrected[[#This Row],[Site Name]],Tables!$B$12:$B$100, Tables!D$12:D$100)</f>
        <v>-1.7744752941176474</v>
      </c>
      <c r="N150" t="s">
        <v>31</v>
      </c>
      <c r="O150">
        <v>632</v>
      </c>
      <c r="P150">
        <v>13</v>
      </c>
      <c r="Q150">
        <v>4</v>
      </c>
      <c r="R1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50">
        <v>0.6</v>
      </c>
      <c r="T1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0">
        <v>0</v>
      </c>
    </row>
    <row r="151" spans="1:22" x14ac:dyDescent="0.35">
      <c r="A151" t="s">
        <v>269</v>
      </c>
      <c r="B151" s="2">
        <v>45223</v>
      </c>
      <c r="C151" t="str" cm="1">
        <f t="array" ref="C1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1">
        <f>YEAR(AllDataCorrected[[#This Row],[Date]])</f>
        <v>2023</v>
      </c>
      <c r="E151" s="1">
        <v>0.66666666666666663</v>
      </c>
      <c r="F1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1" t="str">
        <f>_xlfn.XLOOKUP(AllDataCorrected[[#This Row],[Location Name]], Locations[Location Name],Locations[Group As])</f>
        <v>Stour Newbold Mill</v>
      </c>
      <c r="H151" t="e" vm="1">
        <f>_xlfn.XLOOKUP(AllDataCorrected[[#This Row],[Site Name]],LocationsKey[Site Name],LocationsKey[District])</f>
        <v>#VALUE!</v>
      </c>
      <c r="I151" t="e" vm="27">
        <f>_xlfn.XLOOKUP(AllDataCorrected[[#This Row],[Site Name]],LocationsKey[Site Name],LocationsKey[Town])</f>
        <v>#VALUE!</v>
      </c>
      <c r="J151" t="str">
        <f>_xlfn.XLOOKUP(AllDataCorrected[[#This Row],[Site Name]],LocationsKey[Site Name], LocationsKey[Waterway])</f>
        <v>Stour</v>
      </c>
      <c r="K151" t="s">
        <v>205</v>
      </c>
      <c r="L151">
        <f>_xlfn.XLOOKUP(AllDataCorrected[[#This Row],[Site Name]],Tables!$B$12:$B$100, Tables!C$12:C$100)</f>
        <v>52.113052370370369</v>
      </c>
      <c r="M151">
        <f>_xlfn.XLOOKUP(AllDataCorrected[[#This Row],[Site Name]],Tables!$B$12:$B$100, Tables!D$12:D$100)</f>
        <v>-1.6333685185185181</v>
      </c>
      <c r="N151" t="s">
        <v>31</v>
      </c>
      <c r="O151">
        <v>676</v>
      </c>
      <c r="P151">
        <v>12.1</v>
      </c>
      <c r="Q151">
        <v>10</v>
      </c>
      <c r="R1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51">
        <v>0.28000000000000003</v>
      </c>
      <c r="T1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1">
        <v>2.5</v>
      </c>
      <c r="V151" t="s">
        <v>270</v>
      </c>
    </row>
    <row r="152" spans="1:22" x14ac:dyDescent="0.35">
      <c r="A152" t="s">
        <v>271</v>
      </c>
      <c r="B152" s="2">
        <v>45225</v>
      </c>
      <c r="C152" t="str" cm="1">
        <f t="array" ref="C1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2">
        <f>YEAR(AllDataCorrected[[#This Row],[Date]])</f>
        <v>2023</v>
      </c>
      <c r="E152" s="1">
        <v>0.40277777777777779</v>
      </c>
      <c r="F1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2" t="str">
        <f>_xlfn.XLOOKUP(AllDataCorrected[[#This Row],[Location Name]], Locations[Location Name],Locations[Group As])</f>
        <v>Swilgate</v>
      </c>
      <c r="H152" t="e" vm="4">
        <f>_xlfn.XLOOKUP(AllDataCorrected[[#This Row],[Site Name]],LocationsKey[Site Name],LocationsKey[District])</f>
        <v>#VALUE!</v>
      </c>
      <c r="I152" t="e" vm="4">
        <f>_xlfn.XLOOKUP(AllDataCorrected[[#This Row],[Site Name]],LocationsKey[Site Name],LocationsKey[Town])</f>
        <v>#VALUE!</v>
      </c>
      <c r="J152" t="str">
        <f>_xlfn.XLOOKUP(AllDataCorrected[[#This Row],[Site Name]],LocationsKey[Site Name], LocationsKey[Waterway])</f>
        <v>Swilgate</v>
      </c>
      <c r="K152" t="s">
        <v>85</v>
      </c>
      <c r="L152">
        <f>_xlfn.XLOOKUP(AllDataCorrected[[#This Row],[Site Name]],Tables!$B$12:$B$100, Tables!C$12:C$100)</f>
        <v>51.988591500000005</v>
      </c>
      <c r="M152">
        <f>_xlfn.XLOOKUP(AllDataCorrected[[#This Row],[Site Name]],Tables!$B$12:$B$100, Tables!D$12:D$100)</f>
        <v>-2.163898333333333</v>
      </c>
      <c r="N152" t="s">
        <v>25</v>
      </c>
      <c r="O152">
        <v>640</v>
      </c>
      <c r="P152">
        <v>12.8</v>
      </c>
      <c r="Q152">
        <v>3</v>
      </c>
      <c r="R152" t="str">
        <f>IF(AllDataCorrected[[#This Row],[Nitrate (PPM)]]&gt;2, "4. Very high (&gt;2ppm)", IF(AllDataCorrected[[#This Row],[Nitrate (PPM)]]&gt;1, "3. High (1-2ppm)", IF(AllDataCorrected[[#This Row],[Nitrate (PPM)]]&gt;0.5, "2. Some evidence (0.5-1ppm)", IF(AllDataCorrected[[#This Row],[Nitrate (PPM)]]&gt;=0, "1. No evidence (&lt;0.5ppm)"))))</f>
        <v>4. Very high (&gt;2ppm)</v>
      </c>
      <c r="S152">
        <v>0.83</v>
      </c>
      <c r="T1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2">
        <v>2</v>
      </c>
      <c r="V152" t="s">
        <v>272</v>
      </c>
    </row>
    <row r="153" spans="1:22" x14ac:dyDescent="0.35">
      <c r="A153" t="s">
        <v>273</v>
      </c>
      <c r="B153" s="2">
        <v>45225</v>
      </c>
      <c r="C153" t="str" cm="1">
        <f t="array" ref="C1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3">
        <f>YEAR(AllDataCorrected[[#This Row],[Date]])</f>
        <v>2023</v>
      </c>
      <c r="E153" s="1">
        <v>0.5083333333333333</v>
      </c>
      <c r="F1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3" t="str">
        <f>_xlfn.XLOOKUP(AllDataCorrected[[#This Row],[Location Name]], Locations[Location Name],Locations[Group As])</f>
        <v>Preston-on-Stour River Bridge</v>
      </c>
      <c r="H153" t="e" vm="1">
        <f>_xlfn.XLOOKUP(AllDataCorrected[[#This Row],[Site Name]],LocationsKey[Site Name],LocationsKey[District])</f>
        <v>#VALUE!</v>
      </c>
      <c r="I153" t="e" vm="20">
        <f>_xlfn.XLOOKUP(AllDataCorrected[[#This Row],[Site Name]],LocationsKey[Site Name],LocationsKey[Town])</f>
        <v>#VALUE!</v>
      </c>
      <c r="J153" t="str">
        <f>_xlfn.XLOOKUP(AllDataCorrected[[#This Row],[Site Name]],LocationsKey[Site Name], LocationsKey[Waterway])</f>
        <v>Stour</v>
      </c>
      <c r="K153" t="s">
        <v>274</v>
      </c>
      <c r="L153">
        <f>_xlfn.XLOOKUP(AllDataCorrected[[#This Row],[Site Name]],Tables!$B$12:$B$100, Tables!C$12:C$100)</f>
        <v>52.146672352941174</v>
      </c>
      <c r="M153">
        <f>_xlfn.XLOOKUP(AllDataCorrected[[#This Row],[Site Name]],Tables!$B$12:$B$100, Tables!D$12:D$100)</f>
        <v>-1.6984533333333334</v>
      </c>
      <c r="N153" t="s">
        <v>31</v>
      </c>
      <c r="O153">
        <v>665</v>
      </c>
      <c r="P153">
        <v>12.1</v>
      </c>
      <c r="Q153">
        <v>5</v>
      </c>
      <c r="R153" t="str">
        <f>IF(AllDataCorrected[[#This Row],[Nitrate (PPM)]]&gt;2, "4. Very high (&gt;2ppm)", IF(AllDataCorrected[[#This Row],[Nitrate (PPM)]]&gt;1, "3. High (1-2ppm)", IF(AllDataCorrected[[#This Row],[Nitrate (PPM)]]&gt;0.5, "2. Some evidence (0.5-1ppm)", IF(AllDataCorrected[[#This Row],[Nitrate (PPM)]]&gt;=0, "1. No evidence (&lt;0.5ppm)"))))</f>
        <v>4. Very high (&gt;2ppm)</v>
      </c>
      <c r="S153">
        <v>0.27</v>
      </c>
      <c r="T1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3">
        <v>1.5</v>
      </c>
      <c r="V153" t="s">
        <v>275</v>
      </c>
    </row>
    <row r="154" spans="1:22" x14ac:dyDescent="0.35">
      <c r="A154" t="s">
        <v>276</v>
      </c>
      <c r="B154" s="2">
        <v>45227</v>
      </c>
      <c r="C154" t="str" cm="1">
        <f t="array" ref="C1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4">
        <f>YEAR(AllDataCorrected[[#This Row],[Date]])</f>
        <v>2023</v>
      </c>
      <c r="E154" s="1">
        <v>0.41666666666666669</v>
      </c>
      <c r="F1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4" t="str">
        <f>_xlfn.XLOOKUP(AllDataCorrected[[#This Row],[Location Name]], Locations[Location Name],Locations[Group As])</f>
        <v>Avonbank Drive</v>
      </c>
      <c r="H154" t="e" vm="1">
        <f>_xlfn.XLOOKUP(AllDataCorrected[[#This Row],[Site Name]],LocationsKey[Site Name],LocationsKey[District])</f>
        <v>#VALUE!</v>
      </c>
      <c r="I154" t="e" vm="12">
        <f>_xlfn.XLOOKUP(AllDataCorrected[[#This Row],[Site Name]],LocationsKey[Site Name],LocationsKey[Town])</f>
        <v>#VALUE!</v>
      </c>
      <c r="J154" t="str">
        <f>_xlfn.XLOOKUP(AllDataCorrected[[#This Row],[Site Name]],LocationsKey[Site Name], LocationsKey[Waterway])</f>
        <v>Avon</v>
      </c>
      <c r="K154" t="s">
        <v>104</v>
      </c>
      <c r="L154">
        <f>_xlfn.XLOOKUP(AllDataCorrected[[#This Row],[Site Name]],Tables!$B$12:$B$100, Tables!C$12:C$100)</f>
        <v>51.566927775862098</v>
      </c>
      <c r="M154">
        <f>_xlfn.XLOOKUP(AllDataCorrected[[#This Row],[Site Name]],Tables!$B$12:$B$100, Tables!D$12:D$100)</f>
        <v>-7.2113336724137929</v>
      </c>
      <c r="N154" t="s">
        <v>68</v>
      </c>
      <c r="O154">
        <v>874</v>
      </c>
      <c r="P154">
        <v>13.5</v>
      </c>
      <c r="Q154">
        <v>10</v>
      </c>
      <c r="R1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54">
        <v>0.66</v>
      </c>
      <c r="T1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4">
        <v>0.69</v>
      </c>
    </row>
    <row r="155" spans="1:22" x14ac:dyDescent="0.35">
      <c r="A155" t="s">
        <v>277</v>
      </c>
      <c r="B155" s="2">
        <v>45227</v>
      </c>
      <c r="C155" t="str" cm="1">
        <f t="array" ref="C1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5">
        <f>YEAR(AllDataCorrected[[#This Row],[Date]])</f>
        <v>2023</v>
      </c>
      <c r="E155" s="1">
        <v>0.41666666666666669</v>
      </c>
      <c r="F1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5" t="str">
        <f>_xlfn.XLOOKUP(AllDataCorrected[[#This Row],[Location Name]], Locations[Location Name],Locations[Group As])</f>
        <v>Pitch 16</v>
      </c>
      <c r="H155" t="e" vm="1">
        <f>_xlfn.XLOOKUP(AllDataCorrected[[#This Row],[Site Name]],LocationsKey[Site Name],LocationsKey[District])</f>
        <v>#VALUE!</v>
      </c>
      <c r="I155" t="e" vm="12">
        <f>_xlfn.XLOOKUP(AllDataCorrected[[#This Row],[Site Name]],LocationsKey[Site Name],LocationsKey[Town])</f>
        <v>#VALUE!</v>
      </c>
      <c r="J155" t="str">
        <f>_xlfn.XLOOKUP(AllDataCorrected[[#This Row],[Site Name]],LocationsKey[Site Name], LocationsKey[Waterway])</f>
        <v>Avon</v>
      </c>
      <c r="K155" t="s">
        <v>71</v>
      </c>
      <c r="L155">
        <f>_xlfn.XLOOKUP(AllDataCorrected[[#This Row],[Site Name]],Tables!$B$12:$B$100, Tables!C$12:C$100)</f>
        <v>51.289310076923087</v>
      </c>
      <c r="M155">
        <f>_xlfn.XLOOKUP(AllDataCorrected[[#This Row],[Site Name]],Tables!$B$12:$B$100, Tables!D$12:D$100)</f>
        <v>-0.10399761538461544</v>
      </c>
      <c r="N155" t="s">
        <v>31</v>
      </c>
      <c r="O155">
        <v>841</v>
      </c>
      <c r="P155">
        <v>13.3</v>
      </c>
      <c r="Q155">
        <v>5</v>
      </c>
      <c r="R1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55">
        <v>0.42</v>
      </c>
      <c r="T1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55">
        <v>0.69</v>
      </c>
    </row>
    <row r="156" spans="1:22" x14ac:dyDescent="0.35">
      <c r="A156" t="s">
        <v>278</v>
      </c>
      <c r="B156" s="2">
        <v>45227</v>
      </c>
      <c r="C156" t="str" cm="1">
        <f t="array" ref="C1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6">
        <f>YEAR(AllDataCorrected[[#This Row],[Date]])</f>
        <v>2023</v>
      </c>
      <c r="E156" s="1">
        <v>0.5</v>
      </c>
      <c r="F1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6" t="str">
        <f>_xlfn.XLOOKUP(AllDataCorrected[[#This Row],[Location Name]], Locations[Location Name],Locations[Group As])</f>
        <v>Carrant Bredon Rd</v>
      </c>
      <c r="H156" t="e" vm="4">
        <f>_xlfn.XLOOKUP(AllDataCorrected[[#This Row],[Site Name]],LocationsKey[Site Name],LocationsKey[District])</f>
        <v>#VALUE!</v>
      </c>
      <c r="I156" t="e" vm="4">
        <f>_xlfn.XLOOKUP(AllDataCorrected[[#This Row],[Site Name]],LocationsKey[Site Name],LocationsKey[Town])</f>
        <v>#VALUE!</v>
      </c>
      <c r="J156" t="str">
        <f>_xlfn.XLOOKUP(AllDataCorrected[[#This Row],[Site Name]],LocationsKey[Site Name], LocationsKey[Waterway])</f>
        <v>Carrant</v>
      </c>
      <c r="K156" t="s">
        <v>91</v>
      </c>
      <c r="L156">
        <f>_xlfn.XLOOKUP(AllDataCorrected[[#This Row],[Site Name]],Tables!$B$12:$B$100, Tables!C$12:C$100)</f>
        <v>51.996322536231894</v>
      </c>
      <c r="M156">
        <f>_xlfn.XLOOKUP(AllDataCorrected[[#This Row],[Site Name]],Tables!$B$12:$B$100, Tables!D$12:D$100)</f>
        <v>-2.1558410144927538</v>
      </c>
      <c r="N156" t="s">
        <v>25</v>
      </c>
      <c r="O156">
        <v>635</v>
      </c>
      <c r="P156">
        <v>12.8</v>
      </c>
      <c r="Q156">
        <v>6</v>
      </c>
      <c r="R1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56">
        <v>0.64</v>
      </c>
      <c r="T1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6">
        <v>1.3</v>
      </c>
      <c r="V156" t="s">
        <v>279</v>
      </c>
    </row>
    <row r="157" spans="1:22" x14ac:dyDescent="0.35">
      <c r="A157" t="s">
        <v>280</v>
      </c>
      <c r="B157" s="2">
        <v>45228</v>
      </c>
      <c r="C157" t="str" cm="1">
        <f t="array" ref="C1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7">
        <f>YEAR(AllDataCorrected[[#This Row],[Date]])</f>
        <v>2023</v>
      </c>
      <c r="E157" s="1">
        <v>0.42708333333333331</v>
      </c>
      <c r="F1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7" t="str">
        <f>_xlfn.XLOOKUP(AllDataCorrected[[#This Row],[Location Name]], Locations[Location Name],Locations[Group As])</f>
        <v>Lucy's Mill Bridge</v>
      </c>
      <c r="H157" t="e" vm="1">
        <f>_xlfn.XLOOKUP(AllDataCorrected[[#This Row],[Site Name]],LocationsKey[Site Name],LocationsKey[District])</f>
        <v>#VALUE!</v>
      </c>
      <c r="I157" t="e" vm="12">
        <f>_xlfn.XLOOKUP(AllDataCorrected[[#This Row],[Site Name]],LocationsKey[Site Name],LocationsKey[Town])</f>
        <v>#VALUE!</v>
      </c>
      <c r="J157" t="str">
        <f>_xlfn.XLOOKUP(AllDataCorrected[[#This Row],[Site Name]],LocationsKey[Site Name], LocationsKey[Waterway])</f>
        <v>Avon</v>
      </c>
      <c r="K157" t="s">
        <v>212</v>
      </c>
      <c r="L157">
        <f>_xlfn.XLOOKUP(AllDataCorrected[[#This Row],[Site Name]],Tables!$B$12:$B$100, Tables!C$12:C$100)</f>
        <v>52.183699000000011</v>
      </c>
      <c r="M157">
        <f>_xlfn.XLOOKUP(AllDataCorrected[[#This Row],[Site Name]],Tables!$B$12:$B$100, Tables!D$12:D$100)</f>
        <v>-1.7078160000000004</v>
      </c>
      <c r="N157" t="s">
        <v>31</v>
      </c>
      <c r="P157">
        <v>13</v>
      </c>
      <c r="Q157">
        <v>20</v>
      </c>
      <c r="R157" t="str">
        <f>IF(AllDataCorrected[[#This Row],[Nitrate (PPM)]]&gt;2, "4. Very high (&gt;2ppm)", IF(AllDataCorrected[[#This Row],[Nitrate (PPM)]]&gt;1, "3. High (1-2ppm)", IF(AllDataCorrected[[#This Row],[Nitrate (PPM)]]&gt;0.5, "2. Some evidence (0.5-1ppm)", IF(AllDataCorrected[[#This Row],[Nitrate (PPM)]]&gt;=0, "1. No evidence (&lt;0.5ppm)"))))</f>
        <v>4. Very high (&gt;2ppm)</v>
      </c>
      <c r="S157">
        <v>0.61</v>
      </c>
      <c r="T1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7">
        <v>0.7</v>
      </c>
    </row>
    <row r="158" spans="1:22" x14ac:dyDescent="0.35">
      <c r="A158" t="s">
        <v>281</v>
      </c>
      <c r="B158" s="2">
        <v>45228</v>
      </c>
      <c r="C158" t="str" cm="1">
        <f t="array" ref="C1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8">
        <f>YEAR(AllDataCorrected[[#This Row],[Date]])</f>
        <v>2023</v>
      </c>
      <c r="E158" s="1">
        <v>0.46875</v>
      </c>
      <c r="F1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58" t="str">
        <f>_xlfn.XLOOKUP(AllDataCorrected[[#This Row],[Location Name]], Locations[Location Name],Locations[Group As])</f>
        <v>Hampton Wood</v>
      </c>
      <c r="H158" t="e" vm="1">
        <f>_xlfn.XLOOKUP(AllDataCorrected[[#This Row],[Site Name]],LocationsKey[Site Name],LocationsKey[District])</f>
        <v>#VALUE!</v>
      </c>
      <c r="I158" t="e" vm="34">
        <f>_xlfn.XLOOKUP(AllDataCorrected[[#This Row],[Site Name]],LocationsKey[Site Name],LocationsKey[Town])</f>
        <v>#VALUE!</v>
      </c>
      <c r="J158" t="str">
        <f>_xlfn.XLOOKUP(AllDataCorrected[[#This Row],[Site Name]],LocationsKey[Site Name], LocationsKey[Waterway])</f>
        <v>Avon</v>
      </c>
      <c r="K158" t="s">
        <v>36</v>
      </c>
      <c r="L158">
        <f>_xlfn.XLOOKUP(AllDataCorrected[[#This Row],[Site Name]],Tables!$B$12:$B$100, Tables!C$12:C$100)</f>
        <v>52.23814999999999</v>
      </c>
      <c r="M158">
        <f>_xlfn.XLOOKUP(AllDataCorrected[[#This Row],[Site Name]],Tables!$B$12:$B$100, Tables!D$12:D$100)</f>
        <v>-1.6245800000000008</v>
      </c>
      <c r="N158" t="s">
        <v>31</v>
      </c>
      <c r="O158">
        <v>754</v>
      </c>
      <c r="P158">
        <v>13.1</v>
      </c>
      <c r="Q158">
        <v>4</v>
      </c>
      <c r="R158" t="str">
        <f>IF(AllDataCorrected[[#This Row],[Nitrate (PPM)]]&gt;2, "4. Very high (&gt;2ppm)", IF(AllDataCorrected[[#This Row],[Nitrate (PPM)]]&gt;1, "3. High (1-2ppm)", IF(AllDataCorrected[[#This Row],[Nitrate (PPM)]]&gt;0.5, "2. Some evidence (0.5-1ppm)", IF(AllDataCorrected[[#This Row],[Nitrate (PPM)]]&gt;=0, "1. No evidence (&lt;0.5ppm)"))))</f>
        <v>4. Very high (&gt;2ppm)</v>
      </c>
      <c r="S158">
        <v>0.6</v>
      </c>
      <c r="T1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8">
        <v>0</v>
      </c>
    </row>
    <row r="159" spans="1:22" x14ac:dyDescent="0.35">
      <c r="A159" t="s">
        <v>282</v>
      </c>
      <c r="B159" s="2">
        <v>45228</v>
      </c>
      <c r="C159" t="str" cm="1">
        <f t="array" ref="C1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59">
        <f>YEAR(AllDataCorrected[[#This Row],[Date]])</f>
        <v>2023</v>
      </c>
      <c r="E159" s="1">
        <v>0.52777777777777779</v>
      </c>
      <c r="F1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59" t="str">
        <f>_xlfn.XLOOKUP(AllDataCorrected[[#This Row],[Location Name]], Locations[Location Name],Locations[Group As])</f>
        <v>Hampton Lucy</v>
      </c>
      <c r="H159" t="e" vm="1">
        <f>_xlfn.XLOOKUP(AllDataCorrected[[#This Row],[Site Name]],LocationsKey[Site Name],LocationsKey[District])</f>
        <v>#VALUE!</v>
      </c>
      <c r="I159" t="e" vm="33">
        <f>_xlfn.XLOOKUP(AllDataCorrected[[#This Row],[Site Name]],LocationsKey[Site Name],LocationsKey[Town])</f>
        <v>#VALUE!</v>
      </c>
      <c r="J159" t="str">
        <f>_xlfn.XLOOKUP(AllDataCorrected[[#This Row],[Site Name]],LocationsKey[Site Name], LocationsKey[Waterway])</f>
        <v>Avon</v>
      </c>
      <c r="K159" t="s">
        <v>39</v>
      </c>
      <c r="L159">
        <f>_xlfn.XLOOKUP(AllDataCorrected[[#This Row],[Site Name]],Tables!$B$12:$B$100, Tables!C$12:C$100)</f>
        <v>52.211679999999973</v>
      </c>
      <c r="M159">
        <f>_xlfn.XLOOKUP(AllDataCorrected[[#This Row],[Site Name]],Tables!$B$12:$B$100, Tables!D$12:D$100)</f>
        <v>-1.6244400000000001</v>
      </c>
      <c r="N159" t="s">
        <v>25</v>
      </c>
      <c r="O159">
        <v>758</v>
      </c>
      <c r="P159">
        <v>12.6</v>
      </c>
      <c r="Q159">
        <v>3.5</v>
      </c>
      <c r="R159" t="str">
        <f>IF(AllDataCorrected[[#This Row],[Nitrate (PPM)]]&gt;2, "4. Very high (&gt;2ppm)", IF(AllDataCorrected[[#This Row],[Nitrate (PPM)]]&gt;1, "3. High (1-2ppm)", IF(AllDataCorrected[[#This Row],[Nitrate (PPM)]]&gt;0.5, "2. Some evidence (0.5-1ppm)", IF(AllDataCorrected[[#This Row],[Nitrate (PPM)]]&gt;=0, "1. No evidence (&lt;0.5ppm)"))))</f>
        <v>4. Very high (&gt;2ppm)</v>
      </c>
      <c r="S159">
        <v>0.71</v>
      </c>
      <c r="T1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59">
        <v>0</v>
      </c>
    </row>
    <row r="160" spans="1:22" x14ac:dyDescent="0.35">
      <c r="A160" t="s">
        <v>283</v>
      </c>
      <c r="B160" s="2">
        <v>45228</v>
      </c>
      <c r="C160" t="str" cm="1">
        <f t="array" ref="C1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0">
        <f>YEAR(AllDataCorrected[[#This Row],[Date]])</f>
        <v>2023</v>
      </c>
      <c r="E160" s="1">
        <v>0.63263888888888886</v>
      </c>
      <c r="F1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0" t="str">
        <f>_xlfn.XLOOKUP(AllDataCorrected[[#This Row],[Location Name]], Locations[Location Name],Locations[Group As])</f>
        <v>Clifford Chambers Mill Bridge</v>
      </c>
      <c r="H160" t="e" vm="1">
        <f>_xlfn.XLOOKUP(AllDataCorrected[[#This Row],[Site Name]],LocationsKey[Site Name],LocationsKey[District])</f>
        <v>#VALUE!</v>
      </c>
      <c r="I160" t="e" vm="22">
        <f>_xlfn.XLOOKUP(AllDataCorrected[[#This Row],[Site Name]],LocationsKey[Site Name],LocationsKey[Town])</f>
        <v>#VALUE!</v>
      </c>
      <c r="J160" t="str">
        <f>_xlfn.XLOOKUP(AllDataCorrected[[#This Row],[Site Name]],LocationsKey[Site Name], LocationsKey[Waterway])</f>
        <v>Stour</v>
      </c>
      <c r="K160" t="s">
        <v>266</v>
      </c>
      <c r="L160">
        <f>_xlfn.XLOOKUP(AllDataCorrected[[#This Row],[Site Name]],Tables!$B$12:$B$100, Tables!C$12:C$100)</f>
        <v>52.166363596153808</v>
      </c>
      <c r="M160">
        <f>_xlfn.XLOOKUP(AllDataCorrected[[#This Row],[Site Name]],Tables!$B$12:$B$100, Tables!D$12:D$100)</f>
        <v>-1.7080375384615398</v>
      </c>
      <c r="N160" t="s">
        <v>68</v>
      </c>
      <c r="O160">
        <v>416</v>
      </c>
      <c r="P160">
        <v>13.4</v>
      </c>
      <c r="Q160">
        <v>4</v>
      </c>
      <c r="R1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60">
        <v>0.34</v>
      </c>
      <c r="T1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0">
        <v>1.8</v>
      </c>
      <c r="V160" t="s">
        <v>284</v>
      </c>
    </row>
    <row r="161" spans="1:22" x14ac:dyDescent="0.35">
      <c r="A161" t="s">
        <v>285</v>
      </c>
      <c r="B161" s="2">
        <v>45229</v>
      </c>
      <c r="C161" t="str" cm="1">
        <f t="array" ref="C1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1">
        <f>YEAR(AllDataCorrected[[#This Row],[Date]])</f>
        <v>2023</v>
      </c>
      <c r="E161" s="1">
        <v>0.58958333333333335</v>
      </c>
      <c r="F1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1" t="str">
        <f>_xlfn.XLOOKUP(AllDataCorrected[[#This Row],[Location Name]], Locations[Location Name],Locations[Group As])</f>
        <v>Swiffen Bank</v>
      </c>
      <c r="H161" t="e" vm="1">
        <f>_xlfn.XLOOKUP(AllDataCorrected[[#This Row],[Site Name]],LocationsKey[Site Name],LocationsKey[District])</f>
        <v>#VALUE!</v>
      </c>
      <c r="I161" t="e" vm="2">
        <f>_xlfn.XLOOKUP(AllDataCorrected[[#This Row],[Site Name]],LocationsKey[Site Name],LocationsKey[Town])</f>
        <v>#VALUE!</v>
      </c>
      <c r="J161" t="str">
        <f>_xlfn.XLOOKUP(AllDataCorrected[[#This Row],[Site Name]],LocationsKey[Site Name], LocationsKey[Waterway])</f>
        <v>Avon</v>
      </c>
      <c r="K161" t="s">
        <v>286</v>
      </c>
      <c r="L161">
        <f>_xlfn.XLOOKUP(AllDataCorrected[[#This Row],[Site Name]],Tables!$B$12:$B$100, Tables!C$12:C$100)</f>
        <v>52.206649805555557</v>
      </c>
      <c r="M161">
        <f>_xlfn.XLOOKUP(AllDataCorrected[[#This Row],[Site Name]],Tables!$B$12:$B$100, Tables!D$12:D$100)</f>
        <v>-1.6541018611111094</v>
      </c>
      <c r="N161" t="s">
        <v>31</v>
      </c>
      <c r="O161">
        <v>687</v>
      </c>
      <c r="P161">
        <v>15</v>
      </c>
      <c r="Q161">
        <v>5</v>
      </c>
      <c r="R1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61">
        <v>0.54</v>
      </c>
      <c r="T1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1">
        <v>1</v>
      </c>
    </row>
    <row r="162" spans="1:22" x14ac:dyDescent="0.35">
      <c r="A162" t="s">
        <v>287</v>
      </c>
      <c r="B162" s="2">
        <v>45229</v>
      </c>
      <c r="C162" t="str" cm="1">
        <f t="array" ref="C1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2">
        <f>YEAR(AllDataCorrected[[#This Row],[Date]])</f>
        <v>2023</v>
      </c>
      <c r="E162" s="1">
        <v>0.65069444444444446</v>
      </c>
      <c r="F1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2" t="str">
        <f>_xlfn.XLOOKUP(AllDataCorrected[[#This Row],[Location Name]], Locations[Location Name],Locations[Group As])</f>
        <v>Alveston Weir</v>
      </c>
      <c r="H162" t="e" vm="1">
        <f>_xlfn.XLOOKUP(AllDataCorrected[[#This Row],[Site Name]],LocationsKey[Site Name],LocationsKey[District])</f>
        <v>#VALUE!</v>
      </c>
      <c r="I162" t="e" vm="2">
        <f>_xlfn.XLOOKUP(AllDataCorrected[[#This Row],[Site Name]],LocationsKey[Site Name],LocationsKey[Town])</f>
        <v>#VALUE!</v>
      </c>
      <c r="J162" t="str">
        <f>_xlfn.XLOOKUP(AllDataCorrected[[#This Row],[Site Name]],LocationsKey[Site Name], LocationsKey[Waterway])</f>
        <v>Avon</v>
      </c>
      <c r="K162" t="s">
        <v>288</v>
      </c>
      <c r="L162">
        <f>_xlfn.XLOOKUP(AllDataCorrected[[#This Row],[Site Name]],Tables!$B$12:$B$100, Tables!C$12:C$100)</f>
        <v>52.21226301333337</v>
      </c>
      <c r="M162">
        <f>_xlfn.XLOOKUP(AllDataCorrected[[#This Row],[Site Name]],Tables!$B$12:$B$100, Tables!D$12:D$100)</f>
        <v>-1.6595226800000011</v>
      </c>
      <c r="N162" t="s">
        <v>31</v>
      </c>
      <c r="O162">
        <v>70.2</v>
      </c>
      <c r="P162">
        <v>16.8</v>
      </c>
      <c r="Q162">
        <v>10</v>
      </c>
      <c r="R1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62">
        <v>0.49</v>
      </c>
      <c r="T1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2">
        <v>0</v>
      </c>
    </row>
    <row r="163" spans="1:22" x14ac:dyDescent="0.35">
      <c r="A163" t="s">
        <v>289</v>
      </c>
      <c r="B163" s="2">
        <v>45230</v>
      </c>
      <c r="C163" t="str" cm="1">
        <f t="array" ref="C1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3">
        <f>YEAR(AllDataCorrected[[#This Row],[Date]])</f>
        <v>2023</v>
      </c>
      <c r="E163" s="1">
        <v>0.2951388888888889</v>
      </c>
      <c r="F1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3" t="str">
        <f>_xlfn.XLOOKUP(AllDataCorrected[[#This Row],[Location Name]], Locations[Location Name],Locations[Group As])</f>
        <v>Abbey Mill</v>
      </c>
      <c r="H163" t="e" vm="4">
        <f>_xlfn.XLOOKUP(AllDataCorrected[[#This Row],[Site Name]],LocationsKey[Site Name],LocationsKey[District])</f>
        <v>#VALUE!</v>
      </c>
      <c r="I163" t="e" vm="4">
        <f>_xlfn.XLOOKUP(AllDataCorrected[[#This Row],[Site Name]],LocationsKey[Site Name],LocationsKey[Town])</f>
        <v>#VALUE!</v>
      </c>
      <c r="J163" t="str">
        <f>_xlfn.XLOOKUP(AllDataCorrected[[#This Row],[Site Name]],LocationsKey[Site Name], LocationsKey[Waterway])</f>
        <v>Avon</v>
      </c>
      <c r="K163" t="s">
        <v>24</v>
      </c>
      <c r="L163">
        <f>_xlfn.XLOOKUP(AllDataCorrected[[#This Row],[Site Name]],Tables!$B$12:$B$100, Tables!C$12:C$100)</f>
        <v>51.991313075757589</v>
      </c>
      <c r="M163">
        <f>_xlfn.XLOOKUP(AllDataCorrected[[#This Row],[Site Name]],Tables!$B$12:$B$100, Tables!D$12:D$100)</f>
        <v>-2.1621998181818181</v>
      </c>
      <c r="N163" t="s">
        <v>25</v>
      </c>
      <c r="O163">
        <v>640</v>
      </c>
      <c r="P163">
        <v>13.5</v>
      </c>
      <c r="Q163">
        <v>10</v>
      </c>
      <c r="R1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63">
        <v>0.41</v>
      </c>
      <c r="T1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3">
        <v>1</v>
      </c>
      <c r="V163" t="s">
        <v>290</v>
      </c>
    </row>
    <row r="164" spans="1:22" x14ac:dyDescent="0.35">
      <c r="A164" t="s">
        <v>291</v>
      </c>
      <c r="B164" s="2">
        <v>45231</v>
      </c>
      <c r="C164" t="str" cm="1">
        <f t="array" ref="C1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4">
        <f>YEAR(AllDataCorrected[[#This Row],[Date]])</f>
        <v>2023</v>
      </c>
      <c r="E164" s="1">
        <v>0.59027777777777779</v>
      </c>
      <c r="F1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4" t="str">
        <f>_xlfn.XLOOKUP(AllDataCorrected[[#This Row],[Location Name]], Locations[Location Name],Locations[Group As])</f>
        <v>Weston-on-Avon</v>
      </c>
      <c r="H164" t="e" vm="1">
        <f>_xlfn.XLOOKUP(AllDataCorrected[[#This Row],[Site Name]],LocationsKey[Site Name],LocationsKey[District])</f>
        <v>#VALUE!</v>
      </c>
      <c r="I164" t="e" vm="35">
        <f>_xlfn.XLOOKUP(AllDataCorrected[[#This Row],[Site Name]],LocationsKey[Site Name],LocationsKey[Town])</f>
        <v>#VALUE!</v>
      </c>
      <c r="J164" t="str">
        <f>_xlfn.XLOOKUP(AllDataCorrected[[#This Row],[Site Name]],LocationsKey[Site Name], LocationsKey[Waterway])</f>
        <v>Avon</v>
      </c>
      <c r="K164" t="s">
        <v>43</v>
      </c>
      <c r="L164">
        <f>_xlfn.XLOOKUP(AllDataCorrected[[#This Row],[Site Name]],Tables!$B$12:$B$100, Tables!C$12:C$100)</f>
        <v>52.167429999999996</v>
      </c>
      <c r="M164">
        <f>_xlfn.XLOOKUP(AllDataCorrected[[#This Row],[Site Name]],Tables!$B$12:$B$100, Tables!D$12:D$100)</f>
        <v>-1.7744752941176474</v>
      </c>
      <c r="N164" t="s">
        <v>31</v>
      </c>
      <c r="O164">
        <v>800</v>
      </c>
      <c r="P164">
        <v>11.6</v>
      </c>
      <c r="Q164">
        <v>3</v>
      </c>
      <c r="R1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64">
        <v>0.59</v>
      </c>
      <c r="T1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4">
        <v>0</v>
      </c>
    </row>
    <row r="165" spans="1:22" x14ac:dyDescent="0.35">
      <c r="A165" t="s">
        <v>292</v>
      </c>
      <c r="B165" s="2">
        <v>45232</v>
      </c>
      <c r="C165" t="str" cm="1">
        <f t="array" ref="C1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5">
        <f>YEAR(AllDataCorrected[[#This Row],[Date]])</f>
        <v>2023</v>
      </c>
      <c r="E165" s="1">
        <v>0.39583333333333331</v>
      </c>
      <c r="F1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5" t="str">
        <f>_xlfn.XLOOKUP(AllDataCorrected[[#This Row],[Location Name]], Locations[Location Name],Locations[Group As])</f>
        <v>Swilgate</v>
      </c>
      <c r="H165" t="e" vm="4">
        <f>_xlfn.XLOOKUP(AllDataCorrected[[#This Row],[Site Name]],LocationsKey[Site Name],LocationsKey[District])</f>
        <v>#VALUE!</v>
      </c>
      <c r="I165" t="e" vm="4">
        <f>_xlfn.XLOOKUP(AllDataCorrected[[#This Row],[Site Name]],LocationsKey[Site Name],LocationsKey[Town])</f>
        <v>#VALUE!</v>
      </c>
      <c r="J165" t="str">
        <f>_xlfn.XLOOKUP(AllDataCorrected[[#This Row],[Site Name]],LocationsKey[Site Name], LocationsKey[Waterway])</f>
        <v>Swilgate</v>
      </c>
      <c r="K165" t="s">
        <v>85</v>
      </c>
      <c r="L165">
        <f>_xlfn.XLOOKUP(AllDataCorrected[[#This Row],[Site Name]],Tables!$B$12:$B$100, Tables!C$12:C$100)</f>
        <v>51.988591500000005</v>
      </c>
      <c r="M165">
        <f>_xlfn.XLOOKUP(AllDataCorrected[[#This Row],[Site Name]],Tables!$B$12:$B$100, Tables!D$12:D$100)</f>
        <v>-2.163898333333333</v>
      </c>
      <c r="N165" t="s">
        <v>25</v>
      </c>
      <c r="O165">
        <v>895</v>
      </c>
      <c r="P165">
        <v>12.2</v>
      </c>
      <c r="Q165">
        <v>2</v>
      </c>
      <c r="R165" t="str">
        <f>IF(AllDataCorrected[[#This Row],[Nitrate (PPM)]]&gt;2, "4. Very high (&gt;2ppm)", IF(AllDataCorrected[[#This Row],[Nitrate (PPM)]]&gt;1, "3. High (1-2ppm)", IF(AllDataCorrected[[#This Row],[Nitrate (PPM)]]&gt;0.5, "2. Some evidence (0.5-1ppm)", IF(AllDataCorrected[[#This Row],[Nitrate (PPM)]]&gt;=0, "1. No evidence (&lt;0.5ppm)"))))</f>
        <v>3. High (1-2ppm)</v>
      </c>
      <c r="S165">
        <v>0.48</v>
      </c>
      <c r="T1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5">
        <v>1.5</v>
      </c>
      <c r="V165" t="s">
        <v>293</v>
      </c>
    </row>
    <row r="166" spans="1:22" x14ac:dyDescent="0.35">
      <c r="A166" t="s">
        <v>294</v>
      </c>
      <c r="B166" s="2">
        <v>45232</v>
      </c>
      <c r="C166" t="str" cm="1">
        <f t="array" ref="C1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6">
        <f>YEAR(AllDataCorrected[[#This Row],[Date]])</f>
        <v>2023</v>
      </c>
      <c r="E166" s="1">
        <v>0.52500000000000002</v>
      </c>
      <c r="F1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66" t="str">
        <f>_xlfn.XLOOKUP(AllDataCorrected[[#This Row],[Location Name]], Locations[Location Name],Locations[Group As])</f>
        <v>Preston-on-Stour River Bridge</v>
      </c>
      <c r="H166" t="e" vm="1">
        <f>_xlfn.XLOOKUP(AllDataCorrected[[#This Row],[Site Name]],LocationsKey[Site Name],LocationsKey[District])</f>
        <v>#VALUE!</v>
      </c>
      <c r="I166" t="e" vm="20">
        <f>_xlfn.XLOOKUP(AllDataCorrected[[#This Row],[Site Name]],LocationsKey[Site Name],LocationsKey[Town])</f>
        <v>#VALUE!</v>
      </c>
      <c r="J166" t="str">
        <f>_xlfn.XLOOKUP(AllDataCorrected[[#This Row],[Site Name]],LocationsKey[Site Name], LocationsKey[Waterway])</f>
        <v>Stour</v>
      </c>
      <c r="K166" t="s">
        <v>164</v>
      </c>
      <c r="L166">
        <f>_xlfn.XLOOKUP(AllDataCorrected[[#This Row],[Site Name]],Tables!$B$12:$B$100, Tables!C$12:C$100)</f>
        <v>52.146672352941174</v>
      </c>
      <c r="M166">
        <f>_xlfn.XLOOKUP(AllDataCorrected[[#This Row],[Site Name]],Tables!$B$12:$B$100, Tables!D$12:D$100)</f>
        <v>-1.6984533333333334</v>
      </c>
      <c r="N166" t="s">
        <v>31</v>
      </c>
      <c r="O166">
        <v>610</v>
      </c>
      <c r="P166">
        <v>11.9</v>
      </c>
      <c r="Q166">
        <v>5</v>
      </c>
      <c r="R1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66">
        <v>0.21</v>
      </c>
      <c r="T1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66">
        <v>2.5</v>
      </c>
      <c r="V166" t="s">
        <v>295</v>
      </c>
    </row>
    <row r="167" spans="1:22" x14ac:dyDescent="0.35">
      <c r="A167" t="s">
        <v>296</v>
      </c>
      <c r="B167" s="2">
        <v>45235</v>
      </c>
      <c r="C167" t="str" cm="1">
        <f t="array" ref="C1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7">
        <f>YEAR(AllDataCorrected[[#This Row],[Date]])</f>
        <v>2023</v>
      </c>
      <c r="E167" s="1">
        <v>0.38194444444444442</v>
      </c>
      <c r="F1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7" t="str">
        <f>_xlfn.XLOOKUP(AllDataCorrected[[#This Row],[Location Name]], Locations[Location Name],Locations[Group As])</f>
        <v>Abbey Mill</v>
      </c>
      <c r="H167" t="e" vm="4">
        <f>_xlfn.XLOOKUP(AllDataCorrected[[#This Row],[Site Name]],LocationsKey[Site Name],LocationsKey[District])</f>
        <v>#VALUE!</v>
      </c>
      <c r="I167" t="e" vm="4">
        <f>_xlfn.XLOOKUP(AllDataCorrected[[#This Row],[Site Name]],LocationsKey[Site Name],LocationsKey[Town])</f>
        <v>#VALUE!</v>
      </c>
      <c r="J167" t="str">
        <f>_xlfn.XLOOKUP(AllDataCorrected[[#This Row],[Site Name]],LocationsKey[Site Name], LocationsKey[Waterway])</f>
        <v>Avon</v>
      </c>
      <c r="K167" t="s">
        <v>24</v>
      </c>
      <c r="L167">
        <f>_xlfn.XLOOKUP(AllDataCorrected[[#This Row],[Site Name]],Tables!$B$12:$B$100, Tables!C$12:C$100)</f>
        <v>51.991313075757589</v>
      </c>
      <c r="M167">
        <f>_xlfn.XLOOKUP(AllDataCorrected[[#This Row],[Site Name]],Tables!$B$12:$B$100, Tables!D$12:D$100)</f>
        <v>-2.1621998181818181</v>
      </c>
      <c r="N167" t="s">
        <v>25</v>
      </c>
      <c r="O167">
        <v>623</v>
      </c>
      <c r="P167">
        <v>13.4</v>
      </c>
      <c r="Q167">
        <v>9</v>
      </c>
      <c r="R1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67">
        <v>1.07</v>
      </c>
      <c r="T1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7">
        <v>2</v>
      </c>
      <c r="V167" t="s">
        <v>293</v>
      </c>
    </row>
    <row r="168" spans="1:22" x14ac:dyDescent="0.35">
      <c r="A168" t="s">
        <v>297</v>
      </c>
      <c r="B168" s="2">
        <v>45235</v>
      </c>
      <c r="C168" t="str" cm="1">
        <f t="array" ref="C1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8">
        <f>YEAR(AllDataCorrected[[#This Row],[Date]])</f>
        <v>2023</v>
      </c>
      <c r="E168" s="1">
        <v>0.46875</v>
      </c>
      <c r="F1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8" t="str">
        <f>_xlfn.XLOOKUP(AllDataCorrected[[#This Row],[Location Name]], Locations[Location Name],Locations[Group As])</f>
        <v>Pitch 16</v>
      </c>
      <c r="H168" t="e" vm="1">
        <f>_xlfn.XLOOKUP(AllDataCorrected[[#This Row],[Site Name]],LocationsKey[Site Name],LocationsKey[District])</f>
        <v>#VALUE!</v>
      </c>
      <c r="I168" t="e" vm="12">
        <f>_xlfn.XLOOKUP(AllDataCorrected[[#This Row],[Site Name]],LocationsKey[Site Name],LocationsKey[Town])</f>
        <v>#VALUE!</v>
      </c>
      <c r="J168" t="str">
        <f>_xlfn.XLOOKUP(AllDataCorrected[[#This Row],[Site Name]],LocationsKey[Site Name], LocationsKey[Waterway])</f>
        <v>Avon</v>
      </c>
      <c r="K168" t="s">
        <v>71</v>
      </c>
      <c r="L168">
        <f>_xlfn.XLOOKUP(AllDataCorrected[[#This Row],[Site Name]],Tables!$B$12:$B$100, Tables!C$12:C$100)</f>
        <v>51.289310076923087</v>
      </c>
      <c r="M168">
        <f>_xlfn.XLOOKUP(AllDataCorrected[[#This Row],[Site Name]],Tables!$B$12:$B$100, Tables!D$12:D$100)</f>
        <v>-0.10399761538461544</v>
      </c>
      <c r="N168" t="s">
        <v>31</v>
      </c>
      <c r="O168">
        <v>565</v>
      </c>
      <c r="P168">
        <v>12.5</v>
      </c>
      <c r="Q168">
        <v>5</v>
      </c>
      <c r="R1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68">
        <v>1.35</v>
      </c>
      <c r="T1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8">
        <v>1</v>
      </c>
    </row>
    <row r="169" spans="1:22" x14ac:dyDescent="0.35">
      <c r="A169" t="s">
        <v>298</v>
      </c>
      <c r="B169" s="2">
        <v>45235</v>
      </c>
      <c r="C169" t="str" cm="1">
        <f t="array" ref="C1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69">
        <f>YEAR(AllDataCorrected[[#This Row],[Date]])</f>
        <v>2023</v>
      </c>
      <c r="E169" s="1">
        <v>0.48958333333333331</v>
      </c>
      <c r="F1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69" t="str">
        <f>_xlfn.XLOOKUP(AllDataCorrected[[#This Row],[Location Name]], Locations[Location Name],Locations[Group As])</f>
        <v>Avonbank Drive</v>
      </c>
      <c r="H169" t="e" vm="1">
        <f>_xlfn.XLOOKUP(AllDataCorrected[[#This Row],[Site Name]],LocationsKey[Site Name],LocationsKey[District])</f>
        <v>#VALUE!</v>
      </c>
      <c r="I169" t="e" vm="12">
        <f>_xlfn.XLOOKUP(AllDataCorrected[[#This Row],[Site Name]],LocationsKey[Site Name],LocationsKey[Town])</f>
        <v>#VALUE!</v>
      </c>
      <c r="J169" t="str">
        <f>_xlfn.XLOOKUP(AllDataCorrected[[#This Row],[Site Name]],LocationsKey[Site Name], LocationsKey[Waterway])</f>
        <v>Avon</v>
      </c>
      <c r="K169" t="s">
        <v>104</v>
      </c>
      <c r="L169">
        <f>_xlfn.XLOOKUP(AllDataCorrected[[#This Row],[Site Name]],Tables!$B$12:$B$100, Tables!C$12:C$100)</f>
        <v>51.566927775862098</v>
      </c>
      <c r="M169">
        <f>_xlfn.XLOOKUP(AllDataCorrected[[#This Row],[Site Name]],Tables!$B$12:$B$100, Tables!D$12:D$100)</f>
        <v>-7.2113336724137929</v>
      </c>
      <c r="N169" t="s">
        <v>68</v>
      </c>
      <c r="O169">
        <v>570</v>
      </c>
      <c r="P169">
        <v>12.5</v>
      </c>
      <c r="Q169">
        <v>5</v>
      </c>
      <c r="R169" t="str">
        <f>IF(AllDataCorrected[[#This Row],[Nitrate (PPM)]]&gt;2, "4. Very high (&gt;2ppm)", IF(AllDataCorrected[[#This Row],[Nitrate (PPM)]]&gt;1, "3. High (1-2ppm)", IF(AllDataCorrected[[#This Row],[Nitrate (PPM)]]&gt;0.5, "2. Some evidence (0.5-1ppm)", IF(AllDataCorrected[[#This Row],[Nitrate (PPM)]]&gt;=0, "1. No evidence (&lt;0.5ppm)"))))</f>
        <v>4. Very high (&gt;2ppm)</v>
      </c>
      <c r="S169">
        <v>1.06</v>
      </c>
      <c r="T1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69">
        <v>1</v>
      </c>
      <c r="V169" t="s">
        <v>299</v>
      </c>
    </row>
    <row r="170" spans="1:22" x14ac:dyDescent="0.35">
      <c r="A170" t="s">
        <v>300</v>
      </c>
      <c r="B170" s="2">
        <v>45235</v>
      </c>
      <c r="C170" t="str" cm="1">
        <f t="array" ref="C1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0">
        <f>YEAR(AllDataCorrected[[#This Row],[Date]])</f>
        <v>2023</v>
      </c>
      <c r="E170" s="1">
        <v>0.48958333333333331</v>
      </c>
      <c r="F1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0" t="str">
        <f>_xlfn.XLOOKUP(AllDataCorrected[[#This Row],[Location Name]], Locations[Location Name],Locations[Group As])</f>
        <v>Hampton Wood</v>
      </c>
      <c r="H170" t="e" vm="1">
        <f>_xlfn.XLOOKUP(AllDataCorrected[[#This Row],[Site Name]],LocationsKey[Site Name],LocationsKey[District])</f>
        <v>#VALUE!</v>
      </c>
      <c r="I170" t="e" vm="34">
        <f>_xlfn.XLOOKUP(AllDataCorrected[[#This Row],[Site Name]],LocationsKey[Site Name],LocationsKey[Town])</f>
        <v>#VALUE!</v>
      </c>
      <c r="J170" t="str">
        <f>_xlfn.XLOOKUP(AllDataCorrected[[#This Row],[Site Name]],LocationsKey[Site Name], LocationsKey[Waterway])</f>
        <v>Avon</v>
      </c>
      <c r="K170" t="s">
        <v>36</v>
      </c>
      <c r="L170">
        <f>_xlfn.XLOOKUP(AllDataCorrected[[#This Row],[Site Name]],Tables!$B$12:$B$100, Tables!C$12:C$100)</f>
        <v>52.23814999999999</v>
      </c>
      <c r="M170">
        <f>_xlfn.XLOOKUP(AllDataCorrected[[#This Row],[Site Name]],Tables!$B$12:$B$100, Tables!D$12:D$100)</f>
        <v>-1.6245800000000008</v>
      </c>
      <c r="N170" t="s">
        <v>31</v>
      </c>
      <c r="O170">
        <v>568</v>
      </c>
      <c r="P170">
        <v>11.1</v>
      </c>
      <c r="Q170">
        <v>3</v>
      </c>
      <c r="R170" t="str">
        <f>IF(AllDataCorrected[[#This Row],[Nitrate (PPM)]]&gt;2, "4. Very high (&gt;2ppm)", IF(AllDataCorrected[[#This Row],[Nitrate (PPM)]]&gt;1, "3. High (1-2ppm)", IF(AllDataCorrected[[#This Row],[Nitrate (PPM)]]&gt;0.5, "2. Some evidence (0.5-1ppm)", IF(AllDataCorrected[[#This Row],[Nitrate (PPM)]]&gt;=0, "1. No evidence (&lt;0.5ppm)"))))</f>
        <v>4. Very high (&gt;2ppm)</v>
      </c>
      <c r="S170">
        <v>0.55000000000000004</v>
      </c>
      <c r="T1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0">
        <v>0</v>
      </c>
      <c r="V170" t="s">
        <v>301</v>
      </c>
    </row>
    <row r="171" spans="1:22" x14ac:dyDescent="0.35">
      <c r="A171" t="s">
        <v>302</v>
      </c>
      <c r="B171" s="2">
        <v>45235</v>
      </c>
      <c r="C171" t="str" cm="1">
        <f t="array" ref="C1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1">
        <f>YEAR(AllDataCorrected[[#This Row],[Date]])</f>
        <v>2023</v>
      </c>
      <c r="E171" s="1">
        <v>0.52083333333333337</v>
      </c>
      <c r="F1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1" t="str">
        <f>_xlfn.XLOOKUP(AllDataCorrected[[#This Row],[Location Name]], Locations[Location Name],Locations[Group As])</f>
        <v>Carrant Bredon Rd</v>
      </c>
      <c r="H171" t="e" vm="4">
        <f>_xlfn.XLOOKUP(AllDataCorrected[[#This Row],[Site Name]],LocationsKey[Site Name],LocationsKey[District])</f>
        <v>#VALUE!</v>
      </c>
      <c r="I171" t="e" vm="4">
        <f>_xlfn.XLOOKUP(AllDataCorrected[[#This Row],[Site Name]],LocationsKey[Site Name],LocationsKey[Town])</f>
        <v>#VALUE!</v>
      </c>
      <c r="J171" t="str">
        <f>_xlfn.XLOOKUP(AllDataCorrected[[#This Row],[Site Name]],LocationsKey[Site Name], LocationsKey[Waterway])</f>
        <v>Carrant</v>
      </c>
      <c r="K171" t="s">
        <v>91</v>
      </c>
      <c r="L171">
        <f>_xlfn.XLOOKUP(AllDataCorrected[[#This Row],[Site Name]],Tables!$B$12:$B$100, Tables!C$12:C$100)</f>
        <v>51.996322536231894</v>
      </c>
      <c r="M171">
        <f>_xlfn.XLOOKUP(AllDataCorrected[[#This Row],[Site Name]],Tables!$B$12:$B$100, Tables!D$12:D$100)</f>
        <v>-2.1558410144927538</v>
      </c>
      <c r="N171" t="s">
        <v>25</v>
      </c>
      <c r="O171">
        <v>738</v>
      </c>
      <c r="P171">
        <v>11.7</v>
      </c>
      <c r="Q171">
        <v>6</v>
      </c>
      <c r="R1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71">
        <v>0.32</v>
      </c>
      <c r="T1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1">
        <v>1</v>
      </c>
      <c r="V171" t="s">
        <v>303</v>
      </c>
    </row>
    <row r="172" spans="1:22" x14ac:dyDescent="0.35">
      <c r="A172" t="s">
        <v>304</v>
      </c>
      <c r="B172" s="2">
        <v>45235</v>
      </c>
      <c r="C172" t="str" cm="1">
        <f t="array" ref="C1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2">
        <f>YEAR(AllDataCorrected[[#This Row],[Date]])</f>
        <v>2023</v>
      </c>
      <c r="E172" s="1">
        <v>0.53472222222222221</v>
      </c>
      <c r="F1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2" t="str">
        <f>_xlfn.XLOOKUP(AllDataCorrected[[#This Row],[Location Name]], Locations[Location Name],Locations[Group As])</f>
        <v>Hampton Lucy</v>
      </c>
      <c r="H172" t="e" vm="1">
        <f>_xlfn.XLOOKUP(AllDataCorrected[[#This Row],[Site Name]],LocationsKey[Site Name],LocationsKey[District])</f>
        <v>#VALUE!</v>
      </c>
      <c r="I172" t="e" vm="33">
        <f>_xlfn.XLOOKUP(AllDataCorrected[[#This Row],[Site Name]],LocationsKey[Site Name],LocationsKey[Town])</f>
        <v>#VALUE!</v>
      </c>
      <c r="J172" t="str">
        <f>_xlfn.XLOOKUP(AllDataCorrected[[#This Row],[Site Name]],LocationsKey[Site Name], LocationsKey[Waterway])</f>
        <v>Avon</v>
      </c>
      <c r="K172" t="s">
        <v>39</v>
      </c>
      <c r="L172">
        <f>_xlfn.XLOOKUP(AllDataCorrected[[#This Row],[Site Name]],Tables!$B$12:$B$100, Tables!C$12:C$100)</f>
        <v>52.211679999999973</v>
      </c>
      <c r="M172">
        <f>_xlfn.XLOOKUP(AllDataCorrected[[#This Row],[Site Name]],Tables!$B$12:$B$100, Tables!D$12:D$100)</f>
        <v>-1.6244400000000001</v>
      </c>
      <c r="N172" t="s">
        <v>25</v>
      </c>
      <c r="O172">
        <v>570</v>
      </c>
      <c r="P172">
        <v>11.4</v>
      </c>
      <c r="Q172">
        <v>2</v>
      </c>
      <c r="R172" t="str">
        <f>IF(AllDataCorrected[[#This Row],[Nitrate (PPM)]]&gt;2, "4. Very high (&gt;2ppm)", IF(AllDataCorrected[[#This Row],[Nitrate (PPM)]]&gt;1, "3. High (1-2ppm)", IF(AllDataCorrected[[#This Row],[Nitrate (PPM)]]&gt;0.5, "2. Some evidence (0.5-1ppm)", IF(AllDataCorrected[[#This Row],[Nitrate (PPM)]]&gt;=0, "1. No evidence (&lt;0.5ppm)"))))</f>
        <v>3. High (1-2ppm)</v>
      </c>
      <c r="S172">
        <v>0.54</v>
      </c>
      <c r="T1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2">
        <v>0</v>
      </c>
    </row>
    <row r="173" spans="1:22" x14ac:dyDescent="0.35">
      <c r="A173" t="s">
        <v>305</v>
      </c>
      <c r="B173" s="2">
        <v>45235</v>
      </c>
      <c r="C173" t="str" cm="1">
        <f t="array" ref="C1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3">
        <f>YEAR(AllDataCorrected[[#This Row],[Date]])</f>
        <v>2023</v>
      </c>
      <c r="E173" s="1">
        <v>0.63263888888888886</v>
      </c>
      <c r="F1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3" t="str">
        <f>_xlfn.XLOOKUP(AllDataCorrected[[#This Row],[Location Name]], Locations[Location Name],Locations[Group As])</f>
        <v>Clifford Chambers Mill Bridge</v>
      </c>
      <c r="H173" t="e" vm="1">
        <f>_xlfn.XLOOKUP(AllDataCorrected[[#This Row],[Site Name]],LocationsKey[Site Name],LocationsKey[District])</f>
        <v>#VALUE!</v>
      </c>
      <c r="I173" t="e" vm="22">
        <f>_xlfn.XLOOKUP(AllDataCorrected[[#This Row],[Site Name]],LocationsKey[Site Name],LocationsKey[Town])</f>
        <v>#VALUE!</v>
      </c>
      <c r="J173" t="str">
        <f>_xlfn.XLOOKUP(AllDataCorrected[[#This Row],[Site Name]],LocationsKey[Site Name], LocationsKey[Waterway])</f>
        <v>Stour</v>
      </c>
      <c r="K173" t="s">
        <v>266</v>
      </c>
      <c r="L173">
        <f>_xlfn.XLOOKUP(AllDataCorrected[[#This Row],[Site Name]],Tables!$B$12:$B$100, Tables!C$12:C$100)</f>
        <v>52.166363596153808</v>
      </c>
      <c r="M173">
        <f>_xlfn.XLOOKUP(AllDataCorrected[[#This Row],[Site Name]],Tables!$B$12:$B$100, Tables!D$12:D$100)</f>
        <v>-1.7080375384615398</v>
      </c>
      <c r="N173" t="s">
        <v>68</v>
      </c>
      <c r="O173">
        <v>486</v>
      </c>
      <c r="P173">
        <v>12</v>
      </c>
      <c r="Q173">
        <v>7</v>
      </c>
      <c r="R1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73">
        <v>0.42</v>
      </c>
      <c r="T1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3">
        <v>1.7</v>
      </c>
      <c r="V173" t="s">
        <v>306</v>
      </c>
    </row>
    <row r="174" spans="1:22" x14ac:dyDescent="0.35">
      <c r="A174" t="s">
        <v>307</v>
      </c>
      <c r="B174" s="2">
        <v>45235</v>
      </c>
      <c r="C174" t="str" cm="1">
        <f t="array" ref="C1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4">
        <f>YEAR(AllDataCorrected[[#This Row],[Date]])</f>
        <v>2023</v>
      </c>
      <c r="E174" s="1">
        <v>0.66666666666666663</v>
      </c>
      <c r="F1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4" t="str">
        <f>_xlfn.XLOOKUP(AllDataCorrected[[#This Row],[Location Name]], Locations[Location Name],Locations[Group As])</f>
        <v>Welford Boat Station</v>
      </c>
      <c r="H174" t="e" vm="1">
        <f>_xlfn.XLOOKUP(AllDataCorrected[[#This Row],[Site Name]],LocationsKey[Site Name],LocationsKey[District])</f>
        <v>#VALUE!</v>
      </c>
      <c r="I174" t="e" vm="36">
        <f>_xlfn.XLOOKUP(AllDataCorrected[[#This Row],[Site Name]],LocationsKey[Site Name],LocationsKey[Town])</f>
        <v>#VALUE!</v>
      </c>
      <c r="J174" t="str">
        <f>_xlfn.XLOOKUP(AllDataCorrected[[#This Row],[Site Name]],LocationsKey[Site Name], LocationsKey[Waterway])</f>
        <v>Avon</v>
      </c>
      <c r="K174" t="s">
        <v>41</v>
      </c>
      <c r="L174">
        <f>_xlfn.XLOOKUP(AllDataCorrected[[#This Row],[Site Name]],Tables!$B$12:$B$100, Tables!C$12:C$100)</f>
        <v>52.175174684210546</v>
      </c>
      <c r="M174">
        <f>_xlfn.XLOOKUP(AllDataCorrected[[#This Row],[Site Name]],Tables!$B$12:$B$100, Tables!D$12:D$100)</f>
        <v>-1.7918551052631577</v>
      </c>
      <c r="N174" t="s">
        <v>31</v>
      </c>
      <c r="O174">
        <v>570</v>
      </c>
      <c r="P174">
        <v>10.8</v>
      </c>
      <c r="Q174">
        <v>2</v>
      </c>
      <c r="R174" t="str">
        <f>IF(AllDataCorrected[[#This Row],[Nitrate (PPM)]]&gt;2, "4. Very high (&gt;2ppm)", IF(AllDataCorrected[[#This Row],[Nitrate (PPM)]]&gt;1, "3. High (1-2ppm)", IF(AllDataCorrected[[#This Row],[Nitrate (PPM)]]&gt;0.5, "2. Some evidence (0.5-1ppm)", IF(AllDataCorrected[[#This Row],[Nitrate (PPM)]]&gt;=0, "1. No evidence (&lt;0.5ppm)"))))</f>
        <v>3. High (1-2ppm)</v>
      </c>
      <c r="S174">
        <v>0.37</v>
      </c>
      <c r="T1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4">
        <v>0</v>
      </c>
      <c r="V174" t="s">
        <v>308</v>
      </c>
    </row>
    <row r="175" spans="1:22" x14ac:dyDescent="0.35">
      <c r="A175" t="s">
        <v>309</v>
      </c>
      <c r="B175" s="2">
        <v>45237</v>
      </c>
      <c r="C175" t="str" cm="1">
        <f t="array" ref="C1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5">
        <f>YEAR(AllDataCorrected[[#This Row],[Date]])</f>
        <v>2023</v>
      </c>
      <c r="E175" s="1">
        <v>0.47916666666666669</v>
      </c>
      <c r="F1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75" t="str">
        <f>_xlfn.XLOOKUP(AllDataCorrected[[#This Row],[Location Name]], Locations[Location Name],Locations[Group As])</f>
        <v>Lucy's Mill Bridge</v>
      </c>
      <c r="H175" t="e" vm="1">
        <f>_xlfn.XLOOKUP(AllDataCorrected[[#This Row],[Site Name]],LocationsKey[Site Name],LocationsKey[District])</f>
        <v>#VALUE!</v>
      </c>
      <c r="I175" t="e" vm="12">
        <f>_xlfn.XLOOKUP(AllDataCorrected[[#This Row],[Site Name]],LocationsKey[Site Name],LocationsKey[Town])</f>
        <v>#VALUE!</v>
      </c>
      <c r="J175" t="str">
        <f>_xlfn.XLOOKUP(AllDataCorrected[[#This Row],[Site Name]],LocationsKey[Site Name], LocationsKey[Waterway])</f>
        <v>Avon</v>
      </c>
      <c r="K175" t="s">
        <v>212</v>
      </c>
      <c r="L175">
        <f>_xlfn.XLOOKUP(AllDataCorrected[[#This Row],[Site Name]],Tables!$B$12:$B$100, Tables!C$12:C$100)</f>
        <v>52.183699000000011</v>
      </c>
      <c r="M175">
        <f>_xlfn.XLOOKUP(AllDataCorrected[[#This Row],[Site Name]],Tables!$B$12:$B$100, Tables!D$12:D$100)</f>
        <v>-1.7078160000000004</v>
      </c>
      <c r="N175" t="s">
        <v>31</v>
      </c>
      <c r="P175">
        <v>11</v>
      </c>
      <c r="Q175">
        <v>10</v>
      </c>
      <c r="R1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75">
        <v>0.56000000000000005</v>
      </c>
      <c r="T1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75">
        <v>0.7</v>
      </c>
    </row>
    <row r="176" spans="1:22" x14ac:dyDescent="0.35">
      <c r="A176" t="s">
        <v>310</v>
      </c>
      <c r="B176" s="2">
        <v>45237</v>
      </c>
      <c r="C176" t="str" cm="1">
        <f t="array" ref="C1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6">
        <f>YEAR(AllDataCorrected[[#This Row],[Date]])</f>
        <v>2023</v>
      </c>
      <c r="E176" s="1">
        <v>0.625</v>
      </c>
      <c r="F1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6" t="str">
        <f>_xlfn.XLOOKUP(AllDataCorrected[[#This Row],[Location Name]], Locations[Location Name],Locations[Group As])</f>
        <v>Alveston Weir</v>
      </c>
      <c r="H176" t="e" vm="1">
        <f>_xlfn.XLOOKUP(AllDataCorrected[[#This Row],[Site Name]],LocationsKey[Site Name],LocationsKey[District])</f>
        <v>#VALUE!</v>
      </c>
      <c r="I176" t="e" vm="2">
        <f>_xlfn.XLOOKUP(AllDataCorrected[[#This Row],[Site Name]],LocationsKey[Site Name],LocationsKey[Town])</f>
        <v>#VALUE!</v>
      </c>
      <c r="J176" t="str">
        <f>_xlfn.XLOOKUP(AllDataCorrected[[#This Row],[Site Name]],LocationsKey[Site Name], LocationsKey[Waterway])</f>
        <v>Avon</v>
      </c>
      <c r="K176" t="s">
        <v>288</v>
      </c>
      <c r="L176">
        <f>_xlfn.XLOOKUP(AllDataCorrected[[#This Row],[Site Name]],Tables!$B$12:$B$100, Tables!C$12:C$100)</f>
        <v>52.21226301333337</v>
      </c>
      <c r="M176">
        <f>_xlfn.XLOOKUP(AllDataCorrected[[#This Row],[Site Name]],Tables!$B$12:$B$100, Tables!D$12:D$100)</f>
        <v>-1.6595226800000011</v>
      </c>
      <c r="N176" t="s">
        <v>31</v>
      </c>
      <c r="O176">
        <v>652</v>
      </c>
      <c r="P176">
        <v>15.5</v>
      </c>
      <c r="Q176">
        <v>5</v>
      </c>
      <c r="R176" t="str">
        <f>IF(AllDataCorrected[[#This Row],[Nitrate (PPM)]]&gt;2, "4. Very high (&gt;2ppm)", IF(AllDataCorrected[[#This Row],[Nitrate (PPM)]]&gt;1, "3. High (1-2ppm)", IF(AllDataCorrected[[#This Row],[Nitrate (PPM)]]&gt;0.5, "2. Some evidence (0.5-1ppm)", IF(AllDataCorrected[[#This Row],[Nitrate (PPM)]]&gt;=0, "1. No evidence (&lt;0.5ppm)"))))</f>
        <v>4. Very high (&gt;2ppm)</v>
      </c>
      <c r="S176">
        <v>0.41</v>
      </c>
      <c r="T1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6">
        <v>0</v>
      </c>
      <c r="V176" t="s">
        <v>311</v>
      </c>
    </row>
    <row r="177" spans="1:22" x14ac:dyDescent="0.35">
      <c r="A177" t="s">
        <v>312</v>
      </c>
      <c r="B177" s="2">
        <v>45237</v>
      </c>
      <c r="C177" t="str" cm="1">
        <f t="array" ref="C1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7">
        <f>YEAR(AllDataCorrected[[#This Row],[Date]])</f>
        <v>2023</v>
      </c>
      <c r="E177" s="1">
        <v>0.62847222222222221</v>
      </c>
      <c r="F1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7" t="str">
        <f>_xlfn.XLOOKUP(AllDataCorrected[[#This Row],[Location Name]], Locations[Location Name],Locations[Group As])</f>
        <v>Swiffen Bank</v>
      </c>
      <c r="H177" t="e" vm="1">
        <f>_xlfn.XLOOKUP(AllDataCorrected[[#This Row],[Site Name]],LocationsKey[Site Name],LocationsKey[District])</f>
        <v>#VALUE!</v>
      </c>
      <c r="I177" t="e" vm="2">
        <f>_xlfn.XLOOKUP(AllDataCorrected[[#This Row],[Site Name]],LocationsKey[Site Name],LocationsKey[Town])</f>
        <v>#VALUE!</v>
      </c>
      <c r="J177" t="str">
        <f>_xlfn.XLOOKUP(AllDataCorrected[[#This Row],[Site Name]],LocationsKey[Site Name], LocationsKey[Waterway])</f>
        <v>Avon</v>
      </c>
      <c r="K177" t="s">
        <v>286</v>
      </c>
      <c r="L177">
        <f>_xlfn.XLOOKUP(AllDataCorrected[[#This Row],[Site Name]],Tables!$B$12:$B$100, Tables!C$12:C$100)</f>
        <v>52.206649805555557</v>
      </c>
      <c r="M177">
        <f>_xlfn.XLOOKUP(AllDataCorrected[[#This Row],[Site Name]],Tables!$B$12:$B$100, Tables!D$12:D$100)</f>
        <v>-1.6541018611111094</v>
      </c>
      <c r="N177" t="s">
        <v>31</v>
      </c>
      <c r="O177">
        <v>561</v>
      </c>
      <c r="P177">
        <v>15</v>
      </c>
      <c r="Q177">
        <v>5</v>
      </c>
      <c r="R177" t="str">
        <f>IF(AllDataCorrected[[#This Row],[Nitrate (PPM)]]&gt;2, "4. Very high (&gt;2ppm)", IF(AllDataCorrected[[#This Row],[Nitrate (PPM)]]&gt;1, "3. High (1-2ppm)", IF(AllDataCorrected[[#This Row],[Nitrate (PPM)]]&gt;0.5, "2. Some evidence (0.5-1ppm)", IF(AllDataCorrected[[#This Row],[Nitrate (PPM)]]&gt;=0, "1. No evidence (&lt;0.5ppm)"))))</f>
        <v>4. Very high (&gt;2ppm)</v>
      </c>
      <c r="S177">
        <v>0.42</v>
      </c>
      <c r="T1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7">
        <v>1</v>
      </c>
      <c r="V177" t="s">
        <v>313</v>
      </c>
    </row>
    <row r="178" spans="1:22" x14ac:dyDescent="0.35">
      <c r="A178" t="s">
        <v>314</v>
      </c>
      <c r="B178" s="2">
        <v>45237</v>
      </c>
      <c r="C178" t="str" cm="1">
        <f t="array" ref="C1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8">
        <f>YEAR(AllDataCorrected[[#This Row],[Date]])</f>
        <v>2023</v>
      </c>
      <c r="E178" s="1">
        <v>0.65625</v>
      </c>
      <c r="F1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8" t="str">
        <f>_xlfn.XLOOKUP(AllDataCorrected[[#This Row],[Location Name]], Locations[Location Name],Locations[Group As])</f>
        <v>Weston-on-Avon</v>
      </c>
      <c r="H178" t="e" vm="1">
        <f>_xlfn.XLOOKUP(AllDataCorrected[[#This Row],[Site Name]],LocationsKey[Site Name],LocationsKey[District])</f>
        <v>#VALUE!</v>
      </c>
      <c r="I178" t="e" vm="35">
        <f>_xlfn.XLOOKUP(AllDataCorrected[[#This Row],[Site Name]],LocationsKey[Site Name],LocationsKey[Town])</f>
        <v>#VALUE!</v>
      </c>
      <c r="J178" t="str">
        <f>_xlfn.XLOOKUP(AllDataCorrected[[#This Row],[Site Name]],LocationsKey[Site Name], LocationsKey[Waterway])</f>
        <v>Avon</v>
      </c>
      <c r="K178" t="s">
        <v>43</v>
      </c>
      <c r="L178">
        <f>_xlfn.XLOOKUP(AllDataCorrected[[#This Row],[Site Name]],Tables!$B$12:$B$100, Tables!C$12:C$100)</f>
        <v>52.167429999999996</v>
      </c>
      <c r="M178">
        <f>_xlfn.XLOOKUP(AllDataCorrected[[#This Row],[Site Name]],Tables!$B$12:$B$100, Tables!D$12:D$100)</f>
        <v>-1.7744752941176474</v>
      </c>
      <c r="N178" t="s">
        <v>31</v>
      </c>
      <c r="O178">
        <v>664</v>
      </c>
      <c r="P178">
        <v>10.7</v>
      </c>
      <c r="Q178">
        <v>3</v>
      </c>
      <c r="R178" t="str">
        <f>IF(AllDataCorrected[[#This Row],[Nitrate (PPM)]]&gt;2, "4. Very high (&gt;2ppm)", IF(AllDataCorrected[[#This Row],[Nitrate (PPM)]]&gt;1, "3. High (1-2ppm)", IF(AllDataCorrected[[#This Row],[Nitrate (PPM)]]&gt;0.5, "2. Some evidence (0.5-1ppm)", IF(AllDataCorrected[[#This Row],[Nitrate (PPM)]]&gt;=0, "1. No evidence (&lt;0.5ppm)"))))</f>
        <v>4. Very high (&gt;2ppm)</v>
      </c>
      <c r="S178">
        <v>0.43</v>
      </c>
      <c r="T1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8">
        <v>0</v>
      </c>
    </row>
    <row r="179" spans="1:22" x14ac:dyDescent="0.35">
      <c r="A179" t="s">
        <v>315</v>
      </c>
      <c r="B179" s="2">
        <v>45238</v>
      </c>
      <c r="C179" t="str" cm="1">
        <f t="array" ref="C1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79">
        <f>YEAR(AllDataCorrected[[#This Row],[Date]])</f>
        <v>2023</v>
      </c>
      <c r="E179" s="1">
        <v>0.66666666666666663</v>
      </c>
      <c r="F1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79" t="str">
        <f>_xlfn.XLOOKUP(AllDataCorrected[[#This Row],[Location Name]], Locations[Location Name],Locations[Group As])</f>
        <v>Stour Newbold Mill</v>
      </c>
      <c r="H179" t="e" vm="1">
        <f>_xlfn.XLOOKUP(AllDataCorrected[[#This Row],[Site Name]],LocationsKey[Site Name],LocationsKey[District])</f>
        <v>#VALUE!</v>
      </c>
      <c r="I179" t="e" vm="27">
        <f>_xlfn.XLOOKUP(AllDataCorrected[[#This Row],[Site Name]],LocationsKey[Site Name],LocationsKey[Town])</f>
        <v>#VALUE!</v>
      </c>
      <c r="J179" t="str">
        <f>_xlfn.XLOOKUP(AllDataCorrected[[#This Row],[Site Name]],LocationsKey[Site Name], LocationsKey[Waterway])</f>
        <v>Stour</v>
      </c>
      <c r="K179" t="s">
        <v>141</v>
      </c>
      <c r="L179">
        <f>_xlfn.XLOOKUP(AllDataCorrected[[#This Row],[Site Name]],Tables!$B$12:$B$100, Tables!C$12:C$100)</f>
        <v>52.113052370370369</v>
      </c>
      <c r="M179">
        <f>_xlfn.XLOOKUP(AllDataCorrected[[#This Row],[Site Name]],Tables!$B$12:$B$100, Tables!D$12:D$100)</f>
        <v>-1.6333685185185181</v>
      </c>
      <c r="N179" t="s">
        <v>31</v>
      </c>
      <c r="O179">
        <v>854</v>
      </c>
      <c r="P179">
        <v>10.3</v>
      </c>
      <c r="Q179">
        <v>5</v>
      </c>
      <c r="R179" t="str">
        <f>IF(AllDataCorrected[[#This Row],[Nitrate (PPM)]]&gt;2, "4. Very high (&gt;2ppm)", IF(AllDataCorrected[[#This Row],[Nitrate (PPM)]]&gt;1, "3. High (1-2ppm)", IF(AllDataCorrected[[#This Row],[Nitrate (PPM)]]&gt;0.5, "2. Some evidence (0.5-1ppm)", IF(AllDataCorrected[[#This Row],[Nitrate (PPM)]]&gt;=0, "1. No evidence (&lt;0.5ppm)"))))</f>
        <v>4. Very high (&gt;2ppm)</v>
      </c>
      <c r="S179">
        <v>0.26</v>
      </c>
      <c r="T1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79">
        <v>2.5</v>
      </c>
      <c r="V179" t="s">
        <v>316</v>
      </c>
    </row>
    <row r="180" spans="1:22" x14ac:dyDescent="0.35">
      <c r="A180" t="s">
        <v>317</v>
      </c>
      <c r="B180" s="2">
        <v>45239</v>
      </c>
      <c r="C180" t="str" cm="1">
        <f t="array" ref="C1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0">
        <f>YEAR(AllDataCorrected[[#This Row],[Date]])</f>
        <v>2023</v>
      </c>
      <c r="E180" s="1">
        <v>0.39583333333333331</v>
      </c>
      <c r="F1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0" t="str">
        <f>_xlfn.XLOOKUP(AllDataCorrected[[#This Row],[Location Name]], Locations[Location Name],Locations[Group As])</f>
        <v>Swilgate</v>
      </c>
      <c r="H180" t="e" vm="4">
        <f>_xlfn.XLOOKUP(AllDataCorrected[[#This Row],[Site Name]],LocationsKey[Site Name],LocationsKey[District])</f>
        <v>#VALUE!</v>
      </c>
      <c r="I180" t="e" vm="4">
        <f>_xlfn.XLOOKUP(AllDataCorrected[[#This Row],[Site Name]],LocationsKey[Site Name],LocationsKey[Town])</f>
        <v>#VALUE!</v>
      </c>
      <c r="J180" t="str">
        <f>_xlfn.XLOOKUP(AllDataCorrected[[#This Row],[Site Name]],LocationsKey[Site Name], LocationsKey[Waterway])</f>
        <v>Swilgate</v>
      </c>
      <c r="K180" t="s">
        <v>85</v>
      </c>
      <c r="L180">
        <f>_xlfn.XLOOKUP(AllDataCorrected[[#This Row],[Site Name]],Tables!$B$12:$B$100, Tables!C$12:C$100)</f>
        <v>51.988591500000005</v>
      </c>
      <c r="M180">
        <f>_xlfn.XLOOKUP(AllDataCorrected[[#This Row],[Site Name]],Tables!$B$12:$B$100, Tables!D$12:D$100)</f>
        <v>-2.163898333333333</v>
      </c>
      <c r="N180" t="s">
        <v>25</v>
      </c>
      <c r="O180">
        <v>836</v>
      </c>
      <c r="P180">
        <v>12</v>
      </c>
      <c r="Q180">
        <v>4</v>
      </c>
      <c r="R1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80">
        <v>0.42</v>
      </c>
      <c r="T1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0">
        <v>1</v>
      </c>
    </row>
    <row r="181" spans="1:22" x14ac:dyDescent="0.35">
      <c r="A181" t="s">
        <v>318</v>
      </c>
      <c r="B181" s="2">
        <v>45239</v>
      </c>
      <c r="C181" t="str" cm="1">
        <f t="array" ref="C1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1">
        <f>YEAR(AllDataCorrected[[#This Row],[Date]])</f>
        <v>2023</v>
      </c>
      <c r="E181" s="1">
        <v>0.57291666666666663</v>
      </c>
      <c r="F1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1" t="str">
        <f>_xlfn.XLOOKUP(AllDataCorrected[[#This Row],[Location Name]], Locations[Location Name],Locations[Group As])</f>
        <v>Preston-on-Stour River Bridge</v>
      </c>
      <c r="H181" t="e" vm="1">
        <f>_xlfn.XLOOKUP(AllDataCorrected[[#This Row],[Site Name]],LocationsKey[Site Name],LocationsKey[District])</f>
        <v>#VALUE!</v>
      </c>
      <c r="I181" t="e" vm="20">
        <f>_xlfn.XLOOKUP(AllDataCorrected[[#This Row],[Site Name]],LocationsKey[Site Name],LocationsKey[Town])</f>
        <v>#VALUE!</v>
      </c>
      <c r="J181" t="str">
        <f>_xlfn.XLOOKUP(AllDataCorrected[[#This Row],[Site Name]],LocationsKey[Site Name], LocationsKey[Waterway])</f>
        <v>Stour</v>
      </c>
      <c r="K181" t="s">
        <v>164</v>
      </c>
      <c r="L181">
        <f>_xlfn.XLOOKUP(AllDataCorrected[[#This Row],[Site Name]],Tables!$B$12:$B$100, Tables!C$12:C$100)</f>
        <v>52.146672352941174</v>
      </c>
      <c r="M181">
        <f>_xlfn.XLOOKUP(AllDataCorrected[[#This Row],[Site Name]],Tables!$B$12:$B$100, Tables!D$12:D$100)</f>
        <v>-1.6984533333333334</v>
      </c>
      <c r="N181" t="s">
        <v>31</v>
      </c>
      <c r="O181">
        <v>612</v>
      </c>
      <c r="P181">
        <v>10.3</v>
      </c>
      <c r="Q181">
        <v>5</v>
      </c>
      <c r="R1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81">
        <v>0.25</v>
      </c>
      <c r="T1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1">
        <v>1.75</v>
      </c>
      <c r="V181" t="s">
        <v>319</v>
      </c>
    </row>
    <row r="182" spans="1:22" x14ac:dyDescent="0.35">
      <c r="A182" t="s">
        <v>320</v>
      </c>
      <c r="B182" s="2">
        <v>45239</v>
      </c>
      <c r="C182" t="str" cm="1">
        <f t="array" ref="C1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2">
        <f>YEAR(AllDataCorrected[[#This Row],[Date]])</f>
        <v>2023</v>
      </c>
      <c r="E182" s="1">
        <v>0.66805555555555551</v>
      </c>
      <c r="F1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2" t="str">
        <f>_xlfn.XLOOKUP(AllDataCorrected[[#This Row],[Location Name]], Locations[Location Name],Locations[Group As])</f>
        <v>Stour Shipston Mill Bridge</v>
      </c>
      <c r="H182" t="e" vm="1">
        <f>_xlfn.XLOOKUP(AllDataCorrected[[#This Row],[Site Name]],LocationsKey[Site Name],LocationsKey[District])</f>
        <v>#VALUE!</v>
      </c>
      <c r="I182" t="e" vm="15">
        <f>_xlfn.XLOOKUP(AllDataCorrected[[#This Row],[Site Name]],LocationsKey[Site Name],LocationsKey[Town])</f>
        <v>#VALUE!</v>
      </c>
      <c r="J182" t="str">
        <f>_xlfn.XLOOKUP(AllDataCorrected[[#This Row],[Site Name]],LocationsKey[Site Name], LocationsKey[Waterway])</f>
        <v>Stour</v>
      </c>
      <c r="K182" t="s">
        <v>321</v>
      </c>
      <c r="L182">
        <f>_xlfn.XLOOKUP(AllDataCorrected[[#This Row],[Site Name]],Tables!$B$12:$B$100, Tables!C$12:C$100)</f>
        <v>52.062214921052629</v>
      </c>
      <c r="M182">
        <f>_xlfn.XLOOKUP(AllDataCorrected[[#This Row],[Site Name]],Tables!$B$12:$B$100, Tables!D$12:D$100)</f>
        <v>-1.6223788421052625</v>
      </c>
      <c r="N182" t="s">
        <v>25</v>
      </c>
      <c r="O182">
        <v>585</v>
      </c>
      <c r="P182">
        <v>10.199999999999999</v>
      </c>
      <c r="Q182">
        <v>10</v>
      </c>
      <c r="R1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82">
        <v>0.3</v>
      </c>
      <c r="T1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2">
        <v>1.5</v>
      </c>
      <c r="V182" t="s">
        <v>180</v>
      </c>
    </row>
    <row r="183" spans="1:22" x14ac:dyDescent="0.35">
      <c r="A183" t="s">
        <v>322</v>
      </c>
      <c r="B183" s="2">
        <v>45239</v>
      </c>
      <c r="C183" t="str" cm="1">
        <f t="array" ref="C1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3">
        <f>YEAR(AllDataCorrected[[#This Row],[Date]])</f>
        <v>2023</v>
      </c>
      <c r="E183" s="1">
        <v>0.71250000000000002</v>
      </c>
      <c r="F1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3" t="str">
        <f>_xlfn.XLOOKUP(AllDataCorrected[[#This Row],[Location Name]], Locations[Location Name],Locations[Group As])</f>
        <v>Stour Cherington Sewage Works</v>
      </c>
      <c r="H183" t="e" vm="1">
        <f>_xlfn.XLOOKUP(AllDataCorrected[[#This Row],[Site Name]],LocationsKey[Site Name],LocationsKey[District])</f>
        <v>#VALUE!</v>
      </c>
      <c r="I183" t="str">
        <f>_xlfn.XLOOKUP(AllDataCorrected[[#This Row],[Site Name]],LocationsKey[Site Name],LocationsKey[Town])</f>
        <v>Cherington</v>
      </c>
      <c r="J183" t="str">
        <f>_xlfn.XLOOKUP(AllDataCorrected[[#This Row],[Site Name]],LocationsKey[Site Name], LocationsKey[Waterway])</f>
        <v>Stour</v>
      </c>
      <c r="K183" t="s">
        <v>323</v>
      </c>
      <c r="L183">
        <f>_xlfn.XLOOKUP(AllDataCorrected[[#This Row],[Site Name]],Tables!$B$12:$B$100, Tables!C$12:C$100)</f>
        <v>52.029943500000002</v>
      </c>
      <c r="M183">
        <f>_xlfn.XLOOKUP(AllDataCorrected[[#This Row],[Site Name]],Tables!$B$12:$B$100, Tables!D$12:D$100)</f>
        <v>-1.5807020000000001</v>
      </c>
      <c r="N183" t="s">
        <v>25</v>
      </c>
      <c r="O183">
        <v>295</v>
      </c>
      <c r="P183">
        <v>10.7</v>
      </c>
      <c r="S183">
        <v>0.18</v>
      </c>
      <c r="T1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3">
        <v>0.5</v>
      </c>
      <c r="V183" t="s">
        <v>180</v>
      </c>
    </row>
    <row r="184" spans="1:22" x14ac:dyDescent="0.35">
      <c r="A184" t="s">
        <v>324</v>
      </c>
      <c r="B184" s="2">
        <v>45241</v>
      </c>
      <c r="C184" t="str" cm="1">
        <f t="array" ref="C1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4">
        <f>YEAR(AllDataCorrected[[#This Row],[Date]])</f>
        <v>2023</v>
      </c>
      <c r="E184" s="1">
        <v>0.4201388888888889</v>
      </c>
      <c r="F1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4" t="str">
        <f>_xlfn.XLOOKUP(AllDataCorrected[[#This Row],[Location Name]], Locations[Location Name],Locations[Group As])</f>
        <v>Abbey Mill</v>
      </c>
      <c r="H184" t="e" vm="4">
        <f>_xlfn.XLOOKUP(AllDataCorrected[[#This Row],[Site Name]],LocationsKey[Site Name],LocationsKey[District])</f>
        <v>#VALUE!</v>
      </c>
      <c r="I184" t="e" vm="4">
        <f>_xlfn.XLOOKUP(AllDataCorrected[[#This Row],[Site Name]],LocationsKey[Site Name],LocationsKey[Town])</f>
        <v>#VALUE!</v>
      </c>
      <c r="J184" t="str">
        <f>_xlfn.XLOOKUP(AllDataCorrected[[#This Row],[Site Name]],LocationsKey[Site Name], LocationsKey[Waterway])</f>
        <v>Avon</v>
      </c>
      <c r="K184" t="s">
        <v>24</v>
      </c>
      <c r="L184">
        <f>_xlfn.XLOOKUP(AllDataCorrected[[#This Row],[Site Name]],Tables!$B$12:$B$100, Tables!C$12:C$100)</f>
        <v>51.991313075757589</v>
      </c>
      <c r="M184">
        <f>_xlfn.XLOOKUP(AllDataCorrected[[#This Row],[Site Name]],Tables!$B$12:$B$100, Tables!D$12:D$100)</f>
        <v>-2.1621998181818181</v>
      </c>
      <c r="N184" t="s">
        <v>25</v>
      </c>
      <c r="O184">
        <v>718</v>
      </c>
      <c r="P184">
        <v>10.6</v>
      </c>
      <c r="Q184">
        <v>7</v>
      </c>
      <c r="R1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84">
        <v>0.59</v>
      </c>
      <c r="T1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4">
        <v>1</v>
      </c>
    </row>
    <row r="185" spans="1:22" x14ac:dyDescent="0.35">
      <c r="A185" t="s">
        <v>325</v>
      </c>
      <c r="B185" s="2">
        <v>45242</v>
      </c>
      <c r="C185" t="str" cm="1">
        <f t="array" ref="C1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5">
        <f>YEAR(AllDataCorrected[[#This Row],[Date]])</f>
        <v>2023</v>
      </c>
      <c r="E185" s="1">
        <v>0.4465277777777778</v>
      </c>
      <c r="F1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5" t="str">
        <f>_xlfn.XLOOKUP(AllDataCorrected[[#This Row],[Location Name]], Locations[Location Name],Locations[Group As])</f>
        <v>Pitch 16</v>
      </c>
      <c r="H185" t="e" vm="1">
        <f>_xlfn.XLOOKUP(AllDataCorrected[[#This Row],[Site Name]],LocationsKey[Site Name],LocationsKey[District])</f>
        <v>#VALUE!</v>
      </c>
      <c r="I185" t="e" vm="12">
        <f>_xlfn.XLOOKUP(AllDataCorrected[[#This Row],[Site Name]],LocationsKey[Site Name],LocationsKey[Town])</f>
        <v>#VALUE!</v>
      </c>
      <c r="J185" t="str">
        <f>_xlfn.XLOOKUP(AllDataCorrected[[#This Row],[Site Name]],LocationsKey[Site Name], LocationsKey[Waterway])</f>
        <v>Avon</v>
      </c>
      <c r="K185" t="s">
        <v>71</v>
      </c>
      <c r="L185">
        <f>_xlfn.XLOOKUP(AllDataCorrected[[#This Row],[Site Name]],Tables!$B$12:$B$100, Tables!C$12:C$100)</f>
        <v>51.289310076923087</v>
      </c>
      <c r="M185">
        <f>_xlfn.XLOOKUP(AllDataCorrected[[#This Row],[Site Name]],Tables!$B$12:$B$100, Tables!D$12:D$100)</f>
        <v>-0.10399761538461544</v>
      </c>
      <c r="N185" t="s">
        <v>31</v>
      </c>
      <c r="O185">
        <v>816</v>
      </c>
      <c r="P185">
        <v>10.199999999999999</v>
      </c>
      <c r="Q185">
        <v>5</v>
      </c>
      <c r="R1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85">
        <v>0.51</v>
      </c>
      <c r="T1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5">
        <v>0.75</v>
      </c>
    </row>
    <row r="186" spans="1:22" x14ac:dyDescent="0.35">
      <c r="A186" t="s">
        <v>326</v>
      </c>
      <c r="B186" s="2">
        <v>45242</v>
      </c>
      <c r="C186" t="str" cm="1">
        <f t="array" ref="C1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6">
        <f>YEAR(AllDataCorrected[[#This Row],[Date]])</f>
        <v>2023</v>
      </c>
      <c r="E186" s="1">
        <v>0.44791666666666669</v>
      </c>
      <c r="F1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6" t="str">
        <f>_xlfn.XLOOKUP(AllDataCorrected[[#This Row],[Location Name]], Locations[Location Name],Locations[Group As])</f>
        <v>Lucy's Mill Bridge</v>
      </c>
      <c r="H186" t="e" vm="1">
        <f>_xlfn.XLOOKUP(AllDataCorrected[[#This Row],[Site Name]],LocationsKey[Site Name],LocationsKey[District])</f>
        <v>#VALUE!</v>
      </c>
      <c r="I186" t="e" vm="12">
        <f>_xlfn.XLOOKUP(AllDataCorrected[[#This Row],[Site Name]],LocationsKey[Site Name],LocationsKey[Town])</f>
        <v>#VALUE!</v>
      </c>
      <c r="J186" t="str">
        <f>_xlfn.XLOOKUP(AllDataCorrected[[#This Row],[Site Name]],LocationsKey[Site Name], LocationsKey[Waterway])</f>
        <v>Avon</v>
      </c>
      <c r="K186" t="s">
        <v>212</v>
      </c>
      <c r="L186">
        <f>_xlfn.XLOOKUP(AllDataCorrected[[#This Row],[Site Name]],Tables!$B$12:$B$100, Tables!C$12:C$100)</f>
        <v>52.183699000000011</v>
      </c>
      <c r="M186">
        <f>_xlfn.XLOOKUP(AllDataCorrected[[#This Row],[Site Name]],Tables!$B$12:$B$100, Tables!D$12:D$100)</f>
        <v>-1.7078160000000004</v>
      </c>
      <c r="N186" t="s">
        <v>31</v>
      </c>
      <c r="P186">
        <v>9</v>
      </c>
      <c r="Q186">
        <v>10</v>
      </c>
      <c r="R1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86">
        <v>0.49</v>
      </c>
      <c r="T1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86">
        <v>0.7</v>
      </c>
    </row>
    <row r="187" spans="1:22" x14ac:dyDescent="0.35">
      <c r="A187" t="s">
        <v>327</v>
      </c>
      <c r="B187" s="2">
        <v>45242</v>
      </c>
      <c r="C187" t="str" cm="1">
        <f t="array" ref="C1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7">
        <f>YEAR(AllDataCorrected[[#This Row],[Date]])</f>
        <v>2023</v>
      </c>
      <c r="E187" s="1">
        <v>0.46527777777777779</v>
      </c>
      <c r="F1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7" t="str">
        <f>_xlfn.XLOOKUP(AllDataCorrected[[#This Row],[Location Name]], Locations[Location Name],Locations[Group As])</f>
        <v>Avonbank Drive</v>
      </c>
      <c r="H187" t="e" vm="1">
        <f>_xlfn.XLOOKUP(AllDataCorrected[[#This Row],[Site Name]],LocationsKey[Site Name],LocationsKey[District])</f>
        <v>#VALUE!</v>
      </c>
      <c r="I187" t="e" vm="12">
        <f>_xlfn.XLOOKUP(AllDataCorrected[[#This Row],[Site Name]],LocationsKey[Site Name],LocationsKey[Town])</f>
        <v>#VALUE!</v>
      </c>
      <c r="J187" t="str">
        <f>_xlfn.XLOOKUP(AllDataCorrected[[#This Row],[Site Name]],LocationsKey[Site Name], LocationsKey[Waterway])</f>
        <v>Avon</v>
      </c>
      <c r="K187" t="s">
        <v>328</v>
      </c>
      <c r="L187">
        <f>_xlfn.XLOOKUP(AllDataCorrected[[#This Row],[Site Name]],Tables!$B$12:$B$100, Tables!C$12:C$100)</f>
        <v>51.566927775862098</v>
      </c>
      <c r="M187">
        <f>_xlfn.XLOOKUP(AllDataCorrected[[#This Row],[Site Name]],Tables!$B$12:$B$100, Tables!D$12:D$100)</f>
        <v>-7.2113336724137929</v>
      </c>
      <c r="N187" t="s">
        <v>68</v>
      </c>
      <c r="O187">
        <v>855</v>
      </c>
      <c r="P187">
        <v>9.3000000000000007</v>
      </c>
      <c r="Q187">
        <v>5</v>
      </c>
      <c r="R187" t="str">
        <f>IF(AllDataCorrected[[#This Row],[Nitrate (PPM)]]&gt;2, "4. Very high (&gt;2ppm)", IF(AllDataCorrected[[#This Row],[Nitrate (PPM)]]&gt;1, "3. High (1-2ppm)", IF(AllDataCorrected[[#This Row],[Nitrate (PPM)]]&gt;0.5, "2. Some evidence (0.5-1ppm)", IF(AllDataCorrected[[#This Row],[Nitrate (PPM)]]&gt;=0, "1. No evidence (&lt;0.5ppm)"))))</f>
        <v>4. Very high (&gt;2ppm)</v>
      </c>
      <c r="S187">
        <v>0.61</v>
      </c>
      <c r="T1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7">
        <v>0.75</v>
      </c>
    </row>
    <row r="188" spans="1:22" x14ac:dyDescent="0.35">
      <c r="A188" t="s">
        <v>329</v>
      </c>
      <c r="B188" s="2">
        <v>45242</v>
      </c>
      <c r="C188" t="str" cm="1">
        <f t="array" ref="C1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8">
        <f>YEAR(AllDataCorrected[[#This Row],[Date]])</f>
        <v>2023</v>
      </c>
      <c r="E188" s="1">
        <v>0.47916666666666669</v>
      </c>
      <c r="F1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88" t="str">
        <f>_xlfn.XLOOKUP(AllDataCorrected[[#This Row],[Location Name]], Locations[Location Name],Locations[Group As])</f>
        <v>Hampton Wood</v>
      </c>
      <c r="H188" t="e" vm="1">
        <f>_xlfn.XLOOKUP(AllDataCorrected[[#This Row],[Site Name]],LocationsKey[Site Name],LocationsKey[District])</f>
        <v>#VALUE!</v>
      </c>
      <c r="I188" t="e" vm="34">
        <f>_xlfn.XLOOKUP(AllDataCorrected[[#This Row],[Site Name]],LocationsKey[Site Name],LocationsKey[Town])</f>
        <v>#VALUE!</v>
      </c>
      <c r="J188" t="str">
        <f>_xlfn.XLOOKUP(AllDataCorrected[[#This Row],[Site Name]],LocationsKey[Site Name], LocationsKey[Waterway])</f>
        <v>Avon</v>
      </c>
      <c r="K188" t="s">
        <v>36</v>
      </c>
      <c r="L188">
        <f>_xlfn.XLOOKUP(AllDataCorrected[[#This Row],[Site Name]],Tables!$B$12:$B$100, Tables!C$12:C$100)</f>
        <v>52.23814999999999</v>
      </c>
      <c r="M188">
        <f>_xlfn.XLOOKUP(AllDataCorrected[[#This Row],[Site Name]],Tables!$B$12:$B$100, Tables!D$12:D$100)</f>
        <v>-1.6245800000000008</v>
      </c>
      <c r="N188" t="s">
        <v>31</v>
      </c>
      <c r="O188">
        <v>822</v>
      </c>
      <c r="P188">
        <v>9</v>
      </c>
      <c r="Q188">
        <v>7</v>
      </c>
      <c r="R188" t="str">
        <f>IF(AllDataCorrected[[#This Row],[Nitrate (PPM)]]&gt;2, "4. Very high (&gt;2ppm)", IF(AllDataCorrected[[#This Row],[Nitrate (PPM)]]&gt;1, "3. High (1-2ppm)", IF(AllDataCorrected[[#This Row],[Nitrate (PPM)]]&gt;0.5, "2. Some evidence (0.5-1ppm)", IF(AllDataCorrected[[#This Row],[Nitrate (PPM)]]&gt;=0, "1. No evidence (&lt;0.5ppm)"))))</f>
        <v>4. Very high (&gt;2ppm)</v>
      </c>
      <c r="S188">
        <v>0.53</v>
      </c>
      <c r="T1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8">
        <v>0</v>
      </c>
    </row>
    <row r="189" spans="1:22" x14ac:dyDescent="0.35">
      <c r="A189" t="s">
        <v>330</v>
      </c>
      <c r="B189" s="2">
        <v>45242</v>
      </c>
      <c r="C189" t="str" cm="1">
        <f t="array" ref="C1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89">
        <f>YEAR(AllDataCorrected[[#This Row],[Date]])</f>
        <v>2023</v>
      </c>
      <c r="E189" s="1">
        <v>0.51041666666666663</v>
      </c>
      <c r="F1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89" t="str">
        <f>_xlfn.XLOOKUP(AllDataCorrected[[#This Row],[Location Name]], Locations[Location Name],Locations[Group As])</f>
        <v>Hampton Lucy</v>
      </c>
      <c r="H189" t="e" vm="1">
        <f>_xlfn.XLOOKUP(AllDataCorrected[[#This Row],[Site Name]],LocationsKey[Site Name],LocationsKey[District])</f>
        <v>#VALUE!</v>
      </c>
      <c r="I189" t="e" vm="33">
        <f>_xlfn.XLOOKUP(AllDataCorrected[[#This Row],[Site Name]],LocationsKey[Site Name],LocationsKey[Town])</f>
        <v>#VALUE!</v>
      </c>
      <c r="J189" t="str">
        <f>_xlfn.XLOOKUP(AllDataCorrected[[#This Row],[Site Name]],LocationsKey[Site Name], LocationsKey[Waterway])</f>
        <v>Avon</v>
      </c>
      <c r="K189" t="s">
        <v>39</v>
      </c>
      <c r="L189">
        <f>_xlfn.XLOOKUP(AllDataCorrected[[#This Row],[Site Name]],Tables!$B$12:$B$100, Tables!C$12:C$100)</f>
        <v>52.211679999999973</v>
      </c>
      <c r="M189">
        <f>_xlfn.XLOOKUP(AllDataCorrected[[#This Row],[Site Name]],Tables!$B$12:$B$100, Tables!D$12:D$100)</f>
        <v>-1.6244400000000001</v>
      </c>
      <c r="N189" t="s">
        <v>25</v>
      </c>
      <c r="O189">
        <v>812</v>
      </c>
      <c r="P189">
        <v>9.4</v>
      </c>
      <c r="Q189">
        <v>5</v>
      </c>
      <c r="R1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89">
        <v>0.9</v>
      </c>
      <c r="T1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89">
        <v>0</v>
      </c>
    </row>
    <row r="190" spans="1:22" x14ac:dyDescent="0.35">
      <c r="A190" t="s">
        <v>331</v>
      </c>
      <c r="B190" s="2">
        <v>45242</v>
      </c>
      <c r="C190" t="str" cm="1">
        <f t="array" ref="C1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0">
        <f>YEAR(AllDataCorrected[[#This Row],[Date]])</f>
        <v>2023</v>
      </c>
      <c r="E190" s="1">
        <v>0.66666666666666663</v>
      </c>
      <c r="F1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0" t="str">
        <f>_xlfn.XLOOKUP(AllDataCorrected[[#This Row],[Location Name]], Locations[Location Name],Locations[Group As])</f>
        <v>Welford Boat Station</v>
      </c>
      <c r="H190" t="e" vm="1">
        <f>_xlfn.XLOOKUP(AllDataCorrected[[#This Row],[Site Name]],LocationsKey[Site Name],LocationsKey[District])</f>
        <v>#VALUE!</v>
      </c>
      <c r="I190" t="e" vm="36">
        <f>_xlfn.XLOOKUP(AllDataCorrected[[#This Row],[Site Name]],LocationsKey[Site Name],LocationsKey[Town])</f>
        <v>#VALUE!</v>
      </c>
      <c r="J190" t="str">
        <f>_xlfn.XLOOKUP(AllDataCorrected[[#This Row],[Site Name]],LocationsKey[Site Name], LocationsKey[Waterway])</f>
        <v>Avon</v>
      </c>
      <c r="K190" t="s">
        <v>41</v>
      </c>
      <c r="L190">
        <f>_xlfn.XLOOKUP(AllDataCorrected[[#This Row],[Site Name]],Tables!$B$12:$B$100, Tables!C$12:C$100)</f>
        <v>52.175174684210546</v>
      </c>
      <c r="M190">
        <f>_xlfn.XLOOKUP(AllDataCorrected[[#This Row],[Site Name]],Tables!$B$12:$B$100, Tables!D$12:D$100)</f>
        <v>-1.7918551052631577</v>
      </c>
      <c r="N190" t="s">
        <v>31</v>
      </c>
      <c r="O190">
        <v>808</v>
      </c>
      <c r="P190">
        <v>9.1999999999999993</v>
      </c>
      <c r="Q190">
        <v>8</v>
      </c>
      <c r="R1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90">
        <v>0.48</v>
      </c>
      <c r="T1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0">
        <v>0</v>
      </c>
      <c r="V190" t="s">
        <v>332</v>
      </c>
    </row>
    <row r="191" spans="1:22" x14ac:dyDescent="0.35">
      <c r="A191" t="s">
        <v>333</v>
      </c>
      <c r="B191" s="2">
        <v>45243</v>
      </c>
      <c r="C191" t="str" cm="1">
        <f t="array" ref="C1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1">
        <f>YEAR(AllDataCorrected[[#This Row],[Date]])</f>
        <v>2023</v>
      </c>
      <c r="E191" s="1">
        <v>0.53125</v>
      </c>
      <c r="F1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1" t="str">
        <f>_xlfn.XLOOKUP(AllDataCorrected[[#This Row],[Location Name]], Locations[Location Name],Locations[Group As])</f>
        <v>Clifford Chambers Mill Bridge</v>
      </c>
      <c r="H191" t="e" vm="1">
        <f>_xlfn.XLOOKUP(AllDataCorrected[[#This Row],[Site Name]],LocationsKey[Site Name],LocationsKey[District])</f>
        <v>#VALUE!</v>
      </c>
      <c r="I191" t="e" vm="22">
        <f>_xlfn.XLOOKUP(AllDataCorrected[[#This Row],[Site Name]],LocationsKey[Site Name],LocationsKey[Town])</f>
        <v>#VALUE!</v>
      </c>
      <c r="J191" t="str">
        <f>_xlfn.XLOOKUP(AllDataCorrected[[#This Row],[Site Name]],LocationsKey[Site Name], LocationsKey[Waterway])</f>
        <v>Stour</v>
      </c>
      <c r="K191" t="s">
        <v>334</v>
      </c>
      <c r="L191">
        <f>_xlfn.XLOOKUP(AllDataCorrected[[#This Row],[Site Name]],Tables!$B$12:$B$100, Tables!C$12:C$100)</f>
        <v>52.166363596153808</v>
      </c>
      <c r="M191">
        <f>_xlfn.XLOOKUP(AllDataCorrected[[#This Row],[Site Name]],Tables!$B$12:$B$100, Tables!D$12:D$100)</f>
        <v>-1.7080375384615398</v>
      </c>
      <c r="N191" t="s">
        <v>68</v>
      </c>
      <c r="O191">
        <v>164</v>
      </c>
      <c r="P191">
        <v>14.2</v>
      </c>
      <c r="Q191">
        <v>8</v>
      </c>
      <c r="R191" t="str">
        <f>IF(AllDataCorrected[[#This Row],[Nitrate (PPM)]]&gt;2, "4. Very high (&gt;2ppm)", IF(AllDataCorrected[[#This Row],[Nitrate (PPM)]]&gt;1, "3. High (1-2ppm)", IF(AllDataCorrected[[#This Row],[Nitrate (PPM)]]&gt;0.5, "2. Some evidence (0.5-1ppm)", IF(AllDataCorrected[[#This Row],[Nitrate (PPM)]]&gt;=0, "1. No evidence (&lt;0.5ppm)"))))</f>
        <v>4. Very high (&gt;2ppm)</v>
      </c>
      <c r="S191">
        <v>0.36</v>
      </c>
      <c r="T1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1">
        <v>1.6</v>
      </c>
      <c r="V191" t="s">
        <v>335</v>
      </c>
    </row>
    <row r="192" spans="1:22" x14ac:dyDescent="0.35">
      <c r="A192" t="s">
        <v>336</v>
      </c>
      <c r="B192" s="2">
        <v>45244</v>
      </c>
      <c r="C192" t="str" cm="1">
        <f t="array" ref="C1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2">
        <f>YEAR(AllDataCorrected[[#This Row],[Date]])</f>
        <v>2023</v>
      </c>
      <c r="E192" s="1">
        <v>0.40625</v>
      </c>
      <c r="F1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2" t="str">
        <f>_xlfn.XLOOKUP(AllDataCorrected[[#This Row],[Location Name]], Locations[Location Name],Locations[Group As])</f>
        <v>Stour Stretton-on-Fosse Sewage Works</v>
      </c>
      <c r="H192" t="e" vm="1">
        <f>_xlfn.XLOOKUP(AllDataCorrected[[#This Row],[Site Name]],LocationsKey[Site Name],LocationsKey[District])</f>
        <v>#VALUE!</v>
      </c>
      <c r="I192" t="e" vm="30">
        <f>_xlfn.XLOOKUP(AllDataCorrected[[#This Row],[Site Name]],LocationsKey[Site Name],LocationsKey[Town])</f>
        <v>#VALUE!</v>
      </c>
      <c r="J192" t="str">
        <f>_xlfn.XLOOKUP(AllDataCorrected[[#This Row],[Site Name]],LocationsKey[Site Name], LocationsKey[Waterway])</f>
        <v>Stour</v>
      </c>
      <c r="K192" t="s">
        <v>337</v>
      </c>
      <c r="L192">
        <f>_xlfn.XLOOKUP(AllDataCorrected[[#This Row],[Site Name]],Tables!$B$12:$B$100, Tables!C$12:C$100)</f>
        <v>52.045653647058828</v>
      </c>
      <c r="M192">
        <f>_xlfn.XLOOKUP(AllDataCorrected[[#This Row],[Site Name]],Tables!$B$12:$B$100, Tables!D$12:D$100)</f>
        <v>-1.6719221470588239</v>
      </c>
      <c r="N192" t="s">
        <v>31</v>
      </c>
      <c r="O192">
        <v>453</v>
      </c>
      <c r="P192">
        <v>10.3</v>
      </c>
      <c r="Q192">
        <v>5</v>
      </c>
      <c r="R192" t="str">
        <f>IF(AllDataCorrected[[#This Row],[Nitrate (PPM)]]&gt;2, "4. Very high (&gt;2ppm)", IF(AllDataCorrected[[#This Row],[Nitrate (PPM)]]&gt;1, "3. High (1-2ppm)", IF(AllDataCorrected[[#This Row],[Nitrate (PPM)]]&gt;0.5, "2. Some evidence (0.5-1ppm)", IF(AllDataCorrected[[#This Row],[Nitrate (PPM)]]&gt;=0, "1. No evidence (&lt;0.5ppm)"))))</f>
        <v>4. Very high (&gt;2ppm)</v>
      </c>
      <c r="S192">
        <v>0.64</v>
      </c>
      <c r="T1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2">
        <v>0.3</v>
      </c>
    </row>
    <row r="193" spans="1:22" x14ac:dyDescent="0.35">
      <c r="A193" t="s">
        <v>338</v>
      </c>
      <c r="B193" s="2">
        <v>45244</v>
      </c>
      <c r="C193" t="str" cm="1">
        <f t="array" ref="C1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3">
        <f>YEAR(AllDataCorrected[[#This Row],[Date]])</f>
        <v>2023</v>
      </c>
      <c r="E193" s="1">
        <v>0.42708333333333331</v>
      </c>
      <c r="F1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3" t="str">
        <f>_xlfn.XLOOKUP(AllDataCorrected[[#This Row],[Location Name]], Locations[Location Name],Locations[Group As])</f>
        <v>Stour Stretton-on-Fosse Village</v>
      </c>
      <c r="H193" t="e" vm="1">
        <f>_xlfn.XLOOKUP(AllDataCorrected[[#This Row],[Site Name]],LocationsKey[Site Name],LocationsKey[District])</f>
        <v>#VALUE!</v>
      </c>
      <c r="I193" t="e" vm="30">
        <f>_xlfn.XLOOKUP(AllDataCorrected[[#This Row],[Site Name]],LocationsKey[Site Name],LocationsKey[Town])</f>
        <v>#VALUE!</v>
      </c>
      <c r="J193" t="str">
        <f>_xlfn.XLOOKUP(AllDataCorrected[[#This Row],[Site Name]],LocationsKey[Site Name], LocationsKey[Waterway])</f>
        <v>Stour</v>
      </c>
      <c r="K193" t="s">
        <v>339</v>
      </c>
      <c r="L193">
        <f>_xlfn.XLOOKUP(AllDataCorrected[[#This Row],[Site Name]],Tables!$B$12:$B$100, Tables!C$12:C$100)</f>
        <v>52.046517558823531</v>
      </c>
      <c r="M193">
        <f>_xlfn.XLOOKUP(AllDataCorrected[[#This Row],[Site Name]],Tables!$B$12:$B$100, Tables!D$12:D$100)</f>
        <v>-1.6734143529411762</v>
      </c>
      <c r="N193" t="s">
        <v>68</v>
      </c>
      <c r="O193">
        <v>394</v>
      </c>
      <c r="P193">
        <v>10.5</v>
      </c>
      <c r="Q193">
        <v>5</v>
      </c>
      <c r="R193" t="str">
        <f>IF(AllDataCorrected[[#This Row],[Nitrate (PPM)]]&gt;2, "4. Very high (&gt;2ppm)", IF(AllDataCorrected[[#This Row],[Nitrate (PPM)]]&gt;1, "3. High (1-2ppm)", IF(AllDataCorrected[[#This Row],[Nitrate (PPM)]]&gt;0.5, "2. Some evidence (0.5-1ppm)", IF(AllDataCorrected[[#This Row],[Nitrate (PPM)]]&gt;=0, "1. No evidence (&lt;0.5ppm)"))))</f>
        <v>4. Very high (&gt;2ppm)</v>
      </c>
      <c r="S193">
        <v>0.2</v>
      </c>
      <c r="T1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3">
        <v>0.2</v>
      </c>
    </row>
    <row r="194" spans="1:22" x14ac:dyDescent="0.35">
      <c r="A194" t="s">
        <v>340</v>
      </c>
      <c r="B194" s="2">
        <v>45244</v>
      </c>
      <c r="C194" t="str" cm="1">
        <f t="array" ref="C1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4">
        <f>YEAR(AllDataCorrected[[#This Row],[Date]])</f>
        <v>2023</v>
      </c>
      <c r="E194" s="1">
        <v>0.47916666666666669</v>
      </c>
      <c r="F1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4" t="str">
        <f>_xlfn.XLOOKUP(AllDataCorrected[[#This Row],[Location Name]], Locations[Location Name],Locations[Group As])</f>
        <v>Weston-on-Avon</v>
      </c>
      <c r="H194" t="e" vm="1">
        <f>_xlfn.XLOOKUP(AllDataCorrected[[#This Row],[Site Name]],LocationsKey[Site Name],LocationsKey[District])</f>
        <v>#VALUE!</v>
      </c>
      <c r="I194" t="e" vm="35">
        <f>_xlfn.XLOOKUP(AllDataCorrected[[#This Row],[Site Name]],LocationsKey[Site Name],LocationsKey[Town])</f>
        <v>#VALUE!</v>
      </c>
      <c r="J194" t="str">
        <f>_xlfn.XLOOKUP(AllDataCorrected[[#This Row],[Site Name]],LocationsKey[Site Name], LocationsKey[Waterway])</f>
        <v>Avon</v>
      </c>
      <c r="K194" t="s">
        <v>43</v>
      </c>
      <c r="L194">
        <f>_xlfn.XLOOKUP(AllDataCorrected[[#This Row],[Site Name]],Tables!$B$12:$B$100, Tables!C$12:C$100)</f>
        <v>52.167429999999996</v>
      </c>
      <c r="M194">
        <f>_xlfn.XLOOKUP(AllDataCorrected[[#This Row],[Site Name]],Tables!$B$12:$B$100, Tables!D$12:D$100)</f>
        <v>-1.7744752941176474</v>
      </c>
      <c r="N194" t="s">
        <v>31</v>
      </c>
      <c r="O194">
        <v>640</v>
      </c>
      <c r="P194">
        <v>11.3</v>
      </c>
      <c r="Q194">
        <v>5</v>
      </c>
      <c r="R1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94">
        <v>0.41</v>
      </c>
      <c r="T1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4">
        <v>0</v>
      </c>
    </row>
    <row r="195" spans="1:22" x14ac:dyDescent="0.35">
      <c r="A195" t="s">
        <v>341</v>
      </c>
      <c r="B195" s="2">
        <v>45245</v>
      </c>
      <c r="C195" t="str" cm="1">
        <f t="array" ref="C1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5">
        <f>YEAR(AllDataCorrected[[#This Row],[Date]])</f>
        <v>2023</v>
      </c>
      <c r="E195" s="1">
        <v>0.66666666666666663</v>
      </c>
      <c r="F1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5" t="str">
        <f>_xlfn.XLOOKUP(AllDataCorrected[[#This Row],[Location Name]], Locations[Location Name],Locations[Group As])</f>
        <v>Stour Newbold Mill</v>
      </c>
      <c r="H195" t="e" vm="1">
        <f>_xlfn.XLOOKUP(AllDataCorrected[[#This Row],[Site Name]],LocationsKey[Site Name],LocationsKey[District])</f>
        <v>#VALUE!</v>
      </c>
      <c r="I195" t="e" vm="27">
        <f>_xlfn.XLOOKUP(AllDataCorrected[[#This Row],[Site Name]],LocationsKey[Site Name],LocationsKey[Town])</f>
        <v>#VALUE!</v>
      </c>
      <c r="J195" t="str">
        <f>_xlfn.XLOOKUP(AllDataCorrected[[#This Row],[Site Name]],LocationsKey[Site Name], LocationsKey[Waterway])</f>
        <v>Stour</v>
      </c>
      <c r="K195" t="s">
        <v>141</v>
      </c>
      <c r="L195">
        <f>_xlfn.XLOOKUP(AllDataCorrected[[#This Row],[Site Name]],Tables!$B$12:$B$100, Tables!C$12:C$100)</f>
        <v>52.113052370370369</v>
      </c>
      <c r="M195">
        <f>_xlfn.XLOOKUP(AllDataCorrected[[#This Row],[Site Name]],Tables!$B$12:$B$100, Tables!D$12:D$100)</f>
        <v>-1.6333685185185181</v>
      </c>
      <c r="N195" t="s">
        <v>31</v>
      </c>
      <c r="O195">
        <v>667</v>
      </c>
      <c r="P195">
        <v>12.1</v>
      </c>
      <c r="Q195">
        <v>5</v>
      </c>
      <c r="R1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95">
        <v>0.24</v>
      </c>
      <c r="T1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5">
        <v>2.5</v>
      </c>
      <c r="V195" t="s">
        <v>342</v>
      </c>
    </row>
    <row r="196" spans="1:22" x14ac:dyDescent="0.35">
      <c r="A196" t="s">
        <v>343</v>
      </c>
      <c r="B196" s="2">
        <v>45246</v>
      </c>
      <c r="C196" t="str" cm="1">
        <f t="array" ref="C1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6">
        <f>YEAR(AllDataCorrected[[#This Row],[Date]])</f>
        <v>2023</v>
      </c>
      <c r="E196" s="1">
        <v>0.37708333333333333</v>
      </c>
      <c r="F19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6" t="str">
        <f>_xlfn.XLOOKUP(AllDataCorrected[[#This Row],[Location Name]], Locations[Location Name],Locations[Group As])</f>
        <v>Alveston Weir</v>
      </c>
      <c r="H196" t="e" vm="1">
        <f>_xlfn.XLOOKUP(AllDataCorrected[[#This Row],[Site Name]],LocationsKey[Site Name],LocationsKey[District])</f>
        <v>#VALUE!</v>
      </c>
      <c r="I196" t="e" vm="2">
        <f>_xlfn.XLOOKUP(AllDataCorrected[[#This Row],[Site Name]],LocationsKey[Site Name],LocationsKey[Town])</f>
        <v>#VALUE!</v>
      </c>
      <c r="J196" t="str">
        <f>_xlfn.XLOOKUP(AllDataCorrected[[#This Row],[Site Name]],LocationsKey[Site Name], LocationsKey[Waterway])</f>
        <v>Avon</v>
      </c>
      <c r="K196" t="s">
        <v>288</v>
      </c>
      <c r="L196">
        <f>_xlfn.XLOOKUP(AllDataCorrected[[#This Row],[Site Name]],Tables!$B$12:$B$100, Tables!C$12:C$100)</f>
        <v>52.21226301333337</v>
      </c>
      <c r="M196">
        <f>_xlfn.XLOOKUP(AllDataCorrected[[#This Row],[Site Name]],Tables!$B$12:$B$100, Tables!D$12:D$100)</f>
        <v>-1.6595226800000011</v>
      </c>
      <c r="N196" t="s">
        <v>31</v>
      </c>
      <c r="O196">
        <v>568</v>
      </c>
      <c r="P196">
        <v>16.100000000000001</v>
      </c>
      <c r="Q196">
        <v>5</v>
      </c>
      <c r="R1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96">
        <v>0.51</v>
      </c>
      <c r="T1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6">
        <v>0</v>
      </c>
      <c r="V196" t="s">
        <v>344</v>
      </c>
    </row>
    <row r="197" spans="1:22" x14ac:dyDescent="0.35">
      <c r="A197" t="s">
        <v>345</v>
      </c>
      <c r="B197" s="2">
        <v>45246</v>
      </c>
      <c r="C197" t="str" cm="1">
        <f t="array" ref="C1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7">
        <f>YEAR(AllDataCorrected[[#This Row],[Date]])</f>
        <v>2023</v>
      </c>
      <c r="E197" s="1">
        <v>0.44444444444444442</v>
      </c>
      <c r="F1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97" t="str">
        <f>_xlfn.XLOOKUP(AllDataCorrected[[#This Row],[Location Name]], Locations[Location Name],Locations[Group As])</f>
        <v>Swiffen Bank</v>
      </c>
      <c r="H197" t="e" vm="1">
        <f>_xlfn.XLOOKUP(AllDataCorrected[[#This Row],[Site Name]],LocationsKey[Site Name],LocationsKey[District])</f>
        <v>#VALUE!</v>
      </c>
      <c r="I197" t="e" vm="2">
        <f>_xlfn.XLOOKUP(AllDataCorrected[[#This Row],[Site Name]],LocationsKey[Site Name],LocationsKey[Town])</f>
        <v>#VALUE!</v>
      </c>
      <c r="J197" t="str">
        <f>_xlfn.XLOOKUP(AllDataCorrected[[#This Row],[Site Name]],LocationsKey[Site Name], LocationsKey[Waterway])</f>
        <v>Avon</v>
      </c>
      <c r="K197" t="s">
        <v>286</v>
      </c>
      <c r="L197">
        <f>_xlfn.XLOOKUP(AllDataCorrected[[#This Row],[Site Name]],Tables!$B$12:$B$100, Tables!C$12:C$100)</f>
        <v>52.206649805555557</v>
      </c>
      <c r="M197">
        <f>_xlfn.XLOOKUP(AllDataCorrected[[#This Row],[Site Name]],Tables!$B$12:$B$100, Tables!D$12:D$100)</f>
        <v>-1.6541018611111094</v>
      </c>
      <c r="N197" t="s">
        <v>31</v>
      </c>
      <c r="O197">
        <v>584</v>
      </c>
      <c r="P197">
        <v>12.2</v>
      </c>
      <c r="Q197">
        <v>5</v>
      </c>
      <c r="R1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97">
        <v>0.59</v>
      </c>
      <c r="T1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97">
        <v>1</v>
      </c>
      <c r="V197" t="s">
        <v>346</v>
      </c>
    </row>
    <row r="198" spans="1:22" x14ac:dyDescent="0.35">
      <c r="A198" t="s">
        <v>347</v>
      </c>
      <c r="B198" s="2">
        <v>45246</v>
      </c>
      <c r="C198" t="str" cm="1">
        <f t="array" ref="C1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8">
        <f>YEAR(AllDataCorrected[[#This Row],[Date]])</f>
        <v>2023</v>
      </c>
      <c r="E198" s="1">
        <v>0.50972222222222219</v>
      </c>
      <c r="F1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8" t="str">
        <f>_xlfn.XLOOKUP(AllDataCorrected[[#This Row],[Location Name]], Locations[Location Name],Locations[Group As])</f>
        <v>Preston-on-Stour River Bridge</v>
      </c>
      <c r="H198" t="e" vm="1">
        <f>_xlfn.XLOOKUP(AllDataCorrected[[#This Row],[Site Name]],LocationsKey[Site Name],LocationsKey[District])</f>
        <v>#VALUE!</v>
      </c>
      <c r="I198" t="e" vm="20">
        <f>_xlfn.XLOOKUP(AllDataCorrected[[#This Row],[Site Name]],LocationsKey[Site Name],LocationsKey[Town])</f>
        <v>#VALUE!</v>
      </c>
      <c r="J198" t="str">
        <f>_xlfn.XLOOKUP(AllDataCorrected[[#This Row],[Site Name]],LocationsKey[Site Name], LocationsKey[Waterway])</f>
        <v>Stour</v>
      </c>
      <c r="K198" t="s">
        <v>164</v>
      </c>
      <c r="L198">
        <f>_xlfn.XLOOKUP(AllDataCorrected[[#This Row],[Site Name]],Tables!$B$12:$B$100, Tables!C$12:C$100)</f>
        <v>52.146672352941174</v>
      </c>
      <c r="M198">
        <f>_xlfn.XLOOKUP(AllDataCorrected[[#This Row],[Site Name]],Tables!$B$12:$B$100, Tables!D$12:D$100)</f>
        <v>-1.6984533333333334</v>
      </c>
      <c r="N198" t="s">
        <v>31</v>
      </c>
      <c r="O198">
        <v>609</v>
      </c>
      <c r="P198">
        <v>9.4</v>
      </c>
      <c r="Q198">
        <v>5</v>
      </c>
      <c r="R198" t="str">
        <f>IF(AllDataCorrected[[#This Row],[Nitrate (PPM)]]&gt;2, "4. Very high (&gt;2ppm)", IF(AllDataCorrected[[#This Row],[Nitrate (PPM)]]&gt;1, "3. High (1-2ppm)", IF(AllDataCorrected[[#This Row],[Nitrate (PPM)]]&gt;0.5, "2. Some evidence (0.5-1ppm)", IF(AllDataCorrected[[#This Row],[Nitrate (PPM)]]&gt;=0, "1. No evidence (&lt;0.5ppm)"))))</f>
        <v>4. Very high (&gt;2ppm)</v>
      </c>
      <c r="S198">
        <v>0.2</v>
      </c>
      <c r="T1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8">
        <v>1.5</v>
      </c>
      <c r="V198" t="s">
        <v>348</v>
      </c>
    </row>
    <row r="199" spans="1:22" x14ac:dyDescent="0.35">
      <c r="A199" t="s">
        <v>349</v>
      </c>
      <c r="B199" s="2">
        <v>45248</v>
      </c>
      <c r="C199" t="str" cm="1">
        <f t="array" ref="C1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99">
        <f>YEAR(AllDataCorrected[[#This Row],[Date]])</f>
        <v>2023</v>
      </c>
      <c r="E199" s="1">
        <v>0.52083333333333337</v>
      </c>
      <c r="F1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99" t="str">
        <f>_xlfn.XLOOKUP(AllDataCorrected[[#This Row],[Location Name]], Locations[Location Name],Locations[Group As])</f>
        <v>Carrant Bredon Rd</v>
      </c>
      <c r="H199" t="e" vm="4">
        <f>_xlfn.XLOOKUP(AllDataCorrected[[#This Row],[Site Name]],LocationsKey[Site Name],LocationsKey[District])</f>
        <v>#VALUE!</v>
      </c>
      <c r="I199" t="e" vm="4">
        <f>_xlfn.XLOOKUP(AllDataCorrected[[#This Row],[Site Name]],LocationsKey[Site Name],LocationsKey[Town])</f>
        <v>#VALUE!</v>
      </c>
      <c r="J199" t="str">
        <f>_xlfn.XLOOKUP(AllDataCorrected[[#This Row],[Site Name]],LocationsKey[Site Name], LocationsKey[Waterway])</f>
        <v>Carrant</v>
      </c>
      <c r="K199" t="s">
        <v>91</v>
      </c>
      <c r="L199">
        <f>_xlfn.XLOOKUP(AllDataCorrected[[#This Row],[Site Name]],Tables!$B$12:$B$100, Tables!C$12:C$100)</f>
        <v>51.996322536231894</v>
      </c>
      <c r="M199">
        <f>_xlfn.XLOOKUP(AllDataCorrected[[#This Row],[Site Name]],Tables!$B$12:$B$100, Tables!D$12:D$100)</f>
        <v>-2.1558410144927538</v>
      </c>
      <c r="N199" t="s">
        <v>25</v>
      </c>
      <c r="O199">
        <v>652</v>
      </c>
      <c r="P199">
        <v>12.1</v>
      </c>
      <c r="Q199">
        <v>6</v>
      </c>
      <c r="R1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99">
        <v>0.32</v>
      </c>
      <c r="T1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99">
        <v>1</v>
      </c>
    </row>
    <row r="200" spans="1:22" x14ac:dyDescent="0.35">
      <c r="A200" t="s">
        <v>350</v>
      </c>
      <c r="B200" s="2">
        <v>45248</v>
      </c>
      <c r="C200" t="str" cm="1">
        <f t="array" ref="C2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0">
        <f>YEAR(AllDataCorrected[[#This Row],[Date]])</f>
        <v>2023</v>
      </c>
      <c r="E200" s="1">
        <v>0.67013888888888884</v>
      </c>
      <c r="F2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0" t="str">
        <f>_xlfn.XLOOKUP(AllDataCorrected[[#This Row],[Location Name]], Locations[Location Name],Locations[Group As])</f>
        <v>Abbey Mill</v>
      </c>
      <c r="H200" t="e" vm="4">
        <f>_xlfn.XLOOKUP(AllDataCorrected[[#This Row],[Site Name]],LocationsKey[Site Name],LocationsKey[District])</f>
        <v>#VALUE!</v>
      </c>
      <c r="I200" t="e" vm="4">
        <f>_xlfn.XLOOKUP(AllDataCorrected[[#This Row],[Site Name]],LocationsKey[Site Name],LocationsKey[Town])</f>
        <v>#VALUE!</v>
      </c>
      <c r="J200" t="str">
        <f>_xlfn.XLOOKUP(AllDataCorrected[[#This Row],[Site Name]],LocationsKey[Site Name], LocationsKey[Waterway])</f>
        <v>Avon</v>
      </c>
      <c r="K200" t="s">
        <v>24</v>
      </c>
      <c r="L200">
        <f>_xlfn.XLOOKUP(AllDataCorrected[[#This Row],[Site Name]],Tables!$B$12:$B$100, Tables!C$12:C$100)</f>
        <v>51.991313075757589</v>
      </c>
      <c r="M200">
        <f>_xlfn.XLOOKUP(AllDataCorrected[[#This Row],[Site Name]],Tables!$B$12:$B$100, Tables!D$12:D$100)</f>
        <v>-2.1621998181818181</v>
      </c>
      <c r="N200" t="s">
        <v>25</v>
      </c>
      <c r="O200">
        <v>701</v>
      </c>
      <c r="P200">
        <v>11.6</v>
      </c>
      <c r="Q200">
        <v>8</v>
      </c>
      <c r="R200" t="str">
        <f>IF(AllDataCorrected[[#This Row],[Nitrate (PPM)]]&gt;2, "4. Very high (&gt;2ppm)", IF(AllDataCorrected[[#This Row],[Nitrate (PPM)]]&gt;1, "3. High (1-2ppm)", IF(AllDataCorrected[[#This Row],[Nitrate (PPM)]]&gt;0.5, "2. Some evidence (0.5-1ppm)", IF(AllDataCorrected[[#This Row],[Nitrate (PPM)]]&gt;=0, "1. No evidence (&lt;0.5ppm)"))))</f>
        <v>4. Very high (&gt;2ppm)</v>
      </c>
      <c r="S200">
        <v>0.81</v>
      </c>
      <c r="T2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0">
        <v>2</v>
      </c>
    </row>
    <row r="201" spans="1:22" x14ac:dyDescent="0.35">
      <c r="A201" t="s">
        <v>351</v>
      </c>
      <c r="B201" s="2">
        <v>45248</v>
      </c>
      <c r="C201" t="str" cm="1">
        <f t="array" ref="C2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1">
        <f>YEAR(AllDataCorrected[[#This Row],[Date]])</f>
        <v>2023</v>
      </c>
      <c r="E201" s="1">
        <v>0.70833333333333337</v>
      </c>
      <c r="F2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1" t="str">
        <f>_xlfn.XLOOKUP(AllDataCorrected[[#This Row],[Location Name]], Locations[Location Name],Locations[Group As])</f>
        <v>Swilgate</v>
      </c>
      <c r="H201" t="e" vm="4">
        <f>_xlfn.XLOOKUP(AllDataCorrected[[#This Row],[Site Name]],LocationsKey[Site Name],LocationsKey[District])</f>
        <v>#VALUE!</v>
      </c>
      <c r="I201" t="e" vm="4">
        <f>_xlfn.XLOOKUP(AllDataCorrected[[#This Row],[Site Name]],LocationsKey[Site Name],LocationsKey[Town])</f>
        <v>#VALUE!</v>
      </c>
      <c r="J201" t="str">
        <f>_xlfn.XLOOKUP(AllDataCorrected[[#This Row],[Site Name]],LocationsKey[Site Name], LocationsKey[Waterway])</f>
        <v>Swilgate</v>
      </c>
      <c r="K201" t="s">
        <v>85</v>
      </c>
      <c r="L201">
        <f>_xlfn.XLOOKUP(AllDataCorrected[[#This Row],[Site Name]],Tables!$B$12:$B$100, Tables!C$12:C$100)</f>
        <v>51.988591500000005</v>
      </c>
      <c r="M201">
        <f>_xlfn.XLOOKUP(AllDataCorrected[[#This Row],[Site Name]],Tables!$B$12:$B$100, Tables!D$12:D$100)</f>
        <v>-2.163898333333333</v>
      </c>
      <c r="N201" t="s">
        <v>25</v>
      </c>
      <c r="O201">
        <v>857</v>
      </c>
      <c r="P201">
        <v>14.6</v>
      </c>
      <c r="Q201">
        <v>5</v>
      </c>
      <c r="R201" t="str">
        <f>IF(AllDataCorrected[[#This Row],[Nitrate (PPM)]]&gt;2, "4. Very high (&gt;2ppm)", IF(AllDataCorrected[[#This Row],[Nitrate (PPM)]]&gt;1, "3. High (1-2ppm)", IF(AllDataCorrected[[#This Row],[Nitrate (PPM)]]&gt;0.5, "2. Some evidence (0.5-1ppm)", IF(AllDataCorrected[[#This Row],[Nitrate (PPM)]]&gt;=0, "1. No evidence (&lt;0.5ppm)"))))</f>
        <v>4. Very high (&gt;2ppm)</v>
      </c>
      <c r="S201">
        <v>0.42</v>
      </c>
      <c r="T2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1">
        <v>1</v>
      </c>
    </row>
    <row r="202" spans="1:22" x14ac:dyDescent="0.35">
      <c r="A202" t="s">
        <v>352</v>
      </c>
      <c r="B202" s="2">
        <v>45249</v>
      </c>
      <c r="C202" t="str" cm="1">
        <f t="array" ref="C2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2">
        <f>YEAR(AllDataCorrected[[#This Row],[Date]])</f>
        <v>2023</v>
      </c>
      <c r="E202" s="1">
        <v>0.41666666666666669</v>
      </c>
      <c r="F2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2" t="str">
        <f>_xlfn.XLOOKUP(AllDataCorrected[[#This Row],[Location Name]], Locations[Location Name],Locations[Group As])</f>
        <v>Avonbank Drive</v>
      </c>
      <c r="H202" t="e" vm="1">
        <f>_xlfn.XLOOKUP(AllDataCorrected[[#This Row],[Site Name]],LocationsKey[Site Name],LocationsKey[District])</f>
        <v>#VALUE!</v>
      </c>
      <c r="I202" t="e" vm="12">
        <f>_xlfn.XLOOKUP(AllDataCorrected[[#This Row],[Site Name]],LocationsKey[Site Name],LocationsKey[Town])</f>
        <v>#VALUE!</v>
      </c>
      <c r="J202" t="str">
        <f>_xlfn.XLOOKUP(AllDataCorrected[[#This Row],[Site Name]],LocationsKey[Site Name], LocationsKey[Waterway])</f>
        <v>Avon</v>
      </c>
      <c r="K202" t="s">
        <v>104</v>
      </c>
      <c r="L202">
        <f>_xlfn.XLOOKUP(AllDataCorrected[[#This Row],[Site Name]],Tables!$B$12:$B$100, Tables!C$12:C$100)</f>
        <v>51.566927775862098</v>
      </c>
      <c r="M202">
        <f>_xlfn.XLOOKUP(AllDataCorrected[[#This Row],[Site Name]],Tables!$B$12:$B$100, Tables!D$12:D$100)</f>
        <v>-7.2113336724137929</v>
      </c>
      <c r="N202" t="s">
        <v>68</v>
      </c>
      <c r="O202">
        <v>725</v>
      </c>
      <c r="P202">
        <v>16.5</v>
      </c>
      <c r="Q202">
        <v>5</v>
      </c>
      <c r="R202" t="str">
        <f>IF(AllDataCorrected[[#This Row],[Nitrate (PPM)]]&gt;2, "4. Very high (&gt;2ppm)", IF(AllDataCorrected[[#This Row],[Nitrate (PPM)]]&gt;1, "3. High (1-2ppm)", IF(AllDataCorrected[[#This Row],[Nitrate (PPM)]]&gt;0.5, "2. Some evidence (0.5-1ppm)", IF(AllDataCorrected[[#This Row],[Nitrate (PPM)]]&gt;=0, "1. No evidence (&lt;0.5ppm)"))))</f>
        <v>4. Very high (&gt;2ppm)</v>
      </c>
      <c r="S202">
        <v>0.32</v>
      </c>
      <c r="T20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2">
        <v>0.8</v>
      </c>
    </row>
    <row r="203" spans="1:22" x14ac:dyDescent="0.35">
      <c r="A203" t="s">
        <v>353</v>
      </c>
      <c r="B203" s="2">
        <v>45249</v>
      </c>
      <c r="C203" t="str" cm="1">
        <f t="array" ref="C2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3">
        <f>YEAR(AllDataCorrected[[#This Row],[Date]])</f>
        <v>2023</v>
      </c>
      <c r="E203" s="1">
        <v>0.41666666666666669</v>
      </c>
      <c r="F2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3" t="str">
        <f>_xlfn.XLOOKUP(AllDataCorrected[[#This Row],[Location Name]], Locations[Location Name],Locations[Group As])</f>
        <v>Pitch 16</v>
      </c>
      <c r="H203" t="e" vm="1">
        <f>_xlfn.XLOOKUP(AllDataCorrected[[#This Row],[Site Name]],LocationsKey[Site Name],LocationsKey[District])</f>
        <v>#VALUE!</v>
      </c>
      <c r="I203" t="e" vm="12">
        <f>_xlfn.XLOOKUP(AllDataCorrected[[#This Row],[Site Name]],LocationsKey[Site Name],LocationsKey[Town])</f>
        <v>#VALUE!</v>
      </c>
      <c r="J203" t="str">
        <f>_xlfn.XLOOKUP(AllDataCorrected[[#This Row],[Site Name]],LocationsKey[Site Name], LocationsKey[Waterway])</f>
        <v>Avon</v>
      </c>
      <c r="K203" t="s">
        <v>71</v>
      </c>
      <c r="L203">
        <f>_xlfn.XLOOKUP(AllDataCorrected[[#This Row],[Site Name]],Tables!$B$12:$B$100, Tables!C$12:C$100)</f>
        <v>51.289310076923087</v>
      </c>
      <c r="M203">
        <f>_xlfn.XLOOKUP(AllDataCorrected[[#This Row],[Site Name]],Tables!$B$12:$B$100, Tables!D$12:D$100)</f>
        <v>-0.10399761538461544</v>
      </c>
      <c r="N203" t="s">
        <v>31</v>
      </c>
      <c r="O203">
        <v>681</v>
      </c>
      <c r="P203">
        <v>16.5</v>
      </c>
      <c r="Q203">
        <v>5</v>
      </c>
      <c r="R203" t="str">
        <f>IF(AllDataCorrected[[#This Row],[Nitrate (PPM)]]&gt;2, "4. Very high (&gt;2ppm)", IF(AllDataCorrected[[#This Row],[Nitrate (PPM)]]&gt;1, "3. High (1-2ppm)", IF(AllDataCorrected[[#This Row],[Nitrate (PPM)]]&gt;0.5, "2. Some evidence (0.5-1ppm)", IF(AllDataCorrected[[#This Row],[Nitrate (PPM)]]&gt;=0, "1. No evidence (&lt;0.5ppm)"))))</f>
        <v>4. Very high (&gt;2ppm)</v>
      </c>
      <c r="S203">
        <v>0.42</v>
      </c>
      <c r="T2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3">
        <v>0.8</v>
      </c>
    </row>
    <row r="204" spans="1:22" x14ac:dyDescent="0.35">
      <c r="A204" t="s">
        <v>354</v>
      </c>
      <c r="B204" s="2">
        <v>45249</v>
      </c>
      <c r="C204" t="str" cm="1">
        <f t="array" ref="C2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4">
        <f>YEAR(AllDataCorrected[[#This Row],[Date]])</f>
        <v>2023</v>
      </c>
      <c r="E204" s="1">
        <v>0.5</v>
      </c>
      <c r="F2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4" t="str">
        <f>_xlfn.XLOOKUP(AllDataCorrected[[#This Row],[Location Name]], Locations[Location Name],Locations[Group As])</f>
        <v>Lucy's Mill Bridge</v>
      </c>
      <c r="H204" t="e" vm="1">
        <f>_xlfn.XLOOKUP(AllDataCorrected[[#This Row],[Site Name]],LocationsKey[Site Name],LocationsKey[District])</f>
        <v>#VALUE!</v>
      </c>
      <c r="I204" t="e" vm="12">
        <f>_xlfn.XLOOKUP(AllDataCorrected[[#This Row],[Site Name]],LocationsKey[Site Name],LocationsKey[Town])</f>
        <v>#VALUE!</v>
      </c>
      <c r="J204" t="str">
        <f>_xlfn.XLOOKUP(AllDataCorrected[[#This Row],[Site Name]],LocationsKey[Site Name], LocationsKey[Waterway])</f>
        <v>Avon</v>
      </c>
      <c r="K204" t="s">
        <v>212</v>
      </c>
      <c r="L204">
        <f>_xlfn.XLOOKUP(AllDataCorrected[[#This Row],[Site Name]],Tables!$B$12:$B$100, Tables!C$12:C$100)</f>
        <v>52.183699000000011</v>
      </c>
      <c r="M204">
        <f>_xlfn.XLOOKUP(AllDataCorrected[[#This Row],[Site Name]],Tables!$B$12:$B$100, Tables!D$12:D$100)</f>
        <v>-1.7078160000000004</v>
      </c>
      <c r="N204" t="s">
        <v>31</v>
      </c>
      <c r="P204">
        <v>9</v>
      </c>
      <c r="Q204">
        <v>10</v>
      </c>
      <c r="R204" t="str">
        <f>IF(AllDataCorrected[[#This Row],[Nitrate (PPM)]]&gt;2, "4. Very high (&gt;2ppm)", IF(AllDataCorrected[[#This Row],[Nitrate (PPM)]]&gt;1, "3. High (1-2ppm)", IF(AllDataCorrected[[#This Row],[Nitrate (PPM)]]&gt;0.5, "2. Some evidence (0.5-1ppm)", IF(AllDataCorrected[[#This Row],[Nitrate (PPM)]]&gt;=0, "1. No evidence (&lt;0.5ppm)"))))</f>
        <v>4. Very high (&gt;2ppm)</v>
      </c>
      <c r="S204">
        <v>0.49</v>
      </c>
      <c r="T2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4">
        <v>0.7</v>
      </c>
    </row>
    <row r="205" spans="1:22" x14ac:dyDescent="0.35">
      <c r="A205" t="s">
        <v>355</v>
      </c>
      <c r="B205" s="2">
        <v>45249</v>
      </c>
      <c r="C205" t="str" cm="1">
        <f t="array" ref="C2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5">
        <f>YEAR(AllDataCorrected[[#This Row],[Date]])</f>
        <v>2023</v>
      </c>
      <c r="E205" s="1">
        <v>0.51041666666666663</v>
      </c>
      <c r="F2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5" t="str">
        <f>_xlfn.XLOOKUP(AllDataCorrected[[#This Row],[Location Name]], Locations[Location Name],Locations[Group As])</f>
        <v>Hampton Wood</v>
      </c>
      <c r="H205" t="e" vm="1">
        <f>_xlfn.XLOOKUP(AllDataCorrected[[#This Row],[Site Name]],LocationsKey[Site Name],LocationsKey[District])</f>
        <v>#VALUE!</v>
      </c>
      <c r="I205" t="e" vm="34">
        <f>_xlfn.XLOOKUP(AllDataCorrected[[#This Row],[Site Name]],LocationsKey[Site Name],LocationsKey[Town])</f>
        <v>#VALUE!</v>
      </c>
      <c r="J205" t="str">
        <f>_xlfn.XLOOKUP(AllDataCorrected[[#This Row],[Site Name]],LocationsKey[Site Name], LocationsKey[Waterway])</f>
        <v>Avon</v>
      </c>
      <c r="K205" t="s">
        <v>36</v>
      </c>
      <c r="L205">
        <f>_xlfn.XLOOKUP(AllDataCorrected[[#This Row],[Site Name]],Tables!$B$12:$B$100, Tables!C$12:C$100)</f>
        <v>52.23814999999999</v>
      </c>
      <c r="M205">
        <f>_xlfn.XLOOKUP(AllDataCorrected[[#This Row],[Site Name]],Tables!$B$12:$B$100, Tables!D$12:D$100)</f>
        <v>-1.6245800000000008</v>
      </c>
      <c r="N205" t="s">
        <v>31</v>
      </c>
      <c r="P205">
        <v>12.4</v>
      </c>
      <c r="Q205">
        <v>6</v>
      </c>
      <c r="R205" t="str">
        <f>IF(AllDataCorrected[[#This Row],[Nitrate (PPM)]]&gt;2, "4. Very high (&gt;2ppm)", IF(AllDataCorrected[[#This Row],[Nitrate (PPM)]]&gt;1, "3. High (1-2ppm)", IF(AllDataCorrected[[#This Row],[Nitrate (PPM)]]&gt;0.5, "2. Some evidence (0.5-1ppm)", IF(AllDataCorrected[[#This Row],[Nitrate (PPM)]]&gt;=0, "1. No evidence (&lt;0.5ppm)"))))</f>
        <v>4. Very high (&gt;2ppm)</v>
      </c>
      <c r="S205">
        <v>0.44</v>
      </c>
      <c r="T2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5">
        <v>0</v>
      </c>
    </row>
    <row r="206" spans="1:22" x14ac:dyDescent="0.35">
      <c r="A206" t="s">
        <v>356</v>
      </c>
      <c r="B206" s="2">
        <v>45249</v>
      </c>
      <c r="C206" t="str" cm="1">
        <f t="array" ref="C2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6">
        <f>YEAR(AllDataCorrected[[#This Row],[Date]])</f>
        <v>2023</v>
      </c>
      <c r="E206" s="1">
        <v>0.53125</v>
      </c>
      <c r="F2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6" t="str">
        <f>_xlfn.XLOOKUP(AllDataCorrected[[#This Row],[Location Name]], Locations[Location Name],Locations[Group As])</f>
        <v>Hampton Lucy</v>
      </c>
      <c r="H206" t="e" vm="1">
        <f>_xlfn.XLOOKUP(AllDataCorrected[[#This Row],[Site Name]],LocationsKey[Site Name],LocationsKey[District])</f>
        <v>#VALUE!</v>
      </c>
      <c r="I206" t="e" vm="33">
        <f>_xlfn.XLOOKUP(AllDataCorrected[[#This Row],[Site Name]],LocationsKey[Site Name],LocationsKey[Town])</f>
        <v>#VALUE!</v>
      </c>
      <c r="J206" t="str">
        <f>_xlfn.XLOOKUP(AllDataCorrected[[#This Row],[Site Name]],LocationsKey[Site Name], LocationsKey[Waterway])</f>
        <v>Avon</v>
      </c>
      <c r="K206" t="s">
        <v>39</v>
      </c>
      <c r="L206">
        <f>_xlfn.XLOOKUP(AllDataCorrected[[#This Row],[Site Name]],Tables!$B$12:$B$100, Tables!C$12:C$100)</f>
        <v>52.211679999999973</v>
      </c>
      <c r="M206">
        <f>_xlfn.XLOOKUP(AllDataCorrected[[#This Row],[Site Name]],Tables!$B$12:$B$100, Tables!D$12:D$100)</f>
        <v>-1.6244400000000001</v>
      </c>
      <c r="N206" t="s">
        <v>25</v>
      </c>
      <c r="O206">
        <v>636</v>
      </c>
      <c r="P206">
        <v>12.6</v>
      </c>
      <c r="Q206">
        <v>7</v>
      </c>
      <c r="R206" t="str">
        <f>IF(AllDataCorrected[[#This Row],[Nitrate (PPM)]]&gt;2, "4. Very high (&gt;2ppm)", IF(AllDataCorrected[[#This Row],[Nitrate (PPM)]]&gt;1, "3. High (1-2ppm)", IF(AllDataCorrected[[#This Row],[Nitrate (PPM)]]&gt;0.5, "2. Some evidence (0.5-1ppm)", IF(AllDataCorrected[[#This Row],[Nitrate (PPM)]]&gt;=0, "1. No evidence (&lt;0.5ppm)"))))</f>
        <v>4. Very high (&gt;2ppm)</v>
      </c>
      <c r="S206">
        <v>0.44</v>
      </c>
      <c r="T2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6">
        <v>0</v>
      </c>
    </row>
    <row r="207" spans="1:22" x14ac:dyDescent="0.35">
      <c r="A207" t="s">
        <v>357</v>
      </c>
      <c r="B207" s="2">
        <v>45249</v>
      </c>
      <c r="C207" t="str" cm="1">
        <f t="array" ref="C2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7">
        <f>YEAR(AllDataCorrected[[#This Row],[Date]])</f>
        <v>2023</v>
      </c>
      <c r="E207" s="1">
        <v>0.58333333333333337</v>
      </c>
      <c r="F2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7" t="str">
        <f>_xlfn.XLOOKUP(AllDataCorrected[[#This Row],[Location Name]], Locations[Location Name],Locations[Group As])</f>
        <v>Clifford Chambers Mill Bridge</v>
      </c>
      <c r="H207" t="e" vm="1">
        <f>_xlfn.XLOOKUP(AllDataCorrected[[#This Row],[Site Name]],LocationsKey[Site Name],LocationsKey[District])</f>
        <v>#VALUE!</v>
      </c>
      <c r="I207" t="e" vm="22">
        <f>_xlfn.XLOOKUP(AllDataCorrected[[#This Row],[Site Name]],LocationsKey[Site Name],LocationsKey[Town])</f>
        <v>#VALUE!</v>
      </c>
      <c r="J207" t="str">
        <f>_xlfn.XLOOKUP(AllDataCorrected[[#This Row],[Site Name]],LocationsKey[Site Name], LocationsKey[Waterway])</f>
        <v>Stour</v>
      </c>
      <c r="K207" t="s">
        <v>266</v>
      </c>
      <c r="L207">
        <f>_xlfn.XLOOKUP(AllDataCorrected[[#This Row],[Site Name]],Tables!$B$12:$B$100, Tables!C$12:C$100)</f>
        <v>52.166363596153808</v>
      </c>
      <c r="M207">
        <f>_xlfn.XLOOKUP(AllDataCorrected[[#This Row],[Site Name]],Tables!$B$12:$B$100, Tables!D$12:D$100)</f>
        <v>-1.7080375384615398</v>
      </c>
      <c r="N207" t="s">
        <v>68</v>
      </c>
      <c r="O207">
        <v>493</v>
      </c>
      <c r="P207">
        <v>13.5</v>
      </c>
      <c r="Q207">
        <v>5</v>
      </c>
      <c r="R207" t="str">
        <f>IF(AllDataCorrected[[#This Row],[Nitrate (PPM)]]&gt;2, "4. Very high (&gt;2ppm)", IF(AllDataCorrected[[#This Row],[Nitrate (PPM)]]&gt;1, "3. High (1-2ppm)", IF(AllDataCorrected[[#This Row],[Nitrate (PPM)]]&gt;0.5, "2. Some evidence (0.5-1ppm)", IF(AllDataCorrected[[#This Row],[Nitrate (PPM)]]&gt;=0, "1. No evidence (&lt;0.5ppm)"))))</f>
        <v>4. Very high (&gt;2ppm)</v>
      </c>
      <c r="S207">
        <v>0.28000000000000003</v>
      </c>
      <c r="T2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7">
        <v>1.3</v>
      </c>
    </row>
    <row r="208" spans="1:22" x14ac:dyDescent="0.35">
      <c r="A208" t="s">
        <v>358</v>
      </c>
      <c r="B208" s="2">
        <v>45249</v>
      </c>
      <c r="C208" t="str" cm="1">
        <f t="array" ref="C2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8">
        <f>YEAR(AllDataCorrected[[#This Row],[Date]])</f>
        <v>2023</v>
      </c>
      <c r="E208" s="1">
        <v>0.64583333333333337</v>
      </c>
      <c r="F2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08" t="str">
        <f>_xlfn.XLOOKUP(AllDataCorrected[[#This Row],[Location Name]], Locations[Location Name],Locations[Group As])</f>
        <v>Welford Boat Station</v>
      </c>
      <c r="H208" t="e" vm="1">
        <f>_xlfn.XLOOKUP(AllDataCorrected[[#This Row],[Site Name]],LocationsKey[Site Name],LocationsKey[District])</f>
        <v>#VALUE!</v>
      </c>
      <c r="I208" t="e" vm="36">
        <f>_xlfn.XLOOKUP(AllDataCorrected[[#This Row],[Site Name]],LocationsKey[Site Name],LocationsKey[Town])</f>
        <v>#VALUE!</v>
      </c>
      <c r="J208" t="str">
        <f>_xlfn.XLOOKUP(AllDataCorrected[[#This Row],[Site Name]],LocationsKey[Site Name], LocationsKey[Waterway])</f>
        <v>Avon</v>
      </c>
      <c r="K208" t="s">
        <v>41</v>
      </c>
      <c r="L208">
        <f>_xlfn.XLOOKUP(AllDataCorrected[[#This Row],[Site Name]],Tables!$B$12:$B$100, Tables!C$12:C$100)</f>
        <v>52.175174684210546</v>
      </c>
      <c r="M208">
        <f>_xlfn.XLOOKUP(AllDataCorrected[[#This Row],[Site Name]],Tables!$B$12:$B$100, Tables!D$12:D$100)</f>
        <v>-1.7918551052631577</v>
      </c>
      <c r="N208" t="s">
        <v>31</v>
      </c>
      <c r="O208">
        <v>680</v>
      </c>
      <c r="P208">
        <v>11.8</v>
      </c>
      <c r="Q208">
        <v>12</v>
      </c>
      <c r="R208" t="str">
        <f>IF(AllDataCorrected[[#This Row],[Nitrate (PPM)]]&gt;2, "4. Very high (&gt;2ppm)", IF(AllDataCorrected[[#This Row],[Nitrate (PPM)]]&gt;1, "3. High (1-2ppm)", IF(AllDataCorrected[[#This Row],[Nitrate (PPM)]]&gt;0.5, "2. Some evidence (0.5-1ppm)", IF(AllDataCorrected[[#This Row],[Nitrate (PPM)]]&gt;=0, "1. No evidence (&lt;0.5ppm)"))))</f>
        <v>4. Very high (&gt;2ppm)</v>
      </c>
      <c r="S208">
        <v>0.31</v>
      </c>
      <c r="T2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08">
        <v>0</v>
      </c>
      <c r="V208" t="s">
        <v>359</v>
      </c>
    </row>
    <row r="209" spans="1:22" x14ac:dyDescent="0.35">
      <c r="A209" t="s">
        <v>360</v>
      </c>
      <c r="B209" s="2">
        <v>45250</v>
      </c>
      <c r="C209" t="str" cm="1">
        <f t="array" ref="C2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09">
        <f>YEAR(AllDataCorrected[[#This Row],[Date]])</f>
        <v>2023</v>
      </c>
      <c r="E209" s="1">
        <v>0.39861111111111114</v>
      </c>
      <c r="F2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09" t="str">
        <f>_xlfn.XLOOKUP(AllDataCorrected[[#This Row],[Location Name]], Locations[Location Name],Locations[Group As])</f>
        <v>Stour Stretton-on-Fosse Village</v>
      </c>
      <c r="H209" t="e" vm="1">
        <f>_xlfn.XLOOKUP(AllDataCorrected[[#This Row],[Site Name]],LocationsKey[Site Name],LocationsKey[District])</f>
        <v>#VALUE!</v>
      </c>
      <c r="I209" t="e" vm="30">
        <f>_xlfn.XLOOKUP(AllDataCorrected[[#This Row],[Site Name]],LocationsKey[Site Name],LocationsKey[Town])</f>
        <v>#VALUE!</v>
      </c>
      <c r="J209" t="str">
        <f>_xlfn.XLOOKUP(AllDataCorrected[[#This Row],[Site Name]],LocationsKey[Site Name], LocationsKey[Waterway])</f>
        <v>Stour</v>
      </c>
      <c r="K209" t="s">
        <v>339</v>
      </c>
      <c r="L209">
        <f>_xlfn.XLOOKUP(AllDataCorrected[[#This Row],[Site Name]],Tables!$B$12:$B$100, Tables!C$12:C$100)</f>
        <v>52.046517558823531</v>
      </c>
      <c r="M209">
        <f>_xlfn.XLOOKUP(AllDataCorrected[[#This Row],[Site Name]],Tables!$B$12:$B$100, Tables!D$12:D$100)</f>
        <v>-1.6734143529411762</v>
      </c>
      <c r="N209" t="s">
        <v>68</v>
      </c>
      <c r="O209">
        <v>573</v>
      </c>
      <c r="P209">
        <v>10.199999999999999</v>
      </c>
      <c r="Q209">
        <v>2</v>
      </c>
      <c r="R209" t="str">
        <f>IF(AllDataCorrected[[#This Row],[Nitrate (PPM)]]&gt;2, "4. Very high (&gt;2ppm)", IF(AllDataCorrected[[#This Row],[Nitrate (PPM)]]&gt;1, "3. High (1-2ppm)", IF(AllDataCorrected[[#This Row],[Nitrate (PPM)]]&gt;0.5, "2. Some evidence (0.5-1ppm)", IF(AllDataCorrected[[#This Row],[Nitrate (PPM)]]&gt;=0, "1. No evidence (&lt;0.5ppm)"))))</f>
        <v>3. High (1-2ppm)</v>
      </c>
      <c r="S209">
        <v>0.68</v>
      </c>
      <c r="T2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09">
        <v>0.2</v>
      </c>
    </row>
    <row r="210" spans="1:22" x14ac:dyDescent="0.35">
      <c r="A210" t="s">
        <v>361</v>
      </c>
      <c r="B210" s="2">
        <v>45250</v>
      </c>
      <c r="C210" t="str" cm="1">
        <f t="array" ref="C2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0">
        <f>YEAR(AllDataCorrected[[#This Row],[Date]])</f>
        <v>2023</v>
      </c>
      <c r="E210" s="1">
        <v>0.41388888888888886</v>
      </c>
      <c r="F2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0" t="str">
        <f>_xlfn.XLOOKUP(AllDataCorrected[[#This Row],[Location Name]], Locations[Location Name],Locations[Group As])</f>
        <v>Stour Stretton-on-Fosse Sewage Works</v>
      </c>
      <c r="H210" t="e" vm="1">
        <f>_xlfn.XLOOKUP(AllDataCorrected[[#This Row],[Site Name]],LocationsKey[Site Name],LocationsKey[District])</f>
        <v>#VALUE!</v>
      </c>
      <c r="I210" t="e" vm="30">
        <f>_xlfn.XLOOKUP(AllDataCorrected[[#This Row],[Site Name]],LocationsKey[Site Name],LocationsKey[Town])</f>
        <v>#VALUE!</v>
      </c>
      <c r="J210" t="str">
        <f>_xlfn.XLOOKUP(AllDataCorrected[[#This Row],[Site Name]],LocationsKey[Site Name], LocationsKey[Waterway])</f>
        <v>Stour</v>
      </c>
      <c r="K210" t="s">
        <v>337</v>
      </c>
      <c r="L210">
        <f>_xlfn.XLOOKUP(AllDataCorrected[[#This Row],[Site Name]],Tables!$B$12:$B$100, Tables!C$12:C$100)</f>
        <v>52.045653647058828</v>
      </c>
      <c r="M210">
        <f>_xlfn.XLOOKUP(AllDataCorrected[[#This Row],[Site Name]],Tables!$B$12:$B$100, Tables!D$12:D$100)</f>
        <v>-1.6719221470588239</v>
      </c>
      <c r="N210" t="s">
        <v>31</v>
      </c>
      <c r="O210">
        <v>556</v>
      </c>
      <c r="P210">
        <v>10.5</v>
      </c>
      <c r="Q210">
        <v>3.5</v>
      </c>
      <c r="R210" t="str">
        <f>IF(AllDataCorrected[[#This Row],[Nitrate (PPM)]]&gt;2, "4. Very high (&gt;2ppm)", IF(AllDataCorrected[[#This Row],[Nitrate (PPM)]]&gt;1, "3. High (1-2ppm)", IF(AllDataCorrected[[#This Row],[Nitrate (PPM)]]&gt;0.5, "2. Some evidence (0.5-1ppm)", IF(AllDataCorrected[[#This Row],[Nitrate (PPM)]]&gt;=0, "1. No evidence (&lt;0.5ppm)"))))</f>
        <v>4. Very high (&gt;2ppm)</v>
      </c>
      <c r="S210">
        <v>1.1200000000000001</v>
      </c>
      <c r="T2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10">
        <v>0.3</v>
      </c>
    </row>
    <row r="211" spans="1:22" x14ac:dyDescent="0.35">
      <c r="A211" t="s">
        <v>362</v>
      </c>
      <c r="B211" s="2">
        <v>45250</v>
      </c>
      <c r="C211" t="str" cm="1">
        <f t="array" ref="C2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1">
        <f>YEAR(AllDataCorrected[[#This Row],[Date]])</f>
        <v>2023</v>
      </c>
      <c r="E211" s="1">
        <v>0.63194444444444442</v>
      </c>
      <c r="F2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1" t="str">
        <f>_xlfn.XLOOKUP(AllDataCorrected[[#This Row],[Location Name]], Locations[Location Name],Locations[Group As])</f>
        <v>Weston-on-Avon</v>
      </c>
      <c r="H211" t="e" vm="1">
        <f>_xlfn.XLOOKUP(AllDataCorrected[[#This Row],[Site Name]],LocationsKey[Site Name],LocationsKey[District])</f>
        <v>#VALUE!</v>
      </c>
      <c r="I211" t="e" vm="35">
        <f>_xlfn.XLOOKUP(AllDataCorrected[[#This Row],[Site Name]],LocationsKey[Site Name],LocationsKey[Town])</f>
        <v>#VALUE!</v>
      </c>
      <c r="J211" t="str">
        <f>_xlfn.XLOOKUP(AllDataCorrected[[#This Row],[Site Name]],LocationsKey[Site Name], LocationsKey[Waterway])</f>
        <v>Avon</v>
      </c>
      <c r="K211" t="s">
        <v>43</v>
      </c>
      <c r="L211">
        <f>_xlfn.XLOOKUP(AllDataCorrected[[#This Row],[Site Name]],Tables!$B$12:$B$100, Tables!C$12:C$100)</f>
        <v>52.167429999999996</v>
      </c>
      <c r="M211">
        <f>_xlfn.XLOOKUP(AllDataCorrected[[#This Row],[Site Name]],Tables!$B$12:$B$100, Tables!D$12:D$100)</f>
        <v>-1.7744752941176474</v>
      </c>
      <c r="N211" t="s">
        <v>31</v>
      </c>
      <c r="O211">
        <v>688</v>
      </c>
      <c r="P211">
        <v>11.5</v>
      </c>
      <c r="Q211">
        <v>8</v>
      </c>
      <c r="R211" t="str">
        <f>IF(AllDataCorrected[[#This Row],[Nitrate (PPM)]]&gt;2, "4. Very high (&gt;2ppm)", IF(AllDataCorrected[[#This Row],[Nitrate (PPM)]]&gt;1, "3. High (1-2ppm)", IF(AllDataCorrected[[#This Row],[Nitrate (PPM)]]&gt;0.5, "2. Some evidence (0.5-1ppm)", IF(AllDataCorrected[[#This Row],[Nitrate (PPM)]]&gt;=0, "1. No evidence (&lt;0.5ppm)"))))</f>
        <v>4. Very high (&gt;2ppm)</v>
      </c>
      <c r="S211">
        <v>0.4</v>
      </c>
      <c r="T2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1">
        <v>0</v>
      </c>
    </row>
    <row r="212" spans="1:22" x14ac:dyDescent="0.35">
      <c r="A212" t="s">
        <v>363</v>
      </c>
      <c r="B212" s="2">
        <v>45252</v>
      </c>
      <c r="C212" t="str" cm="1">
        <f t="array" ref="C2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2">
        <f>YEAR(AllDataCorrected[[#This Row],[Date]])</f>
        <v>2023</v>
      </c>
      <c r="E212" s="1">
        <v>0.65833333333333333</v>
      </c>
      <c r="F2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2" t="str">
        <f>_xlfn.XLOOKUP(AllDataCorrected[[#This Row],[Location Name]], Locations[Location Name],Locations[Group As])</f>
        <v>Stour Newbold Mill</v>
      </c>
      <c r="H212" t="e" vm="1">
        <f>_xlfn.XLOOKUP(AllDataCorrected[[#This Row],[Site Name]],LocationsKey[Site Name],LocationsKey[District])</f>
        <v>#VALUE!</v>
      </c>
      <c r="I212" t="e" vm="27">
        <f>_xlfn.XLOOKUP(AllDataCorrected[[#This Row],[Site Name]],LocationsKey[Site Name],LocationsKey[Town])</f>
        <v>#VALUE!</v>
      </c>
      <c r="J212" t="str">
        <f>_xlfn.XLOOKUP(AllDataCorrected[[#This Row],[Site Name]],LocationsKey[Site Name], LocationsKey[Waterway])</f>
        <v>Stour</v>
      </c>
      <c r="K212" t="s">
        <v>364</v>
      </c>
      <c r="L212">
        <f>_xlfn.XLOOKUP(AllDataCorrected[[#This Row],[Site Name]],Tables!$B$12:$B$100, Tables!C$12:C$100)</f>
        <v>52.113052370370369</v>
      </c>
      <c r="M212">
        <f>_xlfn.XLOOKUP(AllDataCorrected[[#This Row],[Site Name]],Tables!$B$12:$B$100, Tables!D$12:D$100)</f>
        <v>-1.6333685185185181</v>
      </c>
      <c r="N212" t="s">
        <v>158</v>
      </c>
      <c r="O212">
        <v>661</v>
      </c>
      <c r="P212">
        <v>10.9</v>
      </c>
      <c r="Q212">
        <v>5</v>
      </c>
      <c r="R212" t="str">
        <f>IF(AllDataCorrected[[#This Row],[Nitrate (PPM)]]&gt;2, "4. Very high (&gt;2ppm)", IF(AllDataCorrected[[#This Row],[Nitrate (PPM)]]&gt;1, "3. High (1-2ppm)", IF(AllDataCorrected[[#This Row],[Nitrate (PPM)]]&gt;0.5, "2. Some evidence (0.5-1ppm)", IF(AllDataCorrected[[#This Row],[Nitrate (PPM)]]&gt;=0, "1. No evidence (&lt;0.5ppm)"))))</f>
        <v>4. Very high (&gt;2ppm)</v>
      </c>
      <c r="S212">
        <v>0.26</v>
      </c>
      <c r="T2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2">
        <v>2.5</v>
      </c>
      <c r="V212" t="s">
        <v>365</v>
      </c>
    </row>
    <row r="213" spans="1:22" x14ac:dyDescent="0.35">
      <c r="A213" t="s">
        <v>366</v>
      </c>
      <c r="B213" s="2">
        <v>45252</v>
      </c>
      <c r="C213" t="str" cm="1">
        <f t="array" ref="C2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3">
        <f>YEAR(AllDataCorrected[[#This Row],[Date]])</f>
        <v>2023</v>
      </c>
      <c r="E213" s="1">
        <v>0.66874999999999996</v>
      </c>
      <c r="F2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3" t="str">
        <f>_xlfn.XLOOKUP(AllDataCorrected[[#This Row],[Location Name]], Locations[Location Name],Locations[Group As])</f>
        <v>Stour Newbold Mill</v>
      </c>
      <c r="H213" t="e" vm="1">
        <f>_xlfn.XLOOKUP(AllDataCorrected[[#This Row],[Site Name]],LocationsKey[Site Name],LocationsKey[District])</f>
        <v>#VALUE!</v>
      </c>
      <c r="I213" t="e" vm="27">
        <f>_xlfn.XLOOKUP(AllDataCorrected[[#This Row],[Site Name]],LocationsKey[Site Name],LocationsKey[Town])</f>
        <v>#VALUE!</v>
      </c>
      <c r="J213" t="str">
        <f>_xlfn.XLOOKUP(AllDataCorrected[[#This Row],[Site Name]],LocationsKey[Site Name], LocationsKey[Waterway])</f>
        <v>Stour</v>
      </c>
      <c r="K213" t="s">
        <v>367</v>
      </c>
      <c r="L213">
        <f>_xlfn.XLOOKUP(AllDataCorrected[[#This Row],[Site Name]],Tables!$B$12:$B$100, Tables!C$12:C$100)</f>
        <v>52.113052370370369</v>
      </c>
      <c r="M213">
        <f>_xlfn.XLOOKUP(AllDataCorrected[[#This Row],[Site Name]],Tables!$B$12:$B$100, Tables!D$12:D$100)</f>
        <v>-1.6333685185185181</v>
      </c>
      <c r="N213" t="s">
        <v>368</v>
      </c>
      <c r="O213">
        <v>670</v>
      </c>
      <c r="P213">
        <v>10.3</v>
      </c>
      <c r="Q213">
        <v>5</v>
      </c>
      <c r="R213" t="str">
        <f>IF(AllDataCorrected[[#This Row],[Nitrate (PPM)]]&gt;2, "4. Very high (&gt;2ppm)", IF(AllDataCorrected[[#This Row],[Nitrate (PPM)]]&gt;1, "3. High (1-2ppm)", IF(AllDataCorrected[[#This Row],[Nitrate (PPM)]]&gt;0.5, "2. Some evidence (0.5-1ppm)", IF(AllDataCorrected[[#This Row],[Nitrate (PPM)]]&gt;=0, "1. No evidence (&lt;0.5ppm)"))))</f>
        <v>4. Very high (&gt;2ppm)</v>
      </c>
      <c r="S213">
        <v>0.27</v>
      </c>
      <c r="T2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3">
        <v>2.5</v>
      </c>
      <c r="V213" t="s">
        <v>369</v>
      </c>
    </row>
    <row r="214" spans="1:22" x14ac:dyDescent="0.35">
      <c r="A214" t="s">
        <v>370</v>
      </c>
      <c r="B214" s="2">
        <v>45253</v>
      </c>
      <c r="C214" t="str" cm="1">
        <f t="array" ref="C2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4">
        <f>YEAR(AllDataCorrected[[#This Row],[Date]])</f>
        <v>2023</v>
      </c>
      <c r="E214" s="1">
        <v>0.41666666666666669</v>
      </c>
      <c r="F2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4" t="str">
        <f>_xlfn.XLOOKUP(AllDataCorrected[[#This Row],[Location Name]], Locations[Location Name],Locations[Group As])</f>
        <v>Swilgate</v>
      </c>
      <c r="H214" t="e" vm="4">
        <f>_xlfn.XLOOKUP(AllDataCorrected[[#This Row],[Site Name]],LocationsKey[Site Name],LocationsKey[District])</f>
        <v>#VALUE!</v>
      </c>
      <c r="I214" t="e" vm="4">
        <f>_xlfn.XLOOKUP(AllDataCorrected[[#This Row],[Site Name]],LocationsKey[Site Name],LocationsKey[Town])</f>
        <v>#VALUE!</v>
      </c>
      <c r="J214" t="str">
        <f>_xlfn.XLOOKUP(AllDataCorrected[[#This Row],[Site Name]],LocationsKey[Site Name], LocationsKey[Waterway])</f>
        <v>Swilgate</v>
      </c>
      <c r="K214" t="s">
        <v>85</v>
      </c>
      <c r="L214">
        <f>_xlfn.XLOOKUP(AllDataCorrected[[#This Row],[Site Name]],Tables!$B$12:$B$100, Tables!C$12:C$100)</f>
        <v>51.988591500000005</v>
      </c>
      <c r="M214">
        <f>_xlfn.XLOOKUP(AllDataCorrected[[#This Row],[Site Name]],Tables!$B$12:$B$100, Tables!D$12:D$100)</f>
        <v>-2.163898333333333</v>
      </c>
      <c r="N214" t="s">
        <v>25</v>
      </c>
      <c r="O214">
        <v>879</v>
      </c>
      <c r="P214">
        <v>12.4</v>
      </c>
      <c r="Q214">
        <v>3</v>
      </c>
      <c r="R214" t="str">
        <f>IF(AllDataCorrected[[#This Row],[Nitrate (PPM)]]&gt;2, "4. Very high (&gt;2ppm)", IF(AllDataCorrected[[#This Row],[Nitrate (PPM)]]&gt;1, "3. High (1-2ppm)", IF(AllDataCorrected[[#This Row],[Nitrate (PPM)]]&gt;0.5, "2. Some evidence (0.5-1ppm)", IF(AllDataCorrected[[#This Row],[Nitrate (PPM)]]&gt;=0, "1. No evidence (&lt;0.5ppm)"))))</f>
        <v>4. Very high (&gt;2ppm)</v>
      </c>
      <c r="S214">
        <v>0.5</v>
      </c>
      <c r="T2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4">
        <v>1</v>
      </c>
    </row>
    <row r="215" spans="1:22" x14ac:dyDescent="0.35">
      <c r="A215" t="s">
        <v>371</v>
      </c>
      <c r="B215" s="2">
        <v>45253</v>
      </c>
      <c r="C215" t="str" cm="1">
        <f t="array" ref="C2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5">
        <f>YEAR(AllDataCorrected[[#This Row],[Date]])</f>
        <v>2023</v>
      </c>
      <c r="E215" s="1">
        <v>0.42708333333333331</v>
      </c>
      <c r="F2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5" t="str">
        <f>_xlfn.XLOOKUP(AllDataCorrected[[#This Row],[Location Name]], Locations[Location Name],Locations[Group As])</f>
        <v>Swiffen Bank</v>
      </c>
      <c r="H215" t="e" vm="1">
        <f>_xlfn.XLOOKUP(AllDataCorrected[[#This Row],[Site Name]],LocationsKey[Site Name],LocationsKey[District])</f>
        <v>#VALUE!</v>
      </c>
      <c r="I215" t="e" vm="2">
        <f>_xlfn.XLOOKUP(AllDataCorrected[[#This Row],[Site Name]],LocationsKey[Site Name],LocationsKey[Town])</f>
        <v>#VALUE!</v>
      </c>
      <c r="J215" t="str">
        <f>_xlfn.XLOOKUP(AllDataCorrected[[#This Row],[Site Name]],LocationsKey[Site Name], LocationsKey[Waterway])</f>
        <v>Avon</v>
      </c>
      <c r="K215" t="s">
        <v>286</v>
      </c>
      <c r="L215">
        <f>_xlfn.XLOOKUP(AllDataCorrected[[#This Row],[Site Name]],Tables!$B$12:$B$100, Tables!C$12:C$100)</f>
        <v>52.206649805555557</v>
      </c>
      <c r="M215">
        <f>_xlfn.XLOOKUP(AllDataCorrected[[#This Row],[Site Name]],Tables!$B$12:$B$100, Tables!D$12:D$100)</f>
        <v>-1.6541018611111094</v>
      </c>
      <c r="N215" t="s">
        <v>31</v>
      </c>
      <c r="O215">
        <v>635</v>
      </c>
      <c r="P215">
        <v>13</v>
      </c>
      <c r="Q215">
        <v>5</v>
      </c>
      <c r="R215" t="str">
        <f>IF(AllDataCorrected[[#This Row],[Nitrate (PPM)]]&gt;2, "4. Very high (&gt;2ppm)", IF(AllDataCorrected[[#This Row],[Nitrate (PPM)]]&gt;1, "3. High (1-2ppm)", IF(AllDataCorrected[[#This Row],[Nitrate (PPM)]]&gt;0.5, "2. Some evidence (0.5-1ppm)", IF(AllDataCorrected[[#This Row],[Nitrate (PPM)]]&gt;=0, "1. No evidence (&lt;0.5ppm)"))))</f>
        <v>4. Very high (&gt;2ppm)</v>
      </c>
      <c r="S215">
        <v>0.49</v>
      </c>
      <c r="T2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5">
        <v>-1</v>
      </c>
    </row>
    <row r="216" spans="1:22" x14ac:dyDescent="0.35">
      <c r="A216" t="s">
        <v>372</v>
      </c>
      <c r="B216" s="2">
        <v>45253</v>
      </c>
      <c r="C216" t="str" cm="1">
        <f t="array" ref="C2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6">
        <f>YEAR(AllDataCorrected[[#This Row],[Date]])</f>
        <v>2023</v>
      </c>
      <c r="E216" s="1">
        <v>0.44583333333333336</v>
      </c>
      <c r="F2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6" t="str">
        <f>_xlfn.XLOOKUP(AllDataCorrected[[#This Row],[Location Name]], Locations[Location Name],Locations[Group As])</f>
        <v>Alveston Weir</v>
      </c>
      <c r="H216" t="e" vm="1">
        <f>_xlfn.XLOOKUP(AllDataCorrected[[#This Row],[Site Name]],LocationsKey[Site Name],LocationsKey[District])</f>
        <v>#VALUE!</v>
      </c>
      <c r="I216" t="e" vm="2">
        <f>_xlfn.XLOOKUP(AllDataCorrected[[#This Row],[Site Name]],LocationsKey[Site Name],LocationsKey[Town])</f>
        <v>#VALUE!</v>
      </c>
      <c r="J216" t="str">
        <f>_xlfn.XLOOKUP(AllDataCorrected[[#This Row],[Site Name]],LocationsKey[Site Name], LocationsKey[Waterway])</f>
        <v>Avon</v>
      </c>
      <c r="K216" t="s">
        <v>288</v>
      </c>
      <c r="L216">
        <f>_xlfn.XLOOKUP(AllDataCorrected[[#This Row],[Site Name]],Tables!$B$12:$B$100, Tables!C$12:C$100)</f>
        <v>52.21226301333337</v>
      </c>
      <c r="M216">
        <f>_xlfn.XLOOKUP(AllDataCorrected[[#This Row],[Site Name]],Tables!$B$12:$B$100, Tables!D$12:D$100)</f>
        <v>-1.6595226800000011</v>
      </c>
      <c r="N216" t="s">
        <v>31</v>
      </c>
      <c r="O216">
        <v>653</v>
      </c>
      <c r="P216">
        <v>15.6</v>
      </c>
      <c r="Q216">
        <v>5</v>
      </c>
      <c r="R216" t="str">
        <f>IF(AllDataCorrected[[#This Row],[Nitrate (PPM)]]&gt;2, "4. Very high (&gt;2ppm)", IF(AllDataCorrected[[#This Row],[Nitrate (PPM)]]&gt;1, "3. High (1-2ppm)", IF(AllDataCorrected[[#This Row],[Nitrate (PPM)]]&gt;0.5, "2. Some evidence (0.5-1ppm)", IF(AllDataCorrected[[#This Row],[Nitrate (PPM)]]&gt;=0, "1. No evidence (&lt;0.5ppm)"))))</f>
        <v>4. Very high (&gt;2ppm)</v>
      </c>
      <c r="S216">
        <v>0.38</v>
      </c>
      <c r="T2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6">
        <v>0</v>
      </c>
      <c r="V216" t="s">
        <v>373</v>
      </c>
    </row>
    <row r="217" spans="1:22" x14ac:dyDescent="0.35">
      <c r="A217" t="s">
        <v>374</v>
      </c>
      <c r="B217" s="2">
        <v>45255</v>
      </c>
      <c r="C217" t="str" cm="1">
        <f t="array" ref="C2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7">
        <f>YEAR(AllDataCorrected[[#This Row],[Date]])</f>
        <v>2023</v>
      </c>
      <c r="E217" s="1">
        <v>7.9861111111111105E-2</v>
      </c>
      <c r="F2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217" t="str">
        <f>_xlfn.XLOOKUP(AllDataCorrected[[#This Row],[Location Name]], Locations[Location Name],Locations[Group As])</f>
        <v>Pitch 16</v>
      </c>
      <c r="H217" t="e" vm="1">
        <f>_xlfn.XLOOKUP(AllDataCorrected[[#This Row],[Site Name]],LocationsKey[Site Name],LocationsKey[District])</f>
        <v>#VALUE!</v>
      </c>
      <c r="I217" t="e" vm="12">
        <f>_xlfn.XLOOKUP(AllDataCorrected[[#This Row],[Site Name]],LocationsKey[Site Name],LocationsKey[Town])</f>
        <v>#VALUE!</v>
      </c>
      <c r="J217" t="str">
        <f>_xlfn.XLOOKUP(AllDataCorrected[[#This Row],[Site Name]],LocationsKey[Site Name], LocationsKey[Waterway])</f>
        <v>Avon</v>
      </c>
      <c r="K217" t="s">
        <v>71</v>
      </c>
      <c r="L217">
        <f>_xlfn.XLOOKUP(AllDataCorrected[[#This Row],[Site Name]],Tables!$B$12:$B$100, Tables!C$12:C$100)</f>
        <v>51.289310076923087</v>
      </c>
      <c r="M217">
        <f>_xlfn.XLOOKUP(AllDataCorrected[[#This Row],[Site Name]],Tables!$B$12:$B$100, Tables!D$12:D$100)</f>
        <v>-0.10399761538461544</v>
      </c>
      <c r="N217" t="s">
        <v>31</v>
      </c>
      <c r="O217">
        <v>894</v>
      </c>
      <c r="P217">
        <v>9.3000000000000007</v>
      </c>
      <c r="Q217">
        <v>10</v>
      </c>
      <c r="R217" t="str">
        <f>IF(AllDataCorrected[[#This Row],[Nitrate (PPM)]]&gt;2, "4. Very high (&gt;2ppm)", IF(AllDataCorrected[[#This Row],[Nitrate (PPM)]]&gt;1, "3. High (1-2ppm)", IF(AllDataCorrected[[#This Row],[Nitrate (PPM)]]&gt;0.5, "2. Some evidence (0.5-1ppm)", IF(AllDataCorrected[[#This Row],[Nitrate (PPM)]]&gt;=0, "1. No evidence (&lt;0.5ppm)"))))</f>
        <v>4. Very high (&gt;2ppm)</v>
      </c>
      <c r="S217">
        <v>0.46</v>
      </c>
      <c r="T2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7">
        <v>1</v>
      </c>
    </row>
    <row r="218" spans="1:22" x14ac:dyDescent="0.35">
      <c r="A218" t="s">
        <v>375</v>
      </c>
      <c r="B218" s="2">
        <v>45255</v>
      </c>
      <c r="C218" t="str" cm="1">
        <f t="array" ref="C2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8">
        <f>YEAR(AllDataCorrected[[#This Row],[Date]])</f>
        <v>2023</v>
      </c>
      <c r="E218" s="1">
        <v>0.48541666666666666</v>
      </c>
      <c r="F2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18" t="str">
        <f>_xlfn.XLOOKUP(AllDataCorrected[[#This Row],[Location Name]], Locations[Location Name],Locations[Group As])</f>
        <v>Abbey Mill</v>
      </c>
      <c r="H218" t="e" vm="4">
        <f>_xlfn.XLOOKUP(AllDataCorrected[[#This Row],[Site Name]],LocationsKey[Site Name],LocationsKey[District])</f>
        <v>#VALUE!</v>
      </c>
      <c r="I218" t="e" vm="4">
        <f>_xlfn.XLOOKUP(AllDataCorrected[[#This Row],[Site Name]],LocationsKey[Site Name],LocationsKey[Town])</f>
        <v>#VALUE!</v>
      </c>
      <c r="J218" t="str">
        <f>_xlfn.XLOOKUP(AllDataCorrected[[#This Row],[Site Name]],LocationsKey[Site Name], LocationsKey[Waterway])</f>
        <v>Avon</v>
      </c>
      <c r="K218" t="s">
        <v>24</v>
      </c>
      <c r="L218">
        <f>_xlfn.XLOOKUP(AllDataCorrected[[#This Row],[Site Name]],Tables!$B$12:$B$100, Tables!C$12:C$100)</f>
        <v>51.991313075757589</v>
      </c>
      <c r="M218">
        <f>_xlfn.XLOOKUP(AllDataCorrected[[#This Row],[Site Name]],Tables!$B$12:$B$100, Tables!D$12:D$100)</f>
        <v>-2.1621998181818181</v>
      </c>
      <c r="N218" t="s">
        <v>25</v>
      </c>
      <c r="O218">
        <v>773</v>
      </c>
      <c r="P218">
        <v>9.6999999999999993</v>
      </c>
      <c r="Q218">
        <v>4</v>
      </c>
      <c r="R218" t="str">
        <f>IF(AllDataCorrected[[#This Row],[Nitrate (PPM)]]&gt;2, "4. Very high (&gt;2ppm)", IF(AllDataCorrected[[#This Row],[Nitrate (PPM)]]&gt;1, "3. High (1-2ppm)", IF(AllDataCorrected[[#This Row],[Nitrate (PPM)]]&gt;0.5, "2. Some evidence (0.5-1ppm)", IF(AllDataCorrected[[#This Row],[Nitrate (PPM)]]&gt;=0, "1. No evidence (&lt;0.5ppm)"))))</f>
        <v>4. Very high (&gt;2ppm)</v>
      </c>
      <c r="S218">
        <v>0.7</v>
      </c>
      <c r="T2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18">
        <v>0</v>
      </c>
    </row>
    <row r="219" spans="1:22" x14ac:dyDescent="0.35">
      <c r="A219" t="s">
        <v>376</v>
      </c>
      <c r="B219" s="2">
        <v>45255</v>
      </c>
      <c r="C219" t="str" cm="1">
        <f t="array" ref="C2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19">
        <f>YEAR(AllDataCorrected[[#This Row],[Date]])</f>
        <v>2023</v>
      </c>
      <c r="E219" s="1">
        <v>0.5</v>
      </c>
      <c r="F2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19" t="str">
        <f>_xlfn.XLOOKUP(AllDataCorrected[[#This Row],[Location Name]], Locations[Location Name],Locations[Group As])</f>
        <v>Carrant Bredon Rd</v>
      </c>
      <c r="H219" t="e" vm="4">
        <f>_xlfn.XLOOKUP(AllDataCorrected[[#This Row],[Site Name]],LocationsKey[Site Name],LocationsKey[District])</f>
        <v>#VALUE!</v>
      </c>
      <c r="I219" t="e" vm="4">
        <f>_xlfn.XLOOKUP(AllDataCorrected[[#This Row],[Site Name]],LocationsKey[Site Name],LocationsKey[Town])</f>
        <v>#VALUE!</v>
      </c>
      <c r="J219" t="str">
        <f>_xlfn.XLOOKUP(AllDataCorrected[[#This Row],[Site Name]],LocationsKey[Site Name], LocationsKey[Waterway])</f>
        <v>Carrant</v>
      </c>
      <c r="K219" t="s">
        <v>91</v>
      </c>
      <c r="L219">
        <f>_xlfn.XLOOKUP(AllDataCorrected[[#This Row],[Site Name]],Tables!$B$12:$B$100, Tables!C$12:C$100)</f>
        <v>51.996322536231894</v>
      </c>
      <c r="M219">
        <f>_xlfn.XLOOKUP(AllDataCorrected[[#This Row],[Site Name]],Tables!$B$12:$B$100, Tables!D$12:D$100)</f>
        <v>-2.1558410144927538</v>
      </c>
      <c r="N219" t="s">
        <v>25</v>
      </c>
      <c r="O219">
        <v>709</v>
      </c>
      <c r="P219">
        <v>8.5</v>
      </c>
      <c r="Q219">
        <v>5</v>
      </c>
      <c r="R219" t="str">
        <f>IF(AllDataCorrected[[#This Row],[Nitrate (PPM)]]&gt;2, "4. Very high (&gt;2ppm)", IF(AllDataCorrected[[#This Row],[Nitrate (PPM)]]&gt;1, "3. High (1-2ppm)", IF(AllDataCorrected[[#This Row],[Nitrate (PPM)]]&gt;0.5, "2. Some evidence (0.5-1ppm)", IF(AllDataCorrected[[#This Row],[Nitrate (PPM)]]&gt;=0, "1. No evidence (&lt;0.5ppm)"))))</f>
        <v>4. Very high (&gt;2ppm)</v>
      </c>
      <c r="S219">
        <v>0.35</v>
      </c>
      <c r="T2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19">
        <v>0</v>
      </c>
    </row>
    <row r="220" spans="1:22" x14ac:dyDescent="0.35">
      <c r="A220" t="s">
        <v>377</v>
      </c>
      <c r="B220" s="2">
        <v>45256</v>
      </c>
      <c r="C220" t="str" cm="1">
        <f t="array" ref="C2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0">
        <f>YEAR(AllDataCorrected[[#This Row],[Date]])</f>
        <v>2023</v>
      </c>
      <c r="E220" s="1">
        <v>4.1666666666666664E-2</v>
      </c>
      <c r="F2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220" t="str">
        <f>_xlfn.XLOOKUP(AllDataCorrected[[#This Row],[Location Name]], Locations[Location Name],Locations[Group As])</f>
        <v>Hampton Lucy</v>
      </c>
      <c r="H220" t="e" vm="1">
        <f>_xlfn.XLOOKUP(AllDataCorrected[[#This Row],[Site Name]],LocationsKey[Site Name],LocationsKey[District])</f>
        <v>#VALUE!</v>
      </c>
      <c r="I220" t="e" vm="33">
        <f>_xlfn.XLOOKUP(AllDataCorrected[[#This Row],[Site Name]],LocationsKey[Site Name],LocationsKey[Town])</f>
        <v>#VALUE!</v>
      </c>
      <c r="J220" t="str">
        <f>_xlfn.XLOOKUP(AllDataCorrected[[#This Row],[Site Name]],LocationsKey[Site Name], LocationsKey[Waterway])</f>
        <v>Avon</v>
      </c>
      <c r="K220" t="s">
        <v>39</v>
      </c>
      <c r="L220">
        <f>_xlfn.XLOOKUP(AllDataCorrected[[#This Row],[Site Name]],Tables!$B$12:$B$100, Tables!C$12:C$100)</f>
        <v>52.211679999999973</v>
      </c>
      <c r="M220">
        <f>_xlfn.XLOOKUP(AllDataCorrected[[#This Row],[Site Name]],Tables!$B$12:$B$100, Tables!D$12:D$100)</f>
        <v>-1.6244400000000001</v>
      </c>
      <c r="N220" t="s">
        <v>25</v>
      </c>
      <c r="O220">
        <v>880</v>
      </c>
      <c r="P220">
        <v>7.7</v>
      </c>
      <c r="Q220">
        <v>5</v>
      </c>
      <c r="R220" t="str">
        <f>IF(AllDataCorrected[[#This Row],[Nitrate (PPM)]]&gt;2, "4. Very high (&gt;2ppm)", IF(AllDataCorrected[[#This Row],[Nitrate (PPM)]]&gt;1, "3. High (1-2ppm)", IF(AllDataCorrected[[#This Row],[Nitrate (PPM)]]&gt;0.5, "2. Some evidence (0.5-1ppm)", IF(AllDataCorrected[[#This Row],[Nitrate (PPM)]]&gt;=0, "1. No evidence (&lt;0.5ppm)"))))</f>
        <v>4. Very high (&gt;2ppm)</v>
      </c>
      <c r="S220">
        <v>0.54</v>
      </c>
      <c r="T2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0">
        <v>0</v>
      </c>
    </row>
    <row r="221" spans="1:22" x14ac:dyDescent="0.35">
      <c r="A221" t="s">
        <v>378</v>
      </c>
      <c r="B221" s="2">
        <v>45256</v>
      </c>
      <c r="C221" t="str" cm="1">
        <f t="array" ref="C2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1">
        <f>YEAR(AllDataCorrected[[#This Row],[Date]])</f>
        <v>2023</v>
      </c>
      <c r="E221" s="1">
        <v>0.5</v>
      </c>
      <c r="F2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1" t="str">
        <f>_xlfn.XLOOKUP(AllDataCorrected[[#This Row],[Location Name]], Locations[Location Name],Locations[Group As])</f>
        <v>Hampton Wood</v>
      </c>
      <c r="H221" t="e" vm="1">
        <f>_xlfn.XLOOKUP(AllDataCorrected[[#This Row],[Site Name]],LocationsKey[Site Name],LocationsKey[District])</f>
        <v>#VALUE!</v>
      </c>
      <c r="I221" t="e" vm="34">
        <f>_xlfn.XLOOKUP(AllDataCorrected[[#This Row],[Site Name]],LocationsKey[Site Name],LocationsKey[Town])</f>
        <v>#VALUE!</v>
      </c>
      <c r="J221" t="str">
        <f>_xlfn.XLOOKUP(AllDataCorrected[[#This Row],[Site Name]],LocationsKey[Site Name], LocationsKey[Waterway])</f>
        <v>Avon</v>
      </c>
      <c r="K221" t="s">
        <v>36</v>
      </c>
      <c r="L221">
        <f>_xlfn.XLOOKUP(AllDataCorrected[[#This Row],[Site Name]],Tables!$B$12:$B$100, Tables!C$12:C$100)</f>
        <v>52.23814999999999</v>
      </c>
      <c r="M221">
        <f>_xlfn.XLOOKUP(AllDataCorrected[[#This Row],[Site Name]],Tables!$B$12:$B$100, Tables!D$12:D$100)</f>
        <v>-1.6245800000000008</v>
      </c>
      <c r="N221" t="s">
        <v>31</v>
      </c>
      <c r="O221">
        <v>870</v>
      </c>
      <c r="P221">
        <v>7.6</v>
      </c>
      <c r="Q221">
        <v>8</v>
      </c>
      <c r="R221" t="str">
        <f>IF(AllDataCorrected[[#This Row],[Nitrate (PPM)]]&gt;2, "4. Very high (&gt;2ppm)", IF(AllDataCorrected[[#This Row],[Nitrate (PPM)]]&gt;1, "3. High (1-2ppm)", IF(AllDataCorrected[[#This Row],[Nitrate (PPM)]]&gt;0.5, "2. Some evidence (0.5-1ppm)", IF(AllDataCorrected[[#This Row],[Nitrate (PPM)]]&gt;=0, "1. No evidence (&lt;0.5ppm)"))))</f>
        <v>4. Very high (&gt;2ppm)</v>
      </c>
      <c r="S221">
        <v>0.81</v>
      </c>
      <c r="T2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1">
        <v>0</v>
      </c>
    </row>
    <row r="222" spans="1:22" x14ac:dyDescent="0.35">
      <c r="A222" t="s">
        <v>379</v>
      </c>
      <c r="B222" s="2">
        <v>45256</v>
      </c>
      <c r="C222" t="str" cm="1">
        <f t="array" ref="C2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2">
        <f>YEAR(AllDataCorrected[[#This Row],[Date]])</f>
        <v>2023</v>
      </c>
      <c r="E222" s="1">
        <v>0.52083333333333337</v>
      </c>
      <c r="F2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2" t="str">
        <f>_xlfn.XLOOKUP(AllDataCorrected[[#This Row],[Location Name]], Locations[Location Name],Locations[Group As])</f>
        <v>Lucy's Mill Bridge</v>
      </c>
      <c r="H222" t="e" vm="1">
        <f>_xlfn.XLOOKUP(AllDataCorrected[[#This Row],[Site Name]],LocationsKey[Site Name],LocationsKey[District])</f>
        <v>#VALUE!</v>
      </c>
      <c r="I222" t="e" vm="12">
        <f>_xlfn.XLOOKUP(AllDataCorrected[[#This Row],[Site Name]],LocationsKey[Site Name],LocationsKey[Town])</f>
        <v>#VALUE!</v>
      </c>
      <c r="J222" t="str">
        <f>_xlfn.XLOOKUP(AllDataCorrected[[#This Row],[Site Name]],LocationsKey[Site Name], LocationsKey[Waterway])</f>
        <v>Avon</v>
      </c>
      <c r="K222" t="s">
        <v>212</v>
      </c>
      <c r="L222">
        <f>_xlfn.XLOOKUP(AllDataCorrected[[#This Row],[Site Name]],Tables!$B$12:$B$100, Tables!C$12:C$100)</f>
        <v>52.183699000000011</v>
      </c>
      <c r="M222">
        <f>_xlfn.XLOOKUP(AllDataCorrected[[#This Row],[Site Name]],Tables!$B$12:$B$100, Tables!D$12:D$100)</f>
        <v>-1.7078160000000004</v>
      </c>
      <c r="N222" t="s">
        <v>31</v>
      </c>
      <c r="P222">
        <v>9</v>
      </c>
      <c r="Q222">
        <v>10</v>
      </c>
      <c r="R222" t="str">
        <f>IF(AllDataCorrected[[#This Row],[Nitrate (PPM)]]&gt;2, "4. Very high (&gt;2ppm)", IF(AllDataCorrected[[#This Row],[Nitrate (PPM)]]&gt;1, "3. High (1-2ppm)", IF(AllDataCorrected[[#This Row],[Nitrate (PPM)]]&gt;0.5, "2. Some evidence (0.5-1ppm)", IF(AllDataCorrected[[#This Row],[Nitrate (PPM)]]&gt;=0, "1. No evidence (&lt;0.5ppm)"))))</f>
        <v>4. Very high (&gt;2ppm)</v>
      </c>
      <c r="S222">
        <v>0.37</v>
      </c>
      <c r="T2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2">
        <v>0.7</v>
      </c>
    </row>
    <row r="223" spans="1:22" x14ac:dyDescent="0.35">
      <c r="A223" t="s">
        <v>380</v>
      </c>
      <c r="B223" s="2">
        <v>45256</v>
      </c>
      <c r="C223" t="str" cm="1">
        <f t="array" ref="C2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3">
        <f>YEAR(AllDataCorrected[[#This Row],[Date]])</f>
        <v>2023</v>
      </c>
      <c r="E223" s="1">
        <v>0.54166666666666663</v>
      </c>
      <c r="F2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3" t="str">
        <f>_xlfn.XLOOKUP(AllDataCorrected[[#This Row],[Location Name]], Locations[Location Name],Locations[Group As])</f>
        <v>Clifford Chambers Mill Bridge</v>
      </c>
      <c r="H223" t="e" vm="1">
        <f>_xlfn.XLOOKUP(AllDataCorrected[[#This Row],[Site Name]],LocationsKey[Site Name],LocationsKey[District])</f>
        <v>#VALUE!</v>
      </c>
      <c r="I223" t="e" vm="22">
        <f>_xlfn.XLOOKUP(AllDataCorrected[[#This Row],[Site Name]],LocationsKey[Site Name],LocationsKey[Town])</f>
        <v>#VALUE!</v>
      </c>
      <c r="J223" t="str">
        <f>_xlfn.XLOOKUP(AllDataCorrected[[#This Row],[Site Name]],LocationsKey[Site Name], LocationsKey[Waterway])</f>
        <v>Stour</v>
      </c>
      <c r="K223" t="s">
        <v>266</v>
      </c>
      <c r="L223">
        <f>_xlfn.XLOOKUP(AllDataCorrected[[#This Row],[Site Name]],Tables!$B$12:$B$100, Tables!C$12:C$100)</f>
        <v>52.166363596153808</v>
      </c>
      <c r="M223">
        <f>_xlfn.XLOOKUP(AllDataCorrected[[#This Row],[Site Name]],Tables!$B$12:$B$100, Tables!D$12:D$100)</f>
        <v>-1.7080375384615398</v>
      </c>
      <c r="N223" t="s">
        <v>68</v>
      </c>
      <c r="O223">
        <v>704</v>
      </c>
      <c r="P223">
        <v>6.2</v>
      </c>
      <c r="Q223">
        <v>7</v>
      </c>
      <c r="R223" t="str">
        <f>IF(AllDataCorrected[[#This Row],[Nitrate (PPM)]]&gt;2, "4. Very high (&gt;2ppm)", IF(AllDataCorrected[[#This Row],[Nitrate (PPM)]]&gt;1, "3. High (1-2ppm)", IF(AllDataCorrected[[#This Row],[Nitrate (PPM)]]&gt;0.5, "2. Some evidence (0.5-1ppm)", IF(AllDataCorrected[[#This Row],[Nitrate (PPM)]]&gt;=0, "1. No evidence (&lt;0.5ppm)"))))</f>
        <v>4. Very high (&gt;2ppm)</v>
      </c>
      <c r="S223">
        <v>0.27</v>
      </c>
      <c r="T2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3">
        <v>0.7</v>
      </c>
    </row>
    <row r="224" spans="1:22" x14ac:dyDescent="0.35">
      <c r="A224" t="s">
        <v>381</v>
      </c>
      <c r="B224" s="2">
        <v>45256</v>
      </c>
      <c r="C224" t="str" cm="1">
        <f t="array" ref="C2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4">
        <f>YEAR(AllDataCorrected[[#This Row],[Date]])</f>
        <v>2023</v>
      </c>
      <c r="E224" s="1">
        <v>0.63541666666666663</v>
      </c>
      <c r="F2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4" t="str">
        <f>_xlfn.XLOOKUP(AllDataCorrected[[#This Row],[Location Name]], Locations[Location Name],Locations[Group As])</f>
        <v>Barton</v>
      </c>
      <c r="H224" t="e" vm="1">
        <f>_xlfn.XLOOKUP(AllDataCorrected[[#This Row],[Site Name]],LocationsKey[Site Name],LocationsKey[District])</f>
        <v>#VALUE!</v>
      </c>
      <c r="I224" t="str">
        <f>_xlfn.XLOOKUP(AllDataCorrected[[#This Row],[Site Name]],LocationsKey[Site Name],LocationsKey[Town])</f>
        <v>Barton</v>
      </c>
      <c r="J224" t="str">
        <f>_xlfn.XLOOKUP(AllDataCorrected[[#This Row],[Site Name]],LocationsKey[Site Name], LocationsKey[Waterway])</f>
        <v>Avon</v>
      </c>
      <c r="K224" t="s">
        <v>51</v>
      </c>
      <c r="L224">
        <f>_xlfn.XLOOKUP(AllDataCorrected[[#This Row],[Site Name]],Tables!$B$12:$B$100, Tables!C$12:C$100)</f>
        <v>52.16120999999999</v>
      </c>
      <c r="M224">
        <f>_xlfn.XLOOKUP(AllDataCorrected[[#This Row],[Site Name]],Tables!$B$12:$B$100, Tables!D$12:D$100)</f>
        <v>-1.8301499999999999</v>
      </c>
      <c r="N224" t="s">
        <v>31</v>
      </c>
      <c r="O224">
        <v>868</v>
      </c>
      <c r="P224">
        <v>7.1</v>
      </c>
      <c r="Q224">
        <v>7</v>
      </c>
      <c r="R224" t="str">
        <f>IF(AllDataCorrected[[#This Row],[Nitrate (PPM)]]&gt;2, "4. Very high (&gt;2ppm)", IF(AllDataCorrected[[#This Row],[Nitrate (PPM)]]&gt;1, "3. High (1-2ppm)", IF(AllDataCorrected[[#This Row],[Nitrate (PPM)]]&gt;0.5, "2. Some evidence (0.5-1ppm)", IF(AllDataCorrected[[#This Row],[Nitrate (PPM)]]&gt;=0, "1. No evidence (&lt;0.5ppm)"))))</f>
        <v>4. Very high (&gt;2ppm)</v>
      </c>
      <c r="S224">
        <v>0.67</v>
      </c>
      <c r="T2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4">
        <v>0</v>
      </c>
    </row>
    <row r="225" spans="1:22" x14ac:dyDescent="0.35">
      <c r="A225" t="s">
        <v>382</v>
      </c>
      <c r="B225" s="2">
        <v>45256</v>
      </c>
      <c r="C225" t="str" cm="1">
        <f t="array" ref="C2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5">
        <f>YEAR(AllDataCorrected[[#This Row],[Date]])</f>
        <v>2023</v>
      </c>
      <c r="E225" s="1">
        <v>0.6875</v>
      </c>
      <c r="F2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5" t="str">
        <f>_xlfn.XLOOKUP(AllDataCorrected[[#This Row],[Location Name]], Locations[Location Name],Locations[Group As])</f>
        <v>Welford Boat Station</v>
      </c>
      <c r="H225" t="e" vm="1">
        <f>_xlfn.XLOOKUP(AllDataCorrected[[#This Row],[Site Name]],LocationsKey[Site Name],LocationsKey[District])</f>
        <v>#VALUE!</v>
      </c>
      <c r="I225" t="e" vm="36">
        <f>_xlfn.XLOOKUP(AllDataCorrected[[#This Row],[Site Name]],LocationsKey[Site Name],LocationsKey[Town])</f>
        <v>#VALUE!</v>
      </c>
      <c r="J225" t="str">
        <f>_xlfn.XLOOKUP(AllDataCorrected[[#This Row],[Site Name]],LocationsKey[Site Name], LocationsKey[Waterway])</f>
        <v>Avon</v>
      </c>
      <c r="K225" t="s">
        <v>41</v>
      </c>
      <c r="L225">
        <f>_xlfn.XLOOKUP(AllDataCorrected[[#This Row],[Site Name]],Tables!$B$12:$B$100, Tables!C$12:C$100)</f>
        <v>52.175174684210546</v>
      </c>
      <c r="M225">
        <f>_xlfn.XLOOKUP(AllDataCorrected[[#This Row],[Site Name]],Tables!$B$12:$B$100, Tables!D$12:D$100)</f>
        <v>-1.7918551052631577</v>
      </c>
      <c r="N225" t="s">
        <v>31</v>
      </c>
      <c r="O225">
        <v>876</v>
      </c>
      <c r="P225">
        <v>8.3000000000000007</v>
      </c>
      <c r="Q225">
        <v>20</v>
      </c>
      <c r="R225" t="str">
        <f>IF(AllDataCorrected[[#This Row],[Nitrate (PPM)]]&gt;2, "4. Very high (&gt;2ppm)", IF(AllDataCorrected[[#This Row],[Nitrate (PPM)]]&gt;1, "3. High (1-2ppm)", IF(AllDataCorrected[[#This Row],[Nitrate (PPM)]]&gt;0.5, "2. Some evidence (0.5-1ppm)", IF(AllDataCorrected[[#This Row],[Nitrate (PPM)]]&gt;=0, "1. No evidence (&lt;0.5ppm)"))))</f>
        <v>4. Very high (&gt;2ppm)</v>
      </c>
      <c r="S225">
        <v>0.5</v>
      </c>
      <c r="T2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5">
        <v>0</v>
      </c>
      <c r="V225" t="s">
        <v>383</v>
      </c>
    </row>
    <row r="226" spans="1:22" x14ac:dyDescent="0.35">
      <c r="A226" t="s">
        <v>384</v>
      </c>
      <c r="B226" s="2">
        <v>45257</v>
      </c>
      <c r="C226" t="str" cm="1">
        <f t="array" ref="C2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6">
        <f>YEAR(AllDataCorrected[[#This Row],[Date]])</f>
        <v>2023</v>
      </c>
      <c r="E226" s="1">
        <v>0.40833333333333333</v>
      </c>
      <c r="F2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26" t="str">
        <f>_xlfn.XLOOKUP(AllDataCorrected[[#This Row],[Location Name]], Locations[Location Name],Locations[Group As])</f>
        <v>Stour Stretton-on-Fosse Village</v>
      </c>
      <c r="H226" t="e" vm="1">
        <f>_xlfn.XLOOKUP(AllDataCorrected[[#This Row],[Site Name]],LocationsKey[Site Name],LocationsKey[District])</f>
        <v>#VALUE!</v>
      </c>
      <c r="I226" t="e" vm="30">
        <f>_xlfn.XLOOKUP(AllDataCorrected[[#This Row],[Site Name]],LocationsKey[Site Name],LocationsKey[Town])</f>
        <v>#VALUE!</v>
      </c>
      <c r="J226" t="str">
        <f>_xlfn.XLOOKUP(AllDataCorrected[[#This Row],[Site Name]],LocationsKey[Site Name], LocationsKey[Waterway])</f>
        <v>Stour</v>
      </c>
      <c r="K226" t="s">
        <v>385</v>
      </c>
      <c r="L226">
        <f>_xlfn.XLOOKUP(AllDataCorrected[[#This Row],[Site Name]],Tables!$B$12:$B$100, Tables!C$12:C$100)</f>
        <v>52.046517558823531</v>
      </c>
      <c r="M226">
        <f>_xlfn.XLOOKUP(AllDataCorrected[[#This Row],[Site Name]],Tables!$B$12:$B$100, Tables!D$12:D$100)</f>
        <v>-1.6734143529411762</v>
      </c>
      <c r="N226" t="s">
        <v>68</v>
      </c>
      <c r="O226">
        <v>668</v>
      </c>
      <c r="P226">
        <v>9.3000000000000007</v>
      </c>
      <c r="Q226">
        <v>2</v>
      </c>
      <c r="R226" t="str">
        <f>IF(AllDataCorrected[[#This Row],[Nitrate (PPM)]]&gt;2, "4. Very high (&gt;2ppm)", IF(AllDataCorrected[[#This Row],[Nitrate (PPM)]]&gt;1, "3. High (1-2ppm)", IF(AllDataCorrected[[#This Row],[Nitrate (PPM)]]&gt;0.5, "2. Some evidence (0.5-1ppm)", IF(AllDataCorrected[[#This Row],[Nitrate (PPM)]]&gt;=0, "1. No evidence (&lt;0.5ppm)"))))</f>
        <v>3. High (1-2ppm)</v>
      </c>
      <c r="S226">
        <v>0.93</v>
      </c>
      <c r="T2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6">
        <v>0.2</v>
      </c>
    </row>
    <row r="227" spans="1:22" x14ac:dyDescent="0.35">
      <c r="A227" t="s">
        <v>386</v>
      </c>
      <c r="B227" s="2">
        <v>45257</v>
      </c>
      <c r="C227" t="str" cm="1">
        <f t="array" ref="C2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7">
        <f>YEAR(AllDataCorrected[[#This Row],[Date]])</f>
        <v>2023</v>
      </c>
      <c r="E227" s="1">
        <v>0.4201388888888889</v>
      </c>
      <c r="F2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27" t="str">
        <f>_xlfn.XLOOKUP(AllDataCorrected[[#This Row],[Location Name]], Locations[Location Name],Locations[Group As])</f>
        <v>Stour Stretton-on-Fosse Sewage Works</v>
      </c>
      <c r="H227" t="e" vm="1">
        <f>_xlfn.XLOOKUP(AllDataCorrected[[#This Row],[Site Name]],LocationsKey[Site Name],LocationsKey[District])</f>
        <v>#VALUE!</v>
      </c>
      <c r="I227" t="e" vm="30">
        <f>_xlfn.XLOOKUP(AllDataCorrected[[#This Row],[Site Name]],LocationsKey[Site Name],LocationsKey[Town])</f>
        <v>#VALUE!</v>
      </c>
      <c r="J227" t="str">
        <f>_xlfn.XLOOKUP(AllDataCorrected[[#This Row],[Site Name]],LocationsKey[Site Name], LocationsKey[Waterway])</f>
        <v>Stour</v>
      </c>
      <c r="K227" t="s">
        <v>337</v>
      </c>
      <c r="L227">
        <f>_xlfn.XLOOKUP(AllDataCorrected[[#This Row],[Site Name]],Tables!$B$12:$B$100, Tables!C$12:C$100)</f>
        <v>52.045653647058828</v>
      </c>
      <c r="M227">
        <f>_xlfn.XLOOKUP(AllDataCorrected[[#This Row],[Site Name]],Tables!$B$12:$B$100, Tables!D$12:D$100)</f>
        <v>-1.6719221470588239</v>
      </c>
      <c r="N227" t="s">
        <v>31</v>
      </c>
      <c r="O227">
        <v>703</v>
      </c>
      <c r="P227">
        <v>8.6</v>
      </c>
      <c r="Q227">
        <v>4</v>
      </c>
      <c r="R227" t="str">
        <f>IF(AllDataCorrected[[#This Row],[Nitrate (PPM)]]&gt;2, "4. Very high (&gt;2ppm)", IF(AllDataCorrected[[#This Row],[Nitrate (PPM)]]&gt;1, "3. High (1-2ppm)", IF(AllDataCorrected[[#This Row],[Nitrate (PPM)]]&gt;0.5, "2. Some evidence (0.5-1ppm)", IF(AllDataCorrected[[#This Row],[Nitrate (PPM)]]&gt;=0, "1. No evidence (&lt;0.5ppm)"))))</f>
        <v>4. Very high (&gt;2ppm)</v>
      </c>
      <c r="S227">
        <v>2.5</v>
      </c>
      <c r="T2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7">
        <v>0.3</v>
      </c>
    </row>
    <row r="228" spans="1:22" x14ac:dyDescent="0.35">
      <c r="A228" t="s">
        <v>387</v>
      </c>
      <c r="B228" s="2">
        <v>45257</v>
      </c>
      <c r="C228" t="str" cm="1">
        <f t="array" ref="C2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8">
        <f>YEAR(AllDataCorrected[[#This Row],[Date]])</f>
        <v>2023</v>
      </c>
      <c r="E228" s="1">
        <v>0.61319444444444449</v>
      </c>
      <c r="F2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8" t="str">
        <f>_xlfn.XLOOKUP(AllDataCorrected[[#This Row],[Location Name]], Locations[Location Name],Locations[Group As])</f>
        <v>Preston-on-Stour River Bridge</v>
      </c>
      <c r="H228" t="e" vm="1">
        <f>_xlfn.XLOOKUP(AllDataCorrected[[#This Row],[Site Name]],LocationsKey[Site Name],LocationsKey[District])</f>
        <v>#VALUE!</v>
      </c>
      <c r="I228" t="e" vm="20">
        <f>_xlfn.XLOOKUP(AllDataCorrected[[#This Row],[Site Name]],LocationsKey[Site Name],LocationsKey[Town])</f>
        <v>#VALUE!</v>
      </c>
      <c r="J228" t="str">
        <f>_xlfn.XLOOKUP(AllDataCorrected[[#This Row],[Site Name]],LocationsKey[Site Name], LocationsKey[Waterway])</f>
        <v>Stour</v>
      </c>
      <c r="K228" t="s">
        <v>164</v>
      </c>
      <c r="L228">
        <f>_xlfn.XLOOKUP(AllDataCorrected[[#This Row],[Site Name]],Tables!$B$12:$B$100, Tables!C$12:C$100)</f>
        <v>52.146672352941174</v>
      </c>
      <c r="M228">
        <f>_xlfn.XLOOKUP(AllDataCorrected[[#This Row],[Site Name]],Tables!$B$12:$B$100, Tables!D$12:D$100)</f>
        <v>-1.6984533333333334</v>
      </c>
      <c r="N228" t="s">
        <v>31</v>
      </c>
      <c r="O228">
        <v>659</v>
      </c>
      <c r="P228">
        <v>11.1</v>
      </c>
      <c r="Q228">
        <v>5</v>
      </c>
      <c r="R228" t="str">
        <f>IF(AllDataCorrected[[#This Row],[Nitrate (PPM)]]&gt;2, "4. Very high (&gt;2ppm)", IF(AllDataCorrected[[#This Row],[Nitrate (PPM)]]&gt;1, "3. High (1-2ppm)", IF(AllDataCorrected[[#This Row],[Nitrate (PPM)]]&gt;0.5, "2. Some evidence (0.5-1ppm)", IF(AllDataCorrected[[#This Row],[Nitrate (PPM)]]&gt;=0, "1. No evidence (&lt;0.5ppm)"))))</f>
        <v>4. Very high (&gt;2ppm)</v>
      </c>
      <c r="S228">
        <v>0.28999999999999998</v>
      </c>
      <c r="T2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28">
        <v>1.5</v>
      </c>
    </row>
    <row r="229" spans="1:22" x14ac:dyDescent="0.35">
      <c r="A229" t="s">
        <v>388</v>
      </c>
      <c r="B229" s="2">
        <v>45258</v>
      </c>
      <c r="C229" t="str" cm="1">
        <f t="array" ref="C2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29">
        <f>YEAR(AllDataCorrected[[#This Row],[Date]])</f>
        <v>2023</v>
      </c>
      <c r="E229" s="1">
        <v>0.64583333333333337</v>
      </c>
      <c r="F2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29" t="str">
        <f>_xlfn.XLOOKUP(AllDataCorrected[[#This Row],[Location Name]], Locations[Location Name],Locations[Group As])</f>
        <v>Weston-on-Avon</v>
      </c>
      <c r="H229" t="e" vm="1">
        <f>_xlfn.XLOOKUP(AllDataCorrected[[#This Row],[Site Name]],LocationsKey[Site Name],LocationsKey[District])</f>
        <v>#VALUE!</v>
      </c>
      <c r="I229" t="e" vm="35">
        <f>_xlfn.XLOOKUP(AllDataCorrected[[#This Row],[Site Name]],LocationsKey[Site Name],LocationsKey[Town])</f>
        <v>#VALUE!</v>
      </c>
      <c r="J229" t="str">
        <f>_xlfn.XLOOKUP(AllDataCorrected[[#This Row],[Site Name]],LocationsKey[Site Name], LocationsKey[Waterway])</f>
        <v>Avon</v>
      </c>
      <c r="K229" t="s">
        <v>43</v>
      </c>
      <c r="L229">
        <f>_xlfn.XLOOKUP(AllDataCorrected[[#This Row],[Site Name]],Tables!$B$12:$B$100, Tables!C$12:C$100)</f>
        <v>52.167429999999996</v>
      </c>
      <c r="M229">
        <f>_xlfn.XLOOKUP(AllDataCorrected[[#This Row],[Site Name]],Tables!$B$12:$B$100, Tables!D$12:D$100)</f>
        <v>-1.7744752941176474</v>
      </c>
      <c r="N229" t="s">
        <v>31</v>
      </c>
      <c r="O229">
        <v>900</v>
      </c>
      <c r="P229">
        <v>7.4</v>
      </c>
      <c r="Q229">
        <v>12</v>
      </c>
      <c r="R229" t="str">
        <f>IF(AllDataCorrected[[#This Row],[Nitrate (PPM)]]&gt;2, "4. Very high (&gt;2ppm)", IF(AllDataCorrected[[#This Row],[Nitrate (PPM)]]&gt;1, "3. High (1-2ppm)", IF(AllDataCorrected[[#This Row],[Nitrate (PPM)]]&gt;0.5, "2. Some evidence (0.5-1ppm)", IF(AllDataCorrected[[#This Row],[Nitrate (PPM)]]&gt;=0, "1. No evidence (&lt;0.5ppm)"))))</f>
        <v>4. Very high (&gt;2ppm)</v>
      </c>
      <c r="S229">
        <v>0.53</v>
      </c>
      <c r="T2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29">
        <v>0</v>
      </c>
    </row>
    <row r="230" spans="1:22" x14ac:dyDescent="0.35">
      <c r="A230" t="s">
        <v>389</v>
      </c>
      <c r="B230" s="2">
        <v>45259</v>
      </c>
      <c r="C230" t="str" cm="1">
        <f t="array" ref="C2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0">
        <f>YEAR(AllDataCorrected[[#This Row],[Date]])</f>
        <v>2023</v>
      </c>
      <c r="E230" s="1">
        <v>0.66666666666666663</v>
      </c>
      <c r="F2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0" t="str">
        <f>_xlfn.XLOOKUP(AllDataCorrected[[#This Row],[Location Name]], Locations[Location Name],Locations[Group As])</f>
        <v>Stour Newbold Mill</v>
      </c>
      <c r="H230" t="e" vm="1">
        <f>_xlfn.XLOOKUP(AllDataCorrected[[#This Row],[Site Name]],LocationsKey[Site Name],LocationsKey[District])</f>
        <v>#VALUE!</v>
      </c>
      <c r="I230" t="e" vm="27">
        <f>_xlfn.XLOOKUP(AllDataCorrected[[#This Row],[Site Name]],LocationsKey[Site Name],LocationsKey[Town])</f>
        <v>#VALUE!</v>
      </c>
      <c r="J230" t="str">
        <f>_xlfn.XLOOKUP(AllDataCorrected[[#This Row],[Site Name]],LocationsKey[Site Name], LocationsKey[Waterway])</f>
        <v>Stour</v>
      </c>
      <c r="K230" t="s">
        <v>141</v>
      </c>
      <c r="L230">
        <f>_xlfn.XLOOKUP(AllDataCorrected[[#This Row],[Site Name]],Tables!$B$12:$B$100, Tables!C$12:C$100)</f>
        <v>52.113052370370369</v>
      </c>
      <c r="M230">
        <f>_xlfn.XLOOKUP(AllDataCorrected[[#This Row],[Site Name]],Tables!$B$12:$B$100, Tables!D$12:D$100)</f>
        <v>-1.6333685185185181</v>
      </c>
      <c r="N230" t="s">
        <v>31</v>
      </c>
      <c r="O230">
        <v>667</v>
      </c>
      <c r="P230">
        <v>12</v>
      </c>
      <c r="Q230">
        <v>5</v>
      </c>
      <c r="R230" t="str">
        <f>IF(AllDataCorrected[[#This Row],[Nitrate (PPM)]]&gt;2, "4. Very high (&gt;2ppm)", IF(AllDataCorrected[[#This Row],[Nitrate (PPM)]]&gt;1, "3. High (1-2ppm)", IF(AllDataCorrected[[#This Row],[Nitrate (PPM)]]&gt;0.5, "2. Some evidence (0.5-1ppm)", IF(AllDataCorrected[[#This Row],[Nitrate (PPM)]]&gt;=0, "1. No evidence (&lt;0.5ppm)"))))</f>
        <v>4. Very high (&gt;2ppm)</v>
      </c>
      <c r="S230">
        <v>0.2</v>
      </c>
      <c r="T2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0">
        <v>2.5</v>
      </c>
      <c r="V230" t="s">
        <v>390</v>
      </c>
    </row>
    <row r="231" spans="1:22" x14ac:dyDescent="0.35">
      <c r="A231" t="s">
        <v>391</v>
      </c>
      <c r="B231" s="2">
        <v>45260</v>
      </c>
      <c r="C231" t="str" cm="1">
        <f t="array" ref="C2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1">
        <f>YEAR(AllDataCorrected[[#This Row],[Date]])</f>
        <v>2023</v>
      </c>
      <c r="E231" s="1">
        <v>0.54722222222222228</v>
      </c>
      <c r="F2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1" t="str">
        <f>_xlfn.XLOOKUP(AllDataCorrected[[#This Row],[Location Name]], Locations[Location Name],Locations[Group As])</f>
        <v>Stour Shipston Mill Bridge</v>
      </c>
      <c r="H231" t="e" vm="1">
        <f>_xlfn.XLOOKUP(AllDataCorrected[[#This Row],[Site Name]],LocationsKey[Site Name],LocationsKey[District])</f>
        <v>#VALUE!</v>
      </c>
      <c r="I231" t="e" vm="15">
        <f>_xlfn.XLOOKUP(AllDataCorrected[[#This Row],[Site Name]],LocationsKey[Site Name],LocationsKey[Town])</f>
        <v>#VALUE!</v>
      </c>
      <c r="J231" t="str">
        <f>_xlfn.XLOOKUP(AllDataCorrected[[#This Row],[Site Name]],LocationsKey[Site Name], LocationsKey[Waterway])</f>
        <v>Stour</v>
      </c>
      <c r="K231" t="s">
        <v>321</v>
      </c>
      <c r="L231">
        <f>_xlfn.XLOOKUP(AllDataCorrected[[#This Row],[Site Name]],Tables!$B$12:$B$100, Tables!C$12:C$100)</f>
        <v>52.062214921052629</v>
      </c>
      <c r="M231">
        <f>_xlfn.XLOOKUP(AllDataCorrected[[#This Row],[Site Name]],Tables!$B$12:$B$100, Tables!D$12:D$100)</f>
        <v>-1.6223788421052625</v>
      </c>
      <c r="N231" t="s">
        <v>25</v>
      </c>
      <c r="O231">
        <v>623</v>
      </c>
      <c r="P231">
        <v>6.1</v>
      </c>
      <c r="Q231">
        <v>5</v>
      </c>
      <c r="R231" t="str">
        <f>IF(AllDataCorrected[[#This Row],[Nitrate (PPM)]]&gt;2, "4. Very high (&gt;2ppm)", IF(AllDataCorrected[[#This Row],[Nitrate (PPM)]]&gt;1, "3. High (1-2ppm)", IF(AllDataCorrected[[#This Row],[Nitrate (PPM)]]&gt;0.5, "2. Some evidence (0.5-1ppm)", IF(AllDataCorrected[[#This Row],[Nitrate (PPM)]]&gt;=0, "1. No evidence (&lt;0.5ppm)"))))</f>
        <v>4. Very high (&gt;2ppm)</v>
      </c>
      <c r="S231">
        <v>0.24</v>
      </c>
      <c r="T2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1">
        <v>1</v>
      </c>
    </row>
    <row r="232" spans="1:22" x14ac:dyDescent="0.35">
      <c r="A232" t="s">
        <v>392</v>
      </c>
      <c r="B232" s="2">
        <v>45260</v>
      </c>
      <c r="C232" t="str" cm="1">
        <f t="array" ref="C2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232">
        <f>YEAR(AllDataCorrected[[#This Row],[Date]])</f>
        <v>2023</v>
      </c>
      <c r="E232" s="1">
        <v>0.63541666666666663</v>
      </c>
      <c r="F23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2" t="str">
        <f>_xlfn.XLOOKUP(AllDataCorrected[[#This Row],[Location Name]], Locations[Location Name],Locations[Group As])</f>
        <v>Swilgate</v>
      </c>
      <c r="H232" t="e" vm="4">
        <f>_xlfn.XLOOKUP(AllDataCorrected[[#This Row],[Site Name]],LocationsKey[Site Name],LocationsKey[District])</f>
        <v>#VALUE!</v>
      </c>
      <c r="I232" t="e" vm="4">
        <f>_xlfn.XLOOKUP(AllDataCorrected[[#This Row],[Site Name]],LocationsKey[Site Name],LocationsKey[Town])</f>
        <v>#VALUE!</v>
      </c>
      <c r="J232" t="str">
        <f>_xlfn.XLOOKUP(AllDataCorrected[[#This Row],[Site Name]],LocationsKey[Site Name], LocationsKey[Waterway])</f>
        <v>Swilgate</v>
      </c>
      <c r="K232" t="s">
        <v>85</v>
      </c>
      <c r="L232">
        <f>_xlfn.XLOOKUP(AllDataCorrected[[#This Row],[Site Name]],Tables!$B$12:$B$100, Tables!C$12:C$100)</f>
        <v>51.988591500000005</v>
      </c>
      <c r="M232">
        <f>_xlfn.XLOOKUP(AllDataCorrected[[#This Row],[Site Name]],Tables!$B$12:$B$100, Tables!D$12:D$100)</f>
        <v>-2.163898333333333</v>
      </c>
      <c r="N232" t="s">
        <v>25</v>
      </c>
      <c r="O232">
        <v>1006</v>
      </c>
      <c r="P232">
        <v>7.4</v>
      </c>
      <c r="Q232">
        <v>3</v>
      </c>
      <c r="R232" t="str">
        <f>IF(AllDataCorrected[[#This Row],[Nitrate (PPM)]]&gt;2, "4. Very high (&gt;2ppm)", IF(AllDataCorrected[[#This Row],[Nitrate (PPM)]]&gt;1, "3. High (1-2ppm)", IF(AllDataCorrected[[#This Row],[Nitrate (PPM)]]&gt;0.5, "2. Some evidence (0.5-1ppm)", IF(AllDataCorrected[[#This Row],[Nitrate (PPM)]]&gt;=0, "1. No evidence (&lt;0.5ppm)"))))</f>
        <v>4. Very high (&gt;2ppm)</v>
      </c>
      <c r="S232">
        <v>0.55000000000000004</v>
      </c>
      <c r="T2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2">
        <v>0</v>
      </c>
    </row>
    <row r="233" spans="1:22" x14ac:dyDescent="0.35">
      <c r="A233" t="s">
        <v>393</v>
      </c>
      <c r="B233" s="2">
        <v>45262</v>
      </c>
      <c r="C233" t="str" cm="1">
        <f t="array" ref="C2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3">
        <f>YEAR(AllDataCorrected[[#This Row],[Date]])</f>
        <v>2023</v>
      </c>
      <c r="E233" s="1">
        <v>0.45833333333333331</v>
      </c>
      <c r="F2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3" t="str">
        <f>_xlfn.XLOOKUP(AllDataCorrected[[#This Row],[Location Name]], Locations[Location Name],Locations[Group As])</f>
        <v>Avonbank Drive</v>
      </c>
      <c r="H233" t="e" vm="1">
        <f>_xlfn.XLOOKUP(AllDataCorrected[[#This Row],[Site Name]],LocationsKey[Site Name],LocationsKey[District])</f>
        <v>#VALUE!</v>
      </c>
      <c r="I233" t="e" vm="12">
        <f>_xlfn.XLOOKUP(AllDataCorrected[[#This Row],[Site Name]],LocationsKey[Site Name],LocationsKey[Town])</f>
        <v>#VALUE!</v>
      </c>
      <c r="J233" t="str">
        <f>_xlfn.XLOOKUP(AllDataCorrected[[#This Row],[Site Name]],LocationsKey[Site Name], LocationsKey[Waterway])</f>
        <v>Avon</v>
      </c>
      <c r="K233" t="s">
        <v>104</v>
      </c>
      <c r="L233">
        <f>_xlfn.XLOOKUP(AllDataCorrected[[#This Row],[Site Name]],Tables!$B$12:$B$100, Tables!C$12:C$100)</f>
        <v>51.566927775862098</v>
      </c>
      <c r="M233">
        <f>_xlfn.XLOOKUP(AllDataCorrected[[#This Row],[Site Name]],Tables!$B$12:$B$100, Tables!D$12:D$100)</f>
        <v>-7.2113336724137929</v>
      </c>
      <c r="N233" t="s">
        <v>68</v>
      </c>
      <c r="O233">
        <v>902</v>
      </c>
      <c r="P233">
        <v>10.3</v>
      </c>
      <c r="Q233">
        <v>5</v>
      </c>
      <c r="R233" t="str">
        <f>IF(AllDataCorrected[[#This Row],[Nitrate (PPM)]]&gt;2, "4. Very high (&gt;2ppm)", IF(AllDataCorrected[[#This Row],[Nitrate (PPM)]]&gt;1, "3. High (1-2ppm)", IF(AllDataCorrected[[#This Row],[Nitrate (PPM)]]&gt;0.5, "2. Some evidence (0.5-1ppm)", IF(AllDataCorrected[[#This Row],[Nitrate (PPM)]]&gt;=0, "1. No evidence (&lt;0.5ppm)"))))</f>
        <v>4. Very high (&gt;2ppm)</v>
      </c>
      <c r="S233">
        <v>0.57999999999999996</v>
      </c>
      <c r="T2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3">
        <v>0.71</v>
      </c>
    </row>
    <row r="234" spans="1:22" x14ac:dyDescent="0.35">
      <c r="A234" t="s">
        <v>394</v>
      </c>
      <c r="B234" s="2">
        <v>45262</v>
      </c>
      <c r="C234" t="str" cm="1">
        <f t="array" ref="C2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4">
        <f>YEAR(AllDataCorrected[[#This Row],[Date]])</f>
        <v>2023</v>
      </c>
      <c r="E234" s="1">
        <v>0.45833333333333331</v>
      </c>
      <c r="F2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4" t="str">
        <f>_xlfn.XLOOKUP(AllDataCorrected[[#This Row],[Location Name]], Locations[Location Name],Locations[Group As])</f>
        <v>Pitch 16</v>
      </c>
      <c r="H234" t="e" vm="1">
        <f>_xlfn.XLOOKUP(AllDataCorrected[[#This Row],[Site Name]],LocationsKey[Site Name],LocationsKey[District])</f>
        <v>#VALUE!</v>
      </c>
      <c r="I234" t="e" vm="12">
        <f>_xlfn.XLOOKUP(AllDataCorrected[[#This Row],[Site Name]],LocationsKey[Site Name],LocationsKey[Town])</f>
        <v>#VALUE!</v>
      </c>
      <c r="J234" t="str">
        <f>_xlfn.XLOOKUP(AllDataCorrected[[#This Row],[Site Name]],LocationsKey[Site Name], LocationsKey[Waterway])</f>
        <v>Avon</v>
      </c>
      <c r="K234" t="s">
        <v>71</v>
      </c>
      <c r="L234">
        <f>_xlfn.XLOOKUP(AllDataCorrected[[#This Row],[Site Name]],Tables!$B$12:$B$100, Tables!C$12:C$100)</f>
        <v>51.289310076923087</v>
      </c>
      <c r="M234">
        <f>_xlfn.XLOOKUP(AllDataCorrected[[#This Row],[Site Name]],Tables!$B$12:$B$100, Tables!D$12:D$100)</f>
        <v>-0.10399761538461544</v>
      </c>
      <c r="N234" t="s">
        <v>31</v>
      </c>
      <c r="O234">
        <v>702</v>
      </c>
      <c r="P234">
        <v>9.3000000000000007</v>
      </c>
      <c r="Q234">
        <v>5</v>
      </c>
      <c r="R234" t="str">
        <f>IF(AllDataCorrected[[#This Row],[Nitrate (PPM)]]&gt;2, "4. Very high (&gt;2ppm)", IF(AllDataCorrected[[#This Row],[Nitrate (PPM)]]&gt;1, "3. High (1-2ppm)", IF(AllDataCorrected[[#This Row],[Nitrate (PPM)]]&gt;0.5, "2. Some evidence (0.5-1ppm)", IF(AllDataCorrected[[#This Row],[Nitrate (PPM)]]&gt;=0, "1. No evidence (&lt;0.5ppm)"))))</f>
        <v>4. Very high (&gt;2ppm)</v>
      </c>
      <c r="S234">
        <v>0.54</v>
      </c>
      <c r="T2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4">
        <v>0.71</v>
      </c>
    </row>
    <row r="235" spans="1:22" x14ac:dyDescent="0.35">
      <c r="A235" t="s">
        <v>395</v>
      </c>
      <c r="B235" s="2">
        <v>45262</v>
      </c>
      <c r="C235" t="str" cm="1">
        <f t="array" ref="C2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5">
        <f>YEAR(AllDataCorrected[[#This Row],[Date]])</f>
        <v>2023</v>
      </c>
      <c r="E235" s="1">
        <v>0.52083333333333337</v>
      </c>
      <c r="F2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35" t="str">
        <f>_xlfn.XLOOKUP(AllDataCorrected[[#This Row],[Location Name]], Locations[Location Name],Locations[Group As])</f>
        <v>Carrant Bredon Rd</v>
      </c>
      <c r="H235" t="e" vm="4">
        <f>_xlfn.XLOOKUP(AllDataCorrected[[#This Row],[Site Name]],LocationsKey[Site Name],LocationsKey[District])</f>
        <v>#VALUE!</v>
      </c>
      <c r="I235" t="e" vm="4">
        <f>_xlfn.XLOOKUP(AllDataCorrected[[#This Row],[Site Name]],LocationsKey[Site Name],LocationsKey[Town])</f>
        <v>#VALUE!</v>
      </c>
      <c r="J235" t="str">
        <f>_xlfn.XLOOKUP(AllDataCorrected[[#This Row],[Site Name]],LocationsKey[Site Name], LocationsKey[Waterway])</f>
        <v>Carrant</v>
      </c>
      <c r="K235" t="s">
        <v>91</v>
      </c>
      <c r="L235">
        <f>_xlfn.XLOOKUP(AllDataCorrected[[#This Row],[Site Name]],Tables!$B$12:$B$100, Tables!C$12:C$100)</f>
        <v>51.996322536231894</v>
      </c>
      <c r="M235">
        <f>_xlfn.XLOOKUP(AllDataCorrected[[#This Row],[Site Name]],Tables!$B$12:$B$100, Tables!D$12:D$100)</f>
        <v>-2.1558410144927538</v>
      </c>
      <c r="N235" t="s">
        <v>25</v>
      </c>
      <c r="O235">
        <v>802</v>
      </c>
      <c r="P235">
        <v>5.0999999999999996</v>
      </c>
      <c r="Q235">
        <v>5</v>
      </c>
      <c r="R235" t="str">
        <f>IF(AllDataCorrected[[#This Row],[Nitrate (PPM)]]&gt;2, "4. Very high (&gt;2ppm)", IF(AllDataCorrected[[#This Row],[Nitrate (PPM)]]&gt;1, "3. High (1-2ppm)", IF(AllDataCorrected[[#This Row],[Nitrate (PPM)]]&gt;0.5, "2. Some evidence (0.5-1ppm)", IF(AllDataCorrected[[#This Row],[Nitrate (PPM)]]&gt;=0, "1. No evidence (&lt;0.5ppm)"))))</f>
        <v>4. Very high (&gt;2ppm)</v>
      </c>
      <c r="S235">
        <v>0.28000000000000003</v>
      </c>
      <c r="T2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35">
        <v>0</v>
      </c>
    </row>
    <row r="236" spans="1:22" x14ac:dyDescent="0.35">
      <c r="A236" t="s">
        <v>396</v>
      </c>
      <c r="B236" s="2">
        <v>45263</v>
      </c>
      <c r="C236" t="str" cm="1">
        <f t="array" ref="C2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6">
        <f>YEAR(AllDataCorrected[[#This Row],[Date]])</f>
        <v>2023</v>
      </c>
      <c r="E236" s="1">
        <v>0.38194444444444442</v>
      </c>
      <c r="F2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6" t="str">
        <f>_xlfn.XLOOKUP(AllDataCorrected[[#This Row],[Location Name]], Locations[Location Name],Locations[Group As])</f>
        <v>Abbey Mill</v>
      </c>
      <c r="H236" t="e" vm="4">
        <f>_xlfn.XLOOKUP(AllDataCorrected[[#This Row],[Site Name]],LocationsKey[Site Name],LocationsKey[District])</f>
        <v>#VALUE!</v>
      </c>
      <c r="I236" t="e" vm="4">
        <f>_xlfn.XLOOKUP(AllDataCorrected[[#This Row],[Site Name]],LocationsKey[Site Name],LocationsKey[Town])</f>
        <v>#VALUE!</v>
      </c>
      <c r="J236" t="str">
        <f>_xlfn.XLOOKUP(AllDataCorrected[[#This Row],[Site Name]],LocationsKey[Site Name], LocationsKey[Waterway])</f>
        <v>Avon</v>
      </c>
      <c r="K236" t="s">
        <v>24</v>
      </c>
      <c r="L236">
        <f>_xlfn.XLOOKUP(AllDataCorrected[[#This Row],[Site Name]],Tables!$B$12:$B$100, Tables!C$12:C$100)</f>
        <v>51.991313075757589</v>
      </c>
      <c r="M236">
        <f>_xlfn.XLOOKUP(AllDataCorrected[[#This Row],[Site Name]],Tables!$B$12:$B$100, Tables!D$12:D$100)</f>
        <v>-2.1621998181818181</v>
      </c>
      <c r="N236" t="s">
        <v>25</v>
      </c>
      <c r="O236">
        <v>804</v>
      </c>
      <c r="P236">
        <v>6.7</v>
      </c>
      <c r="Q236">
        <v>5</v>
      </c>
      <c r="R236" t="str">
        <f>IF(AllDataCorrected[[#This Row],[Nitrate (PPM)]]&gt;2, "4. Very high (&gt;2ppm)", IF(AllDataCorrected[[#This Row],[Nitrate (PPM)]]&gt;1, "3. High (1-2ppm)", IF(AllDataCorrected[[#This Row],[Nitrate (PPM)]]&gt;0.5, "2. Some evidence (0.5-1ppm)", IF(AllDataCorrected[[#This Row],[Nitrate (PPM)]]&gt;=0, "1. No evidence (&lt;0.5ppm)"))))</f>
        <v>4. Very high (&gt;2ppm)</v>
      </c>
      <c r="S236">
        <v>0.7</v>
      </c>
      <c r="T2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6">
        <v>0</v>
      </c>
    </row>
    <row r="237" spans="1:22" x14ac:dyDescent="0.35">
      <c r="A237" t="s">
        <v>397</v>
      </c>
      <c r="B237" s="2">
        <v>45263</v>
      </c>
      <c r="C237" t="str" cm="1">
        <f t="array" ref="C2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7">
        <f>YEAR(AllDataCorrected[[#This Row],[Date]])</f>
        <v>2023</v>
      </c>
      <c r="E237" s="1">
        <v>0.41666666666666669</v>
      </c>
      <c r="F2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7" t="str">
        <f>_xlfn.XLOOKUP(AllDataCorrected[[#This Row],[Location Name]], Locations[Location Name],Locations[Group As])</f>
        <v>Barton</v>
      </c>
      <c r="H237" t="e" vm="1">
        <f>_xlfn.XLOOKUP(AllDataCorrected[[#This Row],[Site Name]],LocationsKey[Site Name],LocationsKey[District])</f>
        <v>#VALUE!</v>
      </c>
      <c r="I237" t="str">
        <f>_xlfn.XLOOKUP(AllDataCorrected[[#This Row],[Site Name]],LocationsKey[Site Name],LocationsKey[Town])</f>
        <v>Barton</v>
      </c>
      <c r="J237" t="str">
        <f>_xlfn.XLOOKUP(AllDataCorrected[[#This Row],[Site Name]],LocationsKey[Site Name], LocationsKey[Waterway])</f>
        <v>Avon</v>
      </c>
      <c r="K237" t="s">
        <v>51</v>
      </c>
      <c r="L237">
        <f>_xlfn.XLOOKUP(AllDataCorrected[[#This Row],[Site Name]],Tables!$B$12:$B$100, Tables!C$12:C$100)</f>
        <v>52.16120999999999</v>
      </c>
      <c r="M237">
        <f>_xlfn.XLOOKUP(AllDataCorrected[[#This Row],[Site Name]],Tables!$B$12:$B$100, Tables!D$12:D$100)</f>
        <v>-1.8301499999999999</v>
      </c>
      <c r="N237" t="s">
        <v>31</v>
      </c>
      <c r="O237">
        <v>754</v>
      </c>
      <c r="P237">
        <v>7.1</v>
      </c>
      <c r="Q237">
        <v>7</v>
      </c>
      <c r="R237" t="str">
        <f>IF(AllDataCorrected[[#This Row],[Nitrate (PPM)]]&gt;2, "4. Very high (&gt;2ppm)", IF(AllDataCorrected[[#This Row],[Nitrate (PPM)]]&gt;1, "3. High (1-2ppm)", IF(AllDataCorrected[[#This Row],[Nitrate (PPM)]]&gt;0.5, "2. Some evidence (0.5-1ppm)", IF(AllDataCorrected[[#This Row],[Nitrate (PPM)]]&gt;=0, "1. No evidence (&lt;0.5ppm)"))))</f>
        <v>4. Very high (&gt;2ppm)</v>
      </c>
      <c r="S237">
        <v>0.52</v>
      </c>
      <c r="T2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7">
        <v>0</v>
      </c>
    </row>
    <row r="238" spans="1:22" x14ac:dyDescent="0.35">
      <c r="A238" t="s">
        <v>398</v>
      </c>
      <c r="B238" s="2">
        <v>45263</v>
      </c>
      <c r="C238" t="str" cm="1">
        <f t="array" ref="C2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8">
        <f>YEAR(AllDataCorrected[[#This Row],[Date]])</f>
        <v>2023</v>
      </c>
      <c r="E238" s="1">
        <v>0.45833333333333331</v>
      </c>
      <c r="F2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8" t="str">
        <f>_xlfn.XLOOKUP(AllDataCorrected[[#This Row],[Location Name]], Locations[Location Name],Locations[Group As])</f>
        <v>Alveston Weir</v>
      </c>
      <c r="H238" t="e" vm="1">
        <f>_xlfn.XLOOKUP(AllDataCorrected[[#This Row],[Site Name]],LocationsKey[Site Name],LocationsKey[District])</f>
        <v>#VALUE!</v>
      </c>
      <c r="I238" t="e" vm="2">
        <f>_xlfn.XLOOKUP(AllDataCorrected[[#This Row],[Site Name]],LocationsKey[Site Name],LocationsKey[Town])</f>
        <v>#VALUE!</v>
      </c>
      <c r="J238" t="str">
        <f>_xlfn.XLOOKUP(AllDataCorrected[[#This Row],[Site Name]],LocationsKey[Site Name], LocationsKey[Waterway])</f>
        <v>Avon</v>
      </c>
      <c r="K238" t="s">
        <v>288</v>
      </c>
      <c r="L238">
        <f>_xlfn.XLOOKUP(AllDataCorrected[[#This Row],[Site Name]],Tables!$B$12:$B$100, Tables!C$12:C$100)</f>
        <v>52.21226301333337</v>
      </c>
      <c r="M238">
        <f>_xlfn.XLOOKUP(AllDataCorrected[[#This Row],[Site Name]],Tables!$B$12:$B$100, Tables!D$12:D$100)</f>
        <v>-1.6595226800000011</v>
      </c>
      <c r="N238" t="s">
        <v>31</v>
      </c>
      <c r="O238">
        <v>7</v>
      </c>
      <c r="P238">
        <v>7.6</v>
      </c>
      <c r="Q238">
        <v>5</v>
      </c>
      <c r="R238" t="str">
        <f>IF(AllDataCorrected[[#This Row],[Nitrate (PPM)]]&gt;2, "4. Very high (&gt;2ppm)", IF(AllDataCorrected[[#This Row],[Nitrate (PPM)]]&gt;1, "3. High (1-2ppm)", IF(AllDataCorrected[[#This Row],[Nitrate (PPM)]]&gt;0.5, "2. Some evidence (0.5-1ppm)", IF(AllDataCorrected[[#This Row],[Nitrate (PPM)]]&gt;=0, "1. No evidence (&lt;0.5ppm)"))))</f>
        <v>4. Very high (&gt;2ppm)</v>
      </c>
      <c r="S238">
        <v>0.52</v>
      </c>
      <c r="T2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8">
        <v>1</v>
      </c>
      <c r="V238" t="s">
        <v>399</v>
      </c>
    </row>
    <row r="239" spans="1:22" x14ac:dyDescent="0.35">
      <c r="A239" t="s">
        <v>400</v>
      </c>
      <c r="B239" s="2">
        <v>45263</v>
      </c>
      <c r="C239" t="str" cm="1">
        <f t="array" ref="C2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39">
        <f>YEAR(AllDataCorrected[[#This Row],[Date]])</f>
        <v>2023</v>
      </c>
      <c r="E239" s="1">
        <v>0.45833333333333331</v>
      </c>
      <c r="F2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39" t="str">
        <f>_xlfn.XLOOKUP(AllDataCorrected[[#This Row],[Location Name]], Locations[Location Name],Locations[Group As])</f>
        <v>Swiffen Bank</v>
      </c>
      <c r="H239" t="e" vm="1">
        <f>_xlfn.XLOOKUP(AllDataCorrected[[#This Row],[Site Name]],LocationsKey[Site Name],LocationsKey[District])</f>
        <v>#VALUE!</v>
      </c>
      <c r="I239" t="e" vm="2">
        <f>_xlfn.XLOOKUP(AllDataCorrected[[#This Row],[Site Name]],LocationsKey[Site Name],LocationsKey[Town])</f>
        <v>#VALUE!</v>
      </c>
      <c r="J239" t="str">
        <f>_xlfn.XLOOKUP(AllDataCorrected[[#This Row],[Site Name]],LocationsKey[Site Name], LocationsKey[Waterway])</f>
        <v>Avon</v>
      </c>
      <c r="K239" t="s">
        <v>286</v>
      </c>
      <c r="L239">
        <f>_xlfn.XLOOKUP(AllDataCorrected[[#This Row],[Site Name]],Tables!$B$12:$B$100, Tables!C$12:C$100)</f>
        <v>52.206649805555557</v>
      </c>
      <c r="M239">
        <f>_xlfn.XLOOKUP(AllDataCorrected[[#This Row],[Site Name]],Tables!$B$12:$B$100, Tables!D$12:D$100)</f>
        <v>-1.6541018611111094</v>
      </c>
      <c r="N239" t="s">
        <v>31</v>
      </c>
      <c r="O239">
        <v>731</v>
      </c>
      <c r="P239">
        <v>7.2</v>
      </c>
      <c r="Q239">
        <v>5</v>
      </c>
      <c r="R239" t="str">
        <f>IF(AllDataCorrected[[#This Row],[Nitrate (PPM)]]&gt;2, "4. Very high (&gt;2ppm)", IF(AllDataCorrected[[#This Row],[Nitrate (PPM)]]&gt;1, "3. High (1-2ppm)", IF(AllDataCorrected[[#This Row],[Nitrate (PPM)]]&gt;0.5, "2. Some evidence (0.5-1ppm)", IF(AllDataCorrected[[#This Row],[Nitrate (PPM)]]&gt;=0, "1. No evidence (&lt;0.5ppm)"))))</f>
        <v>4. Very high (&gt;2ppm)</v>
      </c>
      <c r="S239">
        <v>0.55000000000000004</v>
      </c>
      <c r="T2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39">
        <v>0</v>
      </c>
    </row>
    <row r="240" spans="1:22" x14ac:dyDescent="0.35">
      <c r="A240" t="s">
        <v>401</v>
      </c>
      <c r="B240" s="2">
        <v>45263</v>
      </c>
      <c r="C240" t="str" cm="1">
        <f t="array" ref="C2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0">
        <f>YEAR(AllDataCorrected[[#This Row],[Date]])</f>
        <v>2023</v>
      </c>
      <c r="E240" s="1">
        <v>0.47916666666666669</v>
      </c>
      <c r="F2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0" t="str">
        <f>_xlfn.XLOOKUP(AllDataCorrected[[#This Row],[Location Name]], Locations[Location Name],Locations[Group As])</f>
        <v>Hampton Wood</v>
      </c>
      <c r="H240" t="e" vm="1">
        <f>_xlfn.XLOOKUP(AllDataCorrected[[#This Row],[Site Name]],LocationsKey[Site Name],LocationsKey[District])</f>
        <v>#VALUE!</v>
      </c>
      <c r="I240" t="e" vm="34">
        <f>_xlfn.XLOOKUP(AllDataCorrected[[#This Row],[Site Name]],LocationsKey[Site Name],LocationsKey[Town])</f>
        <v>#VALUE!</v>
      </c>
      <c r="J240" t="str">
        <f>_xlfn.XLOOKUP(AllDataCorrected[[#This Row],[Site Name]],LocationsKey[Site Name], LocationsKey[Waterway])</f>
        <v>Avon</v>
      </c>
      <c r="K240" t="s">
        <v>36</v>
      </c>
      <c r="L240">
        <f>_xlfn.XLOOKUP(AllDataCorrected[[#This Row],[Site Name]],Tables!$B$12:$B$100, Tables!C$12:C$100)</f>
        <v>52.23814999999999</v>
      </c>
      <c r="M240">
        <f>_xlfn.XLOOKUP(AllDataCorrected[[#This Row],[Site Name]],Tables!$B$12:$B$100, Tables!D$12:D$100)</f>
        <v>-1.6245800000000008</v>
      </c>
      <c r="N240" t="s">
        <v>31</v>
      </c>
      <c r="O240">
        <v>920</v>
      </c>
      <c r="P240">
        <v>6.1</v>
      </c>
      <c r="Q240">
        <v>15</v>
      </c>
      <c r="R240" t="str">
        <f>IF(AllDataCorrected[[#This Row],[Nitrate (PPM)]]&gt;2, "4. Very high (&gt;2ppm)", IF(AllDataCorrected[[#This Row],[Nitrate (PPM)]]&gt;1, "3. High (1-2ppm)", IF(AllDataCorrected[[#This Row],[Nitrate (PPM)]]&gt;0.5, "2. Some evidence (0.5-1ppm)", IF(AllDataCorrected[[#This Row],[Nitrate (PPM)]]&gt;=0, "1. No evidence (&lt;0.5ppm)"))))</f>
        <v>4. Very high (&gt;2ppm)</v>
      </c>
      <c r="S240">
        <v>0.8</v>
      </c>
      <c r="T2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0">
        <v>0</v>
      </c>
    </row>
    <row r="241" spans="1:22" x14ac:dyDescent="0.35">
      <c r="A241" t="s">
        <v>402</v>
      </c>
      <c r="B241" s="2">
        <v>45263</v>
      </c>
      <c r="C241" t="str" cm="1">
        <f t="array" ref="C2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1">
        <f>YEAR(AllDataCorrected[[#This Row],[Date]])</f>
        <v>2023</v>
      </c>
      <c r="E241" s="1">
        <v>0.54166666666666663</v>
      </c>
      <c r="F2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1" t="str">
        <f>_xlfn.XLOOKUP(AllDataCorrected[[#This Row],[Location Name]], Locations[Location Name],Locations[Group As])</f>
        <v>Hampton Lucy</v>
      </c>
      <c r="H241" t="e" vm="1">
        <f>_xlfn.XLOOKUP(AllDataCorrected[[#This Row],[Site Name]],LocationsKey[Site Name],LocationsKey[District])</f>
        <v>#VALUE!</v>
      </c>
      <c r="I241" t="e" vm="33">
        <f>_xlfn.XLOOKUP(AllDataCorrected[[#This Row],[Site Name]],LocationsKey[Site Name],LocationsKey[Town])</f>
        <v>#VALUE!</v>
      </c>
      <c r="J241" t="str">
        <f>_xlfn.XLOOKUP(AllDataCorrected[[#This Row],[Site Name]],LocationsKey[Site Name], LocationsKey[Waterway])</f>
        <v>Avon</v>
      </c>
      <c r="K241" t="s">
        <v>39</v>
      </c>
      <c r="L241">
        <f>_xlfn.XLOOKUP(AllDataCorrected[[#This Row],[Site Name]],Tables!$B$12:$B$100, Tables!C$12:C$100)</f>
        <v>52.211679999999973</v>
      </c>
      <c r="M241">
        <f>_xlfn.XLOOKUP(AllDataCorrected[[#This Row],[Site Name]],Tables!$B$12:$B$100, Tables!D$12:D$100)</f>
        <v>-1.6244400000000001</v>
      </c>
      <c r="N241" t="s">
        <v>25</v>
      </c>
      <c r="O241">
        <v>870</v>
      </c>
      <c r="P241">
        <v>6.3</v>
      </c>
      <c r="Q241">
        <v>13</v>
      </c>
      <c r="R241" t="str">
        <f>IF(AllDataCorrected[[#This Row],[Nitrate (PPM)]]&gt;2, "4. Very high (&gt;2ppm)", IF(AllDataCorrected[[#This Row],[Nitrate (PPM)]]&gt;1, "3. High (1-2ppm)", IF(AllDataCorrected[[#This Row],[Nitrate (PPM)]]&gt;0.5, "2. Some evidence (0.5-1ppm)", IF(AllDataCorrected[[#This Row],[Nitrate (PPM)]]&gt;=0, "1. No evidence (&lt;0.5ppm)"))))</f>
        <v>4. Very high (&gt;2ppm)</v>
      </c>
      <c r="S241">
        <v>0.67</v>
      </c>
      <c r="T2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1">
        <v>0</v>
      </c>
    </row>
    <row r="242" spans="1:22" x14ac:dyDescent="0.35">
      <c r="A242" t="s">
        <v>403</v>
      </c>
      <c r="B242" s="2">
        <v>45263</v>
      </c>
      <c r="C242" t="str" cm="1">
        <f t="array" ref="C2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2">
        <f>YEAR(AllDataCorrected[[#This Row],[Date]])</f>
        <v>2023</v>
      </c>
      <c r="E242" s="1">
        <v>0.58333333333333337</v>
      </c>
      <c r="F2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2" t="str">
        <f>_xlfn.XLOOKUP(AllDataCorrected[[#This Row],[Location Name]], Locations[Location Name],Locations[Group As])</f>
        <v>Clifford Chambers Mill Bridge</v>
      </c>
      <c r="H242" t="e" vm="1">
        <f>_xlfn.XLOOKUP(AllDataCorrected[[#This Row],[Site Name]],LocationsKey[Site Name],LocationsKey[District])</f>
        <v>#VALUE!</v>
      </c>
      <c r="I242" t="e" vm="22">
        <f>_xlfn.XLOOKUP(AllDataCorrected[[#This Row],[Site Name]],LocationsKey[Site Name],LocationsKey[Town])</f>
        <v>#VALUE!</v>
      </c>
      <c r="J242" t="str">
        <f>_xlfn.XLOOKUP(AllDataCorrected[[#This Row],[Site Name]],LocationsKey[Site Name], LocationsKey[Waterway])</f>
        <v>Stour</v>
      </c>
      <c r="K242" t="s">
        <v>266</v>
      </c>
      <c r="L242">
        <f>_xlfn.XLOOKUP(AllDataCorrected[[#This Row],[Site Name]],Tables!$B$12:$B$100, Tables!C$12:C$100)</f>
        <v>52.166363596153808</v>
      </c>
      <c r="M242">
        <f>_xlfn.XLOOKUP(AllDataCorrected[[#This Row],[Site Name]],Tables!$B$12:$B$100, Tables!D$12:D$100)</f>
        <v>-1.7080375384615398</v>
      </c>
      <c r="N242" t="s">
        <v>68</v>
      </c>
      <c r="O242">
        <v>711</v>
      </c>
      <c r="P242">
        <v>4.7</v>
      </c>
      <c r="Q242">
        <v>9</v>
      </c>
      <c r="R242" t="str">
        <f>IF(AllDataCorrected[[#This Row],[Nitrate (PPM)]]&gt;2, "4. Very high (&gt;2ppm)", IF(AllDataCorrected[[#This Row],[Nitrate (PPM)]]&gt;1, "3. High (1-2ppm)", IF(AllDataCorrected[[#This Row],[Nitrate (PPM)]]&gt;0.5, "2. Some evidence (0.5-1ppm)", IF(AllDataCorrected[[#This Row],[Nitrate (PPM)]]&gt;=0, "1. No evidence (&lt;0.5ppm)"))))</f>
        <v>4. Very high (&gt;2ppm)</v>
      </c>
      <c r="S242">
        <v>0.26</v>
      </c>
      <c r="T2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2">
        <v>0.8</v>
      </c>
    </row>
    <row r="243" spans="1:22" x14ac:dyDescent="0.35">
      <c r="A243" t="s">
        <v>404</v>
      </c>
      <c r="B243" s="2">
        <v>45263</v>
      </c>
      <c r="C243" t="str" cm="1">
        <f t="array" ref="C2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3">
        <f>YEAR(AllDataCorrected[[#This Row],[Date]])</f>
        <v>2023</v>
      </c>
      <c r="E243" s="1">
        <v>0.65625</v>
      </c>
      <c r="F2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3" t="str">
        <f>_xlfn.XLOOKUP(AllDataCorrected[[#This Row],[Location Name]], Locations[Location Name],Locations[Group As])</f>
        <v>Welford Boat Station</v>
      </c>
      <c r="H243" t="e" vm="1">
        <f>_xlfn.XLOOKUP(AllDataCorrected[[#This Row],[Site Name]],LocationsKey[Site Name],LocationsKey[District])</f>
        <v>#VALUE!</v>
      </c>
      <c r="I243" t="e" vm="36">
        <f>_xlfn.XLOOKUP(AllDataCorrected[[#This Row],[Site Name]],LocationsKey[Site Name],LocationsKey[Town])</f>
        <v>#VALUE!</v>
      </c>
      <c r="J243" t="str">
        <f>_xlfn.XLOOKUP(AllDataCorrected[[#This Row],[Site Name]],LocationsKey[Site Name], LocationsKey[Waterway])</f>
        <v>Avon</v>
      </c>
      <c r="K243" t="s">
        <v>41</v>
      </c>
      <c r="L243">
        <f>_xlfn.XLOOKUP(AllDataCorrected[[#This Row],[Site Name]],Tables!$B$12:$B$100, Tables!C$12:C$100)</f>
        <v>52.175174684210546</v>
      </c>
      <c r="M243">
        <f>_xlfn.XLOOKUP(AllDataCorrected[[#This Row],[Site Name]],Tables!$B$12:$B$100, Tables!D$12:D$100)</f>
        <v>-1.7918551052631577</v>
      </c>
      <c r="N243" t="s">
        <v>31</v>
      </c>
      <c r="O243">
        <v>888</v>
      </c>
      <c r="P243">
        <v>5.8</v>
      </c>
      <c r="Q243">
        <v>20</v>
      </c>
      <c r="R243" t="str">
        <f>IF(AllDataCorrected[[#This Row],[Nitrate (PPM)]]&gt;2, "4. Very high (&gt;2ppm)", IF(AllDataCorrected[[#This Row],[Nitrate (PPM)]]&gt;1, "3. High (1-2ppm)", IF(AllDataCorrected[[#This Row],[Nitrate (PPM)]]&gt;0.5, "2. Some evidence (0.5-1ppm)", IF(AllDataCorrected[[#This Row],[Nitrate (PPM)]]&gt;=0, "1. No evidence (&lt;0.5ppm)"))))</f>
        <v>4. Very high (&gt;2ppm)</v>
      </c>
      <c r="S243">
        <v>0.34</v>
      </c>
      <c r="T24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3">
        <v>0</v>
      </c>
      <c r="V243" t="s">
        <v>405</v>
      </c>
    </row>
    <row r="244" spans="1:22" x14ac:dyDescent="0.35">
      <c r="A244" t="s">
        <v>406</v>
      </c>
      <c r="B244" s="2">
        <v>45264</v>
      </c>
      <c r="C244" t="str" cm="1">
        <f t="array" ref="C2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4">
        <f>YEAR(AllDataCorrected[[#This Row],[Date]])</f>
        <v>2023</v>
      </c>
      <c r="E244" s="1">
        <v>0.38958333333333334</v>
      </c>
      <c r="F2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4" t="str">
        <f>_xlfn.XLOOKUP(AllDataCorrected[[#This Row],[Location Name]], Locations[Location Name],Locations[Group As])</f>
        <v>Stour Stretton-on-Fosse Village</v>
      </c>
      <c r="H244" t="e" vm="1">
        <f>_xlfn.XLOOKUP(AllDataCorrected[[#This Row],[Site Name]],LocationsKey[Site Name],LocationsKey[District])</f>
        <v>#VALUE!</v>
      </c>
      <c r="I244" t="e" vm="30">
        <f>_xlfn.XLOOKUP(AllDataCorrected[[#This Row],[Site Name]],LocationsKey[Site Name],LocationsKey[Town])</f>
        <v>#VALUE!</v>
      </c>
      <c r="J244" t="str">
        <f>_xlfn.XLOOKUP(AllDataCorrected[[#This Row],[Site Name]],LocationsKey[Site Name], LocationsKey[Waterway])</f>
        <v>Stour</v>
      </c>
      <c r="K244" t="s">
        <v>385</v>
      </c>
      <c r="L244">
        <f>_xlfn.XLOOKUP(AllDataCorrected[[#This Row],[Site Name]],Tables!$B$12:$B$100, Tables!C$12:C$100)</f>
        <v>52.046517558823531</v>
      </c>
      <c r="M244">
        <f>_xlfn.XLOOKUP(AllDataCorrected[[#This Row],[Site Name]],Tables!$B$12:$B$100, Tables!D$12:D$100)</f>
        <v>-1.6734143529411762</v>
      </c>
      <c r="N244" t="s">
        <v>68</v>
      </c>
      <c r="O244">
        <v>319</v>
      </c>
      <c r="P244">
        <v>7.1</v>
      </c>
      <c r="Q244">
        <v>2</v>
      </c>
      <c r="R244" t="str">
        <f>IF(AllDataCorrected[[#This Row],[Nitrate (PPM)]]&gt;2, "4. Very high (&gt;2ppm)", IF(AllDataCorrected[[#This Row],[Nitrate (PPM)]]&gt;1, "3. High (1-2ppm)", IF(AllDataCorrected[[#This Row],[Nitrate (PPM)]]&gt;0.5, "2. Some evidence (0.5-1ppm)", IF(AllDataCorrected[[#This Row],[Nitrate (PPM)]]&gt;=0, "1. No evidence (&lt;0.5ppm)"))))</f>
        <v>3. High (1-2ppm)</v>
      </c>
      <c r="S244">
        <v>0.62</v>
      </c>
      <c r="T2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4">
        <v>0.35</v>
      </c>
    </row>
    <row r="245" spans="1:22" x14ac:dyDescent="0.35">
      <c r="A245" t="s">
        <v>407</v>
      </c>
      <c r="B245" s="2">
        <v>45264</v>
      </c>
      <c r="C245" t="str" cm="1">
        <f t="array" ref="C2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5">
        <f>YEAR(AllDataCorrected[[#This Row],[Date]])</f>
        <v>2023</v>
      </c>
      <c r="E245" s="1">
        <v>0.40138888888888891</v>
      </c>
      <c r="F2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5" t="str">
        <f>_xlfn.XLOOKUP(AllDataCorrected[[#This Row],[Location Name]], Locations[Location Name],Locations[Group As])</f>
        <v>Stour Stretton-on-Fosse Sewage Works</v>
      </c>
      <c r="H245" t="e" vm="1">
        <f>_xlfn.XLOOKUP(AllDataCorrected[[#This Row],[Site Name]],LocationsKey[Site Name],LocationsKey[District])</f>
        <v>#VALUE!</v>
      </c>
      <c r="I245" t="e" vm="30">
        <f>_xlfn.XLOOKUP(AllDataCorrected[[#This Row],[Site Name]],LocationsKey[Site Name],LocationsKey[Town])</f>
        <v>#VALUE!</v>
      </c>
      <c r="J245" t="str">
        <f>_xlfn.XLOOKUP(AllDataCorrected[[#This Row],[Site Name]],LocationsKey[Site Name], LocationsKey[Waterway])</f>
        <v>Stour</v>
      </c>
      <c r="K245" t="s">
        <v>337</v>
      </c>
      <c r="L245">
        <f>_xlfn.XLOOKUP(AllDataCorrected[[#This Row],[Site Name]],Tables!$B$12:$B$100, Tables!C$12:C$100)</f>
        <v>52.045653647058828</v>
      </c>
      <c r="M245">
        <f>_xlfn.XLOOKUP(AllDataCorrected[[#This Row],[Site Name]],Tables!$B$12:$B$100, Tables!D$12:D$100)</f>
        <v>-1.6719221470588239</v>
      </c>
      <c r="N245" t="s">
        <v>31</v>
      </c>
      <c r="O245">
        <v>298</v>
      </c>
      <c r="P245">
        <v>7</v>
      </c>
      <c r="Q245">
        <v>2</v>
      </c>
      <c r="R245" t="str">
        <f>IF(AllDataCorrected[[#This Row],[Nitrate (PPM)]]&gt;2, "4. Very high (&gt;2ppm)", IF(AllDataCorrected[[#This Row],[Nitrate (PPM)]]&gt;1, "3. High (1-2ppm)", IF(AllDataCorrected[[#This Row],[Nitrate (PPM)]]&gt;0.5, "2. Some evidence (0.5-1ppm)", IF(AllDataCorrected[[#This Row],[Nitrate (PPM)]]&gt;=0, "1. No evidence (&lt;0.5ppm)"))))</f>
        <v>3. High (1-2ppm)</v>
      </c>
      <c r="S245">
        <v>0.21</v>
      </c>
      <c r="T2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5">
        <v>0.6</v>
      </c>
    </row>
    <row r="246" spans="1:22" x14ac:dyDescent="0.35">
      <c r="A246" t="s">
        <v>408</v>
      </c>
      <c r="B246" s="2">
        <v>45266</v>
      </c>
      <c r="C246" t="str" cm="1">
        <f t="array" ref="C2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6">
        <f>YEAR(AllDataCorrected[[#This Row],[Date]])</f>
        <v>2023</v>
      </c>
      <c r="E246" s="1">
        <v>0.50138888888888888</v>
      </c>
      <c r="F2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6" t="str">
        <f>_xlfn.XLOOKUP(AllDataCorrected[[#This Row],[Location Name]], Locations[Location Name],Locations[Group As])</f>
        <v>Alveston Weir</v>
      </c>
      <c r="H246" t="e" vm="1">
        <f>_xlfn.XLOOKUP(AllDataCorrected[[#This Row],[Site Name]],LocationsKey[Site Name],LocationsKey[District])</f>
        <v>#VALUE!</v>
      </c>
      <c r="I246" t="e" vm="2">
        <f>_xlfn.XLOOKUP(AllDataCorrected[[#This Row],[Site Name]],LocationsKey[Site Name],LocationsKey[Town])</f>
        <v>#VALUE!</v>
      </c>
      <c r="J246" t="str">
        <f>_xlfn.XLOOKUP(AllDataCorrected[[#This Row],[Site Name]],LocationsKey[Site Name], LocationsKey[Waterway])</f>
        <v>Avon</v>
      </c>
      <c r="K246" t="s">
        <v>288</v>
      </c>
      <c r="L246">
        <f>_xlfn.XLOOKUP(AllDataCorrected[[#This Row],[Site Name]],Tables!$B$12:$B$100, Tables!C$12:C$100)</f>
        <v>52.21226301333337</v>
      </c>
      <c r="M246">
        <f>_xlfn.XLOOKUP(AllDataCorrected[[#This Row],[Site Name]],Tables!$B$12:$B$100, Tables!D$12:D$100)</f>
        <v>-1.6595226800000011</v>
      </c>
      <c r="N246" t="s">
        <v>31</v>
      </c>
      <c r="O246">
        <v>46.6</v>
      </c>
      <c r="P246">
        <v>6.4</v>
      </c>
      <c r="Q246">
        <v>2</v>
      </c>
      <c r="R246" t="str">
        <f>IF(AllDataCorrected[[#This Row],[Nitrate (PPM)]]&gt;2, "4. Very high (&gt;2ppm)", IF(AllDataCorrected[[#This Row],[Nitrate (PPM)]]&gt;1, "3. High (1-2ppm)", IF(AllDataCorrected[[#This Row],[Nitrate (PPM)]]&gt;0.5, "2. Some evidence (0.5-1ppm)", IF(AllDataCorrected[[#This Row],[Nitrate (PPM)]]&gt;=0, "1. No evidence (&lt;0.5ppm)"))))</f>
        <v>3. High (1-2ppm)</v>
      </c>
      <c r="S246">
        <v>0.62</v>
      </c>
      <c r="T2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6">
        <v>2</v>
      </c>
      <c r="V246" t="s">
        <v>409</v>
      </c>
    </row>
    <row r="247" spans="1:22" x14ac:dyDescent="0.35">
      <c r="A247" t="s">
        <v>410</v>
      </c>
      <c r="B247" s="2">
        <v>45266</v>
      </c>
      <c r="C247" t="str" cm="1">
        <f t="array" ref="C2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7">
        <f>YEAR(AllDataCorrected[[#This Row],[Date]])</f>
        <v>2023</v>
      </c>
      <c r="E247" s="1">
        <v>0.59583333333333333</v>
      </c>
      <c r="F2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7" t="str">
        <f>_xlfn.XLOOKUP(AllDataCorrected[[#This Row],[Location Name]], Locations[Location Name],Locations[Group As])</f>
        <v>Swiffen Bank</v>
      </c>
      <c r="H247" t="e" vm="1">
        <f>_xlfn.XLOOKUP(AllDataCorrected[[#This Row],[Site Name]],LocationsKey[Site Name],LocationsKey[District])</f>
        <v>#VALUE!</v>
      </c>
      <c r="I247" t="e" vm="2">
        <f>_xlfn.XLOOKUP(AllDataCorrected[[#This Row],[Site Name]],LocationsKey[Site Name],LocationsKey[Town])</f>
        <v>#VALUE!</v>
      </c>
      <c r="J247" t="str">
        <f>_xlfn.XLOOKUP(AllDataCorrected[[#This Row],[Site Name]],LocationsKey[Site Name], LocationsKey[Waterway])</f>
        <v>Avon</v>
      </c>
      <c r="K247" t="s">
        <v>286</v>
      </c>
      <c r="L247">
        <f>_xlfn.XLOOKUP(AllDataCorrected[[#This Row],[Site Name]],Tables!$B$12:$B$100, Tables!C$12:C$100)</f>
        <v>52.206649805555557</v>
      </c>
      <c r="M247">
        <f>_xlfn.XLOOKUP(AllDataCorrected[[#This Row],[Site Name]],Tables!$B$12:$B$100, Tables!D$12:D$100)</f>
        <v>-1.6541018611111094</v>
      </c>
      <c r="N247" t="s">
        <v>31</v>
      </c>
      <c r="O247">
        <v>47.5</v>
      </c>
      <c r="P247">
        <v>6.1</v>
      </c>
      <c r="Q247">
        <v>2</v>
      </c>
      <c r="R247" t="str">
        <f>IF(AllDataCorrected[[#This Row],[Nitrate (PPM)]]&gt;2, "4. Very high (&gt;2ppm)", IF(AllDataCorrected[[#This Row],[Nitrate (PPM)]]&gt;1, "3. High (1-2ppm)", IF(AllDataCorrected[[#This Row],[Nitrate (PPM)]]&gt;0.5, "2. Some evidence (0.5-1ppm)", IF(AllDataCorrected[[#This Row],[Nitrate (PPM)]]&gt;=0, "1. No evidence (&lt;0.5ppm)"))))</f>
        <v>3. High (1-2ppm)</v>
      </c>
      <c r="S247">
        <v>0.71</v>
      </c>
      <c r="T2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47">
        <v>1</v>
      </c>
      <c r="V247" t="s">
        <v>411</v>
      </c>
    </row>
    <row r="248" spans="1:22" x14ac:dyDescent="0.35">
      <c r="A248" t="s">
        <v>412</v>
      </c>
      <c r="B248" s="2">
        <v>45266</v>
      </c>
      <c r="C248" t="str" cm="1">
        <f t="array" ref="C2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8">
        <f>YEAR(AllDataCorrected[[#This Row],[Date]])</f>
        <v>2023</v>
      </c>
      <c r="E248" s="1">
        <v>0.66666666666666663</v>
      </c>
      <c r="F2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48" t="str">
        <f>_xlfn.XLOOKUP(AllDataCorrected[[#This Row],[Location Name]], Locations[Location Name],Locations[Group As])</f>
        <v>Stour Newbold Mill</v>
      </c>
      <c r="H248" t="e" vm="1">
        <f>_xlfn.XLOOKUP(AllDataCorrected[[#This Row],[Site Name]],LocationsKey[Site Name],LocationsKey[District])</f>
        <v>#VALUE!</v>
      </c>
      <c r="I248" t="e" vm="27">
        <f>_xlfn.XLOOKUP(AllDataCorrected[[#This Row],[Site Name]],LocationsKey[Site Name],LocationsKey[Town])</f>
        <v>#VALUE!</v>
      </c>
      <c r="J248" t="str">
        <f>_xlfn.XLOOKUP(AllDataCorrected[[#This Row],[Site Name]],LocationsKey[Site Name], LocationsKey[Waterway])</f>
        <v>Stour</v>
      </c>
      <c r="K248" t="s">
        <v>141</v>
      </c>
      <c r="L248">
        <f>_xlfn.XLOOKUP(AllDataCorrected[[#This Row],[Site Name]],Tables!$B$12:$B$100, Tables!C$12:C$100)</f>
        <v>52.113052370370369</v>
      </c>
      <c r="M248">
        <f>_xlfn.XLOOKUP(AllDataCorrected[[#This Row],[Site Name]],Tables!$B$12:$B$100, Tables!D$12:D$100)</f>
        <v>-1.6333685185185181</v>
      </c>
      <c r="N248" t="s">
        <v>68</v>
      </c>
      <c r="O248">
        <v>537</v>
      </c>
      <c r="P248">
        <v>8.4</v>
      </c>
      <c r="Q248">
        <v>5</v>
      </c>
      <c r="R248" t="str">
        <f>IF(AllDataCorrected[[#This Row],[Nitrate (PPM)]]&gt;2, "4. Very high (&gt;2ppm)", IF(AllDataCorrected[[#This Row],[Nitrate (PPM)]]&gt;1, "3. High (1-2ppm)", IF(AllDataCorrected[[#This Row],[Nitrate (PPM)]]&gt;0.5, "2. Some evidence (0.5-1ppm)", IF(AllDataCorrected[[#This Row],[Nitrate (PPM)]]&gt;=0, "1. No evidence (&lt;0.5ppm)"))))</f>
        <v>4. Very high (&gt;2ppm)</v>
      </c>
      <c r="S248">
        <v>0.12</v>
      </c>
      <c r="T2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8">
        <v>3</v>
      </c>
      <c r="V248" t="s">
        <v>413</v>
      </c>
    </row>
    <row r="249" spans="1:22" x14ac:dyDescent="0.35">
      <c r="A249" t="s">
        <v>414</v>
      </c>
      <c r="B249" s="2">
        <v>45268</v>
      </c>
      <c r="C249" t="str" cm="1">
        <f t="array" ref="C2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49">
        <f>YEAR(AllDataCorrected[[#This Row],[Date]])</f>
        <v>2023</v>
      </c>
      <c r="E249" s="1">
        <v>0.4375</v>
      </c>
      <c r="F2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49" t="str">
        <f>_xlfn.XLOOKUP(AllDataCorrected[[#This Row],[Location Name]], Locations[Location Name],Locations[Group As])</f>
        <v>Swilgate</v>
      </c>
      <c r="H249" t="e" vm="4">
        <f>_xlfn.XLOOKUP(AllDataCorrected[[#This Row],[Site Name]],LocationsKey[Site Name],LocationsKey[District])</f>
        <v>#VALUE!</v>
      </c>
      <c r="I249" t="e" vm="4">
        <f>_xlfn.XLOOKUP(AllDataCorrected[[#This Row],[Site Name]],LocationsKey[Site Name],LocationsKey[Town])</f>
        <v>#VALUE!</v>
      </c>
      <c r="J249" t="str">
        <f>_xlfn.XLOOKUP(AllDataCorrected[[#This Row],[Site Name]],LocationsKey[Site Name], LocationsKey[Waterway])</f>
        <v>Swilgate</v>
      </c>
      <c r="K249" t="s">
        <v>415</v>
      </c>
      <c r="L249">
        <f>_xlfn.XLOOKUP(AllDataCorrected[[#This Row],[Site Name]],Tables!$B$12:$B$100, Tables!C$12:C$100)</f>
        <v>51.988591500000005</v>
      </c>
      <c r="M249">
        <f>_xlfn.XLOOKUP(AllDataCorrected[[#This Row],[Site Name]],Tables!$B$12:$B$100, Tables!D$12:D$100)</f>
        <v>-2.163898333333333</v>
      </c>
      <c r="N249" t="s">
        <v>25</v>
      </c>
      <c r="O249">
        <v>769</v>
      </c>
      <c r="P249">
        <v>8</v>
      </c>
      <c r="Q249">
        <v>4</v>
      </c>
      <c r="R249" t="str">
        <f>IF(AllDataCorrected[[#This Row],[Nitrate (PPM)]]&gt;2, "4. Very high (&gt;2ppm)", IF(AllDataCorrected[[#This Row],[Nitrate (PPM)]]&gt;1, "3. High (1-2ppm)", IF(AllDataCorrected[[#This Row],[Nitrate (PPM)]]&gt;0.5, "2. Some evidence (0.5-1ppm)", IF(AllDataCorrected[[#This Row],[Nitrate (PPM)]]&gt;=0, "1. No evidence (&lt;0.5ppm)"))))</f>
        <v>4. Very high (&gt;2ppm)</v>
      </c>
      <c r="S249">
        <v>0.45</v>
      </c>
      <c r="T2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49">
        <v>2</v>
      </c>
      <c r="V249" t="s">
        <v>416</v>
      </c>
    </row>
    <row r="250" spans="1:22" x14ac:dyDescent="0.35">
      <c r="A250" t="s">
        <v>417</v>
      </c>
      <c r="B250" s="2">
        <v>45269</v>
      </c>
      <c r="C250" t="str" cm="1">
        <f t="array" ref="C2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0">
        <f>YEAR(AllDataCorrected[[#This Row],[Date]])</f>
        <v>2023</v>
      </c>
      <c r="E250" s="1">
        <v>0.46527777777777779</v>
      </c>
      <c r="F2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0" t="str">
        <f>_xlfn.XLOOKUP(AllDataCorrected[[#This Row],[Location Name]], Locations[Location Name],Locations[Group As])</f>
        <v>Pitch 16</v>
      </c>
      <c r="H250" t="e" vm="1">
        <f>_xlfn.XLOOKUP(AllDataCorrected[[#This Row],[Site Name]],LocationsKey[Site Name],LocationsKey[District])</f>
        <v>#VALUE!</v>
      </c>
      <c r="I250" t="e" vm="12">
        <f>_xlfn.XLOOKUP(AllDataCorrected[[#This Row],[Site Name]],LocationsKey[Site Name],LocationsKey[Town])</f>
        <v>#VALUE!</v>
      </c>
      <c r="J250" t="str">
        <f>_xlfn.XLOOKUP(AllDataCorrected[[#This Row],[Site Name]],LocationsKey[Site Name], LocationsKey[Waterway])</f>
        <v>Avon</v>
      </c>
      <c r="K250" t="s">
        <v>71</v>
      </c>
      <c r="L250">
        <f>_xlfn.XLOOKUP(AllDataCorrected[[#This Row],[Site Name]],Tables!$B$12:$B$100, Tables!C$12:C$100)</f>
        <v>51.289310076923087</v>
      </c>
      <c r="M250">
        <f>_xlfn.XLOOKUP(AllDataCorrected[[#This Row],[Site Name]],Tables!$B$12:$B$100, Tables!D$12:D$100)</f>
        <v>-0.10399761538461544</v>
      </c>
      <c r="N250" t="s">
        <v>31</v>
      </c>
      <c r="O250">
        <v>605</v>
      </c>
      <c r="P250">
        <v>10.3</v>
      </c>
      <c r="Q250">
        <v>5</v>
      </c>
      <c r="R250" t="str">
        <f>IF(AllDataCorrected[[#This Row],[Nitrate (PPM)]]&gt;2, "4. Very high (&gt;2ppm)", IF(AllDataCorrected[[#This Row],[Nitrate (PPM)]]&gt;1, "3. High (1-2ppm)", IF(AllDataCorrected[[#This Row],[Nitrate (PPM)]]&gt;0.5, "2. Some evidence (0.5-1ppm)", IF(AllDataCorrected[[#This Row],[Nitrate (PPM)]]&gt;=0, "1. No evidence (&lt;0.5ppm)"))))</f>
        <v>4. Very high (&gt;2ppm)</v>
      </c>
      <c r="S250">
        <v>0.57999999999999996</v>
      </c>
      <c r="T2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0">
        <v>1.2</v>
      </c>
      <c r="V250" t="s">
        <v>418</v>
      </c>
    </row>
    <row r="251" spans="1:22" x14ac:dyDescent="0.35">
      <c r="A251" t="s">
        <v>419</v>
      </c>
      <c r="B251" s="2">
        <v>45269</v>
      </c>
      <c r="C251" t="str" cm="1">
        <f t="array" ref="C2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1">
        <f>YEAR(AllDataCorrected[[#This Row],[Date]])</f>
        <v>2023</v>
      </c>
      <c r="E251" s="1">
        <v>0.48472222222222222</v>
      </c>
      <c r="F2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1" t="str">
        <f>_xlfn.XLOOKUP(AllDataCorrected[[#This Row],[Location Name]], Locations[Location Name],Locations[Group As])</f>
        <v>Avonbank Drive</v>
      </c>
      <c r="H251" t="e" vm="1">
        <f>_xlfn.XLOOKUP(AllDataCorrected[[#This Row],[Site Name]],LocationsKey[Site Name],LocationsKey[District])</f>
        <v>#VALUE!</v>
      </c>
      <c r="I251" t="e" vm="12">
        <f>_xlfn.XLOOKUP(AllDataCorrected[[#This Row],[Site Name]],LocationsKey[Site Name],LocationsKey[Town])</f>
        <v>#VALUE!</v>
      </c>
      <c r="J251" t="str">
        <f>_xlfn.XLOOKUP(AllDataCorrected[[#This Row],[Site Name]],LocationsKey[Site Name], LocationsKey[Waterway])</f>
        <v>Avon</v>
      </c>
      <c r="K251" t="s">
        <v>67</v>
      </c>
      <c r="L251">
        <f>_xlfn.XLOOKUP(AllDataCorrected[[#This Row],[Site Name]],Tables!$B$12:$B$100, Tables!C$12:C$100)</f>
        <v>51.566927775862098</v>
      </c>
      <c r="M251">
        <f>_xlfn.XLOOKUP(AllDataCorrected[[#This Row],[Site Name]],Tables!$B$12:$B$100, Tables!D$12:D$100)</f>
        <v>-7.2113336724137929</v>
      </c>
      <c r="N251" t="s">
        <v>68</v>
      </c>
      <c r="O251">
        <v>615</v>
      </c>
      <c r="P251">
        <v>9.3000000000000007</v>
      </c>
      <c r="Q251">
        <v>5</v>
      </c>
      <c r="R251" t="str">
        <f>IF(AllDataCorrected[[#This Row],[Nitrate (PPM)]]&gt;2, "4. Very high (&gt;2ppm)", IF(AllDataCorrected[[#This Row],[Nitrate (PPM)]]&gt;1, "3. High (1-2ppm)", IF(AllDataCorrected[[#This Row],[Nitrate (PPM)]]&gt;0.5, "2. Some evidence (0.5-1ppm)", IF(AllDataCorrected[[#This Row],[Nitrate (PPM)]]&gt;=0, "1. No evidence (&lt;0.5ppm)"))))</f>
        <v>4. Very high (&gt;2ppm)</v>
      </c>
      <c r="S251">
        <v>0.65</v>
      </c>
      <c r="T2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1">
        <v>1.2</v>
      </c>
    </row>
    <row r="252" spans="1:22" x14ac:dyDescent="0.35">
      <c r="A252" t="s">
        <v>420</v>
      </c>
      <c r="B252" s="2">
        <v>45269</v>
      </c>
      <c r="C252" t="str" cm="1">
        <f t="array" ref="C2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2">
        <f>YEAR(AllDataCorrected[[#This Row],[Date]])</f>
        <v>2023</v>
      </c>
      <c r="E252" s="1">
        <v>0.54166666666666663</v>
      </c>
      <c r="F2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2" t="str">
        <f>_xlfn.XLOOKUP(AllDataCorrected[[#This Row],[Location Name]], Locations[Location Name],Locations[Group As])</f>
        <v>Hampton Lucy</v>
      </c>
      <c r="H252" t="e" vm="1">
        <f>_xlfn.XLOOKUP(AllDataCorrected[[#This Row],[Site Name]],LocationsKey[Site Name],LocationsKey[District])</f>
        <v>#VALUE!</v>
      </c>
      <c r="I252" t="e" vm="33">
        <f>_xlfn.XLOOKUP(AllDataCorrected[[#This Row],[Site Name]],LocationsKey[Site Name],LocationsKey[Town])</f>
        <v>#VALUE!</v>
      </c>
      <c r="J252" t="str">
        <f>_xlfn.XLOOKUP(AllDataCorrected[[#This Row],[Site Name]],LocationsKey[Site Name], LocationsKey[Waterway])</f>
        <v>Avon</v>
      </c>
      <c r="K252" t="s">
        <v>39</v>
      </c>
      <c r="L252">
        <f>_xlfn.XLOOKUP(AllDataCorrected[[#This Row],[Site Name]],Tables!$B$12:$B$100, Tables!C$12:C$100)</f>
        <v>52.211679999999973</v>
      </c>
      <c r="M252">
        <f>_xlfn.XLOOKUP(AllDataCorrected[[#This Row],[Site Name]],Tables!$B$12:$B$100, Tables!D$12:D$100)</f>
        <v>-1.6244400000000001</v>
      </c>
      <c r="N252" t="s">
        <v>25</v>
      </c>
      <c r="O252">
        <v>590</v>
      </c>
      <c r="P252">
        <v>8.8000000000000007</v>
      </c>
      <c r="Q252">
        <v>15</v>
      </c>
      <c r="R252" t="str">
        <f>IF(AllDataCorrected[[#This Row],[Nitrate (PPM)]]&gt;2, "4. Very high (&gt;2ppm)", IF(AllDataCorrected[[#This Row],[Nitrate (PPM)]]&gt;1, "3. High (1-2ppm)", IF(AllDataCorrected[[#This Row],[Nitrate (PPM)]]&gt;0.5, "2. Some evidence (0.5-1ppm)", IF(AllDataCorrected[[#This Row],[Nitrate (PPM)]]&gt;=0, "1. No evidence (&lt;0.5ppm)"))))</f>
        <v>4. Very high (&gt;2ppm)</v>
      </c>
      <c r="S252">
        <v>0.4</v>
      </c>
      <c r="T2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2">
        <v>0</v>
      </c>
    </row>
    <row r="253" spans="1:22" x14ac:dyDescent="0.35">
      <c r="A253" t="s">
        <v>421</v>
      </c>
      <c r="B253" s="2">
        <v>45269</v>
      </c>
      <c r="C253" t="str" cm="1">
        <f t="array" ref="C2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3">
        <f>YEAR(AllDataCorrected[[#This Row],[Date]])</f>
        <v>2023</v>
      </c>
      <c r="E253" s="1">
        <v>0.55486111111111114</v>
      </c>
      <c r="F2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3" t="str">
        <f>_xlfn.XLOOKUP(AllDataCorrected[[#This Row],[Location Name]], Locations[Location Name],Locations[Group As])</f>
        <v>Preston-on-Stour River Bridge</v>
      </c>
      <c r="H253" t="e" vm="1">
        <f>_xlfn.XLOOKUP(AllDataCorrected[[#This Row],[Site Name]],LocationsKey[Site Name],LocationsKey[District])</f>
        <v>#VALUE!</v>
      </c>
      <c r="I253" t="e" vm="20">
        <f>_xlfn.XLOOKUP(AllDataCorrected[[#This Row],[Site Name]],LocationsKey[Site Name],LocationsKey[Town])</f>
        <v>#VALUE!</v>
      </c>
      <c r="J253" t="str">
        <f>_xlfn.XLOOKUP(AllDataCorrected[[#This Row],[Site Name]],LocationsKey[Site Name], LocationsKey[Waterway])</f>
        <v>Stour</v>
      </c>
      <c r="K253" t="s">
        <v>164</v>
      </c>
      <c r="L253">
        <f>_xlfn.XLOOKUP(AllDataCorrected[[#This Row],[Site Name]],Tables!$B$12:$B$100, Tables!C$12:C$100)</f>
        <v>52.146672352941174</v>
      </c>
      <c r="M253">
        <f>_xlfn.XLOOKUP(AllDataCorrected[[#This Row],[Site Name]],Tables!$B$12:$B$100, Tables!D$12:D$100)</f>
        <v>-1.6984533333333334</v>
      </c>
      <c r="N253" t="s">
        <v>31</v>
      </c>
      <c r="O253">
        <v>525</v>
      </c>
      <c r="P253">
        <v>9.1999999999999993</v>
      </c>
      <c r="Q253">
        <v>5</v>
      </c>
      <c r="R253" t="str">
        <f>IF(AllDataCorrected[[#This Row],[Nitrate (PPM)]]&gt;2, "4. Very high (&gt;2ppm)", IF(AllDataCorrected[[#This Row],[Nitrate (PPM)]]&gt;1, "3. High (1-2ppm)", IF(AllDataCorrected[[#This Row],[Nitrate (PPM)]]&gt;0.5, "2. Some evidence (0.5-1ppm)", IF(AllDataCorrected[[#This Row],[Nitrate (PPM)]]&gt;=0, "1. No evidence (&lt;0.5ppm)"))))</f>
        <v>4. Very high (&gt;2ppm)</v>
      </c>
      <c r="S253">
        <v>0.3</v>
      </c>
      <c r="T2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3">
        <v>2.5</v>
      </c>
      <c r="V253" t="s">
        <v>422</v>
      </c>
    </row>
    <row r="254" spans="1:22" x14ac:dyDescent="0.35">
      <c r="A254" t="s">
        <v>423</v>
      </c>
      <c r="B254" s="2">
        <v>45269</v>
      </c>
      <c r="C254" t="str" cm="1">
        <f t="array" ref="C2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4">
        <f>YEAR(AllDataCorrected[[#This Row],[Date]])</f>
        <v>2023</v>
      </c>
      <c r="E254" s="1">
        <v>0.55833333333333335</v>
      </c>
      <c r="F2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4" t="str">
        <f>_xlfn.XLOOKUP(AllDataCorrected[[#This Row],[Location Name]], Locations[Location Name],Locations[Group As])</f>
        <v>Fell Mill Footbridge</v>
      </c>
      <c r="H254" t="e" vm="1">
        <f>_xlfn.XLOOKUP(AllDataCorrected[[#This Row],[Site Name]],LocationsKey[Site Name],LocationsKey[District])</f>
        <v>#VALUE!</v>
      </c>
      <c r="I254" t="e" vm="15">
        <f>_xlfn.XLOOKUP(AllDataCorrected[[#This Row],[Site Name]],LocationsKey[Site Name],LocationsKey[Town])</f>
        <v>#VALUE!</v>
      </c>
      <c r="J254" t="str">
        <f>_xlfn.XLOOKUP(AllDataCorrected[[#This Row],[Site Name]],LocationsKey[Site Name], LocationsKey[Waterway])</f>
        <v>Stour</v>
      </c>
      <c r="K254" t="s">
        <v>424</v>
      </c>
      <c r="L254">
        <f>_xlfn.XLOOKUP(AllDataCorrected[[#This Row],[Site Name]],Tables!$B$12:$B$100, Tables!C$12:C$100)</f>
        <v>52.069044372881365</v>
      </c>
      <c r="M254">
        <f>_xlfn.XLOOKUP(AllDataCorrected[[#This Row],[Site Name]],Tables!$B$12:$B$100, Tables!D$12:D$100)</f>
        <v>-1.6116270169491524</v>
      </c>
      <c r="N254" t="s">
        <v>31</v>
      </c>
      <c r="O254">
        <v>369</v>
      </c>
      <c r="P254">
        <v>9.8000000000000007</v>
      </c>
      <c r="Q254">
        <v>2</v>
      </c>
      <c r="R254" t="str">
        <f>IF(AllDataCorrected[[#This Row],[Nitrate (PPM)]]&gt;2, "4. Very high (&gt;2ppm)", IF(AllDataCorrected[[#This Row],[Nitrate (PPM)]]&gt;1, "3. High (1-2ppm)", IF(AllDataCorrected[[#This Row],[Nitrate (PPM)]]&gt;0.5, "2. Some evidence (0.5-1ppm)", IF(AllDataCorrected[[#This Row],[Nitrate (PPM)]]&gt;=0, "1. No evidence (&lt;0.5ppm)"))))</f>
        <v>3. High (1-2ppm)</v>
      </c>
      <c r="S254">
        <v>0.57999999999999996</v>
      </c>
      <c r="T2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4">
        <v>5</v>
      </c>
      <c r="V254" t="s">
        <v>425</v>
      </c>
    </row>
    <row r="255" spans="1:22" x14ac:dyDescent="0.35">
      <c r="A255" t="s">
        <v>426</v>
      </c>
      <c r="B255" s="2">
        <v>45269</v>
      </c>
      <c r="C255" t="str" cm="1">
        <f t="array" ref="C2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5">
        <f>YEAR(AllDataCorrected[[#This Row],[Date]])</f>
        <v>2023</v>
      </c>
      <c r="E255" s="1">
        <v>0.625</v>
      </c>
      <c r="F2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5" t="str">
        <f>_xlfn.XLOOKUP(AllDataCorrected[[#This Row],[Location Name]], Locations[Location Name],Locations[Group As])</f>
        <v>Clifford Chambers Mill Bridge</v>
      </c>
      <c r="H255" t="e" vm="1">
        <f>_xlfn.XLOOKUP(AllDataCorrected[[#This Row],[Site Name]],LocationsKey[Site Name],LocationsKey[District])</f>
        <v>#VALUE!</v>
      </c>
      <c r="I255" t="e" vm="22">
        <f>_xlfn.XLOOKUP(AllDataCorrected[[#This Row],[Site Name]],LocationsKey[Site Name],LocationsKey[Town])</f>
        <v>#VALUE!</v>
      </c>
      <c r="J255" t="str">
        <f>_xlfn.XLOOKUP(AllDataCorrected[[#This Row],[Site Name]],LocationsKey[Site Name], LocationsKey[Waterway])</f>
        <v>Stour</v>
      </c>
      <c r="K255" t="s">
        <v>266</v>
      </c>
      <c r="L255">
        <f>_xlfn.XLOOKUP(AllDataCorrected[[#This Row],[Site Name]],Tables!$B$12:$B$100, Tables!C$12:C$100)</f>
        <v>52.166363596153808</v>
      </c>
      <c r="M255">
        <f>_xlfn.XLOOKUP(AllDataCorrected[[#This Row],[Site Name]],Tables!$B$12:$B$100, Tables!D$12:D$100)</f>
        <v>-1.7080375384615398</v>
      </c>
      <c r="N255" t="s">
        <v>68</v>
      </c>
      <c r="O255">
        <v>504</v>
      </c>
      <c r="P255">
        <v>12.7</v>
      </c>
      <c r="Q255">
        <v>5</v>
      </c>
      <c r="R255" t="str">
        <f>IF(AllDataCorrected[[#This Row],[Nitrate (PPM)]]&gt;2, "4. Very high (&gt;2ppm)", IF(AllDataCorrected[[#This Row],[Nitrate (PPM)]]&gt;1, "3. High (1-2ppm)", IF(AllDataCorrected[[#This Row],[Nitrate (PPM)]]&gt;0.5, "2. Some evidence (0.5-1ppm)", IF(AllDataCorrected[[#This Row],[Nitrate (PPM)]]&gt;=0, "1. No evidence (&lt;0.5ppm)"))))</f>
        <v>4. Very high (&gt;2ppm)</v>
      </c>
      <c r="S255">
        <v>0.27</v>
      </c>
      <c r="T2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5">
        <v>1.85</v>
      </c>
      <c r="V255" t="s">
        <v>427</v>
      </c>
    </row>
    <row r="256" spans="1:22" x14ac:dyDescent="0.35">
      <c r="A256" t="s">
        <v>428</v>
      </c>
      <c r="B256" s="2">
        <v>45269</v>
      </c>
      <c r="C256" t="str" cm="1">
        <f t="array" ref="C2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6">
        <f>YEAR(AllDataCorrected[[#This Row],[Date]])</f>
        <v>2023</v>
      </c>
      <c r="E256" s="1">
        <v>0.63888888888888884</v>
      </c>
      <c r="F2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6" t="str">
        <f>_xlfn.XLOOKUP(AllDataCorrected[[#This Row],[Location Name]], Locations[Location Name],Locations[Group As])</f>
        <v>Clifford Chambers Road Bridge</v>
      </c>
      <c r="H256" t="e" vm="1">
        <f>_xlfn.XLOOKUP(AllDataCorrected[[#This Row],[Site Name]],LocationsKey[Site Name],LocationsKey[District])</f>
        <v>#VALUE!</v>
      </c>
      <c r="I256" t="e" vm="22">
        <f>_xlfn.XLOOKUP(AllDataCorrected[[#This Row],[Site Name]],LocationsKey[Site Name],LocationsKey[Town])</f>
        <v>#VALUE!</v>
      </c>
      <c r="J256" t="str">
        <f>_xlfn.XLOOKUP(AllDataCorrected[[#This Row],[Site Name]],LocationsKey[Site Name], LocationsKey[Waterway])</f>
        <v>Stour</v>
      </c>
      <c r="K256" t="s">
        <v>429</v>
      </c>
      <c r="L256">
        <f>_xlfn.XLOOKUP(AllDataCorrected[[#This Row],[Site Name]],Tables!$B$12:$B$100, Tables!C$12:C$100)</f>
        <v>52.172840000000001</v>
      </c>
      <c r="M256">
        <f>_xlfn.XLOOKUP(AllDataCorrected[[#This Row],[Site Name]],Tables!$B$12:$B$100, Tables!D$12:D$100)</f>
        <v>-1.71377</v>
      </c>
      <c r="N256" t="s">
        <v>191</v>
      </c>
      <c r="O256">
        <v>513</v>
      </c>
      <c r="P256">
        <v>12.9</v>
      </c>
      <c r="Q256">
        <v>5</v>
      </c>
      <c r="R256" t="str">
        <f>IF(AllDataCorrected[[#This Row],[Nitrate (PPM)]]&gt;2, "4. Very high (&gt;2ppm)", IF(AllDataCorrected[[#This Row],[Nitrate (PPM)]]&gt;1, "3. High (1-2ppm)", IF(AllDataCorrected[[#This Row],[Nitrate (PPM)]]&gt;0.5, "2. Some evidence (0.5-1ppm)", IF(AllDataCorrected[[#This Row],[Nitrate (PPM)]]&gt;=0, "1. No evidence (&lt;0.5ppm)"))))</f>
        <v>4. Very high (&gt;2ppm)</v>
      </c>
      <c r="S256">
        <v>0.34</v>
      </c>
      <c r="T2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6">
        <v>1.85</v>
      </c>
      <c r="V256" t="s">
        <v>430</v>
      </c>
    </row>
    <row r="257" spans="1:22" x14ac:dyDescent="0.35">
      <c r="A257" t="s">
        <v>431</v>
      </c>
      <c r="B257" s="2">
        <v>45270</v>
      </c>
      <c r="C257" t="str" cm="1">
        <f t="array" ref="C2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7">
        <f>YEAR(AllDataCorrected[[#This Row],[Date]])</f>
        <v>2023</v>
      </c>
      <c r="E257" s="1">
        <v>0.41666666666666669</v>
      </c>
      <c r="F2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7" t="str">
        <f>_xlfn.XLOOKUP(AllDataCorrected[[#This Row],[Location Name]], Locations[Location Name],Locations[Group As])</f>
        <v>Barton</v>
      </c>
      <c r="H257" t="e" vm="1">
        <f>_xlfn.XLOOKUP(AllDataCorrected[[#This Row],[Site Name]],LocationsKey[Site Name],LocationsKey[District])</f>
        <v>#VALUE!</v>
      </c>
      <c r="I257" t="str">
        <f>_xlfn.XLOOKUP(AllDataCorrected[[#This Row],[Site Name]],LocationsKey[Site Name],LocationsKey[Town])</f>
        <v>Barton</v>
      </c>
      <c r="J257" t="str">
        <f>_xlfn.XLOOKUP(AllDataCorrected[[#This Row],[Site Name]],LocationsKey[Site Name], LocationsKey[Waterway])</f>
        <v>Avon</v>
      </c>
      <c r="K257" t="s">
        <v>51</v>
      </c>
      <c r="L257">
        <f>_xlfn.XLOOKUP(AllDataCorrected[[#This Row],[Site Name]],Tables!$B$12:$B$100, Tables!C$12:C$100)</f>
        <v>52.16120999999999</v>
      </c>
      <c r="M257">
        <f>_xlfn.XLOOKUP(AllDataCorrected[[#This Row],[Site Name]],Tables!$B$12:$B$100, Tables!D$12:D$100)</f>
        <v>-1.8301499999999999</v>
      </c>
      <c r="N257" t="s">
        <v>31</v>
      </c>
      <c r="O257">
        <v>524</v>
      </c>
      <c r="P257">
        <v>7.5</v>
      </c>
      <c r="Q257">
        <v>5</v>
      </c>
      <c r="R257" t="str">
        <f>IF(AllDataCorrected[[#This Row],[Nitrate (PPM)]]&gt;2, "4. Very high (&gt;2ppm)", IF(AllDataCorrected[[#This Row],[Nitrate (PPM)]]&gt;1, "3. High (1-2ppm)", IF(AllDataCorrected[[#This Row],[Nitrate (PPM)]]&gt;0.5, "2. Some evidence (0.5-1ppm)", IF(AllDataCorrected[[#This Row],[Nitrate (PPM)]]&gt;=0, "1. No evidence (&lt;0.5ppm)"))))</f>
        <v>4. Very high (&gt;2ppm)</v>
      </c>
      <c r="S257">
        <v>0.64</v>
      </c>
      <c r="T2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7">
        <v>0</v>
      </c>
    </row>
    <row r="258" spans="1:22" x14ac:dyDescent="0.35">
      <c r="A258" t="s">
        <v>432</v>
      </c>
      <c r="B258" s="2">
        <v>45270</v>
      </c>
      <c r="C258" t="str" cm="1">
        <f t="array" ref="C2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8">
        <f>YEAR(AllDataCorrected[[#This Row],[Date]])</f>
        <v>2023</v>
      </c>
      <c r="E258" s="1">
        <v>0.41666666666666669</v>
      </c>
      <c r="F2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58" t="str">
        <f>_xlfn.XLOOKUP(AllDataCorrected[[#This Row],[Location Name]], Locations[Location Name],Locations[Group As])</f>
        <v>Lucy's Mill Bridge</v>
      </c>
      <c r="H258" t="e" vm="1">
        <f>_xlfn.XLOOKUP(AllDataCorrected[[#This Row],[Site Name]],LocationsKey[Site Name],LocationsKey[District])</f>
        <v>#VALUE!</v>
      </c>
      <c r="I258" t="e" vm="12">
        <f>_xlfn.XLOOKUP(AllDataCorrected[[#This Row],[Site Name]],LocationsKey[Site Name],LocationsKey[Town])</f>
        <v>#VALUE!</v>
      </c>
      <c r="J258" t="str">
        <f>_xlfn.XLOOKUP(AllDataCorrected[[#This Row],[Site Name]],LocationsKey[Site Name], LocationsKey[Waterway])</f>
        <v>Avon</v>
      </c>
      <c r="K258" t="s">
        <v>212</v>
      </c>
      <c r="L258">
        <f>_xlfn.XLOOKUP(AllDataCorrected[[#This Row],[Site Name]],Tables!$B$12:$B$100, Tables!C$12:C$100)</f>
        <v>52.183699000000011</v>
      </c>
      <c r="M258">
        <f>_xlfn.XLOOKUP(AllDataCorrected[[#This Row],[Site Name]],Tables!$B$12:$B$100, Tables!D$12:D$100)</f>
        <v>-1.7078160000000004</v>
      </c>
      <c r="N258" t="s">
        <v>31</v>
      </c>
      <c r="P258">
        <v>9</v>
      </c>
      <c r="Q258">
        <v>10</v>
      </c>
      <c r="R258" t="str">
        <f>IF(AllDataCorrected[[#This Row],[Nitrate (PPM)]]&gt;2, "4. Very high (&gt;2ppm)", IF(AllDataCorrected[[#This Row],[Nitrate (PPM)]]&gt;1, "3. High (1-2ppm)", IF(AllDataCorrected[[#This Row],[Nitrate (PPM)]]&gt;0.5, "2. Some evidence (0.5-1ppm)", IF(AllDataCorrected[[#This Row],[Nitrate (PPM)]]&gt;=0, "1. No evidence (&lt;0.5ppm)"))))</f>
        <v>4. Very high (&gt;2ppm)</v>
      </c>
      <c r="S258">
        <v>0.59</v>
      </c>
      <c r="T2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58">
        <v>0.7</v>
      </c>
    </row>
    <row r="259" spans="1:22" x14ac:dyDescent="0.35">
      <c r="A259" t="s">
        <v>433</v>
      </c>
      <c r="B259" s="2">
        <v>45270</v>
      </c>
      <c r="C259" t="str" cm="1">
        <f t="array" ref="C2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59">
        <f>YEAR(AllDataCorrected[[#This Row],[Date]])</f>
        <v>2023</v>
      </c>
      <c r="E259" s="1">
        <v>0.51041666666666663</v>
      </c>
      <c r="F2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59" t="str">
        <f>_xlfn.XLOOKUP(AllDataCorrected[[#This Row],[Location Name]], Locations[Location Name],Locations[Group As])</f>
        <v>Hampton Wood</v>
      </c>
      <c r="H259" t="e" vm="1">
        <f>_xlfn.XLOOKUP(AllDataCorrected[[#This Row],[Site Name]],LocationsKey[Site Name],LocationsKey[District])</f>
        <v>#VALUE!</v>
      </c>
      <c r="I259" t="e" vm="34">
        <f>_xlfn.XLOOKUP(AllDataCorrected[[#This Row],[Site Name]],LocationsKey[Site Name],LocationsKey[Town])</f>
        <v>#VALUE!</v>
      </c>
      <c r="J259" t="str">
        <f>_xlfn.XLOOKUP(AllDataCorrected[[#This Row],[Site Name]],LocationsKey[Site Name], LocationsKey[Waterway])</f>
        <v>Avon</v>
      </c>
      <c r="K259" t="s">
        <v>36</v>
      </c>
      <c r="L259">
        <f>_xlfn.XLOOKUP(AllDataCorrected[[#This Row],[Site Name]],Tables!$B$12:$B$100, Tables!C$12:C$100)</f>
        <v>52.23814999999999</v>
      </c>
      <c r="M259">
        <f>_xlfn.XLOOKUP(AllDataCorrected[[#This Row],[Site Name]],Tables!$B$12:$B$100, Tables!D$12:D$100)</f>
        <v>-1.6245800000000008</v>
      </c>
      <c r="N259" t="s">
        <v>31</v>
      </c>
      <c r="O259">
        <v>536</v>
      </c>
      <c r="P259">
        <v>9</v>
      </c>
      <c r="Q259">
        <v>10</v>
      </c>
      <c r="R259" t="str">
        <f>IF(AllDataCorrected[[#This Row],[Nitrate (PPM)]]&gt;2, "4. Very high (&gt;2ppm)", IF(AllDataCorrected[[#This Row],[Nitrate (PPM)]]&gt;1, "3. High (1-2ppm)", IF(AllDataCorrected[[#This Row],[Nitrate (PPM)]]&gt;0.5, "2. Some evidence (0.5-1ppm)", IF(AllDataCorrected[[#This Row],[Nitrate (PPM)]]&gt;=0, "1. No evidence (&lt;0.5ppm)"))))</f>
        <v>4. Very high (&gt;2ppm)</v>
      </c>
      <c r="S259">
        <v>0.37</v>
      </c>
      <c r="T2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59">
        <v>0</v>
      </c>
    </row>
    <row r="260" spans="1:22" x14ac:dyDescent="0.35">
      <c r="A260" t="s">
        <v>434</v>
      </c>
      <c r="B260" s="2">
        <v>45270</v>
      </c>
      <c r="C260" t="str" cm="1">
        <f t="array" ref="C2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0">
        <f>YEAR(AllDataCorrected[[#This Row],[Date]])</f>
        <v>2023</v>
      </c>
      <c r="E260" s="1">
        <v>0.66666666666666663</v>
      </c>
      <c r="F2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0" t="str">
        <f>_xlfn.XLOOKUP(AllDataCorrected[[#This Row],[Location Name]], Locations[Location Name],Locations[Group As])</f>
        <v>Stour Shipston Mill Bridge</v>
      </c>
      <c r="H260" t="e" vm="1">
        <f>_xlfn.XLOOKUP(AllDataCorrected[[#This Row],[Site Name]],LocationsKey[Site Name],LocationsKey[District])</f>
        <v>#VALUE!</v>
      </c>
      <c r="I260" t="e" vm="15">
        <f>_xlfn.XLOOKUP(AllDataCorrected[[#This Row],[Site Name]],LocationsKey[Site Name],LocationsKey[Town])</f>
        <v>#VALUE!</v>
      </c>
      <c r="J260" t="str">
        <f>_xlfn.XLOOKUP(AllDataCorrected[[#This Row],[Site Name]],LocationsKey[Site Name], LocationsKey[Waterway])</f>
        <v>Stour</v>
      </c>
      <c r="K260" t="s">
        <v>435</v>
      </c>
      <c r="L260">
        <f>_xlfn.XLOOKUP(AllDataCorrected[[#This Row],[Site Name]],Tables!$B$12:$B$100, Tables!C$12:C$100)</f>
        <v>52.062214921052629</v>
      </c>
      <c r="M260">
        <f>_xlfn.XLOOKUP(AllDataCorrected[[#This Row],[Site Name]],Tables!$B$12:$B$100, Tables!D$12:D$100)</f>
        <v>-1.6223788421052625</v>
      </c>
      <c r="N260" t="s">
        <v>25</v>
      </c>
      <c r="O260">
        <v>543</v>
      </c>
      <c r="P260">
        <v>9.3000000000000007</v>
      </c>
      <c r="Q260">
        <v>2</v>
      </c>
      <c r="R260" t="str">
        <f>IF(AllDataCorrected[[#This Row],[Nitrate (PPM)]]&gt;2, "4. Very high (&gt;2ppm)", IF(AllDataCorrected[[#This Row],[Nitrate (PPM)]]&gt;1, "3. High (1-2ppm)", IF(AllDataCorrected[[#This Row],[Nitrate (PPM)]]&gt;0.5, "2. Some evidence (0.5-1ppm)", IF(AllDataCorrected[[#This Row],[Nitrate (PPM)]]&gt;=0, "1. No evidence (&lt;0.5ppm)"))))</f>
        <v>3. High (1-2ppm)</v>
      </c>
      <c r="S260">
        <v>0.23</v>
      </c>
      <c r="T2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0">
        <v>3</v>
      </c>
    </row>
    <row r="261" spans="1:22" x14ac:dyDescent="0.35">
      <c r="A261" t="s">
        <v>436</v>
      </c>
      <c r="B261" s="2">
        <v>45270</v>
      </c>
      <c r="C261" t="str" cm="1">
        <f t="array" ref="C2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1">
        <f>YEAR(AllDataCorrected[[#This Row],[Date]])</f>
        <v>2023</v>
      </c>
      <c r="E261" s="1">
        <v>0.66666666666666663</v>
      </c>
      <c r="F2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1" t="str">
        <f>_xlfn.XLOOKUP(AllDataCorrected[[#This Row],[Location Name]], Locations[Location Name],Locations[Group As])</f>
        <v>Welford Boat Station</v>
      </c>
      <c r="H261" t="e" vm="1">
        <f>_xlfn.XLOOKUP(AllDataCorrected[[#This Row],[Site Name]],LocationsKey[Site Name],LocationsKey[District])</f>
        <v>#VALUE!</v>
      </c>
      <c r="I261" t="e" vm="36">
        <f>_xlfn.XLOOKUP(AllDataCorrected[[#This Row],[Site Name]],LocationsKey[Site Name],LocationsKey[Town])</f>
        <v>#VALUE!</v>
      </c>
      <c r="J261" t="str">
        <f>_xlfn.XLOOKUP(AllDataCorrected[[#This Row],[Site Name]],LocationsKey[Site Name], LocationsKey[Waterway])</f>
        <v>Avon</v>
      </c>
      <c r="K261" t="s">
        <v>41</v>
      </c>
      <c r="L261">
        <f>_xlfn.XLOOKUP(AllDataCorrected[[#This Row],[Site Name]],Tables!$B$12:$B$100, Tables!C$12:C$100)</f>
        <v>52.175174684210546</v>
      </c>
      <c r="M261">
        <f>_xlfn.XLOOKUP(AllDataCorrected[[#This Row],[Site Name]],Tables!$B$12:$B$100, Tables!D$12:D$100)</f>
        <v>-1.7918551052631577</v>
      </c>
      <c r="N261" t="s">
        <v>31</v>
      </c>
      <c r="O261">
        <v>538</v>
      </c>
      <c r="P261">
        <v>8.5</v>
      </c>
      <c r="Q261">
        <v>10</v>
      </c>
      <c r="R261" t="str">
        <f>IF(AllDataCorrected[[#This Row],[Nitrate (PPM)]]&gt;2, "4. Very high (&gt;2ppm)", IF(AllDataCorrected[[#This Row],[Nitrate (PPM)]]&gt;1, "3. High (1-2ppm)", IF(AllDataCorrected[[#This Row],[Nitrate (PPM)]]&gt;0.5, "2. Some evidence (0.5-1ppm)", IF(AllDataCorrected[[#This Row],[Nitrate (PPM)]]&gt;=0, "1. No evidence (&lt;0.5ppm)"))))</f>
        <v>4. Very high (&gt;2ppm)</v>
      </c>
      <c r="S261">
        <v>0.6</v>
      </c>
      <c r="T2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1">
        <v>0</v>
      </c>
    </row>
    <row r="262" spans="1:22" x14ac:dyDescent="0.35">
      <c r="A262" t="s">
        <v>437</v>
      </c>
      <c r="B262" s="2">
        <v>45270</v>
      </c>
      <c r="C262" t="str" cm="1">
        <f t="array" ref="C2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2">
        <f>YEAR(AllDataCorrected[[#This Row],[Date]])</f>
        <v>2023</v>
      </c>
      <c r="E262" s="1">
        <v>0.67777777777777781</v>
      </c>
      <c r="F2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2" t="str">
        <f>_xlfn.XLOOKUP(AllDataCorrected[[#This Row],[Location Name]], Locations[Location Name],Locations[Group As])</f>
        <v>Abbey Mill</v>
      </c>
      <c r="H262" t="e" vm="4">
        <f>_xlfn.XLOOKUP(AllDataCorrected[[#This Row],[Site Name]],LocationsKey[Site Name],LocationsKey[District])</f>
        <v>#VALUE!</v>
      </c>
      <c r="I262" t="e" vm="4">
        <f>_xlfn.XLOOKUP(AllDataCorrected[[#This Row],[Site Name]],LocationsKey[Site Name],LocationsKey[Town])</f>
        <v>#VALUE!</v>
      </c>
      <c r="J262" t="str">
        <f>_xlfn.XLOOKUP(AllDataCorrected[[#This Row],[Site Name]],LocationsKey[Site Name], LocationsKey[Waterway])</f>
        <v>Avon</v>
      </c>
      <c r="K262" t="s">
        <v>24</v>
      </c>
      <c r="L262">
        <f>_xlfn.XLOOKUP(AllDataCorrected[[#This Row],[Site Name]],Tables!$B$12:$B$100, Tables!C$12:C$100)</f>
        <v>51.991313075757589</v>
      </c>
      <c r="M262">
        <f>_xlfn.XLOOKUP(AllDataCorrected[[#This Row],[Site Name]],Tables!$B$12:$B$100, Tables!D$12:D$100)</f>
        <v>-2.1621998181818181</v>
      </c>
      <c r="N262" t="s">
        <v>25</v>
      </c>
      <c r="O262">
        <v>512</v>
      </c>
      <c r="P262">
        <v>10.8</v>
      </c>
      <c r="Q262">
        <v>5</v>
      </c>
      <c r="R262" t="str">
        <f>IF(AllDataCorrected[[#This Row],[Nitrate (PPM)]]&gt;2, "4. Very high (&gt;2ppm)", IF(AllDataCorrected[[#This Row],[Nitrate (PPM)]]&gt;1, "3. High (1-2ppm)", IF(AllDataCorrected[[#This Row],[Nitrate (PPM)]]&gt;0.5, "2. Some evidence (0.5-1ppm)", IF(AllDataCorrected[[#This Row],[Nitrate (PPM)]]&gt;=0, "1. No evidence (&lt;0.5ppm)"))))</f>
        <v>4. Very high (&gt;2ppm)</v>
      </c>
      <c r="S262">
        <v>0.76</v>
      </c>
      <c r="T2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2">
        <v>2</v>
      </c>
      <c r="V262" t="s">
        <v>272</v>
      </c>
    </row>
    <row r="263" spans="1:22" x14ac:dyDescent="0.35">
      <c r="A263" t="s">
        <v>438</v>
      </c>
      <c r="B263" s="2">
        <v>45271</v>
      </c>
      <c r="C263" t="str" cm="1">
        <f t="array" ref="C2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3">
        <f>YEAR(AllDataCorrected[[#This Row],[Date]])</f>
        <v>2023</v>
      </c>
      <c r="E263" s="1">
        <v>0.36805555555555558</v>
      </c>
      <c r="F2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63" t="str">
        <f>_xlfn.XLOOKUP(AllDataCorrected[[#This Row],[Location Name]], Locations[Location Name],Locations[Group As])</f>
        <v>Stour Stretton-on-Fosse Village</v>
      </c>
      <c r="H263" t="e" vm="1">
        <f>_xlfn.XLOOKUP(AllDataCorrected[[#This Row],[Site Name]],LocationsKey[Site Name],LocationsKey[District])</f>
        <v>#VALUE!</v>
      </c>
      <c r="I263" t="e" vm="30">
        <f>_xlfn.XLOOKUP(AllDataCorrected[[#This Row],[Site Name]],LocationsKey[Site Name],LocationsKey[Town])</f>
        <v>#VALUE!</v>
      </c>
      <c r="J263" t="str">
        <f>_xlfn.XLOOKUP(AllDataCorrected[[#This Row],[Site Name]],LocationsKey[Site Name], LocationsKey[Waterway])</f>
        <v>Stour</v>
      </c>
      <c r="K263" t="s">
        <v>385</v>
      </c>
      <c r="L263">
        <f>_xlfn.XLOOKUP(AllDataCorrected[[#This Row],[Site Name]],Tables!$B$12:$B$100, Tables!C$12:C$100)</f>
        <v>52.046517558823531</v>
      </c>
      <c r="M263">
        <f>_xlfn.XLOOKUP(AllDataCorrected[[#This Row],[Site Name]],Tables!$B$12:$B$100, Tables!D$12:D$100)</f>
        <v>-1.6734143529411762</v>
      </c>
      <c r="N263" t="s">
        <v>68</v>
      </c>
      <c r="O263">
        <v>449</v>
      </c>
      <c r="P263">
        <v>8.8000000000000007</v>
      </c>
      <c r="Q263">
        <v>2</v>
      </c>
      <c r="R263" t="str">
        <f>IF(AllDataCorrected[[#This Row],[Nitrate (PPM)]]&gt;2, "4. Very high (&gt;2ppm)", IF(AllDataCorrected[[#This Row],[Nitrate (PPM)]]&gt;1, "3. High (1-2ppm)", IF(AllDataCorrected[[#This Row],[Nitrate (PPM)]]&gt;0.5, "2. Some evidence (0.5-1ppm)", IF(AllDataCorrected[[#This Row],[Nitrate (PPM)]]&gt;=0, "1. No evidence (&lt;0.5ppm)"))))</f>
        <v>3. High (1-2ppm)</v>
      </c>
      <c r="S263">
        <v>0.6</v>
      </c>
      <c r="T2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3">
        <v>0.4</v>
      </c>
    </row>
    <row r="264" spans="1:22" x14ac:dyDescent="0.35">
      <c r="A264" t="s">
        <v>439</v>
      </c>
      <c r="B264" s="2">
        <v>45271</v>
      </c>
      <c r="C264" t="str" cm="1">
        <f t="array" ref="C2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4">
        <f>YEAR(AllDataCorrected[[#This Row],[Date]])</f>
        <v>2023</v>
      </c>
      <c r="E264" s="1">
        <v>0.37916666666666665</v>
      </c>
      <c r="F2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64" t="str">
        <f>_xlfn.XLOOKUP(AllDataCorrected[[#This Row],[Location Name]], Locations[Location Name],Locations[Group As])</f>
        <v>Stour Stretton-on-Fosse Sewage Works</v>
      </c>
      <c r="H264" t="e" vm="1">
        <f>_xlfn.XLOOKUP(AllDataCorrected[[#This Row],[Site Name]],LocationsKey[Site Name],LocationsKey[District])</f>
        <v>#VALUE!</v>
      </c>
      <c r="I264" t="e" vm="30">
        <f>_xlfn.XLOOKUP(AllDataCorrected[[#This Row],[Site Name]],LocationsKey[Site Name],LocationsKey[Town])</f>
        <v>#VALUE!</v>
      </c>
      <c r="J264" t="str">
        <f>_xlfn.XLOOKUP(AllDataCorrected[[#This Row],[Site Name]],LocationsKey[Site Name], LocationsKey[Waterway])</f>
        <v>Stour</v>
      </c>
      <c r="K264" t="s">
        <v>337</v>
      </c>
      <c r="L264">
        <f>_xlfn.XLOOKUP(AllDataCorrected[[#This Row],[Site Name]],Tables!$B$12:$B$100, Tables!C$12:C$100)</f>
        <v>52.045653647058828</v>
      </c>
      <c r="M264">
        <f>_xlfn.XLOOKUP(AllDataCorrected[[#This Row],[Site Name]],Tables!$B$12:$B$100, Tables!D$12:D$100)</f>
        <v>-1.6719221470588239</v>
      </c>
      <c r="N264" t="s">
        <v>31</v>
      </c>
      <c r="O264">
        <v>435</v>
      </c>
      <c r="P264">
        <v>8.3000000000000007</v>
      </c>
      <c r="Q264">
        <v>2</v>
      </c>
      <c r="R264" t="str">
        <f>IF(AllDataCorrected[[#This Row],[Nitrate (PPM)]]&gt;2, "4. Very high (&gt;2ppm)", IF(AllDataCorrected[[#This Row],[Nitrate (PPM)]]&gt;1, "3. High (1-2ppm)", IF(AllDataCorrected[[#This Row],[Nitrate (PPM)]]&gt;0.5, "2. Some evidence (0.5-1ppm)", IF(AllDataCorrected[[#This Row],[Nitrate (PPM)]]&gt;=0, "1. No evidence (&lt;0.5ppm)"))))</f>
        <v>3. High (1-2ppm)</v>
      </c>
      <c r="S264">
        <v>0.56999999999999995</v>
      </c>
      <c r="T2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4">
        <v>0.6</v>
      </c>
    </row>
    <row r="265" spans="1:22" x14ac:dyDescent="0.35">
      <c r="A265" t="s">
        <v>440</v>
      </c>
      <c r="B265" s="2">
        <v>45271</v>
      </c>
      <c r="C265" t="str" cm="1">
        <f t="array" ref="C2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5">
        <f>YEAR(AllDataCorrected[[#This Row],[Date]])</f>
        <v>2023</v>
      </c>
      <c r="E265" s="1">
        <v>0.61458333333333337</v>
      </c>
      <c r="F2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5" t="str">
        <f>_xlfn.XLOOKUP(AllDataCorrected[[#This Row],[Location Name]], Locations[Location Name],Locations[Group As])</f>
        <v>Carrant Bredon Rd</v>
      </c>
      <c r="H265" t="e" vm="4">
        <f>_xlfn.XLOOKUP(AllDataCorrected[[#This Row],[Site Name]],LocationsKey[Site Name],LocationsKey[District])</f>
        <v>#VALUE!</v>
      </c>
      <c r="I265" t="e" vm="4">
        <f>_xlfn.XLOOKUP(AllDataCorrected[[#This Row],[Site Name]],LocationsKey[Site Name],LocationsKey[Town])</f>
        <v>#VALUE!</v>
      </c>
      <c r="J265" t="str">
        <f>_xlfn.XLOOKUP(AllDataCorrected[[#This Row],[Site Name]],LocationsKey[Site Name], LocationsKey[Waterway])</f>
        <v>Carrant</v>
      </c>
      <c r="K265" t="s">
        <v>441</v>
      </c>
      <c r="L265">
        <f>_xlfn.XLOOKUP(AllDataCorrected[[#This Row],[Site Name]],Tables!$B$12:$B$100, Tables!C$12:C$100)</f>
        <v>51.996322536231894</v>
      </c>
      <c r="M265">
        <f>_xlfn.XLOOKUP(AllDataCorrected[[#This Row],[Site Name]],Tables!$B$12:$B$100, Tables!D$12:D$100)</f>
        <v>-2.1558410144927538</v>
      </c>
      <c r="N265" t="s">
        <v>25</v>
      </c>
      <c r="O265">
        <v>628</v>
      </c>
      <c r="P265">
        <v>9.6</v>
      </c>
      <c r="Q265">
        <v>6</v>
      </c>
      <c r="R265" t="str">
        <f>IF(AllDataCorrected[[#This Row],[Nitrate (PPM)]]&gt;2, "4. Very high (&gt;2ppm)", IF(AllDataCorrected[[#This Row],[Nitrate (PPM)]]&gt;1, "3. High (1-2ppm)", IF(AllDataCorrected[[#This Row],[Nitrate (PPM)]]&gt;0.5, "2. Some evidence (0.5-1ppm)", IF(AllDataCorrected[[#This Row],[Nitrate (PPM)]]&gt;=0, "1. No evidence (&lt;0.5ppm)"))))</f>
        <v>4. Very high (&gt;2ppm)</v>
      </c>
      <c r="S265">
        <v>0.35</v>
      </c>
      <c r="T2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5">
        <v>1.5</v>
      </c>
      <c r="V265" t="s">
        <v>293</v>
      </c>
    </row>
    <row r="266" spans="1:22" x14ac:dyDescent="0.35">
      <c r="A266" t="s">
        <v>442</v>
      </c>
      <c r="B266" s="2">
        <v>45273</v>
      </c>
      <c r="C266" t="str" cm="1">
        <f t="array" ref="C2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6">
        <f>YEAR(AllDataCorrected[[#This Row],[Date]])</f>
        <v>2023</v>
      </c>
      <c r="E266" s="1">
        <v>0.59375</v>
      </c>
      <c r="F2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6" t="str">
        <f>_xlfn.XLOOKUP(AllDataCorrected[[#This Row],[Location Name]], Locations[Location Name],Locations[Group As])</f>
        <v>Alveston Weir</v>
      </c>
      <c r="H266" t="e" vm="1">
        <f>_xlfn.XLOOKUP(AllDataCorrected[[#This Row],[Site Name]],LocationsKey[Site Name],LocationsKey[District])</f>
        <v>#VALUE!</v>
      </c>
      <c r="I266" t="e" vm="2">
        <f>_xlfn.XLOOKUP(AllDataCorrected[[#This Row],[Site Name]],LocationsKey[Site Name],LocationsKey[Town])</f>
        <v>#VALUE!</v>
      </c>
      <c r="J266" t="str">
        <f>_xlfn.XLOOKUP(AllDataCorrected[[#This Row],[Site Name]],LocationsKey[Site Name], LocationsKey[Waterway])</f>
        <v>Avon</v>
      </c>
      <c r="K266" t="s">
        <v>288</v>
      </c>
      <c r="L266">
        <f>_xlfn.XLOOKUP(AllDataCorrected[[#This Row],[Site Name]],Tables!$B$12:$B$100, Tables!C$12:C$100)</f>
        <v>52.21226301333337</v>
      </c>
      <c r="M266">
        <f>_xlfn.XLOOKUP(AllDataCorrected[[#This Row],[Site Name]],Tables!$B$12:$B$100, Tables!D$12:D$100)</f>
        <v>-1.6595226800000011</v>
      </c>
      <c r="N266" t="s">
        <v>31</v>
      </c>
      <c r="O266">
        <v>525</v>
      </c>
      <c r="P266">
        <v>8.6999999999999993</v>
      </c>
      <c r="Q266">
        <v>5</v>
      </c>
      <c r="R266" t="str">
        <f>IF(AllDataCorrected[[#This Row],[Nitrate (PPM)]]&gt;2, "4. Very high (&gt;2ppm)", IF(AllDataCorrected[[#This Row],[Nitrate (PPM)]]&gt;1, "3. High (1-2ppm)", IF(AllDataCorrected[[#This Row],[Nitrate (PPM)]]&gt;0.5, "2. Some evidence (0.5-1ppm)", IF(AllDataCorrected[[#This Row],[Nitrate (PPM)]]&gt;=0, "1. No evidence (&lt;0.5ppm)"))))</f>
        <v>4. Very high (&gt;2ppm)</v>
      </c>
      <c r="S266">
        <v>0.43</v>
      </c>
      <c r="T2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6">
        <v>2</v>
      </c>
      <c r="V266" t="s">
        <v>443</v>
      </c>
    </row>
    <row r="267" spans="1:22" x14ac:dyDescent="0.35">
      <c r="A267" t="s">
        <v>444</v>
      </c>
      <c r="B267" s="2">
        <v>45273</v>
      </c>
      <c r="C267" t="str" cm="1">
        <f t="array" ref="C2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7">
        <f>YEAR(AllDataCorrected[[#This Row],[Date]])</f>
        <v>2023</v>
      </c>
      <c r="E267" s="1">
        <v>0.60416666666666663</v>
      </c>
      <c r="F26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7" t="str">
        <f>_xlfn.XLOOKUP(AllDataCorrected[[#This Row],[Location Name]], Locations[Location Name],Locations[Group As])</f>
        <v>Swiffen Bank</v>
      </c>
      <c r="H267" t="e" vm="1">
        <f>_xlfn.XLOOKUP(AllDataCorrected[[#This Row],[Site Name]],LocationsKey[Site Name],LocationsKey[District])</f>
        <v>#VALUE!</v>
      </c>
      <c r="I267" t="e" vm="2">
        <f>_xlfn.XLOOKUP(AllDataCorrected[[#This Row],[Site Name]],LocationsKey[Site Name],LocationsKey[Town])</f>
        <v>#VALUE!</v>
      </c>
      <c r="J267" t="str">
        <f>_xlfn.XLOOKUP(AllDataCorrected[[#This Row],[Site Name]],LocationsKey[Site Name], LocationsKey[Waterway])</f>
        <v>Avon</v>
      </c>
      <c r="K267" t="s">
        <v>445</v>
      </c>
      <c r="L267">
        <f>_xlfn.XLOOKUP(AllDataCorrected[[#This Row],[Site Name]],Tables!$B$12:$B$100, Tables!C$12:C$100)</f>
        <v>52.206649805555557</v>
      </c>
      <c r="M267">
        <f>_xlfn.XLOOKUP(AllDataCorrected[[#This Row],[Site Name]],Tables!$B$12:$B$100, Tables!D$12:D$100)</f>
        <v>-1.6541018611111094</v>
      </c>
      <c r="N267" t="s">
        <v>31</v>
      </c>
      <c r="O267">
        <v>511</v>
      </c>
      <c r="P267">
        <v>8.5</v>
      </c>
      <c r="Q267">
        <v>5</v>
      </c>
      <c r="R267" t="str">
        <f>IF(AllDataCorrected[[#This Row],[Nitrate (PPM)]]&gt;2, "4. Very high (&gt;2ppm)", IF(AllDataCorrected[[#This Row],[Nitrate (PPM)]]&gt;1, "3. High (1-2ppm)", IF(AllDataCorrected[[#This Row],[Nitrate (PPM)]]&gt;0.5, "2. Some evidence (0.5-1ppm)", IF(AllDataCorrected[[#This Row],[Nitrate (PPM)]]&gt;=0, "1. No evidence (&lt;0.5ppm)"))))</f>
        <v>4. Very high (&gt;2ppm)</v>
      </c>
      <c r="S267">
        <v>0.55000000000000004</v>
      </c>
      <c r="T2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67">
        <v>2</v>
      </c>
      <c r="V267" t="s">
        <v>346</v>
      </c>
    </row>
    <row r="268" spans="1:22" x14ac:dyDescent="0.35">
      <c r="A268" t="s">
        <v>446</v>
      </c>
      <c r="B268" s="2">
        <v>45273</v>
      </c>
      <c r="C268" t="str" cm="1">
        <f t="array" ref="C2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8">
        <f>YEAR(AllDataCorrected[[#This Row],[Date]])</f>
        <v>2023</v>
      </c>
      <c r="E268" s="1">
        <v>0.625</v>
      </c>
      <c r="F26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8" t="str">
        <f>_xlfn.XLOOKUP(AllDataCorrected[[#This Row],[Location Name]], Locations[Location Name],Locations[Group As])</f>
        <v>Weston-on-Avon</v>
      </c>
      <c r="H268" t="e" vm="1">
        <f>_xlfn.XLOOKUP(AllDataCorrected[[#This Row],[Site Name]],LocationsKey[Site Name],LocationsKey[District])</f>
        <v>#VALUE!</v>
      </c>
      <c r="I268" t="e" vm="35">
        <f>_xlfn.XLOOKUP(AllDataCorrected[[#This Row],[Site Name]],LocationsKey[Site Name],LocationsKey[Town])</f>
        <v>#VALUE!</v>
      </c>
      <c r="J268" t="str">
        <f>_xlfn.XLOOKUP(AllDataCorrected[[#This Row],[Site Name]],LocationsKey[Site Name], LocationsKey[Waterway])</f>
        <v>Avon</v>
      </c>
      <c r="K268" t="s">
        <v>43</v>
      </c>
      <c r="L268">
        <f>_xlfn.XLOOKUP(AllDataCorrected[[#This Row],[Site Name]],Tables!$B$12:$B$100, Tables!C$12:C$100)</f>
        <v>52.167429999999996</v>
      </c>
      <c r="M268">
        <f>_xlfn.XLOOKUP(AllDataCorrected[[#This Row],[Site Name]],Tables!$B$12:$B$100, Tables!D$12:D$100)</f>
        <v>-1.7744752941176474</v>
      </c>
      <c r="N268" t="s">
        <v>31</v>
      </c>
      <c r="O268">
        <v>598</v>
      </c>
      <c r="P268">
        <v>8.3000000000000007</v>
      </c>
      <c r="Q268">
        <v>7</v>
      </c>
      <c r="R268" t="str">
        <f>IF(AllDataCorrected[[#This Row],[Nitrate (PPM)]]&gt;2, "4. Very high (&gt;2ppm)", IF(AllDataCorrected[[#This Row],[Nitrate (PPM)]]&gt;1, "3. High (1-2ppm)", IF(AllDataCorrected[[#This Row],[Nitrate (PPM)]]&gt;0.5, "2. Some evidence (0.5-1ppm)", IF(AllDataCorrected[[#This Row],[Nitrate (PPM)]]&gt;=0, "1. No evidence (&lt;0.5ppm)"))))</f>
        <v>4. Very high (&gt;2ppm)</v>
      </c>
      <c r="S268">
        <v>0.4</v>
      </c>
      <c r="T2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8">
        <v>0</v>
      </c>
    </row>
    <row r="269" spans="1:22" x14ac:dyDescent="0.35">
      <c r="A269" t="s">
        <v>447</v>
      </c>
      <c r="B269" s="2">
        <v>45273</v>
      </c>
      <c r="C269" t="str" cm="1">
        <f t="array" ref="C2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69">
        <f>YEAR(AllDataCorrected[[#This Row],[Date]])</f>
        <v>2023</v>
      </c>
      <c r="E269" s="1">
        <v>0.64583333333333337</v>
      </c>
      <c r="F2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69" t="str">
        <f>_xlfn.XLOOKUP(AllDataCorrected[[#This Row],[Location Name]], Locations[Location Name],Locations[Group As])</f>
        <v>Stour Newbold Mill</v>
      </c>
      <c r="H269" t="e" vm="1">
        <f>_xlfn.XLOOKUP(AllDataCorrected[[#This Row],[Site Name]],LocationsKey[Site Name],LocationsKey[District])</f>
        <v>#VALUE!</v>
      </c>
      <c r="I269" t="e" vm="27">
        <f>_xlfn.XLOOKUP(AllDataCorrected[[#This Row],[Site Name]],LocationsKey[Site Name],LocationsKey[Town])</f>
        <v>#VALUE!</v>
      </c>
      <c r="J269" t="str">
        <f>_xlfn.XLOOKUP(AllDataCorrected[[#This Row],[Site Name]],LocationsKey[Site Name], LocationsKey[Waterway])</f>
        <v>Stour</v>
      </c>
      <c r="K269" t="s">
        <v>141</v>
      </c>
      <c r="L269">
        <f>_xlfn.XLOOKUP(AllDataCorrected[[#This Row],[Site Name]],Tables!$B$12:$B$100, Tables!C$12:C$100)</f>
        <v>52.113052370370369</v>
      </c>
      <c r="M269">
        <f>_xlfn.XLOOKUP(AllDataCorrected[[#This Row],[Site Name]],Tables!$B$12:$B$100, Tables!D$12:D$100)</f>
        <v>-1.6333685185185181</v>
      </c>
      <c r="N269" t="s">
        <v>68</v>
      </c>
      <c r="O269">
        <v>513</v>
      </c>
      <c r="P269">
        <v>9.8000000000000007</v>
      </c>
      <c r="Q269">
        <v>5</v>
      </c>
      <c r="R269" t="str">
        <f>IF(AllDataCorrected[[#This Row],[Nitrate (PPM)]]&gt;2, "4. Very high (&gt;2ppm)", IF(AllDataCorrected[[#This Row],[Nitrate (PPM)]]&gt;1, "3. High (1-2ppm)", IF(AllDataCorrected[[#This Row],[Nitrate (PPM)]]&gt;0.5, "2. Some evidence (0.5-1ppm)", IF(AllDataCorrected[[#This Row],[Nitrate (PPM)]]&gt;=0, "1. No evidence (&lt;0.5ppm)"))))</f>
        <v>4. Very high (&gt;2ppm)</v>
      </c>
      <c r="S269">
        <v>0.19</v>
      </c>
      <c r="T2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69">
        <v>3</v>
      </c>
      <c r="V269" t="s">
        <v>413</v>
      </c>
    </row>
    <row r="270" spans="1:22" x14ac:dyDescent="0.35">
      <c r="A270" t="s">
        <v>448</v>
      </c>
      <c r="B270" s="2">
        <v>45274</v>
      </c>
      <c r="C270" t="str" cm="1">
        <f t="array" ref="C2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0">
        <f>YEAR(AllDataCorrected[[#This Row],[Date]])</f>
        <v>2023</v>
      </c>
      <c r="E270" s="1">
        <v>0.65277777777777779</v>
      </c>
      <c r="F2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0" t="str">
        <f>_xlfn.XLOOKUP(AllDataCorrected[[#This Row],[Location Name]], Locations[Location Name],Locations[Group As])</f>
        <v>Swilgate</v>
      </c>
      <c r="H270" t="e" vm="4">
        <f>_xlfn.XLOOKUP(AllDataCorrected[[#This Row],[Site Name]],LocationsKey[Site Name],LocationsKey[District])</f>
        <v>#VALUE!</v>
      </c>
      <c r="I270" t="e" vm="4">
        <f>_xlfn.XLOOKUP(AllDataCorrected[[#This Row],[Site Name]],LocationsKey[Site Name],LocationsKey[Town])</f>
        <v>#VALUE!</v>
      </c>
      <c r="J270" t="str">
        <f>_xlfn.XLOOKUP(AllDataCorrected[[#This Row],[Site Name]],LocationsKey[Site Name], LocationsKey[Waterway])</f>
        <v>Swilgate</v>
      </c>
      <c r="K270" t="s">
        <v>85</v>
      </c>
      <c r="L270">
        <f>_xlfn.XLOOKUP(AllDataCorrected[[#This Row],[Site Name]],Tables!$B$12:$B$100, Tables!C$12:C$100)</f>
        <v>51.988591500000005</v>
      </c>
      <c r="M270">
        <f>_xlfn.XLOOKUP(AllDataCorrected[[#This Row],[Site Name]],Tables!$B$12:$B$100, Tables!D$12:D$100)</f>
        <v>-2.163898333333333</v>
      </c>
      <c r="N270" t="s">
        <v>25</v>
      </c>
      <c r="O270">
        <v>715</v>
      </c>
      <c r="P270">
        <v>9.1</v>
      </c>
      <c r="Q270">
        <v>6</v>
      </c>
      <c r="R270" t="str">
        <f>IF(AllDataCorrected[[#This Row],[Nitrate (PPM)]]&gt;2, "4. Very high (&gt;2ppm)", IF(AllDataCorrected[[#This Row],[Nitrate (PPM)]]&gt;1, "3. High (1-2ppm)", IF(AllDataCorrected[[#This Row],[Nitrate (PPM)]]&gt;0.5, "2. Some evidence (0.5-1ppm)", IF(AllDataCorrected[[#This Row],[Nitrate (PPM)]]&gt;=0, "1. No evidence (&lt;0.5ppm)"))))</f>
        <v>4. Very high (&gt;2ppm)</v>
      </c>
      <c r="S270">
        <v>0.43</v>
      </c>
      <c r="T2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0">
        <v>2</v>
      </c>
      <c r="V270" t="s">
        <v>293</v>
      </c>
    </row>
    <row r="271" spans="1:22" x14ac:dyDescent="0.35">
      <c r="A271" t="s">
        <v>449</v>
      </c>
      <c r="B271" s="2">
        <v>45276</v>
      </c>
      <c r="C271" t="str" cm="1">
        <f t="array" ref="C2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1">
        <f>YEAR(AllDataCorrected[[#This Row],[Date]])</f>
        <v>2023</v>
      </c>
      <c r="E271" s="1">
        <v>0.63888888888888884</v>
      </c>
      <c r="F2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1" t="str">
        <f>_xlfn.XLOOKUP(AllDataCorrected[[#This Row],[Location Name]], Locations[Location Name],Locations[Group As])</f>
        <v>Clifford Chambers Mill Bridge</v>
      </c>
      <c r="H271" t="e" vm="1">
        <f>_xlfn.XLOOKUP(AllDataCorrected[[#This Row],[Site Name]],LocationsKey[Site Name],LocationsKey[District])</f>
        <v>#VALUE!</v>
      </c>
      <c r="I271" t="e" vm="22">
        <f>_xlfn.XLOOKUP(AllDataCorrected[[#This Row],[Site Name]],LocationsKey[Site Name],LocationsKey[Town])</f>
        <v>#VALUE!</v>
      </c>
      <c r="J271" t="str">
        <f>_xlfn.XLOOKUP(AllDataCorrected[[#This Row],[Site Name]],LocationsKey[Site Name], LocationsKey[Waterway])</f>
        <v>Stour</v>
      </c>
      <c r="K271" t="s">
        <v>266</v>
      </c>
      <c r="L271">
        <f>_xlfn.XLOOKUP(AllDataCorrected[[#This Row],[Site Name]],Tables!$B$12:$B$100, Tables!C$12:C$100)</f>
        <v>52.166363596153808</v>
      </c>
      <c r="M271">
        <f>_xlfn.XLOOKUP(AllDataCorrected[[#This Row],[Site Name]],Tables!$B$12:$B$100, Tables!D$12:D$100)</f>
        <v>-1.7080375384615398</v>
      </c>
      <c r="N271" t="s">
        <v>68</v>
      </c>
      <c r="O271">
        <v>635</v>
      </c>
      <c r="P271">
        <v>12.5</v>
      </c>
      <c r="Q271">
        <v>4</v>
      </c>
      <c r="R271" t="str">
        <f>IF(AllDataCorrected[[#This Row],[Nitrate (PPM)]]&gt;2, "4. Very high (&gt;2ppm)", IF(AllDataCorrected[[#This Row],[Nitrate (PPM)]]&gt;1, "3. High (1-2ppm)", IF(AllDataCorrected[[#This Row],[Nitrate (PPM)]]&gt;0.5, "2. Some evidence (0.5-1ppm)", IF(AllDataCorrected[[#This Row],[Nitrate (PPM)]]&gt;=0, "1. No evidence (&lt;0.5ppm)"))))</f>
        <v>4. Very high (&gt;2ppm)</v>
      </c>
      <c r="S271">
        <v>0.28000000000000003</v>
      </c>
      <c r="T2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1">
        <v>1.2</v>
      </c>
      <c r="V271" t="s">
        <v>450</v>
      </c>
    </row>
    <row r="272" spans="1:22" x14ac:dyDescent="0.35">
      <c r="A272" t="s">
        <v>451</v>
      </c>
      <c r="B272" s="2">
        <v>45276</v>
      </c>
      <c r="C272" t="str" cm="1">
        <f t="array" ref="C2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2">
        <f>YEAR(AllDataCorrected[[#This Row],[Date]])</f>
        <v>2023</v>
      </c>
      <c r="E272" s="1">
        <v>0.65277777777777779</v>
      </c>
      <c r="F2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2" t="str">
        <f>_xlfn.XLOOKUP(AllDataCorrected[[#This Row],[Location Name]], Locations[Location Name],Locations[Group As])</f>
        <v>Clifford Chambers Road Bridge</v>
      </c>
      <c r="H272" t="e" vm="1">
        <f>_xlfn.XLOOKUP(AllDataCorrected[[#This Row],[Site Name]],LocationsKey[Site Name],LocationsKey[District])</f>
        <v>#VALUE!</v>
      </c>
      <c r="I272" t="e" vm="22">
        <f>_xlfn.XLOOKUP(AllDataCorrected[[#This Row],[Site Name]],LocationsKey[Site Name],LocationsKey[Town])</f>
        <v>#VALUE!</v>
      </c>
      <c r="J272" t="str">
        <f>_xlfn.XLOOKUP(AllDataCorrected[[#This Row],[Site Name]],LocationsKey[Site Name], LocationsKey[Waterway])</f>
        <v>Stour</v>
      </c>
      <c r="K272" t="s">
        <v>429</v>
      </c>
      <c r="L272">
        <f>_xlfn.XLOOKUP(AllDataCorrected[[#This Row],[Site Name]],Tables!$B$12:$B$100, Tables!C$12:C$100)</f>
        <v>52.172840000000001</v>
      </c>
      <c r="M272">
        <f>_xlfn.XLOOKUP(AllDataCorrected[[#This Row],[Site Name]],Tables!$B$12:$B$100, Tables!D$12:D$100)</f>
        <v>-1.71377</v>
      </c>
      <c r="N272" t="s">
        <v>191</v>
      </c>
      <c r="O272">
        <v>644</v>
      </c>
      <c r="P272">
        <v>13.2</v>
      </c>
      <c r="Q272">
        <v>4</v>
      </c>
      <c r="R272" t="str">
        <f>IF(AllDataCorrected[[#This Row],[Nitrate (PPM)]]&gt;2, "4. Very high (&gt;2ppm)", IF(AllDataCorrected[[#This Row],[Nitrate (PPM)]]&gt;1, "3. High (1-2ppm)", IF(AllDataCorrected[[#This Row],[Nitrate (PPM)]]&gt;0.5, "2. Some evidence (0.5-1ppm)", IF(AllDataCorrected[[#This Row],[Nitrate (PPM)]]&gt;=0, "1. No evidence (&lt;0.5ppm)"))))</f>
        <v>4. Very high (&gt;2ppm)</v>
      </c>
      <c r="S272">
        <v>0.23</v>
      </c>
      <c r="T2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2">
        <v>1.2</v>
      </c>
    </row>
    <row r="273" spans="1:22" x14ac:dyDescent="0.35">
      <c r="A273" t="s">
        <v>452</v>
      </c>
      <c r="B273" s="2">
        <v>45277</v>
      </c>
      <c r="C273" t="str" cm="1">
        <f t="array" ref="C2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3">
        <f>YEAR(AllDataCorrected[[#This Row],[Date]])</f>
        <v>2023</v>
      </c>
      <c r="E273" s="1">
        <v>0.41666666666666669</v>
      </c>
      <c r="F2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3" t="str">
        <f>_xlfn.XLOOKUP(AllDataCorrected[[#This Row],[Location Name]], Locations[Location Name],Locations[Group As])</f>
        <v>Lucy's Mill Bridge</v>
      </c>
      <c r="H273" t="e" vm="1">
        <f>_xlfn.XLOOKUP(AllDataCorrected[[#This Row],[Site Name]],LocationsKey[Site Name],LocationsKey[District])</f>
        <v>#VALUE!</v>
      </c>
      <c r="I273" t="e" vm="12">
        <f>_xlfn.XLOOKUP(AllDataCorrected[[#This Row],[Site Name]],LocationsKey[Site Name],LocationsKey[Town])</f>
        <v>#VALUE!</v>
      </c>
      <c r="J273" t="str">
        <f>_xlfn.XLOOKUP(AllDataCorrected[[#This Row],[Site Name]],LocationsKey[Site Name], LocationsKey[Waterway])</f>
        <v>Avon</v>
      </c>
      <c r="K273" t="s">
        <v>212</v>
      </c>
      <c r="L273">
        <f>_xlfn.XLOOKUP(AllDataCorrected[[#This Row],[Site Name]],Tables!$B$12:$B$100, Tables!C$12:C$100)</f>
        <v>52.183699000000011</v>
      </c>
      <c r="M273">
        <f>_xlfn.XLOOKUP(AllDataCorrected[[#This Row],[Site Name]],Tables!$B$12:$B$100, Tables!D$12:D$100)</f>
        <v>-1.7078160000000004</v>
      </c>
      <c r="N273" t="s">
        <v>31</v>
      </c>
      <c r="P273">
        <v>9</v>
      </c>
      <c r="Q273">
        <v>10</v>
      </c>
      <c r="R273" t="str">
        <f>IF(AllDataCorrected[[#This Row],[Nitrate (PPM)]]&gt;2, "4. Very high (&gt;2ppm)", IF(AllDataCorrected[[#This Row],[Nitrate (PPM)]]&gt;1, "3. High (1-2ppm)", IF(AllDataCorrected[[#This Row],[Nitrate (PPM)]]&gt;0.5, "2. Some evidence (0.5-1ppm)", IF(AllDataCorrected[[#This Row],[Nitrate (PPM)]]&gt;=0, "1. No evidence (&lt;0.5ppm)"))))</f>
        <v>4. Very high (&gt;2ppm)</v>
      </c>
      <c r="S273">
        <v>0.43</v>
      </c>
      <c r="T2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3">
        <v>0.7</v>
      </c>
    </row>
    <row r="274" spans="1:22" x14ac:dyDescent="0.35">
      <c r="A274" t="s">
        <v>453</v>
      </c>
      <c r="B274" s="2">
        <v>45277</v>
      </c>
      <c r="C274" t="str" cm="1">
        <f t="array" ref="C2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4">
        <f>YEAR(AllDataCorrected[[#This Row],[Date]])</f>
        <v>2023</v>
      </c>
      <c r="E274" s="1">
        <v>0.42708333333333331</v>
      </c>
      <c r="F27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4" t="str">
        <f>_xlfn.XLOOKUP(AllDataCorrected[[#This Row],[Location Name]], Locations[Location Name],Locations[Group As])</f>
        <v>Barton</v>
      </c>
      <c r="H274" t="e" vm="1">
        <f>_xlfn.XLOOKUP(AllDataCorrected[[#This Row],[Site Name]],LocationsKey[Site Name],LocationsKey[District])</f>
        <v>#VALUE!</v>
      </c>
      <c r="I274" t="str">
        <f>_xlfn.XLOOKUP(AllDataCorrected[[#This Row],[Site Name]],LocationsKey[Site Name],LocationsKey[Town])</f>
        <v>Barton</v>
      </c>
      <c r="J274" t="str">
        <f>_xlfn.XLOOKUP(AllDataCorrected[[#This Row],[Site Name]],LocationsKey[Site Name], LocationsKey[Waterway])</f>
        <v>Avon</v>
      </c>
      <c r="K274" t="s">
        <v>51</v>
      </c>
      <c r="L274">
        <f>_xlfn.XLOOKUP(AllDataCorrected[[#This Row],[Site Name]],Tables!$B$12:$B$100, Tables!C$12:C$100)</f>
        <v>52.16120999999999</v>
      </c>
      <c r="M274">
        <f>_xlfn.XLOOKUP(AllDataCorrected[[#This Row],[Site Name]],Tables!$B$12:$B$100, Tables!D$12:D$100)</f>
        <v>-1.8301499999999999</v>
      </c>
      <c r="N274" t="s">
        <v>31</v>
      </c>
      <c r="O274">
        <v>726</v>
      </c>
      <c r="P274">
        <v>9.1</v>
      </c>
      <c r="Q274">
        <v>7</v>
      </c>
      <c r="R274" t="str">
        <f>IF(AllDataCorrected[[#This Row],[Nitrate (PPM)]]&gt;2, "4. Very high (&gt;2ppm)", IF(AllDataCorrected[[#This Row],[Nitrate (PPM)]]&gt;1, "3. High (1-2ppm)", IF(AllDataCorrected[[#This Row],[Nitrate (PPM)]]&gt;0.5, "2. Some evidence (0.5-1ppm)", IF(AllDataCorrected[[#This Row],[Nitrate (PPM)]]&gt;=0, "1. No evidence (&lt;0.5ppm)"))))</f>
        <v>4. Very high (&gt;2ppm)</v>
      </c>
      <c r="S274">
        <v>0.39</v>
      </c>
      <c r="T2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4">
        <v>0</v>
      </c>
    </row>
    <row r="275" spans="1:22" x14ac:dyDescent="0.35">
      <c r="A275" t="s">
        <v>454</v>
      </c>
      <c r="B275" s="2">
        <v>45277</v>
      </c>
      <c r="C275" t="str" cm="1">
        <f t="array" ref="C2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5">
        <f>YEAR(AllDataCorrected[[#This Row],[Date]])</f>
        <v>2023</v>
      </c>
      <c r="E275" s="1">
        <v>0.4375</v>
      </c>
      <c r="F2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5" t="str">
        <f>_xlfn.XLOOKUP(AllDataCorrected[[#This Row],[Location Name]], Locations[Location Name],Locations[Group As])</f>
        <v>Abbey Mill</v>
      </c>
      <c r="H275" t="e" vm="4">
        <f>_xlfn.XLOOKUP(AllDataCorrected[[#This Row],[Site Name]],LocationsKey[Site Name],LocationsKey[District])</f>
        <v>#VALUE!</v>
      </c>
      <c r="I275" t="e" vm="4">
        <f>_xlfn.XLOOKUP(AllDataCorrected[[#This Row],[Site Name]],LocationsKey[Site Name],LocationsKey[Town])</f>
        <v>#VALUE!</v>
      </c>
      <c r="J275" t="str">
        <f>_xlfn.XLOOKUP(AllDataCorrected[[#This Row],[Site Name]],LocationsKey[Site Name], LocationsKey[Waterway])</f>
        <v>Avon</v>
      </c>
      <c r="K275" t="s">
        <v>24</v>
      </c>
      <c r="L275">
        <f>_xlfn.XLOOKUP(AllDataCorrected[[#This Row],[Site Name]],Tables!$B$12:$B$100, Tables!C$12:C$100)</f>
        <v>51.991313075757589</v>
      </c>
      <c r="M275">
        <f>_xlfn.XLOOKUP(AllDataCorrected[[#This Row],[Site Name]],Tables!$B$12:$B$100, Tables!D$12:D$100)</f>
        <v>-2.1621998181818181</v>
      </c>
      <c r="N275" t="s">
        <v>25</v>
      </c>
      <c r="O275">
        <v>653</v>
      </c>
      <c r="P275">
        <v>12</v>
      </c>
      <c r="Q275">
        <v>10</v>
      </c>
      <c r="R275" t="str">
        <f>IF(AllDataCorrected[[#This Row],[Nitrate (PPM)]]&gt;2, "4. Very high (&gt;2ppm)", IF(AllDataCorrected[[#This Row],[Nitrate (PPM)]]&gt;1, "3. High (1-2ppm)", IF(AllDataCorrected[[#This Row],[Nitrate (PPM)]]&gt;0.5, "2. Some evidence (0.5-1ppm)", IF(AllDataCorrected[[#This Row],[Nitrate (PPM)]]&gt;=0, "1. No evidence (&lt;0.5ppm)"))))</f>
        <v>4. Very high (&gt;2ppm)</v>
      </c>
      <c r="S275">
        <v>0.78</v>
      </c>
      <c r="T2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5">
        <v>2</v>
      </c>
      <c r="V275" t="s">
        <v>293</v>
      </c>
    </row>
    <row r="276" spans="1:22" x14ac:dyDescent="0.35">
      <c r="A276" t="s">
        <v>455</v>
      </c>
      <c r="B276" s="2">
        <v>45277</v>
      </c>
      <c r="C276" t="str" cm="1">
        <f t="array" ref="C2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6">
        <f>YEAR(AllDataCorrected[[#This Row],[Date]])</f>
        <v>2023</v>
      </c>
      <c r="E276" s="1">
        <v>0.51041666666666663</v>
      </c>
      <c r="F2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6" t="str">
        <f>_xlfn.XLOOKUP(AllDataCorrected[[#This Row],[Location Name]], Locations[Location Name],Locations[Group As])</f>
        <v>Hampton Wood</v>
      </c>
      <c r="H276" t="e" vm="1">
        <f>_xlfn.XLOOKUP(AllDataCorrected[[#This Row],[Site Name]],LocationsKey[Site Name],LocationsKey[District])</f>
        <v>#VALUE!</v>
      </c>
      <c r="I276" t="e" vm="34">
        <f>_xlfn.XLOOKUP(AllDataCorrected[[#This Row],[Site Name]],LocationsKey[Site Name],LocationsKey[Town])</f>
        <v>#VALUE!</v>
      </c>
      <c r="J276" t="str">
        <f>_xlfn.XLOOKUP(AllDataCorrected[[#This Row],[Site Name]],LocationsKey[Site Name], LocationsKey[Waterway])</f>
        <v>Avon</v>
      </c>
      <c r="K276" t="s">
        <v>36</v>
      </c>
      <c r="L276">
        <f>_xlfn.XLOOKUP(AllDataCorrected[[#This Row],[Site Name]],Tables!$B$12:$B$100, Tables!C$12:C$100)</f>
        <v>52.23814999999999</v>
      </c>
      <c r="M276">
        <f>_xlfn.XLOOKUP(AllDataCorrected[[#This Row],[Site Name]],Tables!$B$12:$B$100, Tables!D$12:D$100)</f>
        <v>-1.6245800000000008</v>
      </c>
      <c r="N276" t="s">
        <v>31</v>
      </c>
      <c r="O276">
        <v>730</v>
      </c>
      <c r="P276">
        <v>9.6999999999999993</v>
      </c>
      <c r="Q276">
        <v>10</v>
      </c>
      <c r="R276" t="str">
        <f>IF(AllDataCorrected[[#This Row],[Nitrate (PPM)]]&gt;2, "4. Very high (&gt;2ppm)", IF(AllDataCorrected[[#This Row],[Nitrate (PPM)]]&gt;1, "3. High (1-2ppm)", IF(AllDataCorrected[[#This Row],[Nitrate (PPM)]]&gt;0.5, "2. Some evidence (0.5-1ppm)", IF(AllDataCorrected[[#This Row],[Nitrate (PPM)]]&gt;=0, "1. No evidence (&lt;0.5ppm)"))))</f>
        <v>4. Very high (&gt;2ppm)</v>
      </c>
      <c r="S276">
        <v>0.43</v>
      </c>
      <c r="T2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6">
        <v>0</v>
      </c>
    </row>
    <row r="277" spans="1:22" x14ac:dyDescent="0.35">
      <c r="A277" t="s">
        <v>456</v>
      </c>
      <c r="B277" s="2">
        <v>45277</v>
      </c>
      <c r="C277" t="str" cm="1">
        <f t="array" ref="C2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7">
        <f>YEAR(AllDataCorrected[[#This Row],[Date]])</f>
        <v>2023</v>
      </c>
      <c r="E277" s="1">
        <v>0.54166666666666663</v>
      </c>
      <c r="F2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7" t="str">
        <f>_xlfn.XLOOKUP(AllDataCorrected[[#This Row],[Location Name]], Locations[Location Name],Locations[Group As])</f>
        <v>Hampton Lucy</v>
      </c>
      <c r="H277" t="e" vm="1">
        <f>_xlfn.XLOOKUP(AllDataCorrected[[#This Row],[Site Name]],LocationsKey[Site Name],LocationsKey[District])</f>
        <v>#VALUE!</v>
      </c>
      <c r="I277" t="e" vm="33">
        <f>_xlfn.XLOOKUP(AllDataCorrected[[#This Row],[Site Name]],LocationsKey[Site Name],LocationsKey[Town])</f>
        <v>#VALUE!</v>
      </c>
      <c r="J277" t="str">
        <f>_xlfn.XLOOKUP(AllDataCorrected[[#This Row],[Site Name]],LocationsKey[Site Name], LocationsKey[Waterway])</f>
        <v>Avon</v>
      </c>
      <c r="K277" t="s">
        <v>39</v>
      </c>
      <c r="L277">
        <f>_xlfn.XLOOKUP(AllDataCorrected[[#This Row],[Site Name]],Tables!$B$12:$B$100, Tables!C$12:C$100)</f>
        <v>52.211679999999973</v>
      </c>
      <c r="M277">
        <f>_xlfn.XLOOKUP(AllDataCorrected[[#This Row],[Site Name]],Tables!$B$12:$B$100, Tables!D$12:D$100)</f>
        <v>-1.6244400000000001</v>
      </c>
      <c r="N277" t="s">
        <v>25</v>
      </c>
      <c r="O277">
        <v>720</v>
      </c>
      <c r="P277">
        <v>9.6999999999999993</v>
      </c>
      <c r="Q277">
        <v>7</v>
      </c>
      <c r="R277" t="str">
        <f>IF(AllDataCorrected[[#This Row],[Nitrate (PPM)]]&gt;2, "4. Very high (&gt;2ppm)", IF(AllDataCorrected[[#This Row],[Nitrate (PPM)]]&gt;1, "3. High (1-2ppm)", IF(AllDataCorrected[[#This Row],[Nitrate (PPM)]]&gt;0.5, "2. Some evidence (0.5-1ppm)", IF(AllDataCorrected[[#This Row],[Nitrate (PPM)]]&gt;=0, "1. No evidence (&lt;0.5ppm)"))))</f>
        <v>4. Very high (&gt;2ppm)</v>
      </c>
      <c r="S277">
        <v>0.54</v>
      </c>
      <c r="T2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7">
        <v>0</v>
      </c>
    </row>
    <row r="278" spans="1:22" x14ac:dyDescent="0.35">
      <c r="A278" t="s">
        <v>457</v>
      </c>
      <c r="B278" s="2">
        <v>45277</v>
      </c>
      <c r="C278" t="str" cm="1">
        <f t="array" ref="C2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8">
        <f>YEAR(AllDataCorrected[[#This Row],[Date]])</f>
        <v>2023</v>
      </c>
      <c r="E278" s="1">
        <v>0.66666666666666663</v>
      </c>
      <c r="F2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78" t="str">
        <f>_xlfn.XLOOKUP(AllDataCorrected[[#This Row],[Location Name]], Locations[Location Name],Locations[Group As])</f>
        <v>Welford Boat Station</v>
      </c>
      <c r="H278" t="e" vm="1">
        <f>_xlfn.XLOOKUP(AllDataCorrected[[#This Row],[Site Name]],LocationsKey[Site Name],LocationsKey[District])</f>
        <v>#VALUE!</v>
      </c>
      <c r="I278" t="e" vm="36">
        <f>_xlfn.XLOOKUP(AllDataCorrected[[#This Row],[Site Name]],LocationsKey[Site Name],LocationsKey[Town])</f>
        <v>#VALUE!</v>
      </c>
      <c r="J278" t="str">
        <f>_xlfn.XLOOKUP(AllDataCorrected[[#This Row],[Site Name]],LocationsKey[Site Name], LocationsKey[Waterway])</f>
        <v>Avon</v>
      </c>
      <c r="K278" t="s">
        <v>41</v>
      </c>
      <c r="L278">
        <f>_xlfn.XLOOKUP(AllDataCorrected[[#This Row],[Site Name]],Tables!$B$12:$B$100, Tables!C$12:C$100)</f>
        <v>52.175174684210546</v>
      </c>
      <c r="M278">
        <f>_xlfn.XLOOKUP(AllDataCorrected[[#This Row],[Site Name]],Tables!$B$12:$B$100, Tables!D$12:D$100)</f>
        <v>-1.7918551052631577</v>
      </c>
      <c r="N278" t="s">
        <v>31</v>
      </c>
      <c r="O278">
        <v>760</v>
      </c>
      <c r="P278">
        <v>9.3000000000000007</v>
      </c>
      <c r="Q278">
        <v>20</v>
      </c>
      <c r="R278" t="str">
        <f>IF(AllDataCorrected[[#This Row],[Nitrate (PPM)]]&gt;2, "4. Very high (&gt;2ppm)", IF(AllDataCorrected[[#This Row],[Nitrate (PPM)]]&gt;1, "3. High (1-2ppm)", IF(AllDataCorrected[[#This Row],[Nitrate (PPM)]]&gt;0.5, "2. Some evidence (0.5-1ppm)", IF(AllDataCorrected[[#This Row],[Nitrate (PPM)]]&gt;=0, "1. No evidence (&lt;0.5ppm)"))))</f>
        <v>4. Very high (&gt;2ppm)</v>
      </c>
      <c r="S278">
        <v>0.39</v>
      </c>
      <c r="T2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78">
        <v>0</v>
      </c>
      <c r="V278" t="s">
        <v>458</v>
      </c>
    </row>
    <row r="279" spans="1:22" x14ac:dyDescent="0.35">
      <c r="A279" t="s">
        <v>459</v>
      </c>
      <c r="B279" s="2">
        <v>45278</v>
      </c>
      <c r="C279" t="str" cm="1">
        <f t="array" ref="C2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79">
        <f>YEAR(AllDataCorrected[[#This Row],[Date]])</f>
        <v>2023</v>
      </c>
      <c r="E279" s="1">
        <v>0.35486111111111113</v>
      </c>
      <c r="F2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79" t="str">
        <f>_xlfn.XLOOKUP(AllDataCorrected[[#This Row],[Location Name]], Locations[Location Name],Locations[Group As])</f>
        <v>Stour Stretton-on-Fosse Village</v>
      </c>
      <c r="H279" t="e" vm="1">
        <f>_xlfn.XLOOKUP(AllDataCorrected[[#This Row],[Site Name]],LocationsKey[Site Name],LocationsKey[District])</f>
        <v>#VALUE!</v>
      </c>
      <c r="I279" t="e" vm="30">
        <f>_xlfn.XLOOKUP(AllDataCorrected[[#This Row],[Site Name]],LocationsKey[Site Name],LocationsKey[Town])</f>
        <v>#VALUE!</v>
      </c>
      <c r="J279" t="str">
        <f>_xlfn.XLOOKUP(AllDataCorrected[[#This Row],[Site Name]],LocationsKey[Site Name], LocationsKey[Waterway])</f>
        <v>Stour</v>
      </c>
      <c r="K279" t="s">
        <v>385</v>
      </c>
      <c r="L279">
        <f>_xlfn.XLOOKUP(AllDataCorrected[[#This Row],[Site Name]],Tables!$B$12:$B$100, Tables!C$12:C$100)</f>
        <v>52.046517558823531</v>
      </c>
      <c r="M279">
        <f>_xlfn.XLOOKUP(AllDataCorrected[[#This Row],[Site Name]],Tables!$B$12:$B$100, Tables!D$12:D$100)</f>
        <v>-1.6734143529411762</v>
      </c>
      <c r="N279" t="s">
        <v>68</v>
      </c>
      <c r="O279">
        <v>660</v>
      </c>
      <c r="P279">
        <v>9.6</v>
      </c>
      <c r="Q279">
        <v>2</v>
      </c>
      <c r="R279" t="str">
        <f>IF(AllDataCorrected[[#This Row],[Nitrate (PPM)]]&gt;2, "4. Very high (&gt;2ppm)", IF(AllDataCorrected[[#This Row],[Nitrate (PPM)]]&gt;1, "3. High (1-2ppm)", IF(AllDataCorrected[[#This Row],[Nitrate (PPM)]]&gt;0.5, "2. Some evidence (0.5-1ppm)", IF(AllDataCorrected[[#This Row],[Nitrate (PPM)]]&gt;=0, "1. No evidence (&lt;0.5ppm)"))))</f>
        <v>3. High (1-2ppm)</v>
      </c>
      <c r="S279">
        <v>1.1100000000000001</v>
      </c>
      <c r="T2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79">
        <v>0.2</v>
      </c>
    </row>
    <row r="280" spans="1:22" x14ac:dyDescent="0.35">
      <c r="A280" t="s">
        <v>460</v>
      </c>
      <c r="B280" s="2">
        <v>45278</v>
      </c>
      <c r="C280" t="str" cm="1">
        <f t="array" ref="C2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0">
        <f>YEAR(AllDataCorrected[[#This Row],[Date]])</f>
        <v>2023</v>
      </c>
      <c r="E280" s="1">
        <v>0.36388888888888887</v>
      </c>
      <c r="F2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0" t="str">
        <f>_xlfn.XLOOKUP(AllDataCorrected[[#This Row],[Location Name]], Locations[Location Name],Locations[Group As])</f>
        <v>Stour Stretton-on-Fosse Sewage Works</v>
      </c>
      <c r="H280" t="e" vm="1">
        <f>_xlfn.XLOOKUP(AllDataCorrected[[#This Row],[Site Name]],LocationsKey[Site Name],LocationsKey[District])</f>
        <v>#VALUE!</v>
      </c>
      <c r="I280" t="e" vm="30">
        <f>_xlfn.XLOOKUP(AllDataCorrected[[#This Row],[Site Name]],LocationsKey[Site Name],LocationsKey[Town])</f>
        <v>#VALUE!</v>
      </c>
      <c r="J280" t="str">
        <f>_xlfn.XLOOKUP(AllDataCorrected[[#This Row],[Site Name]],LocationsKey[Site Name], LocationsKey[Waterway])</f>
        <v>Stour</v>
      </c>
      <c r="K280" t="s">
        <v>337</v>
      </c>
      <c r="L280">
        <f>_xlfn.XLOOKUP(AllDataCorrected[[#This Row],[Site Name]],Tables!$B$12:$B$100, Tables!C$12:C$100)</f>
        <v>52.045653647058828</v>
      </c>
      <c r="M280">
        <f>_xlfn.XLOOKUP(AllDataCorrected[[#This Row],[Site Name]],Tables!$B$12:$B$100, Tables!D$12:D$100)</f>
        <v>-1.6719221470588239</v>
      </c>
      <c r="N280" t="s">
        <v>31</v>
      </c>
      <c r="O280">
        <v>667</v>
      </c>
      <c r="P280">
        <v>9.8000000000000007</v>
      </c>
      <c r="Q280">
        <v>3</v>
      </c>
      <c r="R280" t="str">
        <f>IF(AllDataCorrected[[#This Row],[Nitrate (PPM)]]&gt;2, "4. Very high (&gt;2ppm)", IF(AllDataCorrected[[#This Row],[Nitrate (PPM)]]&gt;1, "3. High (1-2ppm)", IF(AllDataCorrected[[#This Row],[Nitrate (PPM)]]&gt;0.5, "2. Some evidence (0.5-1ppm)", IF(AllDataCorrected[[#This Row],[Nitrate (PPM)]]&gt;=0, "1. No evidence (&lt;0.5ppm)"))))</f>
        <v>4. Very high (&gt;2ppm)</v>
      </c>
      <c r="S280">
        <v>2.16</v>
      </c>
      <c r="T2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0">
        <v>0.3</v>
      </c>
    </row>
    <row r="281" spans="1:22" x14ac:dyDescent="0.35">
      <c r="A281" t="s">
        <v>461</v>
      </c>
      <c r="B281" s="2">
        <v>45278</v>
      </c>
      <c r="C281" t="str" cm="1">
        <f t="array" ref="C2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1">
        <f>YEAR(AllDataCorrected[[#This Row],[Date]])</f>
        <v>2023</v>
      </c>
      <c r="E281" s="1">
        <v>0.62361111111111112</v>
      </c>
      <c r="F2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1" t="str">
        <f>_xlfn.XLOOKUP(AllDataCorrected[[#This Row],[Location Name]], Locations[Location Name],Locations[Group As])</f>
        <v>Carrant Bredon Rd</v>
      </c>
      <c r="H281" t="e" vm="4">
        <f>_xlfn.XLOOKUP(AllDataCorrected[[#This Row],[Site Name]],LocationsKey[Site Name],LocationsKey[District])</f>
        <v>#VALUE!</v>
      </c>
      <c r="I281" t="e" vm="4">
        <f>_xlfn.XLOOKUP(AllDataCorrected[[#This Row],[Site Name]],LocationsKey[Site Name],LocationsKey[Town])</f>
        <v>#VALUE!</v>
      </c>
      <c r="J281" t="str">
        <f>_xlfn.XLOOKUP(AllDataCorrected[[#This Row],[Site Name]],LocationsKey[Site Name], LocationsKey[Waterway])</f>
        <v>Carrant</v>
      </c>
      <c r="K281" t="s">
        <v>91</v>
      </c>
      <c r="L281">
        <f>_xlfn.XLOOKUP(AllDataCorrected[[#This Row],[Site Name]],Tables!$B$12:$B$100, Tables!C$12:C$100)</f>
        <v>51.996322536231894</v>
      </c>
      <c r="M281">
        <f>_xlfn.XLOOKUP(AllDataCorrected[[#This Row],[Site Name]],Tables!$B$12:$B$100, Tables!D$12:D$100)</f>
        <v>-2.1558410144927538</v>
      </c>
      <c r="N281" t="s">
        <v>25</v>
      </c>
      <c r="O281">
        <v>676</v>
      </c>
      <c r="P281">
        <v>10.6</v>
      </c>
      <c r="Q281">
        <v>5</v>
      </c>
      <c r="R281" t="str">
        <f>IF(AllDataCorrected[[#This Row],[Nitrate (PPM)]]&gt;2, "4. Very high (&gt;2ppm)", IF(AllDataCorrected[[#This Row],[Nitrate (PPM)]]&gt;1, "3. High (1-2ppm)", IF(AllDataCorrected[[#This Row],[Nitrate (PPM)]]&gt;0.5, "2. Some evidence (0.5-1ppm)", IF(AllDataCorrected[[#This Row],[Nitrate (PPM)]]&gt;=0, "1. No evidence (&lt;0.5ppm)"))))</f>
        <v>4. Very high (&gt;2ppm)</v>
      </c>
      <c r="S281">
        <v>0.3</v>
      </c>
      <c r="T2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1">
        <v>1</v>
      </c>
    </row>
    <row r="282" spans="1:22" x14ac:dyDescent="0.35">
      <c r="A282" t="s">
        <v>462</v>
      </c>
      <c r="B282" s="2">
        <v>45279</v>
      </c>
      <c r="C282" t="str" cm="1">
        <f t="array" ref="C2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2">
        <f>YEAR(AllDataCorrected[[#This Row],[Date]])</f>
        <v>2023</v>
      </c>
      <c r="E282" s="1">
        <v>0.45277777777777778</v>
      </c>
      <c r="F2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2" t="str">
        <f>_xlfn.XLOOKUP(AllDataCorrected[[#This Row],[Location Name]], Locations[Location Name],Locations[Group As])</f>
        <v>Swiffen Bank</v>
      </c>
      <c r="H282" t="e" vm="1">
        <f>_xlfn.XLOOKUP(AllDataCorrected[[#This Row],[Site Name]],LocationsKey[Site Name],LocationsKey[District])</f>
        <v>#VALUE!</v>
      </c>
      <c r="I282" t="e" vm="2">
        <f>_xlfn.XLOOKUP(AllDataCorrected[[#This Row],[Site Name]],LocationsKey[Site Name],LocationsKey[Town])</f>
        <v>#VALUE!</v>
      </c>
      <c r="J282" t="str">
        <f>_xlfn.XLOOKUP(AllDataCorrected[[#This Row],[Site Name]],LocationsKey[Site Name], LocationsKey[Waterway])</f>
        <v>Avon</v>
      </c>
      <c r="K282" t="s">
        <v>286</v>
      </c>
      <c r="L282">
        <f>_xlfn.XLOOKUP(AllDataCorrected[[#This Row],[Site Name]],Tables!$B$12:$B$100, Tables!C$12:C$100)</f>
        <v>52.206649805555557</v>
      </c>
      <c r="M282">
        <f>_xlfn.XLOOKUP(AllDataCorrected[[#This Row],[Site Name]],Tables!$B$12:$B$100, Tables!D$12:D$100)</f>
        <v>-1.6541018611111094</v>
      </c>
      <c r="N282" t="s">
        <v>31</v>
      </c>
      <c r="O282">
        <v>697</v>
      </c>
      <c r="P282">
        <v>11.6</v>
      </c>
      <c r="Q282">
        <v>5</v>
      </c>
      <c r="R282" t="str">
        <f>IF(AllDataCorrected[[#This Row],[Nitrate (PPM)]]&gt;2, "4. Very high (&gt;2ppm)", IF(AllDataCorrected[[#This Row],[Nitrate (PPM)]]&gt;1, "3. High (1-2ppm)", IF(AllDataCorrected[[#This Row],[Nitrate (PPM)]]&gt;0.5, "2. Some evidence (0.5-1ppm)", IF(AllDataCorrected[[#This Row],[Nitrate (PPM)]]&gt;=0, "1. No evidence (&lt;0.5ppm)"))))</f>
        <v>4. Very high (&gt;2ppm)</v>
      </c>
      <c r="S282">
        <v>0.38</v>
      </c>
      <c r="T2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2">
        <v>0</v>
      </c>
      <c r="V282" t="s">
        <v>463</v>
      </c>
    </row>
    <row r="283" spans="1:22" x14ac:dyDescent="0.35">
      <c r="A283" t="s">
        <v>464</v>
      </c>
      <c r="B283" s="2">
        <v>45279</v>
      </c>
      <c r="C283" t="str" cm="1">
        <f t="array" ref="C2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3">
        <f>YEAR(AllDataCorrected[[#This Row],[Date]])</f>
        <v>2023</v>
      </c>
      <c r="E283" s="1">
        <v>0.46875</v>
      </c>
      <c r="F2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3" t="str">
        <f>_xlfn.XLOOKUP(AllDataCorrected[[#This Row],[Location Name]], Locations[Location Name],Locations[Group As])</f>
        <v>Alveston Weir</v>
      </c>
      <c r="H283" t="e" vm="1">
        <f>_xlfn.XLOOKUP(AllDataCorrected[[#This Row],[Site Name]],LocationsKey[Site Name],LocationsKey[District])</f>
        <v>#VALUE!</v>
      </c>
      <c r="I283" t="e" vm="2">
        <f>_xlfn.XLOOKUP(AllDataCorrected[[#This Row],[Site Name]],LocationsKey[Site Name],LocationsKey[Town])</f>
        <v>#VALUE!</v>
      </c>
      <c r="J283" t="str">
        <f>_xlfn.XLOOKUP(AllDataCorrected[[#This Row],[Site Name]],LocationsKey[Site Name], LocationsKey[Waterway])</f>
        <v>Avon</v>
      </c>
      <c r="K283" t="s">
        <v>288</v>
      </c>
      <c r="L283">
        <f>_xlfn.XLOOKUP(AllDataCorrected[[#This Row],[Site Name]],Tables!$B$12:$B$100, Tables!C$12:C$100)</f>
        <v>52.21226301333337</v>
      </c>
      <c r="M283">
        <f>_xlfn.XLOOKUP(AllDataCorrected[[#This Row],[Site Name]],Tables!$B$12:$B$100, Tables!D$12:D$100)</f>
        <v>-1.6595226800000011</v>
      </c>
      <c r="N283" t="s">
        <v>31</v>
      </c>
      <c r="O283">
        <v>683</v>
      </c>
      <c r="P283">
        <v>11.8</v>
      </c>
      <c r="Q283">
        <v>5</v>
      </c>
      <c r="R283" t="str">
        <f>IF(AllDataCorrected[[#This Row],[Nitrate (PPM)]]&gt;2, "4. Very high (&gt;2ppm)", IF(AllDataCorrected[[#This Row],[Nitrate (PPM)]]&gt;1, "3. High (1-2ppm)", IF(AllDataCorrected[[#This Row],[Nitrate (PPM)]]&gt;0.5, "2. Some evidence (0.5-1ppm)", IF(AllDataCorrected[[#This Row],[Nitrate (PPM)]]&gt;=0, "1. No evidence (&lt;0.5ppm)"))))</f>
        <v>4. Very high (&gt;2ppm)</v>
      </c>
      <c r="S283">
        <v>0.37</v>
      </c>
      <c r="T2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3">
        <v>2</v>
      </c>
      <c r="V283" t="s">
        <v>465</v>
      </c>
    </row>
    <row r="284" spans="1:22" x14ac:dyDescent="0.35">
      <c r="A284" t="s">
        <v>466</v>
      </c>
      <c r="B284" s="2">
        <v>45280</v>
      </c>
      <c r="C284" t="str" cm="1">
        <f t="array" ref="C2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4">
        <f>YEAR(AllDataCorrected[[#This Row],[Date]])</f>
        <v>2023</v>
      </c>
      <c r="E284" s="1">
        <v>0.65416666666666667</v>
      </c>
      <c r="F2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4" t="str">
        <f>_xlfn.XLOOKUP(AllDataCorrected[[#This Row],[Location Name]], Locations[Location Name],Locations[Group As])</f>
        <v>Stour Newbold Mill</v>
      </c>
      <c r="H284" t="e" vm="1">
        <f>_xlfn.XLOOKUP(AllDataCorrected[[#This Row],[Site Name]],LocationsKey[Site Name],LocationsKey[District])</f>
        <v>#VALUE!</v>
      </c>
      <c r="I284" t="e" vm="27">
        <f>_xlfn.XLOOKUP(AllDataCorrected[[#This Row],[Site Name]],LocationsKey[Site Name],LocationsKey[Town])</f>
        <v>#VALUE!</v>
      </c>
      <c r="J284" t="str">
        <f>_xlfn.XLOOKUP(AllDataCorrected[[#This Row],[Site Name]],LocationsKey[Site Name], LocationsKey[Waterway])</f>
        <v>Stour</v>
      </c>
      <c r="K284" t="s">
        <v>467</v>
      </c>
      <c r="L284">
        <f>_xlfn.XLOOKUP(AllDataCorrected[[#This Row],[Site Name]],Tables!$B$12:$B$100, Tables!C$12:C$100)</f>
        <v>52.113052370370369</v>
      </c>
      <c r="M284">
        <f>_xlfn.XLOOKUP(AllDataCorrected[[#This Row],[Site Name]],Tables!$B$12:$B$100, Tables!D$12:D$100)</f>
        <v>-1.6333685185185181</v>
      </c>
      <c r="N284" t="s">
        <v>31</v>
      </c>
      <c r="O284">
        <v>664</v>
      </c>
      <c r="P284">
        <v>9.1999999999999993</v>
      </c>
      <c r="Q284">
        <v>4</v>
      </c>
      <c r="R284" t="str">
        <f>IF(AllDataCorrected[[#This Row],[Nitrate (PPM)]]&gt;2, "4. Very high (&gt;2ppm)", IF(AllDataCorrected[[#This Row],[Nitrate (PPM)]]&gt;1, "3. High (1-2ppm)", IF(AllDataCorrected[[#This Row],[Nitrate (PPM)]]&gt;0.5, "2. Some evidence (0.5-1ppm)", IF(AllDataCorrected[[#This Row],[Nitrate (PPM)]]&gt;=0, "1. No evidence (&lt;0.5ppm)"))))</f>
        <v>4. Very high (&gt;2ppm)</v>
      </c>
      <c r="S284">
        <v>0.26</v>
      </c>
      <c r="T2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4">
        <v>3.2</v>
      </c>
      <c r="V284" t="s">
        <v>468</v>
      </c>
    </row>
    <row r="285" spans="1:22" x14ac:dyDescent="0.35">
      <c r="A285" t="s">
        <v>469</v>
      </c>
      <c r="B285" s="2">
        <v>45280</v>
      </c>
      <c r="C285" t="str" cm="1">
        <f t="array" ref="C2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5">
        <f>YEAR(AllDataCorrected[[#This Row],[Date]])</f>
        <v>2023</v>
      </c>
      <c r="E285" s="1">
        <v>0.66666666666666663</v>
      </c>
      <c r="F2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5" t="str">
        <f>_xlfn.XLOOKUP(AllDataCorrected[[#This Row],[Location Name]], Locations[Location Name],Locations[Group As])</f>
        <v>Weston-on-Avon</v>
      </c>
      <c r="H285" t="e" vm="1">
        <f>_xlfn.XLOOKUP(AllDataCorrected[[#This Row],[Site Name]],LocationsKey[Site Name],LocationsKey[District])</f>
        <v>#VALUE!</v>
      </c>
      <c r="I285" t="e" vm="35">
        <f>_xlfn.XLOOKUP(AllDataCorrected[[#This Row],[Site Name]],LocationsKey[Site Name],LocationsKey[Town])</f>
        <v>#VALUE!</v>
      </c>
      <c r="J285" t="str">
        <f>_xlfn.XLOOKUP(AllDataCorrected[[#This Row],[Site Name]],LocationsKey[Site Name], LocationsKey[Waterway])</f>
        <v>Avon</v>
      </c>
      <c r="K285" t="s">
        <v>43</v>
      </c>
      <c r="L285">
        <f>_xlfn.XLOOKUP(AllDataCorrected[[#This Row],[Site Name]],Tables!$B$12:$B$100, Tables!C$12:C$100)</f>
        <v>52.167429999999996</v>
      </c>
      <c r="M285">
        <f>_xlfn.XLOOKUP(AllDataCorrected[[#This Row],[Site Name]],Tables!$B$12:$B$100, Tables!D$12:D$100)</f>
        <v>-1.7744752941176474</v>
      </c>
      <c r="N285" t="s">
        <v>31</v>
      </c>
      <c r="O285">
        <v>684</v>
      </c>
      <c r="P285">
        <v>10.7</v>
      </c>
      <c r="Q285">
        <v>10</v>
      </c>
      <c r="R285" t="str">
        <f>IF(AllDataCorrected[[#This Row],[Nitrate (PPM)]]&gt;2, "4. Very high (&gt;2ppm)", IF(AllDataCorrected[[#This Row],[Nitrate (PPM)]]&gt;1, "3. High (1-2ppm)", IF(AllDataCorrected[[#This Row],[Nitrate (PPM)]]&gt;0.5, "2. Some evidence (0.5-1ppm)", IF(AllDataCorrected[[#This Row],[Nitrate (PPM)]]&gt;=0, "1. No evidence (&lt;0.5ppm)"))))</f>
        <v>4. Very high (&gt;2ppm)</v>
      </c>
      <c r="S285">
        <v>0.4</v>
      </c>
      <c r="T2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5">
        <v>0</v>
      </c>
    </row>
    <row r="286" spans="1:22" x14ac:dyDescent="0.35">
      <c r="A286" t="s">
        <v>470</v>
      </c>
      <c r="B286" s="2">
        <v>45281</v>
      </c>
      <c r="C286" t="str" cm="1">
        <f t="array" ref="C2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6">
        <f>YEAR(AllDataCorrected[[#This Row],[Date]])</f>
        <v>2023</v>
      </c>
      <c r="E286" s="1">
        <v>0.45833333333333331</v>
      </c>
      <c r="F2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6" t="str">
        <f>_xlfn.XLOOKUP(AllDataCorrected[[#This Row],[Location Name]], Locations[Location Name],Locations[Group As])</f>
        <v>Swilgate</v>
      </c>
      <c r="H286" t="e" vm="4">
        <f>_xlfn.XLOOKUP(AllDataCorrected[[#This Row],[Site Name]],LocationsKey[Site Name],LocationsKey[District])</f>
        <v>#VALUE!</v>
      </c>
      <c r="I286" t="e" vm="4">
        <f>_xlfn.XLOOKUP(AllDataCorrected[[#This Row],[Site Name]],LocationsKey[Site Name],LocationsKey[Town])</f>
        <v>#VALUE!</v>
      </c>
      <c r="J286" t="str">
        <f>_xlfn.XLOOKUP(AllDataCorrected[[#This Row],[Site Name]],LocationsKey[Site Name], LocationsKey[Waterway])</f>
        <v>Swilgate</v>
      </c>
      <c r="K286" t="s">
        <v>85</v>
      </c>
      <c r="L286">
        <f>_xlfn.XLOOKUP(AllDataCorrected[[#This Row],[Site Name]],Tables!$B$12:$B$100, Tables!C$12:C$100)</f>
        <v>51.988591500000005</v>
      </c>
      <c r="M286">
        <f>_xlfn.XLOOKUP(AllDataCorrected[[#This Row],[Site Name]],Tables!$B$12:$B$100, Tables!D$12:D$100)</f>
        <v>-2.163898333333333</v>
      </c>
      <c r="N286" t="s">
        <v>25</v>
      </c>
      <c r="O286">
        <v>875</v>
      </c>
      <c r="P286">
        <v>11</v>
      </c>
      <c r="Q286">
        <v>5</v>
      </c>
      <c r="R286" t="str">
        <f>IF(AllDataCorrected[[#This Row],[Nitrate (PPM)]]&gt;2, "4. Very high (&gt;2ppm)", IF(AllDataCorrected[[#This Row],[Nitrate (PPM)]]&gt;1, "3. High (1-2ppm)", IF(AllDataCorrected[[#This Row],[Nitrate (PPM)]]&gt;0.5, "2. Some evidence (0.5-1ppm)", IF(AllDataCorrected[[#This Row],[Nitrate (PPM)]]&gt;=0, "1. No evidence (&lt;0.5ppm)"))))</f>
        <v>4. Very high (&gt;2ppm)</v>
      </c>
      <c r="S286">
        <v>0.3</v>
      </c>
      <c r="T2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6">
        <v>1</v>
      </c>
    </row>
    <row r="287" spans="1:22" x14ac:dyDescent="0.35">
      <c r="A287" t="s">
        <v>471</v>
      </c>
      <c r="B287" s="2">
        <v>45283</v>
      </c>
      <c r="C287" t="str" cm="1">
        <f t="array" ref="C2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7">
        <f>YEAR(AllDataCorrected[[#This Row],[Date]])</f>
        <v>2023</v>
      </c>
      <c r="E287" s="1">
        <v>0.48958333333333331</v>
      </c>
      <c r="F2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87" t="str">
        <f>_xlfn.XLOOKUP(AllDataCorrected[[#This Row],[Location Name]], Locations[Location Name],Locations[Group As])</f>
        <v>Carrant Bredon Rd</v>
      </c>
      <c r="H287" t="e" vm="4">
        <f>_xlfn.XLOOKUP(AllDataCorrected[[#This Row],[Site Name]],LocationsKey[Site Name],LocationsKey[District])</f>
        <v>#VALUE!</v>
      </c>
      <c r="I287" t="e" vm="4">
        <f>_xlfn.XLOOKUP(AllDataCorrected[[#This Row],[Site Name]],LocationsKey[Site Name],LocationsKey[Town])</f>
        <v>#VALUE!</v>
      </c>
      <c r="J287" t="str">
        <f>_xlfn.XLOOKUP(AllDataCorrected[[#This Row],[Site Name]],LocationsKey[Site Name], LocationsKey[Waterway])</f>
        <v>Carrant</v>
      </c>
      <c r="K287" t="s">
        <v>91</v>
      </c>
      <c r="L287">
        <f>_xlfn.XLOOKUP(AllDataCorrected[[#This Row],[Site Name]],Tables!$B$12:$B$100, Tables!C$12:C$100)</f>
        <v>51.996322536231894</v>
      </c>
      <c r="M287">
        <f>_xlfn.XLOOKUP(AllDataCorrected[[#This Row],[Site Name]],Tables!$B$12:$B$100, Tables!D$12:D$100)</f>
        <v>-2.1558410144927538</v>
      </c>
      <c r="N287" t="s">
        <v>25</v>
      </c>
      <c r="O287">
        <v>549</v>
      </c>
      <c r="P287">
        <v>10.1</v>
      </c>
      <c r="Q287">
        <v>7</v>
      </c>
      <c r="R287" t="str">
        <f>IF(AllDataCorrected[[#This Row],[Nitrate (PPM)]]&gt;2, "4. Very high (&gt;2ppm)", IF(AllDataCorrected[[#This Row],[Nitrate (PPM)]]&gt;1, "3. High (1-2ppm)", IF(AllDataCorrected[[#This Row],[Nitrate (PPM)]]&gt;0.5, "2. Some evidence (0.5-1ppm)", IF(AllDataCorrected[[#This Row],[Nitrate (PPM)]]&gt;=0, "1. No evidence (&lt;0.5ppm)"))))</f>
        <v>4. Very high (&gt;2ppm)</v>
      </c>
      <c r="S287">
        <v>0.23</v>
      </c>
      <c r="T2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7">
        <v>0.15</v>
      </c>
    </row>
    <row r="288" spans="1:22" x14ac:dyDescent="0.35">
      <c r="A288" t="s">
        <v>472</v>
      </c>
      <c r="B288" s="2">
        <v>45283</v>
      </c>
      <c r="C288" t="str" cm="1">
        <f t="array" ref="C2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8">
        <f>YEAR(AllDataCorrected[[#This Row],[Date]])</f>
        <v>2023</v>
      </c>
      <c r="E288" s="1">
        <v>0.61388888888888893</v>
      </c>
      <c r="F28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8" t="str">
        <f>_xlfn.XLOOKUP(AllDataCorrected[[#This Row],[Location Name]], Locations[Location Name],Locations[Group As])</f>
        <v>Abbey Mill</v>
      </c>
      <c r="H288" t="e" vm="4">
        <f>_xlfn.XLOOKUP(AllDataCorrected[[#This Row],[Site Name]],LocationsKey[Site Name],LocationsKey[District])</f>
        <v>#VALUE!</v>
      </c>
      <c r="I288" t="e" vm="4">
        <f>_xlfn.XLOOKUP(AllDataCorrected[[#This Row],[Site Name]],LocationsKey[Site Name],LocationsKey[Town])</f>
        <v>#VALUE!</v>
      </c>
      <c r="J288" t="str">
        <f>_xlfn.XLOOKUP(AllDataCorrected[[#This Row],[Site Name]],LocationsKey[Site Name], LocationsKey[Waterway])</f>
        <v>Avon</v>
      </c>
      <c r="K288" t="s">
        <v>24</v>
      </c>
      <c r="L288">
        <f>_xlfn.XLOOKUP(AllDataCorrected[[#This Row],[Site Name]],Tables!$B$12:$B$100, Tables!C$12:C$100)</f>
        <v>51.991313075757589</v>
      </c>
      <c r="M288">
        <f>_xlfn.XLOOKUP(AllDataCorrected[[#This Row],[Site Name]],Tables!$B$12:$B$100, Tables!D$12:D$100)</f>
        <v>-2.1621998181818181</v>
      </c>
      <c r="N288" t="s">
        <v>25</v>
      </c>
      <c r="O288">
        <v>705</v>
      </c>
      <c r="P288">
        <v>12</v>
      </c>
      <c r="Q288">
        <v>10</v>
      </c>
      <c r="R288" t="str">
        <f>IF(AllDataCorrected[[#This Row],[Nitrate (PPM)]]&gt;2, "4. Very high (&gt;2ppm)", IF(AllDataCorrected[[#This Row],[Nitrate (PPM)]]&gt;1, "3. High (1-2ppm)", IF(AllDataCorrected[[#This Row],[Nitrate (PPM)]]&gt;0.5, "2. Some evidence (0.5-1ppm)", IF(AllDataCorrected[[#This Row],[Nitrate (PPM)]]&gt;=0, "1. No evidence (&lt;0.5ppm)"))))</f>
        <v>4. Very high (&gt;2ppm)</v>
      </c>
      <c r="S288">
        <v>0.53</v>
      </c>
      <c r="T2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88">
        <v>0.3</v>
      </c>
    </row>
    <row r="289" spans="1:22" x14ac:dyDescent="0.35">
      <c r="A289" t="s">
        <v>473</v>
      </c>
      <c r="B289" s="2">
        <v>45283</v>
      </c>
      <c r="C289" t="str" cm="1">
        <f t="array" ref="C2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89">
        <f>YEAR(AllDataCorrected[[#This Row],[Date]])</f>
        <v>2023</v>
      </c>
      <c r="E289" s="1">
        <v>0.68055555555555558</v>
      </c>
      <c r="F2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89" t="str">
        <f>_xlfn.XLOOKUP(AllDataCorrected[[#This Row],[Location Name]], Locations[Location Name],Locations[Group As])</f>
        <v>Clifford Chambers Mill Bridge</v>
      </c>
      <c r="H289" t="e" vm="1">
        <f>_xlfn.XLOOKUP(AllDataCorrected[[#This Row],[Site Name]],LocationsKey[Site Name],LocationsKey[District])</f>
        <v>#VALUE!</v>
      </c>
      <c r="I289" t="e" vm="22">
        <f>_xlfn.XLOOKUP(AllDataCorrected[[#This Row],[Site Name]],LocationsKey[Site Name],LocationsKey[Town])</f>
        <v>#VALUE!</v>
      </c>
      <c r="J289" t="str">
        <f>_xlfn.XLOOKUP(AllDataCorrected[[#This Row],[Site Name]],LocationsKey[Site Name], LocationsKey[Waterway])</f>
        <v>Stour</v>
      </c>
      <c r="K289" t="s">
        <v>266</v>
      </c>
      <c r="L289">
        <f>_xlfn.XLOOKUP(AllDataCorrected[[#This Row],[Site Name]],Tables!$B$12:$B$100, Tables!C$12:C$100)</f>
        <v>52.166363596153808</v>
      </c>
      <c r="M289">
        <f>_xlfn.XLOOKUP(AllDataCorrected[[#This Row],[Site Name]],Tables!$B$12:$B$100, Tables!D$12:D$100)</f>
        <v>-1.7080375384615398</v>
      </c>
      <c r="N289" t="s">
        <v>68</v>
      </c>
      <c r="O289">
        <v>626</v>
      </c>
      <c r="P289">
        <v>12.4</v>
      </c>
      <c r="Q289">
        <v>6</v>
      </c>
      <c r="R289" t="str">
        <f>IF(AllDataCorrected[[#This Row],[Nitrate (PPM)]]&gt;2, "4. Very high (&gt;2ppm)", IF(AllDataCorrected[[#This Row],[Nitrate (PPM)]]&gt;1, "3. High (1-2ppm)", IF(AllDataCorrected[[#This Row],[Nitrate (PPM)]]&gt;0.5, "2. Some evidence (0.5-1ppm)", IF(AllDataCorrected[[#This Row],[Nitrate (PPM)]]&gt;=0, "1. No evidence (&lt;0.5ppm)"))))</f>
        <v>4. Very high (&gt;2ppm)</v>
      </c>
      <c r="S289">
        <v>0.23</v>
      </c>
      <c r="T2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89">
        <v>1.2</v>
      </c>
      <c r="V289" t="s">
        <v>450</v>
      </c>
    </row>
    <row r="290" spans="1:22" x14ac:dyDescent="0.35">
      <c r="A290" t="s">
        <v>474</v>
      </c>
      <c r="B290" s="2">
        <v>45283</v>
      </c>
      <c r="C290" t="str" cm="1">
        <f t="array" ref="C2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0">
        <f>YEAR(AllDataCorrected[[#This Row],[Date]])</f>
        <v>2023</v>
      </c>
      <c r="E290" s="1">
        <v>0.68055555555555558</v>
      </c>
      <c r="F2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0" t="str">
        <f>_xlfn.XLOOKUP(AllDataCorrected[[#This Row],[Location Name]], Locations[Location Name],Locations[Group As])</f>
        <v>Clifford Chambers Road Bridge</v>
      </c>
      <c r="H290" t="e" vm="1">
        <f>_xlfn.XLOOKUP(AllDataCorrected[[#This Row],[Site Name]],LocationsKey[Site Name],LocationsKey[District])</f>
        <v>#VALUE!</v>
      </c>
      <c r="I290" t="e" vm="22">
        <f>_xlfn.XLOOKUP(AllDataCorrected[[#This Row],[Site Name]],LocationsKey[Site Name],LocationsKey[Town])</f>
        <v>#VALUE!</v>
      </c>
      <c r="J290" t="str">
        <f>_xlfn.XLOOKUP(AllDataCorrected[[#This Row],[Site Name]],LocationsKey[Site Name], LocationsKey[Waterway])</f>
        <v>Stour</v>
      </c>
      <c r="K290" t="s">
        <v>429</v>
      </c>
      <c r="L290">
        <f>_xlfn.XLOOKUP(AllDataCorrected[[#This Row],[Site Name]],Tables!$B$12:$B$100, Tables!C$12:C$100)</f>
        <v>52.172840000000001</v>
      </c>
      <c r="M290">
        <f>_xlfn.XLOOKUP(AllDataCorrected[[#This Row],[Site Name]],Tables!$B$12:$B$100, Tables!D$12:D$100)</f>
        <v>-1.71377</v>
      </c>
      <c r="N290" t="s">
        <v>191</v>
      </c>
      <c r="O290">
        <v>636</v>
      </c>
      <c r="P290">
        <v>12.7</v>
      </c>
      <c r="Q290">
        <v>5</v>
      </c>
      <c r="R290" t="str">
        <f>IF(AllDataCorrected[[#This Row],[Nitrate (PPM)]]&gt;2, "4. Very high (&gt;2ppm)", IF(AllDataCorrected[[#This Row],[Nitrate (PPM)]]&gt;1, "3. High (1-2ppm)", IF(AllDataCorrected[[#This Row],[Nitrate (PPM)]]&gt;0.5, "2. Some evidence (0.5-1ppm)", IF(AllDataCorrected[[#This Row],[Nitrate (PPM)]]&gt;=0, "1. No evidence (&lt;0.5ppm)"))))</f>
        <v>4. Very high (&gt;2ppm)</v>
      </c>
      <c r="S290">
        <v>0.24</v>
      </c>
      <c r="T2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0">
        <v>1.2</v>
      </c>
    </row>
    <row r="291" spans="1:22" x14ac:dyDescent="0.35">
      <c r="A291" t="s">
        <v>475</v>
      </c>
      <c r="B291" s="2">
        <v>45284</v>
      </c>
      <c r="C291" t="str" cm="1">
        <f t="array" ref="C2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1">
        <f>YEAR(AllDataCorrected[[#This Row],[Date]])</f>
        <v>2023</v>
      </c>
      <c r="E291" s="1">
        <v>0.51388888888888884</v>
      </c>
      <c r="F2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1" t="str">
        <f>_xlfn.XLOOKUP(AllDataCorrected[[#This Row],[Location Name]], Locations[Location Name],Locations[Group As])</f>
        <v>Hampton Wood</v>
      </c>
      <c r="H291" t="e" vm="1">
        <f>_xlfn.XLOOKUP(AllDataCorrected[[#This Row],[Site Name]],LocationsKey[Site Name],LocationsKey[District])</f>
        <v>#VALUE!</v>
      </c>
      <c r="I291" t="e" vm="34">
        <f>_xlfn.XLOOKUP(AllDataCorrected[[#This Row],[Site Name]],LocationsKey[Site Name],LocationsKey[Town])</f>
        <v>#VALUE!</v>
      </c>
      <c r="J291" t="str">
        <f>_xlfn.XLOOKUP(AllDataCorrected[[#This Row],[Site Name]],LocationsKey[Site Name], LocationsKey[Waterway])</f>
        <v>Avon</v>
      </c>
      <c r="K291" t="s">
        <v>36</v>
      </c>
      <c r="L291">
        <f>_xlfn.XLOOKUP(AllDataCorrected[[#This Row],[Site Name]],Tables!$B$12:$B$100, Tables!C$12:C$100)</f>
        <v>52.23814999999999</v>
      </c>
      <c r="M291">
        <f>_xlfn.XLOOKUP(AllDataCorrected[[#This Row],[Site Name]],Tables!$B$12:$B$100, Tables!D$12:D$100)</f>
        <v>-1.6245800000000008</v>
      </c>
      <c r="N291" t="s">
        <v>31</v>
      </c>
      <c r="O291">
        <v>730</v>
      </c>
      <c r="P291">
        <v>12</v>
      </c>
      <c r="Q291">
        <v>15</v>
      </c>
      <c r="R291" t="str">
        <f>IF(AllDataCorrected[[#This Row],[Nitrate (PPM)]]&gt;2, "4. Very high (&gt;2ppm)", IF(AllDataCorrected[[#This Row],[Nitrate (PPM)]]&gt;1, "3. High (1-2ppm)", IF(AllDataCorrected[[#This Row],[Nitrate (PPM)]]&gt;0.5, "2. Some evidence (0.5-1ppm)", IF(AllDataCorrected[[#This Row],[Nitrate (PPM)]]&gt;=0, "1. No evidence (&lt;0.5ppm)"))))</f>
        <v>4. Very high (&gt;2ppm)</v>
      </c>
      <c r="S291">
        <v>0.45</v>
      </c>
      <c r="T2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1">
        <v>0</v>
      </c>
    </row>
    <row r="292" spans="1:22" x14ac:dyDescent="0.35">
      <c r="A292" t="s">
        <v>476</v>
      </c>
      <c r="B292" s="2">
        <v>45284</v>
      </c>
      <c r="C292" t="str" cm="1">
        <f t="array" ref="C2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2">
        <f>YEAR(AllDataCorrected[[#This Row],[Date]])</f>
        <v>2023</v>
      </c>
      <c r="E292" s="1">
        <v>0.53125</v>
      </c>
      <c r="F2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2" t="str">
        <f>_xlfn.XLOOKUP(AllDataCorrected[[#This Row],[Location Name]], Locations[Location Name],Locations[Group As])</f>
        <v>Hampton Lucy</v>
      </c>
      <c r="H292" t="e" vm="1">
        <f>_xlfn.XLOOKUP(AllDataCorrected[[#This Row],[Site Name]],LocationsKey[Site Name],LocationsKey[District])</f>
        <v>#VALUE!</v>
      </c>
      <c r="I292" t="e" vm="33">
        <f>_xlfn.XLOOKUP(AllDataCorrected[[#This Row],[Site Name]],LocationsKey[Site Name],LocationsKey[Town])</f>
        <v>#VALUE!</v>
      </c>
      <c r="J292" t="str">
        <f>_xlfn.XLOOKUP(AllDataCorrected[[#This Row],[Site Name]],LocationsKey[Site Name], LocationsKey[Waterway])</f>
        <v>Avon</v>
      </c>
      <c r="K292" t="s">
        <v>39</v>
      </c>
      <c r="L292">
        <f>_xlfn.XLOOKUP(AllDataCorrected[[#This Row],[Site Name]],Tables!$B$12:$B$100, Tables!C$12:C$100)</f>
        <v>52.211679999999973</v>
      </c>
      <c r="M292">
        <f>_xlfn.XLOOKUP(AllDataCorrected[[#This Row],[Site Name]],Tables!$B$12:$B$100, Tables!D$12:D$100)</f>
        <v>-1.6244400000000001</v>
      </c>
      <c r="N292" t="s">
        <v>25</v>
      </c>
      <c r="O292">
        <v>732</v>
      </c>
      <c r="P292">
        <v>11.4</v>
      </c>
      <c r="Q292">
        <v>20</v>
      </c>
      <c r="R292" t="str">
        <f>IF(AllDataCorrected[[#This Row],[Nitrate (PPM)]]&gt;2, "4. Very high (&gt;2ppm)", IF(AllDataCorrected[[#This Row],[Nitrate (PPM)]]&gt;1, "3. High (1-2ppm)", IF(AllDataCorrected[[#This Row],[Nitrate (PPM)]]&gt;0.5, "2. Some evidence (0.5-1ppm)", IF(AllDataCorrected[[#This Row],[Nitrate (PPM)]]&gt;=0, "1. No evidence (&lt;0.5ppm)"))))</f>
        <v>4. Very high (&gt;2ppm)</v>
      </c>
      <c r="S292">
        <v>0.51</v>
      </c>
      <c r="T2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2">
        <v>0</v>
      </c>
    </row>
    <row r="293" spans="1:22" x14ac:dyDescent="0.35">
      <c r="A293" t="s">
        <v>479</v>
      </c>
      <c r="B293" s="2">
        <v>45286</v>
      </c>
      <c r="C293" t="str" cm="1">
        <f t="array" ref="C2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3">
        <f>YEAR(AllDataCorrected[[#This Row],[Date]])</f>
        <v>2023</v>
      </c>
      <c r="E293" s="1">
        <v>0.625</v>
      </c>
      <c r="F2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3" t="str">
        <f>_xlfn.XLOOKUP(AllDataCorrected[[#This Row],[Location Name]], Locations[Location Name],Locations[Group As])</f>
        <v>Weston-on-Avon</v>
      </c>
      <c r="H293" t="e" vm="1">
        <f>_xlfn.XLOOKUP(AllDataCorrected[[#This Row],[Site Name]],LocationsKey[Site Name],LocationsKey[District])</f>
        <v>#VALUE!</v>
      </c>
      <c r="I293" t="e" vm="35">
        <f>_xlfn.XLOOKUP(AllDataCorrected[[#This Row],[Site Name]],LocationsKey[Site Name],LocationsKey[Town])</f>
        <v>#VALUE!</v>
      </c>
      <c r="J293" t="str">
        <f>_xlfn.XLOOKUP(AllDataCorrected[[#This Row],[Site Name]],LocationsKey[Site Name], LocationsKey[Waterway])</f>
        <v>Avon</v>
      </c>
      <c r="K293" t="s">
        <v>43</v>
      </c>
      <c r="L293">
        <f>_xlfn.XLOOKUP(AllDataCorrected[[#This Row],[Site Name]],Tables!$B$12:$B$100, Tables!C$12:C$100)</f>
        <v>52.167429999999996</v>
      </c>
      <c r="M293">
        <f>_xlfn.XLOOKUP(AllDataCorrected[[#This Row],[Site Name]],Tables!$B$12:$B$100, Tables!D$12:D$100)</f>
        <v>-1.7744752941176474</v>
      </c>
      <c r="N293" t="s">
        <v>31</v>
      </c>
      <c r="O293">
        <v>780</v>
      </c>
      <c r="P293">
        <v>10.6</v>
      </c>
      <c r="Q293">
        <v>7</v>
      </c>
      <c r="R293" t="str">
        <f>IF(AllDataCorrected[[#This Row],[Nitrate (PPM)]]&gt;2, "4. Very high (&gt;2ppm)", IF(AllDataCorrected[[#This Row],[Nitrate (PPM)]]&gt;1, "3. High (1-2ppm)", IF(AllDataCorrected[[#This Row],[Nitrate (PPM)]]&gt;0.5, "2. Some evidence (0.5-1ppm)", IF(AllDataCorrected[[#This Row],[Nitrate (PPM)]]&gt;=0, "1. No evidence (&lt;0.5ppm)"))))</f>
        <v>4. Very high (&gt;2ppm)</v>
      </c>
      <c r="S293">
        <v>0.46</v>
      </c>
      <c r="T2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3">
        <v>0</v>
      </c>
    </row>
    <row r="294" spans="1:22" x14ac:dyDescent="0.35">
      <c r="A294" t="s">
        <v>480</v>
      </c>
      <c r="B294" s="2">
        <v>45287</v>
      </c>
      <c r="C294" t="str" cm="1">
        <f t="array" ref="C2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4">
        <f>YEAR(AllDataCorrected[[#This Row],[Date]])</f>
        <v>2023</v>
      </c>
      <c r="E294" s="1">
        <v>0.52083333333333337</v>
      </c>
      <c r="F2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4" t="str">
        <f>_xlfn.XLOOKUP(AllDataCorrected[[#This Row],[Location Name]], Locations[Location Name],Locations[Group As])</f>
        <v>Barton</v>
      </c>
      <c r="H294" t="e" vm="1">
        <f>_xlfn.XLOOKUP(AllDataCorrected[[#This Row],[Site Name]],LocationsKey[Site Name],LocationsKey[District])</f>
        <v>#VALUE!</v>
      </c>
      <c r="I294" t="str">
        <f>_xlfn.XLOOKUP(AllDataCorrected[[#This Row],[Site Name]],LocationsKey[Site Name],LocationsKey[Town])</f>
        <v>Barton</v>
      </c>
      <c r="J294" t="str">
        <f>_xlfn.XLOOKUP(AllDataCorrected[[#This Row],[Site Name]],LocationsKey[Site Name], LocationsKey[Waterway])</f>
        <v>Avon</v>
      </c>
      <c r="K294" t="s">
        <v>51</v>
      </c>
      <c r="L294">
        <f>_xlfn.XLOOKUP(AllDataCorrected[[#This Row],[Site Name]],Tables!$B$12:$B$100, Tables!C$12:C$100)</f>
        <v>52.16120999999999</v>
      </c>
      <c r="M294">
        <f>_xlfn.XLOOKUP(AllDataCorrected[[#This Row],[Site Name]],Tables!$B$12:$B$100, Tables!D$12:D$100)</f>
        <v>-1.8301499999999999</v>
      </c>
      <c r="N294" t="s">
        <v>31</v>
      </c>
      <c r="O294">
        <v>732</v>
      </c>
      <c r="P294">
        <v>7.9</v>
      </c>
      <c r="Q294">
        <v>25</v>
      </c>
      <c r="R294" t="str">
        <f>IF(AllDataCorrected[[#This Row],[Nitrate (PPM)]]&gt;2, "4. Very high (&gt;2ppm)", IF(AllDataCorrected[[#This Row],[Nitrate (PPM)]]&gt;1, "3. High (1-2ppm)", IF(AllDataCorrected[[#This Row],[Nitrate (PPM)]]&gt;0.5, "2. Some evidence (0.5-1ppm)", IF(AllDataCorrected[[#This Row],[Nitrate (PPM)]]&gt;=0, "1. No evidence (&lt;0.5ppm)"))))</f>
        <v>4. Very high (&gt;2ppm)</v>
      </c>
      <c r="S294">
        <v>0.42</v>
      </c>
      <c r="T2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294">
        <v>0</v>
      </c>
    </row>
    <row r="295" spans="1:22" x14ac:dyDescent="0.35">
      <c r="A295" t="s">
        <v>481</v>
      </c>
      <c r="B295" s="2">
        <v>45288</v>
      </c>
      <c r="C295" t="str" cm="1">
        <f t="array" ref="C2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5">
        <f>YEAR(AllDataCorrected[[#This Row],[Date]])</f>
        <v>2023</v>
      </c>
      <c r="E295" s="1">
        <v>0.48402777777777778</v>
      </c>
      <c r="F2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295" t="str">
        <f>_xlfn.XLOOKUP(AllDataCorrected[[#This Row],[Location Name]], Locations[Location Name],Locations[Group As])</f>
        <v>Alveston Weir</v>
      </c>
      <c r="H295" t="e" vm="1">
        <f>_xlfn.XLOOKUP(AllDataCorrected[[#This Row],[Site Name]],LocationsKey[Site Name],LocationsKey[District])</f>
        <v>#VALUE!</v>
      </c>
      <c r="I295" t="e" vm="2">
        <f>_xlfn.XLOOKUP(AllDataCorrected[[#This Row],[Site Name]],LocationsKey[Site Name],LocationsKey[Town])</f>
        <v>#VALUE!</v>
      </c>
      <c r="J295" t="str">
        <f>_xlfn.XLOOKUP(AllDataCorrected[[#This Row],[Site Name]],LocationsKey[Site Name], LocationsKey[Waterway])</f>
        <v>Avon</v>
      </c>
      <c r="K295" t="s">
        <v>288</v>
      </c>
      <c r="L295">
        <f>_xlfn.XLOOKUP(AllDataCorrected[[#This Row],[Site Name]],Tables!$B$12:$B$100, Tables!C$12:C$100)</f>
        <v>52.21226301333337</v>
      </c>
      <c r="M295">
        <f>_xlfn.XLOOKUP(AllDataCorrected[[#This Row],[Site Name]],Tables!$B$12:$B$100, Tables!D$12:D$100)</f>
        <v>-1.6595226800000011</v>
      </c>
      <c r="N295" t="s">
        <v>31</v>
      </c>
      <c r="O295">
        <v>495</v>
      </c>
      <c r="P295">
        <v>10.1</v>
      </c>
      <c r="Q295">
        <v>2</v>
      </c>
      <c r="R295" t="str">
        <f>IF(AllDataCorrected[[#This Row],[Nitrate (PPM)]]&gt;2, "4. Very high (&gt;2ppm)", IF(AllDataCorrected[[#This Row],[Nitrate (PPM)]]&gt;1, "3. High (1-2ppm)", IF(AllDataCorrected[[#This Row],[Nitrate (PPM)]]&gt;0.5, "2. Some evidence (0.5-1ppm)", IF(AllDataCorrected[[#This Row],[Nitrate (PPM)]]&gt;=0, "1. No evidence (&lt;0.5ppm)"))))</f>
        <v>3. High (1-2ppm)</v>
      </c>
      <c r="S295">
        <v>0.63</v>
      </c>
      <c r="T2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5">
        <v>1</v>
      </c>
      <c r="V295" t="s">
        <v>482</v>
      </c>
    </row>
    <row r="296" spans="1:22" x14ac:dyDescent="0.35">
      <c r="A296" t="s">
        <v>483</v>
      </c>
      <c r="B296" s="2">
        <v>45288</v>
      </c>
      <c r="C296" t="str" cm="1">
        <f t="array" ref="C2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6">
        <f>YEAR(AllDataCorrected[[#This Row],[Date]])</f>
        <v>2023</v>
      </c>
      <c r="E296" s="1">
        <v>0.5</v>
      </c>
      <c r="F2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6" t="str">
        <f>_xlfn.XLOOKUP(AllDataCorrected[[#This Row],[Location Name]], Locations[Location Name],Locations[Group As])</f>
        <v>Swiffen Bank</v>
      </c>
      <c r="H296" t="e" vm="1">
        <f>_xlfn.XLOOKUP(AllDataCorrected[[#This Row],[Site Name]],LocationsKey[Site Name],LocationsKey[District])</f>
        <v>#VALUE!</v>
      </c>
      <c r="I296" t="e" vm="2">
        <f>_xlfn.XLOOKUP(AllDataCorrected[[#This Row],[Site Name]],LocationsKey[Site Name],LocationsKey[Town])</f>
        <v>#VALUE!</v>
      </c>
      <c r="J296" t="str">
        <f>_xlfn.XLOOKUP(AllDataCorrected[[#This Row],[Site Name]],LocationsKey[Site Name], LocationsKey[Waterway])</f>
        <v>Avon</v>
      </c>
      <c r="K296" t="s">
        <v>286</v>
      </c>
      <c r="L296">
        <f>_xlfn.XLOOKUP(AllDataCorrected[[#This Row],[Site Name]],Tables!$B$12:$B$100, Tables!C$12:C$100)</f>
        <v>52.206649805555557</v>
      </c>
      <c r="M296">
        <f>_xlfn.XLOOKUP(AllDataCorrected[[#This Row],[Site Name]],Tables!$B$12:$B$100, Tables!D$12:D$100)</f>
        <v>-1.6541018611111094</v>
      </c>
      <c r="N296" t="s">
        <v>31</v>
      </c>
      <c r="O296">
        <v>513</v>
      </c>
      <c r="P296">
        <v>11.1</v>
      </c>
      <c r="Q296">
        <v>2</v>
      </c>
      <c r="R296" t="str">
        <f>IF(AllDataCorrected[[#This Row],[Nitrate (PPM)]]&gt;2, "4. Very high (&gt;2ppm)", IF(AllDataCorrected[[#This Row],[Nitrate (PPM)]]&gt;1, "3. High (1-2ppm)", IF(AllDataCorrected[[#This Row],[Nitrate (PPM)]]&gt;0.5, "2. Some evidence (0.5-1ppm)", IF(AllDataCorrected[[#This Row],[Nitrate (PPM)]]&gt;=0, "1. No evidence (&lt;0.5ppm)"))))</f>
        <v>3. High (1-2ppm)</v>
      </c>
      <c r="S296">
        <v>0.82</v>
      </c>
      <c r="T2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6">
        <v>2</v>
      </c>
      <c r="V296" t="s">
        <v>484</v>
      </c>
    </row>
    <row r="297" spans="1:22" x14ac:dyDescent="0.35">
      <c r="A297" t="s">
        <v>485</v>
      </c>
      <c r="B297" s="2">
        <v>45288</v>
      </c>
      <c r="C297" t="str" cm="1">
        <f t="array" ref="C2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7">
        <f>YEAR(AllDataCorrected[[#This Row],[Date]])</f>
        <v>2023</v>
      </c>
      <c r="E297" s="1">
        <v>0.5</v>
      </c>
      <c r="F2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7" t="str">
        <f>_xlfn.XLOOKUP(AllDataCorrected[[#This Row],[Location Name]], Locations[Location Name],Locations[Group As])</f>
        <v>Swilgate</v>
      </c>
      <c r="H297" t="e" vm="4">
        <f>_xlfn.XLOOKUP(AllDataCorrected[[#This Row],[Site Name]],LocationsKey[Site Name],LocationsKey[District])</f>
        <v>#VALUE!</v>
      </c>
      <c r="I297" t="e" vm="4">
        <f>_xlfn.XLOOKUP(AllDataCorrected[[#This Row],[Site Name]],LocationsKey[Site Name],LocationsKey[Town])</f>
        <v>#VALUE!</v>
      </c>
      <c r="J297" t="str">
        <f>_xlfn.XLOOKUP(AllDataCorrected[[#This Row],[Site Name]],LocationsKey[Site Name], LocationsKey[Waterway])</f>
        <v>Swilgate</v>
      </c>
      <c r="K297" t="s">
        <v>486</v>
      </c>
      <c r="L297">
        <f>_xlfn.XLOOKUP(AllDataCorrected[[#This Row],[Site Name]],Tables!$B$12:$B$100, Tables!C$12:C$100)</f>
        <v>51.988591500000005</v>
      </c>
      <c r="M297">
        <f>_xlfn.XLOOKUP(AllDataCorrected[[#This Row],[Site Name]],Tables!$B$12:$B$100, Tables!D$12:D$100)</f>
        <v>-2.163898333333333</v>
      </c>
      <c r="N297" t="s">
        <v>25</v>
      </c>
      <c r="O297">
        <v>797</v>
      </c>
      <c r="P297">
        <v>10.7</v>
      </c>
      <c r="Q297">
        <v>4</v>
      </c>
      <c r="R297" t="str">
        <f>IF(AllDataCorrected[[#This Row],[Nitrate (PPM)]]&gt;2, "4. Very high (&gt;2ppm)", IF(AllDataCorrected[[#This Row],[Nitrate (PPM)]]&gt;1, "3. High (1-2ppm)", IF(AllDataCorrected[[#This Row],[Nitrate (PPM)]]&gt;0.5, "2. Some evidence (0.5-1ppm)", IF(AllDataCorrected[[#This Row],[Nitrate (PPM)]]&gt;=0, "1. No evidence (&lt;0.5ppm)"))))</f>
        <v>4. Very high (&gt;2ppm)</v>
      </c>
      <c r="S297">
        <v>0.55000000000000004</v>
      </c>
      <c r="T2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7">
        <v>2</v>
      </c>
      <c r="V297" t="s">
        <v>487</v>
      </c>
    </row>
    <row r="298" spans="1:22" x14ac:dyDescent="0.35">
      <c r="A298" t="s">
        <v>488</v>
      </c>
      <c r="B298" s="2">
        <v>45290</v>
      </c>
      <c r="C298" t="str" cm="1">
        <f t="array" ref="C2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8">
        <f>YEAR(AllDataCorrected[[#This Row],[Date]])</f>
        <v>2023</v>
      </c>
      <c r="E298" s="1">
        <v>0.5</v>
      </c>
      <c r="F2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8" t="str">
        <f>_xlfn.XLOOKUP(AllDataCorrected[[#This Row],[Location Name]], Locations[Location Name],Locations[Group As])</f>
        <v>Carrant Bredon Rd</v>
      </c>
      <c r="H298" t="e" vm="4">
        <f>_xlfn.XLOOKUP(AllDataCorrected[[#This Row],[Site Name]],LocationsKey[Site Name],LocationsKey[District])</f>
        <v>#VALUE!</v>
      </c>
      <c r="I298" t="e" vm="4">
        <f>_xlfn.XLOOKUP(AllDataCorrected[[#This Row],[Site Name]],LocationsKey[Site Name],LocationsKey[Town])</f>
        <v>#VALUE!</v>
      </c>
      <c r="J298" t="str">
        <f>_xlfn.XLOOKUP(AllDataCorrected[[#This Row],[Site Name]],LocationsKey[Site Name], LocationsKey[Waterway])</f>
        <v>Carrant</v>
      </c>
      <c r="K298" t="s">
        <v>91</v>
      </c>
      <c r="L298">
        <f>_xlfn.XLOOKUP(AllDataCorrected[[#This Row],[Site Name]],Tables!$B$12:$B$100, Tables!C$12:C$100)</f>
        <v>51.996322536231894</v>
      </c>
      <c r="M298">
        <f>_xlfn.XLOOKUP(AllDataCorrected[[#This Row],[Site Name]],Tables!$B$12:$B$100, Tables!D$12:D$100)</f>
        <v>-2.1558410144927538</v>
      </c>
      <c r="N298" t="s">
        <v>25</v>
      </c>
      <c r="O298">
        <v>497</v>
      </c>
      <c r="P298">
        <v>9.4</v>
      </c>
      <c r="Q298">
        <v>5</v>
      </c>
      <c r="R298" t="str">
        <f>IF(AllDataCorrected[[#This Row],[Nitrate (PPM)]]&gt;2, "4. Very high (&gt;2ppm)", IF(AllDataCorrected[[#This Row],[Nitrate (PPM)]]&gt;1, "3. High (1-2ppm)", IF(AllDataCorrected[[#This Row],[Nitrate (PPM)]]&gt;0.5, "2. Some evidence (0.5-1ppm)", IF(AllDataCorrected[[#This Row],[Nitrate (PPM)]]&gt;=0, "1. No evidence (&lt;0.5ppm)"))))</f>
        <v>4. Very high (&gt;2ppm)</v>
      </c>
      <c r="S298">
        <v>0.79</v>
      </c>
      <c r="T2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8">
        <v>2</v>
      </c>
      <c r="V298" t="s">
        <v>272</v>
      </c>
    </row>
    <row r="299" spans="1:22" x14ac:dyDescent="0.35">
      <c r="A299" t="s">
        <v>489</v>
      </c>
      <c r="B299" s="2">
        <v>45290</v>
      </c>
      <c r="C299" t="str" cm="1">
        <f t="array" ref="C2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299">
        <f>YEAR(AllDataCorrected[[#This Row],[Date]])</f>
        <v>2023</v>
      </c>
      <c r="E299" s="1">
        <v>0.60416666666666663</v>
      </c>
      <c r="F2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299" t="str">
        <f>_xlfn.XLOOKUP(AllDataCorrected[[#This Row],[Location Name]], Locations[Location Name],Locations[Group As])</f>
        <v>Abbey Mill</v>
      </c>
      <c r="H299" t="e" vm="4">
        <f>_xlfn.XLOOKUP(AllDataCorrected[[#This Row],[Site Name]],LocationsKey[Site Name],LocationsKey[District])</f>
        <v>#VALUE!</v>
      </c>
      <c r="I299" t="e" vm="4">
        <f>_xlfn.XLOOKUP(AllDataCorrected[[#This Row],[Site Name]],LocationsKey[Site Name],LocationsKey[Town])</f>
        <v>#VALUE!</v>
      </c>
      <c r="J299" t="str">
        <f>_xlfn.XLOOKUP(AllDataCorrected[[#This Row],[Site Name]],LocationsKey[Site Name], LocationsKey[Waterway])</f>
        <v>Avon</v>
      </c>
      <c r="K299" t="s">
        <v>24</v>
      </c>
      <c r="L299">
        <f>_xlfn.XLOOKUP(AllDataCorrected[[#This Row],[Site Name]],Tables!$B$12:$B$100, Tables!C$12:C$100)</f>
        <v>51.991313075757589</v>
      </c>
      <c r="M299">
        <f>_xlfn.XLOOKUP(AllDataCorrected[[#This Row],[Site Name]],Tables!$B$12:$B$100, Tables!D$12:D$100)</f>
        <v>-2.1621998181818181</v>
      </c>
      <c r="N299" t="s">
        <v>25</v>
      </c>
      <c r="O299">
        <v>474</v>
      </c>
      <c r="P299">
        <v>11.1</v>
      </c>
      <c r="Q299">
        <v>4</v>
      </c>
      <c r="R299" t="str">
        <f>IF(AllDataCorrected[[#This Row],[Nitrate (PPM)]]&gt;2, "4. Very high (&gt;2ppm)", IF(AllDataCorrected[[#This Row],[Nitrate (PPM)]]&gt;1, "3. High (1-2ppm)", IF(AllDataCorrected[[#This Row],[Nitrate (PPM)]]&gt;0.5, "2. Some evidence (0.5-1ppm)", IF(AllDataCorrected[[#This Row],[Nitrate (PPM)]]&gt;=0, "1. No evidence (&lt;0.5ppm)"))))</f>
        <v>4. Very high (&gt;2ppm)</v>
      </c>
      <c r="S299">
        <v>0.86</v>
      </c>
      <c r="T2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299">
        <v>2.6</v>
      </c>
      <c r="V299" t="s">
        <v>490</v>
      </c>
    </row>
    <row r="300" spans="1:22" x14ac:dyDescent="0.35">
      <c r="A300" t="s">
        <v>491</v>
      </c>
      <c r="B300" s="2">
        <v>45291</v>
      </c>
      <c r="C300" t="str" cm="1">
        <f t="array" ref="C3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0">
        <f>YEAR(AllDataCorrected[[#This Row],[Date]])</f>
        <v>2023</v>
      </c>
      <c r="E300" s="1">
        <v>0.54166666666666663</v>
      </c>
      <c r="F3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0" t="str">
        <f>_xlfn.XLOOKUP(AllDataCorrected[[#This Row],[Location Name]], Locations[Location Name],Locations[Group As])</f>
        <v>Hampton Lucy</v>
      </c>
      <c r="H300" t="e" vm="1">
        <f>_xlfn.XLOOKUP(AllDataCorrected[[#This Row],[Site Name]],LocationsKey[Site Name],LocationsKey[District])</f>
        <v>#VALUE!</v>
      </c>
      <c r="I300" t="e" vm="33">
        <f>_xlfn.XLOOKUP(AllDataCorrected[[#This Row],[Site Name]],LocationsKey[Site Name],LocationsKey[Town])</f>
        <v>#VALUE!</v>
      </c>
      <c r="J300" t="str">
        <f>_xlfn.XLOOKUP(AllDataCorrected[[#This Row],[Site Name]],LocationsKey[Site Name], LocationsKey[Waterway])</f>
        <v>Avon</v>
      </c>
      <c r="K300" t="s">
        <v>39</v>
      </c>
      <c r="L300">
        <f>_xlfn.XLOOKUP(AllDataCorrected[[#This Row],[Site Name]],Tables!$B$12:$B$100, Tables!C$12:C$100)</f>
        <v>52.211679999999973</v>
      </c>
      <c r="M300">
        <f>_xlfn.XLOOKUP(AllDataCorrected[[#This Row],[Site Name]],Tables!$B$12:$B$100, Tables!D$12:D$100)</f>
        <v>-1.6244400000000001</v>
      </c>
      <c r="N300" t="s">
        <v>25</v>
      </c>
      <c r="O300">
        <v>486</v>
      </c>
      <c r="P300">
        <v>9</v>
      </c>
      <c r="Q300">
        <v>15</v>
      </c>
      <c r="R300" t="str">
        <f>IF(AllDataCorrected[[#This Row],[Nitrate (PPM)]]&gt;2, "4. Very high (&gt;2ppm)", IF(AllDataCorrected[[#This Row],[Nitrate (PPM)]]&gt;1, "3. High (1-2ppm)", IF(AllDataCorrected[[#This Row],[Nitrate (PPM)]]&gt;0.5, "2. Some evidence (0.5-1ppm)", IF(AllDataCorrected[[#This Row],[Nitrate (PPM)]]&gt;=0, "1. No evidence (&lt;0.5ppm)"))))</f>
        <v>4. Very high (&gt;2ppm)</v>
      </c>
      <c r="S300">
        <v>0.51</v>
      </c>
      <c r="T3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0">
        <v>0</v>
      </c>
    </row>
    <row r="301" spans="1:22" x14ac:dyDescent="0.35">
      <c r="A301" t="s">
        <v>492</v>
      </c>
      <c r="B301" s="2">
        <v>45295</v>
      </c>
      <c r="C301" t="str" cm="1">
        <f t="array" ref="C3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1">
        <v>2023</v>
      </c>
      <c r="E301" s="1">
        <v>0.58611111111111114</v>
      </c>
      <c r="F3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1" t="str">
        <f>_xlfn.XLOOKUP(AllDataCorrected[[#This Row],[Location Name]], Locations[Location Name],Locations[Group As])</f>
        <v>Preston-on-Stour River Bridge</v>
      </c>
      <c r="H301" t="e" vm="1">
        <f>_xlfn.XLOOKUP(AllDataCorrected[[#This Row],[Site Name]],LocationsKey[Site Name],LocationsKey[District])</f>
        <v>#VALUE!</v>
      </c>
      <c r="I301" t="e" vm="20">
        <f>_xlfn.XLOOKUP(AllDataCorrected[[#This Row],[Site Name]],LocationsKey[Site Name],LocationsKey[Town])</f>
        <v>#VALUE!</v>
      </c>
      <c r="J301" t="str">
        <f>_xlfn.XLOOKUP(AllDataCorrected[[#This Row],[Site Name]],LocationsKey[Site Name], LocationsKey[Waterway])</f>
        <v>Stour</v>
      </c>
      <c r="K301" t="s">
        <v>164</v>
      </c>
      <c r="L301">
        <f>_xlfn.XLOOKUP(AllDataCorrected[[#This Row],[Site Name]],Tables!$B$12:$B$100, Tables!C$12:C$100)</f>
        <v>52.146672352941174</v>
      </c>
      <c r="M301">
        <f>_xlfn.XLOOKUP(AllDataCorrected[[#This Row],[Site Name]],Tables!$B$12:$B$100, Tables!D$12:D$100)</f>
        <v>-1.6984533333333334</v>
      </c>
      <c r="N301" t="s">
        <v>31</v>
      </c>
      <c r="O301">
        <v>578</v>
      </c>
      <c r="P301">
        <v>8.3000000000000007</v>
      </c>
      <c r="Q301">
        <v>5</v>
      </c>
      <c r="R301" t="str">
        <f>IF(AllDataCorrected[[#This Row],[Nitrate (PPM)]]&gt;2, "4. Very high (&gt;2ppm)", IF(AllDataCorrected[[#This Row],[Nitrate (PPM)]]&gt;1, "3. High (1-2ppm)", IF(AllDataCorrected[[#This Row],[Nitrate (PPM)]]&gt;0.5, "2. Some evidence (0.5-1ppm)", IF(AllDataCorrected[[#This Row],[Nitrate (PPM)]]&gt;=0, "1. No evidence (&lt;0.5ppm)"))))</f>
        <v>4. Very high (&gt;2ppm)</v>
      </c>
      <c r="S301">
        <v>0.25</v>
      </c>
      <c r="T3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1">
        <v>2.5</v>
      </c>
      <c r="V301" t="s">
        <v>493</v>
      </c>
    </row>
    <row r="302" spans="1:22" x14ac:dyDescent="0.35">
      <c r="A302" t="s">
        <v>494</v>
      </c>
      <c r="B302" s="2">
        <v>45295</v>
      </c>
      <c r="C302" t="str" cm="1">
        <f t="array" ref="C3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2">
        <v>2023</v>
      </c>
      <c r="E302" s="1">
        <v>0.63888888888888884</v>
      </c>
      <c r="F3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2" t="str">
        <f>_xlfn.XLOOKUP(AllDataCorrected[[#This Row],[Location Name]], Locations[Location Name],Locations[Group As])</f>
        <v>Swiffen Bank</v>
      </c>
      <c r="H302" t="e" vm="1">
        <f>_xlfn.XLOOKUP(AllDataCorrected[[#This Row],[Site Name]],LocationsKey[Site Name],LocationsKey[District])</f>
        <v>#VALUE!</v>
      </c>
      <c r="I302" t="e" vm="2">
        <f>_xlfn.XLOOKUP(AllDataCorrected[[#This Row],[Site Name]],LocationsKey[Site Name],LocationsKey[Town])</f>
        <v>#VALUE!</v>
      </c>
      <c r="J302" t="str">
        <f>_xlfn.XLOOKUP(AllDataCorrected[[#This Row],[Site Name]],LocationsKey[Site Name], LocationsKey[Waterway])</f>
        <v>Avon</v>
      </c>
      <c r="K302" t="s">
        <v>286</v>
      </c>
      <c r="L302">
        <f>_xlfn.XLOOKUP(AllDataCorrected[[#This Row],[Site Name]],Tables!$B$12:$B$100, Tables!C$12:C$100)</f>
        <v>52.206649805555557</v>
      </c>
      <c r="M302">
        <f>_xlfn.XLOOKUP(AllDataCorrected[[#This Row],[Site Name]],Tables!$B$12:$B$100, Tables!D$12:D$100)</f>
        <v>-1.6541018611111094</v>
      </c>
      <c r="N302" t="s">
        <v>31</v>
      </c>
      <c r="O302">
        <v>370</v>
      </c>
      <c r="P302">
        <v>9.6</v>
      </c>
      <c r="Q302">
        <v>2</v>
      </c>
      <c r="R302" t="str">
        <f>IF(AllDataCorrected[[#This Row],[Nitrate (PPM)]]&gt;2, "4. Very high (&gt;2ppm)", IF(AllDataCorrected[[#This Row],[Nitrate (PPM)]]&gt;1, "3. High (1-2ppm)", IF(AllDataCorrected[[#This Row],[Nitrate (PPM)]]&gt;0.5, "2. Some evidence (0.5-1ppm)", IF(AllDataCorrected[[#This Row],[Nitrate (PPM)]]&gt;=0, "1. No evidence (&lt;0.5ppm)"))))</f>
        <v>3. High (1-2ppm)</v>
      </c>
      <c r="S302">
        <v>0.62</v>
      </c>
      <c r="T3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2">
        <v>4</v>
      </c>
      <c r="V302" t="s">
        <v>495</v>
      </c>
    </row>
    <row r="303" spans="1:22" x14ac:dyDescent="0.35">
      <c r="A303" t="s">
        <v>496</v>
      </c>
      <c r="B303" s="2">
        <v>45295</v>
      </c>
      <c r="C303" t="str" cm="1">
        <f t="array" ref="C3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3">
        <v>2023</v>
      </c>
      <c r="E303" s="1">
        <v>0.67083333333333328</v>
      </c>
      <c r="F3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3" t="str">
        <f>_xlfn.XLOOKUP(AllDataCorrected[[#This Row],[Location Name]], Locations[Location Name],Locations[Group As])</f>
        <v>Alveston Weir</v>
      </c>
      <c r="H303" t="e" vm="1">
        <f>_xlfn.XLOOKUP(AllDataCorrected[[#This Row],[Site Name]],LocationsKey[Site Name],LocationsKey[District])</f>
        <v>#VALUE!</v>
      </c>
      <c r="I303" t="e" vm="2">
        <f>_xlfn.XLOOKUP(AllDataCorrected[[#This Row],[Site Name]],LocationsKey[Site Name],LocationsKey[Town])</f>
        <v>#VALUE!</v>
      </c>
      <c r="J303" t="str">
        <f>_xlfn.XLOOKUP(AllDataCorrected[[#This Row],[Site Name]],LocationsKey[Site Name], LocationsKey[Waterway])</f>
        <v>Avon</v>
      </c>
      <c r="K303" t="s">
        <v>288</v>
      </c>
      <c r="L303">
        <f>_xlfn.XLOOKUP(AllDataCorrected[[#This Row],[Site Name]],Tables!$B$12:$B$100, Tables!C$12:C$100)</f>
        <v>52.21226301333337</v>
      </c>
      <c r="M303">
        <f>_xlfn.XLOOKUP(AllDataCorrected[[#This Row],[Site Name]],Tables!$B$12:$B$100, Tables!D$12:D$100)</f>
        <v>-1.6595226800000011</v>
      </c>
      <c r="N303" t="s">
        <v>31</v>
      </c>
      <c r="O303">
        <v>393</v>
      </c>
      <c r="P303">
        <v>10</v>
      </c>
      <c r="Q303">
        <v>2</v>
      </c>
      <c r="R303" t="str">
        <f>IF(AllDataCorrected[[#This Row],[Nitrate (PPM)]]&gt;2, "4. Very high (&gt;2ppm)", IF(AllDataCorrected[[#This Row],[Nitrate (PPM)]]&gt;1, "3. High (1-2ppm)", IF(AllDataCorrected[[#This Row],[Nitrate (PPM)]]&gt;0.5, "2. Some evidence (0.5-1ppm)", IF(AllDataCorrected[[#This Row],[Nitrate (PPM)]]&gt;=0, "1. No evidence (&lt;0.5ppm)"))))</f>
        <v>3. High (1-2ppm)</v>
      </c>
      <c r="S303">
        <v>1.92</v>
      </c>
      <c r="T3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03">
        <v>6</v>
      </c>
      <c r="V303" t="s">
        <v>497</v>
      </c>
    </row>
    <row r="304" spans="1:22" x14ac:dyDescent="0.35">
      <c r="A304" t="s">
        <v>498</v>
      </c>
      <c r="B304" s="2">
        <v>45297</v>
      </c>
      <c r="C304" t="str" cm="1">
        <f t="array" ref="C3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4">
        <v>2023</v>
      </c>
      <c r="E304" s="1">
        <v>0.59652777777777777</v>
      </c>
      <c r="F3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4" t="str">
        <f>_xlfn.XLOOKUP(AllDataCorrected[[#This Row],[Location Name]], Locations[Location Name],Locations[Group As])</f>
        <v>Stour Shipston Mill Bridge</v>
      </c>
      <c r="H304" t="e" vm="1">
        <f>_xlfn.XLOOKUP(AllDataCorrected[[#This Row],[Site Name]],LocationsKey[Site Name],LocationsKey[District])</f>
        <v>#VALUE!</v>
      </c>
      <c r="I304" t="e" vm="15">
        <f>_xlfn.XLOOKUP(AllDataCorrected[[#This Row],[Site Name]],LocationsKey[Site Name],LocationsKey[Town])</f>
        <v>#VALUE!</v>
      </c>
      <c r="J304" t="str">
        <f>_xlfn.XLOOKUP(AllDataCorrected[[#This Row],[Site Name]],LocationsKey[Site Name], LocationsKey[Waterway])</f>
        <v>Stour</v>
      </c>
      <c r="K304" t="s">
        <v>435</v>
      </c>
      <c r="L304">
        <f>_xlfn.XLOOKUP(AllDataCorrected[[#This Row],[Site Name]],Tables!$B$12:$B$100, Tables!C$12:C$100)</f>
        <v>52.062214921052629</v>
      </c>
      <c r="M304">
        <f>_xlfn.XLOOKUP(AllDataCorrected[[#This Row],[Site Name]],Tables!$B$12:$B$100, Tables!D$12:D$100)</f>
        <v>-1.6223788421052625</v>
      </c>
      <c r="N304" t="s">
        <v>25</v>
      </c>
      <c r="O304">
        <v>548</v>
      </c>
      <c r="P304">
        <v>8.8000000000000007</v>
      </c>
      <c r="Q304">
        <v>5</v>
      </c>
      <c r="R304" t="str">
        <f>IF(AllDataCorrected[[#This Row],[Nitrate (PPM)]]&gt;2, "4. Very high (&gt;2ppm)", IF(AllDataCorrected[[#This Row],[Nitrate (PPM)]]&gt;1, "3. High (1-2ppm)", IF(AllDataCorrected[[#This Row],[Nitrate (PPM)]]&gt;0.5, "2. Some evidence (0.5-1ppm)", IF(AllDataCorrected[[#This Row],[Nitrate (PPM)]]&gt;=0, "1. No evidence (&lt;0.5ppm)"))))</f>
        <v>4. Very high (&gt;2ppm)</v>
      </c>
      <c r="S304">
        <v>0.14000000000000001</v>
      </c>
      <c r="T3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4">
        <v>1.5</v>
      </c>
    </row>
    <row r="305" spans="1:22" x14ac:dyDescent="0.35">
      <c r="A305" t="s">
        <v>499</v>
      </c>
      <c r="B305" s="2">
        <v>45297</v>
      </c>
      <c r="C305" t="str" cm="1">
        <f t="array" ref="C3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5">
        <v>2023</v>
      </c>
      <c r="E305" s="1">
        <v>0.63194444444444442</v>
      </c>
      <c r="F3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5" t="str">
        <f>_xlfn.XLOOKUP(AllDataCorrected[[#This Row],[Location Name]], Locations[Location Name],Locations[Group As])</f>
        <v>Fell Mill Footbridge</v>
      </c>
      <c r="H305" t="e" vm="1">
        <f>_xlfn.XLOOKUP(AllDataCorrected[[#This Row],[Site Name]],LocationsKey[Site Name],LocationsKey[District])</f>
        <v>#VALUE!</v>
      </c>
      <c r="I305" t="e" vm="15">
        <f>_xlfn.XLOOKUP(AllDataCorrected[[#This Row],[Site Name]],LocationsKey[Site Name],LocationsKey[Town])</f>
        <v>#VALUE!</v>
      </c>
      <c r="J305" t="str">
        <f>_xlfn.XLOOKUP(AllDataCorrected[[#This Row],[Site Name]],LocationsKey[Site Name], LocationsKey[Waterway])</f>
        <v>Stour</v>
      </c>
      <c r="K305" t="s">
        <v>500</v>
      </c>
      <c r="L305">
        <f>_xlfn.XLOOKUP(AllDataCorrected[[#This Row],[Site Name]],Tables!$B$12:$B$100, Tables!C$12:C$100)</f>
        <v>52.069044372881365</v>
      </c>
      <c r="M305">
        <f>_xlfn.XLOOKUP(AllDataCorrected[[#This Row],[Site Name]],Tables!$B$12:$B$100, Tables!D$12:D$100)</f>
        <v>-1.6116270169491524</v>
      </c>
      <c r="N305" t="s">
        <v>31</v>
      </c>
      <c r="O305">
        <v>554</v>
      </c>
      <c r="P305">
        <v>8.5</v>
      </c>
      <c r="Q305">
        <v>10</v>
      </c>
      <c r="R305" t="str">
        <f>IF(AllDataCorrected[[#This Row],[Nitrate (PPM)]]&gt;2, "4. Very high (&gt;2ppm)", IF(AllDataCorrected[[#This Row],[Nitrate (PPM)]]&gt;1, "3. High (1-2ppm)", IF(AllDataCorrected[[#This Row],[Nitrate (PPM)]]&gt;0.5, "2. Some evidence (0.5-1ppm)", IF(AllDataCorrected[[#This Row],[Nitrate (PPM)]]&gt;=0, "1. No evidence (&lt;0.5ppm)"))))</f>
        <v>4. Very high (&gt;2ppm)</v>
      </c>
      <c r="S305">
        <v>0.26</v>
      </c>
      <c r="T3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5">
        <v>1.5</v>
      </c>
    </row>
    <row r="306" spans="1:22" x14ac:dyDescent="0.35">
      <c r="A306" t="s">
        <v>501</v>
      </c>
      <c r="B306" s="2">
        <v>45297</v>
      </c>
      <c r="C306" t="str" cm="1">
        <f t="array" ref="C3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6">
        <v>2023</v>
      </c>
      <c r="E306" s="1">
        <v>0.63541666666666663</v>
      </c>
      <c r="F3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6" t="str">
        <f>_xlfn.XLOOKUP(AllDataCorrected[[#This Row],[Location Name]], Locations[Location Name],Locations[Group As])</f>
        <v>Clifford Chambers Mill Bridge</v>
      </c>
      <c r="H306" t="e" vm="1">
        <f>_xlfn.XLOOKUP(AllDataCorrected[[#This Row],[Site Name]],LocationsKey[Site Name],LocationsKey[District])</f>
        <v>#VALUE!</v>
      </c>
      <c r="I306" t="e" vm="22">
        <f>_xlfn.XLOOKUP(AllDataCorrected[[#This Row],[Site Name]],LocationsKey[Site Name],LocationsKey[Town])</f>
        <v>#VALUE!</v>
      </c>
      <c r="J306" t="str">
        <f>_xlfn.XLOOKUP(AllDataCorrected[[#This Row],[Site Name]],LocationsKey[Site Name], LocationsKey[Waterway])</f>
        <v>Stour</v>
      </c>
      <c r="K306" t="s">
        <v>266</v>
      </c>
      <c r="L306">
        <f>_xlfn.XLOOKUP(AllDataCorrected[[#This Row],[Site Name]],Tables!$B$12:$B$100, Tables!C$12:C$100)</f>
        <v>52.166363596153808</v>
      </c>
      <c r="M306">
        <f>_xlfn.XLOOKUP(AllDataCorrected[[#This Row],[Site Name]],Tables!$B$12:$B$100, Tables!D$12:D$100)</f>
        <v>-1.7080375384615398</v>
      </c>
      <c r="N306" t="s">
        <v>68</v>
      </c>
      <c r="O306">
        <v>550</v>
      </c>
      <c r="P306">
        <v>11.3</v>
      </c>
      <c r="Q306">
        <v>5</v>
      </c>
      <c r="R306" t="str">
        <f>IF(AllDataCorrected[[#This Row],[Nitrate (PPM)]]&gt;2, "4. Very high (&gt;2ppm)", IF(AllDataCorrected[[#This Row],[Nitrate (PPM)]]&gt;1, "3. High (1-2ppm)", IF(AllDataCorrected[[#This Row],[Nitrate (PPM)]]&gt;0.5, "2. Some evidence (0.5-1ppm)", IF(AllDataCorrected[[#This Row],[Nitrate (PPM)]]&gt;=0, "1. No evidence (&lt;0.5ppm)"))))</f>
        <v>4. Very high (&gt;2ppm)</v>
      </c>
      <c r="S306">
        <v>0.34</v>
      </c>
      <c r="T3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6">
        <v>1.4</v>
      </c>
      <c r="V306" t="s">
        <v>502</v>
      </c>
    </row>
    <row r="307" spans="1:22" x14ac:dyDescent="0.35">
      <c r="A307" t="s">
        <v>503</v>
      </c>
      <c r="B307" s="2">
        <v>45297</v>
      </c>
      <c r="C307" t="str" cm="1">
        <f t="array" ref="C3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7">
        <v>2023</v>
      </c>
      <c r="E307" s="1">
        <v>0.64236111111111116</v>
      </c>
      <c r="F3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07" t="str">
        <f>_xlfn.XLOOKUP(AllDataCorrected[[#This Row],[Location Name]], Locations[Location Name],Locations[Group As])</f>
        <v>Clifford Chambers Road Bridge</v>
      </c>
      <c r="H307" t="e" vm="1">
        <f>_xlfn.XLOOKUP(AllDataCorrected[[#This Row],[Site Name]],LocationsKey[Site Name],LocationsKey[District])</f>
        <v>#VALUE!</v>
      </c>
      <c r="I307" t="e" vm="22">
        <f>_xlfn.XLOOKUP(AllDataCorrected[[#This Row],[Site Name]],LocationsKey[Site Name],LocationsKey[Town])</f>
        <v>#VALUE!</v>
      </c>
      <c r="J307" t="str">
        <f>_xlfn.XLOOKUP(AllDataCorrected[[#This Row],[Site Name]],LocationsKey[Site Name], LocationsKey[Waterway])</f>
        <v>Stour</v>
      </c>
      <c r="K307" t="s">
        <v>429</v>
      </c>
      <c r="L307">
        <f>_xlfn.XLOOKUP(AllDataCorrected[[#This Row],[Site Name]],Tables!$B$12:$B$100, Tables!C$12:C$100)</f>
        <v>52.172840000000001</v>
      </c>
      <c r="M307">
        <f>_xlfn.XLOOKUP(AllDataCorrected[[#This Row],[Site Name]],Tables!$B$12:$B$100, Tables!D$12:D$100)</f>
        <v>-1.71377</v>
      </c>
      <c r="N307" t="s">
        <v>191</v>
      </c>
      <c r="O307">
        <v>557</v>
      </c>
      <c r="P307">
        <v>11.5</v>
      </c>
      <c r="Q307">
        <v>6</v>
      </c>
      <c r="R307" t="str">
        <f>IF(AllDataCorrected[[#This Row],[Nitrate (PPM)]]&gt;2, "4. Very high (&gt;2ppm)", IF(AllDataCorrected[[#This Row],[Nitrate (PPM)]]&gt;1, "3. High (1-2ppm)", IF(AllDataCorrected[[#This Row],[Nitrate (PPM)]]&gt;0.5, "2. Some evidence (0.5-1ppm)", IF(AllDataCorrected[[#This Row],[Nitrate (PPM)]]&gt;=0, "1. No evidence (&lt;0.5ppm)"))))</f>
        <v>4. Very high (&gt;2ppm)</v>
      </c>
      <c r="S307">
        <v>0.31</v>
      </c>
      <c r="T3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7">
        <v>0.6</v>
      </c>
    </row>
    <row r="308" spans="1:22" x14ac:dyDescent="0.35">
      <c r="A308" t="s">
        <v>504</v>
      </c>
      <c r="B308" s="2">
        <v>45298</v>
      </c>
      <c r="C308" t="str" cm="1">
        <f t="array" ref="C3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8">
        <v>2023</v>
      </c>
      <c r="E308" s="1">
        <v>0.46319444444444446</v>
      </c>
      <c r="F3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08" t="str">
        <f>_xlfn.XLOOKUP(AllDataCorrected[[#This Row],[Location Name]], Locations[Location Name],Locations[Group As])</f>
        <v>Avonbank Drive</v>
      </c>
      <c r="H308" t="e" vm="1">
        <f>_xlfn.XLOOKUP(AllDataCorrected[[#This Row],[Site Name]],LocationsKey[Site Name],LocationsKey[District])</f>
        <v>#VALUE!</v>
      </c>
      <c r="I308" t="e" vm="12">
        <f>_xlfn.XLOOKUP(AllDataCorrected[[#This Row],[Site Name]],LocationsKey[Site Name],LocationsKey[Town])</f>
        <v>#VALUE!</v>
      </c>
      <c r="J308" t="str">
        <f>_xlfn.XLOOKUP(AllDataCorrected[[#This Row],[Site Name]],LocationsKey[Site Name], LocationsKey[Waterway])</f>
        <v>Avon</v>
      </c>
      <c r="K308" t="s">
        <v>67</v>
      </c>
      <c r="L308">
        <f>_xlfn.XLOOKUP(AllDataCorrected[[#This Row],[Site Name]],Tables!$B$12:$B$100, Tables!C$12:C$100)</f>
        <v>51.566927775862098</v>
      </c>
      <c r="M308">
        <f>_xlfn.XLOOKUP(AllDataCorrected[[#This Row],[Site Name]],Tables!$B$12:$B$100, Tables!D$12:D$100)</f>
        <v>-7.2113336724137929</v>
      </c>
      <c r="N308" t="s">
        <v>68</v>
      </c>
      <c r="O308">
        <v>658</v>
      </c>
      <c r="P308">
        <v>8.1</v>
      </c>
      <c r="Q308">
        <v>2</v>
      </c>
      <c r="R308" t="str">
        <f>IF(AllDataCorrected[[#This Row],[Nitrate (PPM)]]&gt;2, "4. Very high (&gt;2ppm)", IF(AllDataCorrected[[#This Row],[Nitrate (PPM)]]&gt;1, "3. High (1-2ppm)", IF(AllDataCorrected[[#This Row],[Nitrate (PPM)]]&gt;0.5, "2. Some evidence (0.5-1ppm)", IF(AllDataCorrected[[#This Row],[Nitrate (PPM)]]&gt;=0, "1. No evidence (&lt;0.5ppm)"))))</f>
        <v>3. High (1-2ppm)</v>
      </c>
      <c r="S308">
        <v>0.36</v>
      </c>
      <c r="T3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8">
        <v>1</v>
      </c>
      <c r="V308" t="s">
        <v>505</v>
      </c>
    </row>
    <row r="309" spans="1:22" x14ac:dyDescent="0.35">
      <c r="A309" t="s">
        <v>506</v>
      </c>
      <c r="B309" s="2">
        <v>45298</v>
      </c>
      <c r="C309" t="str" cm="1">
        <f t="array" ref="C3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09">
        <v>2023</v>
      </c>
      <c r="E309" s="1">
        <v>0.47708333333333336</v>
      </c>
      <c r="F3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09" t="str">
        <f>_xlfn.XLOOKUP(AllDataCorrected[[#This Row],[Location Name]], Locations[Location Name],Locations[Group As])</f>
        <v>Pitch 16</v>
      </c>
      <c r="H309" t="e" vm="1">
        <f>_xlfn.XLOOKUP(AllDataCorrected[[#This Row],[Site Name]],LocationsKey[Site Name],LocationsKey[District])</f>
        <v>#VALUE!</v>
      </c>
      <c r="I309" t="e" vm="12">
        <f>_xlfn.XLOOKUP(AllDataCorrected[[#This Row],[Site Name]],LocationsKey[Site Name],LocationsKey[Town])</f>
        <v>#VALUE!</v>
      </c>
      <c r="J309" t="str">
        <f>_xlfn.XLOOKUP(AllDataCorrected[[#This Row],[Site Name]],LocationsKey[Site Name], LocationsKey[Waterway])</f>
        <v>Avon</v>
      </c>
      <c r="K309" t="s">
        <v>71</v>
      </c>
      <c r="L309">
        <f>_xlfn.XLOOKUP(AllDataCorrected[[#This Row],[Site Name]],Tables!$B$12:$B$100, Tables!C$12:C$100)</f>
        <v>51.289310076923087</v>
      </c>
      <c r="M309">
        <f>_xlfn.XLOOKUP(AllDataCorrected[[#This Row],[Site Name]],Tables!$B$12:$B$100, Tables!D$12:D$100)</f>
        <v>-0.10399761538461544</v>
      </c>
      <c r="N309" t="s">
        <v>31</v>
      </c>
      <c r="O309">
        <v>655</v>
      </c>
      <c r="P309">
        <v>6.2</v>
      </c>
      <c r="Q309">
        <v>3</v>
      </c>
      <c r="R309" t="str">
        <f>IF(AllDataCorrected[[#This Row],[Nitrate (PPM)]]&gt;2, "4. Very high (&gt;2ppm)", IF(AllDataCorrected[[#This Row],[Nitrate (PPM)]]&gt;1, "3. High (1-2ppm)", IF(AllDataCorrected[[#This Row],[Nitrate (PPM)]]&gt;0.5, "2. Some evidence (0.5-1ppm)", IF(AllDataCorrected[[#This Row],[Nitrate (PPM)]]&gt;=0, "1. No evidence (&lt;0.5ppm)"))))</f>
        <v>4. Very high (&gt;2ppm)</v>
      </c>
      <c r="S309">
        <v>0.39</v>
      </c>
      <c r="T3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09">
        <v>1</v>
      </c>
      <c r="V309" t="s">
        <v>507</v>
      </c>
    </row>
    <row r="310" spans="1:22" x14ac:dyDescent="0.35">
      <c r="A310" t="s">
        <v>508</v>
      </c>
      <c r="B310" s="2">
        <v>45298</v>
      </c>
      <c r="C310" t="str" cm="1">
        <f t="array" ref="C3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0">
        <v>2023</v>
      </c>
      <c r="E310" s="1">
        <v>0.52083333333333337</v>
      </c>
      <c r="F3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0" t="str">
        <f>_xlfn.XLOOKUP(AllDataCorrected[[#This Row],[Location Name]], Locations[Location Name],Locations[Group As])</f>
        <v>Hampton Wood</v>
      </c>
      <c r="H310" t="e" vm="1">
        <f>_xlfn.XLOOKUP(AllDataCorrected[[#This Row],[Site Name]],LocationsKey[Site Name],LocationsKey[District])</f>
        <v>#VALUE!</v>
      </c>
      <c r="I310" t="e" vm="34">
        <f>_xlfn.XLOOKUP(AllDataCorrected[[#This Row],[Site Name]],LocationsKey[Site Name],LocationsKey[Town])</f>
        <v>#VALUE!</v>
      </c>
      <c r="J310" t="str">
        <f>_xlfn.XLOOKUP(AllDataCorrected[[#This Row],[Site Name]],LocationsKey[Site Name], LocationsKey[Waterway])</f>
        <v>Avon</v>
      </c>
      <c r="K310" t="s">
        <v>36</v>
      </c>
      <c r="L310">
        <f>_xlfn.XLOOKUP(AllDataCorrected[[#This Row],[Site Name]],Tables!$B$12:$B$100, Tables!C$12:C$100)</f>
        <v>52.23814999999999</v>
      </c>
      <c r="M310">
        <f>_xlfn.XLOOKUP(AllDataCorrected[[#This Row],[Site Name]],Tables!$B$12:$B$100, Tables!D$12:D$100)</f>
        <v>-1.6245800000000008</v>
      </c>
      <c r="N310" t="s">
        <v>31</v>
      </c>
      <c r="O310">
        <v>630</v>
      </c>
      <c r="P310">
        <v>6.7</v>
      </c>
      <c r="Q310">
        <v>10</v>
      </c>
      <c r="R310" t="str">
        <f>IF(AllDataCorrected[[#This Row],[Nitrate (PPM)]]&gt;2, "4. Very high (&gt;2ppm)", IF(AllDataCorrected[[#This Row],[Nitrate (PPM)]]&gt;1, "3. High (1-2ppm)", IF(AllDataCorrected[[#This Row],[Nitrate (PPM)]]&gt;0.5, "2. Some evidence (0.5-1ppm)", IF(AllDataCorrected[[#This Row],[Nitrate (PPM)]]&gt;=0, "1. No evidence (&lt;0.5ppm)"))))</f>
        <v>4. Very high (&gt;2ppm)</v>
      </c>
      <c r="S310">
        <v>0.4</v>
      </c>
      <c r="T3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0">
        <v>0</v>
      </c>
    </row>
    <row r="311" spans="1:22" x14ac:dyDescent="0.35">
      <c r="A311" t="s">
        <v>509</v>
      </c>
      <c r="B311" s="2">
        <v>45298</v>
      </c>
      <c r="C311" t="str" cm="1">
        <f t="array" ref="C3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1">
        <v>2023</v>
      </c>
      <c r="E311" s="1">
        <v>0.55208333333333337</v>
      </c>
      <c r="F3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1" t="str">
        <f>_xlfn.XLOOKUP(AllDataCorrected[[#This Row],[Location Name]], Locations[Location Name],Locations[Group As])</f>
        <v>Hampton Lucy</v>
      </c>
      <c r="H311" t="e" vm="1">
        <f>_xlfn.XLOOKUP(AllDataCorrected[[#This Row],[Site Name]],LocationsKey[Site Name],LocationsKey[District])</f>
        <v>#VALUE!</v>
      </c>
      <c r="I311" t="e" vm="33">
        <f>_xlfn.XLOOKUP(AllDataCorrected[[#This Row],[Site Name]],LocationsKey[Site Name],LocationsKey[Town])</f>
        <v>#VALUE!</v>
      </c>
      <c r="J311" t="str">
        <f>_xlfn.XLOOKUP(AllDataCorrected[[#This Row],[Site Name]],LocationsKey[Site Name], LocationsKey[Waterway])</f>
        <v>Avon</v>
      </c>
      <c r="K311" t="s">
        <v>39</v>
      </c>
      <c r="L311">
        <f>_xlfn.XLOOKUP(AllDataCorrected[[#This Row],[Site Name]],Tables!$B$12:$B$100, Tables!C$12:C$100)</f>
        <v>52.211679999999973</v>
      </c>
      <c r="M311">
        <f>_xlfn.XLOOKUP(AllDataCorrected[[#This Row],[Site Name]],Tables!$B$12:$B$100, Tables!D$12:D$100)</f>
        <v>-1.6244400000000001</v>
      </c>
      <c r="N311" t="s">
        <v>25</v>
      </c>
      <c r="O311">
        <v>618</v>
      </c>
      <c r="P311">
        <v>7.1</v>
      </c>
      <c r="Q311">
        <v>5</v>
      </c>
      <c r="R311" t="str">
        <f>IF(AllDataCorrected[[#This Row],[Nitrate (PPM)]]&gt;2, "4. Very high (&gt;2ppm)", IF(AllDataCorrected[[#This Row],[Nitrate (PPM)]]&gt;1, "3. High (1-2ppm)", IF(AllDataCorrected[[#This Row],[Nitrate (PPM)]]&gt;0.5, "2. Some evidence (0.5-1ppm)", IF(AllDataCorrected[[#This Row],[Nitrate (PPM)]]&gt;=0, "1. No evidence (&lt;0.5ppm)"))))</f>
        <v>4. Very high (&gt;2ppm)</v>
      </c>
      <c r="S311">
        <v>0.69</v>
      </c>
      <c r="T3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1">
        <v>0</v>
      </c>
    </row>
    <row r="312" spans="1:22" x14ac:dyDescent="0.35">
      <c r="A312" t="s">
        <v>510</v>
      </c>
      <c r="B312" s="2">
        <v>45298</v>
      </c>
      <c r="C312" t="str" cm="1">
        <f t="array" ref="C3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2">
        <v>2023</v>
      </c>
      <c r="E312" s="1">
        <v>0.58333333333333337</v>
      </c>
      <c r="F3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2" t="str">
        <f>_xlfn.XLOOKUP(AllDataCorrected[[#This Row],[Location Name]], Locations[Location Name],Locations[Group As])</f>
        <v>Carrant Bredon Rd</v>
      </c>
      <c r="H312" t="e" vm="4">
        <f>_xlfn.XLOOKUP(AllDataCorrected[[#This Row],[Site Name]],LocationsKey[Site Name],LocationsKey[District])</f>
        <v>#VALUE!</v>
      </c>
      <c r="I312" t="e" vm="4">
        <f>_xlfn.XLOOKUP(AllDataCorrected[[#This Row],[Site Name]],LocationsKey[Site Name],LocationsKey[Town])</f>
        <v>#VALUE!</v>
      </c>
      <c r="J312" t="str">
        <f>_xlfn.XLOOKUP(AllDataCorrected[[#This Row],[Site Name]],LocationsKey[Site Name], LocationsKey[Waterway])</f>
        <v>Carrant</v>
      </c>
      <c r="K312" t="s">
        <v>91</v>
      </c>
      <c r="L312">
        <f>_xlfn.XLOOKUP(AllDataCorrected[[#This Row],[Site Name]],Tables!$B$12:$B$100, Tables!C$12:C$100)</f>
        <v>51.996322536231894</v>
      </c>
      <c r="M312">
        <f>_xlfn.XLOOKUP(AllDataCorrected[[#This Row],[Site Name]],Tables!$B$12:$B$100, Tables!D$12:D$100)</f>
        <v>-2.1558410144927538</v>
      </c>
      <c r="N312" t="s">
        <v>25</v>
      </c>
      <c r="O312">
        <v>449</v>
      </c>
      <c r="P312">
        <v>7</v>
      </c>
      <c r="Q312">
        <v>4</v>
      </c>
      <c r="R312" t="str">
        <f>IF(AllDataCorrected[[#This Row],[Nitrate (PPM)]]&gt;2, "4. Very high (&gt;2ppm)", IF(AllDataCorrected[[#This Row],[Nitrate (PPM)]]&gt;1, "3. High (1-2ppm)", IF(AllDataCorrected[[#This Row],[Nitrate (PPM)]]&gt;0.5, "2. Some evidence (0.5-1ppm)", IF(AllDataCorrected[[#This Row],[Nitrate (PPM)]]&gt;=0, "1. No evidence (&lt;0.5ppm)"))))</f>
        <v>4. Very high (&gt;2ppm)</v>
      </c>
      <c r="S312">
        <v>0.5</v>
      </c>
      <c r="T3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2">
        <v>2.17</v>
      </c>
      <c r="V312" t="s">
        <v>511</v>
      </c>
    </row>
    <row r="313" spans="1:22" x14ac:dyDescent="0.35">
      <c r="A313" t="s">
        <v>512</v>
      </c>
      <c r="B313" s="2">
        <v>45299</v>
      </c>
      <c r="C313" t="str" cm="1">
        <f t="array" ref="C3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3">
        <v>2023</v>
      </c>
      <c r="E313" s="1">
        <v>0.4</v>
      </c>
      <c r="F3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3" t="str">
        <f>_xlfn.XLOOKUP(AllDataCorrected[[#This Row],[Location Name]], Locations[Location Name],Locations[Group As])</f>
        <v>Stour Stretton-on-Fosse Village</v>
      </c>
      <c r="H313" t="e" vm="1">
        <f>_xlfn.XLOOKUP(AllDataCorrected[[#This Row],[Site Name]],LocationsKey[Site Name],LocationsKey[District])</f>
        <v>#VALUE!</v>
      </c>
      <c r="I313" t="e" vm="30">
        <f>_xlfn.XLOOKUP(AllDataCorrected[[#This Row],[Site Name]],LocationsKey[Site Name],LocationsKey[Town])</f>
        <v>#VALUE!</v>
      </c>
      <c r="J313" t="str">
        <f>_xlfn.XLOOKUP(AllDataCorrected[[#This Row],[Site Name]],LocationsKey[Site Name], LocationsKey[Waterway])</f>
        <v>Stour</v>
      </c>
      <c r="K313" t="s">
        <v>385</v>
      </c>
      <c r="L313">
        <f>_xlfn.XLOOKUP(AllDataCorrected[[#This Row],[Site Name]],Tables!$B$12:$B$100, Tables!C$12:C$100)</f>
        <v>52.046517558823531</v>
      </c>
      <c r="M313">
        <f>_xlfn.XLOOKUP(AllDataCorrected[[#This Row],[Site Name]],Tables!$B$12:$B$100, Tables!D$12:D$100)</f>
        <v>-1.6734143529411762</v>
      </c>
      <c r="N313" t="s">
        <v>68</v>
      </c>
      <c r="O313">
        <v>573</v>
      </c>
      <c r="P313">
        <v>5.8</v>
      </c>
      <c r="Q313">
        <v>2</v>
      </c>
      <c r="R313" t="str">
        <f>IF(AllDataCorrected[[#This Row],[Nitrate (PPM)]]&gt;2, "4. Very high (&gt;2ppm)", IF(AllDataCorrected[[#This Row],[Nitrate (PPM)]]&gt;1, "3. High (1-2ppm)", IF(AllDataCorrected[[#This Row],[Nitrate (PPM)]]&gt;0.5, "2. Some evidence (0.5-1ppm)", IF(AllDataCorrected[[#This Row],[Nitrate (PPM)]]&gt;=0, "1. No evidence (&lt;0.5ppm)"))))</f>
        <v>3. High (1-2ppm)</v>
      </c>
      <c r="S313">
        <v>1.07</v>
      </c>
      <c r="T3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3">
        <v>0.2</v>
      </c>
    </row>
    <row r="314" spans="1:22" x14ac:dyDescent="0.35">
      <c r="A314" t="s">
        <v>513</v>
      </c>
      <c r="B314" s="2">
        <v>45299</v>
      </c>
      <c r="C314" t="str" cm="1">
        <f t="array" ref="C3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4">
        <v>2023</v>
      </c>
      <c r="E314" s="1">
        <v>0.40972222222222221</v>
      </c>
      <c r="F3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4" t="str">
        <f>_xlfn.XLOOKUP(AllDataCorrected[[#This Row],[Location Name]], Locations[Location Name],Locations[Group As])</f>
        <v>Stour Stretton-on-Fosse Sewage Works</v>
      </c>
      <c r="H314" t="e" vm="1">
        <f>_xlfn.XLOOKUP(AllDataCorrected[[#This Row],[Site Name]],LocationsKey[Site Name],LocationsKey[District])</f>
        <v>#VALUE!</v>
      </c>
      <c r="I314" t="e" vm="30">
        <f>_xlfn.XLOOKUP(AllDataCorrected[[#This Row],[Site Name]],LocationsKey[Site Name],LocationsKey[Town])</f>
        <v>#VALUE!</v>
      </c>
      <c r="J314" t="str">
        <f>_xlfn.XLOOKUP(AllDataCorrected[[#This Row],[Site Name]],LocationsKey[Site Name], LocationsKey[Waterway])</f>
        <v>Stour</v>
      </c>
      <c r="K314" t="s">
        <v>337</v>
      </c>
      <c r="L314">
        <f>_xlfn.XLOOKUP(AllDataCorrected[[#This Row],[Site Name]],Tables!$B$12:$B$100, Tables!C$12:C$100)</f>
        <v>52.045653647058828</v>
      </c>
      <c r="M314">
        <f>_xlfn.XLOOKUP(AllDataCorrected[[#This Row],[Site Name]],Tables!$B$12:$B$100, Tables!D$12:D$100)</f>
        <v>-1.6719221470588239</v>
      </c>
      <c r="N314" t="s">
        <v>31</v>
      </c>
      <c r="O314">
        <v>628</v>
      </c>
      <c r="P314">
        <v>5.3</v>
      </c>
      <c r="Q314">
        <v>2</v>
      </c>
      <c r="R314" t="str">
        <f>IF(AllDataCorrected[[#This Row],[Nitrate (PPM)]]&gt;2, "4. Very high (&gt;2ppm)", IF(AllDataCorrected[[#This Row],[Nitrate (PPM)]]&gt;1, "3. High (1-2ppm)", IF(AllDataCorrected[[#This Row],[Nitrate (PPM)]]&gt;0.5, "2. Some evidence (0.5-1ppm)", IF(AllDataCorrected[[#This Row],[Nitrate (PPM)]]&gt;=0, "1. No evidence (&lt;0.5ppm)"))))</f>
        <v>3. High (1-2ppm)</v>
      </c>
      <c r="S314">
        <v>1.91</v>
      </c>
      <c r="T3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4">
        <v>0.3</v>
      </c>
    </row>
    <row r="315" spans="1:22" x14ac:dyDescent="0.35">
      <c r="A315" t="s">
        <v>514</v>
      </c>
      <c r="B315" s="2">
        <v>45299</v>
      </c>
      <c r="C315" t="str" cm="1">
        <f t="array" ref="C3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5">
        <v>2023</v>
      </c>
      <c r="E315" s="1">
        <v>0.625</v>
      </c>
      <c r="F3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5" t="str">
        <f>_xlfn.XLOOKUP(AllDataCorrected[[#This Row],[Location Name]], Locations[Location Name],Locations[Group As])</f>
        <v>Swilgate</v>
      </c>
      <c r="H315" t="e" vm="4">
        <f>_xlfn.XLOOKUP(AllDataCorrected[[#This Row],[Site Name]],LocationsKey[Site Name],LocationsKey[District])</f>
        <v>#VALUE!</v>
      </c>
      <c r="I315" t="e" vm="4">
        <f>_xlfn.XLOOKUP(AllDataCorrected[[#This Row],[Site Name]],LocationsKey[Site Name],LocationsKey[Town])</f>
        <v>#VALUE!</v>
      </c>
      <c r="J315" t="str">
        <f>_xlfn.XLOOKUP(AllDataCorrected[[#This Row],[Site Name]],LocationsKey[Site Name], LocationsKey[Waterway])</f>
        <v>Swilgate</v>
      </c>
      <c r="K315" t="s">
        <v>85</v>
      </c>
      <c r="L315">
        <f>_xlfn.XLOOKUP(AllDataCorrected[[#This Row],[Site Name]],Tables!$B$12:$B$100, Tables!C$12:C$100)</f>
        <v>51.988591500000005</v>
      </c>
      <c r="M315">
        <f>_xlfn.XLOOKUP(AllDataCorrected[[#This Row],[Site Name]],Tables!$B$12:$B$100, Tables!D$12:D$100)</f>
        <v>-2.163898333333333</v>
      </c>
      <c r="N315" t="s">
        <v>25</v>
      </c>
      <c r="O315">
        <v>703</v>
      </c>
      <c r="P315">
        <v>7</v>
      </c>
      <c r="Q315">
        <v>5</v>
      </c>
      <c r="R315" t="str">
        <f>IF(AllDataCorrected[[#This Row],[Nitrate (PPM)]]&gt;2, "4. Very high (&gt;2ppm)", IF(AllDataCorrected[[#This Row],[Nitrate (PPM)]]&gt;1, "3. High (1-2ppm)", IF(AllDataCorrected[[#This Row],[Nitrate (PPM)]]&gt;0.5, "2. Some evidence (0.5-1ppm)", IF(AllDataCorrected[[#This Row],[Nitrate (PPM)]]&gt;=0, "1. No evidence (&lt;0.5ppm)"))))</f>
        <v>4. Very high (&gt;2ppm)</v>
      </c>
      <c r="S315">
        <v>0.46</v>
      </c>
      <c r="T3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5">
        <v>2</v>
      </c>
      <c r="V315" t="s">
        <v>515</v>
      </c>
    </row>
    <row r="316" spans="1:22" x14ac:dyDescent="0.35">
      <c r="A316" t="s">
        <v>516</v>
      </c>
      <c r="B316" s="2">
        <v>45300</v>
      </c>
      <c r="C316" t="str" cm="1">
        <f t="array" ref="C3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6">
        <v>2023</v>
      </c>
      <c r="E316" s="1">
        <v>0.5</v>
      </c>
      <c r="F3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6" t="str">
        <f>_xlfn.XLOOKUP(AllDataCorrected[[#This Row],[Location Name]], Locations[Location Name],Locations[Group As])</f>
        <v>Barton</v>
      </c>
      <c r="H316" t="e" vm="1">
        <f>_xlfn.XLOOKUP(AllDataCorrected[[#This Row],[Site Name]],LocationsKey[Site Name],LocationsKey[District])</f>
        <v>#VALUE!</v>
      </c>
      <c r="I316" t="str">
        <f>_xlfn.XLOOKUP(AllDataCorrected[[#This Row],[Site Name]],LocationsKey[Site Name],LocationsKey[Town])</f>
        <v>Barton</v>
      </c>
      <c r="J316" t="str">
        <f>_xlfn.XLOOKUP(AllDataCorrected[[#This Row],[Site Name]],LocationsKey[Site Name], LocationsKey[Waterway])</f>
        <v>Avon</v>
      </c>
      <c r="K316" t="s">
        <v>51</v>
      </c>
      <c r="L316">
        <f>_xlfn.XLOOKUP(AllDataCorrected[[#This Row],[Site Name]],Tables!$B$12:$B$100, Tables!C$12:C$100)</f>
        <v>52.16120999999999</v>
      </c>
      <c r="M316">
        <f>_xlfn.XLOOKUP(AllDataCorrected[[#This Row],[Site Name]],Tables!$B$12:$B$100, Tables!D$12:D$100)</f>
        <v>-1.8301499999999999</v>
      </c>
      <c r="N316" t="s">
        <v>31</v>
      </c>
      <c r="O316">
        <v>728</v>
      </c>
      <c r="P316">
        <v>8.1</v>
      </c>
      <c r="Q316">
        <v>20</v>
      </c>
      <c r="R316" t="str">
        <f>IF(AllDataCorrected[[#This Row],[Nitrate (PPM)]]&gt;2, "4. Very high (&gt;2ppm)", IF(AllDataCorrected[[#This Row],[Nitrate (PPM)]]&gt;1, "3. High (1-2ppm)", IF(AllDataCorrected[[#This Row],[Nitrate (PPM)]]&gt;0.5, "2. Some evidence (0.5-1ppm)", IF(AllDataCorrected[[#This Row],[Nitrate (PPM)]]&gt;=0, "1. No evidence (&lt;0.5ppm)"))))</f>
        <v>4. Very high (&gt;2ppm)</v>
      </c>
      <c r="S316">
        <v>0.42</v>
      </c>
      <c r="T3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6">
        <v>0</v>
      </c>
    </row>
    <row r="317" spans="1:22" x14ac:dyDescent="0.35">
      <c r="A317" t="s">
        <v>517</v>
      </c>
      <c r="B317" s="2">
        <v>45300</v>
      </c>
      <c r="C317" t="str" cm="1">
        <f t="array" ref="C3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7">
        <v>2023</v>
      </c>
      <c r="E317" s="1">
        <v>0.68055555555555558</v>
      </c>
      <c r="F3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7" t="str">
        <f>_xlfn.XLOOKUP(AllDataCorrected[[#This Row],[Location Name]], Locations[Location Name],Locations[Group As])</f>
        <v>Abbey Mill</v>
      </c>
      <c r="H317" t="e" vm="4">
        <f>_xlfn.XLOOKUP(AllDataCorrected[[#This Row],[Site Name]],LocationsKey[Site Name],LocationsKey[District])</f>
        <v>#VALUE!</v>
      </c>
      <c r="I317" t="e" vm="4">
        <f>_xlfn.XLOOKUP(AllDataCorrected[[#This Row],[Site Name]],LocationsKey[Site Name],LocationsKey[Town])</f>
        <v>#VALUE!</v>
      </c>
      <c r="J317" t="str">
        <f>_xlfn.XLOOKUP(AllDataCorrected[[#This Row],[Site Name]],LocationsKey[Site Name], LocationsKey[Waterway])</f>
        <v>Avon</v>
      </c>
      <c r="K317" t="s">
        <v>24</v>
      </c>
      <c r="L317">
        <f>_xlfn.XLOOKUP(AllDataCorrected[[#This Row],[Site Name]],Tables!$B$12:$B$100, Tables!C$12:C$100)</f>
        <v>51.991313075757589</v>
      </c>
      <c r="M317">
        <f>_xlfn.XLOOKUP(AllDataCorrected[[#This Row],[Site Name]],Tables!$B$12:$B$100, Tables!D$12:D$100)</f>
        <v>-2.1621998181818181</v>
      </c>
      <c r="N317" t="s">
        <v>25</v>
      </c>
      <c r="O317">
        <v>623</v>
      </c>
      <c r="P317">
        <v>7.4</v>
      </c>
      <c r="Q317">
        <v>8</v>
      </c>
      <c r="R317" t="str">
        <f>IF(AllDataCorrected[[#This Row],[Nitrate (PPM)]]&gt;2, "4. Very high (&gt;2ppm)", IF(AllDataCorrected[[#This Row],[Nitrate (PPM)]]&gt;1, "3. High (1-2ppm)", IF(AllDataCorrected[[#This Row],[Nitrate (PPM)]]&gt;0.5, "2. Some evidence (0.5-1ppm)", IF(AllDataCorrected[[#This Row],[Nitrate (PPM)]]&gt;=0, "1. No evidence (&lt;0.5ppm)"))))</f>
        <v>4. Very high (&gt;2ppm)</v>
      </c>
      <c r="S317">
        <v>0.91</v>
      </c>
      <c r="T3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17">
        <v>2</v>
      </c>
      <c r="V317" t="s">
        <v>272</v>
      </c>
    </row>
    <row r="318" spans="1:22" x14ac:dyDescent="0.35">
      <c r="A318" t="s">
        <v>518</v>
      </c>
      <c r="B318" s="2">
        <v>45301</v>
      </c>
      <c r="C318" t="str" cm="1">
        <f t="array" ref="C3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8">
        <v>2023</v>
      </c>
      <c r="E318" s="1">
        <v>0.64583333333333337</v>
      </c>
      <c r="F3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18" t="str">
        <f>_xlfn.XLOOKUP(AllDataCorrected[[#This Row],[Location Name]], Locations[Location Name],Locations[Group As])</f>
        <v>Stour Newbold Mill</v>
      </c>
      <c r="H318" t="e" vm="1">
        <f>_xlfn.XLOOKUP(AllDataCorrected[[#This Row],[Site Name]],LocationsKey[Site Name],LocationsKey[District])</f>
        <v>#VALUE!</v>
      </c>
      <c r="I318" t="e" vm="27">
        <f>_xlfn.XLOOKUP(AllDataCorrected[[#This Row],[Site Name]],LocationsKey[Site Name],LocationsKey[Town])</f>
        <v>#VALUE!</v>
      </c>
      <c r="J318" t="str">
        <f>_xlfn.XLOOKUP(AllDataCorrected[[#This Row],[Site Name]],LocationsKey[Site Name], LocationsKey[Waterway])</f>
        <v>Stour</v>
      </c>
      <c r="K318" t="s">
        <v>141</v>
      </c>
      <c r="L318">
        <f>_xlfn.XLOOKUP(AllDataCorrected[[#This Row],[Site Name]],Tables!$B$12:$B$100, Tables!C$12:C$100)</f>
        <v>52.113052370370369</v>
      </c>
      <c r="M318">
        <f>_xlfn.XLOOKUP(AllDataCorrected[[#This Row],[Site Name]],Tables!$B$12:$B$100, Tables!D$12:D$100)</f>
        <v>-1.6333685185185181</v>
      </c>
      <c r="N318" t="s">
        <v>31</v>
      </c>
      <c r="O318">
        <v>640</v>
      </c>
      <c r="P318">
        <v>8.1999999999999993</v>
      </c>
      <c r="Q318">
        <v>5</v>
      </c>
      <c r="R318" t="str">
        <f>IF(AllDataCorrected[[#This Row],[Nitrate (PPM)]]&gt;2, "4. Very high (&gt;2ppm)", IF(AllDataCorrected[[#This Row],[Nitrate (PPM)]]&gt;1, "3. High (1-2ppm)", IF(AllDataCorrected[[#This Row],[Nitrate (PPM)]]&gt;0.5, "2. Some evidence (0.5-1ppm)", IF(AllDataCorrected[[#This Row],[Nitrate (PPM)]]&gt;=0, "1. No evidence (&lt;0.5ppm)"))))</f>
        <v>4. Very high (&gt;2ppm)</v>
      </c>
      <c r="S318">
        <v>0.22</v>
      </c>
      <c r="T3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8">
        <v>2.5</v>
      </c>
      <c r="V318" t="s">
        <v>519</v>
      </c>
    </row>
    <row r="319" spans="1:22" x14ac:dyDescent="0.35">
      <c r="A319" t="s">
        <v>520</v>
      </c>
      <c r="B319" s="2">
        <v>45302</v>
      </c>
      <c r="C319" t="str" cm="1">
        <f t="array" ref="C3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19">
        <v>2023</v>
      </c>
      <c r="E319" s="1">
        <v>0.43333333333333335</v>
      </c>
      <c r="F3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19" t="str">
        <f>_xlfn.XLOOKUP(AllDataCorrected[[#This Row],[Location Name]], Locations[Location Name],Locations[Group As])</f>
        <v>Stour Willington</v>
      </c>
      <c r="H319" t="e" vm="1">
        <f>_xlfn.XLOOKUP(AllDataCorrected[[#This Row],[Site Name]],LocationsKey[Site Name],LocationsKey[District])</f>
        <v>#VALUE!</v>
      </c>
      <c r="I319" t="str">
        <f>_xlfn.XLOOKUP(AllDataCorrected[[#This Row],[Site Name]],LocationsKey[Site Name],LocationsKey[Town])</f>
        <v>Willington</v>
      </c>
      <c r="J319" t="str">
        <f>_xlfn.XLOOKUP(AllDataCorrected[[#This Row],[Site Name]],LocationsKey[Site Name], LocationsKey[Waterway])</f>
        <v>Stour</v>
      </c>
      <c r="K319" t="s">
        <v>521</v>
      </c>
      <c r="L319">
        <f>_xlfn.XLOOKUP(AllDataCorrected[[#This Row],[Site Name]],Tables!$B$12:$B$100, Tables!C$12:C$100)</f>
        <v>52.053227523809518</v>
      </c>
      <c r="M319">
        <f>_xlfn.XLOOKUP(AllDataCorrected[[#This Row],[Site Name]],Tables!$B$12:$B$100, Tables!D$12:D$100)</f>
        <v>-1.6194739523809523</v>
      </c>
      <c r="N319" t="s">
        <v>25</v>
      </c>
      <c r="O319">
        <v>602</v>
      </c>
      <c r="P319">
        <v>6.9</v>
      </c>
      <c r="Q319">
        <v>2</v>
      </c>
      <c r="R319" t="str">
        <f>IF(AllDataCorrected[[#This Row],[Nitrate (PPM)]]&gt;2, "4. Very high (&gt;2ppm)", IF(AllDataCorrected[[#This Row],[Nitrate (PPM)]]&gt;1, "3. High (1-2ppm)", IF(AllDataCorrected[[#This Row],[Nitrate (PPM)]]&gt;0.5, "2. Some evidence (0.5-1ppm)", IF(AllDataCorrected[[#This Row],[Nitrate (PPM)]]&gt;=0, "1. No evidence (&lt;0.5ppm)"))))</f>
        <v>3. High (1-2ppm)</v>
      </c>
      <c r="S319">
        <v>0.18</v>
      </c>
      <c r="T3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19">
        <v>1</v>
      </c>
    </row>
    <row r="320" spans="1:22" x14ac:dyDescent="0.35">
      <c r="A320" t="s">
        <v>522</v>
      </c>
      <c r="B320" s="2">
        <v>45302</v>
      </c>
      <c r="C320" t="str" cm="1">
        <f t="array" ref="C3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0">
        <v>2023</v>
      </c>
      <c r="E320" s="1">
        <v>0.4375</v>
      </c>
      <c r="F3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0" t="str">
        <f>_xlfn.XLOOKUP(AllDataCorrected[[#This Row],[Location Name]], Locations[Location Name],Locations[Group As])</f>
        <v>Swilgate</v>
      </c>
      <c r="H320" t="e" vm="4">
        <f>_xlfn.XLOOKUP(AllDataCorrected[[#This Row],[Site Name]],LocationsKey[Site Name],LocationsKey[District])</f>
        <v>#VALUE!</v>
      </c>
      <c r="I320" t="e" vm="4">
        <f>_xlfn.XLOOKUP(AllDataCorrected[[#This Row],[Site Name]],LocationsKey[Site Name],LocationsKey[Town])</f>
        <v>#VALUE!</v>
      </c>
      <c r="J320" t="str">
        <f>_xlfn.XLOOKUP(AllDataCorrected[[#This Row],[Site Name]],LocationsKey[Site Name], LocationsKey[Waterway])</f>
        <v>Swilgate</v>
      </c>
      <c r="K320" t="s">
        <v>85</v>
      </c>
      <c r="L320">
        <f>_xlfn.XLOOKUP(AllDataCorrected[[#This Row],[Site Name]],Tables!$B$12:$B$100, Tables!C$12:C$100)</f>
        <v>51.988591500000005</v>
      </c>
      <c r="M320">
        <f>_xlfn.XLOOKUP(AllDataCorrected[[#This Row],[Site Name]],Tables!$B$12:$B$100, Tables!D$12:D$100)</f>
        <v>-2.163898333333333</v>
      </c>
      <c r="N320" t="s">
        <v>25</v>
      </c>
      <c r="O320">
        <v>846</v>
      </c>
      <c r="P320">
        <v>5.0999999999999996</v>
      </c>
      <c r="Q320">
        <v>4</v>
      </c>
      <c r="R320" t="str">
        <f>IF(AllDataCorrected[[#This Row],[Nitrate (PPM)]]&gt;2, "4. Very high (&gt;2ppm)", IF(AllDataCorrected[[#This Row],[Nitrate (PPM)]]&gt;1, "3. High (1-2ppm)", IF(AllDataCorrected[[#This Row],[Nitrate (PPM)]]&gt;0.5, "2. Some evidence (0.5-1ppm)", IF(AllDataCorrected[[#This Row],[Nitrate (PPM)]]&gt;=0, "1. No evidence (&lt;0.5ppm)"))))</f>
        <v>4. Very high (&gt;2ppm)</v>
      </c>
      <c r="S320">
        <v>0.47</v>
      </c>
      <c r="T3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0">
        <v>1</v>
      </c>
    </row>
    <row r="321" spans="1:22" x14ac:dyDescent="0.35">
      <c r="A321" t="s">
        <v>523</v>
      </c>
      <c r="B321" s="2">
        <v>45302</v>
      </c>
      <c r="C321" t="str" cm="1">
        <f t="array" ref="C3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1">
        <v>2023</v>
      </c>
      <c r="E321" s="1">
        <v>0.64583333333333337</v>
      </c>
      <c r="F3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1" t="str">
        <f>_xlfn.XLOOKUP(AllDataCorrected[[#This Row],[Location Name]], Locations[Location Name],Locations[Group As])</f>
        <v>Alveston Weir</v>
      </c>
      <c r="H321" t="e" vm="1">
        <f>_xlfn.XLOOKUP(AllDataCorrected[[#This Row],[Site Name]],LocationsKey[Site Name],LocationsKey[District])</f>
        <v>#VALUE!</v>
      </c>
      <c r="I321" t="e" vm="2">
        <f>_xlfn.XLOOKUP(AllDataCorrected[[#This Row],[Site Name]],LocationsKey[Site Name],LocationsKey[Town])</f>
        <v>#VALUE!</v>
      </c>
      <c r="J321" t="str">
        <f>_xlfn.XLOOKUP(AllDataCorrected[[#This Row],[Site Name]],LocationsKey[Site Name], LocationsKey[Waterway])</f>
        <v>Avon</v>
      </c>
      <c r="K321" t="s">
        <v>288</v>
      </c>
      <c r="L321">
        <f>_xlfn.XLOOKUP(AllDataCorrected[[#This Row],[Site Name]],Tables!$B$12:$B$100, Tables!C$12:C$100)</f>
        <v>52.21226301333337</v>
      </c>
      <c r="M321">
        <f>_xlfn.XLOOKUP(AllDataCorrected[[#This Row],[Site Name]],Tables!$B$12:$B$100, Tables!D$12:D$100)</f>
        <v>-1.6595226800000011</v>
      </c>
      <c r="N321" t="s">
        <v>31</v>
      </c>
      <c r="O321">
        <v>719</v>
      </c>
      <c r="P321">
        <v>5.7</v>
      </c>
      <c r="Q321">
        <v>10</v>
      </c>
      <c r="R321" t="str">
        <f>IF(AllDataCorrected[[#This Row],[Nitrate (PPM)]]&gt;2, "4. Very high (&gt;2ppm)", IF(AllDataCorrected[[#This Row],[Nitrate (PPM)]]&gt;1, "3. High (1-2ppm)", IF(AllDataCorrected[[#This Row],[Nitrate (PPM)]]&gt;0.5, "2. Some evidence (0.5-1ppm)", IF(AllDataCorrected[[#This Row],[Nitrate (PPM)]]&gt;=0, "1. No evidence (&lt;0.5ppm)"))))</f>
        <v>4. Very high (&gt;2ppm)</v>
      </c>
      <c r="S321">
        <v>0.51</v>
      </c>
      <c r="T3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1">
        <v>1</v>
      </c>
      <c r="V321" t="s">
        <v>524</v>
      </c>
    </row>
    <row r="322" spans="1:22" x14ac:dyDescent="0.35">
      <c r="A322" t="s">
        <v>525</v>
      </c>
      <c r="B322" s="2">
        <v>45302</v>
      </c>
      <c r="C322" t="str" cm="1">
        <f t="array" ref="C3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2">
        <v>2023</v>
      </c>
      <c r="E322" s="1">
        <v>0.64583333333333337</v>
      </c>
      <c r="F3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2" t="str">
        <f>_xlfn.XLOOKUP(AllDataCorrected[[#This Row],[Location Name]], Locations[Location Name],Locations[Group As])</f>
        <v>Swiffen Bank</v>
      </c>
      <c r="H322" t="e" vm="1">
        <f>_xlfn.XLOOKUP(AllDataCorrected[[#This Row],[Site Name]],LocationsKey[Site Name],LocationsKey[District])</f>
        <v>#VALUE!</v>
      </c>
      <c r="I322" t="e" vm="2">
        <f>_xlfn.XLOOKUP(AllDataCorrected[[#This Row],[Site Name]],LocationsKey[Site Name],LocationsKey[Town])</f>
        <v>#VALUE!</v>
      </c>
      <c r="J322" t="str">
        <f>_xlfn.XLOOKUP(AllDataCorrected[[#This Row],[Site Name]],LocationsKey[Site Name], LocationsKey[Waterway])</f>
        <v>Avon</v>
      </c>
      <c r="K322" t="s">
        <v>286</v>
      </c>
      <c r="L322">
        <f>_xlfn.XLOOKUP(AllDataCorrected[[#This Row],[Site Name]],Tables!$B$12:$B$100, Tables!C$12:C$100)</f>
        <v>52.206649805555557</v>
      </c>
      <c r="M322">
        <f>_xlfn.XLOOKUP(AllDataCorrected[[#This Row],[Site Name]],Tables!$B$12:$B$100, Tables!D$12:D$100)</f>
        <v>-1.6541018611111094</v>
      </c>
      <c r="N322" t="s">
        <v>31</v>
      </c>
      <c r="O322">
        <v>701</v>
      </c>
      <c r="P322">
        <v>6.5</v>
      </c>
      <c r="Q322">
        <v>5</v>
      </c>
      <c r="R322" t="str">
        <f>IF(AllDataCorrected[[#This Row],[Nitrate (PPM)]]&gt;2, "4. Very high (&gt;2ppm)", IF(AllDataCorrected[[#This Row],[Nitrate (PPM)]]&gt;1, "3. High (1-2ppm)", IF(AllDataCorrected[[#This Row],[Nitrate (PPM)]]&gt;0.5, "2. Some evidence (0.5-1ppm)", IF(AllDataCorrected[[#This Row],[Nitrate (PPM)]]&gt;=0, "1. No evidence (&lt;0.5ppm)"))))</f>
        <v>4. Very high (&gt;2ppm)</v>
      </c>
      <c r="S322">
        <v>0.46</v>
      </c>
      <c r="T3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2">
        <v>0</v>
      </c>
      <c r="V322" t="s">
        <v>526</v>
      </c>
    </row>
    <row r="323" spans="1:22" x14ac:dyDescent="0.35">
      <c r="A323" t="s">
        <v>527</v>
      </c>
      <c r="B323" s="2">
        <v>45303</v>
      </c>
      <c r="C323" t="str" cm="1">
        <f t="array" ref="C3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3">
        <v>2023</v>
      </c>
      <c r="E323" s="1">
        <v>0.49722222222222223</v>
      </c>
      <c r="F3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3" t="str">
        <f>_xlfn.XLOOKUP(AllDataCorrected[[#This Row],[Location Name]], Locations[Location Name],Locations[Group As])</f>
        <v>Preston-on-Stour River Bridge</v>
      </c>
      <c r="H323" t="e" vm="1">
        <f>_xlfn.XLOOKUP(AllDataCorrected[[#This Row],[Site Name]],LocationsKey[Site Name],LocationsKey[District])</f>
        <v>#VALUE!</v>
      </c>
      <c r="I323" t="e" vm="20">
        <f>_xlfn.XLOOKUP(AllDataCorrected[[#This Row],[Site Name]],LocationsKey[Site Name],LocationsKey[Town])</f>
        <v>#VALUE!</v>
      </c>
      <c r="J323" t="str">
        <f>_xlfn.XLOOKUP(AllDataCorrected[[#This Row],[Site Name]],LocationsKey[Site Name], LocationsKey[Waterway])</f>
        <v>Stour</v>
      </c>
      <c r="K323" t="s">
        <v>164</v>
      </c>
      <c r="L323">
        <f>_xlfn.XLOOKUP(AllDataCorrected[[#This Row],[Site Name]],Tables!$B$12:$B$100, Tables!C$12:C$100)</f>
        <v>52.146672352941174</v>
      </c>
      <c r="M323">
        <f>_xlfn.XLOOKUP(AllDataCorrected[[#This Row],[Site Name]],Tables!$B$12:$B$100, Tables!D$12:D$100)</f>
        <v>-1.6984533333333334</v>
      </c>
      <c r="N323" t="s">
        <v>31</v>
      </c>
      <c r="O323">
        <v>651</v>
      </c>
      <c r="P323">
        <v>5.9</v>
      </c>
      <c r="Q323">
        <v>5</v>
      </c>
      <c r="R323" t="str">
        <f>IF(AllDataCorrected[[#This Row],[Nitrate (PPM)]]&gt;2, "4. Very high (&gt;2ppm)", IF(AllDataCorrected[[#This Row],[Nitrate (PPM)]]&gt;1, "3. High (1-2ppm)", IF(AllDataCorrected[[#This Row],[Nitrate (PPM)]]&gt;0.5, "2. Some evidence (0.5-1ppm)", IF(AllDataCorrected[[#This Row],[Nitrate (PPM)]]&gt;=0, "1. No evidence (&lt;0.5ppm)"))))</f>
        <v>4. Very high (&gt;2ppm)</v>
      </c>
      <c r="S323">
        <v>0.15</v>
      </c>
      <c r="T3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3">
        <v>1.5</v>
      </c>
      <c r="V323" t="s">
        <v>528</v>
      </c>
    </row>
    <row r="324" spans="1:22" x14ac:dyDescent="0.35">
      <c r="A324" t="s">
        <v>529</v>
      </c>
      <c r="B324" s="2">
        <v>45304</v>
      </c>
      <c r="C324" t="str" cm="1">
        <f t="array" ref="C3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4">
        <v>2023</v>
      </c>
      <c r="E324" s="1">
        <v>0.41736111111111113</v>
      </c>
      <c r="F3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4" t="str">
        <f>_xlfn.XLOOKUP(AllDataCorrected[[#This Row],[Location Name]], Locations[Location Name],Locations[Group As])</f>
        <v>The Ford, Langley</v>
      </c>
      <c r="H324" t="e" vm="1">
        <f>_xlfn.XLOOKUP(AllDataCorrected[[#This Row],[Site Name]],LocationsKey[Site Name],LocationsKey[District])</f>
        <v>#VALUE!</v>
      </c>
      <c r="I324" t="str">
        <f>_xlfn.XLOOKUP(AllDataCorrected[[#This Row],[Site Name]],LocationsKey[Site Name],LocationsKey[Town])</f>
        <v>Langley</v>
      </c>
      <c r="J324" t="str">
        <f>_xlfn.XLOOKUP(AllDataCorrected[[#This Row],[Site Name]],LocationsKey[Site Name], LocationsKey[Waterway])</f>
        <v>Langley Ford</v>
      </c>
      <c r="K324" t="s">
        <v>530</v>
      </c>
      <c r="L324">
        <f>_xlfn.XLOOKUP(AllDataCorrected[[#This Row],[Site Name]],Tables!$B$12:$B$100, Tables!C$12:C$100)</f>
        <v>52.262666528301864</v>
      </c>
      <c r="M324">
        <f>_xlfn.XLOOKUP(AllDataCorrected[[#This Row],[Site Name]],Tables!$B$12:$B$100, Tables!D$12:D$100)</f>
        <v>-1.6545845283018858</v>
      </c>
      <c r="N324" t="s">
        <v>31</v>
      </c>
      <c r="O324">
        <v>687</v>
      </c>
      <c r="P324">
        <v>6</v>
      </c>
      <c r="Q324">
        <v>10</v>
      </c>
      <c r="R324" t="str">
        <f>IF(AllDataCorrected[[#This Row],[Nitrate (PPM)]]&gt;2, "4. Very high (&gt;2ppm)", IF(AllDataCorrected[[#This Row],[Nitrate (PPM)]]&gt;1, "3. High (1-2ppm)", IF(AllDataCorrected[[#This Row],[Nitrate (PPM)]]&gt;0.5, "2. Some evidence (0.5-1ppm)", IF(AllDataCorrected[[#This Row],[Nitrate (PPM)]]&gt;=0, "1. No evidence (&lt;0.5ppm)"))))</f>
        <v>4. Very high (&gt;2ppm)</v>
      </c>
      <c r="S324">
        <v>0.15</v>
      </c>
      <c r="T3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4">
        <v>0.3</v>
      </c>
      <c r="V324" t="s">
        <v>531</v>
      </c>
    </row>
    <row r="325" spans="1:22" x14ac:dyDescent="0.35">
      <c r="A325" t="s">
        <v>532</v>
      </c>
      <c r="B325" s="2">
        <v>45304</v>
      </c>
      <c r="C325" t="str" cm="1">
        <f t="array" ref="C3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5">
        <v>2023</v>
      </c>
      <c r="E325" s="1">
        <v>0.47916666666666669</v>
      </c>
      <c r="F3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5" t="str">
        <f>_xlfn.XLOOKUP(AllDataCorrected[[#This Row],[Location Name]], Locations[Location Name],Locations[Group As])</f>
        <v>Clifford Chambers Mill Bridge</v>
      </c>
      <c r="H325" t="e" vm="1">
        <f>_xlfn.XLOOKUP(AllDataCorrected[[#This Row],[Site Name]],LocationsKey[Site Name],LocationsKey[District])</f>
        <v>#VALUE!</v>
      </c>
      <c r="I325" t="e" vm="22">
        <f>_xlfn.XLOOKUP(AllDataCorrected[[#This Row],[Site Name]],LocationsKey[Site Name],LocationsKey[Town])</f>
        <v>#VALUE!</v>
      </c>
      <c r="J325" t="str">
        <f>_xlfn.XLOOKUP(AllDataCorrected[[#This Row],[Site Name]],LocationsKey[Site Name], LocationsKey[Waterway])</f>
        <v>Stour</v>
      </c>
      <c r="K325" t="s">
        <v>266</v>
      </c>
      <c r="L325">
        <f>_xlfn.XLOOKUP(AllDataCorrected[[#This Row],[Site Name]],Tables!$B$12:$B$100, Tables!C$12:C$100)</f>
        <v>52.166363596153808</v>
      </c>
      <c r="M325">
        <f>_xlfn.XLOOKUP(AllDataCorrected[[#This Row],[Site Name]],Tables!$B$12:$B$100, Tables!D$12:D$100)</f>
        <v>-1.7080375384615398</v>
      </c>
      <c r="N325" t="s">
        <v>68</v>
      </c>
      <c r="O325">
        <v>668</v>
      </c>
      <c r="P325">
        <v>13.2</v>
      </c>
      <c r="Q325">
        <v>4</v>
      </c>
      <c r="R325" t="str">
        <f>IF(AllDataCorrected[[#This Row],[Nitrate (PPM)]]&gt;2, "4. Very high (&gt;2ppm)", IF(AllDataCorrected[[#This Row],[Nitrate (PPM)]]&gt;1, "3. High (1-2ppm)", IF(AllDataCorrected[[#This Row],[Nitrate (PPM)]]&gt;0.5, "2. Some evidence (0.5-1ppm)", IF(AllDataCorrected[[#This Row],[Nitrate (PPM)]]&gt;=0, "1. No evidence (&lt;0.5ppm)"))))</f>
        <v>4. Very high (&gt;2ppm)</v>
      </c>
      <c r="S325">
        <v>0.27</v>
      </c>
      <c r="T3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5">
        <v>1.1000000000000001</v>
      </c>
      <c r="V325" t="s">
        <v>533</v>
      </c>
    </row>
    <row r="326" spans="1:22" x14ac:dyDescent="0.35">
      <c r="A326" t="s">
        <v>534</v>
      </c>
      <c r="B326" s="2">
        <v>45304</v>
      </c>
      <c r="C326" t="str" cm="1">
        <f t="array" ref="C3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6">
        <v>2023</v>
      </c>
      <c r="E326" s="1">
        <v>0.48958333333333331</v>
      </c>
      <c r="F3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26" t="str">
        <f>_xlfn.XLOOKUP(AllDataCorrected[[#This Row],[Location Name]], Locations[Location Name],Locations[Group As])</f>
        <v>Clifford Chambers Road Bridge</v>
      </c>
      <c r="H326" t="e" vm="1">
        <f>_xlfn.XLOOKUP(AllDataCorrected[[#This Row],[Site Name]],LocationsKey[Site Name],LocationsKey[District])</f>
        <v>#VALUE!</v>
      </c>
      <c r="I326" t="e" vm="22">
        <f>_xlfn.XLOOKUP(AllDataCorrected[[#This Row],[Site Name]],LocationsKey[Site Name],LocationsKey[Town])</f>
        <v>#VALUE!</v>
      </c>
      <c r="J326" t="str">
        <f>_xlfn.XLOOKUP(AllDataCorrected[[#This Row],[Site Name]],LocationsKey[Site Name], LocationsKey[Waterway])</f>
        <v>Stour</v>
      </c>
      <c r="K326" t="s">
        <v>429</v>
      </c>
      <c r="L326">
        <f>_xlfn.XLOOKUP(AllDataCorrected[[#This Row],[Site Name]],Tables!$B$12:$B$100, Tables!C$12:C$100)</f>
        <v>52.172840000000001</v>
      </c>
      <c r="M326">
        <f>_xlfn.XLOOKUP(AllDataCorrected[[#This Row],[Site Name]],Tables!$B$12:$B$100, Tables!D$12:D$100)</f>
        <v>-1.71377</v>
      </c>
      <c r="N326" t="s">
        <v>191</v>
      </c>
      <c r="O326">
        <v>666</v>
      </c>
      <c r="P326">
        <v>13.4</v>
      </c>
      <c r="Q326">
        <v>5</v>
      </c>
      <c r="R326" t="str">
        <f>IF(AllDataCorrected[[#This Row],[Nitrate (PPM)]]&gt;2, "4. Very high (&gt;2ppm)", IF(AllDataCorrected[[#This Row],[Nitrate (PPM)]]&gt;1, "3. High (1-2ppm)", IF(AllDataCorrected[[#This Row],[Nitrate (PPM)]]&gt;0.5, "2. Some evidence (0.5-1ppm)", IF(AllDataCorrected[[#This Row],[Nitrate (PPM)]]&gt;=0, "1. No evidence (&lt;0.5ppm)"))))</f>
        <v>4. Very high (&gt;2ppm)</v>
      </c>
      <c r="S326">
        <v>0.3</v>
      </c>
      <c r="T3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6">
        <v>1</v>
      </c>
    </row>
    <row r="327" spans="1:22" x14ac:dyDescent="0.35">
      <c r="A327" t="s">
        <v>535</v>
      </c>
      <c r="B327" s="2">
        <v>45304</v>
      </c>
      <c r="C327" t="str" cm="1">
        <f t="array" ref="C3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7">
        <v>2023</v>
      </c>
      <c r="E327" s="1">
        <v>0.52083333333333337</v>
      </c>
      <c r="F3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7" t="str">
        <f>_xlfn.XLOOKUP(AllDataCorrected[[#This Row],[Location Name]], Locations[Location Name],Locations[Group As])</f>
        <v>Carrant Bredon Rd</v>
      </c>
      <c r="H327" t="e" vm="4">
        <f>_xlfn.XLOOKUP(AllDataCorrected[[#This Row],[Site Name]],LocationsKey[Site Name],LocationsKey[District])</f>
        <v>#VALUE!</v>
      </c>
      <c r="I327" t="e" vm="4">
        <f>_xlfn.XLOOKUP(AllDataCorrected[[#This Row],[Site Name]],LocationsKey[Site Name],LocationsKey[Town])</f>
        <v>#VALUE!</v>
      </c>
      <c r="J327" t="str">
        <f>_xlfn.XLOOKUP(AllDataCorrected[[#This Row],[Site Name]],LocationsKey[Site Name], LocationsKey[Waterway])</f>
        <v>Carrant</v>
      </c>
      <c r="K327" t="s">
        <v>91</v>
      </c>
      <c r="L327">
        <f>_xlfn.XLOOKUP(AllDataCorrected[[#This Row],[Site Name]],Tables!$B$12:$B$100, Tables!C$12:C$100)</f>
        <v>51.996322536231894</v>
      </c>
      <c r="M327">
        <f>_xlfn.XLOOKUP(AllDataCorrected[[#This Row],[Site Name]],Tables!$B$12:$B$100, Tables!D$12:D$100)</f>
        <v>-2.1558410144927538</v>
      </c>
      <c r="N327" t="s">
        <v>25</v>
      </c>
      <c r="O327">
        <v>761</v>
      </c>
      <c r="P327">
        <v>7.1</v>
      </c>
      <c r="Q327">
        <v>6</v>
      </c>
      <c r="R327" t="str">
        <f>IF(AllDataCorrected[[#This Row],[Nitrate (PPM)]]&gt;2, "4. Very high (&gt;2ppm)", IF(AllDataCorrected[[#This Row],[Nitrate (PPM)]]&gt;1, "3. High (1-2ppm)", IF(AllDataCorrected[[#This Row],[Nitrate (PPM)]]&gt;0.5, "2. Some evidence (0.5-1ppm)", IF(AllDataCorrected[[#This Row],[Nitrate (PPM)]]&gt;=0, "1. No evidence (&lt;0.5ppm)"))))</f>
        <v>4. Very high (&gt;2ppm)</v>
      </c>
      <c r="S327">
        <v>0.37</v>
      </c>
      <c r="T3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27">
        <v>0.3</v>
      </c>
      <c r="V327" t="s">
        <v>536</v>
      </c>
    </row>
    <row r="328" spans="1:22" x14ac:dyDescent="0.35">
      <c r="A328" t="s">
        <v>537</v>
      </c>
      <c r="B328" s="2">
        <v>45304</v>
      </c>
      <c r="C328" t="str" cm="1">
        <f t="array" ref="C3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8">
        <v>2023</v>
      </c>
      <c r="E328" s="1">
        <v>0.625</v>
      </c>
      <c r="F3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8" t="str">
        <f>_xlfn.XLOOKUP(AllDataCorrected[[#This Row],[Location Name]], Locations[Location Name],Locations[Group As])</f>
        <v>Bell Brook 1</v>
      </c>
      <c r="H328" t="e" vm="1">
        <f>_xlfn.XLOOKUP(AllDataCorrected[[#This Row],[Site Name]],LocationsKey[Site Name],LocationsKey[District])</f>
        <v>#VALUE!</v>
      </c>
      <c r="I328" t="e" vm="19">
        <f>_xlfn.XLOOKUP(AllDataCorrected[[#This Row],[Site Name]],LocationsKey[Site Name],LocationsKey[Town])</f>
        <v>#VALUE!</v>
      </c>
      <c r="J328" t="str">
        <f>_xlfn.XLOOKUP(AllDataCorrected[[#This Row],[Site Name]],LocationsKey[Site Name], LocationsKey[Waterway])</f>
        <v>Bell Brook</v>
      </c>
      <c r="K328" t="s">
        <v>538</v>
      </c>
      <c r="L328">
        <f>_xlfn.XLOOKUP(AllDataCorrected[[#This Row],[Site Name]],Tables!$B$12:$B$100, Tables!C$12:C$100)</f>
        <v>52.24489999999998</v>
      </c>
      <c r="M328">
        <f>_xlfn.XLOOKUP(AllDataCorrected[[#This Row],[Site Name]],Tables!$B$12:$B$100, Tables!D$12:D$100)</f>
        <v>-1.6617000000000013</v>
      </c>
      <c r="N328" t="s">
        <v>25</v>
      </c>
      <c r="O328">
        <v>722</v>
      </c>
      <c r="P328">
        <v>6.2</v>
      </c>
      <c r="Q328">
        <v>3</v>
      </c>
      <c r="R328" t="str">
        <f>IF(AllDataCorrected[[#This Row],[Nitrate (PPM)]]&gt;2, "4. Very high (&gt;2ppm)", IF(AllDataCorrected[[#This Row],[Nitrate (PPM)]]&gt;1, "3. High (1-2ppm)", IF(AllDataCorrected[[#This Row],[Nitrate (PPM)]]&gt;0.5, "2. Some evidence (0.5-1ppm)", IF(AllDataCorrected[[#This Row],[Nitrate (PPM)]]&gt;=0, "1. No evidence (&lt;0.5ppm)"))))</f>
        <v>4. Very high (&gt;2ppm)</v>
      </c>
      <c r="S328">
        <v>1.33</v>
      </c>
      <c r="T3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8">
        <v>0.5</v>
      </c>
      <c r="V328" t="s">
        <v>539</v>
      </c>
    </row>
    <row r="329" spans="1:22" x14ac:dyDescent="0.35">
      <c r="A329" t="s">
        <v>540</v>
      </c>
      <c r="B329" s="2">
        <v>45304</v>
      </c>
      <c r="C329" t="str" cm="1">
        <f t="array" ref="C3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29">
        <v>2023</v>
      </c>
      <c r="E329" s="1">
        <v>0.625</v>
      </c>
      <c r="F3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29" t="str">
        <f>_xlfn.XLOOKUP(AllDataCorrected[[#This Row],[Location Name]], Locations[Location Name],Locations[Group As])</f>
        <v>Sherbourne Brook 1</v>
      </c>
      <c r="H329" t="e" vm="1">
        <f>_xlfn.XLOOKUP(AllDataCorrected[[#This Row],[Site Name]],LocationsKey[Site Name],LocationsKey[District])</f>
        <v>#VALUE!</v>
      </c>
      <c r="I329" t="e" vm="23">
        <f>_xlfn.XLOOKUP(AllDataCorrected[[#This Row],[Site Name]],LocationsKey[Site Name],LocationsKey[Town])</f>
        <v>#VALUE!</v>
      </c>
      <c r="J329" t="str">
        <f>_xlfn.XLOOKUP(AllDataCorrected[[#This Row],[Site Name]],LocationsKey[Site Name], LocationsKey[Waterway])</f>
        <v>Sherbourne Brook</v>
      </c>
      <c r="K329" t="s">
        <v>541</v>
      </c>
      <c r="L329">
        <f>_xlfn.XLOOKUP(AllDataCorrected[[#This Row],[Site Name]],Tables!$B$12:$B$100, Tables!C$12:C$100)</f>
        <v>52.252500000000033</v>
      </c>
      <c r="M329">
        <f>_xlfn.XLOOKUP(AllDataCorrected[[#This Row],[Site Name]],Tables!$B$12:$B$100, Tables!D$12:D$100)</f>
        <v>-1.6685000000000012</v>
      </c>
      <c r="N329" t="s">
        <v>68</v>
      </c>
      <c r="O329">
        <v>102</v>
      </c>
      <c r="P329">
        <v>7.4</v>
      </c>
      <c r="Q329">
        <v>10</v>
      </c>
      <c r="R329" t="str">
        <f>IF(AllDataCorrected[[#This Row],[Nitrate (PPM)]]&gt;2, "4. Very high (&gt;2ppm)", IF(AllDataCorrected[[#This Row],[Nitrate (PPM)]]&gt;1, "3. High (1-2ppm)", IF(AllDataCorrected[[#This Row],[Nitrate (PPM)]]&gt;0.5, "2. Some evidence (0.5-1ppm)", IF(AllDataCorrected[[#This Row],[Nitrate (PPM)]]&gt;=0, "1. No evidence (&lt;0.5ppm)"))))</f>
        <v>4. Very high (&gt;2ppm)</v>
      </c>
      <c r="S329">
        <v>0.51</v>
      </c>
      <c r="T3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29">
        <v>0.5</v>
      </c>
      <c r="V329" t="s">
        <v>542</v>
      </c>
    </row>
    <row r="330" spans="1:22" x14ac:dyDescent="0.35">
      <c r="A330" t="s">
        <v>543</v>
      </c>
      <c r="B330" s="2">
        <v>45304</v>
      </c>
      <c r="C330" t="str" cm="1">
        <f t="array" ref="C3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0">
        <v>2023</v>
      </c>
      <c r="E330" s="1">
        <v>0.65347222222222223</v>
      </c>
      <c r="F3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0" t="str">
        <f>_xlfn.XLOOKUP(AllDataCorrected[[#This Row],[Location Name]], Locations[Location Name],Locations[Group As])</f>
        <v>Abbey Mill</v>
      </c>
      <c r="H330" t="e" vm="4">
        <f>_xlfn.XLOOKUP(AllDataCorrected[[#This Row],[Site Name]],LocationsKey[Site Name],LocationsKey[District])</f>
        <v>#VALUE!</v>
      </c>
      <c r="I330" t="e" vm="4">
        <f>_xlfn.XLOOKUP(AllDataCorrected[[#This Row],[Site Name]],LocationsKey[Site Name],LocationsKey[Town])</f>
        <v>#VALUE!</v>
      </c>
      <c r="J330" t="str">
        <f>_xlfn.XLOOKUP(AllDataCorrected[[#This Row],[Site Name]],LocationsKey[Site Name], LocationsKey[Waterway])</f>
        <v>Avon</v>
      </c>
      <c r="K330" t="s">
        <v>24</v>
      </c>
      <c r="L330">
        <f>_xlfn.XLOOKUP(AllDataCorrected[[#This Row],[Site Name]],Tables!$B$12:$B$100, Tables!C$12:C$100)</f>
        <v>51.991313075757589</v>
      </c>
      <c r="M330">
        <f>_xlfn.XLOOKUP(AllDataCorrected[[#This Row],[Site Name]],Tables!$B$12:$B$100, Tables!D$12:D$100)</f>
        <v>-2.1621998181818181</v>
      </c>
      <c r="N330" t="s">
        <v>25</v>
      </c>
      <c r="O330">
        <v>709</v>
      </c>
      <c r="P330">
        <v>6</v>
      </c>
      <c r="Q330">
        <v>4</v>
      </c>
      <c r="R330" t="str">
        <f>IF(AllDataCorrected[[#This Row],[Nitrate (PPM)]]&gt;2, "4. Very high (&gt;2ppm)", IF(AllDataCorrected[[#This Row],[Nitrate (PPM)]]&gt;1, "3. High (1-2ppm)", IF(AllDataCorrected[[#This Row],[Nitrate (PPM)]]&gt;0.5, "2. Some evidence (0.5-1ppm)", IF(AllDataCorrected[[#This Row],[Nitrate (PPM)]]&gt;=0, "1. No evidence (&lt;0.5ppm)"))))</f>
        <v>4. Very high (&gt;2ppm)</v>
      </c>
      <c r="S330">
        <v>0.56999999999999995</v>
      </c>
      <c r="T3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0">
        <v>0.5</v>
      </c>
    </row>
    <row r="331" spans="1:22" x14ac:dyDescent="0.35">
      <c r="A331" t="s">
        <v>544</v>
      </c>
      <c r="B331" s="2">
        <v>45305</v>
      </c>
      <c r="C331" t="str" cm="1">
        <f t="array" ref="C3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1">
        <v>2023</v>
      </c>
      <c r="E331" s="1">
        <v>0.42222222222222222</v>
      </c>
      <c r="F3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1" t="str">
        <f>_xlfn.XLOOKUP(AllDataCorrected[[#This Row],[Location Name]], Locations[Location Name],Locations[Group As])</f>
        <v>Fell Mill Footbridge</v>
      </c>
      <c r="H331" t="e" vm="1">
        <f>_xlfn.XLOOKUP(AllDataCorrected[[#This Row],[Site Name]],LocationsKey[Site Name],LocationsKey[District])</f>
        <v>#VALUE!</v>
      </c>
      <c r="I331" t="e" vm="15">
        <f>_xlfn.XLOOKUP(AllDataCorrected[[#This Row],[Site Name]],LocationsKey[Site Name],LocationsKey[Town])</f>
        <v>#VALUE!</v>
      </c>
      <c r="J331" t="str">
        <f>_xlfn.XLOOKUP(AllDataCorrected[[#This Row],[Site Name]],LocationsKey[Site Name], LocationsKey[Waterway])</f>
        <v>Stour</v>
      </c>
      <c r="K331" t="s">
        <v>500</v>
      </c>
      <c r="L331">
        <f>_xlfn.XLOOKUP(AllDataCorrected[[#This Row],[Site Name]],Tables!$B$12:$B$100, Tables!C$12:C$100)</f>
        <v>52.069044372881365</v>
      </c>
      <c r="M331">
        <f>_xlfn.XLOOKUP(AllDataCorrected[[#This Row],[Site Name]],Tables!$B$12:$B$100, Tables!D$12:D$100)</f>
        <v>-1.6116270169491524</v>
      </c>
      <c r="N331" t="s">
        <v>31</v>
      </c>
      <c r="O331">
        <v>504</v>
      </c>
      <c r="P331">
        <v>6.9</v>
      </c>
      <c r="Q331">
        <v>10</v>
      </c>
      <c r="R331" t="str">
        <f>IF(AllDataCorrected[[#This Row],[Nitrate (PPM)]]&gt;2, "4. Very high (&gt;2ppm)", IF(AllDataCorrected[[#This Row],[Nitrate (PPM)]]&gt;1, "3. High (1-2ppm)", IF(AllDataCorrected[[#This Row],[Nitrate (PPM)]]&gt;0.5, "2. Some evidence (0.5-1ppm)", IF(AllDataCorrected[[#This Row],[Nitrate (PPM)]]&gt;=0, "1. No evidence (&lt;0.5ppm)"))))</f>
        <v>4. Very high (&gt;2ppm)</v>
      </c>
      <c r="S331">
        <v>0.24</v>
      </c>
      <c r="T3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1">
        <v>1</v>
      </c>
    </row>
    <row r="332" spans="1:22" x14ac:dyDescent="0.35">
      <c r="A332" t="s">
        <v>545</v>
      </c>
      <c r="B332" s="2">
        <v>45305</v>
      </c>
      <c r="C332" t="str" cm="1">
        <f t="array" ref="C3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2">
        <v>2023</v>
      </c>
      <c r="E332" s="1">
        <v>0.42708333333333331</v>
      </c>
      <c r="F3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2" t="str">
        <f>_xlfn.XLOOKUP(AllDataCorrected[[#This Row],[Location Name]], Locations[Location Name],Locations[Group As])</f>
        <v>Lucy's Mill Bridge</v>
      </c>
      <c r="H332" t="e" vm="1">
        <f>_xlfn.XLOOKUP(AllDataCorrected[[#This Row],[Site Name]],LocationsKey[Site Name],LocationsKey[District])</f>
        <v>#VALUE!</v>
      </c>
      <c r="I332" t="e" vm="12">
        <f>_xlfn.XLOOKUP(AllDataCorrected[[#This Row],[Site Name]],LocationsKey[Site Name],LocationsKey[Town])</f>
        <v>#VALUE!</v>
      </c>
      <c r="J332" t="str">
        <f>_xlfn.XLOOKUP(AllDataCorrected[[#This Row],[Site Name]],LocationsKey[Site Name], LocationsKey[Waterway])</f>
        <v>Avon</v>
      </c>
      <c r="K332" t="s">
        <v>212</v>
      </c>
      <c r="L332">
        <f>_xlfn.XLOOKUP(AllDataCorrected[[#This Row],[Site Name]],Tables!$B$12:$B$100, Tables!C$12:C$100)</f>
        <v>52.183699000000011</v>
      </c>
      <c r="M332">
        <f>_xlfn.XLOOKUP(AllDataCorrected[[#This Row],[Site Name]],Tables!$B$12:$B$100, Tables!D$12:D$100)</f>
        <v>-1.7078160000000004</v>
      </c>
      <c r="N332" t="s">
        <v>31</v>
      </c>
      <c r="P332">
        <v>8</v>
      </c>
      <c r="Q332">
        <v>20</v>
      </c>
      <c r="R332" t="str">
        <f>IF(AllDataCorrected[[#This Row],[Nitrate (PPM)]]&gt;2, "4. Very high (&gt;2ppm)", IF(AllDataCorrected[[#This Row],[Nitrate (PPM)]]&gt;1, "3. High (1-2ppm)", IF(AllDataCorrected[[#This Row],[Nitrate (PPM)]]&gt;0.5, "2. Some evidence (0.5-1ppm)", IF(AllDataCorrected[[#This Row],[Nitrate (PPM)]]&gt;=0, "1. No evidence (&lt;0.5ppm)"))))</f>
        <v>4. Very high (&gt;2ppm)</v>
      </c>
      <c r="S332">
        <v>0.19</v>
      </c>
      <c r="T3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2">
        <v>0.8</v>
      </c>
    </row>
    <row r="333" spans="1:22" x14ac:dyDescent="0.35">
      <c r="A333" t="s">
        <v>546</v>
      </c>
      <c r="B333" s="2">
        <v>45305</v>
      </c>
      <c r="C333" t="str" cm="1">
        <f t="array" ref="C3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3">
        <v>2023</v>
      </c>
      <c r="E333" s="1">
        <v>0.63541666666666663</v>
      </c>
      <c r="F3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3" t="str">
        <f>_xlfn.XLOOKUP(AllDataCorrected[[#This Row],[Location Name]], Locations[Location Name],Locations[Group As])</f>
        <v>Hampton Lucy</v>
      </c>
      <c r="H333" t="e" vm="1">
        <f>_xlfn.XLOOKUP(AllDataCorrected[[#This Row],[Site Name]],LocationsKey[Site Name],LocationsKey[District])</f>
        <v>#VALUE!</v>
      </c>
      <c r="I333" t="e" vm="33">
        <f>_xlfn.XLOOKUP(AllDataCorrected[[#This Row],[Site Name]],LocationsKey[Site Name],LocationsKey[Town])</f>
        <v>#VALUE!</v>
      </c>
      <c r="J333" t="str">
        <f>_xlfn.XLOOKUP(AllDataCorrected[[#This Row],[Site Name]],LocationsKey[Site Name], LocationsKey[Waterway])</f>
        <v>Avon</v>
      </c>
      <c r="K333" t="s">
        <v>39</v>
      </c>
      <c r="L333">
        <f>_xlfn.XLOOKUP(AllDataCorrected[[#This Row],[Site Name]],Tables!$B$12:$B$100, Tables!C$12:C$100)</f>
        <v>52.211679999999973</v>
      </c>
      <c r="M333">
        <f>_xlfn.XLOOKUP(AllDataCorrected[[#This Row],[Site Name]],Tables!$B$12:$B$100, Tables!D$12:D$100)</f>
        <v>-1.6244400000000001</v>
      </c>
      <c r="N333" t="s">
        <v>25</v>
      </c>
      <c r="O333">
        <v>802</v>
      </c>
      <c r="P333">
        <v>8.1</v>
      </c>
      <c r="Q333">
        <v>7</v>
      </c>
      <c r="R333" t="str">
        <f>IF(AllDataCorrected[[#This Row],[Nitrate (PPM)]]&gt;2, "4. Very high (&gt;2ppm)", IF(AllDataCorrected[[#This Row],[Nitrate (PPM)]]&gt;1, "3. High (1-2ppm)", IF(AllDataCorrected[[#This Row],[Nitrate (PPM)]]&gt;0.5, "2. Some evidence (0.5-1ppm)", IF(AllDataCorrected[[#This Row],[Nitrate (PPM)]]&gt;=0, "1. No evidence (&lt;0.5ppm)"))))</f>
        <v>4. Very high (&gt;2ppm)</v>
      </c>
      <c r="S333">
        <v>0.4</v>
      </c>
      <c r="T3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3">
        <v>0</v>
      </c>
    </row>
    <row r="334" spans="1:22" x14ac:dyDescent="0.35">
      <c r="A334" t="s">
        <v>547</v>
      </c>
      <c r="B334" s="2">
        <v>45306</v>
      </c>
      <c r="C334" t="str" cm="1">
        <f t="array" ref="C3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4">
        <v>2023</v>
      </c>
      <c r="E334" s="1">
        <v>0.41111111111111109</v>
      </c>
      <c r="F3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4" t="str">
        <f>_xlfn.XLOOKUP(AllDataCorrected[[#This Row],[Location Name]], Locations[Location Name],Locations[Group As])</f>
        <v>Stour Stretton-on-Fosse Village</v>
      </c>
      <c r="H334" t="e" vm="1">
        <f>_xlfn.XLOOKUP(AllDataCorrected[[#This Row],[Site Name]],LocationsKey[Site Name],LocationsKey[District])</f>
        <v>#VALUE!</v>
      </c>
      <c r="I334" t="e" vm="30">
        <f>_xlfn.XLOOKUP(AllDataCorrected[[#This Row],[Site Name]],LocationsKey[Site Name],LocationsKey[Town])</f>
        <v>#VALUE!</v>
      </c>
      <c r="J334" t="str">
        <f>_xlfn.XLOOKUP(AllDataCorrected[[#This Row],[Site Name]],LocationsKey[Site Name], LocationsKey[Waterway])</f>
        <v>Stour</v>
      </c>
      <c r="K334" t="s">
        <v>548</v>
      </c>
      <c r="L334">
        <f>_xlfn.XLOOKUP(AllDataCorrected[[#This Row],[Site Name]],Tables!$B$12:$B$100, Tables!C$12:C$100)</f>
        <v>52.046517558823531</v>
      </c>
      <c r="M334">
        <f>_xlfn.XLOOKUP(AllDataCorrected[[#This Row],[Site Name]],Tables!$B$12:$B$100, Tables!D$12:D$100)</f>
        <v>-1.6734143529411762</v>
      </c>
      <c r="N334" t="s">
        <v>68</v>
      </c>
      <c r="O334">
        <v>722</v>
      </c>
      <c r="P334">
        <v>4.3</v>
      </c>
      <c r="Q334">
        <v>2</v>
      </c>
      <c r="R334" t="str">
        <f>IF(AllDataCorrected[[#This Row],[Nitrate (PPM)]]&gt;2, "4. Very high (&gt;2ppm)", IF(AllDataCorrected[[#This Row],[Nitrate (PPM)]]&gt;1, "3. High (1-2ppm)", IF(AllDataCorrected[[#This Row],[Nitrate (PPM)]]&gt;0.5, "2. Some evidence (0.5-1ppm)", IF(AllDataCorrected[[#This Row],[Nitrate (PPM)]]&gt;=0, "1. No evidence (&lt;0.5ppm)"))))</f>
        <v>3. High (1-2ppm)</v>
      </c>
      <c r="S334">
        <v>1.47</v>
      </c>
      <c r="T3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4">
        <v>0.2</v>
      </c>
    </row>
    <row r="335" spans="1:22" x14ac:dyDescent="0.35">
      <c r="A335" t="s">
        <v>549</v>
      </c>
      <c r="B335" s="2">
        <v>45306</v>
      </c>
      <c r="C335" t="str" cm="1">
        <f t="array" ref="C3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5">
        <v>2023</v>
      </c>
      <c r="E335" s="1">
        <v>0.41736111111111113</v>
      </c>
      <c r="F3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5" t="str">
        <f>_xlfn.XLOOKUP(AllDataCorrected[[#This Row],[Location Name]], Locations[Location Name],Locations[Group As])</f>
        <v>Stour Stretton-on-Fosse Sewage Works</v>
      </c>
      <c r="H335" t="e" vm="1">
        <f>_xlfn.XLOOKUP(AllDataCorrected[[#This Row],[Site Name]],LocationsKey[Site Name],LocationsKey[District])</f>
        <v>#VALUE!</v>
      </c>
      <c r="I335" t="e" vm="30">
        <f>_xlfn.XLOOKUP(AllDataCorrected[[#This Row],[Site Name]],LocationsKey[Site Name],LocationsKey[Town])</f>
        <v>#VALUE!</v>
      </c>
      <c r="J335" t="str">
        <f>_xlfn.XLOOKUP(AllDataCorrected[[#This Row],[Site Name]],LocationsKey[Site Name], LocationsKey[Waterway])</f>
        <v>Stour</v>
      </c>
      <c r="K335" t="s">
        <v>337</v>
      </c>
      <c r="L335">
        <f>_xlfn.XLOOKUP(AllDataCorrected[[#This Row],[Site Name]],Tables!$B$12:$B$100, Tables!C$12:C$100)</f>
        <v>52.045653647058828</v>
      </c>
      <c r="M335">
        <f>_xlfn.XLOOKUP(AllDataCorrected[[#This Row],[Site Name]],Tables!$B$12:$B$100, Tables!D$12:D$100)</f>
        <v>-1.6719221470588239</v>
      </c>
      <c r="N335" t="s">
        <v>31</v>
      </c>
      <c r="O335">
        <v>760</v>
      </c>
      <c r="P335">
        <v>3.5</v>
      </c>
      <c r="Q335">
        <v>3</v>
      </c>
      <c r="R335" t="str">
        <f>IF(AllDataCorrected[[#This Row],[Nitrate (PPM)]]&gt;2, "4. Very high (&gt;2ppm)", IF(AllDataCorrected[[#This Row],[Nitrate (PPM)]]&gt;1, "3. High (1-2ppm)", IF(AllDataCorrected[[#This Row],[Nitrate (PPM)]]&gt;0.5, "2. Some evidence (0.5-1ppm)", IF(AllDataCorrected[[#This Row],[Nitrate (PPM)]]&gt;=0, "1. No evidence (&lt;0.5ppm)"))))</f>
        <v>4. Very high (&gt;2ppm)</v>
      </c>
      <c r="S335">
        <v>2.5</v>
      </c>
      <c r="T3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35">
        <v>0.25</v>
      </c>
      <c r="V335" t="s">
        <v>550</v>
      </c>
    </row>
    <row r="336" spans="1:22" x14ac:dyDescent="0.35">
      <c r="A336" t="s">
        <v>551</v>
      </c>
      <c r="B336" s="2">
        <v>45307</v>
      </c>
      <c r="C336" t="str" cm="1">
        <f t="array" ref="C3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6">
        <v>2023</v>
      </c>
      <c r="E336" s="1">
        <v>0.3923611111111111</v>
      </c>
      <c r="F3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6" t="str">
        <f>_xlfn.XLOOKUP(AllDataCorrected[[#This Row],[Location Name]], Locations[Location Name],Locations[Group As])</f>
        <v>Swiffen Bank</v>
      </c>
      <c r="H336" t="e" vm="1">
        <f>_xlfn.XLOOKUP(AllDataCorrected[[#This Row],[Site Name]],LocationsKey[Site Name],LocationsKey[District])</f>
        <v>#VALUE!</v>
      </c>
      <c r="I336" t="e" vm="2">
        <f>_xlfn.XLOOKUP(AllDataCorrected[[#This Row],[Site Name]],LocationsKey[Site Name],LocationsKey[Town])</f>
        <v>#VALUE!</v>
      </c>
      <c r="J336" t="str">
        <f>_xlfn.XLOOKUP(AllDataCorrected[[#This Row],[Site Name]],LocationsKey[Site Name], LocationsKey[Waterway])</f>
        <v>Avon</v>
      </c>
      <c r="K336" t="s">
        <v>286</v>
      </c>
      <c r="L336">
        <f>_xlfn.XLOOKUP(AllDataCorrected[[#This Row],[Site Name]],Tables!$B$12:$B$100, Tables!C$12:C$100)</f>
        <v>52.206649805555557</v>
      </c>
      <c r="M336">
        <f>_xlfn.XLOOKUP(AllDataCorrected[[#This Row],[Site Name]],Tables!$B$12:$B$100, Tables!D$12:D$100)</f>
        <v>-1.6541018611111094</v>
      </c>
      <c r="N336" t="s">
        <v>31</v>
      </c>
      <c r="O336">
        <v>811</v>
      </c>
      <c r="P336">
        <v>6.8</v>
      </c>
      <c r="Q336">
        <v>5</v>
      </c>
      <c r="R336" t="str">
        <f>IF(AllDataCorrected[[#This Row],[Nitrate (PPM)]]&gt;2, "4. Very high (&gt;2ppm)", IF(AllDataCorrected[[#This Row],[Nitrate (PPM)]]&gt;1, "3. High (1-2ppm)", IF(AllDataCorrected[[#This Row],[Nitrate (PPM)]]&gt;0.5, "2. Some evidence (0.5-1ppm)", IF(AllDataCorrected[[#This Row],[Nitrate (PPM)]]&gt;=0, "1. No evidence (&lt;0.5ppm)"))))</f>
        <v>4. Very high (&gt;2ppm)</v>
      </c>
      <c r="S336">
        <v>0.5</v>
      </c>
      <c r="T3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6">
        <v>0</v>
      </c>
    </row>
    <row r="337" spans="1:22" x14ac:dyDescent="0.35">
      <c r="A337" t="s">
        <v>552</v>
      </c>
      <c r="B337" s="2">
        <v>45307</v>
      </c>
      <c r="C337" t="str" cm="1">
        <f t="array" ref="C3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7">
        <v>2023</v>
      </c>
      <c r="E337" s="1">
        <v>0.39583333333333331</v>
      </c>
      <c r="F3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7" t="str">
        <f>_xlfn.XLOOKUP(AllDataCorrected[[#This Row],[Location Name]], Locations[Location Name],Locations[Group As])</f>
        <v>Alveston Weir</v>
      </c>
      <c r="H337" t="e" vm="1">
        <f>_xlfn.XLOOKUP(AllDataCorrected[[#This Row],[Site Name]],LocationsKey[Site Name],LocationsKey[District])</f>
        <v>#VALUE!</v>
      </c>
      <c r="I337" t="e" vm="2">
        <f>_xlfn.XLOOKUP(AllDataCorrected[[#This Row],[Site Name]],LocationsKey[Site Name],LocationsKey[Town])</f>
        <v>#VALUE!</v>
      </c>
      <c r="J337" t="str">
        <f>_xlfn.XLOOKUP(AllDataCorrected[[#This Row],[Site Name]],LocationsKey[Site Name], LocationsKey[Waterway])</f>
        <v>Avon</v>
      </c>
      <c r="K337" t="s">
        <v>288</v>
      </c>
      <c r="L337">
        <f>_xlfn.XLOOKUP(AllDataCorrected[[#This Row],[Site Name]],Tables!$B$12:$B$100, Tables!C$12:C$100)</f>
        <v>52.21226301333337</v>
      </c>
      <c r="M337">
        <f>_xlfn.XLOOKUP(AllDataCorrected[[#This Row],[Site Name]],Tables!$B$12:$B$100, Tables!D$12:D$100)</f>
        <v>-1.6595226800000011</v>
      </c>
      <c r="N337" t="s">
        <v>31</v>
      </c>
      <c r="O337">
        <v>765</v>
      </c>
      <c r="P337">
        <v>5.7</v>
      </c>
      <c r="Q337">
        <v>5</v>
      </c>
      <c r="R337" t="str">
        <f>IF(AllDataCorrected[[#This Row],[Nitrate (PPM)]]&gt;2, "4. Very high (&gt;2ppm)", IF(AllDataCorrected[[#This Row],[Nitrate (PPM)]]&gt;1, "3. High (1-2ppm)", IF(AllDataCorrected[[#This Row],[Nitrate (PPM)]]&gt;0.5, "2. Some evidence (0.5-1ppm)", IF(AllDataCorrected[[#This Row],[Nitrate (PPM)]]&gt;=0, "1. No evidence (&lt;0.5ppm)"))))</f>
        <v>4. Very high (&gt;2ppm)</v>
      </c>
      <c r="S337">
        <v>0.49</v>
      </c>
      <c r="T3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7">
        <v>-1</v>
      </c>
    </row>
    <row r="338" spans="1:22" x14ac:dyDescent="0.35">
      <c r="A338" t="s">
        <v>553</v>
      </c>
      <c r="B338" s="2">
        <v>45309</v>
      </c>
      <c r="C338" t="str" cm="1">
        <f t="array" ref="C3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8">
        <v>2023</v>
      </c>
      <c r="E338" s="1">
        <v>0.46111111111111114</v>
      </c>
      <c r="F3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38" t="str">
        <f>_xlfn.XLOOKUP(AllDataCorrected[[#This Row],[Location Name]], Locations[Location Name],Locations[Group As])</f>
        <v>Stour Willington</v>
      </c>
      <c r="H338" t="e" vm="1">
        <f>_xlfn.XLOOKUP(AllDataCorrected[[#This Row],[Site Name]],LocationsKey[Site Name],LocationsKey[District])</f>
        <v>#VALUE!</v>
      </c>
      <c r="I338" t="str">
        <f>_xlfn.XLOOKUP(AllDataCorrected[[#This Row],[Site Name]],LocationsKey[Site Name],LocationsKey[Town])</f>
        <v>Willington</v>
      </c>
      <c r="J338" t="str">
        <f>_xlfn.XLOOKUP(AllDataCorrected[[#This Row],[Site Name]],LocationsKey[Site Name], LocationsKey[Waterway])</f>
        <v>Stour</v>
      </c>
      <c r="K338" t="s">
        <v>521</v>
      </c>
      <c r="L338">
        <f>_xlfn.XLOOKUP(AllDataCorrected[[#This Row],[Site Name]],Tables!$B$12:$B$100, Tables!C$12:C$100)</f>
        <v>52.053227523809518</v>
      </c>
      <c r="M338">
        <f>_xlfn.XLOOKUP(AllDataCorrected[[#This Row],[Site Name]],Tables!$B$12:$B$100, Tables!D$12:D$100)</f>
        <v>-1.6194739523809523</v>
      </c>
      <c r="N338" t="s">
        <v>25</v>
      </c>
      <c r="O338">
        <v>614</v>
      </c>
      <c r="P338">
        <v>5.4</v>
      </c>
      <c r="Q338">
        <v>2</v>
      </c>
      <c r="R338" t="str">
        <f>IF(AllDataCorrected[[#This Row],[Nitrate (PPM)]]&gt;2, "4. Very high (&gt;2ppm)", IF(AllDataCorrected[[#This Row],[Nitrate (PPM)]]&gt;1, "3. High (1-2ppm)", IF(AllDataCorrected[[#This Row],[Nitrate (PPM)]]&gt;0.5, "2. Some evidence (0.5-1ppm)", IF(AllDataCorrected[[#This Row],[Nitrate (PPM)]]&gt;=0, "1. No evidence (&lt;0.5ppm)"))))</f>
        <v>3. High (1-2ppm)</v>
      </c>
      <c r="S338">
        <v>0.16</v>
      </c>
      <c r="T3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8">
        <v>0.5</v>
      </c>
    </row>
    <row r="339" spans="1:22" x14ac:dyDescent="0.35">
      <c r="A339" t="s">
        <v>554</v>
      </c>
      <c r="B339" s="2">
        <v>45309</v>
      </c>
      <c r="C339" t="str" cm="1">
        <f t="array" ref="C3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39">
        <v>2023</v>
      </c>
      <c r="E339" s="1">
        <v>0.625</v>
      </c>
      <c r="F3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39" t="str">
        <f>_xlfn.XLOOKUP(AllDataCorrected[[#This Row],[Location Name]], Locations[Location Name],Locations[Group As])</f>
        <v>Stour Newbold Mill</v>
      </c>
      <c r="H339" t="e" vm="1">
        <f>_xlfn.XLOOKUP(AllDataCorrected[[#This Row],[Site Name]],LocationsKey[Site Name],LocationsKey[District])</f>
        <v>#VALUE!</v>
      </c>
      <c r="I339" t="e" vm="27">
        <f>_xlfn.XLOOKUP(AllDataCorrected[[#This Row],[Site Name]],LocationsKey[Site Name],LocationsKey[Town])</f>
        <v>#VALUE!</v>
      </c>
      <c r="J339" t="str">
        <f>_xlfn.XLOOKUP(AllDataCorrected[[#This Row],[Site Name]],LocationsKey[Site Name], LocationsKey[Waterway])</f>
        <v>Stour</v>
      </c>
      <c r="K339" t="s">
        <v>141</v>
      </c>
      <c r="L339">
        <f>_xlfn.XLOOKUP(AllDataCorrected[[#This Row],[Site Name]],Tables!$B$12:$B$100, Tables!C$12:C$100)</f>
        <v>52.113052370370369</v>
      </c>
      <c r="M339">
        <f>_xlfn.XLOOKUP(AllDataCorrected[[#This Row],[Site Name]],Tables!$B$12:$B$100, Tables!D$12:D$100)</f>
        <v>-1.6333685185185181</v>
      </c>
      <c r="N339" t="s">
        <v>31</v>
      </c>
      <c r="O339">
        <v>610</v>
      </c>
      <c r="P339">
        <v>7.2</v>
      </c>
      <c r="Q339">
        <v>5</v>
      </c>
      <c r="R339" t="str">
        <f>IF(AllDataCorrected[[#This Row],[Nitrate (PPM)]]&gt;2, "4. Very high (&gt;2ppm)", IF(AllDataCorrected[[#This Row],[Nitrate (PPM)]]&gt;1, "3. High (1-2ppm)", IF(AllDataCorrected[[#This Row],[Nitrate (PPM)]]&gt;0.5, "2. Some evidence (0.5-1ppm)", IF(AllDataCorrected[[#This Row],[Nitrate (PPM)]]&gt;=0, "1. No evidence (&lt;0.5ppm)"))))</f>
        <v>4. Very high (&gt;2ppm)</v>
      </c>
      <c r="S339">
        <v>0.35</v>
      </c>
      <c r="T3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39">
        <v>2.5</v>
      </c>
      <c r="V339" t="s">
        <v>555</v>
      </c>
    </row>
    <row r="340" spans="1:22" x14ac:dyDescent="0.35">
      <c r="A340" t="s">
        <v>556</v>
      </c>
      <c r="B340" s="2">
        <v>45310</v>
      </c>
      <c r="C340" t="str" cm="1">
        <f t="array" ref="C3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0">
        <v>2023</v>
      </c>
      <c r="E340" s="1">
        <v>0.41666666666666669</v>
      </c>
      <c r="F3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0" t="str">
        <f>_xlfn.XLOOKUP(AllDataCorrected[[#This Row],[Location Name]], Locations[Location Name],Locations[Group As])</f>
        <v>Abbey Mill</v>
      </c>
      <c r="H340" t="e" vm="4">
        <f>_xlfn.XLOOKUP(AllDataCorrected[[#This Row],[Site Name]],LocationsKey[Site Name],LocationsKey[District])</f>
        <v>#VALUE!</v>
      </c>
      <c r="I340" t="e" vm="4">
        <f>_xlfn.XLOOKUP(AllDataCorrected[[#This Row],[Site Name]],LocationsKey[Site Name],LocationsKey[Town])</f>
        <v>#VALUE!</v>
      </c>
      <c r="J340" t="str">
        <f>_xlfn.XLOOKUP(AllDataCorrected[[#This Row],[Site Name]],LocationsKey[Site Name], LocationsKey[Waterway])</f>
        <v>Avon</v>
      </c>
      <c r="K340" t="s">
        <v>24</v>
      </c>
      <c r="L340">
        <f>_xlfn.XLOOKUP(AllDataCorrected[[#This Row],[Site Name]],Tables!$B$12:$B$100, Tables!C$12:C$100)</f>
        <v>51.991313075757589</v>
      </c>
      <c r="M340">
        <f>_xlfn.XLOOKUP(AllDataCorrected[[#This Row],[Site Name]],Tables!$B$12:$B$100, Tables!D$12:D$100)</f>
        <v>-2.1621998181818181</v>
      </c>
      <c r="N340" t="s">
        <v>25</v>
      </c>
      <c r="O340">
        <v>890</v>
      </c>
      <c r="P340">
        <v>6</v>
      </c>
      <c r="Q340">
        <v>4</v>
      </c>
      <c r="R340" t="str">
        <f>IF(AllDataCorrected[[#This Row],[Nitrate (PPM)]]&gt;2, "4. Very high (&gt;2ppm)", IF(AllDataCorrected[[#This Row],[Nitrate (PPM)]]&gt;1, "3. High (1-2ppm)", IF(AllDataCorrected[[#This Row],[Nitrate (PPM)]]&gt;0.5, "2. Some evidence (0.5-1ppm)", IF(AllDataCorrected[[#This Row],[Nitrate (PPM)]]&gt;=0, "1. No evidence (&lt;0.5ppm)"))))</f>
        <v>4. Very high (&gt;2ppm)</v>
      </c>
      <c r="S340">
        <v>0.7</v>
      </c>
      <c r="T3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0">
        <v>0</v>
      </c>
    </row>
    <row r="341" spans="1:22" x14ac:dyDescent="0.35">
      <c r="A341" t="s">
        <v>557</v>
      </c>
      <c r="B341" s="2">
        <v>45310</v>
      </c>
      <c r="C341" t="str" cm="1">
        <f t="array" ref="C3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1">
        <v>2023</v>
      </c>
      <c r="E341" s="1">
        <v>0.45833333333333331</v>
      </c>
      <c r="F34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1" t="str">
        <f>_xlfn.XLOOKUP(AllDataCorrected[[#This Row],[Location Name]], Locations[Location Name],Locations[Group As])</f>
        <v>Swilgate</v>
      </c>
      <c r="H341" t="e" vm="4">
        <f>_xlfn.XLOOKUP(AllDataCorrected[[#This Row],[Site Name]],LocationsKey[Site Name],LocationsKey[District])</f>
        <v>#VALUE!</v>
      </c>
      <c r="I341" t="e" vm="4">
        <f>_xlfn.XLOOKUP(AllDataCorrected[[#This Row],[Site Name]],LocationsKey[Site Name],LocationsKey[Town])</f>
        <v>#VALUE!</v>
      </c>
      <c r="J341" t="str">
        <f>_xlfn.XLOOKUP(AllDataCorrected[[#This Row],[Site Name]],LocationsKey[Site Name], LocationsKey[Waterway])</f>
        <v>Swilgate</v>
      </c>
      <c r="K341" t="s">
        <v>85</v>
      </c>
      <c r="L341">
        <f>_xlfn.XLOOKUP(AllDataCorrected[[#This Row],[Site Name]],Tables!$B$12:$B$100, Tables!C$12:C$100)</f>
        <v>51.988591500000005</v>
      </c>
      <c r="M341">
        <f>_xlfn.XLOOKUP(AllDataCorrected[[#This Row],[Site Name]],Tables!$B$12:$B$100, Tables!D$12:D$100)</f>
        <v>-2.163898333333333</v>
      </c>
      <c r="N341" t="s">
        <v>25</v>
      </c>
      <c r="O341">
        <v>846</v>
      </c>
      <c r="P341">
        <v>2.6</v>
      </c>
      <c r="Q341">
        <v>3</v>
      </c>
      <c r="R341" t="str">
        <f>IF(AllDataCorrected[[#This Row],[Nitrate (PPM)]]&gt;2, "4. Very high (&gt;2ppm)", IF(AllDataCorrected[[#This Row],[Nitrate (PPM)]]&gt;1, "3. High (1-2ppm)", IF(AllDataCorrected[[#This Row],[Nitrate (PPM)]]&gt;0.5, "2. Some evidence (0.5-1ppm)", IF(AllDataCorrected[[#This Row],[Nitrate (PPM)]]&gt;=0, "1. No evidence (&lt;0.5ppm)"))))</f>
        <v>4. Very high (&gt;2ppm)</v>
      </c>
      <c r="S341">
        <v>0.41</v>
      </c>
      <c r="T3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1">
        <v>0</v>
      </c>
    </row>
    <row r="342" spans="1:22" x14ac:dyDescent="0.35">
      <c r="A342" t="s">
        <v>558</v>
      </c>
      <c r="B342" s="2">
        <v>45310</v>
      </c>
      <c r="C342" t="str" cm="1">
        <f t="array" ref="C3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2">
        <v>2023</v>
      </c>
      <c r="E342" s="1">
        <v>0.57986111111111116</v>
      </c>
      <c r="F3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42" t="str">
        <f>_xlfn.XLOOKUP(AllDataCorrected[[#This Row],[Location Name]], Locations[Location Name],Locations[Group As])</f>
        <v>Lower Lode</v>
      </c>
      <c r="H342" t="e" vm="4">
        <f>_xlfn.XLOOKUP(AllDataCorrected[[#This Row],[Site Name]],LocationsKey[Site Name],LocationsKey[District])</f>
        <v>#VALUE!</v>
      </c>
      <c r="I342" t="e" vm="4">
        <f>_xlfn.XLOOKUP(AllDataCorrected[[#This Row],[Site Name]],LocationsKey[Site Name],LocationsKey[Town])</f>
        <v>#VALUE!</v>
      </c>
      <c r="J342" t="str">
        <f>_xlfn.XLOOKUP(AllDataCorrected[[#This Row],[Site Name]],LocationsKey[Site Name], LocationsKey[Waterway])</f>
        <v>Avon</v>
      </c>
      <c r="K342" t="s">
        <v>559</v>
      </c>
      <c r="L342">
        <f>_xlfn.XLOOKUP(AllDataCorrected[[#This Row],[Site Name]],Tables!$B$12:$B$100, Tables!C$12:C$100)</f>
        <v>51.984916745098026</v>
      </c>
      <c r="M342">
        <f>_xlfn.XLOOKUP(AllDataCorrected[[#This Row],[Site Name]],Tables!$B$12:$B$100, Tables!D$12:D$100)</f>
        <v>-2.1745787647058821</v>
      </c>
      <c r="N342" t="s">
        <v>31</v>
      </c>
      <c r="O342">
        <v>867</v>
      </c>
      <c r="P342">
        <v>5.7</v>
      </c>
      <c r="Q342">
        <v>10</v>
      </c>
      <c r="R342" t="str">
        <f>IF(AllDataCorrected[[#This Row],[Nitrate (PPM)]]&gt;2, "4. Very high (&gt;2ppm)", IF(AllDataCorrected[[#This Row],[Nitrate (PPM)]]&gt;1, "3. High (1-2ppm)", IF(AllDataCorrected[[#This Row],[Nitrate (PPM)]]&gt;0.5, "2. Some evidence (0.5-1ppm)", IF(AllDataCorrected[[#This Row],[Nitrate (PPM)]]&gt;=0, "1. No evidence (&lt;0.5ppm)"))))</f>
        <v>4. Very high (&gt;2ppm)</v>
      </c>
      <c r="S342">
        <v>0.5</v>
      </c>
      <c r="T3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2">
        <v>0</v>
      </c>
    </row>
    <row r="343" spans="1:22" x14ac:dyDescent="0.35">
      <c r="A343" t="s">
        <v>560</v>
      </c>
      <c r="B343" s="2">
        <v>45311</v>
      </c>
      <c r="C343" t="str" cm="1">
        <f t="array" ref="C3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3">
        <v>2023</v>
      </c>
      <c r="E343" s="1">
        <v>0.40694444444444444</v>
      </c>
      <c r="F3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3" t="str">
        <f>_xlfn.XLOOKUP(AllDataCorrected[[#This Row],[Location Name]], Locations[Location Name],Locations[Group As])</f>
        <v>The Ford, Langley</v>
      </c>
      <c r="H343" t="e" vm="1">
        <f>_xlfn.XLOOKUP(AllDataCorrected[[#This Row],[Site Name]],LocationsKey[Site Name],LocationsKey[District])</f>
        <v>#VALUE!</v>
      </c>
      <c r="I343" t="str">
        <f>_xlfn.XLOOKUP(AllDataCorrected[[#This Row],[Site Name]],LocationsKey[Site Name],LocationsKey[Town])</f>
        <v>Langley</v>
      </c>
      <c r="J343" t="str">
        <f>_xlfn.XLOOKUP(AllDataCorrected[[#This Row],[Site Name]],LocationsKey[Site Name], LocationsKey[Waterway])</f>
        <v>Langley Ford</v>
      </c>
      <c r="K343" t="s">
        <v>561</v>
      </c>
      <c r="L343">
        <f>_xlfn.XLOOKUP(AllDataCorrected[[#This Row],[Site Name]],Tables!$B$12:$B$100, Tables!C$12:C$100)</f>
        <v>52.262666528301864</v>
      </c>
      <c r="M343">
        <f>_xlfn.XLOOKUP(AllDataCorrected[[#This Row],[Site Name]],Tables!$B$12:$B$100, Tables!D$12:D$100)</f>
        <v>-1.6545845283018858</v>
      </c>
      <c r="N343" t="s">
        <v>31</v>
      </c>
      <c r="O343">
        <v>742</v>
      </c>
      <c r="P343">
        <v>5.0999999999999996</v>
      </c>
      <c r="Q343">
        <v>5</v>
      </c>
      <c r="R343" t="str">
        <f>IF(AllDataCorrected[[#This Row],[Nitrate (PPM)]]&gt;2, "4. Very high (&gt;2ppm)", IF(AllDataCorrected[[#This Row],[Nitrate (PPM)]]&gt;1, "3. High (1-2ppm)", IF(AllDataCorrected[[#This Row],[Nitrate (PPM)]]&gt;0.5, "2. Some evidence (0.5-1ppm)", IF(AllDataCorrected[[#This Row],[Nitrate (PPM)]]&gt;=0, "1. No evidence (&lt;0.5ppm)"))))</f>
        <v>4. Very high (&gt;2ppm)</v>
      </c>
      <c r="S343">
        <v>0.59</v>
      </c>
      <c r="T3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3">
        <v>0.28000000000000003</v>
      </c>
      <c r="V343" t="s">
        <v>562</v>
      </c>
    </row>
    <row r="344" spans="1:22" x14ac:dyDescent="0.35">
      <c r="A344" t="s">
        <v>563</v>
      </c>
      <c r="B344" s="2">
        <v>45311</v>
      </c>
      <c r="C344" t="str" cm="1">
        <f t="array" ref="C3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4">
        <v>2023</v>
      </c>
      <c r="E344" s="1">
        <v>0.47916666666666669</v>
      </c>
      <c r="F3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4" t="str">
        <f>_xlfn.XLOOKUP(AllDataCorrected[[#This Row],[Location Name]], Locations[Location Name],Locations[Group As])</f>
        <v>Clifford Chambers Mill Bridge</v>
      </c>
      <c r="H344" t="e" vm="1">
        <f>_xlfn.XLOOKUP(AllDataCorrected[[#This Row],[Site Name]],LocationsKey[Site Name],LocationsKey[District])</f>
        <v>#VALUE!</v>
      </c>
      <c r="I344" t="e" vm="22">
        <f>_xlfn.XLOOKUP(AllDataCorrected[[#This Row],[Site Name]],LocationsKey[Site Name],LocationsKey[Town])</f>
        <v>#VALUE!</v>
      </c>
      <c r="J344" t="str">
        <f>_xlfn.XLOOKUP(AllDataCorrected[[#This Row],[Site Name]],LocationsKey[Site Name], LocationsKey[Waterway])</f>
        <v>Stour</v>
      </c>
      <c r="K344" t="s">
        <v>266</v>
      </c>
      <c r="L344">
        <f>_xlfn.XLOOKUP(AllDataCorrected[[#This Row],[Site Name]],Tables!$B$12:$B$100, Tables!C$12:C$100)</f>
        <v>52.166363596153808</v>
      </c>
      <c r="M344">
        <f>_xlfn.XLOOKUP(AllDataCorrected[[#This Row],[Site Name]],Tables!$B$12:$B$100, Tables!D$12:D$100)</f>
        <v>-1.7080375384615398</v>
      </c>
      <c r="N344" t="s">
        <v>68</v>
      </c>
      <c r="O344">
        <v>671</v>
      </c>
      <c r="P344">
        <v>10.199999999999999</v>
      </c>
      <c r="Q344">
        <v>7</v>
      </c>
      <c r="R344" t="str">
        <f>IF(AllDataCorrected[[#This Row],[Nitrate (PPM)]]&gt;2, "4. Very high (&gt;2ppm)", IF(AllDataCorrected[[#This Row],[Nitrate (PPM)]]&gt;1, "3. High (1-2ppm)", IF(AllDataCorrected[[#This Row],[Nitrate (PPM)]]&gt;0.5, "2. Some evidence (0.5-1ppm)", IF(AllDataCorrected[[#This Row],[Nitrate (PPM)]]&gt;=0, "1. No evidence (&lt;0.5ppm)"))))</f>
        <v>4. Very high (&gt;2ppm)</v>
      </c>
      <c r="S344">
        <v>0.24</v>
      </c>
      <c r="T3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4">
        <v>1.4</v>
      </c>
      <c r="V344" t="s">
        <v>564</v>
      </c>
    </row>
    <row r="345" spans="1:22" x14ac:dyDescent="0.35">
      <c r="A345" t="s">
        <v>565</v>
      </c>
      <c r="B345" s="2">
        <v>45311</v>
      </c>
      <c r="C345" t="str" cm="1">
        <f t="array" ref="C3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5">
        <v>2023</v>
      </c>
      <c r="E345" s="1">
        <v>0.47916666666666669</v>
      </c>
      <c r="F3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5" t="str">
        <f>_xlfn.XLOOKUP(AllDataCorrected[[#This Row],[Location Name]], Locations[Location Name],Locations[Group As])</f>
        <v>Fell Mill Footbridge</v>
      </c>
      <c r="H345" t="e" vm="1">
        <f>_xlfn.XLOOKUP(AllDataCorrected[[#This Row],[Site Name]],LocationsKey[Site Name],LocationsKey[District])</f>
        <v>#VALUE!</v>
      </c>
      <c r="I345" t="e" vm="15">
        <f>_xlfn.XLOOKUP(AllDataCorrected[[#This Row],[Site Name]],LocationsKey[Site Name],LocationsKey[Town])</f>
        <v>#VALUE!</v>
      </c>
      <c r="J345" t="str">
        <f>_xlfn.XLOOKUP(AllDataCorrected[[#This Row],[Site Name]],LocationsKey[Site Name], LocationsKey[Waterway])</f>
        <v>Stour</v>
      </c>
      <c r="K345" t="s">
        <v>500</v>
      </c>
      <c r="L345">
        <f>_xlfn.XLOOKUP(AllDataCorrected[[#This Row],[Site Name]],Tables!$B$12:$B$100, Tables!C$12:C$100)</f>
        <v>52.069044372881365</v>
      </c>
      <c r="M345">
        <f>_xlfn.XLOOKUP(AllDataCorrected[[#This Row],[Site Name]],Tables!$B$12:$B$100, Tables!D$12:D$100)</f>
        <v>-1.6116270169491524</v>
      </c>
      <c r="N345" t="s">
        <v>31</v>
      </c>
      <c r="O345">
        <v>607</v>
      </c>
      <c r="P345">
        <v>4.5999999999999996</v>
      </c>
      <c r="Q345">
        <v>10</v>
      </c>
      <c r="R345" t="str">
        <f>IF(AllDataCorrected[[#This Row],[Nitrate (PPM)]]&gt;2, "4. Very high (&gt;2ppm)", IF(AllDataCorrected[[#This Row],[Nitrate (PPM)]]&gt;1, "3. High (1-2ppm)", IF(AllDataCorrected[[#This Row],[Nitrate (PPM)]]&gt;0.5, "2. Some evidence (0.5-1ppm)", IF(AllDataCorrected[[#This Row],[Nitrate (PPM)]]&gt;=0, "1. No evidence (&lt;0.5ppm)"))))</f>
        <v>4. Very high (&gt;2ppm)</v>
      </c>
      <c r="S345">
        <v>0.24</v>
      </c>
      <c r="T3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5">
        <v>0.8</v>
      </c>
    </row>
    <row r="346" spans="1:22" x14ac:dyDescent="0.35">
      <c r="A346" t="s">
        <v>566</v>
      </c>
      <c r="B346" s="2">
        <v>45311</v>
      </c>
      <c r="C346" t="str" cm="1">
        <f t="array" ref="C3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6">
        <v>2023</v>
      </c>
      <c r="E346" s="1">
        <v>0.48958333333333331</v>
      </c>
      <c r="F3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6" t="str">
        <f>_xlfn.XLOOKUP(AllDataCorrected[[#This Row],[Location Name]], Locations[Location Name],Locations[Group As])</f>
        <v>Carrant Bredon Rd</v>
      </c>
      <c r="H346" t="e" vm="4">
        <f>_xlfn.XLOOKUP(AllDataCorrected[[#This Row],[Site Name]],LocationsKey[Site Name],LocationsKey[District])</f>
        <v>#VALUE!</v>
      </c>
      <c r="I346" t="e" vm="4">
        <f>_xlfn.XLOOKUP(AllDataCorrected[[#This Row],[Site Name]],LocationsKey[Site Name],LocationsKey[Town])</f>
        <v>#VALUE!</v>
      </c>
      <c r="J346" t="str">
        <f>_xlfn.XLOOKUP(AllDataCorrected[[#This Row],[Site Name]],LocationsKey[Site Name], LocationsKey[Waterway])</f>
        <v>Carrant</v>
      </c>
      <c r="K346" t="s">
        <v>91</v>
      </c>
      <c r="L346">
        <f>_xlfn.XLOOKUP(AllDataCorrected[[#This Row],[Site Name]],Tables!$B$12:$B$100, Tables!C$12:C$100)</f>
        <v>51.996322536231894</v>
      </c>
      <c r="M346">
        <f>_xlfn.XLOOKUP(AllDataCorrected[[#This Row],[Site Name]],Tables!$B$12:$B$100, Tables!D$12:D$100)</f>
        <v>-2.1558410144927538</v>
      </c>
      <c r="N346" t="s">
        <v>25</v>
      </c>
      <c r="O346">
        <v>751</v>
      </c>
      <c r="P346">
        <v>5.6</v>
      </c>
      <c r="Q346">
        <v>7</v>
      </c>
      <c r="R346" t="str">
        <f>IF(AllDataCorrected[[#This Row],[Nitrate (PPM)]]&gt;2, "4. Very high (&gt;2ppm)", IF(AllDataCorrected[[#This Row],[Nitrate (PPM)]]&gt;1, "3. High (1-2ppm)", IF(AllDataCorrected[[#This Row],[Nitrate (PPM)]]&gt;0.5, "2. Some evidence (0.5-1ppm)", IF(AllDataCorrected[[#This Row],[Nitrate (PPM)]]&gt;=0, "1. No evidence (&lt;0.5ppm)"))))</f>
        <v>4. Very high (&gt;2ppm)</v>
      </c>
      <c r="S346">
        <v>0.33</v>
      </c>
      <c r="T3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6">
        <v>0.02</v>
      </c>
    </row>
    <row r="347" spans="1:22" x14ac:dyDescent="0.35">
      <c r="A347" t="s">
        <v>567</v>
      </c>
      <c r="B347" s="2">
        <v>45311</v>
      </c>
      <c r="C347" t="str" cm="1">
        <f t="array" ref="C3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7">
        <v>2023</v>
      </c>
      <c r="E347" s="1">
        <v>0.48958333333333331</v>
      </c>
      <c r="F3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7" t="str">
        <f>_xlfn.XLOOKUP(AllDataCorrected[[#This Row],[Location Name]], Locations[Location Name],Locations[Group As])</f>
        <v>Clifford Chambers Road Bridge</v>
      </c>
      <c r="H347" t="e" vm="1">
        <f>_xlfn.XLOOKUP(AllDataCorrected[[#This Row],[Site Name]],LocationsKey[Site Name],LocationsKey[District])</f>
        <v>#VALUE!</v>
      </c>
      <c r="I347" t="e" vm="22">
        <f>_xlfn.XLOOKUP(AllDataCorrected[[#This Row],[Site Name]],LocationsKey[Site Name],LocationsKey[Town])</f>
        <v>#VALUE!</v>
      </c>
      <c r="J347" t="str">
        <f>_xlfn.XLOOKUP(AllDataCorrected[[#This Row],[Site Name]],LocationsKey[Site Name], LocationsKey[Waterway])</f>
        <v>Stour</v>
      </c>
      <c r="K347" t="s">
        <v>429</v>
      </c>
      <c r="L347">
        <f>_xlfn.XLOOKUP(AllDataCorrected[[#This Row],[Site Name]],Tables!$B$12:$B$100, Tables!C$12:C$100)</f>
        <v>52.172840000000001</v>
      </c>
      <c r="M347">
        <f>_xlfn.XLOOKUP(AllDataCorrected[[#This Row],[Site Name]],Tables!$B$12:$B$100, Tables!D$12:D$100)</f>
        <v>-1.71377</v>
      </c>
      <c r="N347" t="s">
        <v>191</v>
      </c>
      <c r="O347">
        <v>660</v>
      </c>
      <c r="P347">
        <v>10.199999999999999</v>
      </c>
      <c r="Q347">
        <v>9</v>
      </c>
      <c r="R347" t="str">
        <f>IF(AllDataCorrected[[#This Row],[Nitrate (PPM)]]&gt;2, "4. Very high (&gt;2ppm)", IF(AllDataCorrected[[#This Row],[Nitrate (PPM)]]&gt;1, "3. High (1-2ppm)", IF(AllDataCorrected[[#This Row],[Nitrate (PPM)]]&gt;0.5, "2. Some evidence (0.5-1ppm)", IF(AllDataCorrected[[#This Row],[Nitrate (PPM)]]&gt;=0, "1. No evidence (&lt;0.5ppm)"))))</f>
        <v>4. Very high (&gt;2ppm)</v>
      </c>
      <c r="S347">
        <v>0.32</v>
      </c>
      <c r="T3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7">
        <v>0.6</v>
      </c>
    </row>
    <row r="348" spans="1:22" x14ac:dyDescent="0.35">
      <c r="A348" t="s">
        <v>568</v>
      </c>
      <c r="B348" s="2">
        <v>45312</v>
      </c>
      <c r="C348" t="str" cm="1">
        <f t="array" ref="C3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8">
        <v>2023</v>
      </c>
      <c r="E348" s="1">
        <v>0.42708333333333331</v>
      </c>
      <c r="F3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48" t="str">
        <f>_xlfn.XLOOKUP(AllDataCorrected[[#This Row],[Location Name]], Locations[Location Name],Locations[Group As])</f>
        <v>Lucy's Mill Bridge</v>
      </c>
      <c r="H348" t="e" vm="1">
        <f>_xlfn.XLOOKUP(AllDataCorrected[[#This Row],[Site Name]],LocationsKey[Site Name],LocationsKey[District])</f>
        <v>#VALUE!</v>
      </c>
      <c r="I348" t="e" vm="12">
        <f>_xlfn.XLOOKUP(AllDataCorrected[[#This Row],[Site Name]],LocationsKey[Site Name],LocationsKey[Town])</f>
        <v>#VALUE!</v>
      </c>
      <c r="J348" t="str">
        <f>_xlfn.XLOOKUP(AllDataCorrected[[#This Row],[Site Name]],LocationsKey[Site Name], LocationsKey[Waterway])</f>
        <v>Avon</v>
      </c>
      <c r="K348" t="s">
        <v>212</v>
      </c>
      <c r="L348">
        <f>_xlfn.XLOOKUP(AllDataCorrected[[#This Row],[Site Name]],Tables!$B$12:$B$100, Tables!C$12:C$100)</f>
        <v>52.183699000000011</v>
      </c>
      <c r="M348">
        <f>_xlfn.XLOOKUP(AllDataCorrected[[#This Row],[Site Name]],Tables!$B$12:$B$100, Tables!D$12:D$100)</f>
        <v>-1.7078160000000004</v>
      </c>
      <c r="N348" t="s">
        <v>31</v>
      </c>
      <c r="P348">
        <v>6</v>
      </c>
      <c r="Q348">
        <v>5</v>
      </c>
      <c r="R348" t="str">
        <f>IF(AllDataCorrected[[#This Row],[Nitrate (PPM)]]&gt;2, "4. Very high (&gt;2ppm)", IF(AllDataCorrected[[#This Row],[Nitrate (PPM)]]&gt;1, "3. High (1-2ppm)", IF(AllDataCorrected[[#This Row],[Nitrate (PPM)]]&gt;0.5, "2. Some evidence (0.5-1ppm)", IF(AllDataCorrected[[#This Row],[Nitrate (PPM)]]&gt;=0, "1. No evidence (&lt;0.5ppm)"))))</f>
        <v>4. Very high (&gt;2ppm)</v>
      </c>
      <c r="S348">
        <v>0.28999999999999998</v>
      </c>
      <c r="T3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48">
        <v>0.7</v>
      </c>
    </row>
    <row r="349" spans="1:22" x14ac:dyDescent="0.35">
      <c r="A349" t="s">
        <v>569</v>
      </c>
      <c r="B349" s="2">
        <v>45312</v>
      </c>
      <c r="C349" t="str" cm="1">
        <f t="array" ref="C3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49">
        <v>2023</v>
      </c>
      <c r="E349" s="1">
        <v>0.51388888888888884</v>
      </c>
      <c r="F3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49" t="str">
        <f>_xlfn.XLOOKUP(AllDataCorrected[[#This Row],[Location Name]], Locations[Location Name],Locations[Group As])</f>
        <v>Hampton Wood</v>
      </c>
      <c r="H349" t="e" vm="1">
        <f>_xlfn.XLOOKUP(AllDataCorrected[[#This Row],[Site Name]],LocationsKey[Site Name],LocationsKey[District])</f>
        <v>#VALUE!</v>
      </c>
      <c r="I349" t="e" vm="34">
        <f>_xlfn.XLOOKUP(AllDataCorrected[[#This Row],[Site Name]],LocationsKey[Site Name],LocationsKey[Town])</f>
        <v>#VALUE!</v>
      </c>
      <c r="J349" t="str">
        <f>_xlfn.XLOOKUP(AllDataCorrected[[#This Row],[Site Name]],LocationsKey[Site Name], LocationsKey[Waterway])</f>
        <v>Avon</v>
      </c>
      <c r="K349" t="s">
        <v>36</v>
      </c>
      <c r="L349">
        <f>_xlfn.XLOOKUP(AllDataCorrected[[#This Row],[Site Name]],Tables!$B$12:$B$100, Tables!C$12:C$100)</f>
        <v>52.23814999999999</v>
      </c>
      <c r="M349">
        <f>_xlfn.XLOOKUP(AllDataCorrected[[#This Row],[Site Name]],Tables!$B$12:$B$100, Tables!D$12:D$100)</f>
        <v>-1.6245800000000008</v>
      </c>
      <c r="N349" t="s">
        <v>31</v>
      </c>
      <c r="O349">
        <v>852</v>
      </c>
      <c r="P349">
        <v>8.1</v>
      </c>
      <c r="Q349">
        <v>7</v>
      </c>
      <c r="R349" t="str">
        <f>IF(AllDataCorrected[[#This Row],[Nitrate (PPM)]]&gt;2, "4. Very high (&gt;2ppm)", IF(AllDataCorrected[[#This Row],[Nitrate (PPM)]]&gt;1, "3. High (1-2ppm)", IF(AllDataCorrected[[#This Row],[Nitrate (PPM)]]&gt;0.5, "2. Some evidence (0.5-1ppm)", IF(AllDataCorrected[[#This Row],[Nitrate (PPM)]]&gt;=0, "1. No evidence (&lt;0.5ppm)"))))</f>
        <v>4. Very high (&gt;2ppm)</v>
      </c>
      <c r="S349">
        <v>0.69</v>
      </c>
      <c r="T3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49">
        <v>0</v>
      </c>
    </row>
    <row r="350" spans="1:22" x14ac:dyDescent="0.35">
      <c r="A350" t="s">
        <v>570</v>
      </c>
      <c r="B350" s="2">
        <v>45312</v>
      </c>
      <c r="C350" t="str" cm="1">
        <f t="array" ref="C3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0">
        <v>2023</v>
      </c>
      <c r="E350" s="1">
        <v>0.54166666666666663</v>
      </c>
      <c r="F3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0" t="str">
        <f>_xlfn.XLOOKUP(AllDataCorrected[[#This Row],[Location Name]], Locations[Location Name],Locations[Group As])</f>
        <v>Hampton Lucy</v>
      </c>
      <c r="H350" t="e" vm="1">
        <f>_xlfn.XLOOKUP(AllDataCorrected[[#This Row],[Site Name]],LocationsKey[Site Name],LocationsKey[District])</f>
        <v>#VALUE!</v>
      </c>
      <c r="I350" t="e" vm="33">
        <f>_xlfn.XLOOKUP(AllDataCorrected[[#This Row],[Site Name]],LocationsKey[Site Name],LocationsKey[Town])</f>
        <v>#VALUE!</v>
      </c>
      <c r="J350" t="str">
        <f>_xlfn.XLOOKUP(AllDataCorrected[[#This Row],[Site Name]],LocationsKey[Site Name], LocationsKey[Waterway])</f>
        <v>Avon</v>
      </c>
      <c r="K350" t="s">
        <v>39</v>
      </c>
      <c r="L350">
        <f>_xlfn.XLOOKUP(AllDataCorrected[[#This Row],[Site Name]],Tables!$B$12:$B$100, Tables!C$12:C$100)</f>
        <v>52.211679999999973</v>
      </c>
      <c r="M350">
        <f>_xlfn.XLOOKUP(AllDataCorrected[[#This Row],[Site Name]],Tables!$B$12:$B$100, Tables!D$12:D$100)</f>
        <v>-1.6244400000000001</v>
      </c>
      <c r="N350" t="s">
        <v>25</v>
      </c>
      <c r="O350">
        <v>876</v>
      </c>
      <c r="P350">
        <v>7.6</v>
      </c>
      <c r="Q350">
        <v>10</v>
      </c>
      <c r="R350" t="str">
        <f>IF(AllDataCorrected[[#This Row],[Nitrate (PPM)]]&gt;2, "4. Very high (&gt;2ppm)", IF(AllDataCorrected[[#This Row],[Nitrate (PPM)]]&gt;1, "3. High (1-2ppm)", IF(AllDataCorrected[[#This Row],[Nitrate (PPM)]]&gt;0.5, "2. Some evidence (0.5-1ppm)", IF(AllDataCorrected[[#This Row],[Nitrate (PPM)]]&gt;=0, "1. No evidence (&lt;0.5ppm)"))))</f>
        <v>4. Very high (&gt;2ppm)</v>
      </c>
      <c r="S350">
        <v>0.61</v>
      </c>
      <c r="T3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0">
        <v>0</v>
      </c>
    </row>
    <row r="351" spans="1:22" x14ac:dyDescent="0.35">
      <c r="A351" t="s">
        <v>571</v>
      </c>
      <c r="B351" s="2">
        <v>45312</v>
      </c>
      <c r="C351" t="str" cm="1">
        <f t="array" ref="C3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1">
        <v>2023</v>
      </c>
      <c r="E351" s="1">
        <v>0.61736111111111114</v>
      </c>
      <c r="F3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1" t="str">
        <f>_xlfn.XLOOKUP(AllDataCorrected[[#This Row],[Location Name]], Locations[Location Name],Locations[Group As])</f>
        <v>Black Bear</v>
      </c>
      <c r="H351" t="e" vm="4">
        <f>_xlfn.XLOOKUP(AllDataCorrected[[#This Row],[Site Name]],LocationsKey[Site Name],LocationsKey[District])</f>
        <v>#VALUE!</v>
      </c>
      <c r="I351" t="e" vm="4">
        <f>_xlfn.XLOOKUP(AllDataCorrected[[#This Row],[Site Name]],LocationsKey[Site Name],LocationsKey[Town])</f>
        <v>#VALUE!</v>
      </c>
      <c r="J351" t="str">
        <f>_xlfn.XLOOKUP(AllDataCorrected[[#This Row],[Site Name]],LocationsKey[Site Name], LocationsKey[Waterway])</f>
        <v>Avon</v>
      </c>
      <c r="K351" t="s">
        <v>572</v>
      </c>
      <c r="L351">
        <f>_xlfn.XLOOKUP(AllDataCorrected[[#This Row],[Site Name]],Tables!$B$12:$B$100, Tables!C$12:C$100)</f>
        <v>51.997466254237274</v>
      </c>
      <c r="M351">
        <f>_xlfn.XLOOKUP(AllDataCorrected[[#This Row],[Site Name]],Tables!$B$12:$B$100, Tables!D$12:D$100)</f>
        <v>-2.1561788644067801</v>
      </c>
      <c r="N351" t="s">
        <v>25</v>
      </c>
      <c r="O351">
        <v>841</v>
      </c>
      <c r="P351">
        <v>6.8</v>
      </c>
      <c r="Q351">
        <v>8</v>
      </c>
      <c r="R351" t="str">
        <f>IF(AllDataCorrected[[#This Row],[Nitrate (PPM)]]&gt;2, "4. Very high (&gt;2ppm)", IF(AllDataCorrected[[#This Row],[Nitrate (PPM)]]&gt;1, "3. High (1-2ppm)", IF(AllDataCorrected[[#This Row],[Nitrate (PPM)]]&gt;0.5, "2. Some evidence (0.5-1ppm)", IF(AllDataCorrected[[#This Row],[Nitrate (PPM)]]&gt;=0, "1. No evidence (&lt;0.5ppm)"))))</f>
        <v>4. Very high (&gt;2ppm)</v>
      </c>
      <c r="S351">
        <v>1.01</v>
      </c>
      <c r="T3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1">
        <v>0</v>
      </c>
    </row>
    <row r="352" spans="1:22" x14ac:dyDescent="0.35">
      <c r="A352" t="s">
        <v>573</v>
      </c>
      <c r="B352" s="2">
        <v>45312</v>
      </c>
      <c r="C352" t="str" cm="1">
        <f t="array" ref="C3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2">
        <v>2023</v>
      </c>
      <c r="E352" s="1">
        <v>0.625</v>
      </c>
      <c r="F3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2" t="str">
        <f>_xlfn.XLOOKUP(AllDataCorrected[[#This Row],[Location Name]], Locations[Location Name],Locations[Group As])</f>
        <v>Bell Brook 1</v>
      </c>
      <c r="H352" t="e" vm="1">
        <f>_xlfn.XLOOKUP(AllDataCorrected[[#This Row],[Site Name]],LocationsKey[Site Name],LocationsKey[District])</f>
        <v>#VALUE!</v>
      </c>
      <c r="I352" t="e" vm="19">
        <f>_xlfn.XLOOKUP(AllDataCorrected[[#This Row],[Site Name]],LocationsKey[Site Name],LocationsKey[Town])</f>
        <v>#VALUE!</v>
      </c>
      <c r="J352" t="str">
        <f>_xlfn.XLOOKUP(AllDataCorrected[[#This Row],[Site Name]],LocationsKey[Site Name], LocationsKey[Waterway])</f>
        <v>Bell Brook</v>
      </c>
      <c r="K352" t="s">
        <v>538</v>
      </c>
      <c r="L352">
        <f>_xlfn.XLOOKUP(AllDataCorrected[[#This Row],[Site Name]],Tables!$B$12:$B$100, Tables!C$12:C$100)</f>
        <v>52.24489999999998</v>
      </c>
      <c r="M352">
        <f>_xlfn.XLOOKUP(AllDataCorrected[[#This Row],[Site Name]],Tables!$B$12:$B$100, Tables!D$12:D$100)</f>
        <v>-1.6617000000000013</v>
      </c>
      <c r="N352" t="s">
        <v>25</v>
      </c>
      <c r="O352">
        <v>736</v>
      </c>
      <c r="P352">
        <v>8.6999999999999993</v>
      </c>
      <c r="Q352">
        <v>8</v>
      </c>
      <c r="R352" t="str">
        <f>IF(AllDataCorrected[[#This Row],[Nitrate (PPM)]]&gt;2, "4. Very high (&gt;2ppm)", IF(AllDataCorrected[[#This Row],[Nitrate (PPM)]]&gt;1, "3. High (1-2ppm)", IF(AllDataCorrected[[#This Row],[Nitrate (PPM)]]&gt;0.5, "2. Some evidence (0.5-1ppm)", IF(AllDataCorrected[[#This Row],[Nitrate (PPM)]]&gt;=0, "1. No evidence (&lt;0.5ppm)"))))</f>
        <v>4. Very high (&gt;2ppm)</v>
      </c>
      <c r="S352">
        <v>0.45</v>
      </c>
      <c r="T3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2">
        <v>0.5</v>
      </c>
    </row>
    <row r="353" spans="1:22" x14ac:dyDescent="0.35">
      <c r="A353" t="s">
        <v>574</v>
      </c>
      <c r="B353" s="2">
        <v>45312</v>
      </c>
      <c r="C353" t="str" cm="1">
        <f t="array" ref="C3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3">
        <v>2023</v>
      </c>
      <c r="E353" s="1">
        <v>0.625</v>
      </c>
      <c r="F3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3" t="str">
        <f>_xlfn.XLOOKUP(AllDataCorrected[[#This Row],[Location Name]], Locations[Location Name],Locations[Group As])</f>
        <v>Sherbourne Brook 1</v>
      </c>
      <c r="H353" t="e" vm="1">
        <f>_xlfn.XLOOKUP(AllDataCorrected[[#This Row],[Site Name]],LocationsKey[Site Name],LocationsKey[District])</f>
        <v>#VALUE!</v>
      </c>
      <c r="I353" t="e" vm="23">
        <f>_xlfn.XLOOKUP(AllDataCorrected[[#This Row],[Site Name]],LocationsKey[Site Name],LocationsKey[Town])</f>
        <v>#VALUE!</v>
      </c>
      <c r="J353" t="str">
        <f>_xlfn.XLOOKUP(AllDataCorrected[[#This Row],[Site Name]],LocationsKey[Site Name], LocationsKey[Waterway])</f>
        <v>Sherbourne Brook</v>
      </c>
      <c r="K353" t="s">
        <v>541</v>
      </c>
      <c r="L353">
        <f>_xlfn.XLOOKUP(AllDataCorrected[[#This Row],[Site Name]],Tables!$B$12:$B$100, Tables!C$12:C$100)</f>
        <v>52.252500000000033</v>
      </c>
      <c r="M353">
        <f>_xlfn.XLOOKUP(AllDataCorrected[[#This Row],[Site Name]],Tables!$B$12:$B$100, Tables!D$12:D$100)</f>
        <v>-1.6685000000000012</v>
      </c>
      <c r="N353" t="s">
        <v>25</v>
      </c>
      <c r="O353">
        <v>1020</v>
      </c>
      <c r="P353">
        <v>8.8000000000000007</v>
      </c>
      <c r="Q353">
        <v>10</v>
      </c>
      <c r="R353" t="str">
        <f>IF(AllDataCorrected[[#This Row],[Nitrate (PPM)]]&gt;2, "4. Very high (&gt;2ppm)", IF(AllDataCorrected[[#This Row],[Nitrate (PPM)]]&gt;1, "3. High (1-2ppm)", IF(AllDataCorrected[[#This Row],[Nitrate (PPM)]]&gt;0.5, "2. Some evidence (0.5-1ppm)", IF(AllDataCorrected[[#This Row],[Nitrate (PPM)]]&gt;=0, "1. No evidence (&lt;0.5ppm)"))))</f>
        <v>4. Very high (&gt;2ppm)</v>
      </c>
      <c r="S353">
        <v>0.4</v>
      </c>
      <c r="T3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3">
        <v>0.5</v>
      </c>
    </row>
    <row r="354" spans="1:22" x14ac:dyDescent="0.35">
      <c r="A354" t="s">
        <v>575</v>
      </c>
      <c r="B354" s="2">
        <v>45312</v>
      </c>
      <c r="C354" t="str" cm="1">
        <f t="array" ref="C3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4">
        <v>2023</v>
      </c>
      <c r="E354" s="1">
        <v>0.6875</v>
      </c>
      <c r="F3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4" t="str">
        <f>_xlfn.XLOOKUP(AllDataCorrected[[#This Row],[Location Name]], Locations[Location Name],Locations[Group As])</f>
        <v>Avonbank Drive</v>
      </c>
      <c r="H354" t="e" vm="1">
        <f>_xlfn.XLOOKUP(AllDataCorrected[[#This Row],[Site Name]],LocationsKey[Site Name],LocationsKey[District])</f>
        <v>#VALUE!</v>
      </c>
      <c r="I354" t="e" vm="12">
        <f>_xlfn.XLOOKUP(AllDataCorrected[[#This Row],[Site Name]],LocationsKey[Site Name],LocationsKey[Town])</f>
        <v>#VALUE!</v>
      </c>
      <c r="J354" t="str">
        <f>_xlfn.XLOOKUP(AllDataCorrected[[#This Row],[Site Name]],LocationsKey[Site Name], LocationsKey[Waterway])</f>
        <v>Avon</v>
      </c>
      <c r="K354" t="s">
        <v>104</v>
      </c>
      <c r="L354">
        <f>_xlfn.XLOOKUP(AllDataCorrected[[#This Row],[Site Name]],Tables!$B$12:$B$100, Tables!C$12:C$100)</f>
        <v>51.566927775862098</v>
      </c>
      <c r="M354">
        <f>_xlfn.XLOOKUP(AllDataCorrected[[#This Row],[Site Name]],Tables!$B$12:$B$100, Tables!D$12:D$100)</f>
        <v>-7.2113336724137929</v>
      </c>
      <c r="N354" t="s">
        <v>68</v>
      </c>
      <c r="O354">
        <v>976</v>
      </c>
      <c r="P354">
        <v>15.2</v>
      </c>
      <c r="Q354">
        <v>5</v>
      </c>
      <c r="R354" t="str">
        <f>IF(AllDataCorrected[[#This Row],[Nitrate (PPM)]]&gt;2, "4. Very high (&gt;2ppm)", IF(AllDataCorrected[[#This Row],[Nitrate (PPM)]]&gt;1, "3. High (1-2ppm)", IF(AllDataCorrected[[#This Row],[Nitrate (PPM)]]&gt;0.5, "2. Some evidence (0.5-1ppm)", IF(AllDataCorrected[[#This Row],[Nitrate (PPM)]]&gt;=0, "1. No evidence (&lt;0.5ppm)"))))</f>
        <v>4. Very high (&gt;2ppm)</v>
      </c>
      <c r="S354">
        <v>0.49</v>
      </c>
      <c r="T35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4">
        <v>0.66</v>
      </c>
    </row>
    <row r="355" spans="1:22" x14ac:dyDescent="0.35">
      <c r="A355" t="s">
        <v>576</v>
      </c>
      <c r="B355" s="2">
        <v>45312</v>
      </c>
      <c r="C355" t="str" cm="1">
        <f t="array" ref="C3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5">
        <v>2023</v>
      </c>
      <c r="E355" s="1">
        <v>0.6875</v>
      </c>
      <c r="F3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55" t="str">
        <f>_xlfn.XLOOKUP(AllDataCorrected[[#This Row],[Location Name]], Locations[Location Name],Locations[Group As])</f>
        <v>Pitch 16</v>
      </c>
      <c r="H355" t="e" vm="1">
        <f>_xlfn.XLOOKUP(AllDataCorrected[[#This Row],[Site Name]],LocationsKey[Site Name],LocationsKey[District])</f>
        <v>#VALUE!</v>
      </c>
      <c r="I355" t="e" vm="12">
        <f>_xlfn.XLOOKUP(AllDataCorrected[[#This Row],[Site Name]],LocationsKey[Site Name],LocationsKey[Town])</f>
        <v>#VALUE!</v>
      </c>
      <c r="J355" t="str">
        <f>_xlfn.XLOOKUP(AllDataCorrected[[#This Row],[Site Name]],LocationsKey[Site Name], LocationsKey[Waterway])</f>
        <v>Avon</v>
      </c>
      <c r="K355" t="s">
        <v>71</v>
      </c>
      <c r="L355">
        <f>_xlfn.XLOOKUP(AllDataCorrected[[#This Row],[Site Name]],Tables!$B$12:$B$100, Tables!C$12:C$100)</f>
        <v>51.289310076923087</v>
      </c>
      <c r="M355">
        <f>_xlfn.XLOOKUP(AllDataCorrected[[#This Row],[Site Name]],Tables!$B$12:$B$100, Tables!D$12:D$100)</f>
        <v>-0.10399761538461544</v>
      </c>
      <c r="N355" t="s">
        <v>31</v>
      </c>
      <c r="O355">
        <v>933</v>
      </c>
      <c r="P355">
        <v>14.6</v>
      </c>
      <c r="Q355">
        <v>5</v>
      </c>
      <c r="R355" t="str">
        <f>IF(AllDataCorrected[[#This Row],[Nitrate (PPM)]]&gt;2, "4. Very high (&gt;2ppm)", IF(AllDataCorrected[[#This Row],[Nitrate (PPM)]]&gt;1, "3. High (1-2ppm)", IF(AllDataCorrected[[#This Row],[Nitrate (PPM)]]&gt;0.5, "2. Some evidence (0.5-1ppm)", IF(AllDataCorrected[[#This Row],[Nitrate (PPM)]]&gt;=0, "1. No evidence (&lt;0.5ppm)"))))</f>
        <v>4. Very high (&gt;2ppm)</v>
      </c>
      <c r="S355">
        <v>0.47</v>
      </c>
      <c r="T3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5">
        <v>0.66</v>
      </c>
    </row>
    <row r="356" spans="1:22" x14ac:dyDescent="0.35">
      <c r="A356" t="s">
        <v>577</v>
      </c>
      <c r="B356" s="2">
        <v>45313</v>
      </c>
      <c r="C356" t="str" cm="1">
        <f t="array" ref="C3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6">
        <v>2023</v>
      </c>
      <c r="E356" s="1">
        <v>0.38194444444444442</v>
      </c>
      <c r="F3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6" t="str">
        <f>_xlfn.XLOOKUP(AllDataCorrected[[#This Row],[Location Name]], Locations[Location Name],Locations[Group As])</f>
        <v>Alveston Weir</v>
      </c>
      <c r="H356" t="e" vm="1">
        <f>_xlfn.XLOOKUP(AllDataCorrected[[#This Row],[Site Name]],LocationsKey[Site Name],LocationsKey[District])</f>
        <v>#VALUE!</v>
      </c>
      <c r="I356" t="e" vm="2">
        <f>_xlfn.XLOOKUP(AllDataCorrected[[#This Row],[Site Name]],LocationsKey[Site Name],LocationsKey[Town])</f>
        <v>#VALUE!</v>
      </c>
      <c r="J356" t="str">
        <f>_xlfn.XLOOKUP(AllDataCorrected[[#This Row],[Site Name]],LocationsKey[Site Name], LocationsKey[Waterway])</f>
        <v>Avon</v>
      </c>
      <c r="K356" t="s">
        <v>288</v>
      </c>
      <c r="L356">
        <f>_xlfn.XLOOKUP(AllDataCorrected[[#This Row],[Site Name]],Tables!$B$12:$B$100, Tables!C$12:C$100)</f>
        <v>52.21226301333337</v>
      </c>
      <c r="M356">
        <f>_xlfn.XLOOKUP(AllDataCorrected[[#This Row],[Site Name]],Tables!$B$12:$B$100, Tables!D$12:D$100)</f>
        <v>-1.6595226800000011</v>
      </c>
      <c r="N356" t="s">
        <v>31</v>
      </c>
      <c r="O356">
        <v>716</v>
      </c>
      <c r="P356">
        <v>9.8000000000000007</v>
      </c>
      <c r="Q356">
        <v>5</v>
      </c>
      <c r="R356" t="str">
        <f>IF(AllDataCorrected[[#This Row],[Nitrate (PPM)]]&gt;2, "4. Very high (&gt;2ppm)", IF(AllDataCorrected[[#This Row],[Nitrate (PPM)]]&gt;1, "3. High (1-2ppm)", IF(AllDataCorrected[[#This Row],[Nitrate (PPM)]]&gt;0.5, "2. Some evidence (0.5-1ppm)", IF(AllDataCorrected[[#This Row],[Nitrate (PPM)]]&gt;=0, "1. No evidence (&lt;0.5ppm)"))))</f>
        <v>4. Very high (&gt;2ppm)</v>
      </c>
      <c r="S356">
        <v>0.59</v>
      </c>
      <c r="T3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6">
        <v>0</v>
      </c>
    </row>
    <row r="357" spans="1:22" x14ac:dyDescent="0.35">
      <c r="A357" t="s">
        <v>578</v>
      </c>
      <c r="B357" s="2">
        <v>45313</v>
      </c>
      <c r="C357" t="str" cm="1">
        <f t="array" ref="C3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7">
        <v>2023</v>
      </c>
      <c r="E357" s="1">
        <v>0.3923611111111111</v>
      </c>
      <c r="F3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7" t="str">
        <f>_xlfn.XLOOKUP(AllDataCorrected[[#This Row],[Location Name]], Locations[Location Name],Locations[Group As])</f>
        <v>Swiffen Bank</v>
      </c>
      <c r="H357" t="e" vm="1">
        <f>_xlfn.XLOOKUP(AllDataCorrected[[#This Row],[Site Name]],LocationsKey[Site Name],LocationsKey[District])</f>
        <v>#VALUE!</v>
      </c>
      <c r="I357" t="e" vm="2">
        <f>_xlfn.XLOOKUP(AllDataCorrected[[#This Row],[Site Name]],LocationsKey[Site Name],LocationsKey[Town])</f>
        <v>#VALUE!</v>
      </c>
      <c r="J357" t="str">
        <f>_xlfn.XLOOKUP(AllDataCorrected[[#This Row],[Site Name]],LocationsKey[Site Name], LocationsKey[Waterway])</f>
        <v>Avon</v>
      </c>
      <c r="K357" t="s">
        <v>286</v>
      </c>
      <c r="L357">
        <f>_xlfn.XLOOKUP(AllDataCorrected[[#This Row],[Site Name]],Tables!$B$12:$B$100, Tables!C$12:C$100)</f>
        <v>52.206649805555557</v>
      </c>
      <c r="M357">
        <f>_xlfn.XLOOKUP(AllDataCorrected[[#This Row],[Site Name]],Tables!$B$12:$B$100, Tables!D$12:D$100)</f>
        <v>-1.6541018611111094</v>
      </c>
      <c r="N357" t="s">
        <v>31</v>
      </c>
      <c r="O357">
        <v>701</v>
      </c>
      <c r="P357">
        <v>8</v>
      </c>
      <c r="Q357">
        <v>5</v>
      </c>
      <c r="R357" t="str">
        <f>IF(AllDataCorrected[[#This Row],[Nitrate (PPM)]]&gt;2, "4. Very high (&gt;2ppm)", IF(AllDataCorrected[[#This Row],[Nitrate (PPM)]]&gt;1, "3. High (1-2ppm)", IF(AllDataCorrected[[#This Row],[Nitrate (PPM)]]&gt;0.5, "2. Some evidence (0.5-1ppm)", IF(AllDataCorrected[[#This Row],[Nitrate (PPM)]]&gt;=0, "1. No evidence (&lt;0.5ppm)"))))</f>
        <v>4. Very high (&gt;2ppm)</v>
      </c>
      <c r="S357">
        <v>0.5</v>
      </c>
      <c r="T3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7">
        <v>0</v>
      </c>
    </row>
    <row r="358" spans="1:22" x14ac:dyDescent="0.35">
      <c r="A358" t="s">
        <v>579</v>
      </c>
      <c r="B358" s="2">
        <v>45313</v>
      </c>
      <c r="C358" t="str" cm="1">
        <f t="array" ref="C3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8">
        <v>2023</v>
      </c>
      <c r="E358" s="1">
        <v>0.40347222222222223</v>
      </c>
      <c r="F3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8" t="str">
        <f>_xlfn.XLOOKUP(AllDataCorrected[[#This Row],[Location Name]], Locations[Location Name],Locations[Group As])</f>
        <v>Stour Stretton-on-Fosse Village</v>
      </c>
      <c r="H358" t="e" vm="1">
        <f>_xlfn.XLOOKUP(AllDataCorrected[[#This Row],[Site Name]],LocationsKey[Site Name],LocationsKey[District])</f>
        <v>#VALUE!</v>
      </c>
      <c r="I358" t="e" vm="30">
        <f>_xlfn.XLOOKUP(AllDataCorrected[[#This Row],[Site Name]],LocationsKey[Site Name],LocationsKey[Town])</f>
        <v>#VALUE!</v>
      </c>
      <c r="J358" t="str">
        <f>_xlfn.XLOOKUP(AllDataCorrected[[#This Row],[Site Name]],LocationsKey[Site Name], LocationsKey[Waterway])</f>
        <v>Stour</v>
      </c>
      <c r="K358" t="s">
        <v>548</v>
      </c>
      <c r="L358">
        <f>_xlfn.XLOOKUP(AllDataCorrected[[#This Row],[Site Name]],Tables!$B$12:$B$100, Tables!C$12:C$100)</f>
        <v>52.046517558823531</v>
      </c>
      <c r="M358">
        <f>_xlfn.XLOOKUP(AllDataCorrected[[#This Row],[Site Name]],Tables!$B$12:$B$100, Tables!D$12:D$100)</f>
        <v>-1.6734143529411762</v>
      </c>
      <c r="N358" t="s">
        <v>68</v>
      </c>
      <c r="O358">
        <v>376</v>
      </c>
      <c r="P358">
        <v>7.1</v>
      </c>
      <c r="Q358">
        <v>2</v>
      </c>
      <c r="R358" t="str">
        <f>IF(AllDataCorrected[[#This Row],[Nitrate (PPM)]]&gt;2, "4. Very high (&gt;2ppm)", IF(AllDataCorrected[[#This Row],[Nitrate (PPM)]]&gt;1, "3. High (1-2ppm)", IF(AllDataCorrected[[#This Row],[Nitrate (PPM)]]&gt;0.5, "2. Some evidence (0.5-1ppm)", IF(AllDataCorrected[[#This Row],[Nitrate (PPM)]]&gt;=0, "1. No evidence (&lt;0.5ppm)"))))</f>
        <v>3. High (1-2ppm)</v>
      </c>
      <c r="S358">
        <v>0.49</v>
      </c>
      <c r="T3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58">
        <v>0.35</v>
      </c>
      <c r="V358" t="s">
        <v>580</v>
      </c>
    </row>
    <row r="359" spans="1:22" x14ac:dyDescent="0.35">
      <c r="A359" t="s">
        <v>581</v>
      </c>
      <c r="B359" s="2">
        <v>45313</v>
      </c>
      <c r="C359" t="str" cm="1">
        <f t="array" ref="C3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59">
        <v>2023</v>
      </c>
      <c r="E359" s="1">
        <v>0.41805555555555557</v>
      </c>
      <c r="F3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59" t="str">
        <f>_xlfn.XLOOKUP(AllDataCorrected[[#This Row],[Location Name]], Locations[Location Name],Locations[Group As])</f>
        <v>Stour Stretton-on-Fosse Sewage Works</v>
      </c>
      <c r="H359" t="e" vm="1">
        <f>_xlfn.XLOOKUP(AllDataCorrected[[#This Row],[Site Name]],LocationsKey[Site Name],LocationsKey[District])</f>
        <v>#VALUE!</v>
      </c>
      <c r="I359" t="e" vm="30">
        <f>_xlfn.XLOOKUP(AllDataCorrected[[#This Row],[Site Name]],LocationsKey[Site Name],LocationsKey[Town])</f>
        <v>#VALUE!</v>
      </c>
      <c r="J359" t="str">
        <f>_xlfn.XLOOKUP(AllDataCorrected[[#This Row],[Site Name]],LocationsKey[Site Name], LocationsKey[Waterway])</f>
        <v>Stour</v>
      </c>
      <c r="K359" t="s">
        <v>337</v>
      </c>
      <c r="L359">
        <f>_xlfn.XLOOKUP(AllDataCorrected[[#This Row],[Site Name]],Tables!$B$12:$B$100, Tables!C$12:C$100)</f>
        <v>52.045653647058828</v>
      </c>
      <c r="M359">
        <f>_xlfn.XLOOKUP(AllDataCorrected[[#This Row],[Site Name]],Tables!$B$12:$B$100, Tables!D$12:D$100)</f>
        <v>-1.6719221470588239</v>
      </c>
      <c r="N359" t="s">
        <v>31</v>
      </c>
      <c r="O359">
        <v>369</v>
      </c>
      <c r="P359">
        <v>6.5</v>
      </c>
      <c r="Q359">
        <v>3.5</v>
      </c>
      <c r="R359" t="str">
        <f>IF(AllDataCorrected[[#This Row],[Nitrate (PPM)]]&gt;2, "4. Very high (&gt;2ppm)", IF(AllDataCorrected[[#This Row],[Nitrate (PPM)]]&gt;1, "3. High (1-2ppm)", IF(AllDataCorrected[[#This Row],[Nitrate (PPM)]]&gt;0.5, "2. Some evidence (0.5-1ppm)", IF(AllDataCorrected[[#This Row],[Nitrate (PPM)]]&gt;=0, "1. No evidence (&lt;0.5ppm)"))))</f>
        <v>4. Very high (&gt;2ppm)</v>
      </c>
      <c r="S359">
        <v>0.71</v>
      </c>
      <c r="T3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59">
        <v>0.45</v>
      </c>
      <c r="V359" t="s">
        <v>582</v>
      </c>
    </row>
    <row r="360" spans="1:22" x14ac:dyDescent="0.35">
      <c r="A360" t="s">
        <v>583</v>
      </c>
      <c r="B360" s="2">
        <v>45313</v>
      </c>
      <c r="C360" t="str" cm="1">
        <f t="array" ref="C3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0">
        <v>2023</v>
      </c>
      <c r="E360" s="1">
        <v>0.49236111111111114</v>
      </c>
      <c r="F3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0" t="str">
        <f>_xlfn.XLOOKUP(AllDataCorrected[[#This Row],[Location Name]], Locations[Location Name],Locations[Group As])</f>
        <v>Pershore Bridges</v>
      </c>
      <c r="H360" t="e" vm="6">
        <f>_xlfn.XLOOKUP(AllDataCorrected[[#This Row],[Site Name]],LocationsKey[Site Name],LocationsKey[District])</f>
        <v>#VALUE!</v>
      </c>
      <c r="I360" t="e" vm="7">
        <f>_xlfn.XLOOKUP(AllDataCorrected[[#This Row],[Site Name]],LocationsKey[Site Name],LocationsKey[Town])</f>
        <v>#VALUE!</v>
      </c>
      <c r="J360" t="str">
        <f>_xlfn.XLOOKUP(AllDataCorrected[[#This Row],[Site Name]],LocationsKey[Site Name], LocationsKey[Waterway])</f>
        <v>Avon</v>
      </c>
      <c r="K360" t="s">
        <v>584</v>
      </c>
      <c r="L360">
        <f>_xlfn.XLOOKUP(AllDataCorrected[[#This Row],[Site Name]],Tables!$B$12:$B$100, Tables!C$12:C$100)</f>
        <v>52.104196285714281</v>
      </c>
      <c r="M360">
        <f>_xlfn.XLOOKUP(AllDataCorrected[[#This Row],[Site Name]],Tables!$B$12:$B$100, Tables!D$12:D$100)</f>
        <v>-2.0709292857142851</v>
      </c>
      <c r="O360">
        <v>925</v>
      </c>
      <c r="P360">
        <v>10.9</v>
      </c>
      <c r="Q360">
        <v>10</v>
      </c>
      <c r="R360" t="str">
        <f>IF(AllDataCorrected[[#This Row],[Nitrate (PPM)]]&gt;2, "4. Very high (&gt;2ppm)", IF(AllDataCorrected[[#This Row],[Nitrate (PPM)]]&gt;1, "3. High (1-2ppm)", IF(AllDataCorrected[[#This Row],[Nitrate (PPM)]]&gt;0.5, "2. Some evidence (0.5-1ppm)", IF(AllDataCorrected[[#This Row],[Nitrate (PPM)]]&gt;=0, "1. No evidence (&lt;0.5ppm)"))))</f>
        <v>4. Very high (&gt;2ppm)</v>
      </c>
      <c r="S360">
        <v>0.73</v>
      </c>
      <c r="T3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0">
        <v>3.46</v>
      </c>
    </row>
    <row r="361" spans="1:22" x14ac:dyDescent="0.35">
      <c r="A361" t="s">
        <v>585</v>
      </c>
      <c r="B361" s="2">
        <v>45313</v>
      </c>
      <c r="C361" t="str" cm="1">
        <f t="array" ref="C3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1">
        <v>2023</v>
      </c>
      <c r="E361" s="1">
        <v>0.50069444444444444</v>
      </c>
      <c r="F3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1" t="str">
        <f>_xlfn.XLOOKUP(AllDataCorrected[[#This Row],[Location Name]], Locations[Location Name],Locations[Group As])</f>
        <v>Pershore Leisure Centre</v>
      </c>
      <c r="H361" t="e" vm="6">
        <f>_xlfn.XLOOKUP(AllDataCorrected[[#This Row],[Site Name]],LocationsKey[Site Name],LocationsKey[District])</f>
        <v>#VALUE!</v>
      </c>
      <c r="I361" t="e" vm="7">
        <f>_xlfn.XLOOKUP(AllDataCorrected[[#This Row],[Site Name]],LocationsKey[Site Name],LocationsKey[Town])</f>
        <v>#VALUE!</v>
      </c>
      <c r="J361" t="str">
        <f>_xlfn.XLOOKUP(AllDataCorrected[[#This Row],[Site Name]],LocationsKey[Site Name], LocationsKey[Waterway])</f>
        <v>Avon</v>
      </c>
      <c r="K361" t="s">
        <v>586</v>
      </c>
      <c r="L361">
        <f>_xlfn.XLOOKUP(AllDataCorrected[[#This Row],[Site Name]],Tables!$B$12:$B$100, Tables!C$12:C$100)</f>
        <v>52.108220000000003</v>
      </c>
      <c r="M361">
        <f>_xlfn.XLOOKUP(AllDataCorrected[[#This Row],[Site Name]],Tables!$B$12:$B$100, Tables!D$12:D$100)</f>
        <v>-2.0715195</v>
      </c>
      <c r="O361">
        <v>930</v>
      </c>
      <c r="P361">
        <v>9.9</v>
      </c>
      <c r="Q361">
        <v>10</v>
      </c>
      <c r="R361" t="str">
        <f>IF(AllDataCorrected[[#This Row],[Nitrate (PPM)]]&gt;2, "4. Very high (&gt;2ppm)", IF(AllDataCorrected[[#This Row],[Nitrate (PPM)]]&gt;1, "3. High (1-2ppm)", IF(AllDataCorrected[[#This Row],[Nitrate (PPM)]]&gt;0.5, "2. Some evidence (0.5-1ppm)", IF(AllDataCorrected[[#This Row],[Nitrate (PPM)]]&gt;=0, "1. No evidence (&lt;0.5ppm)"))))</f>
        <v>4. Very high (&gt;2ppm)</v>
      </c>
      <c r="S361">
        <v>0.66</v>
      </c>
      <c r="T3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1">
        <v>3.46</v>
      </c>
    </row>
    <row r="362" spans="1:22" x14ac:dyDescent="0.35">
      <c r="A362" t="s">
        <v>587</v>
      </c>
      <c r="B362" s="2">
        <v>45315</v>
      </c>
      <c r="C362" t="str" cm="1">
        <f t="array" ref="C3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2">
        <v>2023</v>
      </c>
      <c r="E362" s="1">
        <v>0.64583333333333337</v>
      </c>
      <c r="F3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2" t="str">
        <f>_xlfn.XLOOKUP(AllDataCorrected[[#This Row],[Location Name]], Locations[Location Name],Locations[Group As])</f>
        <v>Stour Newbold Mill</v>
      </c>
      <c r="H362" t="e" vm="1">
        <f>_xlfn.XLOOKUP(AllDataCorrected[[#This Row],[Site Name]],LocationsKey[Site Name],LocationsKey[District])</f>
        <v>#VALUE!</v>
      </c>
      <c r="I362" t="e" vm="27">
        <f>_xlfn.XLOOKUP(AllDataCorrected[[#This Row],[Site Name]],LocationsKey[Site Name],LocationsKey[Town])</f>
        <v>#VALUE!</v>
      </c>
      <c r="J362" t="str">
        <f>_xlfn.XLOOKUP(AllDataCorrected[[#This Row],[Site Name]],LocationsKey[Site Name], LocationsKey[Waterway])</f>
        <v>Stour</v>
      </c>
      <c r="K362" t="s">
        <v>141</v>
      </c>
      <c r="L362">
        <f>_xlfn.XLOOKUP(AllDataCorrected[[#This Row],[Site Name]],Tables!$B$12:$B$100, Tables!C$12:C$100)</f>
        <v>52.113052370370369</v>
      </c>
      <c r="M362">
        <f>_xlfn.XLOOKUP(AllDataCorrected[[#This Row],[Site Name]],Tables!$B$12:$B$100, Tables!D$12:D$100)</f>
        <v>-1.6333685185185181</v>
      </c>
      <c r="N362" t="s">
        <v>31</v>
      </c>
      <c r="O362">
        <v>621</v>
      </c>
      <c r="P362">
        <v>9.8000000000000007</v>
      </c>
      <c r="Q362">
        <v>5</v>
      </c>
      <c r="R362" t="str">
        <f>IF(AllDataCorrected[[#This Row],[Nitrate (PPM)]]&gt;2, "4. Very high (&gt;2ppm)", IF(AllDataCorrected[[#This Row],[Nitrate (PPM)]]&gt;1, "3. High (1-2ppm)", IF(AllDataCorrected[[#This Row],[Nitrate (PPM)]]&gt;0.5, "2. Some evidence (0.5-1ppm)", IF(AllDataCorrected[[#This Row],[Nitrate (PPM)]]&gt;=0, "1. No evidence (&lt;0.5ppm)"))))</f>
        <v>4. Very high (&gt;2ppm)</v>
      </c>
      <c r="S362">
        <v>0.38</v>
      </c>
      <c r="T3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2">
        <v>2.5</v>
      </c>
      <c r="V362" t="s">
        <v>588</v>
      </c>
    </row>
    <row r="363" spans="1:22" x14ac:dyDescent="0.35">
      <c r="A363" t="s">
        <v>589</v>
      </c>
      <c r="B363" s="2">
        <v>45316</v>
      </c>
      <c r="C363" t="str" cm="1">
        <f t="array" ref="C3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3">
        <v>2023</v>
      </c>
      <c r="E363" s="1">
        <v>0.4236111111111111</v>
      </c>
      <c r="F3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3" t="str">
        <f>_xlfn.XLOOKUP(AllDataCorrected[[#This Row],[Location Name]], Locations[Location Name],Locations[Group As])</f>
        <v>Stour Willington</v>
      </c>
      <c r="H363" t="e" vm="1">
        <f>_xlfn.XLOOKUP(AllDataCorrected[[#This Row],[Site Name]],LocationsKey[Site Name],LocationsKey[District])</f>
        <v>#VALUE!</v>
      </c>
      <c r="I363" t="str">
        <f>_xlfn.XLOOKUP(AllDataCorrected[[#This Row],[Site Name]],LocationsKey[Site Name],LocationsKey[Town])</f>
        <v>Willington</v>
      </c>
      <c r="J363" t="str">
        <f>_xlfn.XLOOKUP(AllDataCorrected[[#This Row],[Site Name]],LocationsKey[Site Name], LocationsKey[Waterway])</f>
        <v>Stour</v>
      </c>
      <c r="K363" t="s">
        <v>521</v>
      </c>
      <c r="L363">
        <f>_xlfn.XLOOKUP(AllDataCorrected[[#This Row],[Site Name]],Tables!$B$12:$B$100, Tables!C$12:C$100)</f>
        <v>52.053227523809518</v>
      </c>
      <c r="M363">
        <f>_xlfn.XLOOKUP(AllDataCorrected[[#This Row],[Site Name]],Tables!$B$12:$B$100, Tables!D$12:D$100)</f>
        <v>-1.6194739523809523</v>
      </c>
      <c r="N363" t="s">
        <v>25</v>
      </c>
      <c r="O363">
        <v>620</v>
      </c>
      <c r="P363">
        <v>11.6</v>
      </c>
      <c r="Q363">
        <v>2</v>
      </c>
      <c r="R363" t="str">
        <f>IF(AllDataCorrected[[#This Row],[Nitrate (PPM)]]&gt;2, "4. Very high (&gt;2ppm)", IF(AllDataCorrected[[#This Row],[Nitrate (PPM)]]&gt;1, "3. High (1-2ppm)", IF(AllDataCorrected[[#This Row],[Nitrate (PPM)]]&gt;0.5, "2. Some evidence (0.5-1ppm)", IF(AllDataCorrected[[#This Row],[Nitrate (PPM)]]&gt;=0, "1. No evidence (&lt;0.5ppm)"))))</f>
        <v>3. High (1-2ppm)</v>
      </c>
      <c r="S363">
        <v>0.23</v>
      </c>
      <c r="T3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3">
        <v>0.5</v>
      </c>
      <c r="V363" t="s">
        <v>590</v>
      </c>
    </row>
    <row r="364" spans="1:22" x14ac:dyDescent="0.35">
      <c r="A364" t="s">
        <v>591</v>
      </c>
      <c r="B364" s="2">
        <v>45316</v>
      </c>
      <c r="C364" t="str" cm="1">
        <f t="array" ref="C3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4">
        <v>2023</v>
      </c>
      <c r="E364" s="1">
        <v>0.4375</v>
      </c>
      <c r="F3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4" t="str">
        <f>_xlfn.XLOOKUP(AllDataCorrected[[#This Row],[Location Name]], Locations[Location Name],Locations[Group As])</f>
        <v>Swilgate</v>
      </c>
      <c r="H364" t="e" vm="4">
        <f>_xlfn.XLOOKUP(AllDataCorrected[[#This Row],[Site Name]],LocationsKey[Site Name],LocationsKey[District])</f>
        <v>#VALUE!</v>
      </c>
      <c r="I364" t="e" vm="4">
        <f>_xlfn.XLOOKUP(AllDataCorrected[[#This Row],[Site Name]],LocationsKey[Site Name],LocationsKey[Town])</f>
        <v>#VALUE!</v>
      </c>
      <c r="J364" t="str">
        <f>_xlfn.XLOOKUP(AllDataCorrected[[#This Row],[Site Name]],LocationsKey[Site Name], LocationsKey[Waterway])</f>
        <v>Swilgate</v>
      </c>
      <c r="K364" t="s">
        <v>85</v>
      </c>
      <c r="L364">
        <f>_xlfn.XLOOKUP(AllDataCorrected[[#This Row],[Site Name]],Tables!$B$12:$B$100, Tables!C$12:C$100)</f>
        <v>51.988591500000005</v>
      </c>
      <c r="M364">
        <f>_xlfn.XLOOKUP(AllDataCorrected[[#This Row],[Site Name]],Tables!$B$12:$B$100, Tables!D$12:D$100)</f>
        <v>-2.163898333333333</v>
      </c>
      <c r="N364" t="s">
        <v>25</v>
      </c>
      <c r="O364">
        <v>999</v>
      </c>
      <c r="P364">
        <v>9.6999999999999993</v>
      </c>
      <c r="Q364">
        <v>3</v>
      </c>
      <c r="R364" t="str">
        <f>IF(AllDataCorrected[[#This Row],[Nitrate (PPM)]]&gt;2, "4. Very high (&gt;2ppm)", IF(AllDataCorrected[[#This Row],[Nitrate (PPM)]]&gt;1, "3. High (1-2ppm)", IF(AllDataCorrected[[#This Row],[Nitrate (PPM)]]&gt;0.5, "2. Some evidence (0.5-1ppm)", IF(AllDataCorrected[[#This Row],[Nitrate (PPM)]]&gt;=0, "1. No evidence (&lt;0.5ppm)"))))</f>
        <v>4. Very high (&gt;2ppm)</v>
      </c>
      <c r="S364">
        <v>0.42</v>
      </c>
      <c r="T3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4">
        <v>1</v>
      </c>
      <c r="V364" t="s">
        <v>592</v>
      </c>
    </row>
    <row r="365" spans="1:22" x14ac:dyDescent="0.35">
      <c r="A365" t="s">
        <v>593</v>
      </c>
      <c r="B365" s="2">
        <v>45316</v>
      </c>
      <c r="C365" t="str" cm="1">
        <f t="array" ref="C3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5">
        <v>2023</v>
      </c>
      <c r="E365" s="1">
        <v>0.57847222222222228</v>
      </c>
      <c r="F3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5" t="str">
        <f>_xlfn.XLOOKUP(AllDataCorrected[[#This Row],[Location Name]], Locations[Location Name],Locations[Group As])</f>
        <v>Preston-on-Stour River Bridge</v>
      </c>
      <c r="H365" t="e" vm="1">
        <f>_xlfn.XLOOKUP(AllDataCorrected[[#This Row],[Site Name]],LocationsKey[Site Name],LocationsKey[District])</f>
        <v>#VALUE!</v>
      </c>
      <c r="I365" t="e" vm="20">
        <f>_xlfn.XLOOKUP(AllDataCorrected[[#This Row],[Site Name]],LocationsKey[Site Name],LocationsKey[Town])</f>
        <v>#VALUE!</v>
      </c>
      <c r="J365" t="str">
        <f>_xlfn.XLOOKUP(AllDataCorrected[[#This Row],[Site Name]],LocationsKey[Site Name], LocationsKey[Waterway])</f>
        <v>Stour</v>
      </c>
      <c r="K365" t="s">
        <v>164</v>
      </c>
      <c r="L365">
        <f>_xlfn.XLOOKUP(AllDataCorrected[[#This Row],[Site Name]],Tables!$B$12:$B$100, Tables!C$12:C$100)</f>
        <v>52.146672352941174</v>
      </c>
      <c r="M365">
        <f>_xlfn.XLOOKUP(AllDataCorrected[[#This Row],[Site Name]],Tables!$B$12:$B$100, Tables!D$12:D$100)</f>
        <v>-1.6984533333333334</v>
      </c>
      <c r="N365" t="s">
        <v>31</v>
      </c>
      <c r="O365">
        <v>653</v>
      </c>
      <c r="P365">
        <v>9.5</v>
      </c>
      <c r="Q365">
        <v>5</v>
      </c>
      <c r="R365" t="str">
        <f>IF(AllDataCorrected[[#This Row],[Nitrate (PPM)]]&gt;2, "4. Very high (&gt;2ppm)", IF(AllDataCorrected[[#This Row],[Nitrate (PPM)]]&gt;1, "3. High (1-2ppm)", IF(AllDataCorrected[[#This Row],[Nitrate (PPM)]]&gt;0.5, "2. Some evidence (0.5-1ppm)", IF(AllDataCorrected[[#This Row],[Nitrate (PPM)]]&gt;=0, "1. No evidence (&lt;0.5ppm)"))))</f>
        <v>4. Very high (&gt;2ppm)</v>
      </c>
      <c r="S365">
        <v>0.26</v>
      </c>
      <c r="T3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5">
        <v>1.5</v>
      </c>
    </row>
    <row r="366" spans="1:22" x14ac:dyDescent="0.35">
      <c r="A366" t="s">
        <v>594</v>
      </c>
      <c r="B366" s="2">
        <v>45317</v>
      </c>
      <c r="C366" t="str" cm="1">
        <f t="array" ref="C3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6">
        <v>2023</v>
      </c>
      <c r="E366" s="1">
        <v>0.45902777777777776</v>
      </c>
      <c r="F3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6" t="str">
        <f>_xlfn.XLOOKUP(AllDataCorrected[[#This Row],[Location Name]], Locations[Location Name],Locations[Group As])</f>
        <v>Lower Lode</v>
      </c>
      <c r="H366" t="e" vm="4">
        <f>_xlfn.XLOOKUP(AllDataCorrected[[#This Row],[Site Name]],LocationsKey[Site Name],LocationsKey[District])</f>
        <v>#VALUE!</v>
      </c>
      <c r="I366" t="e" vm="4">
        <f>_xlfn.XLOOKUP(AllDataCorrected[[#This Row],[Site Name]],LocationsKey[Site Name],LocationsKey[Town])</f>
        <v>#VALUE!</v>
      </c>
      <c r="J366" t="str">
        <f>_xlfn.XLOOKUP(AllDataCorrected[[#This Row],[Site Name]],LocationsKey[Site Name], LocationsKey[Waterway])</f>
        <v>Avon</v>
      </c>
      <c r="K366" t="s">
        <v>595</v>
      </c>
      <c r="L366">
        <f>_xlfn.XLOOKUP(AllDataCorrected[[#This Row],[Site Name]],Tables!$B$12:$B$100, Tables!C$12:C$100)</f>
        <v>51.984916745098026</v>
      </c>
      <c r="M366">
        <f>_xlfn.XLOOKUP(AllDataCorrected[[#This Row],[Site Name]],Tables!$B$12:$B$100, Tables!D$12:D$100)</f>
        <v>-2.1745787647058821</v>
      </c>
      <c r="N366" t="s">
        <v>31</v>
      </c>
      <c r="O366">
        <v>822</v>
      </c>
      <c r="P366">
        <v>9</v>
      </c>
      <c r="Q366">
        <v>10</v>
      </c>
      <c r="R366" t="str">
        <f>IF(AllDataCorrected[[#This Row],[Nitrate (PPM)]]&gt;2, "4. Very high (&gt;2ppm)", IF(AllDataCorrected[[#This Row],[Nitrate (PPM)]]&gt;1, "3. High (1-2ppm)", IF(AllDataCorrected[[#This Row],[Nitrate (PPM)]]&gt;0.5, "2. Some evidence (0.5-1ppm)", IF(AllDataCorrected[[#This Row],[Nitrate (PPM)]]&gt;=0, "1. No evidence (&lt;0.5ppm)"))))</f>
        <v>4. Very high (&gt;2ppm)</v>
      </c>
      <c r="S366">
        <v>0.28999999999999998</v>
      </c>
      <c r="T3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66">
        <v>2</v>
      </c>
      <c r="V366" t="s">
        <v>596</v>
      </c>
    </row>
    <row r="367" spans="1:22" x14ac:dyDescent="0.35">
      <c r="A367" t="s">
        <v>597</v>
      </c>
      <c r="B367" s="2">
        <v>45317</v>
      </c>
      <c r="C367" t="str" cm="1">
        <f t="array" ref="C3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7">
        <v>2023</v>
      </c>
      <c r="E367" s="1">
        <v>0.64236111111111116</v>
      </c>
      <c r="F36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67" t="str">
        <f>_xlfn.XLOOKUP(AllDataCorrected[[#This Row],[Location Name]], Locations[Location Name],Locations[Group As])</f>
        <v>Twyning Fleet</v>
      </c>
      <c r="H367" t="e" vm="4">
        <f>_xlfn.XLOOKUP(AllDataCorrected[[#This Row],[Site Name]],LocationsKey[Site Name],LocationsKey[District])</f>
        <v>#VALUE!</v>
      </c>
      <c r="I367" t="str">
        <f>_xlfn.XLOOKUP(AllDataCorrected[[#This Row],[Site Name]],LocationsKey[Site Name],LocationsKey[Town])</f>
        <v>Twyning Green</v>
      </c>
      <c r="J367" t="str">
        <f>_xlfn.XLOOKUP(AllDataCorrected[[#This Row],[Site Name]],LocationsKey[Site Name], LocationsKey[Waterway])</f>
        <v>Avon</v>
      </c>
      <c r="K367" t="s">
        <v>56</v>
      </c>
      <c r="L367">
        <f>_xlfn.XLOOKUP(AllDataCorrected[[#This Row],[Site Name]],Tables!$B$12:$B$100, Tables!C$12:C$100)</f>
        <v>52.027216452380941</v>
      </c>
      <c r="M367">
        <f>_xlfn.XLOOKUP(AllDataCorrected[[#This Row],[Site Name]],Tables!$B$12:$B$100, Tables!D$12:D$100)</f>
        <v>-2.140853452380953</v>
      </c>
      <c r="N367" t="s">
        <v>31</v>
      </c>
      <c r="O367">
        <v>1580</v>
      </c>
      <c r="P367">
        <v>10.4</v>
      </c>
      <c r="Q367">
        <v>3</v>
      </c>
      <c r="R367" t="str">
        <f>IF(AllDataCorrected[[#This Row],[Nitrate (PPM)]]&gt;2, "4. Very high (&gt;2ppm)", IF(AllDataCorrected[[#This Row],[Nitrate (PPM)]]&gt;1, "3. High (1-2ppm)", IF(AllDataCorrected[[#This Row],[Nitrate (PPM)]]&gt;0.5, "2. Some evidence (0.5-1ppm)", IF(AllDataCorrected[[#This Row],[Nitrate (PPM)]]&gt;=0, "1. No evidence (&lt;0.5ppm)"))))</f>
        <v>4. Very high (&gt;2ppm)</v>
      </c>
      <c r="S367">
        <v>0.68</v>
      </c>
      <c r="T3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7">
        <v>0</v>
      </c>
      <c r="V367" t="s">
        <v>598</v>
      </c>
    </row>
    <row r="368" spans="1:22" x14ac:dyDescent="0.35">
      <c r="A368" t="s">
        <v>599</v>
      </c>
      <c r="B368" s="2">
        <v>45318</v>
      </c>
      <c r="C368" t="str" cm="1">
        <f t="array" ref="C3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8">
        <v>2023</v>
      </c>
      <c r="E368" s="1">
        <v>0.46458333333333335</v>
      </c>
      <c r="F3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8" t="str">
        <f>_xlfn.XLOOKUP(AllDataCorrected[[#This Row],[Location Name]], Locations[Location Name],Locations[Group As])</f>
        <v>The Ford, Langley</v>
      </c>
      <c r="H368" t="e" vm="1">
        <f>_xlfn.XLOOKUP(AllDataCorrected[[#This Row],[Site Name]],LocationsKey[Site Name],LocationsKey[District])</f>
        <v>#VALUE!</v>
      </c>
      <c r="I368" t="str">
        <f>_xlfn.XLOOKUP(AllDataCorrected[[#This Row],[Site Name]],LocationsKey[Site Name],LocationsKey[Town])</f>
        <v>Langley</v>
      </c>
      <c r="J368" t="str">
        <f>_xlfn.XLOOKUP(AllDataCorrected[[#This Row],[Site Name]],LocationsKey[Site Name], LocationsKey[Waterway])</f>
        <v>Langley Ford</v>
      </c>
      <c r="K368" t="s">
        <v>561</v>
      </c>
      <c r="L368">
        <f>_xlfn.XLOOKUP(AllDataCorrected[[#This Row],[Site Name]],Tables!$B$12:$B$100, Tables!C$12:C$100)</f>
        <v>52.262666528301864</v>
      </c>
      <c r="M368">
        <f>_xlfn.XLOOKUP(AllDataCorrected[[#This Row],[Site Name]],Tables!$B$12:$B$100, Tables!D$12:D$100)</f>
        <v>-1.6545845283018858</v>
      </c>
      <c r="N368" t="s">
        <v>31</v>
      </c>
      <c r="O368">
        <v>705</v>
      </c>
      <c r="P368">
        <v>6.9</v>
      </c>
      <c r="Q368">
        <v>5</v>
      </c>
      <c r="R368" t="str">
        <f>IF(AllDataCorrected[[#This Row],[Nitrate (PPM)]]&gt;2, "4. Very high (&gt;2ppm)", IF(AllDataCorrected[[#This Row],[Nitrate (PPM)]]&gt;1, "3. High (1-2ppm)", IF(AllDataCorrected[[#This Row],[Nitrate (PPM)]]&gt;0.5, "2. Some evidence (0.5-1ppm)", IF(AllDataCorrected[[#This Row],[Nitrate (PPM)]]&gt;=0, "1. No evidence (&lt;0.5ppm)"))))</f>
        <v>4. Very high (&gt;2ppm)</v>
      </c>
      <c r="S368">
        <v>0.62</v>
      </c>
      <c r="T3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8">
        <v>0.32</v>
      </c>
      <c r="V368" t="s">
        <v>600</v>
      </c>
    </row>
    <row r="369" spans="1:22" x14ac:dyDescent="0.35">
      <c r="A369" t="s">
        <v>601</v>
      </c>
      <c r="B369" s="2">
        <v>45318</v>
      </c>
      <c r="C369" t="str" cm="1">
        <f t="array" ref="C3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69">
        <v>2023</v>
      </c>
      <c r="E369" s="1">
        <v>0.46805555555555556</v>
      </c>
      <c r="F3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69" t="str">
        <f>_xlfn.XLOOKUP(AllDataCorrected[[#This Row],[Location Name]], Locations[Location Name],Locations[Group As])</f>
        <v>Black Bear</v>
      </c>
      <c r="H369" t="e" vm="4">
        <f>_xlfn.XLOOKUP(AllDataCorrected[[#This Row],[Site Name]],LocationsKey[Site Name],LocationsKey[District])</f>
        <v>#VALUE!</v>
      </c>
      <c r="I369" t="e" vm="4">
        <f>_xlfn.XLOOKUP(AllDataCorrected[[#This Row],[Site Name]],LocationsKey[Site Name],LocationsKey[Town])</f>
        <v>#VALUE!</v>
      </c>
      <c r="J369" t="str">
        <f>_xlfn.XLOOKUP(AllDataCorrected[[#This Row],[Site Name]],LocationsKey[Site Name], LocationsKey[Waterway])</f>
        <v>Avon</v>
      </c>
      <c r="K369" t="s">
        <v>572</v>
      </c>
      <c r="L369">
        <f>_xlfn.XLOOKUP(AllDataCorrected[[#This Row],[Site Name]],Tables!$B$12:$B$100, Tables!C$12:C$100)</f>
        <v>51.997466254237274</v>
      </c>
      <c r="M369">
        <f>_xlfn.XLOOKUP(AllDataCorrected[[#This Row],[Site Name]],Tables!$B$12:$B$100, Tables!D$12:D$100)</f>
        <v>-2.1561788644067801</v>
      </c>
      <c r="N369" t="s">
        <v>25</v>
      </c>
      <c r="O369">
        <v>834</v>
      </c>
      <c r="P369">
        <v>8.3000000000000007</v>
      </c>
      <c r="Q369">
        <v>9</v>
      </c>
      <c r="R369" t="str">
        <f>IF(AllDataCorrected[[#This Row],[Nitrate (PPM)]]&gt;2, "4. Very high (&gt;2ppm)", IF(AllDataCorrected[[#This Row],[Nitrate (PPM)]]&gt;1, "3. High (1-2ppm)", IF(AllDataCorrected[[#This Row],[Nitrate (PPM)]]&gt;0.5, "2. Some evidence (0.5-1ppm)", IF(AllDataCorrected[[#This Row],[Nitrate (PPM)]]&gt;=0, "1. No evidence (&lt;0.5ppm)"))))</f>
        <v>4. Very high (&gt;2ppm)</v>
      </c>
      <c r="S369">
        <v>0.83</v>
      </c>
      <c r="T3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69">
        <v>0</v>
      </c>
    </row>
    <row r="370" spans="1:22" x14ac:dyDescent="0.35">
      <c r="A370" t="s">
        <v>602</v>
      </c>
      <c r="B370" s="2">
        <v>45318</v>
      </c>
      <c r="C370" t="str" cm="1">
        <f t="array" ref="C3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0">
        <v>2023</v>
      </c>
      <c r="E370" s="1">
        <v>0.5</v>
      </c>
      <c r="F3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0" t="str">
        <f>_xlfn.XLOOKUP(AllDataCorrected[[#This Row],[Location Name]], Locations[Location Name],Locations[Group As])</f>
        <v>Carrant Bredon Rd</v>
      </c>
      <c r="H370" t="e" vm="4">
        <f>_xlfn.XLOOKUP(AllDataCorrected[[#This Row],[Site Name]],LocationsKey[Site Name],LocationsKey[District])</f>
        <v>#VALUE!</v>
      </c>
      <c r="I370" t="e" vm="4">
        <f>_xlfn.XLOOKUP(AllDataCorrected[[#This Row],[Site Name]],LocationsKey[Site Name],LocationsKey[Town])</f>
        <v>#VALUE!</v>
      </c>
      <c r="J370" t="str">
        <f>_xlfn.XLOOKUP(AllDataCorrected[[#This Row],[Site Name]],LocationsKey[Site Name], LocationsKey[Waterway])</f>
        <v>Carrant</v>
      </c>
      <c r="K370" t="s">
        <v>603</v>
      </c>
      <c r="L370">
        <f>_xlfn.XLOOKUP(AllDataCorrected[[#This Row],[Site Name]],Tables!$B$12:$B$100, Tables!C$12:C$100)</f>
        <v>51.996322536231894</v>
      </c>
      <c r="M370">
        <f>_xlfn.XLOOKUP(AllDataCorrected[[#This Row],[Site Name]],Tables!$B$12:$B$100, Tables!D$12:D$100)</f>
        <v>-2.1558410144927538</v>
      </c>
      <c r="N370" t="s">
        <v>25</v>
      </c>
      <c r="O370">
        <v>772</v>
      </c>
      <c r="P370">
        <v>8.1</v>
      </c>
      <c r="Q370">
        <v>4</v>
      </c>
      <c r="R370" t="str">
        <f>IF(AllDataCorrected[[#This Row],[Nitrate (PPM)]]&gt;2, "4. Very high (&gt;2ppm)", IF(AllDataCorrected[[#This Row],[Nitrate (PPM)]]&gt;1, "3. High (1-2ppm)", IF(AllDataCorrected[[#This Row],[Nitrate (PPM)]]&gt;0.5, "2. Some evidence (0.5-1ppm)", IF(AllDataCorrected[[#This Row],[Nitrate (PPM)]]&gt;=0, "1. No evidence (&lt;0.5ppm)"))))</f>
        <v>4. Very high (&gt;2ppm)</v>
      </c>
      <c r="S370">
        <v>0.2</v>
      </c>
      <c r="T3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0">
        <v>0.3</v>
      </c>
    </row>
    <row r="371" spans="1:22" x14ac:dyDescent="0.35">
      <c r="A371" t="s">
        <v>604</v>
      </c>
      <c r="B371" s="2">
        <v>45319</v>
      </c>
      <c r="C371" t="str" cm="1">
        <f t="array" ref="C3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1">
        <v>2023</v>
      </c>
      <c r="E371" s="1">
        <v>0.4513888888888889</v>
      </c>
      <c r="F3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1" t="str">
        <f>_xlfn.XLOOKUP(AllDataCorrected[[#This Row],[Location Name]], Locations[Location Name],Locations[Group As])</f>
        <v>Fell Mill Footbridge</v>
      </c>
      <c r="H371" t="e" vm="1">
        <f>_xlfn.XLOOKUP(AllDataCorrected[[#This Row],[Site Name]],LocationsKey[Site Name],LocationsKey[District])</f>
        <v>#VALUE!</v>
      </c>
      <c r="I371" t="e" vm="15">
        <f>_xlfn.XLOOKUP(AllDataCorrected[[#This Row],[Site Name]],LocationsKey[Site Name],LocationsKey[Town])</f>
        <v>#VALUE!</v>
      </c>
      <c r="J371" t="str">
        <f>_xlfn.XLOOKUP(AllDataCorrected[[#This Row],[Site Name]],LocationsKey[Site Name], LocationsKey[Waterway])</f>
        <v>Stour</v>
      </c>
      <c r="K371" t="s">
        <v>500</v>
      </c>
      <c r="L371">
        <f>_xlfn.XLOOKUP(AllDataCorrected[[#This Row],[Site Name]],Tables!$B$12:$B$100, Tables!C$12:C$100)</f>
        <v>52.069044372881365</v>
      </c>
      <c r="M371">
        <f>_xlfn.XLOOKUP(AllDataCorrected[[#This Row],[Site Name]],Tables!$B$12:$B$100, Tables!D$12:D$100)</f>
        <v>-1.6116270169491524</v>
      </c>
      <c r="N371" t="s">
        <v>31</v>
      </c>
      <c r="O371">
        <v>622</v>
      </c>
      <c r="P371">
        <v>6.9</v>
      </c>
      <c r="Q371">
        <v>5</v>
      </c>
      <c r="R371" t="str">
        <f>IF(AllDataCorrected[[#This Row],[Nitrate (PPM)]]&gt;2, "4. Very high (&gt;2ppm)", IF(AllDataCorrected[[#This Row],[Nitrate (PPM)]]&gt;1, "3. High (1-2ppm)", IF(AllDataCorrected[[#This Row],[Nitrate (PPM)]]&gt;0.5, "2. Some evidence (0.5-1ppm)", IF(AllDataCorrected[[#This Row],[Nitrate (PPM)]]&gt;=0, "1. No evidence (&lt;0.5ppm)"))))</f>
        <v>4. Very high (&gt;2ppm)</v>
      </c>
      <c r="S371">
        <v>0.19</v>
      </c>
      <c r="T3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1">
        <v>1.22</v>
      </c>
    </row>
    <row r="372" spans="1:22" x14ac:dyDescent="0.35">
      <c r="A372" t="s">
        <v>605</v>
      </c>
      <c r="B372" s="2">
        <v>45319</v>
      </c>
      <c r="C372" t="str" cm="1">
        <f t="array" ref="C3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2">
        <v>2023</v>
      </c>
      <c r="E372" s="1">
        <v>0.58402777777777781</v>
      </c>
      <c r="F3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2" t="str">
        <f>_xlfn.XLOOKUP(AllDataCorrected[[#This Row],[Location Name]], Locations[Location Name],Locations[Group As])</f>
        <v>Abbey Mill</v>
      </c>
      <c r="H372" t="e" vm="4">
        <f>_xlfn.XLOOKUP(AllDataCorrected[[#This Row],[Site Name]],LocationsKey[Site Name],LocationsKey[District])</f>
        <v>#VALUE!</v>
      </c>
      <c r="I372" t="e" vm="4">
        <f>_xlfn.XLOOKUP(AllDataCorrected[[#This Row],[Site Name]],LocationsKey[Site Name],LocationsKey[Town])</f>
        <v>#VALUE!</v>
      </c>
      <c r="J372" t="str">
        <f>_xlfn.XLOOKUP(AllDataCorrected[[#This Row],[Site Name]],LocationsKey[Site Name], LocationsKey[Waterway])</f>
        <v>Avon</v>
      </c>
      <c r="K372" t="s">
        <v>27</v>
      </c>
      <c r="L372">
        <f>_xlfn.XLOOKUP(AllDataCorrected[[#This Row],[Site Name]],Tables!$B$12:$B$100, Tables!C$12:C$100)</f>
        <v>51.991313075757589</v>
      </c>
      <c r="M372">
        <f>_xlfn.XLOOKUP(AllDataCorrected[[#This Row],[Site Name]],Tables!$B$12:$B$100, Tables!D$12:D$100)</f>
        <v>-2.1621998181818181</v>
      </c>
      <c r="N372" t="s">
        <v>25</v>
      </c>
      <c r="O372">
        <v>793</v>
      </c>
      <c r="P372">
        <v>8.8000000000000007</v>
      </c>
      <c r="Q372">
        <v>5</v>
      </c>
      <c r="R372" t="str">
        <f>IF(AllDataCorrected[[#This Row],[Nitrate (PPM)]]&gt;2, "4. Very high (&gt;2ppm)", IF(AllDataCorrected[[#This Row],[Nitrate (PPM)]]&gt;1, "3. High (1-2ppm)", IF(AllDataCorrected[[#This Row],[Nitrate (PPM)]]&gt;0.5, "2. Some evidence (0.5-1ppm)", IF(AllDataCorrected[[#This Row],[Nitrate (PPM)]]&gt;=0, "1. No evidence (&lt;0.5ppm)"))))</f>
        <v>4. Very high (&gt;2ppm)</v>
      </c>
      <c r="S372">
        <v>0.69</v>
      </c>
      <c r="T3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2">
        <v>0.5</v>
      </c>
    </row>
    <row r="373" spans="1:22" x14ac:dyDescent="0.35">
      <c r="A373" t="s">
        <v>606</v>
      </c>
      <c r="B373" s="2">
        <v>45319</v>
      </c>
      <c r="C373" t="str" cm="1">
        <f t="array" ref="C3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3">
        <v>2023</v>
      </c>
      <c r="E373" s="1">
        <v>0.61805555555555558</v>
      </c>
      <c r="F3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3" t="str">
        <f>_xlfn.XLOOKUP(AllDataCorrected[[#This Row],[Location Name]], Locations[Location Name],Locations[Group As])</f>
        <v>Clifford Chambers Mill Bridge</v>
      </c>
      <c r="H373" t="e" vm="1">
        <f>_xlfn.XLOOKUP(AllDataCorrected[[#This Row],[Site Name]],LocationsKey[Site Name],LocationsKey[District])</f>
        <v>#VALUE!</v>
      </c>
      <c r="I373" t="e" vm="22">
        <f>_xlfn.XLOOKUP(AllDataCorrected[[#This Row],[Site Name]],LocationsKey[Site Name],LocationsKey[Town])</f>
        <v>#VALUE!</v>
      </c>
      <c r="J373" t="str">
        <f>_xlfn.XLOOKUP(AllDataCorrected[[#This Row],[Site Name]],LocationsKey[Site Name], LocationsKey[Waterway])</f>
        <v>Stour</v>
      </c>
      <c r="K373" t="s">
        <v>266</v>
      </c>
      <c r="L373">
        <f>_xlfn.XLOOKUP(AllDataCorrected[[#This Row],[Site Name]],Tables!$B$12:$B$100, Tables!C$12:C$100)</f>
        <v>52.166363596153808</v>
      </c>
      <c r="M373">
        <f>_xlfn.XLOOKUP(AllDataCorrected[[#This Row],[Site Name]],Tables!$B$12:$B$100, Tables!D$12:D$100)</f>
        <v>-1.7080375384615398</v>
      </c>
      <c r="N373" t="s">
        <v>68</v>
      </c>
      <c r="O373">
        <v>640</v>
      </c>
      <c r="P373">
        <v>9.5</v>
      </c>
      <c r="Q373">
        <v>7</v>
      </c>
      <c r="R373" t="str">
        <f>IF(AllDataCorrected[[#This Row],[Nitrate (PPM)]]&gt;2, "4. Very high (&gt;2ppm)", IF(AllDataCorrected[[#This Row],[Nitrate (PPM)]]&gt;1, "3. High (1-2ppm)", IF(AllDataCorrected[[#This Row],[Nitrate (PPM)]]&gt;0.5, "2. Some evidence (0.5-1ppm)", IF(AllDataCorrected[[#This Row],[Nitrate (PPM)]]&gt;=0, "1. No evidence (&lt;0.5ppm)"))))</f>
        <v>4. Very high (&gt;2ppm)</v>
      </c>
      <c r="S373">
        <v>0.65</v>
      </c>
      <c r="T3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3">
        <v>0.8</v>
      </c>
      <c r="V373" t="s">
        <v>533</v>
      </c>
    </row>
    <row r="374" spans="1:22" x14ac:dyDescent="0.35">
      <c r="A374" t="s">
        <v>607</v>
      </c>
      <c r="B374" s="2">
        <v>45319</v>
      </c>
      <c r="C374" t="str" cm="1">
        <f t="array" ref="C3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4">
        <v>2023</v>
      </c>
      <c r="E374" s="1">
        <v>0.625</v>
      </c>
      <c r="F3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4" t="str">
        <f>_xlfn.XLOOKUP(AllDataCorrected[[#This Row],[Location Name]], Locations[Location Name],Locations[Group As])</f>
        <v>Sherbourne Brook 1</v>
      </c>
      <c r="H374" t="e" vm="1">
        <f>_xlfn.XLOOKUP(AllDataCorrected[[#This Row],[Site Name]],LocationsKey[Site Name],LocationsKey[District])</f>
        <v>#VALUE!</v>
      </c>
      <c r="I374" t="e" vm="23">
        <f>_xlfn.XLOOKUP(AllDataCorrected[[#This Row],[Site Name]],LocationsKey[Site Name],LocationsKey[Town])</f>
        <v>#VALUE!</v>
      </c>
      <c r="J374" t="str">
        <f>_xlfn.XLOOKUP(AllDataCorrected[[#This Row],[Site Name]],LocationsKey[Site Name], LocationsKey[Waterway])</f>
        <v>Sherbourne Brook</v>
      </c>
      <c r="K374" t="s">
        <v>541</v>
      </c>
      <c r="L374">
        <f>_xlfn.XLOOKUP(AllDataCorrected[[#This Row],[Site Name]],Tables!$B$12:$B$100, Tables!C$12:C$100)</f>
        <v>52.252500000000033</v>
      </c>
      <c r="M374">
        <f>_xlfn.XLOOKUP(AllDataCorrected[[#This Row],[Site Name]],Tables!$B$12:$B$100, Tables!D$12:D$100)</f>
        <v>-1.6685000000000012</v>
      </c>
      <c r="N374" t="s">
        <v>25</v>
      </c>
      <c r="O374">
        <v>1060</v>
      </c>
      <c r="P374">
        <v>8.9</v>
      </c>
      <c r="Q374">
        <v>6</v>
      </c>
      <c r="R374" t="str">
        <f>IF(AllDataCorrected[[#This Row],[Nitrate (PPM)]]&gt;2, "4. Very high (&gt;2ppm)", IF(AllDataCorrected[[#This Row],[Nitrate (PPM)]]&gt;1, "3. High (1-2ppm)", IF(AllDataCorrected[[#This Row],[Nitrate (PPM)]]&gt;0.5, "2. Some evidence (0.5-1ppm)", IF(AllDataCorrected[[#This Row],[Nitrate (PPM)]]&gt;=0, "1. No evidence (&lt;0.5ppm)"))))</f>
        <v>4. Very high (&gt;2ppm)</v>
      </c>
      <c r="S374">
        <v>0.43</v>
      </c>
      <c r="T3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4">
        <v>0.5</v>
      </c>
    </row>
    <row r="375" spans="1:22" x14ac:dyDescent="0.35">
      <c r="A375" t="s">
        <v>608</v>
      </c>
      <c r="B375" s="2">
        <v>45319</v>
      </c>
      <c r="C375" t="str" cm="1">
        <f t="array" ref="C3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5">
        <v>2023</v>
      </c>
      <c r="E375" s="1">
        <v>0.63541666666666663</v>
      </c>
      <c r="F3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5" t="str">
        <f>_xlfn.XLOOKUP(AllDataCorrected[[#This Row],[Location Name]], Locations[Location Name],Locations[Group As])</f>
        <v>Bell Brook 1</v>
      </c>
      <c r="H375" t="e" vm="1">
        <f>_xlfn.XLOOKUP(AllDataCorrected[[#This Row],[Site Name]],LocationsKey[Site Name],LocationsKey[District])</f>
        <v>#VALUE!</v>
      </c>
      <c r="I375" t="e" vm="19">
        <f>_xlfn.XLOOKUP(AllDataCorrected[[#This Row],[Site Name]],LocationsKey[Site Name],LocationsKey[Town])</f>
        <v>#VALUE!</v>
      </c>
      <c r="J375" t="str">
        <f>_xlfn.XLOOKUP(AllDataCorrected[[#This Row],[Site Name]],LocationsKey[Site Name], LocationsKey[Waterway])</f>
        <v>Bell Brook</v>
      </c>
      <c r="K375" t="s">
        <v>538</v>
      </c>
      <c r="L375">
        <f>_xlfn.XLOOKUP(AllDataCorrected[[#This Row],[Site Name]],Tables!$B$12:$B$100, Tables!C$12:C$100)</f>
        <v>52.24489999999998</v>
      </c>
      <c r="M375">
        <f>_xlfn.XLOOKUP(AllDataCorrected[[#This Row],[Site Name]],Tables!$B$12:$B$100, Tables!D$12:D$100)</f>
        <v>-1.6617000000000013</v>
      </c>
      <c r="N375" t="s">
        <v>25</v>
      </c>
      <c r="O375">
        <v>710</v>
      </c>
      <c r="P375">
        <v>8.8000000000000007</v>
      </c>
      <c r="Q375">
        <v>8</v>
      </c>
      <c r="R375" t="str">
        <f>IF(AllDataCorrected[[#This Row],[Nitrate (PPM)]]&gt;2, "4. Very high (&gt;2ppm)", IF(AllDataCorrected[[#This Row],[Nitrate (PPM)]]&gt;1, "3. High (1-2ppm)", IF(AllDataCorrected[[#This Row],[Nitrate (PPM)]]&gt;0.5, "2. Some evidence (0.5-1ppm)", IF(AllDataCorrected[[#This Row],[Nitrate (PPM)]]&gt;=0, "1. No evidence (&lt;0.5ppm)"))))</f>
        <v>4. Very high (&gt;2ppm)</v>
      </c>
      <c r="S375">
        <v>0.31</v>
      </c>
      <c r="T3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5">
        <v>0.5</v>
      </c>
    </row>
    <row r="376" spans="1:22" x14ac:dyDescent="0.35">
      <c r="A376" t="s">
        <v>609</v>
      </c>
      <c r="B376" s="2">
        <v>45320</v>
      </c>
      <c r="C376" t="str" cm="1">
        <f t="array" ref="C3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6">
        <v>2023</v>
      </c>
      <c r="E376" s="1">
        <v>0.40416666666666667</v>
      </c>
      <c r="F3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6" t="str">
        <f>_xlfn.XLOOKUP(AllDataCorrected[[#This Row],[Location Name]], Locations[Location Name],Locations[Group As])</f>
        <v>Stour Stretton-on-Fosse Village</v>
      </c>
      <c r="H376" t="e" vm="1">
        <f>_xlfn.XLOOKUP(AllDataCorrected[[#This Row],[Site Name]],LocationsKey[Site Name],LocationsKey[District])</f>
        <v>#VALUE!</v>
      </c>
      <c r="I376" t="e" vm="30">
        <f>_xlfn.XLOOKUP(AllDataCorrected[[#This Row],[Site Name]],LocationsKey[Site Name],LocationsKey[Town])</f>
        <v>#VALUE!</v>
      </c>
      <c r="J376" t="str">
        <f>_xlfn.XLOOKUP(AllDataCorrected[[#This Row],[Site Name]],LocationsKey[Site Name], LocationsKey[Waterway])</f>
        <v>Stour</v>
      </c>
      <c r="K376" t="s">
        <v>548</v>
      </c>
      <c r="L376">
        <f>_xlfn.XLOOKUP(AllDataCorrected[[#This Row],[Site Name]],Tables!$B$12:$B$100, Tables!C$12:C$100)</f>
        <v>52.046517558823531</v>
      </c>
      <c r="M376">
        <f>_xlfn.XLOOKUP(AllDataCorrected[[#This Row],[Site Name]],Tables!$B$12:$B$100, Tables!D$12:D$100)</f>
        <v>-1.6734143529411762</v>
      </c>
      <c r="N376" t="s">
        <v>68</v>
      </c>
      <c r="O376">
        <v>698</v>
      </c>
      <c r="P376">
        <v>9.1</v>
      </c>
      <c r="Q376">
        <v>3</v>
      </c>
      <c r="R376" t="str">
        <f>IF(AllDataCorrected[[#This Row],[Nitrate (PPM)]]&gt;2, "4. Very high (&gt;2ppm)", IF(AllDataCorrected[[#This Row],[Nitrate (PPM)]]&gt;1, "3. High (1-2ppm)", IF(AllDataCorrected[[#This Row],[Nitrate (PPM)]]&gt;0.5, "2. Some evidence (0.5-1ppm)", IF(AllDataCorrected[[#This Row],[Nitrate (PPM)]]&gt;=0, "1. No evidence (&lt;0.5ppm)"))))</f>
        <v>4. Very high (&gt;2ppm)</v>
      </c>
      <c r="S376">
        <v>1.1499999999999999</v>
      </c>
      <c r="T3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6">
        <v>0.15</v>
      </c>
    </row>
    <row r="377" spans="1:22" x14ac:dyDescent="0.35">
      <c r="A377" t="s">
        <v>610</v>
      </c>
      <c r="B377" s="2">
        <v>45320</v>
      </c>
      <c r="C377" t="str" cm="1">
        <f t="array" ref="C3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7">
        <v>2023</v>
      </c>
      <c r="E377" s="1">
        <v>0.42291666666666666</v>
      </c>
      <c r="F3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7" t="str">
        <f>_xlfn.XLOOKUP(AllDataCorrected[[#This Row],[Location Name]], Locations[Location Name],Locations[Group As])</f>
        <v>Stour Stretton-on-Fosse Sewage Works</v>
      </c>
      <c r="H377" t="e" vm="1">
        <f>_xlfn.XLOOKUP(AllDataCorrected[[#This Row],[Site Name]],LocationsKey[Site Name],LocationsKey[District])</f>
        <v>#VALUE!</v>
      </c>
      <c r="I377" t="e" vm="30">
        <f>_xlfn.XLOOKUP(AllDataCorrected[[#This Row],[Site Name]],LocationsKey[Site Name],LocationsKey[Town])</f>
        <v>#VALUE!</v>
      </c>
      <c r="J377" t="str">
        <f>_xlfn.XLOOKUP(AllDataCorrected[[#This Row],[Site Name]],LocationsKey[Site Name], LocationsKey[Waterway])</f>
        <v>Stour</v>
      </c>
      <c r="K377" t="s">
        <v>337</v>
      </c>
      <c r="L377">
        <f>_xlfn.XLOOKUP(AllDataCorrected[[#This Row],[Site Name]],Tables!$B$12:$B$100, Tables!C$12:C$100)</f>
        <v>52.045653647058828</v>
      </c>
      <c r="M377">
        <f>_xlfn.XLOOKUP(AllDataCorrected[[#This Row],[Site Name]],Tables!$B$12:$B$100, Tables!D$12:D$100)</f>
        <v>-1.6719221470588239</v>
      </c>
      <c r="N377" t="s">
        <v>31</v>
      </c>
      <c r="O377">
        <v>741</v>
      </c>
      <c r="P377">
        <v>9.6999999999999993</v>
      </c>
      <c r="Q377">
        <v>4</v>
      </c>
      <c r="R377" t="str">
        <f>IF(AllDataCorrected[[#This Row],[Nitrate (PPM)]]&gt;2, "4. Very high (&gt;2ppm)", IF(AllDataCorrected[[#This Row],[Nitrate (PPM)]]&gt;1, "3. High (1-2ppm)", IF(AllDataCorrected[[#This Row],[Nitrate (PPM)]]&gt;0.5, "2. Some evidence (0.5-1ppm)", IF(AllDataCorrected[[#This Row],[Nitrate (PPM)]]&gt;=0, "1. No evidence (&lt;0.5ppm)"))))</f>
        <v>4. Very high (&gt;2ppm)</v>
      </c>
      <c r="S377">
        <v>2.5</v>
      </c>
      <c r="T3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77">
        <v>0.25</v>
      </c>
    </row>
    <row r="378" spans="1:22" x14ac:dyDescent="0.35">
      <c r="A378" t="s">
        <v>611</v>
      </c>
      <c r="B378" s="2">
        <v>45322</v>
      </c>
      <c r="C378" t="str" cm="1">
        <f t="array" ref="C3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8">
        <v>2023</v>
      </c>
      <c r="E378" s="1">
        <v>0.48958333333333331</v>
      </c>
      <c r="F3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78" t="str">
        <f>_xlfn.XLOOKUP(AllDataCorrected[[#This Row],[Location Name]], Locations[Location Name],Locations[Group As])</f>
        <v>Swilgate</v>
      </c>
      <c r="H378" t="e" vm="4">
        <f>_xlfn.XLOOKUP(AllDataCorrected[[#This Row],[Site Name]],LocationsKey[Site Name],LocationsKey[District])</f>
        <v>#VALUE!</v>
      </c>
      <c r="I378" t="e" vm="4">
        <f>_xlfn.XLOOKUP(AllDataCorrected[[#This Row],[Site Name]],LocationsKey[Site Name],LocationsKey[Town])</f>
        <v>#VALUE!</v>
      </c>
      <c r="J378" t="str">
        <f>_xlfn.XLOOKUP(AllDataCorrected[[#This Row],[Site Name]],LocationsKey[Site Name], LocationsKey[Waterway])</f>
        <v>Swilgate</v>
      </c>
      <c r="K378" t="s">
        <v>85</v>
      </c>
      <c r="L378">
        <f>_xlfn.XLOOKUP(AllDataCorrected[[#This Row],[Site Name]],Tables!$B$12:$B$100, Tables!C$12:C$100)</f>
        <v>51.988591500000005</v>
      </c>
      <c r="M378">
        <f>_xlfn.XLOOKUP(AllDataCorrected[[#This Row],[Site Name]],Tables!$B$12:$B$100, Tables!D$12:D$100)</f>
        <v>-2.163898333333333</v>
      </c>
      <c r="N378" t="s">
        <v>25</v>
      </c>
      <c r="O378">
        <v>105</v>
      </c>
      <c r="P378">
        <v>9</v>
      </c>
      <c r="Q378">
        <v>3</v>
      </c>
      <c r="R378" t="str">
        <f>IF(AllDataCorrected[[#This Row],[Nitrate (PPM)]]&gt;2, "4. Very high (&gt;2ppm)", IF(AllDataCorrected[[#This Row],[Nitrate (PPM)]]&gt;1, "3. High (1-2ppm)", IF(AllDataCorrected[[#This Row],[Nitrate (PPM)]]&gt;0.5, "2. Some evidence (0.5-1ppm)", IF(AllDataCorrected[[#This Row],[Nitrate (PPM)]]&gt;=0, "1. No evidence (&lt;0.5ppm)"))))</f>
        <v>4. Very high (&gt;2ppm)</v>
      </c>
      <c r="S378">
        <v>0.49</v>
      </c>
      <c r="T3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8">
        <v>0</v>
      </c>
    </row>
    <row r="379" spans="1:22" x14ac:dyDescent="0.35">
      <c r="A379" t="s">
        <v>612</v>
      </c>
      <c r="B379" s="2">
        <v>45322</v>
      </c>
      <c r="C379" t="str" cm="1">
        <f t="array" ref="C3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79">
        <v>2023</v>
      </c>
      <c r="E379" s="1">
        <v>0.60416666666666663</v>
      </c>
      <c r="F3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79" t="str">
        <f>_xlfn.XLOOKUP(AllDataCorrected[[#This Row],[Location Name]], Locations[Location Name],Locations[Group As])</f>
        <v>Stour Newbold Mill</v>
      </c>
      <c r="H379" t="e" vm="1">
        <f>_xlfn.XLOOKUP(AllDataCorrected[[#This Row],[Site Name]],LocationsKey[Site Name],LocationsKey[District])</f>
        <v>#VALUE!</v>
      </c>
      <c r="I379" t="e" vm="27">
        <f>_xlfn.XLOOKUP(AllDataCorrected[[#This Row],[Site Name]],LocationsKey[Site Name],LocationsKey[Town])</f>
        <v>#VALUE!</v>
      </c>
      <c r="J379" t="str">
        <f>_xlfn.XLOOKUP(AllDataCorrected[[#This Row],[Site Name]],LocationsKey[Site Name], LocationsKey[Waterway])</f>
        <v>Stour</v>
      </c>
      <c r="K379" t="s">
        <v>141</v>
      </c>
      <c r="L379">
        <f>_xlfn.XLOOKUP(AllDataCorrected[[#This Row],[Site Name]],Tables!$B$12:$B$100, Tables!C$12:C$100)</f>
        <v>52.113052370370369</v>
      </c>
      <c r="M379">
        <f>_xlfn.XLOOKUP(AllDataCorrected[[#This Row],[Site Name]],Tables!$B$12:$B$100, Tables!D$12:D$100)</f>
        <v>-1.6333685185185181</v>
      </c>
      <c r="N379" t="s">
        <v>31</v>
      </c>
      <c r="O379">
        <v>678</v>
      </c>
      <c r="P379">
        <v>8.3000000000000007</v>
      </c>
      <c r="Q379">
        <v>5</v>
      </c>
      <c r="R379" t="str">
        <f>IF(AllDataCorrected[[#This Row],[Nitrate (PPM)]]&gt;2, "4. Very high (&gt;2ppm)", IF(AllDataCorrected[[#This Row],[Nitrate (PPM)]]&gt;1, "3. High (1-2ppm)", IF(AllDataCorrected[[#This Row],[Nitrate (PPM)]]&gt;0.5, "2. Some evidence (0.5-1ppm)", IF(AllDataCorrected[[#This Row],[Nitrate (PPM)]]&gt;=0, "1. No evidence (&lt;0.5ppm)"))))</f>
        <v>4. Very high (&gt;2ppm)</v>
      </c>
      <c r="S379">
        <v>0.23</v>
      </c>
      <c r="T3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79">
        <v>2.5</v>
      </c>
      <c r="V379" t="s">
        <v>613</v>
      </c>
    </row>
    <row r="380" spans="1:22" x14ac:dyDescent="0.35">
      <c r="A380" t="s">
        <v>614</v>
      </c>
      <c r="B380" s="2">
        <v>45323</v>
      </c>
      <c r="C380" t="str" cm="1">
        <f t="array" ref="C3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0">
        <v>2023</v>
      </c>
      <c r="E380" s="1">
        <v>0.46805555555555556</v>
      </c>
      <c r="F3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0" t="str">
        <f>_xlfn.XLOOKUP(AllDataCorrected[[#This Row],[Location Name]], Locations[Location Name],Locations[Group As])</f>
        <v>Stour Willington</v>
      </c>
      <c r="H380" t="e" vm="1">
        <f>_xlfn.XLOOKUP(AllDataCorrected[[#This Row],[Site Name]],LocationsKey[Site Name],LocationsKey[District])</f>
        <v>#VALUE!</v>
      </c>
      <c r="I380" t="str">
        <f>_xlfn.XLOOKUP(AllDataCorrected[[#This Row],[Site Name]],LocationsKey[Site Name],LocationsKey[Town])</f>
        <v>Willington</v>
      </c>
      <c r="J380" t="str">
        <f>_xlfn.XLOOKUP(AllDataCorrected[[#This Row],[Site Name]],LocationsKey[Site Name], LocationsKey[Waterway])</f>
        <v>Stour</v>
      </c>
      <c r="K380" t="s">
        <v>521</v>
      </c>
      <c r="L380">
        <f>_xlfn.XLOOKUP(AllDataCorrected[[#This Row],[Site Name]],Tables!$B$12:$B$100, Tables!C$12:C$100)</f>
        <v>52.053227523809518</v>
      </c>
      <c r="M380">
        <f>_xlfn.XLOOKUP(AllDataCorrected[[#This Row],[Site Name]],Tables!$B$12:$B$100, Tables!D$12:D$100)</f>
        <v>-1.6194739523809523</v>
      </c>
      <c r="N380" t="s">
        <v>25</v>
      </c>
      <c r="O380">
        <v>628</v>
      </c>
      <c r="P380">
        <v>10</v>
      </c>
      <c r="Q380">
        <v>2</v>
      </c>
      <c r="R380" t="str">
        <f>IF(AllDataCorrected[[#This Row],[Nitrate (PPM)]]&gt;2, "4. Very high (&gt;2ppm)", IF(AllDataCorrected[[#This Row],[Nitrate (PPM)]]&gt;1, "3. High (1-2ppm)", IF(AllDataCorrected[[#This Row],[Nitrate (PPM)]]&gt;0.5, "2. Some evidence (0.5-1ppm)", IF(AllDataCorrected[[#This Row],[Nitrate (PPM)]]&gt;=0, "1. No evidence (&lt;0.5ppm)"))))</f>
        <v>3. High (1-2ppm)</v>
      </c>
      <c r="S380">
        <v>0.2</v>
      </c>
      <c r="T3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0">
        <v>0.5</v>
      </c>
    </row>
    <row r="381" spans="1:22" x14ac:dyDescent="0.35">
      <c r="A381" t="s">
        <v>615</v>
      </c>
      <c r="B381" s="2">
        <v>45323</v>
      </c>
      <c r="C381" t="str" cm="1">
        <f t="array" ref="C3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1">
        <v>2023</v>
      </c>
      <c r="E381" s="1">
        <v>0.61597222222222225</v>
      </c>
      <c r="F3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1" t="str">
        <f>_xlfn.XLOOKUP(AllDataCorrected[[#This Row],[Location Name]], Locations[Location Name],Locations[Group As])</f>
        <v>Swiffen Bank</v>
      </c>
      <c r="H381" t="e" vm="1">
        <f>_xlfn.XLOOKUP(AllDataCorrected[[#This Row],[Site Name]],LocationsKey[Site Name],LocationsKey[District])</f>
        <v>#VALUE!</v>
      </c>
      <c r="I381" t="e" vm="2">
        <f>_xlfn.XLOOKUP(AllDataCorrected[[#This Row],[Site Name]],LocationsKey[Site Name],LocationsKey[Town])</f>
        <v>#VALUE!</v>
      </c>
      <c r="J381" t="str">
        <f>_xlfn.XLOOKUP(AllDataCorrected[[#This Row],[Site Name]],LocationsKey[Site Name], LocationsKey[Waterway])</f>
        <v>Avon</v>
      </c>
      <c r="K381" t="s">
        <v>286</v>
      </c>
      <c r="L381">
        <f>_xlfn.XLOOKUP(AllDataCorrected[[#This Row],[Site Name]],Tables!$B$12:$B$100, Tables!C$12:C$100)</f>
        <v>52.206649805555557</v>
      </c>
      <c r="M381">
        <f>_xlfn.XLOOKUP(AllDataCorrected[[#This Row],[Site Name]],Tables!$B$12:$B$100, Tables!D$12:D$100)</f>
        <v>-1.6541018611111094</v>
      </c>
      <c r="N381" t="s">
        <v>31</v>
      </c>
      <c r="O381">
        <v>668</v>
      </c>
      <c r="P381">
        <v>8.8000000000000007</v>
      </c>
      <c r="Q381">
        <v>5</v>
      </c>
      <c r="R381" t="str">
        <f>IF(AllDataCorrected[[#This Row],[Nitrate (PPM)]]&gt;2, "4. Very high (&gt;2ppm)", IF(AllDataCorrected[[#This Row],[Nitrate (PPM)]]&gt;1, "3. High (1-2ppm)", IF(AllDataCorrected[[#This Row],[Nitrate (PPM)]]&gt;0.5, "2. Some evidence (0.5-1ppm)", IF(AllDataCorrected[[#This Row],[Nitrate (PPM)]]&gt;=0, "1. No evidence (&lt;0.5ppm)"))))</f>
        <v>4. Very high (&gt;2ppm)</v>
      </c>
      <c r="S381">
        <v>0.53</v>
      </c>
      <c r="T3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1">
        <v>0</v>
      </c>
      <c r="V381" t="s">
        <v>616</v>
      </c>
    </row>
    <row r="382" spans="1:22" x14ac:dyDescent="0.35">
      <c r="A382" t="s">
        <v>617</v>
      </c>
      <c r="B382" s="2">
        <v>45323</v>
      </c>
      <c r="C382" t="str" cm="1">
        <f t="array" ref="C3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2">
        <v>2023</v>
      </c>
      <c r="E382" s="1">
        <v>0.64583333333333337</v>
      </c>
      <c r="F3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2" t="str">
        <f>_xlfn.XLOOKUP(AllDataCorrected[[#This Row],[Location Name]], Locations[Location Name],Locations[Group As])</f>
        <v>Preston Bagot Canal</v>
      </c>
      <c r="H382" t="e" vm="1">
        <f>_xlfn.XLOOKUP(AllDataCorrected[[#This Row],[Site Name]],LocationsKey[Site Name],LocationsKey[District])</f>
        <v>#VALUE!</v>
      </c>
      <c r="I382" t="e" vm="21">
        <f>_xlfn.XLOOKUP(AllDataCorrected[[#This Row],[Site Name]],LocationsKey[Site Name],LocationsKey[Town])</f>
        <v>#VALUE!</v>
      </c>
      <c r="J382" t="str">
        <f>_xlfn.XLOOKUP(AllDataCorrected[[#This Row],[Site Name]],LocationsKey[Site Name], LocationsKey[Waterway])</f>
        <v>Preston Bagot Canal</v>
      </c>
      <c r="K382" t="s">
        <v>618</v>
      </c>
      <c r="L382">
        <f>_xlfn.XLOOKUP(AllDataCorrected[[#This Row],[Site Name]],Tables!$B$12:$B$100, Tables!C$12:C$100)</f>
        <v>52.286975789473694</v>
      </c>
      <c r="M382">
        <f>_xlfn.XLOOKUP(AllDataCorrected[[#This Row],[Site Name]],Tables!$B$12:$B$100, Tables!D$12:D$100)</f>
        <v>-1.5622505263157891</v>
      </c>
      <c r="N382" t="s">
        <v>25</v>
      </c>
      <c r="O382">
        <v>351</v>
      </c>
      <c r="P382">
        <v>9.6999999999999993</v>
      </c>
      <c r="Q382">
        <v>2.5</v>
      </c>
      <c r="R382" t="str">
        <f>IF(AllDataCorrected[[#This Row],[Nitrate (PPM)]]&gt;2, "4. Very high (&gt;2ppm)", IF(AllDataCorrected[[#This Row],[Nitrate (PPM)]]&gt;1, "3. High (1-2ppm)", IF(AllDataCorrected[[#This Row],[Nitrate (PPM)]]&gt;0.5, "2. Some evidence (0.5-1ppm)", IF(AllDataCorrected[[#This Row],[Nitrate (PPM)]]&gt;=0, "1. No evidence (&lt;0.5ppm)"))))</f>
        <v>4. Very high (&gt;2ppm)</v>
      </c>
      <c r="S382">
        <v>0.25</v>
      </c>
      <c r="T3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2">
        <v>0</v>
      </c>
    </row>
    <row r="383" spans="1:22" x14ac:dyDescent="0.35">
      <c r="A383" t="s">
        <v>619</v>
      </c>
      <c r="B383" s="2">
        <v>45323</v>
      </c>
      <c r="C383" t="str" cm="1">
        <f t="array" ref="C3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3">
        <v>2023</v>
      </c>
      <c r="E383" s="1">
        <v>0.65277777777777779</v>
      </c>
      <c r="F3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3" t="str">
        <f>_xlfn.XLOOKUP(AllDataCorrected[[#This Row],[Location Name]], Locations[Location Name],Locations[Group As])</f>
        <v>Alveston Weir</v>
      </c>
      <c r="H383" t="e" vm="1">
        <f>_xlfn.XLOOKUP(AllDataCorrected[[#This Row],[Site Name]],LocationsKey[Site Name],LocationsKey[District])</f>
        <v>#VALUE!</v>
      </c>
      <c r="I383" t="e" vm="2">
        <f>_xlfn.XLOOKUP(AllDataCorrected[[#This Row],[Site Name]],LocationsKey[Site Name],LocationsKey[Town])</f>
        <v>#VALUE!</v>
      </c>
      <c r="J383" t="str">
        <f>_xlfn.XLOOKUP(AllDataCorrected[[#This Row],[Site Name]],LocationsKey[Site Name], LocationsKey[Waterway])</f>
        <v>Avon</v>
      </c>
      <c r="K383" t="s">
        <v>288</v>
      </c>
      <c r="L383">
        <f>_xlfn.XLOOKUP(AllDataCorrected[[#This Row],[Site Name]],Tables!$B$12:$B$100, Tables!C$12:C$100)</f>
        <v>52.21226301333337</v>
      </c>
      <c r="M383">
        <f>_xlfn.XLOOKUP(AllDataCorrected[[#This Row],[Site Name]],Tables!$B$12:$B$100, Tables!D$12:D$100)</f>
        <v>-1.6595226800000011</v>
      </c>
      <c r="N383" t="s">
        <v>31</v>
      </c>
      <c r="O383">
        <v>689</v>
      </c>
      <c r="P383">
        <v>8.5</v>
      </c>
      <c r="Q383">
        <v>5</v>
      </c>
      <c r="R383" t="str">
        <f>IF(AllDataCorrected[[#This Row],[Nitrate (PPM)]]&gt;2, "4. Very high (&gt;2ppm)", IF(AllDataCorrected[[#This Row],[Nitrate (PPM)]]&gt;1, "3. High (1-2ppm)", IF(AllDataCorrected[[#This Row],[Nitrate (PPM)]]&gt;0.5, "2. Some evidence (0.5-1ppm)", IF(AllDataCorrected[[#This Row],[Nitrate (PPM)]]&gt;=0, "1. No evidence (&lt;0.5ppm)"))))</f>
        <v>4. Very high (&gt;2ppm)</v>
      </c>
      <c r="S383">
        <v>0.6</v>
      </c>
      <c r="T3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3">
        <v>-0.5</v>
      </c>
    </row>
    <row r="384" spans="1:22" x14ac:dyDescent="0.35">
      <c r="A384" t="s">
        <v>620</v>
      </c>
      <c r="B384" s="2">
        <v>45323</v>
      </c>
      <c r="C384" t="str" cm="1">
        <f t="array" ref="C3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4">
        <v>2023</v>
      </c>
      <c r="E384" s="1">
        <v>0.65625</v>
      </c>
      <c r="F3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84" t="str">
        <f>_xlfn.XLOOKUP(AllDataCorrected[[#This Row],[Location Name]], Locations[Location Name],Locations[Group As])</f>
        <v>Preston Bagot Brook</v>
      </c>
      <c r="H384" t="e" vm="1">
        <f>_xlfn.XLOOKUP(AllDataCorrected[[#This Row],[Site Name]],LocationsKey[Site Name],LocationsKey[District])</f>
        <v>#VALUE!</v>
      </c>
      <c r="I384" t="e" vm="21">
        <f>_xlfn.XLOOKUP(AllDataCorrected[[#This Row],[Site Name]],LocationsKey[Site Name],LocationsKey[Town])</f>
        <v>#VALUE!</v>
      </c>
      <c r="J384" t="str">
        <f>_xlfn.XLOOKUP(AllDataCorrected[[#This Row],[Site Name]],LocationsKey[Site Name], LocationsKey[Waterway])</f>
        <v>Preston Bagot Brook</v>
      </c>
      <c r="K384" t="s">
        <v>621</v>
      </c>
      <c r="L384">
        <f>_xlfn.XLOOKUP(AllDataCorrected[[#This Row],[Site Name]],Tables!$B$12:$B$100, Tables!C$12:C$100)</f>
        <v>52.286066538461554</v>
      </c>
      <c r="M384">
        <f>_xlfn.XLOOKUP(AllDataCorrected[[#This Row],[Site Name]],Tables!$B$12:$B$100, Tables!D$12:D$100)</f>
        <v>-1.7472480769230765</v>
      </c>
      <c r="N384" t="s">
        <v>25</v>
      </c>
      <c r="O384">
        <v>805</v>
      </c>
      <c r="P384">
        <v>10.4</v>
      </c>
      <c r="Q384">
        <v>2.5</v>
      </c>
      <c r="R384" t="str">
        <f>IF(AllDataCorrected[[#This Row],[Nitrate (PPM)]]&gt;2, "4. Very high (&gt;2ppm)", IF(AllDataCorrected[[#This Row],[Nitrate (PPM)]]&gt;1, "3. High (1-2ppm)", IF(AllDataCorrected[[#This Row],[Nitrate (PPM)]]&gt;0.5, "2. Some evidence (0.5-1ppm)", IF(AllDataCorrected[[#This Row],[Nitrate (PPM)]]&gt;=0, "1. No evidence (&lt;0.5ppm)"))))</f>
        <v>4. Very high (&gt;2ppm)</v>
      </c>
      <c r="S384">
        <v>0.56999999999999995</v>
      </c>
      <c r="T3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4">
        <v>0</v>
      </c>
    </row>
    <row r="385" spans="1:22" x14ac:dyDescent="0.35">
      <c r="A385" t="s">
        <v>622</v>
      </c>
      <c r="B385" s="2">
        <v>45324</v>
      </c>
      <c r="C385" t="str" cm="1">
        <f t="array" ref="C3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5">
        <v>2023</v>
      </c>
      <c r="F38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385" t="str">
        <f>_xlfn.XLOOKUP(AllDataCorrected[[#This Row],[Location Name]], Locations[Location Name],Locations[Group As])</f>
        <v>Site 2  :  Cross Leys culvert</v>
      </c>
      <c r="H385" t="e" vm="1">
        <f>_xlfn.XLOOKUP(AllDataCorrected[[#This Row],[Site Name]],LocationsKey[Site Name],LocationsKey[District])</f>
        <v>#VALUE!</v>
      </c>
      <c r="I385" t="e" vm="14">
        <f>_xlfn.XLOOKUP(AllDataCorrected[[#This Row],[Site Name]],LocationsKey[Site Name],LocationsKey[Town])</f>
        <v>#VALUE!</v>
      </c>
      <c r="J385" t="str">
        <f>_xlfn.XLOOKUP(AllDataCorrected[[#This Row],[Site Name]],LocationsKey[Site Name], LocationsKey[Waterway])</f>
        <v>Fosseway Brook</v>
      </c>
      <c r="K385" t="s">
        <v>623</v>
      </c>
      <c r="L385">
        <f>_xlfn.XLOOKUP(AllDataCorrected[[#This Row],[Site Name]],Tables!$B$12:$B$100, Tables!C$12:C$100)</f>
        <v>52.092997354838673</v>
      </c>
      <c r="M385">
        <f>_xlfn.XLOOKUP(AllDataCorrected[[#This Row],[Site Name]],Tables!$B$12:$B$100, Tables!D$12:D$100)</f>
        <v>-1.6862254516129045</v>
      </c>
      <c r="N385" t="s">
        <v>68</v>
      </c>
      <c r="O385">
        <v>628</v>
      </c>
      <c r="P385">
        <v>9.3000000000000007</v>
      </c>
      <c r="Q385">
        <v>2</v>
      </c>
      <c r="R385" t="str">
        <f>IF(AllDataCorrected[[#This Row],[Nitrate (PPM)]]&gt;2, "4. Very high (&gt;2ppm)", IF(AllDataCorrected[[#This Row],[Nitrate (PPM)]]&gt;1, "3. High (1-2ppm)", IF(AllDataCorrected[[#This Row],[Nitrate (PPM)]]&gt;0.5, "2. Some evidence (0.5-1ppm)", IF(AllDataCorrected[[#This Row],[Nitrate (PPM)]]&gt;=0, "1. No evidence (&lt;0.5ppm)"))))</f>
        <v>3. High (1-2ppm)</v>
      </c>
      <c r="S385">
        <v>0.38</v>
      </c>
      <c r="T3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85">
        <v>0</v>
      </c>
      <c r="V385" t="s">
        <v>624</v>
      </c>
    </row>
    <row r="386" spans="1:22" x14ac:dyDescent="0.35">
      <c r="A386" t="s">
        <v>625</v>
      </c>
      <c r="B386" s="2">
        <v>45324</v>
      </c>
      <c r="C386" t="str" cm="1">
        <f t="array" ref="C3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6">
        <v>2023</v>
      </c>
      <c r="F38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386" t="str">
        <f>_xlfn.XLOOKUP(AllDataCorrected[[#This Row],[Location Name]], Locations[Location Name],Locations[Group As])</f>
        <v>Site 2  :  Cross Leys culvert</v>
      </c>
      <c r="H386" t="e" vm="1">
        <f>_xlfn.XLOOKUP(AllDataCorrected[[#This Row],[Site Name]],LocationsKey[Site Name],LocationsKey[District])</f>
        <v>#VALUE!</v>
      </c>
      <c r="I386" t="e" vm="14">
        <f>_xlfn.XLOOKUP(AllDataCorrected[[#This Row],[Site Name]],LocationsKey[Site Name],LocationsKey[Town])</f>
        <v>#VALUE!</v>
      </c>
      <c r="J386" t="str">
        <f>_xlfn.XLOOKUP(AllDataCorrected[[#This Row],[Site Name]],LocationsKey[Site Name], LocationsKey[Waterway])</f>
        <v>Fosseway Brook</v>
      </c>
      <c r="K386" t="s">
        <v>626</v>
      </c>
      <c r="L386">
        <f>_xlfn.XLOOKUP(AllDataCorrected[[#This Row],[Site Name]],Tables!$B$12:$B$100, Tables!C$12:C$100)</f>
        <v>52.092997354838673</v>
      </c>
      <c r="M386">
        <f>_xlfn.XLOOKUP(AllDataCorrected[[#This Row],[Site Name]],Tables!$B$12:$B$100, Tables!D$12:D$100)</f>
        <v>-1.6862254516129045</v>
      </c>
      <c r="N386" t="s">
        <v>68</v>
      </c>
      <c r="O386">
        <v>628</v>
      </c>
      <c r="P386">
        <v>9.3000000000000007</v>
      </c>
      <c r="Q386">
        <v>2</v>
      </c>
      <c r="R386" t="str">
        <f>IF(AllDataCorrected[[#This Row],[Nitrate (PPM)]]&gt;2, "4. Very high (&gt;2ppm)", IF(AllDataCorrected[[#This Row],[Nitrate (PPM)]]&gt;1, "3. High (1-2ppm)", IF(AllDataCorrected[[#This Row],[Nitrate (PPM)]]&gt;0.5, "2. Some evidence (0.5-1ppm)", IF(AllDataCorrected[[#This Row],[Nitrate (PPM)]]&gt;=0, "1. No evidence (&lt;0.5ppm)"))))</f>
        <v>3. High (1-2ppm)</v>
      </c>
      <c r="S386">
        <v>0.38</v>
      </c>
      <c r="T3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386" t="s">
        <v>627</v>
      </c>
    </row>
    <row r="387" spans="1:22" x14ac:dyDescent="0.35">
      <c r="A387" t="s">
        <v>628</v>
      </c>
      <c r="B387" s="2">
        <v>45325</v>
      </c>
      <c r="C387" t="str" cm="1">
        <f t="array" ref="C3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7">
        <v>2023</v>
      </c>
      <c r="E387" s="1">
        <v>0.42291666666666666</v>
      </c>
      <c r="F3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7" t="str">
        <f>_xlfn.XLOOKUP(AllDataCorrected[[#This Row],[Location Name]], Locations[Location Name],Locations[Group As])</f>
        <v>The Ford, Langley</v>
      </c>
      <c r="H387" t="e" vm="1">
        <f>_xlfn.XLOOKUP(AllDataCorrected[[#This Row],[Site Name]],LocationsKey[Site Name],LocationsKey[District])</f>
        <v>#VALUE!</v>
      </c>
      <c r="I387" t="str">
        <f>_xlfn.XLOOKUP(AllDataCorrected[[#This Row],[Site Name]],LocationsKey[Site Name],LocationsKey[Town])</f>
        <v>Langley</v>
      </c>
      <c r="J387" t="str">
        <f>_xlfn.XLOOKUP(AllDataCorrected[[#This Row],[Site Name]],LocationsKey[Site Name], LocationsKey[Waterway])</f>
        <v>Langley Ford</v>
      </c>
      <c r="K387" t="s">
        <v>561</v>
      </c>
      <c r="L387">
        <f>_xlfn.XLOOKUP(AllDataCorrected[[#This Row],[Site Name]],Tables!$B$12:$B$100, Tables!C$12:C$100)</f>
        <v>52.262666528301864</v>
      </c>
      <c r="M387">
        <f>_xlfn.XLOOKUP(AllDataCorrected[[#This Row],[Site Name]],Tables!$B$12:$B$100, Tables!D$12:D$100)</f>
        <v>-1.6545845283018858</v>
      </c>
      <c r="N387" t="s">
        <v>31</v>
      </c>
      <c r="O387">
        <v>762</v>
      </c>
      <c r="P387">
        <v>9.5</v>
      </c>
      <c r="Q387">
        <v>5</v>
      </c>
      <c r="R387" t="str">
        <f>IF(AllDataCorrected[[#This Row],[Nitrate (PPM)]]&gt;2, "4. Very high (&gt;2ppm)", IF(AllDataCorrected[[#This Row],[Nitrate (PPM)]]&gt;1, "3. High (1-2ppm)", IF(AllDataCorrected[[#This Row],[Nitrate (PPM)]]&gt;0.5, "2. Some evidence (0.5-1ppm)", IF(AllDataCorrected[[#This Row],[Nitrate (PPM)]]&gt;=0, "1. No evidence (&lt;0.5ppm)"))))</f>
        <v>4. Very high (&gt;2ppm)</v>
      </c>
      <c r="S387">
        <v>0.6</v>
      </c>
      <c r="T3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7">
        <v>0.28000000000000003</v>
      </c>
      <c r="V387" t="s">
        <v>600</v>
      </c>
    </row>
    <row r="388" spans="1:22" x14ac:dyDescent="0.35">
      <c r="A388" t="s">
        <v>629</v>
      </c>
      <c r="B388" s="2">
        <v>45325</v>
      </c>
      <c r="C388" t="str" cm="1">
        <f t="array" ref="C3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8">
        <v>2023</v>
      </c>
      <c r="E388" s="1">
        <v>0.45833333333333331</v>
      </c>
      <c r="F3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8" t="str">
        <f>_xlfn.XLOOKUP(AllDataCorrected[[#This Row],[Location Name]], Locations[Location Name],Locations[Group As])</f>
        <v>Pitch 16</v>
      </c>
      <c r="H388" t="e" vm="1">
        <f>_xlfn.XLOOKUP(AllDataCorrected[[#This Row],[Site Name]],LocationsKey[Site Name],LocationsKey[District])</f>
        <v>#VALUE!</v>
      </c>
      <c r="I388" t="e" vm="12">
        <f>_xlfn.XLOOKUP(AllDataCorrected[[#This Row],[Site Name]],LocationsKey[Site Name],LocationsKey[Town])</f>
        <v>#VALUE!</v>
      </c>
      <c r="J388" t="str">
        <f>_xlfn.XLOOKUP(AllDataCorrected[[#This Row],[Site Name]],LocationsKey[Site Name], LocationsKey[Waterway])</f>
        <v>Avon</v>
      </c>
      <c r="K388" t="s">
        <v>71</v>
      </c>
      <c r="L388">
        <f>_xlfn.XLOOKUP(AllDataCorrected[[#This Row],[Site Name]],Tables!$B$12:$B$100, Tables!C$12:C$100)</f>
        <v>51.289310076923087</v>
      </c>
      <c r="M388">
        <f>_xlfn.XLOOKUP(AllDataCorrected[[#This Row],[Site Name]],Tables!$B$12:$B$100, Tables!D$12:D$100)</f>
        <v>-0.10399761538461544</v>
      </c>
      <c r="N388" t="s">
        <v>31</v>
      </c>
      <c r="O388">
        <v>917</v>
      </c>
      <c r="P388">
        <v>10.4</v>
      </c>
      <c r="Q388">
        <v>5</v>
      </c>
      <c r="R388" t="str">
        <f>IF(AllDataCorrected[[#This Row],[Nitrate (PPM)]]&gt;2, "4. Very high (&gt;2ppm)", IF(AllDataCorrected[[#This Row],[Nitrate (PPM)]]&gt;1, "3. High (1-2ppm)", IF(AllDataCorrected[[#This Row],[Nitrate (PPM)]]&gt;0.5, "2. Some evidence (0.5-1ppm)", IF(AllDataCorrected[[#This Row],[Nitrate (PPM)]]&gt;=0, "1. No evidence (&lt;0.5ppm)"))))</f>
        <v>4. Very high (&gt;2ppm)</v>
      </c>
      <c r="S388">
        <v>0.92</v>
      </c>
      <c r="T3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8">
        <v>0.65</v>
      </c>
      <c r="V388" t="s">
        <v>630</v>
      </c>
    </row>
    <row r="389" spans="1:22" x14ac:dyDescent="0.35">
      <c r="A389" t="s">
        <v>631</v>
      </c>
      <c r="B389" s="2">
        <v>45325</v>
      </c>
      <c r="C389" t="str" cm="1">
        <f t="array" ref="C3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89">
        <v>2023</v>
      </c>
      <c r="E389" s="1">
        <v>0.47361111111111109</v>
      </c>
      <c r="F3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89" t="str">
        <f>_xlfn.XLOOKUP(AllDataCorrected[[#This Row],[Location Name]], Locations[Location Name],Locations[Group As])</f>
        <v>Avonbank Drive</v>
      </c>
      <c r="H389" t="e" vm="1">
        <f>_xlfn.XLOOKUP(AllDataCorrected[[#This Row],[Site Name]],LocationsKey[Site Name],LocationsKey[District])</f>
        <v>#VALUE!</v>
      </c>
      <c r="I389" t="e" vm="12">
        <f>_xlfn.XLOOKUP(AllDataCorrected[[#This Row],[Site Name]],LocationsKey[Site Name],LocationsKey[Town])</f>
        <v>#VALUE!</v>
      </c>
      <c r="J389" t="str">
        <f>_xlfn.XLOOKUP(AllDataCorrected[[#This Row],[Site Name]],LocationsKey[Site Name], LocationsKey[Waterway])</f>
        <v>Avon</v>
      </c>
      <c r="K389" t="s">
        <v>67</v>
      </c>
      <c r="L389">
        <f>_xlfn.XLOOKUP(AllDataCorrected[[#This Row],[Site Name]],Tables!$B$12:$B$100, Tables!C$12:C$100)</f>
        <v>51.566927775862098</v>
      </c>
      <c r="M389">
        <f>_xlfn.XLOOKUP(AllDataCorrected[[#This Row],[Site Name]],Tables!$B$12:$B$100, Tables!D$12:D$100)</f>
        <v>-7.2113336724137929</v>
      </c>
      <c r="N389" t="s">
        <v>68</v>
      </c>
      <c r="O389">
        <v>937</v>
      </c>
      <c r="P389">
        <v>10.8</v>
      </c>
      <c r="Q389">
        <v>10</v>
      </c>
      <c r="R389" t="str">
        <f>IF(AllDataCorrected[[#This Row],[Nitrate (PPM)]]&gt;2, "4. Very high (&gt;2ppm)", IF(AllDataCorrected[[#This Row],[Nitrate (PPM)]]&gt;1, "3. High (1-2ppm)", IF(AllDataCorrected[[#This Row],[Nitrate (PPM)]]&gt;0.5, "2. Some evidence (0.5-1ppm)", IF(AllDataCorrected[[#This Row],[Nitrate (PPM)]]&gt;=0, "1. No evidence (&lt;0.5ppm)"))))</f>
        <v>4. Very high (&gt;2ppm)</v>
      </c>
      <c r="S389">
        <v>0.54</v>
      </c>
      <c r="T3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89">
        <v>0.65</v>
      </c>
    </row>
    <row r="390" spans="1:22" x14ac:dyDescent="0.35">
      <c r="A390" t="s">
        <v>632</v>
      </c>
      <c r="B390" s="2">
        <v>45325</v>
      </c>
      <c r="C390" t="str" cm="1">
        <f t="array" ref="C3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0">
        <v>2023</v>
      </c>
      <c r="E390" s="1">
        <v>0.48958333333333331</v>
      </c>
      <c r="F3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0" t="str">
        <f>_xlfn.XLOOKUP(AllDataCorrected[[#This Row],[Location Name]], Locations[Location Name],Locations[Group As])</f>
        <v>Carrant Bredon Rd</v>
      </c>
      <c r="H390" t="e" vm="4">
        <f>_xlfn.XLOOKUP(AllDataCorrected[[#This Row],[Site Name]],LocationsKey[Site Name],LocationsKey[District])</f>
        <v>#VALUE!</v>
      </c>
      <c r="I390" t="e" vm="4">
        <f>_xlfn.XLOOKUP(AllDataCorrected[[#This Row],[Site Name]],LocationsKey[Site Name],LocationsKey[Town])</f>
        <v>#VALUE!</v>
      </c>
      <c r="J390" t="str">
        <f>_xlfn.XLOOKUP(AllDataCorrected[[#This Row],[Site Name]],LocationsKey[Site Name], LocationsKey[Waterway])</f>
        <v>Carrant</v>
      </c>
      <c r="K390" t="s">
        <v>603</v>
      </c>
      <c r="L390">
        <f>_xlfn.XLOOKUP(AllDataCorrected[[#This Row],[Site Name]],Tables!$B$12:$B$100, Tables!C$12:C$100)</f>
        <v>51.996322536231894</v>
      </c>
      <c r="M390">
        <f>_xlfn.XLOOKUP(AllDataCorrected[[#This Row],[Site Name]],Tables!$B$12:$B$100, Tables!D$12:D$100)</f>
        <v>-2.1558410144927538</v>
      </c>
      <c r="N390" t="s">
        <v>25</v>
      </c>
      <c r="O390">
        <v>787</v>
      </c>
      <c r="P390">
        <v>11.2</v>
      </c>
      <c r="Q390">
        <v>4</v>
      </c>
      <c r="R390" t="str">
        <f>IF(AllDataCorrected[[#This Row],[Nitrate (PPM)]]&gt;2, "4. Very high (&gt;2ppm)", IF(AllDataCorrected[[#This Row],[Nitrate (PPM)]]&gt;1, "3. High (1-2ppm)", IF(AllDataCorrected[[#This Row],[Nitrate (PPM)]]&gt;0.5, "2. Some evidence (0.5-1ppm)", IF(AllDataCorrected[[#This Row],[Nitrate (PPM)]]&gt;=0, "1. No evidence (&lt;0.5ppm)"))))</f>
        <v>4. Very high (&gt;2ppm)</v>
      </c>
      <c r="S390">
        <v>0.24</v>
      </c>
      <c r="T3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0">
        <v>0.02</v>
      </c>
    </row>
    <row r="391" spans="1:22" x14ac:dyDescent="0.35">
      <c r="A391" t="s">
        <v>633</v>
      </c>
      <c r="B391" s="2">
        <v>45325</v>
      </c>
      <c r="C391" t="str" cm="1">
        <f t="array" ref="C3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1">
        <v>2023</v>
      </c>
      <c r="E391" s="1">
        <v>0.5</v>
      </c>
      <c r="F3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1" t="str">
        <f>_xlfn.XLOOKUP(AllDataCorrected[[#This Row],[Location Name]], Locations[Location Name],Locations[Group As])</f>
        <v>Black Bear</v>
      </c>
      <c r="H391" t="e" vm="4">
        <f>_xlfn.XLOOKUP(AllDataCorrected[[#This Row],[Site Name]],LocationsKey[Site Name],LocationsKey[District])</f>
        <v>#VALUE!</v>
      </c>
      <c r="I391" t="e" vm="4">
        <f>_xlfn.XLOOKUP(AllDataCorrected[[#This Row],[Site Name]],LocationsKey[Site Name],LocationsKey[Town])</f>
        <v>#VALUE!</v>
      </c>
      <c r="J391" t="str">
        <f>_xlfn.XLOOKUP(AllDataCorrected[[#This Row],[Site Name]],LocationsKey[Site Name], LocationsKey[Waterway])</f>
        <v>Avon</v>
      </c>
      <c r="K391" t="s">
        <v>572</v>
      </c>
      <c r="L391">
        <f>_xlfn.XLOOKUP(AllDataCorrected[[#This Row],[Site Name]],Tables!$B$12:$B$100, Tables!C$12:C$100)</f>
        <v>51.997466254237274</v>
      </c>
      <c r="M391">
        <f>_xlfn.XLOOKUP(AllDataCorrected[[#This Row],[Site Name]],Tables!$B$12:$B$100, Tables!D$12:D$100)</f>
        <v>-2.1561788644067801</v>
      </c>
      <c r="N391" t="s">
        <v>25</v>
      </c>
      <c r="O391">
        <v>840</v>
      </c>
      <c r="P391">
        <v>10</v>
      </c>
      <c r="Q391">
        <v>6</v>
      </c>
      <c r="R391" t="str">
        <f>IF(AllDataCorrected[[#This Row],[Nitrate (PPM)]]&gt;2, "4. Very high (&gt;2ppm)", IF(AllDataCorrected[[#This Row],[Nitrate (PPM)]]&gt;1, "3. High (1-2ppm)", IF(AllDataCorrected[[#This Row],[Nitrate (PPM)]]&gt;0.5, "2. Some evidence (0.5-1ppm)", IF(AllDataCorrected[[#This Row],[Nitrate (PPM)]]&gt;=0, "1. No evidence (&lt;0.5ppm)"))))</f>
        <v>4. Very high (&gt;2ppm)</v>
      </c>
      <c r="S391">
        <v>0.96</v>
      </c>
      <c r="T3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1">
        <v>0</v>
      </c>
    </row>
    <row r="392" spans="1:22" x14ac:dyDescent="0.35">
      <c r="A392" t="s">
        <v>634</v>
      </c>
      <c r="B392" s="2">
        <v>45326</v>
      </c>
      <c r="C392" t="str" cm="1">
        <f t="array" ref="C3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2">
        <v>2023</v>
      </c>
      <c r="E392" s="1">
        <v>0.5625</v>
      </c>
      <c r="F3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2" t="str">
        <f>_xlfn.XLOOKUP(AllDataCorrected[[#This Row],[Location Name]], Locations[Location Name],Locations[Group As])</f>
        <v>Clifford Chambers Mill Bridge</v>
      </c>
      <c r="H392" t="e" vm="1">
        <f>_xlfn.XLOOKUP(AllDataCorrected[[#This Row],[Site Name]],LocationsKey[Site Name],LocationsKey[District])</f>
        <v>#VALUE!</v>
      </c>
      <c r="I392" t="e" vm="22">
        <f>_xlfn.XLOOKUP(AllDataCorrected[[#This Row],[Site Name]],LocationsKey[Site Name],LocationsKey[Town])</f>
        <v>#VALUE!</v>
      </c>
      <c r="J392" t="str">
        <f>_xlfn.XLOOKUP(AllDataCorrected[[#This Row],[Site Name]],LocationsKey[Site Name], LocationsKey[Waterway])</f>
        <v>Stour</v>
      </c>
      <c r="K392" t="s">
        <v>266</v>
      </c>
      <c r="L392">
        <f>_xlfn.XLOOKUP(AllDataCorrected[[#This Row],[Site Name]],Tables!$B$12:$B$100, Tables!C$12:C$100)</f>
        <v>52.166363596153808</v>
      </c>
      <c r="M392">
        <f>_xlfn.XLOOKUP(AllDataCorrected[[#This Row],[Site Name]],Tables!$B$12:$B$100, Tables!D$12:D$100)</f>
        <v>-1.7080375384615398</v>
      </c>
      <c r="N392" t="s">
        <v>68</v>
      </c>
      <c r="O392">
        <v>668</v>
      </c>
      <c r="P392">
        <v>12.3</v>
      </c>
      <c r="Q392">
        <v>5</v>
      </c>
      <c r="R392" t="str">
        <f>IF(AllDataCorrected[[#This Row],[Nitrate (PPM)]]&gt;2, "4. Very high (&gt;2ppm)", IF(AllDataCorrected[[#This Row],[Nitrate (PPM)]]&gt;1, "3. High (1-2ppm)", IF(AllDataCorrected[[#This Row],[Nitrate (PPM)]]&gt;0.5, "2. Some evidence (0.5-1ppm)", IF(AllDataCorrected[[#This Row],[Nitrate (PPM)]]&gt;=0, "1. No evidence (&lt;0.5ppm)"))))</f>
        <v>4. Very high (&gt;2ppm)</v>
      </c>
      <c r="S392">
        <v>0.5</v>
      </c>
      <c r="T3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2">
        <v>0.7</v>
      </c>
    </row>
    <row r="393" spans="1:22" x14ac:dyDescent="0.35">
      <c r="A393" t="s">
        <v>635</v>
      </c>
      <c r="B393" s="2">
        <v>45326</v>
      </c>
      <c r="C393" t="str" cm="1">
        <f t="array" ref="C3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3">
        <v>2023</v>
      </c>
      <c r="E393" s="1">
        <v>0.625</v>
      </c>
      <c r="F3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3" t="str">
        <f>_xlfn.XLOOKUP(AllDataCorrected[[#This Row],[Location Name]], Locations[Location Name],Locations[Group As])</f>
        <v>Sherbourne Brook 1</v>
      </c>
      <c r="H393" t="e" vm="1">
        <f>_xlfn.XLOOKUP(AllDataCorrected[[#This Row],[Site Name]],LocationsKey[Site Name],LocationsKey[District])</f>
        <v>#VALUE!</v>
      </c>
      <c r="I393" t="e" vm="23">
        <f>_xlfn.XLOOKUP(AllDataCorrected[[#This Row],[Site Name]],LocationsKey[Site Name],LocationsKey[Town])</f>
        <v>#VALUE!</v>
      </c>
      <c r="J393" t="str">
        <f>_xlfn.XLOOKUP(AllDataCorrected[[#This Row],[Site Name]],LocationsKey[Site Name], LocationsKey[Waterway])</f>
        <v>Sherbourne Brook</v>
      </c>
      <c r="K393" t="s">
        <v>541</v>
      </c>
      <c r="L393">
        <f>_xlfn.XLOOKUP(AllDataCorrected[[#This Row],[Site Name]],Tables!$B$12:$B$100, Tables!C$12:C$100)</f>
        <v>52.252500000000033</v>
      </c>
      <c r="M393">
        <f>_xlfn.XLOOKUP(AllDataCorrected[[#This Row],[Site Name]],Tables!$B$12:$B$100, Tables!D$12:D$100)</f>
        <v>-1.6685000000000012</v>
      </c>
      <c r="N393" t="s">
        <v>25</v>
      </c>
      <c r="O393">
        <v>1100</v>
      </c>
      <c r="P393">
        <v>11.1</v>
      </c>
      <c r="Q393">
        <v>12</v>
      </c>
      <c r="R393" t="str">
        <f>IF(AllDataCorrected[[#This Row],[Nitrate (PPM)]]&gt;2, "4. Very high (&gt;2ppm)", IF(AllDataCorrected[[#This Row],[Nitrate (PPM)]]&gt;1, "3. High (1-2ppm)", IF(AllDataCorrected[[#This Row],[Nitrate (PPM)]]&gt;0.5, "2. Some evidence (0.5-1ppm)", IF(AllDataCorrected[[#This Row],[Nitrate (PPM)]]&gt;=0, "1. No evidence (&lt;0.5ppm)"))))</f>
        <v>4. Very high (&gt;2ppm)</v>
      </c>
      <c r="S393">
        <v>0.45</v>
      </c>
      <c r="T3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3">
        <v>0.5</v>
      </c>
    </row>
    <row r="394" spans="1:22" x14ac:dyDescent="0.35">
      <c r="A394" t="s">
        <v>636</v>
      </c>
      <c r="B394" s="2">
        <v>45326</v>
      </c>
      <c r="C394" t="str" cm="1">
        <f t="array" ref="C3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4">
        <v>2023</v>
      </c>
      <c r="E394" s="1">
        <v>0.63541666666666663</v>
      </c>
      <c r="F3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4" t="str">
        <f>_xlfn.XLOOKUP(AllDataCorrected[[#This Row],[Location Name]], Locations[Location Name],Locations[Group As])</f>
        <v>Bell Brook 1</v>
      </c>
      <c r="H394" t="e" vm="1">
        <f>_xlfn.XLOOKUP(AllDataCorrected[[#This Row],[Site Name]],LocationsKey[Site Name],LocationsKey[District])</f>
        <v>#VALUE!</v>
      </c>
      <c r="I394" t="e" vm="19">
        <f>_xlfn.XLOOKUP(AllDataCorrected[[#This Row],[Site Name]],LocationsKey[Site Name],LocationsKey[Town])</f>
        <v>#VALUE!</v>
      </c>
      <c r="J394" t="str">
        <f>_xlfn.XLOOKUP(AllDataCorrected[[#This Row],[Site Name]],LocationsKey[Site Name], LocationsKey[Waterway])</f>
        <v>Bell Brook</v>
      </c>
      <c r="K394" t="s">
        <v>538</v>
      </c>
      <c r="L394">
        <f>_xlfn.XLOOKUP(AllDataCorrected[[#This Row],[Site Name]],Tables!$B$12:$B$100, Tables!C$12:C$100)</f>
        <v>52.24489999999998</v>
      </c>
      <c r="M394">
        <f>_xlfn.XLOOKUP(AllDataCorrected[[#This Row],[Site Name]],Tables!$B$12:$B$100, Tables!D$12:D$100)</f>
        <v>-1.6617000000000013</v>
      </c>
      <c r="N394" t="s">
        <v>25</v>
      </c>
      <c r="O394">
        <v>725</v>
      </c>
      <c r="P394">
        <v>11.1</v>
      </c>
      <c r="Q394">
        <v>10</v>
      </c>
      <c r="R394" t="str">
        <f>IF(AllDataCorrected[[#This Row],[Nitrate (PPM)]]&gt;2, "4. Very high (&gt;2ppm)", IF(AllDataCorrected[[#This Row],[Nitrate (PPM)]]&gt;1, "3. High (1-2ppm)", IF(AllDataCorrected[[#This Row],[Nitrate (PPM)]]&gt;0.5, "2. Some evidence (0.5-1ppm)", IF(AllDataCorrected[[#This Row],[Nitrate (PPM)]]&gt;=0, "1. No evidence (&lt;0.5ppm)"))))</f>
        <v>4. Very high (&gt;2ppm)</v>
      </c>
      <c r="S394">
        <v>0.5</v>
      </c>
      <c r="T3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394">
        <v>0.5</v>
      </c>
    </row>
    <row r="395" spans="1:22" x14ac:dyDescent="0.35">
      <c r="A395" t="s">
        <v>637</v>
      </c>
      <c r="B395" s="2">
        <v>45327</v>
      </c>
      <c r="C395" t="str" cm="1">
        <f t="array" ref="C3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5">
        <v>2023</v>
      </c>
      <c r="E395" s="1">
        <v>0.35694444444444445</v>
      </c>
      <c r="F3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5" t="str">
        <f>_xlfn.XLOOKUP(AllDataCorrected[[#This Row],[Location Name]], Locations[Location Name],Locations[Group As])</f>
        <v>Stour Stretton-on-Fosse Village</v>
      </c>
      <c r="H395" t="e" vm="1">
        <f>_xlfn.XLOOKUP(AllDataCorrected[[#This Row],[Site Name]],LocationsKey[Site Name],LocationsKey[District])</f>
        <v>#VALUE!</v>
      </c>
      <c r="I395" t="e" vm="30">
        <f>_xlfn.XLOOKUP(AllDataCorrected[[#This Row],[Site Name]],LocationsKey[Site Name],LocationsKey[Town])</f>
        <v>#VALUE!</v>
      </c>
      <c r="J395" t="str">
        <f>_xlfn.XLOOKUP(AllDataCorrected[[#This Row],[Site Name]],LocationsKey[Site Name], LocationsKey[Waterway])</f>
        <v>Stour</v>
      </c>
      <c r="K395" t="s">
        <v>548</v>
      </c>
      <c r="L395">
        <f>_xlfn.XLOOKUP(AllDataCorrected[[#This Row],[Site Name]],Tables!$B$12:$B$100, Tables!C$12:C$100)</f>
        <v>52.046517558823531</v>
      </c>
      <c r="M395">
        <f>_xlfn.XLOOKUP(AllDataCorrected[[#This Row],[Site Name]],Tables!$B$12:$B$100, Tables!D$12:D$100)</f>
        <v>-1.6734143529411762</v>
      </c>
      <c r="N395" t="s">
        <v>68</v>
      </c>
      <c r="O395">
        <v>751</v>
      </c>
      <c r="P395">
        <v>9.1999999999999993</v>
      </c>
      <c r="Q395">
        <v>2</v>
      </c>
      <c r="R395" t="str">
        <f>IF(AllDataCorrected[[#This Row],[Nitrate (PPM)]]&gt;2, "4. Very high (&gt;2ppm)", IF(AllDataCorrected[[#This Row],[Nitrate (PPM)]]&gt;1, "3. High (1-2ppm)", IF(AllDataCorrected[[#This Row],[Nitrate (PPM)]]&gt;0.5, "2. Some evidence (0.5-1ppm)", IF(AllDataCorrected[[#This Row],[Nitrate (PPM)]]&gt;=0, "1. No evidence (&lt;0.5ppm)"))))</f>
        <v>3. High (1-2ppm)</v>
      </c>
      <c r="S395">
        <v>1.45</v>
      </c>
      <c r="T3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5">
        <v>0.2</v>
      </c>
    </row>
    <row r="396" spans="1:22" x14ac:dyDescent="0.35">
      <c r="A396" t="s">
        <v>638</v>
      </c>
      <c r="B396" s="2">
        <v>45327</v>
      </c>
      <c r="C396" t="str" cm="1">
        <f t="array" ref="C3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6">
        <v>2023</v>
      </c>
      <c r="E396" s="1">
        <v>0.375</v>
      </c>
      <c r="F39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396" t="str">
        <f>_xlfn.XLOOKUP(AllDataCorrected[[#This Row],[Location Name]], Locations[Location Name],Locations[Group As])</f>
        <v>Stour Stretton-on-Fosse Sewage Works</v>
      </c>
      <c r="H396" t="e" vm="1">
        <f>_xlfn.XLOOKUP(AllDataCorrected[[#This Row],[Site Name]],LocationsKey[Site Name],LocationsKey[District])</f>
        <v>#VALUE!</v>
      </c>
      <c r="I396" t="e" vm="30">
        <f>_xlfn.XLOOKUP(AllDataCorrected[[#This Row],[Site Name]],LocationsKey[Site Name],LocationsKey[Town])</f>
        <v>#VALUE!</v>
      </c>
      <c r="J396" t="str">
        <f>_xlfn.XLOOKUP(AllDataCorrected[[#This Row],[Site Name]],LocationsKey[Site Name], LocationsKey[Waterway])</f>
        <v>Stour</v>
      </c>
      <c r="K396" t="s">
        <v>337</v>
      </c>
      <c r="L396">
        <f>_xlfn.XLOOKUP(AllDataCorrected[[#This Row],[Site Name]],Tables!$B$12:$B$100, Tables!C$12:C$100)</f>
        <v>52.045653647058828</v>
      </c>
      <c r="M396">
        <f>_xlfn.XLOOKUP(AllDataCorrected[[#This Row],[Site Name]],Tables!$B$12:$B$100, Tables!D$12:D$100)</f>
        <v>-1.6719221470588239</v>
      </c>
      <c r="N396" t="s">
        <v>31</v>
      </c>
      <c r="O396">
        <v>787</v>
      </c>
      <c r="P396">
        <v>8.6</v>
      </c>
      <c r="Q396">
        <v>5</v>
      </c>
      <c r="R396" t="str">
        <f>IF(AllDataCorrected[[#This Row],[Nitrate (PPM)]]&gt;2, "4. Very high (&gt;2ppm)", IF(AllDataCorrected[[#This Row],[Nitrate (PPM)]]&gt;1, "3. High (1-2ppm)", IF(AllDataCorrected[[#This Row],[Nitrate (PPM)]]&gt;0.5, "2. Some evidence (0.5-1ppm)", IF(AllDataCorrected[[#This Row],[Nitrate (PPM)]]&gt;=0, "1. No evidence (&lt;0.5ppm)"))))</f>
        <v>4. Very high (&gt;2ppm)</v>
      </c>
      <c r="S396">
        <v>2.5</v>
      </c>
      <c r="T3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6">
        <v>0.3</v>
      </c>
      <c r="V396" t="s">
        <v>639</v>
      </c>
    </row>
    <row r="397" spans="1:22" x14ac:dyDescent="0.35">
      <c r="A397" t="s">
        <v>640</v>
      </c>
      <c r="B397" s="2">
        <v>45327</v>
      </c>
      <c r="C397" t="str" cm="1">
        <f t="array" ref="C3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7">
        <v>2023</v>
      </c>
      <c r="E397" s="1">
        <v>0.57499999999999996</v>
      </c>
      <c r="F3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7" t="str">
        <f>_xlfn.XLOOKUP(AllDataCorrected[[#This Row],[Location Name]], Locations[Location Name],Locations[Group As])</f>
        <v>Swiffen Bank</v>
      </c>
      <c r="H397" t="e" vm="1">
        <f>_xlfn.XLOOKUP(AllDataCorrected[[#This Row],[Site Name]],LocationsKey[Site Name],LocationsKey[District])</f>
        <v>#VALUE!</v>
      </c>
      <c r="I397" t="e" vm="2">
        <f>_xlfn.XLOOKUP(AllDataCorrected[[#This Row],[Site Name]],LocationsKey[Site Name],LocationsKey[Town])</f>
        <v>#VALUE!</v>
      </c>
      <c r="J397" t="str">
        <f>_xlfn.XLOOKUP(AllDataCorrected[[#This Row],[Site Name]],LocationsKey[Site Name], LocationsKey[Waterway])</f>
        <v>Avon</v>
      </c>
      <c r="K397" t="s">
        <v>445</v>
      </c>
      <c r="L397">
        <f>_xlfn.XLOOKUP(AllDataCorrected[[#This Row],[Site Name]],Tables!$B$12:$B$100, Tables!C$12:C$100)</f>
        <v>52.206649805555557</v>
      </c>
      <c r="M397">
        <f>_xlfn.XLOOKUP(AllDataCorrected[[#This Row],[Site Name]],Tables!$B$12:$B$100, Tables!D$12:D$100)</f>
        <v>-1.6541018611111094</v>
      </c>
      <c r="N397" t="s">
        <v>31</v>
      </c>
      <c r="O397">
        <v>699</v>
      </c>
      <c r="P397">
        <v>11.2</v>
      </c>
      <c r="Q397">
        <v>10</v>
      </c>
      <c r="R397" t="str">
        <f>IF(AllDataCorrected[[#This Row],[Nitrate (PPM)]]&gt;2, "4. Very high (&gt;2ppm)", IF(AllDataCorrected[[#This Row],[Nitrate (PPM)]]&gt;1, "3. High (1-2ppm)", IF(AllDataCorrected[[#This Row],[Nitrate (PPM)]]&gt;0.5, "2. Some evidence (0.5-1ppm)", IF(AllDataCorrected[[#This Row],[Nitrate (PPM)]]&gt;=0, "1. No evidence (&lt;0.5ppm)"))))</f>
        <v>4. Very high (&gt;2ppm)</v>
      </c>
      <c r="S397">
        <v>0.7</v>
      </c>
      <c r="T3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7">
        <v>0</v>
      </c>
    </row>
    <row r="398" spans="1:22" x14ac:dyDescent="0.35">
      <c r="A398" t="s">
        <v>641</v>
      </c>
      <c r="B398" s="2">
        <v>45327</v>
      </c>
      <c r="C398" t="str" cm="1">
        <f t="array" ref="C3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8">
        <v>2023</v>
      </c>
      <c r="E398" s="1">
        <v>0.59583333333333333</v>
      </c>
      <c r="F3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8" t="str">
        <f>_xlfn.XLOOKUP(AllDataCorrected[[#This Row],[Location Name]], Locations[Location Name],Locations[Group As])</f>
        <v>Alveston Weir</v>
      </c>
      <c r="H398" t="e" vm="1">
        <f>_xlfn.XLOOKUP(AllDataCorrected[[#This Row],[Site Name]],LocationsKey[Site Name],LocationsKey[District])</f>
        <v>#VALUE!</v>
      </c>
      <c r="I398" t="e" vm="2">
        <f>_xlfn.XLOOKUP(AllDataCorrected[[#This Row],[Site Name]],LocationsKey[Site Name],LocationsKey[Town])</f>
        <v>#VALUE!</v>
      </c>
      <c r="J398" t="str">
        <f>_xlfn.XLOOKUP(AllDataCorrected[[#This Row],[Site Name]],LocationsKey[Site Name], LocationsKey[Waterway])</f>
        <v>Avon</v>
      </c>
      <c r="K398" t="s">
        <v>642</v>
      </c>
      <c r="L398">
        <f>_xlfn.XLOOKUP(AllDataCorrected[[#This Row],[Site Name]],Tables!$B$12:$B$100, Tables!C$12:C$100)</f>
        <v>52.21226301333337</v>
      </c>
      <c r="M398">
        <f>_xlfn.XLOOKUP(AllDataCorrected[[#This Row],[Site Name]],Tables!$B$12:$B$100, Tables!D$12:D$100)</f>
        <v>-1.6595226800000011</v>
      </c>
      <c r="N398" t="s">
        <v>31</v>
      </c>
      <c r="O398">
        <v>704</v>
      </c>
      <c r="P398">
        <v>10.4</v>
      </c>
      <c r="Q398">
        <v>5</v>
      </c>
      <c r="R398" t="str">
        <f>IF(AllDataCorrected[[#This Row],[Nitrate (PPM)]]&gt;2, "4. Very high (&gt;2ppm)", IF(AllDataCorrected[[#This Row],[Nitrate (PPM)]]&gt;1, "3. High (1-2ppm)", IF(AllDataCorrected[[#This Row],[Nitrate (PPM)]]&gt;0.5, "2. Some evidence (0.5-1ppm)", IF(AllDataCorrected[[#This Row],[Nitrate (PPM)]]&gt;=0, "1. No evidence (&lt;0.5ppm)"))))</f>
        <v>4. Very high (&gt;2ppm)</v>
      </c>
      <c r="S398">
        <v>0.69</v>
      </c>
      <c r="T3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8">
        <v>-0.5</v>
      </c>
    </row>
    <row r="399" spans="1:22" x14ac:dyDescent="0.35">
      <c r="A399" t="s">
        <v>643</v>
      </c>
      <c r="B399" s="2">
        <v>45327</v>
      </c>
      <c r="C399" t="str" cm="1">
        <f t="array" ref="C3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399">
        <v>2023</v>
      </c>
      <c r="E399" s="1">
        <v>0.61458333333333337</v>
      </c>
      <c r="F3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399" t="str">
        <f>_xlfn.XLOOKUP(AllDataCorrected[[#This Row],[Location Name]], Locations[Location Name],Locations[Group As])</f>
        <v>Abbey Mill</v>
      </c>
      <c r="H399" t="e" vm="4">
        <f>_xlfn.XLOOKUP(AllDataCorrected[[#This Row],[Site Name]],LocationsKey[Site Name],LocationsKey[District])</f>
        <v>#VALUE!</v>
      </c>
      <c r="I399" t="e" vm="4">
        <f>_xlfn.XLOOKUP(AllDataCorrected[[#This Row],[Site Name]],LocationsKey[Site Name],LocationsKey[Town])</f>
        <v>#VALUE!</v>
      </c>
      <c r="J399" t="str">
        <f>_xlfn.XLOOKUP(AllDataCorrected[[#This Row],[Site Name]],LocationsKey[Site Name], LocationsKey[Waterway])</f>
        <v>Avon</v>
      </c>
      <c r="K399" t="s">
        <v>27</v>
      </c>
      <c r="L399">
        <f>_xlfn.XLOOKUP(AllDataCorrected[[#This Row],[Site Name]],Tables!$B$12:$B$100, Tables!C$12:C$100)</f>
        <v>51.991313075757589</v>
      </c>
      <c r="M399">
        <f>_xlfn.XLOOKUP(AllDataCorrected[[#This Row],[Site Name]],Tables!$B$12:$B$100, Tables!D$12:D$100)</f>
        <v>-2.1621998181818181</v>
      </c>
      <c r="N399" t="s">
        <v>25</v>
      </c>
      <c r="O399">
        <v>906</v>
      </c>
      <c r="P399">
        <v>9.6999999999999993</v>
      </c>
      <c r="Q399">
        <v>5</v>
      </c>
      <c r="R399" t="str">
        <f>IF(AllDataCorrected[[#This Row],[Nitrate (PPM)]]&gt;2, "4. Very high (&gt;2ppm)", IF(AllDataCorrected[[#This Row],[Nitrate (PPM)]]&gt;1, "3. High (1-2ppm)", IF(AllDataCorrected[[#This Row],[Nitrate (PPM)]]&gt;0.5, "2. Some evidence (0.5-1ppm)", IF(AllDataCorrected[[#This Row],[Nitrate (PPM)]]&gt;=0, "1. No evidence (&lt;0.5ppm)"))))</f>
        <v>4. Very high (&gt;2ppm)</v>
      </c>
      <c r="S399">
        <v>0.63</v>
      </c>
      <c r="T3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399">
        <v>0.5</v>
      </c>
      <c r="V399" t="s">
        <v>644</v>
      </c>
    </row>
    <row r="400" spans="1:22" x14ac:dyDescent="0.35">
      <c r="A400" t="s">
        <v>645</v>
      </c>
      <c r="B400" s="2">
        <v>45329</v>
      </c>
      <c r="C400" t="str" cm="1">
        <f t="array" ref="C4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0">
        <v>2023</v>
      </c>
      <c r="E400" s="1">
        <v>0.625</v>
      </c>
      <c r="F4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0" t="str">
        <f>_xlfn.XLOOKUP(AllDataCorrected[[#This Row],[Location Name]], Locations[Location Name],Locations[Group As])</f>
        <v>Stour Newbold Mill</v>
      </c>
      <c r="H400" t="e" vm="1">
        <f>_xlfn.XLOOKUP(AllDataCorrected[[#This Row],[Site Name]],LocationsKey[Site Name],LocationsKey[District])</f>
        <v>#VALUE!</v>
      </c>
      <c r="I400" t="e" vm="27">
        <f>_xlfn.XLOOKUP(AllDataCorrected[[#This Row],[Site Name]],LocationsKey[Site Name],LocationsKey[Town])</f>
        <v>#VALUE!</v>
      </c>
      <c r="J400" t="str">
        <f>_xlfn.XLOOKUP(AllDataCorrected[[#This Row],[Site Name]],LocationsKey[Site Name], LocationsKey[Waterway])</f>
        <v>Stour</v>
      </c>
      <c r="K400" t="s">
        <v>141</v>
      </c>
      <c r="L400">
        <f>_xlfn.XLOOKUP(AllDataCorrected[[#This Row],[Site Name]],Tables!$B$12:$B$100, Tables!C$12:C$100)</f>
        <v>52.113052370370369</v>
      </c>
      <c r="M400">
        <f>_xlfn.XLOOKUP(AllDataCorrected[[#This Row],[Site Name]],Tables!$B$12:$B$100, Tables!D$12:D$100)</f>
        <v>-1.6333685185185181</v>
      </c>
      <c r="N400" t="s">
        <v>68</v>
      </c>
      <c r="O400">
        <v>606</v>
      </c>
      <c r="P400">
        <v>8.1</v>
      </c>
      <c r="Q400">
        <v>2</v>
      </c>
      <c r="R400" t="str">
        <f>IF(AllDataCorrected[[#This Row],[Nitrate (PPM)]]&gt;2, "4. Very high (&gt;2ppm)", IF(AllDataCorrected[[#This Row],[Nitrate (PPM)]]&gt;1, "3. High (1-2ppm)", IF(AllDataCorrected[[#This Row],[Nitrate (PPM)]]&gt;0.5, "2. Some evidence (0.5-1ppm)", IF(AllDataCorrected[[#This Row],[Nitrate (PPM)]]&gt;=0, "1. No evidence (&lt;0.5ppm)"))))</f>
        <v>3. High (1-2ppm)</v>
      </c>
      <c r="S400">
        <v>0.25</v>
      </c>
      <c r="T4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0">
        <v>3.5</v>
      </c>
      <c r="V400" t="s">
        <v>646</v>
      </c>
    </row>
    <row r="401" spans="1:22" x14ac:dyDescent="0.35">
      <c r="A401" t="s">
        <v>647</v>
      </c>
      <c r="B401" s="2">
        <v>45330</v>
      </c>
      <c r="C401" t="str" cm="1">
        <f t="array" ref="C4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1">
        <v>2023</v>
      </c>
      <c r="E401" s="1">
        <v>0.47916666666666669</v>
      </c>
      <c r="F4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1" t="str">
        <f>_xlfn.XLOOKUP(AllDataCorrected[[#This Row],[Location Name]], Locations[Location Name],Locations[Group As])</f>
        <v>Stour Willington</v>
      </c>
      <c r="H401" t="e" vm="1">
        <f>_xlfn.XLOOKUP(AllDataCorrected[[#This Row],[Site Name]],LocationsKey[Site Name],LocationsKey[District])</f>
        <v>#VALUE!</v>
      </c>
      <c r="I401" t="str">
        <f>_xlfn.XLOOKUP(AllDataCorrected[[#This Row],[Site Name]],LocationsKey[Site Name],LocationsKey[Town])</f>
        <v>Willington</v>
      </c>
      <c r="J401" t="str">
        <f>_xlfn.XLOOKUP(AllDataCorrected[[#This Row],[Site Name]],LocationsKey[Site Name], LocationsKey[Waterway])</f>
        <v>Stour</v>
      </c>
      <c r="K401" t="s">
        <v>521</v>
      </c>
      <c r="L401">
        <f>_xlfn.XLOOKUP(AllDataCorrected[[#This Row],[Site Name]],Tables!$B$12:$B$100, Tables!C$12:C$100)</f>
        <v>52.053227523809518</v>
      </c>
      <c r="M401">
        <f>_xlfn.XLOOKUP(AllDataCorrected[[#This Row],[Site Name]],Tables!$B$12:$B$100, Tables!D$12:D$100)</f>
        <v>-1.6194739523809523</v>
      </c>
      <c r="N401" t="s">
        <v>25</v>
      </c>
      <c r="O401">
        <v>465</v>
      </c>
      <c r="P401">
        <v>8.6999999999999993</v>
      </c>
      <c r="Q401">
        <v>0.5</v>
      </c>
      <c r="R40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01">
        <v>0.28999999999999998</v>
      </c>
      <c r="T4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1">
        <v>1</v>
      </c>
    </row>
    <row r="402" spans="1:22" x14ac:dyDescent="0.35">
      <c r="A402" t="s">
        <v>648</v>
      </c>
      <c r="B402" s="2">
        <v>45330</v>
      </c>
      <c r="C402" t="str" cm="1">
        <f t="array" ref="C4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2">
        <v>2023</v>
      </c>
      <c r="E402" s="1">
        <v>0.5</v>
      </c>
      <c r="F4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2" t="str">
        <f>_xlfn.XLOOKUP(AllDataCorrected[[#This Row],[Location Name]], Locations[Location Name],Locations[Group As])</f>
        <v>Swilgate</v>
      </c>
      <c r="H402" t="e" vm="4">
        <f>_xlfn.XLOOKUP(AllDataCorrected[[#This Row],[Site Name]],LocationsKey[Site Name],LocationsKey[District])</f>
        <v>#VALUE!</v>
      </c>
      <c r="I402" t="e" vm="4">
        <f>_xlfn.XLOOKUP(AllDataCorrected[[#This Row],[Site Name]],LocationsKey[Site Name],LocationsKey[Town])</f>
        <v>#VALUE!</v>
      </c>
      <c r="J402" t="str">
        <f>_xlfn.XLOOKUP(AllDataCorrected[[#This Row],[Site Name]],LocationsKey[Site Name], LocationsKey[Waterway])</f>
        <v>Swilgate</v>
      </c>
      <c r="K402" t="s">
        <v>85</v>
      </c>
      <c r="L402">
        <f>_xlfn.XLOOKUP(AllDataCorrected[[#This Row],[Site Name]],Tables!$B$12:$B$100, Tables!C$12:C$100)</f>
        <v>51.988591500000005</v>
      </c>
      <c r="M402">
        <f>_xlfn.XLOOKUP(AllDataCorrected[[#This Row],[Site Name]],Tables!$B$12:$B$100, Tables!D$12:D$100)</f>
        <v>-2.163898333333333</v>
      </c>
      <c r="N402" t="s">
        <v>25</v>
      </c>
      <c r="O402">
        <v>830</v>
      </c>
      <c r="P402">
        <v>9.6</v>
      </c>
      <c r="Q402">
        <v>3</v>
      </c>
      <c r="R402" t="str">
        <f>IF(AllDataCorrected[[#This Row],[Nitrate (PPM)]]&gt;2, "4. Very high (&gt;2ppm)", IF(AllDataCorrected[[#This Row],[Nitrate (PPM)]]&gt;1, "3. High (1-2ppm)", IF(AllDataCorrected[[#This Row],[Nitrate (PPM)]]&gt;0.5, "2. Some evidence (0.5-1ppm)", IF(AllDataCorrected[[#This Row],[Nitrate (PPM)]]&gt;=0, "1. No evidence (&lt;0.5ppm)"))))</f>
        <v>4. Very high (&gt;2ppm)</v>
      </c>
      <c r="S402">
        <v>0.45</v>
      </c>
      <c r="T40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2">
        <v>2</v>
      </c>
    </row>
    <row r="403" spans="1:22" x14ac:dyDescent="0.35">
      <c r="A403" t="s">
        <v>649</v>
      </c>
      <c r="B403" s="2">
        <v>45330</v>
      </c>
      <c r="C403" t="str" cm="1">
        <f t="array" ref="C4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3">
        <v>2023</v>
      </c>
      <c r="E403" s="1">
        <v>0.55625000000000002</v>
      </c>
      <c r="F4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3" t="str">
        <f>_xlfn.XLOOKUP(AllDataCorrected[[#This Row],[Location Name]], Locations[Location Name],Locations[Group As])</f>
        <v>Preston-on-Stour River Bridge</v>
      </c>
      <c r="H403" t="e" vm="1">
        <f>_xlfn.XLOOKUP(AllDataCorrected[[#This Row],[Site Name]],LocationsKey[Site Name],LocationsKey[District])</f>
        <v>#VALUE!</v>
      </c>
      <c r="I403" t="e" vm="20">
        <f>_xlfn.XLOOKUP(AllDataCorrected[[#This Row],[Site Name]],LocationsKey[Site Name],LocationsKey[Town])</f>
        <v>#VALUE!</v>
      </c>
      <c r="J403" t="str">
        <f>_xlfn.XLOOKUP(AllDataCorrected[[#This Row],[Site Name]],LocationsKey[Site Name], LocationsKey[Waterway])</f>
        <v>Stour</v>
      </c>
      <c r="K403" t="s">
        <v>164</v>
      </c>
      <c r="L403">
        <f>_xlfn.XLOOKUP(AllDataCorrected[[#This Row],[Site Name]],Tables!$B$12:$B$100, Tables!C$12:C$100)</f>
        <v>52.146672352941174</v>
      </c>
      <c r="M403">
        <f>_xlfn.XLOOKUP(AllDataCorrected[[#This Row],[Site Name]],Tables!$B$12:$B$100, Tables!D$12:D$100)</f>
        <v>-1.6984533333333334</v>
      </c>
      <c r="N403" t="s">
        <v>31</v>
      </c>
      <c r="O403">
        <v>547</v>
      </c>
      <c r="P403">
        <v>8.1</v>
      </c>
      <c r="Q403">
        <v>6</v>
      </c>
      <c r="R403" t="str">
        <f>IF(AllDataCorrected[[#This Row],[Nitrate (PPM)]]&gt;2, "4. Very high (&gt;2ppm)", IF(AllDataCorrected[[#This Row],[Nitrate (PPM)]]&gt;1, "3. High (1-2ppm)", IF(AllDataCorrected[[#This Row],[Nitrate (PPM)]]&gt;0.5, "2. Some evidence (0.5-1ppm)", IF(AllDataCorrected[[#This Row],[Nitrate (PPM)]]&gt;=0, "1. No evidence (&lt;0.5ppm)"))))</f>
        <v>4. Very high (&gt;2ppm)</v>
      </c>
      <c r="S403">
        <v>0.22</v>
      </c>
      <c r="T4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3">
        <v>2</v>
      </c>
      <c r="V403" t="s">
        <v>650</v>
      </c>
    </row>
    <row r="404" spans="1:22" x14ac:dyDescent="0.35">
      <c r="A404" t="s">
        <v>651</v>
      </c>
      <c r="B404" s="2">
        <v>45331</v>
      </c>
      <c r="C404" t="str" cm="1">
        <f t="array" ref="C4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4">
        <v>2023</v>
      </c>
      <c r="E404" s="1">
        <v>0.61458333333333337</v>
      </c>
      <c r="F4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4" t="str">
        <f>_xlfn.XLOOKUP(AllDataCorrected[[#This Row],[Location Name]], Locations[Location Name],Locations[Group As])</f>
        <v>Preston Bagot Canal</v>
      </c>
      <c r="H404" t="e" vm="1">
        <f>_xlfn.XLOOKUP(AllDataCorrected[[#This Row],[Site Name]],LocationsKey[Site Name],LocationsKey[District])</f>
        <v>#VALUE!</v>
      </c>
      <c r="I404" t="e" vm="21">
        <f>_xlfn.XLOOKUP(AllDataCorrected[[#This Row],[Site Name]],LocationsKey[Site Name],LocationsKey[Town])</f>
        <v>#VALUE!</v>
      </c>
      <c r="J404" t="str">
        <f>_xlfn.XLOOKUP(AllDataCorrected[[#This Row],[Site Name]],LocationsKey[Site Name], LocationsKey[Waterway])</f>
        <v>Preston Bagot Canal</v>
      </c>
      <c r="K404" t="s">
        <v>618</v>
      </c>
      <c r="L404">
        <f>_xlfn.XLOOKUP(AllDataCorrected[[#This Row],[Site Name]],Tables!$B$12:$B$100, Tables!C$12:C$100)</f>
        <v>52.286975789473694</v>
      </c>
      <c r="M404">
        <f>_xlfn.XLOOKUP(AllDataCorrected[[#This Row],[Site Name]],Tables!$B$12:$B$100, Tables!D$12:D$100)</f>
        <v>-1.5622505263157891</v>
      </c>
      <c r="N404" t="s">
        <v>25</v>
      </c>
      <c r="O404">
        <v>328</v>
      </c>
      <c r="P404">
        <v>11.5</v>
      </c>
      <c r="Q404">
        <v>2</v>
      </c>
      <c r="R404" t="str">
        <f>IF(AllDataCorrected[[#This Row],[Nitrate (PPM)]]&gt;2, "4. Very high (&gt;2ppm)", IF(AllDataCorrected[[#This Row],[Nitrate (PPM)]]&gt;1, "3. High (1-2ppm)", IF(AllDataCorrected[[#This Row],[Nitrate (PPM)]]&gt;0.5, "2. Some evidence (0.5-1ppm)", IF(AllDataCorrected[[#This Row],[Nitrate (PPM)]]&gt;=0, "1. No evidence (&lt;0.5ppm)"))))</f>
        <v>3. High (1-2ppm)</v>
      </c>
      <c r="S404">
        <v>0.37</v>
      </c>
      <c r="T4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4">
        <v>0</v>
      </c>
    </row>
    <row r="405" spans="1:22" x14ac:dyDescent="0.35">
      <c r="A405" t="s">
        <v>652</v>
      </c>
      <c r="B405" s="2">
        <v>45331</v>
      </c>
      <c r="C405" t="str" cm="1">
        <f t="array" ref="C4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5">
        <v>2023</v>
      </c>
      <c r="E405" s="1">
        <v>0.625</v>
      </c>
      <c r="F4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5" t="str">
        <f>_xlfn.XLOOKUP(AllDataCorrected[[#This Row],[Location Name]], Locations[Location Name],Locations[Group As])</f>
        <v>Preston Bagot Brook</v>
      </c>
      <c r="H405" t="e" vm="1">
        <f>_xlfn.XLOOKUP(AllDataCorrected[[#This Row],[Site Name]],LocationsKey[Site Name],LocationsKey[District])</f>
        <v>#VALUE!</v>
      </c>
      <c r="I405" t="e" vm="21">
        <f>_xlfn.XLOOKUP(AllDataCorrected[[#This Row],[Site Name]],LocationsKey[Site Name],LocationsKey[Town])</f>
        <v>#VALUE!</v>
      </c>
      <c r="J405" t="str">
        <f>_xlfn.XLOOKUP(AllDataCorrected[[#This Row],[Site Name]],LocationsKey[Site Name], LocationsKey[Waterway])</f>
        <v>Preston Bagot Brook</v>
      </c>
      <c r="K405" t="s">
        <v>621</v>
      </c>
      <c r="L405">
        <f>_xlfn.XLOOKUP(AllDataCorrected[[#This Row],[Site Name]],Tables!$B$12:$B$100, Tables!C$12:C$100)</f>
        <v>52.286066538461554</v>
      </c>
      <c r="M405">
        <f>_xlfn.XLOOKUP(AllDataCorrected[[#This Row],[Site Name]],Tables!$B$12:$B$100, Tables!D$12:D$100)</f>
        <v>-1.7472480769230765</v>
      </c>
      <c r="N405" t="s">
        <v>25</v>
      </c>
      <c r="O405">
        <v>243</v>
      </c>
      <c r="P405">
        <v>11.9</v>
      </c>
      <c r="Q405">
        <v>2</v>
      </c>
      <c r="R405" t="str">
        <f>IF(AllDataCorrected[[#This Row],[Nitrate (PPM)]]&gt;2, "4. Very high (&gt;2ppm)", IF(AllDataCorrected[[#This Row],[Nitrate (PPM)]]&gt;1, "3. High (1-2ppm)", IF(AllDataCorrected[[#This Row],[Nitrate (PPM)]]&gt;0.5, "2. Some evidence (0.5-1ppm)", IF(AllDataCorrected[[#This Row],[Nitrate (PPM)]]&gt;=0, "1. No evidence (&lt;0.5ppm)"))))</f>
        <v>3. High (1-2ppm)</v>
      </c>
      <c r="S405">
        <v>0.59</v>
      </c>
      <c r="T4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5">
        <v>0</v>
      </c>
    </row>
    <row r="406" spans="1:22" x14ac:dyDescent="0.35">
      <c r="A406" t="s">
        <v>653</v>
      </c>
      <c r="B406" s="2">
        <v>45332</v>
      </c>
      <c r="C406" t="str" cm="1">
        <f t="array" ref="C4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6">
        <v>2023</v>
      </c>
      <c r="E406" s="1">
        <v>0.5</v>
      </c>
      <c r="F4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6" t="str">
        <f>_xlfn.XLOOKUP(AllDataCorrected[[#This Row],[Location Name]], Locations[Location Name],Locations[Group As])</f>
        <v>Carrant Bredon Rd</v>
      </c>
      <c r="H406" t="e" vm="4">
        <f>_xlfn.XLOOKUP(AllDataCorrected[[#This Row],[Site Name]],LocationsKey[Site Name],LocationsKey[District])</f>
        <v>#VALUE!</v>
      </c>
      <c r="I406" t="e" vm="4">
        <f>_xlfn.XLOOKUP(AllDataCorrected[[#This Row],[Site Name]],LocationsKey[Site Name],LocationsKey[Town])</f>
        <v>#VALUE!</v>
      </c>
      <c r="J406" t="str">
        <f>_xlfn.XLOOKUP(AllDataCorrected[[#This Row],[Site Name]],LocationsKey[Site Name], LocationsKey[Waterway])</f>
        <v>Carrant</v>
      </c>
      <c r="K406" t="s">
        <v>603</v>
      </c>
      <c r="L406">
        <f>_xlfn.XLOOKUP(AllDataCorrected[[#This Row],[Site Name]],Tables!$B$12:$B$100, Tables!C$12:C$100)</f>
        <v>51.996322536231894</v>
      </c>
      <c r="M406">
        <f>_xlfn.XLOOKUP(AllDataCorrected[[#This Row],[Site Name]],Tables!$B$12:$B$100, Tables!D$12:D$100)</f>
        <v>-2.1558410144927538</v>
      </c>
      <c r="N406" t="s">
        <v>25</v>
      </c>
      <c r="O406">
        <v>437</v>
      </c>
      <c r="P406">
        <v>10</v>
      </c>
      <c r="Q406">
        <v>3</v>
      </c>
      <c r="R406" t="str">
        <f>IF(AllDataCorrected[[#This Row],[Nitrate (PPM)]]&gt;2, "4. Very high (&gt;2ppm)", IF(AllDataCorrected[[#This Row],[Nitrate (PPM)]]&gt;1, "3. High (1-2ppm)", IF(AllDataCorrected[[#This Row],[Nitrate (PPM)]]&gt;0.5, "2. Some evidence (0.5-1ppm)", IF(AllDataCorrected[[#This Row],[Nitrate (PPM)]]&gt;=0, "1. No evidence (&lt;0.5ppm)"))))</f>
        <v>4. Very high (&gt;2ppm)</v>
      </c>
      <c r="S406">
        <v>0.73</v>
      </c>
      <c r="T4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6">
        <v>2.15</v>
      </c>
      <c r="V406" t="s">
        <v>654</v>
      </c>
    </row>
    <row r="407" spans="1:22" x14ac:dyDescent="0.35">
      <c r="A407" t="s">
        <v>655</v>
      </c>
      <c r="B407" s="2">
        <v>45333</v>
      </c>
      <c r="C407" t="str" cm="1">
        <f t="array" ref="C4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7">
        <v>2023</v>
      </c>
      <c r="E407" s="1">
        <v>0.4236111111111111</v>
      </c>
      <c r="F4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7" t="str">
        <f>_xlfn.XLOOKUP(AllDataCorrected[[#This Row],[Location Name]], Locations[Location Name],Locations[Group As])</f>
        <v>Fell Mill Footbridge</v>
      </c>
      <c r="H407" t="e" vm="1">
        <f>_xlfn.XLOOKUP(AllDataCorrected[[#This Row],[Site Name]],LocationsKey[Site Name],LocationsKey[District])</f>
        <v>#VALUE!</v>
      </c>
      <c r="I407" t="e" vm="15">
        <f>_xlfn.XLOOKUP(AllDataCorrected[[#This Row],[Site Name]],LocationsKey[Site Name],LocationsKey[Town])</f>
        <v>#VALUE!</v>
      </c>
      <c r="J407" t="str">
        <f>_xlfn.XLOOKUP(AllDataCorrected[[#This Row],[Site Name]],LocationsKey[Site Name], LocationsKey[Waterway])</f>
        <v>Stour</v>
      </c>
      <c r="K407" t="s">
        <v>500</v>
      </c>
      <c r="L407">
        <f>_xlfn.XLOOKUP(AllDataCorrected[[#This Row],[Site Name]],Tables!$B$12:$B$100, Tables!C$12:C$100)</f>
        <v>52.069044372881365</v>
      </c>
      <c r="M407">
        <f>_xlfn.XLOOKUP(AllDataCorrected[[#This Row],[Site Name]],Tables!$B$12:$B$100, Tables!D$12:D$100)</f>
        <v>-1.6116270169491524</v>
      </c>
      <c r="N407" t="s">
        <v>31</v>
      </c>
      <c r="O407">
        <v>559</v>
      </c>
      <c r="P407">
        <v>8.5</v>
      </c>
      <c r="Q407">
        <v>10</v>
      </c>
      <c r="R407" t="str">
        <f>IF(AllDataCorrected[[#This Row],[Nitrate (PPM)]]&gt;2, "4. Very high (&gt;2ppm)", IF(AllDataCorrected[[#This Row],[Nitrate (PPM)]]&gt;1, "3. High (1-2ppm)", IF(AllDataCorrected[[#This Row],[Nitrate (PPM)]]&gt;0.5, "2. Some evidence (0.5-1ppm)", IF(AllDataCorrected[[#This Row],[Nitrate (PPM)]]&gt;=0, "1. No evidence (&lt;0.5ppm)"))))</f>
        <v>4. Very high (&gt;2ppm)</v>
      </c>
      <c r="S407">
        <v>0.71</v>
      </c>
      <c r="T4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7">
        <v>1.5</v>
      </c>
    </row>
    <row r="408" spans="1:22" x14ac:dyDescent="0.35">
      <c r="A408" t="s">
        <v>656</v>
      </c>
      <c r="B408" s="2">
        <v>45333</v>
      </c>
      <c r="C408" t="str" cm="1">
        <f t="array" ref="C4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8">
        <v>2023</v>
      </c>
      <c r="E408" s="1">
        <v>0.47916666666666669</v>
      </c>
      <c r="F4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08" t="str">
        <f>_xlfn.XLOOKUP(AllDataCorrected[[#This Row],[Location Name]], Locations[Location Name],Locations[Group As])</f>
        <v>The Ford, Langley</v>
      </c>
      <c r="H408" t="e" vm="1">
        <f>_xlfn.XLOOKUP(AllDataCorrected[[#This Row],[Site Name]],LocationsKey[Site Name],LocationsKey[District])</f>
        <v>#VALUE!</v>
      </c>
      <c r="I408" t="str">
        <f>_xlfn.XLOOKUP(AllDataCorrected[[#This Row],[Site Name]],LocationsKey[Site Name],LocationsKey[Town])</f>
        <v>Langley</v>
      </c>
      <c r="J408" t="str">
        <f>_xlfn.XLOOKUP(AllDataCorrected[[#This Row],[Site Name]],LocationsKey[Site Name], LocationsKey[Waterway])</f>
        <v>Langley Ford</v>
      </c>
      <c r="K408" t="s">
        <v>561</v>
      </c>
      <c r="L408">
        <f>_xlfn.XLOOKUP(AllDataCorrected[[#This Row],[Site Name]],Tables!$B$12:$B$100, Tables!C$12:C$100)</f>
        <v>52.262666528301864</v>
      </c>
      <c r="M408">
        <f>_xlfn.XLOOKUP(AllDataCorrected[[#This Row],[Site Name]],Tables!$B$12:$B$100, Tables!D$12:D$100)</f>
        <v>-1.6545845283018858</v>
      </c>
      <c r="N408" t="s">
        <v>31</v>
      </c>
      <c r="O408">
        <v>446</v>
      </c>
      <c r="P408">
        <v>9.4</v>
      </c>
      <c r="Q408">
        <v>7</v>
      </c>
      <c r="R408" t="str">
        <f>IF(AllDataCorrected[[#This Row],[Nitrate (PPM)]]&gt;2, "4. Very high (&gt;2ppm)", IF(AllDataCorrected[[#This Row],[Nitrate (PPM)]]&gt;1, "3. High (1-2ppm)", IF(AllDataCorrected[[#This Row],[Nitrate (PPM)]]&gt;0.5, "2. Some evidence (0.5-1ppm)", IF(AllDataCorrected[[#This Row],[Nitrate (PPM)]]&gt;=0, "1. No evidence (&lt;0.5ppm)"))))</f>
        <v>4. Very high (&gt;2ppm)</v>
      </c>
      <c r="S408">
        <v>0.78</v>
      </c>
      <c r="T4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08">
        <v>0.4</v>
      </c>
      <c r="V408" t="s">
        <v>657</v>
      </c>
    </row>
    <row r="409" spans="1:22" x14ac:dyDescent="0.35">
      <c r="A409" t="s">
        <v>658</v>
      </c>
      <c r="B409" s="2">
        <v>45333</v>
      </c>
      <c r="C409" t="str" cm="1">
        <f t="array" ref="C4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09">
        <v>2023</v>
      </c>
      <c r="E409" s="1">
        <v>0.57986111111111116</v>
      </c>
      <c r="F4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09" t="str">
        <f>_xlfn.XLOOKUP(AllDataCorrected[[#This Row],[Location Name]], Locations[Location Name],Locations[Group As])</f>
        <v>Clifford Chambers Mill Bridge</v>
      </c>
      <c r="H409" t="e" vm="1">
        <f>_xlfn.XLOOKUP(AllDataCorrected[[#This Row],[Site Name]],LocationsKey[Site Name],LocationsKey[District])</f>
        <v>#VALUE!</v>
      </c>
      <c r="I409" t="e" vm="22">
        <f>_xlfn.XLOOKUP(AllDataCorrected[[#This Row],[Site Name]],LocationsKey[Site Name],LocationsKey[Town])</f>
        <v>#VALUE!</v>
      </c>
      <c r="J409" t="str">
        <f>_xlfn.XLOOKUP(AllDataCorrected[[#This Row],[Site Name]],LocationsKey[Site Name], LocationsKey[Waterway])</f>
        <v>Stour</v>
      </c>
      <c r="K409" t="s">
        <v>266</v>
      </c>
      <c r="L409">
        <f>_xlfn.XLOOKUP(AllDataCorrected[[#This Row],[Site Name]],Tables!$B$12:$B$100, Tables!C$12:C$100)</f>
        <v>52.166363596153808</v>
      </c>
      <c r="M409">
        <f>_xlfn.XLOOKUP(AllDataCorrected[[#This Row],[Site Name]],Tables!$B$12:$B$100, Tables!D$12:D$100)</f>
        <v>-1.7080375384615398</v>
      </c>
      <c r="N409" t="s">
        <v>68</v>
      </c>
      <c r="O409">
        <v>554</v>
      </c>
      <c r="P409">
        <v>11.3</v>
      </c>
      <c r="Q409">
        <v>4</v>
      </c>
      <c r="R409" t="str">
        <f>IF(AllDataCorrected[[#This Row],[Nitrate (PPM)]]&gt;2, "4. Very high (&gt;2ppm)", IF(AllDataCorrected[[#This Row],[Nitrate (PPM)]]&gt;1, "3. High (1-2ppm)", IF(AllDataCorrected[[#This Row],[Nitrate (PPM)]]&gt;0.5, "2. Some evidence (0.5-1ppm)", IF(AllDataCorrected[[#This Row],[Nitrate (PPM)]]&gt;=0, "1. No evidence (&lt;0.5ppm)"))))</f>
        <v>4. Very high (&gt;2ppm)</v>
      </c>
      <c r="S409">
        <v>0.4</v>
      </c>
      <c r="T4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09">
        <v>1.4</v>
      </c>
      <c r="V409" t="s">
        <v>659</v>
      </c>
    </row>
    <row r="410" spans="1:22" x14ac:dyDescent="0.35">
      <c r="A410" t="s">
        <v>660</v>
      </c>
      <c r="B410" s="2">
        <v>45333</v>
      </c>
      <c r="C410" t="str" cm="1">
        <f t="array" ref="C4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0">
        <v>2023</v>
      </c>
      <c r="E410" s="1">
        <v>0.61250000000000004</v>
      </c>
      <c r="F4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0" t="str">
        <f>_xlfn.XLOOKUP(AllDataCorrected[[#This Row],[Location Name]], Locations[Location Name],Locations[Group As])</f>
        <v>Black Bear</v>
      </c>
      <c r="H410" t="e" vm="4">
        <f>_xlfn.XLOOKUP(AllDataCorrected[[#This Row],[Site Name]],LocationsKey[Site Name],LocationsKey[District])</f>
        <v>#VALUE!</v>
      </c>
      <c r="I410" t="e" vm="4">
        <f>_xlfn.XLOOKUP(AllDataCorrected[[#This Row],[Site Name]],LocationsKey[Site Name],LocationsKey[Town])</f>
        <v>#VALUE!</v>
      </c>
      <c r="J410" t="str">
        <f>_xlfn.XLOOKUP(AllDataCorrected[[#This Row],[Site Name]],LocationsKey[Site Name], LocationsKey[Waterway])</f>
        <v>Avon</v>
      </c>
      <c r="K410" t="s">
        <v>572</v>
      </c>
      <c r="L410">
        <f>_xlfn.XLOOKUP(AllDataCorrected[[#This Row],[Site Name]],Tables!$B$12:$B$100, Tables!C$12:C$100)</f>
        <v>51.997466254237274</v>
      </c>
      <c r="M410">
        <f>_xlfn.XLOOKUP(AllDataCorrected[[#This Row],[Site Name]],Tables!$B$12:$B$100, Tables!D$12:D$100)</f>
        <v>-2.1561788644067801</v>
      </c>
      <c r="N410" t="s">
        <v>25</v>
      </c>
      <c r="O410">
        <v>415</v>
      </c>
      <c r="P410">
        <v>12</v>
      </c>
      <c r="Q410">
        <v>7</v>
      </c>
      <c r="R410" t="str">
        <f>IF(AllDataCorrected[[#This Row],[Nitrate (PPM)]]&gt;2, "4. Very high (&gt;2ppm)", IF(AllDataCorrected[[#This Row],[Nitrate (PPM)]]&gt;1, "3. High (1-2ppm)", IF(AllDataCorrected[[#This Row],[Nitrate (PPM)]]&gt;0.5, "2. Some evidence (0.5-1ppm)", IF(AllDataCorrected[[#This Row],[Nitrate (PPM)]]&gt;=0, "1. No evidence (&lt;0.5ppm)"))))</f>
        <v>4. Very high (&gt;2ppm)</v>
      </c>
      <c r="S410">
        <v>0.91</v>
      </c>
      <c r="T4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0">
        <v>3</v>
      </c>
      <c r="V410" t="s">
        <v>272</v>
      </c>
    </row>
    <row r="411" spans="1:22" x14ac:dyDescent="0.35">
      <c r="A411" t="s">
        <v>661</v>
      </c>
      <c r="B411" s="2">
        <v>45333</v>
      </c>
      <c r="C411" t="str" cm="1">
        <f t="array" ref="C4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1">
        <v>2023</v>
      </c>
      <c r="E411" s="1">
        <v>0.625</v>
      </c>
      <c r="F4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1" t="str">
        <f>_xlfn.XLOOKUP(AllDataCorrected[[#This Row],[Location Name]], Locations[Location Name],Locations[Group As])</f>
        <v>Sherbourne Brook 1</v>
      </c>
      <c r="H411" t="e" vm="1">
        <f>_xlfn.XLOOKUP(AllDataCorrected[[#This Row],[Site Name]],LocationsKey[Site Name],LocationsKey[District])</f>
        <v>#VALUE!</v>
      </c>
      <c r="I411" t="e" vm="23">
        <f>_xlfn.XLOOKUP(AllDataCorrected[[#This Row],[Site Name]],LocationsKey[Site Name],LocationsKey[Town])</f>
        <v>#VALUE!</v>
      </c>
      <c r="J411" t="str">
        <f>_xlfn.XLOOKUP(AllDataCorrected[[#This Row],[Site Name]],LocationsKey[Site Name], LocationsKey[Waterway])</f>
        <v>Sherbourne Brook</v>
      </c>
      <c r="K411" t="s">
        <v>541</v>
      </c>
      <c r="L411">
        <f>_xlfn.XLOOKUP(AllDataCorrected[[#This Row],[Site Name]],Tables!$B$12:$B$100, Tables!C$12:C$100)</f>
        <v>52.252500000000033</v>
      </c>
      <c r="M411">
        <f>_xlfn.XLOOKUP(AllDataCorrected[[#This Row],[Site Name]],Tables!$B$12:$B$100, Tables!D$12:D$100)</f>
        <v>-1.6685000000000012</v>
      </c>
      <c r="N411" t="s">
        <v>25</v>
      </c>
      <c r="O411">
        <v>801</v>
      </c>
      <c r="P411">
        <v>9.5</v>
      </c>
      <c r="Q411">
        <v>7</v>
      </c>
      <c r="R411" t="str">
        <f>IF(AllDataCorrected[[#This Row],[Nitrate (PPM)]]&gt;2, "4. Very high (&gt;2ppm)", IF(AllDataCorrected[[#This Row],[Nitrate (PPM)]]&gt;1, "3. High (1-2ppm)", IF(AllDataCorrected[[#This Row],[Nitrate (PPM)]]&gt;0.5, "2. Some evidence (0.5-1ppm)", IF(AllDataCorrected[[#This Row],[Nitrate (PPM)]]&gt;=0, "1. No evidence (&lt;0.5ppm)"))))</f>
        <v>4. Very high (&gt;2ppm)</v>
      </c>
      <c r="S411">
        <v>0.72</v>
      </c>
      <c r="T4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1">
        <v>0.5</v>
      </c>
    </row>
    <row r="412" spans="1:22" x14ac:dyDescent="0.35">
      <c r="A412" t="s">
        <v>662</v>
      </c>
      <c r="B412" s="2">
        <v>45333</v>
      </c>
      <c r="C412" t="str" cm="1">
        <f t="array" ref="C4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2">
        <v>2023</v>
      </c>
      <c r="E412" s="1">
        <v>0.63194444444444442</v>
      </c>
      <c r="F4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2" t="str">
        <f>_xlfn.XLOOKUP(AllDataCorrected[[#This Row],[Location Name]], Locations[Location Name],Locations[Group As])</f>
        <v>Stour Shipston Mill Bridge</v>
      </c>
      <c r="H412" t="e" vm="1">
        <f>_xlfn.XLOOKUP(AllDataCorrected[[#This Row],[Site Name]],LocationsKey[Site Name],LocationsKey[District])</f>
        <v>#VALUE!</v>
      </c>
      <c r="I412" t="e" vm="15">
        <f>_xlfn.XLOOKUP(AllDataCorrected[[#This Row],[Site Name]],LocationsKey[Site Name],LocationsKey[Town])</f>
        <v>#VALUE!</v>
      </c>
      <c r="J412" t="str">
        <f>_xlfn.XLOOKUP(AllDataCorrected[[#This Row],[Site Name]],LocationsKey[Site Name], LocationsKey[Waterway])</f>
        <v>Stour</v>
      </c>
      <c r="K412" t="s">
        <v>435</v>
      </c>
      <c r="L412">
        <f>_xlfn.XLOOKUP(AllDataCorrected[[#This Row],[Site Name]],Tables!$B$12:$B$100, Tables!C$12:C$100)</f>
        <v>52.062214921052629</v>
      </c>
      <c r="M412">
        <f>_xlfn.XLOOKUP(AllDataCorrected[[#This Row],[Site Name]],Tables!$B$12:$B$100, Tables!D$12:D$100)</f>
        <v>-1.6223788421052625</v>
      </c>
      <c r="N412" t="s">
        <v>25</v>
      </c>
      <c r="O412">
        <v>472</v>
      </c>
      <c r="P412">
        <v>8</v>
      </c>
      <c r="Q412">
        <v>5</v>
      </c>
      <c r="R412" t="str">
        <f>IF(AllDataCorrected[[#This Row],[Nitrate (PPM)]]&gt;2, "4. Very high (&gt;2ppm)", IF(AllDataCorrected[[#This Row],[Nitrate (PPM)]]&gt;1, "3. High (1-2ppm)", IF(AllDataCorrected[[#This Row],[Nitrate (PPM)]]&gt;0.5, "2. Some evidence (0.5-1ppm)", IF(AllDataCorrected[[#This Row],[Nitrate (PPM)]]&gt;=0, "1. No evidence (&lt;0.5ppm)"))))</f>
        <v>4. Very high (&gt;2ppm)</v>
      </c>
      <c r="S412">
        <v>0.46</v>
      </c>
      <c r="T4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2">
        <v>1</v>
      </c>
    </row>
    <row r="413" spans="1:22" x14ac:dyDescent="0.35">
      <c r="A413" t="s">
        <v>663</v>
      </c>
      <c r="B413" s="2">
        <v>45333</v>
      </c>
      <c r="C413" t="str" cm="1">
        <f t="array" ref="C4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3">
        <v>2023</v>
      </c>
      <c r="E413" s="1">
        <v>0.63541666666666663</v>
      </c>
      <c r="F4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3" t="str">
        <f>_xlfn.XLOOKUP(AllDataCorrected[[#This Row],[Location Name]], Locations[Location Name],Locations[Group As])</f>
        <v>Bell Brook 1</v>
      </c>
      <c r="H413" t="e" vm="1">
        <f>_xlfn.XLOOKUP(AllDataCorrected[[#This Row],[Site Name]],LocationsKey[Site Name],LocationsKey[District])</f>
        <v>#VALUE!</v>
      </c>
      <c r="I413" t="e" vm="19">
        <f>_xlfn.XLOOKUP(AllDataCorrected[[#This Row],[Site Name]],LocationsKey[Site Name],LocationsKey[Town])</f>
        <v>#VALUE!</v>
      </c>
      <c r="J413" t="str">
        <f>_xlfn.XLOOKUP(AllDataCorrected[[#This Row],[Site Name]],LocationsKey[Site Name], LocationsKey[Waterway])</f>
        <v>Bell Brook</v>
      </c>
      <c r="K413" t="s">
        <v>538</v>
      </c>
      <c r="L413">
        <f>_xlfn.XLOOKUP(AllDataCorrected[[#This Row],[Site Name]],Tables!$B$12:$B$100, Tables!C$12:C$100)</f>
        <v>52.24489999999998</v>
      </c>
      <c r="M413">
        <f>_xlfn.XLOOKUP(AllDataCorrected[[#This Row],[Site Name]],Tables!$B$12:$B$100, Tables!D$12:D$100)</f>
        <v>-1.6617000000000013</v>
      </c>
      <c r="N413" t="s">
        <v>25</v>
      </c>
      <c r="O413">
        <v>545</v>
      </c>
      <c r="P413">
        <v>9</v>
      </c>
      <c r="Q413">
        <v>5</v>
      </c>
      <c r="R413" t="str">
        <f>IF(AllDataCorrected[[#This Row],[Nitrate (PPM)]]&gt;2, "4. Very high (&gt;2ppm)", IF(AllDataCorrected[[#This Row],[Nitrate (PPM)]]&gt;1, "3. High (1-2ppm)", IF(AllDataCorrected[[#This Row],[Nitrate (PPM)]]&gt;0.5, "2. Some evidence (0.5-1ppm)", IF(AllDataCorrected[[#This Row],[Nitrate (PPM)]]&gt;=0, "1. No evidence (&lt;0.5ppm)"))))</f>
        <v>4. Very high (&gt;2ppm)</v>
      </c>
      <c r="S413">
        <v>0.47</v>
      </c>
      <c r="T4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3">
        <v>0.5</v>
      </c>
    </row>
    <row r="414" spans="1:22" x14ac:dyDescent="0.35">
      <c r="A414" t="s">
        <v>664</v>
      </c>
      <c r="B414" s="2">
        <v>45333</v>
      </c>
      <c r="C414" t="str" cm="1">
        <f t="array" ref="C4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4">
        <v>2023</v>
      </c>
      <c r="E414" s="1">
        <v>0.67083333333333328</v>
      </c>
      <c r="F4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14" t="str">
        <f>_xlfn.XLOOKUP(AllDataCorrected[[#This Row],[Location Name]], Locations[Location Name],Locations[Group As])</f>
        <v>Abbey Mill</v>
      </c>
      <c r="H414" t="e" vm="4">
        <f>_xlfn.XLOOKUP(AllDataCorrected[[#This Row],[Site Name]],LocationsKey[Site Name],LocationsKey[District])</f>
        <v>#VALUE!</v>
      </c>
      <c r="I414" t="e" vm="4">
        <f>_xlfn.XLOOKUP(AllDataCorrected[[#This Row],[Site Name]],LocationsKey[Site Name],LocationsKey[Town])</f>
        <v>#VALUE!</v>
      </c>
      <c r="J414" t="str">
        <f>_xlfn.XLOOKUP(AllDataCorrected[[#This Row],[Site Name]],LocationsKey[Site Name], LocationsKey[Waterway])</f>
        <v>Avon</v>
      </c>
      <c r="K414" t="s">
        <v>27</v>
      </c>
      <c r="L414">
        <f>_xlfn.XLOOKUP(AllDataCorrected[[#This Row],[Site Name]],Tables!$B$12:$B$100, Tables!C$12:C$100)</f>
        <v>51.991313075757589</v>
      </c>
      <c r="M414">
        <f>_xlfn.XLOOKUP(AllDataCorrected[[#This Row],[Site Name]],Tables!$B$12:$B$100, Tables!D$12:D$100)</f>
        <v>-2.1621998181818181</v>
      </c>
      <c r="N414" t="s">
        <v>25</v>
      </c>
      <c r="O414">
        <v>430</v>
      </c>
      <c r="P414">
        <v>9.8000000000000007</v>
      </c>
      <c r="Q414">
        <v>4</v>
      </c>
      <c r="R414" t="str">
        <f>IF(AllDataCorrected[[#This Row],[Nitrate (PPM)]]&gt;2, "4. Very high (&gt;2ppm)", IF(AllDataCorrected[[#This Row],[Nitrate (PPM)]]&gt;1, "3. High (1-2ppm)", IF(AllDataCorrected[[#This Row],[Nitrate (PPM)]]&gt;0.5, "2. Some evidence (0.5-1ppm)", IF(AllDataCorrected[[#This Row],[Nitrate (PPM)]]&gt;=0, "1. No evidence (&lt;0.5ppm)"))))</f>
        <v>4. Very high (&gt;2ppm)</v>
      </c>
      <c r="S414">
        <v>0.71</v>
      </c>
      <c r="T4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4">
        <v>2.5</v>
      </c>
      <c r="V414" t="s">
        <v>665</v>
      </c>
    </row>
    <row r="415" spans="1:22" x14ac:dyDescent="0.35">
      <c r="A415" t="s">
        <v>666</v>
      </c>
      <c r="B415" s="2">
        <v>45333</v>
      </c>
      <c r="C415" t="str" cm="1">
        <f t="array" ref="C4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5">
        <v>2023</v>
      </c>
      <c r="F41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5" t="str">
        <f>_xlfn.XLOOKUP(AllDataCorrected[[#This Row],[Location Name]], Locations[Location Name],Locations[Group As])</f>
        <v>Site 1  :  Middle Street</v>
      </c>
      <c r="H415" t="e" vm="1">
        <f>_xlfn.XLOOKUP(AllDataCorrected[[#This Row],[Site Name]],LocationsKey[Site Name],LocationsKey[District])</f>
        <v>#VALUE!</v>
      </c>
      <c r="I415" t="e" vm="14">
        <f>_xlfn.XLOOKUP(AllDataCorrected[[#This Row],[Site Name]],LocationsKey[Site Name],LocationsKey[Town])</f>
        <v>#VALUE!</v>
      </c>
      <c r="J415" t="str">
        <f>_xlfn.XLOOKUP(AllDataCorrected[[#This Row],[Site Name]],LocationsKey[Site Name], LocationsKey[Waterway])</f>
        <v>Fosseway Brook</v>
      </c>
      <c r="K415" t="s">
        <v>667</v>
      </c>
      <c r="L415">
        <f>_xlfn.XLOOKUP(AllDataCorrected[[#This Row],[Site Name]],Tables!$B$12:$B$100, Tables!C$12:C$100)</f>
        <v>52.090081855670022</v>
      </c>
      <c r="M415">
        <f>_xlfn.XLOOKUP(AllDataCorrected[[#This Row],[Site Name]],Tables!$B$12:$B$100, Tables!D$12:D$100)</f>
        <v>-1.6925771134020597</v>
      </c>
      <c r="N415" t="s">
        <v>68</v>
      </c>
      <c r="O415">
        <v>607</v>
      </c>
      <c r="P415">
        <v>10.4</v>
      </c>
      <c r="Q415">
        <v>2</v>
      </c>
      <c r="R415" t="str">
        <f>IF(AllDataCorrected[[#This Row],[Nitrate (PPM)]]&gt;2, "4. Very high (&gt;2ppm)", IF(AllDataCorrected[[#This Row],[Nitrate (PPM)]]&gt;1, "3. High (1-2ppm)", IF(AllDataCorrected[[#This Row],[Nitrate (PPM)]]&gt;0.5, "2. Some evidence (0.5-1ppm)", IF(AllDataCorrected[[#This Row],[Nitrate (PPM)]]&gt;=0, "1. No evidence (&lt;0.5ppm)"))))</f>
        <v>3. High (1-2ppm)</v>
      </c>
      <c r="S415">
        <v>0.36</v>
      </c>
      <c r="T4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15">
        <v>0</v>
      </c>
      <c r="V415" t="s">
        <v>668</v>
      </c>
    </row>
    <row r="416" spans="1:22" x14ac:dyDescent="0.35">
      <c r="A416" t="s">
        <v>669</v>
      </c>
      <c r="B416" s="2">
        <v>45333</v>
      </c>
      <c r="C416" t="str" cm="1">
        <f t="array" ref="C4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6">
        <v>2023</v>
      </c>
      <c r="F41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6" t="str">
        <f>_xlfn.XLOOKUP(AllDataCorrected[[#This Row],[Location Name]], Locations[Location Name],Locations[Group As])</f>
        <v>Site 1  :  Middle Street</v>
      </c>
      <c r="H416" t="e" vm="1">
        <f>_xlfn.XLOOKUP(AllDataCorrected[[#This Row],[Site Name]],LocationsKey[Site Name],LocationsKey[District])</f>
        <v>#VALUE!</v>
      </c>
      <c r="I416" t="e" vm="14">
        <f>_xlfn.XLOOKUP(AllDataCorrected[[#This Row],[Site Name]],LocationsKey[Site Name],LocationsKey[Town])</f>
        <v>#VALUE!</v>
      </c>
      <c r="J416" t="str">
        <f>_xlfn.XLOOKUP(AllDataCorrected[[#This Row],[Site Name]],LocationsKey[Site Name], LocationsKey[Waterway])</f>
        <v>Fosseway Brook</v>
      </c>
      <c r="K416" t="s">
        <v>670</v>
      </c>
      <c r="L416">
        <f>_xlfn.XLOOKUP(AllDataCorrected[[#This Row],[Site Name]],Tables!$B$12:$B$100, Tables!C$12:C$100)</f>
        <v>52.090081855670022</v>
      </c>
      <c r="M416">
        <f>_xlfn.XLOOKUP(AllDataCorrected[[#This Row],[Site Name]],Tables!$B$12:$B$100, Tables!D$12:D$100)</f>
        <v>-1.6925771134020597</v>
      </c>
      <c r="N416" t="s">
        <v>68</v>
      </c>
      <c r="O416">
        <v>607</v>
      </c>
      <c r="P416">
        <v>10.4</v>
      </c>
      <c r="Q416">
        <v>2</v>
      </c>
      <c r="R416" t="str">
        <f>IF(AllDataCorrected[[#This Row],[Nitrate (PPM)]]&gt;2, "4. Very high (&gt;2ppm)", IF(AllDataCorrected[[#This Row],[Nitrate (PPM)]]&gt;1, "3. High (1-2ppm)", IF(AllDataCorrected[[#This Row],[Nitrate (PPM)]]&gt;0.5, "2. Some evidence (0.5-1ppm)", IF(AllDataCorrected[[#This Row],[Nitrate (PPM)]]&gt;=0, "1. No evidence (&lt;0.5ppm)"))))</f>
        <v>3. High (1-2ppm)</v>
      </c>
      <c r="S416">
        <v>0.36</v>
      </c>
      <c r="T4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16" t="s">
        <v>671</v>
      </c>
    </row>
    <row r="417" spans="1:22" x14ac:dyDescent="0.35">
      <c r="A417" t="s">
        <v>672</v>
      </c>
      <c r="B417" s="2">
        <v>45333</v>
      </c>
      <c r="C417" t="str" cm="1">
        <f t="array" ref="C4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7">
        <v>2023</v>
      </c>
      <c r="F4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7" t="str">
        <f>_xlfn.XLOOKUP(AllDataCorrected[[#This Row],[Location Name]], Locations[Location Name],Locations[Group As])</f>
        <v>Site 3  :  Severn Trent Water processing plant outflow</v>
      </c>
      <c r="H417" t="e" vm="1">
        <f>_xlfn.XLOOKUP(AllDataCorrected[[#This Row],[Site Name]],LocationsKey[Site Name],LocationsKey[District])</f>
        <v>#VALUE!</v>
      </c>
      <c r="I417" t="e" vm="14">
        <f>_xlfn.XLOOKUP(AllDataCorrected[[#This Row],[Site Name]],LocationsKey[Site Name],LocationsKey[Town])</f>
        <v>#VALUE!</v>
      </c>
      <c r="J417" t="str">
        <f>_xlfn.XLOOKUP(AllDataCorrected[[#This Row],[Site Name]],LocationsKey[Site Name], LocationsKey[Waterway])</f>
        <v>Fosseway Brook</v>
      </c>
      <c r="K417" t="s">
        <v>673</v>
      </c>
      <c r="L417">
        <f>_xlfn.XLOOKUP(AllDataCorrected[[#This Row],[Site Name]],Tables!$B$12:$B$100, Tables!C$12:C$100)</f>
        <v>52.130499999999998</v>
      </c>
      <c r="M417">
        <f>_xlfn.XLOOKUP(AllDataCorrected[[#This Row],[Site Name]],Tables!$B$12:$B$100, Tables!D$12:D$100)</f>
        <v>-2.0787</v>
      </c>
      <c r="N417" t="s">
        <v>31</v>
      </c>
      <c r="O417">
        <v>744</v>
      </c>
      <c r="P417">
        <v>10.199999999999999</v>
      </c>
      <c r="Q417">
        <v>5</v>
      </c>
      <c r="R417" t="str">
        <f>IF(AllDataCorrected[[#This Row],[Nitrate (PPM)]]&gt;2, "4. Very high (&gt;2ppm)", IF(AllDataCorrected[[#This Row],[Nitrate (PPM)]]&gt;1, "3. High (1-2ppm)", IF(AllDataCorrected[[#This Row],[Nitrate (PPM)]]&gt;0.5, "2. Some evidence (0.5-1ppm)", IF(AllDataCorrected[[#This Row],[Nitrate (PPM)]]&gt;=0, "1. No evidence (&lt;0.5ppm)"))))</f>
        <v>4. Very high (&gt;2ppm)</v>
      </c>
      <c r="S417">
        <v>2.13</v>
      </c>
      <c r="T4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7">
        <v>0</v>
      </c>
      <c r="V417" t="s">
        <v>674</v>
      </c>
    </row>
    <row r="418" spans="1:22" x14ac:dyDescent="0.35">
      <c r="A418" t="s">
        <v>675</v>
      </c>
      <c r="B418" s="2">
        <v>45333</v>
      </c>
      <c r="C418" t="str" cm="1">
        <f t="array" ref="C4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8">
        <v>2023</v>
      </c>
      <c r="F4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8" t="str">
        <f>_xlfn.XLOOKUP(AllDataCorrected[[#This Row],[Location Name]], Locations[Location Name],Locations[Group As])</f>
        <v>Site 3  :  Severn Trent Water processing plant outflow</v>
      </c>
      <c r="H418" t="e" vm="1">
        <f>_xlfn.XLOOKUP(AllDataCorrected[[#This Row],[Site Name]],LocationsKey[Site Name],LocationsKey[District])</f>
        <v>#VALUE!</v>
      </c>
      <c r="I418" t="e" vm="14">
        <f>_xlfn.XLOOKUP(AllDataCorrected[[#This Row],[Site Name]],LocationsKey[Site Name],LocationsKey[Town])</f>
        <v>#VALUE!</v>
      </c>
      <c r="J418" t="str">
        <f>_xlfn.XLOOKUP(AllDataCorrected[[#This Row],[Site Name]],LocationsKey[Site Name], LocationsKey[Waterway])</f>
        <v>Fosseway Brook</v>
      </c>
      <c r="K418" t="s">
        <v>676</v>
      </c>
      <c r="L418">
        <f>_xlfn.XLOOKUP(AllDataCorrected[[#This Row],[Site Name]],Tables!$B$12:$B$100, Tables!C$12:C$100)</f>
        <v>52.130499999999998</v>
      </c>
      <c r="M418">
        <f>_xlfn.XLOOKUP(AllDataCorrected[[#This Row],[Site Name]],Tables!$B$12:$B$100, Tables!D$12:D$100)</f>
        <v>-2.0787</v>
      </c>
      <c r="N418" t="s">
        <v>31</v>
      </c>
      <c r="O418">
        <v>744</v>
      </c>
      <c r="P418">
        <v>10.199999999999999</v>
      </c>
      <c r="Q418">
        <v>5</v>
      </c>
      <c r="R418" t="str">
        <f>IF(AllDataCorrected[[#This Row],[Nitrate (PPM)]]&gt;2, "4. Very high (&gt;2ppm)", IF(AllDataCorrected[[#This Row],[Nitrate (PPM)]]&gt;1, "3. High (1-2ppm)", IF(AllDataCorrected[[#This Row],[Nitrate (PPM)]]&gt;0.5, "2. Some evidence (0.5-1ppm)", IF(AllDataCorrected[[#This Row],[Nitrate (PPM)]]&gt;=0, "1. No evidence (&lt;0.5ppm)"))))</f>
        <v>4. Very high (&gt;2ppm)</v>
      </c>
      <c r="S418">
        <v>2.13</v>
      </c>
      <c r="T4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18" t="s">
        <v>627</v>
      </c>
    </row>
    <row r="419" spans="1:22" x14ac:dyDescent="0.35">
      <c r="A419" t="s">
        <v>679</v>
      </c>
      <c r="B419" s="2">
        <v>45336</v>
      </c>
      <c r="C419" t="str" cm="1">
        <f t="array" ref="C4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19">
        <v>2023</v>
      </c>
      <c r="E419" s="1">
        <v>0.11458333333333333</v>
      </c>
      <c r="F4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19" t="str">
        <f>_xlfn.XLOOKUP(AllDataCorrected[[#This Row],[Location Name]], Locations[Location Name],Locations[Group As])</f>
        <v>Swiffen Bank</v>
      </c>
      <c r="H419" t="e" vm="1">
        <f>_xlfn.XLOOKUP(AllDataCorrected[[#This Row],[Site Name]],LocationsKey[Site Name],LocationsKey[District])</f>
        <v>#VALUE!</v>
      </c>
      <c r="I419" t="e" vm="2">
        <f>_xlfn.XLOOKUP(AllDataCorrected[[#This Row],[Site Name]],LocationsKey[Site Name],LocationsKey[Town])</f>
        <v>#VALUE!</v>
      </c>
      <c r="J419" t="str">
        <f>_xlfn.XLOOKUP(AllDataCorrected[[#This Row],[Site Name]],LocationsKey[Site Name], LocationsKey[Waterway])</f>
        <v>Avon</v>
      </c>
      <c r="K419" t="s">
        <v>286</v>
      </c>
      <c r="L419">
        <f>_xlfn.XLOOKUP(AllDataCorrected[[#This Row],[Site Name]],Tables!$B$12:$B$100, Tables!C$12:C$100)</f>
        <v>52.206649805555557</v>
      </c>
      <c r="M419">
        <f>_xlfn.XLOOKUP(AllDataCorrected[[#This Row],[Site Name]],Tables!$B$12:$B$100, Tables!D$12:D$100)</f>
        <v>-1.6541018611111094</v>
      </c>
      <c r="N419" t="s">
        <v>31</v>
      </c>
      <c r="O419">
        <v>535</v>
      </c>
      <c r="P419">
        <v>13.4</v>
      </c>
      <c r="Q419">
        <v>5</v>
      </c>
      <c r="R419" t="str">
        <f>IF(AllDataCorrected[[#This Row],[Nitrate (PPM)]]&gt;2, "4. Very high (&gt;2ppm)", IF(AllDataCorrected[[#This Row],[Nitrate (PPM)]]&gt;1, "3. High (1-2ppm)", IF(AllDataCorrected[[#This Row],[Nitrate (PPM)]]&gt;0.5, "2. Some evidence (0.5-1ppm)", IF(AllDataCorrected[[#This Row],[Nitrate (PPM)]]&gt;=0, "1. No evidence (&lt;0.5ppm)"))))</f>
        <v>4. Very high (&gt;2ppm)</v>
      </c>
      <c r="S419">
        <v>0.67</v>
      </c>
      <c r="T4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19">
        <v>1.5</v>
      </c>
      <c r="V419" t="s">
        <v>680</v>
      </c>
    </row>
    <row r="420" spans="1:22" x14ac:dyDescent="0.35">
      <c r="A420" t="s">
        <v>681</v>
      </c>
      <c r="B420" s="2">
        <v>45336</v>
      </c>
      <c r="C420" t="str" cm="1">
        <f t="array" ref="C4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0">
        <v>2023</v>
      </c>
      <c r="E420" s="1">
        <v>0.59722222222222221</v>
      </c>
      <c r="F4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0" t="str">
        <f>_xlfn.XLOOKUP(AllDataCorrected[[#This Row],[Location Name]], Locations[Location Name],Locations[Group As])</f>
        <v>Stour Stretton-on-Fosse Village</v>
      </c>
      <c r="H420" t="e" vm="1">
        <f>_xlfn.XLOOKUP(AllDataCorrected[[#This Row],[Site Name]],LocationsKey[Site Name],LocationsKey[District])</f>
        <v>#VALUE!</v>
      </c>
      <c r="I420" t="e" vm="30">
        <f>_xlfn.XLOOKUP(AllDataCorrected[[#This Row],[Site Name]],LocationsKey[Site Name],LocationsKey[Town])</f>
        <v>#VALUE!</v>
      </c>
      <c r="J420" t="str">
        <f>_xlfn.XLOOKUP(AllDataCorrected[[#This Row],[Site Name]],LocationsKey[Site Name], LocationsKey[Waterway])</f>
        <v>Stour</v>
      </c>
      <c r="K420" t="s">
        <v>548</v>
      </c>
      <c r="L420">
        <f>_xlfn.XLOOKUP(AllDataCorrected[[#This Row],[Site Name]],Tables!$B$12:$B$100, Tables!C$12:C$100)</f>
        <v>52.046517558823531</v>
      </c>
      <c r="M420">
        <f>_xlfn.XLOOKUP(AllDataCorrected[[#This Row],[Site Name]],Tables!$B$12:$B$100, Tables!D$12:D$100)</f>
        <v>-1.6734143529411762</v>
      </c>
      <c r="N420" t="s">
        <v>68</v>
      </c>
      <c r="O420">
        <v>418</v>
      </c>
      <c r="P420">
        <v>11.2</v>
      </c>
      <c r="Q420">
        <v>2</v>
      </c>
      <c r="R420" t="str">
        <f>IF(AllDataCorrected[[#This Row],[Nitrate (PPM)]]&gt;2, "4. Very high (&gt;2ppm)", IF(AllDataCorrected[[#This Row],[Nitrate (PPM)]]&gt;1, "3. High (1-2ppm)", IF(AllDataCorrected[[#This Row],[Nitrate (PPM)]]&gt;0.5, "2. Some evidence (0.5-1ppm)", IF(AllDataCorrected[[#This Row],[Nitrate (PPM)]]&gt;=0, "1. No evidence (&lt;0.5ppm)"))))</f>
        <v>3. High (1-2ppm)</v>
      </c>
      <c r="S420">
        <v>0.31</v>
      </c>
      <c r="T4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0">
        <v>0.45</v>
      </c>
    </row>
    <row r="421" spans="1:22" x14ac:dyDescent="0.35">
      <c r="A421" t="s">
        <v>682</v>
      </c>
      <c r="B421" s="2">
        <v>45336</v>
      </c>
      <c r="C421" t="str" cm="1">
        <f t="array" ref="C4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1">
        <v>2023</v>
      </c>
      <c r="E421" s="1">
        <v>0.61319444444444449</v>
      </c>
      <c r="F4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1" t="str">
        <f>_xlfn.XLOOKUP(AllDataCorrected[[#This Row],[Location Name]], Locations[Location Name],Locations[Group As])</f>
        <v>Stour Stretton-on-Fosse Sewage Works</v>
      </c>
      <c r="H421" t="e" vm="1">
        <f>_xlfn.XLOOKUP(AllDataCorrected[[#This Row],[Site Name]],LocationsKey[Site Name],LocationsKey[District])</f>
        <v>#VALUE!</v>
      </c>
      <c r="I421" t="e" vm="30">
        <f>_xlfn.XLOOKUP(AllDataCorrected[[#This Row],[Site Name]],LocationsKey[Site Name],LocationsKey[Town])</f>
        <v>#VALUE!</v>
      </c>
      <c r="J421" t="str">
        <f>_xlfn.XLOOKUP(AllDataCorrected[[#This Row],[Site Name]],LocationsKey[Site Name], LocationsKey[Waterway])</f>
        <v>Stour</v>
      </c>
      <c r="K421" t="s">
        <v>337</v>
      </c>
      <c r="L421">
        <f>_xlfn.XLOOKUP(AllDataCorrected[[#This Row],[Site Name]],Tables!$B$12:$B$100, Tables!C$12:C$100)</f>
        <v>52.045653647058828</v>
      </c>
      <c r="M421">
        <f>_xlfn.XLOOKUP(AllDataCorrected[[#This Row],[Site Name]],Tables!$B$12:$B$100, Tables!D$12:D$100)</f>
        <v>-1.6719221470588239</v>
      </c>
      <c r="N421" t="s">
        <v>31</v>
      </c>
      <c r="O421">
        <v>414</v>
      </c>
      <c r="P421">
        <v>11.2</v>
      </c>
      <c r="Q421">
        <v>3</v>
      </c>
      <c r="R421" t="str">
        <f>IF(AllDataCorrected[[#This Row],[Nitrate (PPM)]]&gt;2, "4. Very high (&gt;2ppm)", IF(AllDataCorrected[[#This Row],[Nitrate (PPM)]]&gt;1, "3. High (1-2ppm)", IF(AllDataCorrected[[#This Row],[Nitrate (PPM)]]&gt;0.5, "2. Some evidence (0.5-1ppm)", IF(AllDataCorrected[[#This Row],[Nitrate (PPM)]]&gt;=0, "1. No evidence (&lt;0.5ppm)"))))</f>
        <v>4. Very high (&gt;2ppm)</v>
      </c>
      <c r="S421">
        <v>0.13</v>
      </c>
      <c r="T4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1">
        <v>0.6</v>
      </c>
    </row>
    <row r="422" spans="1:22" x14ac:dyDescent="0.35">
      <c r="A422" t="s">
        <v>683</v>
      </c>
      <c r="B422" s="2">
        <v>45336</v>
      </c>
      <c r="C422" t="str" cm="1">
        <f t="array" ref="C4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2">
        <v>2023</v>
      </c>
      <c r="E422" s="1">
        <v>0.64722222222222225</v>
      </c>
      <c r="F4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2" t="str">
        <f>_xlfn.XLOOKUP(AllDataCorrected[[#This Row],[Location Name]], Locations[Location Name],Locations[Group As])</f>
        <v>Alveston Weir</v>
      </c>
      <c r="H422" t="e" vm="1">
        <f>_xlfn.XLOOKUP(AllDataCorrected[[#This Row],[Site Name]],LocationsKey[Site Name],LocationsKey[District])</f>
        <v>#VALUE!</v>
      </c>
      <c r="I422" t="e" vm="2">
        <f>_xlfn.XLOOKUP(AllDataCorrected[[#This Row],[Site Name]],LocationsKey[Site Name],LocationsKey[Town])</f>
        <v>#VALUE!</v>
      </c>
      <c r="J422" t="str">
        <f>_xlfn.XLOOKUP(AllDataCorrected[[#This Row],[Site Name]],LocationsKey[Site Name], LocationsKey[Waterway])</f>
        <v>Avon</v>
      </c>
      <c r="K422" t="s">
        <v>288</v>
      </c>
      <c r="L422">
        <f>_xlfn.XLOOKUP(AllDataCorrected[[#This Row],[Site Name]],Tables!$B$12:$B$100, Tables!C$12:C$100)</f>
        <v>52.21226301333337</v>
      </c>
      <c r="M422">
        <f>_xlfn.XLOOKUP(AllDataCorrected[[#This Row],[Site Name]],Tables!$B$12:$B$100, Tables!D$12:D$100)</f>
        <v>-1.6595226800000011</v>
      </c>
      <c r="N422" t="s">
        <v>31</v>
      </c>
      <c r="O422">
        <v>469</v>
      </c>
      <c r="P422">
        <v>10.7</v>
      </c>
      <c r="Q422">
        <v>5</v>
      </c>
      <c r="R422" t="str">
        <f>IF(AllDataCorrected[[#This Row],[Nitrate (PPM)]]&gt;2, "4. Very high (&gt;2ppm)", IF(AllDataCorrected[[#This Row],[Nitrate (PPM)]]&gt;1, "3. High (1-2ppm)", IF(AllDataCorrected[[#This Row],[Nitrate (PPM)]]&gt;0.5, "2. Some evidence (0.5-1ppm)", IF(AllDataCorrected[[#This Row],[Nitrate (PPM)]]&gt;=0, "1. No evidence (&lt;0.5ppm)"))))</f>
        <v>4. Very high (&gt;2ppm)</v>
      </c>
      <c r="S422">
        <v>0.59</v>
      </c>
      <c r="T4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2">
        <v>1.5</v>
      </c>
      <c r="V422" t="s">
        <v>684</v>
      </c>
    </row>
    <row r="423" spans="1:22" x14ac:dyDescent="0.35">
      <c r="A423" t="s">
        <v>685</v>
      </c>
      <c r="B423" s="2">
        <v>45336</v>
      </c>
      <c r="C423" t="str" cm="1">
        <f t="array" ref="C4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3">
        <v>2023</v>
      </c>
      <c r="E423" s="1">
        <v>0.70833333333333337</v>
      </c>
      <c r="F4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3" t="str">
        <f>_xlfn.XLOOKUP(AllDataCorrected[[#This Row],[Location Name]], Locations[Location Name],Locations[Group As])</f>
        <v>Stour Newbold Mill</v>
      </c>
      <c r="H423" t="e" vm="1">
        <f>_xlfn.XLOOKUP(AllDataCorrected[[#This Row],[Site Name]],LocationsKey[Site Name],LocationsKey[District])</f>
        <v>#VALUE!</v>
      </c>
      <c r="I423" t="e" vm="27">
        <f>_xlfn.XLOOKUP(AllDataCorrected[[#This Row],[Site Name]],LocationsKey[Site Name],LocationsKey[Town])</f>
        <v>#VALUE!</v>
      </c>
      <c r="J423" t="str">
        <f>_xlfn.XLOOKUP(AllDataCorrected[[#This Row],[Site Name]],LocationsKey[Site Name], LocationsKey[Waterway])</f>
        <v>Stour</v>
      </c>
      <c r="K423" t="s">
        <v>141</v>
      </c>
      <c r="L423">
        <f>_xlfn.XLOOKUP(AllDataCorrected[[#This Row],[Site Name]],Tables!$B$12:$B$100, Tables!C$12:C$100)</f>
        <v>52.113052370370369</v>
      </c>
      <c r="M423">
        <f>_xlfn.XLOOKUP(AllDataCorrected[[#This Row],[Site Name]],Tables!$B$12:$B$100, Tables!D$12:D$100)</f>
        <v>-1.6333685185185181</v>
      </c>
      <c r="N423" t="s">
        <v>68</v>
      </c>
      <c r="O423">
        <v>513</v>
      </c>
      <c r="P423">
        <v>11.2</v>
      </c>
      <c r="Q423">
        <v>2</v>
      </c>
      <c r="R423" t="str">
        <f>IF(AllDataCorrected[[#This Row],[Nitrate (PPM)]]&gt;2, "4. Very high (&gt;2ppm)", IF(AllDataCorrected[[#This Row],[Nitrate (PPM)]]&gt;1, "3. High (1-2ppm)", IF(AllDataCorrected[[#This Row],[Nitrate (PPM)]]&gt;0.5, "2. Some evidence (0.5-1ppm)", IF(AllDataCorrected[[#This Row],[Nitrate (PPM)]]&gt;=0, "1. No evidence (&lt;0.5ppm)"))))</f>
        <v>3. High (1-2ppm)</v>
      </c>
      <c r="S423">
        <v>0.1</v>
      </c>
      <c r="T42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23">
        <v>3.5</v>
      </c>
      <c r="V423" t="s">
        <v>686</v>
      </c>
    </row>
    <row r="424" spans="1:22" x14ac:dyDescent="0.35">
      <c r="A424" t="s">
        <v>687</v>
      </c>
      <c r="B424" s="2">
        <v>45337</v>
      </c>
      <c r="C424" t="str" cm="1">
        <f t="array" ref="C4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4">
        <v>2023</v>
      </c>
      <c r="E424" s="1">
        <v>0.49861111111111112</v>
      </c>
      <c r="F4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24" t="str">
        <f>_xlfn.XLOOKUP(AllDataCorrected[[#This Row],[Location Name]], Locations[Location Name],Locations[Group As])</f>
        <v>Stour Willington</v>
      </c>
      <c r="H424" t="e" vm="1">
        <f>_xlfn.XLOOKUP(AllDataCorrected[[#This Row],[Site Name]],LocationsKey[Site Name],LocationsKey[District])</f>
        <v>#VALUE!</v>
      </c>
      <c r="I424" t="str">
        <f>_xlfn.XLOOKUP(AllDataCorrected[[#This Row],[Site Name]],LocationsKey[Site Name],LocationsKey[Town])</f>
        <v>Willington</v>
      </c>
      <c r="J424" t="str">
        <f>_xlfn.XLOOKUP(AllDataCorrected[[#This Row],[Site Name]],LocationsKey[Site Name], LocationsKey[Waterway])</f>
        <v>Stour</v>
      </c>
      <c r="K424" t="s">
        <v>521</v>
      </c>
      <c r="L424">
        <f>_xlfn.XLOOKUP(AllDataCorrected[[#This Row],[Site Name]],Tables!$B$12:$B$100, Tables!C$12:C$100)</f>
        <v>52.053227523809518</v>
      </c>
      <c r="M424">
        <f>_xlfn.XLOOKUP(AllDataCorrected[[#This Row],[Site Name]],Tables!$B$12:$B$100, Tables!D$12:D$100)</f>
        <v>-1.6194739523809523</v>
      </c>
      <c r="N424" t="s">
        <v>25</v>
      </c>
      <c r="O424">
        <v>523</v>
      </c>
      <c r="P424">
        <v>12.4</v>
      </c>
      <c r="Q424">
        <v>0.5</v>
      </c>
      <c r="R424"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24">
        <v>0.23</v>
      </c>
      <c r="T4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4">
        <v>0.75</v>
      </c>
      <c r="V424" t="s">
        <v>688</v>
      </c>
    </row>
    <row r="425" spans="1:22" x14ac:dyDescent="0.35">
      <c r="A425" t="s">
        <v>689</v>
      </c>
      <c r="B425" s="2">
        <v>45337</v>
      </c>
      <c r="C425" t="str" cm="1">
        <f t="array" ref="C4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5">
        <v>2023</v>
      </c>
      <c r="E425" s="1">
        <v>0.52986111111111112</v>
      </c>
      <c r="F4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5" t="str">
        <f>_xlfn.XLOOKUP(AllDataCorrected[[#This Row],[Location Name]], Locations[Location Name],Locations[Group As])</f>
        <v>Preston-on-Stour River Bridge</v>
      </c>
      <c r="H425" t="e" vm="1">
        <f>_xlfn.XLOOKUP(AllDataCorrected[[#This Row],[Site Name]],LocationsKey[Site Name],LocationsKey[District])</f>
        <v>#VALUE!</v>
      </c>
      <c r="I425" t="e" vm="20">
        <f>_xlfn.XLOOKUP(AllDataCorrected[[#This Row],[Site Name]],LocationsKey[Site Name],LocationsKey[Town])</f>
        <v>#VALUE!</v>
      </c>
      <c r="J425" t="str">
        <f>_xlfn.XLOOKUP(AllDataCorrected[[#This Row],[Site Name]],LocationsKey[Site Name], LocationsKey[Waterway])</f>
        <v>Stour</v>
      </c>
      <c r="K425" t="s">
        <v>164</v>
      </c>
      <c r="L425">
        <f>_xlfn.XLOOKUP(AllDataCorrected[[#This Row],[Site Name]],Tables!$B$12:$B$100, Tables!C$12:C$100)</f>
        <v>52.146672352941174</v>
      </c>
      <c r="M425">
        <f>_xlfn.XLOOKUP(AllDataCorrected[[#This Row],[Site Name]],Tables!$B$12:$B$100, Tables!D$12:D$100)</f>
        <v>-1.6984533333333334</v>
      </c>
      <c r="N425" t="s">
        <v>31</v>
      </c>
      <c r="O425">
        <v>548</v>
      </c>
      <c r="P425">
        <v>11.3</v>
      </c>
      <c r="Q425">
        <v>7</v>
      </c>
      <c r="R425" t="str">
        <f>IF(AllDataCorrected[[#This Row],[Nitrate (PPM)]]&gt;2, "4. Very high (&gt;2ppm)", IF(AllDataCorrected[[#This Row],[Nitrate (PPM)]]&gt;1, "3. High (1-2ppm)", IF(AllDataCorrected[[#This Row],[Nitrate (PPM)]]&gt;0.5, "2. Some evidence (0.5-1ppm)", IF(AllDataCorrected[[#This Row],[Nitrate (PPM)]]&gt;=0, "1. No evidence (&lt;0.5ppm)"))))</f>
        <v>4. Very high (&gt;2ppm)</v>
      </c>
      <c r="S425">
        <v>0.25</v>
      </c>
      <c r="T4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5">
        <v>2</v>
      </c>
      <c r="V425" t="s">
        <v>690</v>
      </c>
    </row>
    <row r="426" spans="1:22" x14ac:dyDescent="0.35">
      <c r="A426" t="s">
        <v>691</v>
      </c>
      <c r="B426" s="2">
        <v>45338</v>
      </c>
      <c r="C426" t="str" cm="1">
        <f t="array" ref="C4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6">
        <v>2023</v>
      </c>
      <c r="E426" s="1">
        <v>0.59722222222222221</v>
      </c>
      <c r="F4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6" t="str">
        <f>_xlfn.XLOOKUP(AllDataCorrected[[#This Row],[Location Name]], Locations[Location Name],Locations[Group As])</f>
        <v>Preston Bagot Canal</v>
      </c>
      <c r="H426" t="e" vm="1">
        <f>_xlfn.XLOOKUP(AllDataCorrected[[#This Row],[Site Name]],LocationsKey[Site Name],LocationsKey[District])</f>
        <v>#VALUE!</v>
      </c>
      <c r="I426" t="e" vm="21">
        <f>_xlfn.XLOOKUP(AllDataCorrected[[#This Row],[Site Name]],LocationsKey[Site Name],LocationsKey[Town])</f>
        <v>#VALUE!</v>
      </c>
      <c r="J426" t="str">
        <f>_xlfn.XLOOKUP(AllDataCorrected[[#This Row],[Site Name]],LocationsKey[Site Name], LocationsKey[Waterway])</f>
        <v>Preston Bagot Canal</v>
      </c>
      <c r="K426" t="s">
        <v>618</v>
      </c>
      <c r="L426">
        <f>_xlfn.XLOOKUP(AllDataCorrected[[#This Row],[Site Name]],Tables!$B$12:$B$100, Tables!C$12:C$100)</f>
        <v>52.286975789473694</v>
      </c>
      <c r="M426">
        <f>_xlfn.XLOOKUP(AllDataCorrected[[#This Row],[Site Name]],Tables!$B$12:$B$100, Tables!D$12:D$100)</f>
        <v>-1.5622505263157891</v>
      </c>
      <c r="N426" t="s">
        <v>25</v>
      </c>
      <c r="O426">
        <v>308</v>
      </c>
      <c r="P426">
        <v>11.6</v>
      </c>
      <c r="Q426">
        <v>2</v>
      </c>
      <c r="R426" t="str">
        <f>IF(AllDataCorrected[[#This Row],[Nitrate (PPM)]]&gt;2, "4. Very high (&gt;2ppm)", IF(AllDataCorrected[[#This Row],[Nitrate (PPM)]]&gt;1, "3. High (1-2ppm)", IF(AllDataCorrected[[#This Row],[Nitrate (PPM)]]&gt;0.5, "2. Some evidence (0.5-1ppm)", IF(AllDataCorrected[[#This Row],[Nitrate (PPM)]]&gt;=0, "1. No evidence (&lt;0.5ppm)"))))</f>
        <v>3. High (1-2ppm)</v>
      </c>
      <c r="S426">
        <v>0.22</v>
      </c>
      <c r="T4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6">
        <v>0</v>
      </c>
    </row>
    <row r="427" spans="1:22" x14ac:dyDescent="0.35">
      <c r="A427" t="s">
        <v>692</v>
      </c>
      <c r="B427" s="2">
        <v>45338</v>
      </c>
      <c r="C427" t="str" cm="1">
        <f t="array" ref="C4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7">
        <v>2023</v>
      </c>
      <c r="E427" s="1">
        <v>0.61111111111111116</v>
      </c>
      <c r="F4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7" t="str">
        <f>_xlfn.XLOOKUP(AllDataCorrected[[#This Row],[Location Name]], Locations[Location Name],Locations[Group As])</f>
        <v>Preston Bagot Brook</v>
      </c>
      <c r="H427" t="e" vm="1">
        <f>_xlfn.XLOOKUP(AllDataCorrected[[#This Row],[Site Name]],LocationsKey[Site Name],LocationsKey[District])</f>
        <v>#VALUE!</v>
      </c>
      <c r="I427" t="e" vm="21">
        <f>_xlfn.XLOOKUP(AllDataCorrected[[#This Row],[Site Name]],LocationsKey[Site Name],LocationsKey[Town])</f>
        <v>#VALUE!</v>
      </c>
      <c r="J427" t="str">
        <f>_xlfn.XLOOKUP(AllDataCorrected[[#This Row],[Site Name]],LocationsKey[Site Name], LocationsKey[Waterway])</f>
        <v>Preston Bagot Brook</v>
      </c>
      <c r="K427" t="s">
        <v>621</v>
      </c>
      <c r="L427">
        <f>_xlfn.XLOOKUP(AllDataCorrected[[#This Row],[Site Name]],Tables!$B$12:$B$100, Tables!C$12:C$100)</f>
        <v>52.286066538461554</v>
      </c>
      <c r="M427">
        <f>_xlfn.XLOOKUP(AllDataCorrected[[#This Row],[Site Name]],Tables!$B$12:$B$100, Tables!D$12:D$100)</f>
        <v>-1.7472480769230765</v>
      </c>
      <c r="N427" t="s">
        <v>25</v>
      </c>
      <c r="O427">
        <v>353</v>
      </c>
      <c r="P427">
        <v>12.4</v>
      </c>
      <c r="Q427">
        <v>2</v>
      </c>
      <c r="R427" t="str">
        <f>IF(AllDataCorrected[[#This Row],[Nitrate (PPM)]]&gt;2, "4. Very high (&gt;2ppm)", IF(AllDataCorrected[[#This Row],[Nitrate (PPM)]]&gt;1, "3. High (1-2ppm)", IF(AllDataCorrected[[#This Row],[Nitrate (PPM)]]&gt;0.5, "2. Some evidence (0.5-1ppm)", IF(AllDataCorrected[[#This Row],[Nitrate (PPM)]]&gt;=0, "1. No evidence (&lt;0.5ppm)"))))</f>
        <v>3. High (1-2ppm)</v>
      </c>
      <c r="S427">
        <v>0.56000000000000005</v>
      </c>
      <c r="T4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7">
        <v>0</v>
      </c>
    </row>
    <row r="428" spans="1:22" x14ac:dyDescent="0.35">
      <c r="A428" t="s">
        <v>693</v>
      </c>
      <c r="B428" s="2">
        <v>45338</v>
      </c>
      <c r="C428" t="str" cm="1">
        <f t="array" ref="C4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8">
        <v>2023</v>
      </c>
      <c r="E428" s="1">
        <v>0.625</v>
      </c>
      <c r="F4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8" t="str">
        <f>_xlfn.XLOOKUP(AllDataCorrected[[#This Row],[Location Name]], Locations[Location Name],Locations[Group As])</f>
        <v>Sherbourne Brook 1</v>
      </c>
      <c r="H428" t="e" vm="1">
        <f>_xlfn.XLOOKUP(AllDataCorrected[[#This Row],[Site Name]],LocationsKey[Site Name],LocationsKey[District])</f>
        <v>#VALUE!</v>
      </c>
      <c r="I428" t="e" vm="23">
        <f>_xlfn.XLOOKUP(AllDataCorrected[[#This Row],[Site Name]],LocationsKey[Site Name],LocationsKey[Town])</f>
        <v>#VALUE!</v>
      </c>
      <c r="J428" t="str">
        <f>_xlfn.XLOOKUP(AllDataCorrected[[#This Row],[Site Name]],LocationsKey[Site Name], LocationsKey[Waterway])</f>
        <v>Sherbourne Brook</v>
      </c>
      <c r="K428" t="s">
        <v>541</v>
      </c>
      <c r="L428">
        <f>_xlfn.XLOOKUP(AllDataCorrected[[#This Row],[Site Name]],Tables!$B$12:$B$100, Tables!C$12:C$100)</f>
        <v>52.252500000000033</v>
      </c>
      <c r="M428">
        <f>_xlfn.XLOOKUP(AllDataCorrected[[#This Row],[Site Name]],Tables!$B$12:$B$100, Tables!D$12:D$100)</f>
        <v>-1.6685000000000012</v>
      </c>
      <c r="N428" t="s">
        <v>25</v>
      </c>
      <c r="O428">
        <v>776</v>
      </c>
      <c r="P428">
        <v>11.4</v>
      </c>
      <c r="Q428">
        <v>5</v>
      </c>
      <c r="R428" t="str">
        <f>IF(AllDataCorrected[[#This Row],[Nitrate (PPM)]]&gt;2, "4. Very high (&gt;2ppm)", IF(AllDataCorrected[[#This Row],[Nitrate (PPM)]]&gt;1, "3. High (1-2ppm)", IF(AllDataCorrected[[#This Row],[Nitrate (PPM)]]&gt;0.5, "2. Some evidence (0.5-1ppm)", IF(AllDataCorrected[[#This Row],[Nitrate (PPM)]]&gt;=0, "1. No evidence (&lt;0.5ppm)"))))</f>
        <v>4. Very high (&gt;2ppm)</v>
      </c>
      <c r="S428">
        <v>0.73</v>
      </c>
      <c r="T4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28">
        <v>0.5</v>
      </c>
    </row>
    <row r="429" spans="1:22" x14ac:dyDescent="0.35">
      <c r="A429" t="s">
        <v>694</v>
      </c>
      <c r="B429" s="2">
        <v>45338</v>
      </c>
      <c r="C429" t="str" cm="1">
        <f t="array" ref="C4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29">
        <v>2023</v>
      </c>
      <c r="E429" s="1">
        <v>0.63541666666666663</v>
      </c>
      <c r="F4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29" t="str">
        <f>_xlfn.XLOOKUP(AllDataCorrected[[#This Row],[Location Name]], Locations[Location Name],Locations[Group As])</f>
        <v>Bell Brook 1</v>
      </c>
      <c r="H429" t="e" vm="1">
        <f>_xlfn.XLOOKUP(AllDataCorrected[[#This Row],[Site Name]],LocationsKey[Site Name],LocationsKey[District])</f>
        <v>#VALUE!</v>
      </c>
      <c r="I429" t="e" vm="19">
        <f>_xlfn.XLOOKUP(AllDataCorrected[[#This Row],[Site Name]],LocationsKey[Site Name],LocationsKey[Town])</f>
        <v>#VALUE!</v>
      </c>
      <c r="J429" t="str">
        <f>_xlfn.XLOOKUP(AllDataCorrected[[#This Row],[Site Name]],LocationsKey[Site Name], LocationsKey[Waterway])</f>
        <v>Bell Brook</v>
      </c>
      <c r="K429" t="s">
        <v>538</v>
      </c>
      <c r="L429">
        <f>_xlfn.XLOOKUP(AllDataCorrected[[#This Row],[Site Name]],Tables!$B$12:$B$100, Tables!C$12:C$100)</f>
        <v>52.24489999999998</v>
      </c>
      <c r="M429">
        <f>_xlfn.XLOOKUP(AllDataCorrected[[#This Row],[Site Name]],Tables!$B$12:$B$100, Tables!D$12:D$100)</f>
        <v>-1.6617000000000013</v>
      </c>
      <c r="N429" t="s">
        <v>25</v>
      </c>
      <c r="O429">
        <v>542</v>
      </c>
      <c r="P429">
        <v>10.6</v>
      </c>
      <c r="Q429">
        <v>4</v>
      </c>
      <c r="R429" t="str">
        <f>IF(AllDataCorrected[[#This Row],[Nitrate (PPM)]]&gt;2, "4. Very high (&gt;2ppm)", IF(AllDataCorrected[[#This Row],[Nitrate (PPM)]]&gt;1, "3. High (1-2ppm)", IF(AllDataCorrected[[#This Row],[Nitrate (PPM)]]&gt;0.5, "2. Some evidence (0.5-1ppm)", IF(AllDataCorrected[[#This Row],[Nitrate (PPM)]]&gt;=0, "1. No evidence (&lt;0.5ppm)"))))</f>
        <v>4. Very high (&gt;2ppm)</v>
      </c>
      <c r="S429">
        <v>0.16</v>
      </c>
      <c r="T4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29">
        <v>0.5</v>
      </c>
    </row>
    <row r="430" spans="1:22" x14ac:dyDescent="0.35">
      <c r="A430" t="s">
        <v>695</v>
      </c>
      <c r="B430" s="2">
        <v>45338</v>
      </c>
      <c r="C430" t="str" cm="1">
        <f t="array" ref="C4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0">
        <v>2023</v>
      </c>
      <c r="E430" s="1">
        <v>0.66666666666666663</v>
      </c>
      <c r="F4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0" t="str">
        <f>_xlfn.XLOOKUP(AllDataCorrected[[#This Row],[Location Name]], Locations[Location Name],Locations[Group As])</f>
        <v>Swilgate</v>
      </c>
      <c r="H430" t="e" vm="4">
        <f>_xlfn.XLOOKUP(AllDataCorrected[[#This Row],[Site Name]],LocationsKey[Site Name],LocationsKey[District])</f>
        <v>#VALUE!</v>
      </c>
      <c r="I430" t="e" vm="4">
        <f>_xlfn.XLOOKUP(AllDataCorrected[[#This Row],[Site Name]],LocationsKey[Site Name],LocationsKey[Town])</f>
        <v>#VALUE!</v>
      </c>
      <c r="J430" t="str">
        <f>_xlfn.XLOOKUP(AllDataCorrected[[#This Row],[Site Name]],LocationsKey[Site Name], LocationsKey[Waterway])</f>
        <v>Swilgate</v>
      </c>
      <c r="K430" t="s">
        <v>85</v>
      </c>
      <c r="L430">
        <f>_xlfn.XLOOKUP(AllDataCorrected[[#This Row],[Site Name]],Tables!$B$12:$B$100, Tables!C$12:C$100)</f>
        <v>51.988591500000005</v>
      </c>
      <c r="M430">
        <f>_xlfn.XLOOKUP(AllDataCorrected[[#This Row],[Site Name]],Tables!$B$12:$B$100, Tables!D$12:D$100)</f>
        <v>-2.163898333333333</v>
      </c>
      <c r="N430" t="s">
        <v>25</v>
      </c>
      <c r="O430">
        <v>757</v>
      </c>
      <c r="P430">
        <v>13.6</v>
      </c>
      <c r="Q430">
        <v>3</v>
      </c>
      <c r="R430" t="str">
        <f>IF(AllDataCorrected[[#This Row],[Nitrate (PPM)]]&gt;2, "4. Very high (&gt;2ppm)", IF(AllDataCorrected[[#This Row],[Nitrate (PPM)]]&gt;1, "3. High (1-2ppm)", IF(AllDataCorrected[[#This Row],[Nitrate (PPM)]]&gt;0.5, "2. Some evidence (0.5-1ppm)", IF(AllDataCorrected[[#This Row],[Nitrate (PPM)]]&gt;=0, "1. No evidence (&lt;0.5ppm)"))))</f>
        <v>4. Very high (&gt;2ppm)</v>
      </c>
      <c r="S430">
        <v>0.39</v>
      </c>
      <c r="T4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0">
        <v>2</v>
      </c>
      <c r="V430" t="s">
        <v>272</v>
      </c>
    </row>
    <row r="431" spans="1:22" x14ac:dyDescent="0.35">
      <c r="A431" t="s">
        <v>696</v>
      </c>
      <c r="B431" s="2">
        <v>45338</v>
      </c>
      <c r="C431" t="str" cm="1">
        <f t="array" ref="C4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1">
        <v>2023</v>
      </c>
      <c r="F43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1" t="str">
        <f>_xlfn.XLOOKUP(AllDataCorrected[[#This Row],[Location Name]], Locations[Location Name],Locations[Group As])</f>
        <v>Site 1  :  Middle Street</v>
      </c>
      <c r="H431" t="e" vm="1">
        <f>_xlfn.XLOOKUP(AllDataCorrected[[#This Row],[Site Name]],LocationsKey[Site Name],LocationsKey[District])</f>
        <v>#VALUE!</v>
      </c>
      <c r="I431" t="e" vm="14">
        <f>_xlfn.XLOOKUP(AllDataCorrected[[#This Row],[Site Name]],LocationsKey[Site Name],LocationsKey[Town])</f>
        <v>#VALUE!</v>
      </c>
      <c r="J431" t="str">
        <f>_xlfn.XLOOKUP(AllDataCorrected[[#This Row],[Site Name]],LocationsKey[Site Name], LocationsKey[Waterway])</f>
        <v>Fosseway Brook</v>
      </c>
      <c r="K431" t="s">
        <v>667</v>
      </c>
      <c r="L431">
        <f>_xlfn.XLOOKUP(AllDataCorrected[[#This Row],[Site Name]],Tables!$B$12:$B$100, Tables!C$12:C$100)</f>
        <v>52.090081855670022</v>
      </c>
      <c r="M431">
        <f>_xlfn.XLOOKUP(AllDataCorrected[[#This Row],[Site Name]],Tables!$B$12:$B$100, Tables!D$12:D$100)</f>
        <v>-1.6925771134020597</v>
      </c>
      <c r="N431" t="s">
        <v>68</v>
      </c>
      <c r="O431">
        <v>584</v>
      </c>
      <c r="P431">
        <v>12.3</v>
      </c>
      <c r="Q431">
        <v>3</v>
      </c>
      <c r="R431" t="str">
        <f>IF(AllDataCorrected[[#This Row],[Nitrate (PPM)]]&gt;2, "4. Very high (&gt;2ppm)", IF(AllDataCorrected[[#This Row],[Nitrate (PPM)]]&gt;1, "3. High (1-2ppm)", IF(AllDataCorrected[[#This Row],[Nitrate (PPM)]]&gt;0.5, "2. Some evidence (0.5-1ppm)", IF(AllDataCorrected[[#This Row],[Nitrate (PPM)]]&gt;=0, "1. No evidence (&lt;0.5ppm)"))))</f>
        <v>4. Very high (&gt;2ppm)</v>
      </c>
      <c r="S431">
        <v>0.08</v>
      </c>
      <c r="T4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31">
        <v>0</v>
      </c>
      <c r="V431" t="s">
        <v>697</v>
      </c>
    </row>
    <row r="432" spans="1:22" x14ac:dyDescent="0.35">
      <c r="A432" t="s">
        <v>698</v>
      </c>
      <c r="B432" s="2">
        <v>45338</v>
      </c>
      <c r="C432" t="str" cm="1">
        <f t="array" ref="C4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2">
        <v>2023</v>
      </c>
      <c r="F43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2" t="str">
        <f>_xlfn.XLOOKUP(AllDataCorrected[[#This Row],[Location Name]], Locations[Location Name],Locations[Group As])</f>
        <v>Site 1  :  Middle Street</v>
      </c>
      <c r="H432" t="e" vm="1">
        <f>_xlfn.XLOOKUP(AllDataCorrected[[#This Row],[Site Name]],LocationsKey[Site Name],LocationsKey[District])</f>
        <v>#VALUE!</v>
      </c>
      <c r="I432" t="e" vm="14">
        <f>_xlfn.XLOOKUP(AllDataCorrected[[#This Row],[Site Name]],LocationsKey[Site Name],LocationsKey[Town])</f>
        <v>#VALUE!</v>
      </c>
      <c r="J432" t="str">
        <f>_xlfn.XLOOKUP(AllDataCorrected[[#This Row],[Site Name]],LocationsKey[Site Name], LocationsKey[Waterway])</f>
        <v>Fosseway Brook</v>
      </c>
      <c r="K432" t="s">
        <v>670</v>
      </c>
      <c r="L432">
        <f>_xlfn.XLOOKUP(AllDataCorrected[[#This Row],[Site Name]],Tables!$B$12:$B$100, Tables!C$12:C$100)</f>
        <v>52.090081855670022</v>
      </c>
      <c r="M432">
        <f>_xlfn.XLOOKUP(AllDataCorrected[[#This Row],[Site Name]],Tables!$B$12:$B$100, Tables!D$12:D$100)</f>
        <v>-1.6925771134020597</v>
      </c>
      <c r="N432" t="s">
        <v>68</v>
      </c>
      <c r="O432">
        <v>584</v>
      </c>
      <c r="P432">
        <v>12.3</v>
      </c>
      <c r="Q432">
        <v>3</v>
      </c>
      <c r="R432" t="str">
        <f>IF(AllDataCorrected[[#This Row],[Nitrate (PPM)]]&gt;2, "4. Very high (&gt;2ppm)", IF(AllDataCorrected[[#This Row],[Nitrate (PPM)]]&gt;1, "3. High (1-2ppm)", IF(AllDataCorrected[[#This Row],[Nitrate (PPM)]]&gt;0.5, "2. Some evidence (0.5-1ppm)", IF(AllDataCorrected[[#This Row],[Nitrate (PPM)]]&gt;=0, "1. No evidence (&lt;0.5ppm)"))))</f>
        <v>4. Very high (&gt;2ppm)</v>
      </c>
      <c r="S432">
        <v>0.08</v>
      </c>
      <c r="T432"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432" t="s">
        <v>699</v>
      </c>
    </row>
    <row r="433" spans="1:22" x14ac:dyDescent="0.35">
      <c r="A433" t="s">
        <v>700</v>
      </c>
      <c r="B433" s="2">
        <v>45338</v>
      </c>
      <c r="C433" t="str" cm="1">
        <f t="array" ref="C4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3">
        <v>2023</v>
      </c>
      <c r="F43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3" t="str">
        <f>_xlfn.XLOOKUP(AllDataCorrected[[#This Row],[Location Name]], Locations[Location Name],Locations[Group As])</f>
        <v>Site 2  :  Cross Leys culvert</v>
      </c>
      <c r="H433" t="e" vm="1">
        <f>_xlfn.XLOOKUP(AllDataCorrected[[#This Row],[Site Name]],LocationsKey[Site Name],LocationsKey[District])</f>
        <v>#VALUE!</v>
      </c>
      <c r="I433" t="e" vm="14">
        <f>_xlfn.XLOOKUP(AllDataCorrected[[#This Row],[Site Name]],LocationsKey[Site Name],LocationsKey[Town])</f>
        <v>#VALUE!</v>
      </c>
      <c r="J433" t="str">
        <f>_xlfn.XLOOKUP(AllDataCorrected[[#This Row],[Site Name]],LocationsKey[Site Name], LocationsKey[Waterway])</f>
        <v>Fosseway Brook</v>
      </c>
      <c r="K433" t="s">
        <v>623</v>
      </c>
      <c r="L433">
        <f>_xlfn.XLOOKUP(AllDataCorrected[[#This Row],[Site Name]],Tables!$B$12:$B$100, Tables!C$12:C$100)</f>
        <v>52.092997354838673</v>
      </c>
      <c r="M433">
        <f>_xlfn.XLOOKUP(AllDataCorrected[[#This Row],[Site Name]],Tables!$B$12:$B$100, Tables!D$12:D$100)</f>
        <v>-1.6862254516129045</v>
      </c>
      <c r="N433" t="s">
        <v>68</v>
      </c>
      <c r="O433">
        <v>592</v>
      </c>
      <c r="P433">
        <v>11</v>
      </c>
      <c r="Q433">
        <v>2</v>
      </c>
      <c r="R433" t="str">
        <f>IF(AllDataCorrected[[#This Row],[Nitrate (PPM)]]&gt;2, "4. Very high (&gt;2ppm)", IF(AllDataCorrected[[#This Row],[Nitrate (PPM)]]&gt;1, "3. High (1-2ppm)", IF(AllDataCorrected[[#This Row],[Nitrate (PPM)]]&gt;0.5, "2. Some evidence (0.5-1ppm)", IF(AllDataCorrected[[#This Row],[Nitrate (PPM)]]&gt;=0, "1. No evidence (&lt;0.5ppm)"))))</f>
        <v>3. High (1-2ppm)</v>
      </c>
      <c r="S433">
        <v>0.17</v>
      </c>
      <c r="T4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3">
        <v>0</v>
      </c>
      <c r="V433" t="s">
        <v>701</v>
      </c>
    </row>
    <row r="434" spans="1:22" x14ac:dyDescent="0.35">
      <c r="A434" t="s">
        <v>702</v>
      </c>
      <c r="B434" s="2">
        <v>45338</v>
      </c>
      <c r="C434" t="str" cm="1">
        <f t="array" ref="C4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4">
        <v>2023</v>
      </c>
      <c r="F43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4" t="str">
        <f>_xlfn.XLOOKUP(AllDataCorrected[[#This Row],[Location Name]], Locations[Location Name],Locations[Group As])</f>
        <v>Site 2  :  Cross Leys culvert</v>
      </c>
      <c r="H434" t="e" vm="1">
        <f>_xlfn.XLOOKUP(AllDataCorrected[[#This Row],[Site Name]],LocationsKey[Site Name],LocationsKey[District])</f>
        <v>#VALUE!</v>
      </c>
      <c r="I434" t="e" vm="14">
        <f>_xlfn.XLOOKUP(AllDataCorrected[[#This Row],[Site Name]],LocationsKey[Site Name],LocationsKey[Town])</f>
        <v>#VALUE!</v>
      </c>
      <c r="J434" t="str">
        <f>_xlfn.XLOOKUP(AllDataCorrected[[#This Row],[Site Name]],LocationsKey[Site Name], LocationsKey[Waterway])</f>
        <v>Fosseway Brook</v>
      </c>
      <c r="K434" t="s">
        <v>626</v>
      </c>
      <c r="L434">
        <f>_xlfn.XLOOKUP(AllDataCorrected[[#This Row],[Site Name]],Tables!$B$12:$B$100, Tables!C$12:C$100)</f>
        <v>52.092997354838673</v>
      </c>
      <c r="M434">
        <f>_xlfn.XLOOKUP(AllDataCorrected[[#This Row],[Site Name]],Tables!$B$12:$B$100, Tables!D$12:D$100)</f>
        <v>-1.6862254516129045</v>
      </c>
      <c r="N434" t="s">
        <v>68</v>
      </c>
      <c r="O434">
        <v>592</v>
      </c>
      <c r="P434">
        <v>11</v>
      </c>
      <c r="Q434">
        <v>2</v>
      </c>
      <c r="R434" t="str">
        <f>IF(AllDataCorrected[[#This Row],[Nitrate (PPM)]]&gt;2, "4. Very high (&gt;2ppm)", IF(AllDataCorrected[[#This Row],[Nitrate (PPM)]]&gt;1, "3. High (1-2ppm)", IF(AllDataCorrected[[#This Row],[Nitrate (PPM)]]&gt;0.5, "2. Some evidence (0.5-1ppm)", IF(AllDataCorrected[[#This Row],[Nitrate (PPM)]]&gt;=0, "1. No evidence (&lt;0.5ppm)"))))</f>
        <v>3. High (1-2ppm)</v>
      </c>
      <c r="S434">
        <v>0.17</v>
      </c>
      <c r="T4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34" t="s">
        <v>703</v>
      </c>
    </row>
    <row r="435" spans="1:22" x14ac:dyDescent="0.35">
      <c r="A435" t="s">
        <v>704</v>
      </c>
      <c r="B435" s="2">
        <v>45338</v>
      </c>
      <c r="C435" t="str" cm="1">
        <f t="array" ref="C4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5">
        <v>2023</v>
      </c>
      <c r="F43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5" t="str">
        <f>_xlfn.XLOOKUP(AllDataCorrected[[#This Row],[Location Name]], Locations[Location Name],Locations[Group As])</f>
        <v>Site 3  :  Severn Trent Water processing plant outflow</v>
      </c>
      <c r="H435" t="e" vm="1">
        <f>_xlfn.XLOOKUP(AllDataCorrected[[#This Row],[Site Name]],LocationsKey[Site Name],LocationsKey[District])</f>
        <v>#VALUE!</v>
      </c>
      <c r="I435" t="e" vm="14">
        <f>_xlfn.XLOOKUP(AllDataCorrected[[#This Row],[Site Name]],LocationsKey[Site Name],LocationsKey[Town])</f>
        <v>#VALUE!</v>
      </c>
      <c r="J435" t="str">
        <f>_xlfn.XLOOKUP(AllDataCorrected[[#This Row],[Site Name]],LocationsKey[Site Name], LocationsKey[Waterway])</f>
        <v>Fosseway Brook</v>
      </c>
      <c r="K435" t="s">
        <v>673</v>
      </c>
      <c r="L435">
        <f>_xlfn.XLOOKUP(AllDataCorrected[[#This Row],[Site Name]],Tables!$B$12:$B$100, Tables!C$12:C$100)</f>
        <v>52.130499999999998</v>
      </c>
      <c r="M435">
        <f>_xlfn.XLOOKUP(AllDataCorrected[[#This Row],[Site Name]],Tables!$B$12:$B$100, Tables!D$12:D$100)</f>
        <v>-2.0787</v>
      </c>
      <c r="N435" t="s">
        <v>31</v>
      </c>
      <c r="O435">
        <v>640</v>
      </c>
      <c r="P435">
        <v>10.9</v>
      </c>
      <c r="Q435">
        <v>5</v>
      </c>
      <c r="R435" t="str">
        <f>IF(AllDataCorrected[[#This Row],[Nitrate (PPM)]]&gt;2, "4. Very high (&gt;2ppm)", IF(AllDataCorrected[[#This Row],[Nitrate (PPM)]]&gt;1, "3. High (1-2ppm)", IF(AllDataCorrected[[#This Row],[Nitrate (PPM)]]&gt;0.5, "2. Some evidence (0.5-1ppm)", IF(AllDataCorrected[[#This Row],[Nitrate (PPM)]]&gt;=0, "1. No evidence (&lt;0.5ppm)"))))</f>
        <v>4. Very high (&gt;2ppm)</v>
      </c>
      <c r="S435">
        <v>2.2599999999999998</v>
      </c>
      <c r="T4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5">
        <v>0</v>
      </c>
      <c r="V435" t="s">
        <v>705</v>
      </c>
    </row>
    <row r="436" spans="1:22" x14ac:dyDescent="0.35">
      <c r="A436" t="s">
        <v>706</v>
      </c>
      <c r="B436" s="2">
        <v>45338</v>
      </c>
      <c r="C436" t="str" cm="1">
        <f t="array" ref="C4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6">
        <v>2023</v>
      </c>
      <c r="F43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36" t="str">
        <f>_xlfn.XLOOKUP(AllDataCorrected[[#This Row],[Location Name]], Locations[Location Name],Locations[Group As])</f>
        <v>Site 3  :  Severn Trent Water processing plant outflow</v>
      </c>
      <c r="H436" t="e" vm="1">
        <f>_xlfn.XLOOKUP(AllDataCorrected[[#This Row],[Site Name]],LocationsKey[Site Name],LocationsKey[District])</f>
        <v>#VALUE!</v>
      </c>
      <c r="I436" t="e" vm="14">
        <f>_xlfn.XLOOKUP(AllDataCorrected[[#This Row],[Site Name]],LocationsKey[Site Name],LocationsKey[Town])</f>
        <v>#VALUE!</v>
      </c>
      <c r="J436" t="str">
        <f>_xlfn.XLOOKUP(AllDataCorrected[[#This Row],[Site Name]],LocationsKey[Site Name], LocationsKey[Waterway])</f>
        <v>Fosseway Brook</v>
      </c>
      <c r="K436" t="s">
        <v>676</v>
      </c>
      <c r="L436">
        <f>_xlfn.XLOOKUP(AllDataCorrected[[#This Row],[Site Name]],Tables!$B$12:$B$100, Tables!C$12:C$100)</f>
        <v>52.130499999999998</v>
      </c>
      <c r="M436">
        <f>_xlfn.XLOOKUP(AllDataCorrected[[#This Row],[Site Name]],Tables!$B$12:$B$100, Tables!D$12:D$100)</f>
        <v>-2.0787</v>
      </c>
      <c r="N436" t="s">
        <v>31</v>
      </c>
      <c r="O436">
        <v>640</v>
      </c>
      <c r="P436">
        <v>10.9</v>
      </c>
      <c r="Q436">
        <v>5</v>
      </c>
      <c r="R436" t="str">
        <f>IF(AllDataCorrected[[#This Row],[Nitrate (PPM)]]&gt;2, "4. Very high (&gt;2ppm)", IF(AllDataCorrected[[#This Row],[Nitrate (PPM)]]&gt;1, "3. High (1-2ppm)", IF(AllDataCorrected[[#This Row],[Nitrate (PPM)]]&gt;0.5, "2. Some evidence (0.5-1ppm)", IF(AllDataCorrected[[#This Row],[Nitrate (PPM)]]&gt;=0, "1. No evidence (&lt;0.5ppm)"))))</f>
        <v>4. Very high (&gt;2ppm)</v>
      </c>
      <c r="S436">
        <v>2.2599999999999998</v>
      </c>
      <c r="T4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36" t="s">
        <v>703</v>
      </c>
    </row>
    <row r="437" spans="1:22" x14ac:dyDescent="0.35">
      <c r="A437" t="s">
        <v>708</v>
      </c>
      <c r="B437" s="2">
        <v>45339</v>
      </c>
      <c r="C437" t="str" cm="1">
        <f t="array" ref="C4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7">
        <v>2023</v>
      </c>
      <c r="E437" s="1">
        <v>0.47013888888888888</v>
      </c>
      <c r="F4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37" t="str">
        <f>_xlfn.XLOOKUP(AllDataCorrected[[#This Row],[Location Name]], Locations[Location Name],Locations[Group As])</f>
        <v>Stour Cherington Sewage Works</v>
      </c>
      <c r="H437" t="e" vm="1">
        <f>_xlfn.XLOOKUP(AllDataCorrected[[#This Row],[Site Name]],LocationsKey[Site Name],LocationsKey[District])</f>
        <v>#VALUE!</v>
      </c>
      <c r="I437" t="str">
        <f>_xlfn.XLOOKUP(AllDataCorrected[[#This Row],[Site Name]],LocationsKey[Site Name],LocationsKey[Town])</f>
        <v>Cherington</v>
      </c>
      <c r="J437" t="str">
        <f>_xlfn.XLOOKUP(AllDataCorrected[[#This Row],[Site Name]],LocationsKey[Site Name], LocationsKey[Waterway])</f>
        <v>Stour</v>
      </c>
      <c r="K437" t="s">
        <v>709</v>
      </c>
      <c r="L437">
        <f>_xlfn.XLOOKUP(AllDataCorrected[[#This Row],[Site Name]],Tables!$B$12:$B$100, Tables!C$12:C$100)</f>
        <v>52.029943500000002</v>
      </c>
      <c r="M437">
        <f>_xlfn.XLOOKUP(AllDataCorrected[[#This Row],[Site Name]],Tables!$B$12:$B$100, Tables!D$12:D$100)</f>
        <v>-1.5807020000000001</v>
      </c>
      <c r="N437" t="s">
        <v>31</v>
      </c>
      <c r="O437">
        <v>574</v>
      </c>
      <c r="P437">
        <v>11.1</v>
      </c>
      <c r="Q437">
        <v>0.5</v>
      </c>
      <c r="R43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37">
        <v>0.33</v>
      </c>
      <c r="T4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7">
        <v>0.5</v>
      </c>
      <c r="V437" t="s">
        <v>710</v>
      </c>
    </row>
    <row r="438" spans="1:22" x14ac:dyDescent="0.35">
      <c r="A438" t="s">
        <v>711</v>
      </c>
      <c r="B438" s="2">
        <v>45339</v>
      </c>
      <c r="C438" t="str" cm="1">
        <f t="array" ref="C4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8">
        <v>2023</v>
      </c>
      <c r="E438" s="1">
        <v>0.54166666666666663</v>
      </c>
      <c r="F4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8" t="str">
        <f>_xlfn.XLOOKUP(AllDataCorrected[[#This Row],[Location Name]], Locations[Location Name],Locations[Group As])</f>
        <v>Clifford Chambers Mill Bridge</v>
      </c>
      <c r="H438" t="e" vm="1">
        <f>_xlfn.XLOOKUP(AllDataCorrected[[#This Row],[Site Name]],LocationsKey[Site Name],LocationsKey[District])</f>
        <v>#VALUE!</v>
      </c>
      <c r="I438" t="e" vm="22">
        <f>_xlfn.XLOOKUP(AllDataCorrected[[#This Row],[Site Name]],LocationsKey[Site Name],LocationsKey[Town])</f>
        <v>#VALUE!</v>
      </c>
      <c r="J438" t="str">
        <f>_xlfn.XLOOKUP(AllDataCorrected[[#This Row],[Site Name]],LocationsKey[Site Name], LocationsKey[Waterway])</f>
        <v>Stour</v>
      </c>
      <c r="K438" t="s">
        <v>266</v>
      </c>
      <c r="L438">
        <f>_xlfn.XLOOKUP(AllDataCorrected[[#This Row],[Site Name]],Tables!$B$12:$B$100, Tables!C$12:C$100)</f>
        <v>52.166363596153808</v>
      </c>
      <c r="M438">
        <f>_xlfn.XLOOKUP(AllDataCorrected[[#This Row],[Site Name]],Tables!$B$12:$B$100, Tables!D$12:D$100)</f>
        <v>-1.7080375384615398</v>
      </c>
      <c r="N438" t="s">
        <v>68</v>
      </c>
      <c r="O438">
        <v>551</v>
      </c>
      <c r="P438">
        <v>14.9</v>
      </c>
      <c r="Q438">
        <v>5</v>
      </c>
      <c r="R438" t="str">
        <f>IF(AllDataCorrected[[#This Row],[Nitrate (PPM)]]&gt;2, "4. Very high (&gt;2ppm)", IF(AllDataCorrected[[#This Row],[Nitrate (PPM)]]&gt;1, "3. High (1-2ppm)", IF(AllDataCorrected[[#This Row],[Nitrate (PPM)]]&gt;0.5, "2. Some evidence (0.5-1ppm)", IF(AllDataCorrected[[#This Row],[Nitrate (PPM)]]&gt;=0, "1. No evidence (&lt;0.5ppm)"))))</f>
        <v>4. Very high (&gt;2ppm)</v>
      </c>
      <c r="S438">
        <v>0.33</v>
      </c>
      <c r="T4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38">
        <v>1.3</v>
      </c>
    </row>
    <row r="439" spans="1:22" x14ac:dyDescent="0.35">
      <c r="A439" t="s">
        <v>712</v>
      </c>
      <c r="B439" s="2">
        <v>45339</v>
      </c>
      <c r="C439" t="str" cm="1">
        <f t="array" ref="C4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39">
        <v>2023</v>
      </c>
      <c r="E439" s="1">
        <v>0.65555555555555556</v>
      </c>
      <c r="F4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39" t="str">
        <f>_xlfn.XLOOKUP(AllDataCorrected[[#This Row],[Location Name]], Locations[Location Name],Locations[Group As])</f>
        <v>Black Bear</v>
      </c>
      <c r="H439" t="e" vm="4">
        <f>_xlfn.XLOOKUP(AllDataCorrected[[#This Row],[Site Name]],LocationsKey[Site Name],LocationsKey[District])</f>
        <v>#VALUE!</v>
      </c>
      <c r="I439" t="e" vm="4">
        <f>_xlfn.XLOOKUP(AllDataCorrected[[#This Row],[Site Name]],LocationsKey[Site Name],LocationsKey[Town])</f>
        <v>#VALUE!</v>
      </c>
      <c r="J439" t="str">
        <f>_xlfn.XLOOKUP(AllDataCorrected[[#This Row],[Site Name]],LocationsKey[Site Name], LocationsKey[Waterway])</f>
        <v>Avon</v>
      </c>
      <c r="K439" t="s">
        <v>572</v>
      </c>
      <c r="L439">
        <f>_xlfn.XLOOKUP(AllDataCorrected[[#This Row],[Site Name]],Tables!$B$12:$B$100, Tables!C$12:C$100)</f>
        <v>51.997466254237274</v>
      </c>
      <c r="M439">
        <f>_xlfn.XLOOKUP(AllDataCorrected[[#This Row],[Site Name]],Tables!$B$12:$B$100, Tables!D$12:D$100)</f>
        <v>-2.1561788644067801</v>
      </c>
      <c r="N439" t="s">
        <v>25</v>
      </c>
      <c r="O439">
        <v>504</v>
      </c>
      <c r="P439">
        <v>12.7</v>
      </c>
      <c r="Q439">
        <v>5</v>
      </c>
      <c r="R439" t="str">
        <f>IF(AllDataCorrected[[#This Row],[Nitrate (PPM)]]&gt;2, "4. Very high (&gt;2ppm)", IF(AllDataCorrected[[#This Row],[Nitrate (PPM)]]&gt;1, "3. High (1-2ppm)", IF(AllDataCorrected[[#This Row],[Nitrate (PPM)]]&gt;0.5, "2. Some evidence (0.5-1ppm)", IF(AllDataCorrected[[#This Row],[Nitrate (PPM)]]&gt;=0, "1. No evidence (&lt;0.5ppm)"))))</f>
        <v>4. Very high (&gt;2ppm)</v>
      </c>
      <c r="S439">
        <v>0.89</v>
      </c>
      <c r="T4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39">
        <v>2.5</v>
      </c>
      <c r="V439" t="s">
        <v>272</v>
      </c>
    </row>
    <row r="440" spans="1:22" x14ac:dyDescent="0.35">
      <c r="A440" t="s">
        <v>713</v>
      </c>
      <c r="B440" s="2">
        <v>45339</v>
      </c>
      <c r="C440" t="str" cm="1">
        <f t="array" ref="C4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0">
        <v>2023</v>
      </c>
      <c r="E440" s="1">
        <v>0.70138888888888884</v>
      </c>
      <c r="F4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0" t="str">
        <f>_xlfn.XLOOKUP(AllDataCorrected[[#This Row],[Location Name]], Locations[Location Name],Locations[Group As])</f>
        <v>Pershore Leisure Centre</v>
      </c>
      <c r="H440" t="e" vm="6">
        <f>_xlfn.XLOOKUP(AllDataCorrected[[#This Row],[Site Name]],LocationsKey[Site Name],LocationsKey[District])</f>
        <v>#VALUE!</v>
      </c>
      <c r="I440" t="e" vm="7">
        <f>_xlfn.XLOOKUP(AllDataCorrected[[#This Row],[Site Name]],LocationsKey[Site Name],LocationsKey[Town])</f>
        <v>#VALUE!</v>
      </c>
      <c r="J440" t="str">
        <f>_xlfn.XLOOKUP(AllDataCorrected[[#This Row],[Site Name]],LocationsKey[Site Name], LocationsKey[Waterway])</f>
        <v>Avon</v>
      </c>
      <c r="K440" t="s">
        <v>586</v>
      </c>
      <c r="L440">
        <f>_xlfn.XLOOKUP(AllDataCorrected[[#This Row],[Site Name]],Tables!$B$12:$B$100, Tables!C$12:C$100)</f>
        <v>52.108220000000003</v>
      </c>
      <c r="M440">
        <f>_xlfn.XLOOKUP(AllDataCorrected[[#This Row],[Site Name]],Tables!$B$12:$B$100, Tables!D$12:D$100)</f>
        <v>-2.0715195</v>
      </c>
      <c r="O440">
        <v>634</v>
      </c>
      <c r="P440">
        <v>12.5</v>
      </c>
      <c r="Q440">
        <v>5</v>
      </c>
      <c r="R440" t="str">
        <f>IF(AllDataCorrected[[#This Row],[Nitrate (PPM)]]&gt;2, "4. Very high (&gt;2ppm)", IF(AllDataCorrected[[#This Row],[Nitrate (PPM)]]&gt;1, "3. High (1-2ppm)", IF(AllDataCorrected[[#This Row],[Nitrate (PPM)]]&gt;0.5, "2. Some evidence (0.5-1ppm)", IF(AllDataCorrected[[#This Row],[Nitrate (PPM)]]&gt;=0, "1. No evidence (&lt;0.5ppm)"))))</f>
        <v>4. Very high (&gt;2ppm)</v>
      </c>
      <c r="S440">
        <v>0.5</v>
      </c>
      <c r="T4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0">
        <v>3.48</v>
      </c>
      <c r="V440" t="s">
        <v>714</v>
      </c>
    </row>
    <row r="441" spans="1:22" x14ac:dyDescent="0.35">
      <c r="A441" t="s">
        <v>715</v>
      </c>
      <c r="B441" s="2">
        <v>45339</v>
      </c>
      <c r="C441" t="str" cm="1">
        <f t="array" ref="C4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1">
        <v>2023</v>
      </c>
      <c r="E441" s="1">
        <v>0.71458333333333335</v>
      </c>
      <c r="F4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1" t="str">
        <f>_xlfn.XLOOKUP(AllDataCorrected[[#This Row],[Location Name]], Locations[Location Name],Locations[Group As])</f>
        <v>Pershore Bridges</v>
      </c>
      <c r="H441" t="e" vm="6">
        <f>_xlfn.XLOOKUP(AllDataCorrected[[#This Row],[Site Name]],LocationsKey[Site Name],LocationsKey[District])</f>
        <v>#VALUE!</v>
      </c>
      <c r="I441" t="e" vm="7">
        <f>_xlfn.XLOOKUP(AllDataCorrected[[#This Row],[Site Name]],LocationsKey[Site Name],LocationsKey[Town])</f>
        <v>#VALUE!</v>
      </c>
      <c r="J441" t="str">
        <f>_xlfn.XLOOKUP(AllDataCorrected[[#This Row],[Site Name]],LocationsKey[Site Name], LocationsKey[Waterway])</f>
        <v>Avon</v>
      </c>
      <c r="K441" t="s">
        <v>584</v>
      </c>
      <c r="L441">
        <f>_xlfn.XLOOKUP(AllDataCorrected[[#This Row],[Site Name]],Tables!$B$12:$B$100, Tables!C$12:C$100)</f>
        <v>52.104196285714281</v>
      </c>
      <c r="M441">
        <f>_xlfn.XLOOKUP(AllDataCorrected[[#This Row],[Site Name]],Tables!$B$12:$B$100, Tables!D$12:D$100)</f>
        <v>-2.0709292857142851</v>
      </c>
      <c r="O441">
        <v>533</v>
      </c>
      <c r="P441">
        <v>12.5</v>
      </c>
      <c r="Q441">
        <v>5</v>
      </c>
      <c r="R441" t="str">
        <f>IF(AllDataCorrected[[#This Row],[Nitrate (PPM)]]&gt;2, "4. Very high (&gt;2ppm)", IF(AllDataCorrected[[#This Row],[Nitrate (PPM)]]&gt;1, "3. High (1-2ppm)", IF(AllDataCorrected[[#This Row],[Nitrate (PPM)]]&gt;0.5, "2. Some evidence (0.5-1ppm)", IF(AllDataCorrected[[#This Row],[Nitrate (PPM)]]&gt;=0, "1. No evidence (&lt;0.5ppm)"))))</f>
        <v>4. Very high (&gt;2ppm)</v>
      </c>
      <c r="S441">
        <v>0.48</v>
      </c>
      <c r="T4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1">
        <v>3.48</v>
      </c>
      <c r="V441" t="s">
        <v>716</v>
      </c>
    </row>
    <row r="442" spans="1:22" x14ac:dyDescent="0.35">
      <c r="A442" t="s">
        <v>717</v>
      </c>
      <c r="B442" s="2">
        <v>45340</v>
      </c>
      <c r="C442" t="str" cm="1">
        <f t="array" ref="C4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2">
        <v>2023</v>
      </c>
      <c r="E442" s="1">
        <v>0.47916666666666669</v>
      </c>
      <c r="F4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2" t="str">
        <f>_xlfn.XLOOKUP(AllDataCorrected[[#This Row],[Location Name]], Locations[Location Name],Locations[Group As])</f>
        <v>Carrant Bredon Rd</v>
      </c>
      <c r="H442" t="e" vm="4">
        <f>_xlfn.XLOOKUP(AllDataCorrected[[#This Row],[Site Name]],LocationsKey[Site Name],LocationsKey[District])</f>
        <v>#VALUE!</v>
      </c>
      <c r="I442" t="e" vm="4">
        <f>_xlfn.XLOOKUP(AllDataCorrected[[#This Row],[Site Name]],LocationsKey[Site Name],LocationsKey[Town])</f>
        <v>#VALUE!</v>
      </c>
      <c r="J442" t="str">
        <f>_xlfn.XLOOKUP(AllDataCorrected[[#This Row],[Site Name]],LocationsKey[Site Name], LocationsKey[Waterway])</f>
        <v>Carrant</v>
      </c>
      <c r="K442" t="s">
        <v>603</v>
      </c>
      <c r="L442">
        <f>_xlfn.XLOOKUP(AllDataCorrected[[#This Row],[Site Name]],Tables!$B$12:$B$100, Tables!C$12:C$100)</f>
        <v>51.996322536231894</v>
      </c>
      <c r="M442">
        <f>_xlfn.XLOOKUP(AllDataCorrected[[#This Row],[Site Name]],Tables!$B$12:$B$100, Tables!D$12:D$100)</f>
        <v>-2.1558410144927538</v>
      </c>
      <c r="N442" t="s">
        <v>25</v>
      </c>
      <c r="O442">
        <v>519</v>
      </c>
      <c r="P442">
        <v>13.4</v>
      </c>
      <c r="Q442">
        <v>4</v>
      </c>
      <c r="R442" t="str">
        <f>IF(AllDataCorrected[[#This Row],[Nitrate (PPM)]]&gt;2, "4. Very high (&gt;2ppm)", IF(AllDataCorrected[[#This Row],[Nitrate (PPM)]]&gt;1, "3. High (1-2ppm)", IF(AllDataCorrected[[#This Row],[Nitrate (PPM)]]&gt;0.5, "2. Some evidence (0.5-1ppm)", IF(AllDataCorrected[[#This Row],[Nitrate (PPM)]]&gt;=0, "1. No evidence (&lt;0.5ppm)"))))</f>
        <v>4. Very high (&gt;2ppm)</v>
      </c>
      <c r="S442">
        <v>0.37</v>
      </c>
      <c r="T4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2">
        <v>1.42</v>
      </c>
      <c r="V442" t="s">
        <v>718</v>
      </c>
    </row>
    <row r="443" spans="1:22" x14ac:dyDescent="0.35">
      <c r="A443" t="s">
        <v>719</v>
      </c>
      <c r="B443" s="2">
        <v>45340</v>
      </c>
      <c r="C443" t="str" cm="1">
        <f t="array" ref="C4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3">
        <v>2023</v>
      </c>
      <c r="E443" s="1">
        <v>0.54861111111111116</v>
      </c>
      <c r="F4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3" t="str">
        <f>_xlfn.XLOOKUP(AllDataCorrected[[#This Row],[Location Name]], Locations[Location Name],Locations[Group As])</f>
        <v>The Ford, Langley</v>
      </c>
      <c r="H443" t="e" vm="1">
        <f>_xlfn.XLOOKUP(AllDataCorrected[[#This Row],[Site Name]],LocationsKey[Site Name],LocationsKey[District])</f>
        <v>#VALUE!</v>
      </c>
      <c r="I443" t="str">
        <f>_xlfn.XLOOKUP(AllDataCorrected[[#This Row],[Site Name]],LocationsKey[Site Name],LocationsKey[Town])</f>
        <v>Langley</v>
      </c>
      <c r="J443" t="str">
        <f>_xlfn.XLOOKUP(AllDataCorrected[[#This Row],[Site Name]],LocationsKey[Site Name], LocationsKey[Waterway])</f>
        <v>Langley Ford</v>
      </c>
      <c r="K443" t="s">
        <v>561</v>
      </c>
      <c r="L443">
        <f>_xlfn.XLOOKUP(AllDataCorrected[[#This Row],[Site Name]],Tables!$B$12:$B$100, Tables!C$12:C$100)</f>
        <v>52.262666528301864</v>
      </c>
      <c r="M443">
        <f>_xlfn.XLOOKUP(AllDataCorrected[[#This Row],[Site Name]],Tables!$B$12:$B$100, Tables!D$12:D$100)</f>
        <v>-1.6545845283018858</v>
      </c>
      <c r="N443" t="s">
        <v>31</v>
      </c>
      <c r="O443">
        <v>199</v>
      </c>
      <c r="P443">
        <v>12.3</v>
      </c>
      <c r="Q443">
        <v>2</v>
      </c>
      <c r="R443" t="str">
        <f>IF(AllDataCorrected[[#This Row],[Nitrate (PPM)]]&gt;2, "4. Very high (&gt;2ppm)", IF(AllDataCorrected[[#This Row],[Nitrate (PPM)]]&gt;1, "3. High (1-2ppm)", IF(AllDataCorrected[[#This Row],[Nitrate (PPM)]]&gt;0.5, "2. Some evidence (0.5-1ppm)", IF(AllDataCorrected[[#This Row],[Nitrate (PPM)]]&gt;=0, "1. No evidence (&lt;0.5ppm)"))))</f>
        <v>3. High (1-2ppm)</v>
      </c>
      <c r="S443">
        <v>1.06</v>
      </c>
      <c r="T4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3">
        <v>0.91400000000000003</v>
      </c>
      <c r="V443" t="s">
        <v>720</v>
      </c>
    </row>
    <row r="444" spans="1:22" x14ac:dyDescent="0.35">
      <c r="A444" t="s">
        <v>721</v>
      </c>
      <c r="B444" s="2">
        <v>45340</v>
      </c>
      <c r="C444" t="str" cm="1">
        <f t="array" ref="C4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4">
        <v>2023</v>
      </c>
      <c r="E444" s="1">
        <v>0.65972222222222221</v>
      </c>
      <c r="F44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4" t="str">
        <f>_xlfn.XLOOKUP(AllDataCorrected[[#This Row],[Location Name]], Locations[Location Name],Locations[Group As])</f>
        <v>Fell Mill Footbridge</v>
      </c>
      <c r="H444" t="e" vm="1">
        <f>_xlfn.XLOOKUP(AllDataCorrected[[#This Row],[Site Name]],LocationsKey[Site Name],LocationsKey[District])</f>
        <v>#VALUE!</v>
      </c>
      <c r="I444" t="e" vm="15">
        <f>_xlfn.XLOOKUP(AllDataCorrected[[#This Row],[Site Name]],LocationsKey[Site Name],LocationsKey[Town])</f>
        <v>#VALUE!</v>
      </c>
      <c r="J444" t="str">
        <f>_xlfn.XLOOKUP(AllDataCorrected[[#This Row],[Site Name]],LocationsKey[Site Name], LocationsKey[Waterway])</f>
        <v>Stour</v>
      </c>
      <c r="K444" t="s">
        <v>500</v>
      </c>
      <c r="L444">
        <f>_xlfn.XLOOKUP(AllDataCorrected[[#This Row],[Site Name]],Tables!$B$12:$B$100, Tables!C$12:C$100)</f>
        <v>52.069044372881365</v>
      </c>
      <c r="M444">
        <f>_xlfn.XLOOKUP(AllDataCorrected[[#This Row],[Site Name]],Tables!$B$12:$B$100, Tables!D$12:D$100)</f>
        <v>-1.6116270169491524</v>
      </c>
      <c r="N444" t="s">
        <v>31</v>
      </c>
      <c r="O444">
        <v>272</v>
      </c>
      <c r="P444">
        <v>12</v>
      </c>
      <c r="Q444">
        <v>2</v>
      </c>
      <c r="R444" t="str">
        <f>IF(AllDataCorrected[[#This Row],[Nitrate (PPM)]]&gt;2, "4. Very high (&gt;2ppm)", IF(AllDataCorrected[[#This Row],[Nitrate (PPM)]]&gt;1, "3. High (1-2ppm)", IF(AllDataCorrected[[#This Row],[Nitrate (PPM)]]&gt;0.5, "2. Some evidence (0.5-1ppm)", IF(AllDataCorrected[[#This Row],[Nitrate (PPM)]]&gt;=0, "1. No evidence (&lt;0.5ppm)"))))</f>
        <v>3. High (1-2ppm)</v>
      </c>
      <c r="S444">
        <v>0.11</v>
      </c>
      <c r="T4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4">
        <v>3</v>
      </c>
    </row>
    <row r="445" spans="1:22" x14ac:dyDescent="0.35">
      <c r="A445" t="s">
        <v>722</v>
      </c>
      <c r="B445" s="2">
        <v>45340</v>
      </c>
      <c r="C445" t="str" cm="1">
        <f t="array" ref="C4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5">
        <v>2023</v>
      </c>
      <c r="E445" s="1">
        <v>0.73958333333333337</v>
      </c>
      <c r="F44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5" t="str">
        <f>_xlfn.XLOOKUP(AllDataCorrected[[#This Row],[Location Name]], Locations[Location Name],Locations[Group As])</f>
        <v>Stour Shipston Mill Bridge</v>
      </c>
      <c r="H445" t="e" vm="1">
        <f>_xlfn.XLOOKUP(AllDataCorrected[[#This Row],[Site Name]],LocationsKey[Site Name],LocationsKey[District])</f>
        <v>#VALUE!</v>
      </c>
      <c r="I445" t="e" vm="15">
        <f>_xlfn.XLOOKUP(AllDataCorrected[[#This Row],[Site Name]],LocationsKey[Site Name],LocationsKey[Town])</f>
        <v>#VALUE!</v>
      </c>
      <c r="J445" t="str">
        <f>_xlfn.XLOOKUP(AllDataCorrected[[#This Row],[Site Name]],LocationsKey[Site Name], LocationsKey[Waterway])</f>
        <v>Stour</v>
      </c>
      <c r="K445" t="s">
        <v>435</v>
      </c>
      <c r="L445">
        <f>_xlfn.XLOOKUP(AllDataCorrected[[#This Row],[Site Name]],Tables!$B$12:$B$100, Tables!C$12:C$100)</f>
        <v>52.062214921052629</v>
      </c>
      <c r="M445">
        <f>_xlfn.XLOOKUP(AllDataCorrected[[#This Row],[Site Name]],Tables!$B$12:$B$100, Tables!D$12:D$100)</f>
        <v>-1.6223788421052625</v>
      </c>
      <c r="N445" t="s">
        <v>25</v>
      </c>
      <c r="O445">
        <v>384</v>
      </c>
      <c r="P445">
        <v>9.1999999999999993</v>
      </c>
      <c r="Q445">
        <v>4</v>
      </c>
      <c r="R445" t="str">
        <f>IF(AllDataCorrected[[#This Row],[Nitrate (PPM)]]&gt;2, "4. Very high (&gt;2ppm)", IF(AllDataCorrected[[#This Row],[Nitrate (PPM)]]&gt;1, "3. High (1-2ppm)", IF(AllDataCorrected[[#This Row],[Nitrate (PPM)]]&gt;0.5, "2. Some evidence (0.5-1ppm)", IF(AllDataCorrected[[#This Row],[Nitrate (PPM)]]&gt;=0, "1. No evidence (&lt;0.5ppm)"))))</f>
        <v>4. Very high (&gt;2ppm)</v>
      </c>
      <c r="S445">
        <v>0.18</v>
      </c>
      <c r="T4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45">
        <v>2.5</v>
      </c>
    </row>
    <row r="446" spans="1:22" x14ac:dyDescent="0.35">
      <c r="A446" t="s">
        <v>723</v>
      </c>
      <c r="B446" s="2">
        <v>45341</v>
      </c>
      <c r="C446" t="str" cm="1">
        <f t="array" ref="C4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6">
        <v>2023</v>
      </c>
      <c r="E446" s="1">
        <v>0.37430555555555556</v>
      </c>
      <c r="F4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6" t="str">
        <f>_xlfn.XLOOKUP(AllDataCorrected[[#This Row],[Location Name]], Locations[Location Name],Locations[Group As])</f>
        <v>Stour Stretton-on-Fosse Village</v>
      </c>
      <c r="H446" t="e" vm="1">
        <f>_xlfn.XLOOKUP(AllDataCorrected[[#This Row],[Site Name]],LocationsKey[Site Name],LocationsKey[District])</f>
        <v>#VALUE!</v>
      </c>
      <c r="I446" t="e" vm="30">
        <f>_xlfn.XLOOKUP(AllDataCorrected[[#This Row],[Site Name]],LocationsKey[Site Name],LocationsKey[Town])</f>
        <v>#VALUE!</v>
      </c>
      <c r="J446" t="str">
        <f>_xlfn.XLOOKUP(AllDataCorrected[[#This Row],[Site Name]],LocationsKey[Site Name], LocationsKey[Waterway])</f>
        <v>Stour</v>
      </c>
      <c r="K446" t="s">
        <v>548</v>
      </c>
      <c r="L446">
        <f>_xlfn.XLOOKUP(AllDataCorrected[[#This Row],[Site Name]],Tables!$B$12:$B$100, Tables!C$12:C$100)</f>
        <v>52.046517558823531</v>
      </c>
      <c r="M446">
        <f>_xlfn.XLOOKUP(AllDataCorrected[[#This Row],[Site Name]],Tables!$B$12:$B$100, Tables!D$12:D$100)</f>
        <v>-1.6734143529411762</v>
      </c>
      <c r="N446" t="s">
        <v>68</v>
      </c>
      <c r="O446">
        <v>483</v>
      </c>
      <c r="P446">
        <v>10</v>
      </c>
      <c r="Q446">
        <v>2</v>
      </c>
      <c r="R446" t="str">
        <f>IF(AllDataCorrected[[#This Row],[Nitrate (PPM)]]&gt;2, "4. Very high (&gt;2ppm)", IF(AllDataCorrected[[#This Row],[Nitrate (PPM)]]&gt;1, "3. High (1-2ppm)", IF(AllDataCorrected[[#This Row],[Nitrate (PPM)]]&gt;0.5, "2. Some evidence (0.5-1ppm)", IF(AllDataCorrected[[#This Row],[Nitrate (PPM)]]&gt;=0, "1. No evidence (&lt;0.5ppm)"))))</f>
        <v>3. High (1-2ppm)</v>
      </c>
      <c r="S446">
        <v>0.73</v>
      </c>
      <c r="T4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6">
        <v>0.25</v>
      </c>
    </row>
    <row r="447" spans="1:22" x14ac:dyDescent="0.35">
      <c r="A447" t="s">
        <v>724</v>
      </c>
      <c r="B447" s="2">
        <v>45341</v>
      </c>
      <c r="C447" t="str" cm="1">
        <f t="array" ref="C4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7">
        <v>2023</v>
      </c>
      <c r="E447" s="1">
        <v>0.38750000000000001</v>
      </c>
      <c r="F4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47" t="str">
        <f>_xlfn.XLOOKUP(AllDataCorrected[[#This Row],[Location Name]], Locations[Location Name],Locations[Group As])</f>
        <v>Stour Stretton-on-Fosse Sewage Works</v>
      </c>
      <c r="H447" t="e" vm="1">
        <f>_xlfn.XLOOKUP(AllDataCorrected[[#This Row],[Site Name]],LocationsKey[Site Name],LocationsKey[District])</f>
        <v>#VALUE!</v>
      </c>
      <c r="I447" t="e" vm="30">
        <f>_xlfn.XLOOKUP(AllDataCorrected[[#This Row],[Site Name]],LocationsKey[Site Name],LocationsKey[Town])</f>
        <v>#VALUE!</v>
      </c>
      <c r="J447" t="str">
        <f>_xlfn.XLOOKUP(AllDataCorrected[[#This Row],[Site Name]],LocationsKey[Site Name], LocationsKey[Waterway])</f>
        <v>Stour</v>
      </c>
      <c r="K447" t="s">
        <v>337</v>
      </c>
      <c r="L447">
        <f>_xlfn.XLOOKUP(AllDataCorrected[[#This Row],[Site Name]],Tables!$B$12:$B$100, Tables!C$12:C$100)</f>
        <v>52.045653647058828</v>
      </c>
      <c r="M447">
        <f>_xlfn.XLOOKUP(AllDataCorrected[[#This Row],[Site Name]],Tables!$B$12:$B$100, Tables!D$12:D$100)</f>
        <v>-1.6719221470588239</v>
      </c>
      <c r="N447" t="s">
        <v>31</v>
      </c>
      <c r="O447">
        <v>513</v>
      </c>
      <c r="P447">
        <v>9.1999999999999993</v>
      </c>
      <c r="Q447">
        <v>2</v>
      </c>
      <c r="R447" t="str">
        <f>IF(AllDataCorrected[[#This Row],[Nitrate (PPM)]]&gt;2, "4. Very high (&gt;2ppm)", IF(AllDataCorrected[[#This Row],[Nitrate (PPM)]]&gt;1, "3. High (1-2ppm)", IF(AllDataCorrected[[#This Row],[Nitrate (PPM)]]&gt;0.5, "2. Some evidence (0.5-1ppm)", IF(AllDataCorrected[[#This Row],[Nitrate (PPM)]]&gt;=0, "1. No evidence (&lt;0.5ppm)"))))</f>
        <v>3. High (1-2ppm)</v>
      </c>
      <c r="S447">
        <v>0.85</v>
      </c>
      <c r="T4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7">
        <v>0.3</v>
      </c>
    </row>
    <row r="448" spans="1:22" x14ac:dyDescent="0.35">
      <c r="A448" t="s">
        <v>725</v>
      </c>
      <c r="B448" s="2">
        <v>45341</v>
      </c>
      <c r="C448" t="str" cm="1">
        <f t="array" ref="C4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8">
        <v>2023</v>
      </c>
      <c r="E448" s="1">
        <v>0.6694444444444444</v>
      </c>
      <c r="F4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8" t="str">
        <f>_xlfn.XLOOKUP(AllDataCorrected[[#This Row],[Location Name]], Locations[Location Name],Locations[Group As])</f>
        <v>Abbey Mill</v>
      </c>
      <c r="H448" t="e" vm="4">
        <f>_xlfn.XLOOKUP(AllDataCorrected[[#This Row],[Site Name]],LocationsKey[Site Name],LocationsKey[District])</f>
        <v>#VALUE!</v>
      </c>
      <c r="I448" t="e" vm="4">
        <f>_xlfn.XLOOKUP(AllDataCorrected[[#This Row],[Site Name]],LocationsKey[Site Name],LocationsKey[Town])</f>
        <v>#VALUE!</v>
      </c>
      <c r="J448" t="str">
        <f>_xlfn.XLOOKUP(AllDataCorrected[[#This Row],[Site Name]],LocationsKey[Site Name], LocationsKey[Waterway])</f>
        <v>Avon</v>
      </c>
      <c r="K448" t="s">
        <v>27</v>
      </c>
      <c r="L448">
        <f>_xlfn.XLOOKUP(AllDataCorrected[[#This Row],[Site Name]],Tables!$B$12:$B$100, Tables!C$12:C$100)</f>
        <v>51.991313075757589</v>
      </c>
      <c r="M448">
        <f>_xlfn.XLOOKUP(AllDataCorrected[[#This Row],[Site Name]],Tables!$B$12:$B$100, Tables!D$12:D$100)</f>
        <v>-2.1621998181818181</v>
      </c>
      <c r="N448" t="s">
        <v>25</v>
      </c>
      <c r="O448">
        <v>469</v>
      </c>
      <c r="P448">
        <v>11.6</v>
      </c>
      <c r="Q448">
        <v>4</v>
      </c>
      <c r="R448" t="str">
        <f>IF(AllDataCorrected[[#This Row],[Nitrate (PPM)]]&gt;2, "4. Very high (&gt;2ppm)", IF(AllDataCorrected[[#This Row],[Nitrate (PPM)]]&gt;1, "3. High (1-2ppm)", IF(AllDataCorrected[[#This Row],[Nitrate (PPM)]]&gt;0.5, "2. Some evidence (0.5-1ppm)", IF(AllDataCorrected[[#This Row],[Nitrate (PPM)]]&gt;=0, "1. No evidence (&lt;0.5ppm)"))))</f>
        <v>4. Very high (&gt;2ppm)</v>
      </c>
      <c r="S448">
        <v>0.6</v>
      </c>
      <c r="T4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8">
        <v>2.2999999999999998</v>
      </c>
      <c r="V448" t="s">
        <v>726</v>
      </c>
    </row>
    <row r="449" spans="1:22" x14ac:dyDescent="0.35">
      <c r="A449" t="s">
        <v>727</v>
      </c>
      <c r="B449" s="2">
        <v>45343</v>
      </c>
      <c r="C449" t="str" cm="1">
        <f t="array" ref="C4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49">
        <v>2023</v>
      </c>
      <c r="E449" s="1">
        <v>0.625</v>
      </c>
      <c r="F4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49" t="str">
        <f>_xlfn.XLOOKUP(AllDataCorrected[[#This Row],[Location Name]], Locations[Location Name],Locations[Group As])</f>
        <v>Swiffen Bank</v>
      </c>
      <c r="H449" t="e" vm="1">
        <f>_xlfn.XLOOKUP(AllDataCorrected[[#This Row],[Site Name]],LocationsKey[Site Name],LocationsKey[District])</f>
        <v>#VALUE!</v>
      </c>
      <c r="I449" t="e" vm="2">
        <f>_xlfn.XLOOKUP(AllDataCorrected[[#This Row],[Site Name]],LocationsKey[Site Name],LocationsKey[Town])</f>
        <v>#VALUE!</v>
      </c>
      <c r="J449" t="str">
        <f>_xlfn.XLOOKUP(AllDataCorrected[[#This Row],[Site Name]],LocationsKey[Site Name], LocationsKey[Waterway])</f>
        <v>Avon</v>
      </c>
      <c r="K449" t="s">
        <v>286</v>
      </c>
      <c r="L449">
        <f>_xlfn.XLOOKUP(AllDataCorrected[[#This Row],[Site Name]],Tables!$B$12:$B$100, Tables!C$12:C$100)</f>
        <v>52.206649805555557</v>
      </c>
      <c r="M449">
        <f>_xlfn.XLOOKUP(AllDataCorrected[[#This Row],[Site Name]],Tables!$B$12:$B$100, Tables!D$12:D$100)</f>
        <v>-1.6541018611111094</v>
      </c>
      <c r="N449" t="s">
        <v>31</v>
      </c>
      <c r="O449">
        <v>496</v>
      </c>
      <c r="P449">
        <v>12.6</v>
      </c>
      <c r="Q449">
        <v>5</v>
      </c>
      <c r="R449" t="str">
        <f>IF(AllDataCorrected[[#This Row],[Nitrate (PPM)]]&gt;2, "4. Very high (&gt;2ppm)", IF(AllDataCorrected[[#This Row],[Nitrate (PPM)]]&gt;1, "3. High (1-2ppm)", IF(AllDataCorrected[[#This Row],[Nitrate (PPM)]]&gt;0.5, "2. Some evidence (0.5-1ppm)", IF(AllDataCorrected[[#This Row],[Nitrate (PPM)]]&gt;=0, "1. No evidence (&lt;0.5ppm)"))))</f>
        <v>4. Very high (&gt;2ppm)</v>
      </c>
      <c r="S449">
        <v>0.56000000000000005</v>
      </c>
      <c r="T4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49">
        <v>1.8</v>
      </c>
      <c r="V449" t="s">
        <v>728</v>
      </c>
    </row>
    <row r="450" spans="1:22" x14ac:dyDescent="0.35">
      <c r="A450" t="s">
        <v>729</v>
      </c>
      <c r="B450" s="2">
        <v>45343</v>
      </c>
      <c r="C450" t="str" cm="1">
        <f t="array" ref="C4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0">
        <v>2023</v>
      </c>
      <c r="E450" s="1">
        <v>0.64583333333333337</v>
      </c>
      <c r="F4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0" t="str">
        <f>_xlfn.XLOOKUP(AllDataCorrected[[#This Row],[Location Name]], Locations[Location Name],Locations[Group As])</f>
        <v>Alveston Weir</v>
      </c>
      <c r="H450" t="e" vm="1">
        <f>_xlfn.XLOOKUP(AllDataCorrected[[#This Row],[Site Name]],LocationsKey[Site Name],LocationsKey[District])</f>
        <v>#VALUE!</v>
      </c>
      <c r="I450" t="e" vm="2">
        <f>_xlfn.XLOOKUP(AllDataCorrected[[#This Row],[Site Name]],LocationsKey[Site Name],LocationsKey[Town])</f>
        <v>#VALUE!</v>
      </c>
      <c r="J450" t="str">
        <f>_xlfn.XLOOKUP(AllDataCorrected[[#This Row],[Site Name]],LocationsKey[Site Name], LocationsKey[Waterway])</f>
        <v>Avon</v>
      </c>
      <c r="K450" t="s">
        <v>288</v>
      </c>
      <c r="L450">
        <f>_xlfn.XLOOKUP(AllDataCorrected[[#This Row],[Site Name]],Tables!$B$12:$B$100, Tables!C$12:C$100)</f>
        <v>52.21226301333337</v>
      </c>
      <c r="M450">
        <f>_xlfn.XLOOKUP(AllDataCorrected[[#This Row],[Site Name]],Tables!$B$12:$B$100, Tables!D$12:D$100)</f>
        <v>-1.6595226800000011</v>
      </c>
      <c r="N450" t="s">
        <v>31</v>
      </c>
      <c r="O450">
        <v>498</v>
      </c>
      <c r="P450">
        <v>11.4</v>
      </c>
      <c r="Q450">
        <v>5</v>
      </c>
      <c r="R450" t="str">
        <f>IF(AllDataCorrected[[#This Row],[Nitrate (PPM)]]&gt;2, "4. Very high (&gt;2ppm)", IF(AllDataCorrected[[#This Row],[Nitrate (PPM)]]&gt;1, "3. High (1-2ppm)", IF(AllDataCorrected[[#This Row],[Nitrate (PPM)]]&gt;0.5, "2. Some evidence (0.5-1ppm)", IF(AllDataCorrected[[#This Row],[Nitrate (PPM)]]&gt;=0, "1. No evidence (&lt;0.5ppm)"))))</f>
        <v>4. Very high (&gt;2ppm)</v>
      </c>
      <c r="S450">
        <v>0.48</v>
      </c>
      <c r="T45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0">
        <v>1.8</v>
      </c>
      <c r="V450" t="s">
        <v>730</v>
      </c>
    </row>
    <row r="451" spans="1:22" x14ac:dyDescent="0.35">
      <c r="A451" t="s">
        <v>731</v>
      </c>
      <c r="B451" s="2">
        <v>45343</v>
      </c>
      <c r="C451" t="str" cm="1">
        <f t="array" ref="C4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1">
        <v>2023</v>
      </c>
      <c r="E451" s="1">
        <v>0.66666666666666663</v>
      </c>
      <c r="F4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1" t="str">
        <f>_xlfn.XLOOKUP(AllDataCorrected[[#This Row],[Location Name]], Locations[Location Name],Locations[Group As])</f>
        <v>Stour Newbold Mill</v>
      </c>
      <c r="H451" t="e" vm="1">
        <f>_xlfn.XLOOKUP(AllDataCorrected[[#This Row],[Site Name]],LocationsKey[Site Name],LocationsKey[District])</f>
        <v>#VALUE!</v>
      </c>
      <c r="I451" t="e" vm="27">
        <f>_xlfn.XLOOKUP(AllDataCorrected[[#This Row],[Site Name]],LocationsKey[Site Name],LocationsKey[Town])</f>
        <v>#VALUE!</v>
      </c>
      <c r="J451" t="str">
        <f>_xlfn.XLOOKUP(AllDataCorrected[[#This Row],[Site Name]],LocationsKey[Site Name], LocationsKey[Waterway])</f>
        <v>Stour</v>
      </c>
      <c r="K451" t="s">
        <v>141</v>
      </c>
      <c r="L451">
        <f>_xlfn.XLOOKUP(AllDataCorrected[[#This Row],[Site Name]],Tables!$B$12:$B$100, Tables!C$12:C$100)</f>
        <v>52.113052370370369</v>
      </c>
      <c r="M451">
        <f>_xlfn.XLOOKUP(AllDataCorrected[[#This Row],[Site Name]],Tables!$B$12:$B$100, Tables!D$12:D$100)</f>
        <v>-1.6333685185185181</v>
      </c>
      <c r="N451" t="s">
        <v>68</v>
      </c>
      <c r="O451">
        <v>483</v>
      </c>
      <c r="P451">
        <v>12.1</v>
      </c>
      <c r="Q451">
        <v>2</v>
      </c>
      <c r="R451" t="str">
        <f>IF(AllDataCorrected[[#This Row],[Nitrate (PPM)]]&gt;2, "4. Very high (&gt;2ppm)", IF(AllDataCorrected[[#This Row],[Nitrate (PPM)]]&gt;1, "3. High (1-2ppm)", IF(AllDataCorrected[[#This Row],[Nitrate (PPM)]]&gt;0.5, "2. Some evidence (0.5-1ppm)", IF(AllDataCorrected[[#This Row],[Nitrate (PPM)]]&gt;=0, "1. No evidence (&lt;0.5ppm)"))))</f>
        <v>3. High (1-2ppm)</v>
      </c>
      <c r="S451">
        <v>0.22</v>
      </c>
      <c r="T4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1">
        <v>3.5</v>
      </c>
      <c r="V451" t="s">
        <v>732</v>
      </c>
    </row>
    <row r="452" spans="1:22" x14ac:dyDescent="0.35">
      <c r="A452" t="s">
        <v>733</v>
      </c>
      <c r="B452" s="2">
        <v>45344</v>
      </c>
      <c r="C452" t="str" cm="1">
        <f t="array" ref="C4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2">
        <v>2023</v>
      </c>
      <c r="E452" s="1">
        <v>0.49444444444444446</v>
      </c>
      <c r="F4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2" t="str">
        <f>_xlfn.XLOOKUP(AllDataCorrected[[#This Row],[Location Name]], Locations[Location Name],Locations[Group As])</f>
        <v>Stour Willington</v>
      </c>
      <c r="H452" t="e" vm="1">
        <f>_xlfn.XLOOKUP(AllDataCorrected[[#This Row],[Site Name]],LocationsKey[Site Name],LocationsKey[District])</f>
        <v>#VALUE!</v>
      </c>
      <c r="I452" t="str">
        <f>_xlfn.XLOOKUP(AllDataCorrected[[#This Row],[Site Name]],LocationsKey[Site Name],LocationsKey[Town])</f>
        <v>Willington</v>
      </c>
      <c r="J452" t="str">
        <f>_xlfn.XLOOKUP(AllDataCorrected[[#This Row],[Site Name]],LocationsKey[Site Name], LocationsKey[Waterway])</f>
        <v>Stour</v>
      </c>
      <c r="K452" t="s">
        <v>521</v>
      </c>
      <c r="L452">
        <f>_xlfn.XLOOKUP(AllDataCorrected[[#This Row],[Site Name]],Tables!$B$12:$B$100, Tables!C$12:C$100)</f>
        <v>52.053227523809518</v>
      </c>
      <c r="M452">
        <f>_xlfn.XLOOKUP(AllDataCorrected[[#This Row],[Site Name]],Tables!$B$12:$B$100, Tables!D$12:D$100)</f>
        <v>-1.6194739523809523</v>
      </c>
      <c r="N452" t="s">
        <v>25</v>
      </c>
      <c r="O452">
        <v>427</v>
      </c>
      <c r="P452">
        <v>10.4</v>
      </c>
      <c r="Q452">
        <v>0.2</v>
      </c>
      <c r="R45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452">
        <v>0.16</v>
      </c>
      <c r="T4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2">
        <v>1.25</v>
      </c>
      <c r="V452" t="s">
        <v>688</v>
      </c>
    </row>
    <row r="453" spans="1:22" x14ac:dyDescent="0.35">
      <c r="A453" t="s">
        <v>734</v>
      </c>
      <c r="B453" s="2">
        <v>45344</v>
      </c>
      <c r="C453" t="str" cm="1">
        <f t="array" ref="C4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3">
        <v>2023</v>
      </c>
      <c r="E453" s="1">
        <v>0.5625</v>
      </c>
      <c r="F4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3" t="str">
        <f>_xlfn.XLOOKUP(AllDataCorrected[[#This Row],[Location Name]], Locations[Location Name],Locations[Group As])</f>
        <v>Swilgate</v>
      </c>
      <c r="H453" t="e" vm="4">
        <f>_xlfn.XLOOKUP(AllDataCorrected[[#This Row],[Site Name]],LocationsKey[Site Name],LocationsKey[District])</f>
        <v>#VALUE!</v>
      </c>
      <c r="I453" t="e" vm="4">
        <f>_xlfn.XLOOKUP(AllDataCorrected[[#This Row],[Site Name]],LocationsKey[Site Name],LocationsKey[Town])</f>
        <v>#VALUE!</v>
      </c>
      <c r="J453" t="str">
        <f>_xlfn.XLOOKUP(AllDataCorrected[[#This Row],[Site Name]],LocationsKey[Site Name], LocationsKey[Waterway])</f>
        <v>Swilgate</v>
      </c>
      <c r="K453" t="s">
        <v>85</v>
      </c>
      <c r="L453">
        <f>_xlfn.XLOOKUP(AllDataCorrected[[#This Row],[Site Name]],Tables!$B$12:$B$100, Tables!C$12:C$100)</f>
        <v>51.988591500000005</v>
      </c>
      <c r="M453">
        <f>_xlfn.XLOOKUP(AllDataCorrected[[#This Row],[Site Name]],Tables!$B$12:$B$100, Tables!D$12:D$100)</f>
        <v>-2.163898333333333</v>
      </c>
      <c r="N453" t="s">
        <v>25</v>
      </c>
      <c r="O453">
        <v>709</v>
      </c>
      <c r="P453">
        <v>9.5</v>
      </c>
      <c r="Q453">
        <v>3</v>
      </c>
      <c r="R453" t="str">
        <f>IF(AllDataCorrected[[#This Row],[Nitrate (PPM)]]&gt;2, "4. Very high (&gt;2ppm)", IF(AllDataCorrected[[#This Row],[Nitrate (PPM)]]&gt;1, "3. High (1-2ppm)", IF(AllDataCorrected[[#This Row],[Nitrate (PPM)]]&gt;0.5, "2. Some evidence (0.5-1ppm)", IF(AllDataCorrected[[#This Row],[Nitrate (PPM)]]&gt;=0, "1. No evidence (&lt;0.5ppm)"))))</f>
        <v>4. Very high (&gt;2ppm)</v>
      </c>
      <c r="S453">
        <v>0.47</v>
      </c>
      <c r="T4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3">
        <v>2.5</v>
      </c>
      <c r="V453" t="s">
        <v>293</v>
      </c>
    </row>
    <row r="454" spans="1:22" x14ac:dyDescent="0.35">
      <c r="A454" t="s">
        <v>735</v>
      </c>
      <c r="B454" s="2">
        <v>45345</v>
      </c>
      <c r="C454" t="str" cm="1">
        <f t="array" ref="C4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4">
        <v>2023</v>
      </c>
      <c r="E454" s="1">
        <v>0.4375</v>
      </c>
      <c r="F4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4" t="str">
        <f>_xlfn.XLOOKUP(AllDataCorrected[[#This Row],[Location Name]], Locations[Location Name],Locations[Group As])</f>
        <v>Mill Bridge Peopleton</v>
      </c>
      <c r="H454" t="e" vm="6">
        <f>_xlfn.XLOOKUP(AllDataCorrected[[#This Row],[Site Name]],LocationsKey[Site Name],LocationsKey[District])</f>
        <v>#VALUE!</v>
      </c>
      <c r="I454" t="str">
        <f>_xlfn.XLOOKUP(AllDataCorrected[[#This Row],[Site Name]],LocationsKey[Site Name],LocationsKey[Town])</f>
        <v>Peopleton</v>
      </c>
      <c r="J454" t="str">
        <f>_xlfn.XLOOKUP(AllDataCorrected[[#This Row],[Site Name]],LocationsKey[Site Name], LocationsKey[Waterway])</f>
        <v>Bow Brook</v>
      </c>
      <c r="K454" t="s">
        <v>736</v>
      </c>
      <c r="L454">
        <f>_xlfn.XLOOKUP(AllDataCorrected[[#This Row],[Site Name]],Tables!$B$12:$B$100, Tables!C$12:C$100)</f>
        <v>52.151811999999993</v>
      </c>
      <c r="M454">
        <f>_xlfn.XLOOKUP(AllDataCorrected[[#This Row],[Site Name]],Tables!$B$12:$B$100, Tables!D$12:D$100)</f>
        <v>-2.0958865161290317</v>
      </c>
      <c r="N454" t="s">
        <v>31</v>
      </c>
      <c r="O454">
        <v>305</v>
      </c>
      <c r="P454">
        <v>6.9</v>
      </c>
      <c r="S454">
        <v>0.21</v>
      </c>
      <c r="T45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4">
        <v>2</v>
      </c>
      <c r="V454" t="s">
        <v>737</v>
      </c>
    </row>
    <row r="455" spans="1:22" x14ac:dyDescent="0.35">
      <c r="A455" t="s">
        <v>738</v>
      </c>
      <c r="B455" s="2">
        <v>45345</v>
      </c>
      <c r="C455" t="str" cm="1">
        <f t="array" ref="C4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5">
        <v>2023</v>
      </c>
      <c r="E455" s="1">
        <v>0.60416666666666663</v>
      </c>
      <c r="F4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5" t="str">
        <f>_xlfn.XLOOKUP(AllDataCorrected[[#This Row],[Location Name]], Locations[Location Name],Locations[Group As])</f>
        <v>Preston Bagot Canal</v>
      </c>
      <c r="H455" t="e" vm="1">
        <f>_xlfn.XLOOKUP(AllDataCorrected[[#This Row],[Site Name]],LocationsKey[Site Name],LocationsKey[District])</f>
        <v>#VALUE!</v>
      </c>
      <c r="I455" t="e" vm="21">
        <f>_xlfn.XLOOKUP(AllDataCorrected[[#This Row],[Site Name]],LocationsKey[Site Name],LocationsKey[Town])</f>
        <v>#VALUE!</v>
      </c>
      <c r="J455" t="str">
        <f>_xlfn.XLOOKUP(AllDataCorrected[[#This Row],[Site Name]],LocationsKey[Site Name], LocationsKey[Waterway])</f>
        <v>Preston Bagot Canal</v>
      </c>
      <c r="K455" t="s">
        <v>618</v>
      </c>
      <c r="L455">
        <f>_xlfn.XLOOKUP(AllDataCorrected[[#This Row],[Site Name]],Tables!$B$12:$B$100, Tables!C$12:C$100)</f>
        <v>52.286975789473694</v>
      </c>
      <c r="M455">
        <f>_xlfn.XLOOKUP(AllDataCorrected[[#This Row],[Site Name]],Tables!$B$12:$B$100, Tables!D$12:D$100)</f>
        <v>-1.5622505263157891</v>
      </c>
      <c r="N455" t="s">
        <v>25</v>
      </c>
      <c r="O455">
        <v>22</v>
      </c>
      <c r="P455">
        <v>10.1</v>
      </c>
      <c r="Q455">
        <v>2</v>
      </c>
      <c r="R455" t="str">
        <f>IF(AllDataCorrected[[#This Row],[Nitrate (PPM)]]&gt;2, "4. Very high (&gt;2ppm)", IF(AllDataCorrected[[#This Row],[Nitrate (PPM)]]&gt;1, "3. High (1-2ppm)", IF(AllDataCorrected[[#This Row],[Nitrate (PPM)]]&gt;0.5, "2. Some evidence (0.5-1ppm)", IF(AllDataCorrected[[#This Row],[Nitrate (PPM)]]&gt;=0, "1. No evidence (&lt;0.5ppm)"))))</f>
        <v>3. High (1-2ppm)</v>
      </c>
      <c r="S455">
        <v>0.3</v>
      </c>
      <c r="T4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5">
        <v>0</v>
      </c>
      <c r="V455" t="s">
        <v>739</v>
      </c>
    </row>
    <row r="456" spans="1:22" x14ac:dyDescent="0.35">
      <c r="A456" t="s">
        <v>740</v>
      </c>
      <c r="B456" s="2">
        <v>45345</v>
      </c>
      <c r="C456" t="str" cm="1">
        <f t="array" ref="C4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6">
        <v>2023</v>
      </c>
      <c r="E456" s="1">
        <v>0.61111111111111116</v>
      </c>
      <c r="F4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6" t="str">
        <f>_xlfn.XLOOKUP(AllDataCorrected[[#This Row],[Location Name]], Locations[Location Name],Locations[Group As])</f>
        <v>Preston Bagot Brook</v>
      </c>
      <c r="H456" t="e" vm="1">
        <f>_xlfn.XLOOKUP(AllDataCorrected[[#This Row],[Site Name]],LocationsKey[Site Name],LocationsKey[District])</f>
        <v>#VALUE!</v>
      </c>
      <c r="I456" t="e" vm="21">
        <f>_xlfn.XLOOKUP(AllDataCorrected[[#This Row],[Site Name]],LocationsKey[Site Name],LocationsKey[Town])</f>
        <v>#VALUE!</v>
      </c>
      <c r="J456" t="str">
        <f>_xlfn.XLOOKUP(AllDataCorrected[[#This Row],[Site Name]],LocationsKey[Site Name], LocationsKey[Waterway])</f>
        <v>Preston Bagot Brook</v>
      </c>
      <c r="K456" t="s">
        <v>621</v>
      </c>
      <c r="L456">
        <f>_xlfn.XLOOKUP(AllDataCorrected[[#This Row],[Site Name]],Tables!$B$12:$B$100, Tables!C$12:C$100)</f>
        <v>52.286066538461554</v>
      </c>
      <c r="M456">
        <f>_xlfn.XLOOKUP(AllDataCorrected[[#This Row],[Site Name]],Tables!$B$12:$B$100, Tables!D$12:D$100)</f>
        <v>-1.7472480769230765</v>
      </c>
      <c r="N456" t="s">
        <v>25</v>
      </c>
      <c r="O456">
        <v>390</v>
      </c>
      <c r="P456">
        <v>11.2</v>
      </c>
      <c r="Q456">
        <v>2</v>
      </c>
      <c r="R456" t="str">
        <f>IF(AllDataCorrected[[#This Row],[Nitrate (PPM)]]&gt;2, "4. Very high (&gt;2ppm)", IF(AllDataCorrected[[#This Row],[Nitrate (PPM)]]&gt;1, "3. High (1-2ppm)", IF(AllDataCorrected[[#This Row],[Nitrate (PPM)]]&gt;0.5, "2. Some evidence (0.5-1ppm)", IF(AllDataCorrected[[#This Row],[Nitrate (PPM)]]&gt;=0, "1. No evidence (&lt;0.5ppm)"))))</f>
        <v>3. High (1-2ppm)</v>
      </c>
      <c r="S456">
        <v>0.56000000000000005</v>
      </c>
      <c r="T4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6">
        <v>0</v>
      </c>
      <c r="V456" t="s">
        <v>739</v>
      </c>
    </row>
    <row r="457" spans="1:22" x14ac:dyDescent="0.35">
      <c r="A457" t="s">
        <v>741</v>
      </c>
      <c r="B457" s="2">
        <v>45345</v>
      </c>
      <c r="C457" t="str" cm="1">
        <f t="array" ref="C4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7">
        <v>2023</v>
      </c>
      <c r="E457" s="1">
        <v>0.7006944444444444</v>
      </c>
      <c r="F4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57" t="str">
        <f>_xlfn.XLOOKUP(AllDataCorrected[[#This Row],[Location Name]], Locations[Location Name],Locations[Group As])</f>
        <v>Preston-on-Stour River Bridge</v>
      </c>
      <c r="H457" t="e" vm="1">
        <f>_xlfn.XLOOKUP(AllDataCorrected[[#This Row],[Site Name]],LocationsKey[Site Name],LocationsKey[District])</f>
        <v>#VALUE!</v>
      </c>
      <c r="I457" t="e" vm="20">
        <f>_xlfn.XLOOKUP(AllDataCorrected[[#This Row],[Site Name]],LocationsKey[Site Name],LocationsKey[Town])</f>
        <v>#VALUE!</v>
      </c>
      <c r="J457" t="str">
        <f>_xlfn.XLOOKUP(AllDataCorrected[[#This Row],[Site Name]],LocationsKey[Site Name], LocationsKey[Waterway])</f>
        <v>Stour</v>
      </c>
      <c r="K457" t="s">
        <v>164</v>
      </c>
      <c r="L457">
        <f>_xlfn.XLOOKUP(AllDataCorrected[[#This Row],[Site Name]],Tables!$B$12:$B$100, Tables!C$12:C$100)</f>
        <v>52.146672352941174</v>
      </c>
      <c r="M457">
        <f>_xlfn.XLOOKUP(AllDataCorrected[[#This Row],[Site Name]],Tables!$B$12:$B$100, Tables!D$12:D$100)</f>
        <v>-1.6984533333333334</v>
      </c>
      <c r="N457" t="s">
        <v>31</v>
      </c>
      <c r="O457">
        <v>436</v>
      </c>
      <c r="P457">
        <v>7.6</v>
      </c>
      <c r="Q457">
        <v>5</v>
      </c>
      <c r="R457" t="str">
        <f>IF(AllDataCorrected[[#This Row],[Nitrate (PPM)]]&gt;2, "4. Very high (&gt;2ppm)", IF(AllDataCorrected[[#This Row],[Nitrate (PPM)]]&gt;1, "3. High (1-2ppm)", IF(AllDataCorrected[[#This Row],[Nitrate (PPM)]]&gt;0.5, "2. Some evidence (0.5-1ppm)", IF(AllDataCorrected[[#This Row],[Nitrate (PPM)]]&gt;=0, "1. No evidence (&lt;0.5ppm)"))))</f>
        <v>4. Very high (&gt;2ppm)</v>
      </c>
      <c r="S457">
        <v>0.28000000000000003</v>
      </c>
      <c r="T4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57">
        <v>2</v>
      </c>
      <c r="V457" t="s">
        <v>742</v>
      </c>
    </row>
    <row r="458" spans="1:22" x14ac:dyDescent="0.35">
      <c r="A458" t="s">
        <v>743</v>
      </c>
      <c r="B458" s="2">
        <v>45346</v>
      </c>
      <c r="C458" t="str" cm="1">
        <f t="array" ref="C4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8">
        <v>2023</v>
      </c>
      <c r="E458" s="1">
        <v>0.46180555555555558</v>
      </c>
      <c r="F4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8" t="str">
        <f>_xlfn.XLOOKUP(AllDataCorrected[[#This Row],[Location Name]], Locations[Location Name],Locations[Group As])</f>
        <v>Black Bear</v>
      </c>
      <c r="H458" t="e" vm="4">
        <f>_xlfn.XLOOKUP(AllDataCorrected[[#This Row],[Site Name]],LocationsKey[Site Name],LocationsKey[District])</f>
        <v>#VALUE!</v>
      </c>
      <c r="I458" t="e" vm="4">
        <f>_xlfn.XLOOKUP(AllDataCorrected[[#This Row],[Site Name]],LocationsKey[Site Name],LocationsKey[Town])</f>
        <v>#VALUE!</v>
      </c>
      <c r="J458" t="str">
        <f>_xlfn.XLOOKUP(AllDataCorrected[[#This Row],[Site Name]],LocationsKey[Site Name], LocationsKey[Waterway])</f>
        <v>Avon</v>
      </c>
      <c r="K458" t="s">
        <v>572</v>
      </c>
      <c r="L458">
        <f>_xlfn.XLOOKUP(AllDataCorrected[[#This Row],[Site Name]],Tables!$B$12:$B$100, Tables!C$12:C$100)</f>
        <v>51.997466254237274</v>
      </c>
      <c r="M458">
        <f>_xlfn.XLOOKUP(AllDataCorrected[[#This Row],[Site Name]],Tables!$B$12:$B$100, Tables!D$12:D$100)</f>
        <v>-2.1561788644067801</v>
      </c>
      <c r="N458" t="s">
        <v>25</v>
      </c>
      <c r="O458">
        <v>408</v>
      </c>
      <c r="P458">
        <v>8.1999999999999993</v>
      </c>
      <c r="Q458">
        <v>4</v>
      </c>
      <c r="R458" t="str">
        <f>IF(AllDataCorrected[[#This Row],[Nitrate (PPM)]]&gt;2, "4. Very high (&gt;2ppm)", IF(AllDataCorrected[[#This Row],[Nitrate (PPM)]]&gt;1, "3. High (1-2ppm)", IF(AllDataCorrected[[#This Row],[Nitrate (PPM)]]&gt;0.5, "2. Some evidence (0.5-1ppm)", IF(AllDataCorrected[[#This Row],[Nitrate (PPM)]]&gt;=0, "1. No evidence (&lt;0.5ppm)"))))</f>
        <v>4. Very high (&gt;2ppm)</v>
      </c>
      <c r="S458">
        <v>0.64</v>
      </c>
      <c r="T4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8">
        <v>3</v>
      </c>
    </row>
    <row r="459" spans="1:22" x14ac:dyDescent="0.35">
      <c r="A459" t="s">
        <v>744</v>
      </c>
      <c r="B459" s="2">
        <v>45346</v>
      </c>
      <c r="C459" t="str" cm="1">
        <f t="array" ref="C4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59">
        <v>2023</v>
      </c>
      <c r="E459" s="1">
        <v>0.47916666666666669</v>
      </c>
      <c r="F4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59" t="str">
        <f>_xlfn.XLOOKUP(AllDataCorrected[[#This Row],[Location Name]], Locations[Location Name],Locations[Group As])</f>
        <v>Carrant Bredon Rd</v>
      </c>
      <c r="H459" t="e" vm="4">
        <f>_xlfn.XLOOKUP(AllDataCorrected[[#This Row],[Site Name]],LocationsKey[Site Name],LocationsKey[District])</f>
        <v>#VALUE!</v>
      </c>
      <c r="I459" t="e" vm="4">
        <f>_xlfn.XLOOKUP(AllDataCorrected[[#This Row],[Site Name]],LocationsKey[Site Name],LocationsKey[Town])</f>
        <v>#VALUE!</v>
      </c>
      <c r="J459" t="str">
        <f>_xlfn.XLOOKUP(AllDataCorrected[[#This Row],[Site Name]],LocationsKey[Site Name], LocationsKey[Waterway])</f>
        <v>Carrant</v>
      </c>
      <c r="K459" t="s">
        <v>603</v>
      </c>
      <c r="L459">
        <f>_xlfn.XLOOKUP(AllDataCorrected[[#This Row],[Site Name]],Tables!$B$12:$B$100, Tables!C$12:C$100)</f>
        <v>51.996322536231894</v>
      </c>
      <c r="M459">
        <f>_xlfn.XLOOKUP(AllDataCorrected[[#This Row],[Site Name]],Tables!$B$12:$B$100, Tables!D$12:D$100)</f>
        <v>-2.1558410144927538</v>
      </c>
      <c r="N459" t="s">
        <v>25</v>
      </c>
      <c r="O459">
        <v>446</v>
      </c>
      <c r="P459">
        <v>8</v>
      </c>
      <c r="Q459">
        <v>3</v>
      </c>
      <c r="R459" t="str">
        <f>IF(AllDataCorrected[[#This Row],[Nitrate (PPM)]]&gt;2, "4. Very high (&gt;2ppm)", IF(AllDataCorrected[[#This Row],[Nitrate (PPM)]]&gt;1, "3. High (1-2ppm)", IF(AllDataCorrected[[#This Row],[Nitrate (PPM)]]&gt;0.5, "2. Some evidence (0.5-1ppm)", IF(AllDataCorrected[[#This Row],[Nitrate (PPM)]]&gt;=0, "1. No evidence (&lt;0.5ppm)"))))</f>
        <v>4. Very high (&gt;2ppm)</v>
      </c>
      <c r="S459">
        <v>0.62</v>
      </c>
      <c r="T4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59">
        <v>2.11</v>
      </c>
      <c r="V459" t="s">
        <v>745</v>
      </c>
    </row>
    <row r="460" spans="1:22" x14ac:dyDescent="0.35">
      <c r="A460" t="s">
        <v>746</v>
      </c>
      <c r="B460" s="2">
        <v>45347</v>
      </c>
      <c r="C460" t="str" cm="1">
        <f t="array" ref="C4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0">
        <v>2023</v>
      </c>
      <c r="E460" s="1">
        <v>0.47569444444444442</v>
      </c>
      <c r="F4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60" t="str">
        <f>_xlfn.XLOOKUP(AllDataCorrected[[#This Row],[Location Name]], Locations[Location Name],Locations[Group As])</f>
        <v>The Ford, Langley</v>
      </c>
      <c r="H460" t="e" vm="1">
        <f>_xlfn.XLOOKUP(AllDataCorrected[[#This Row],[Site Name]],LocationsKey[Site Name],LocationsKey[District])</f>
        <v>#VALUE!</v>
      </c>
      <c r="I460" t="str">
        <f>_xlfn.XLOOKUP(AllDataCorrected[[#This Row],[Site Name]],LocationsKey[Site Name],LocationsKey[Town])</f>
        <v>Langley</v>
      </c>
      <c r="J460" t="str">
        <f>_xlfn.XLOOKUP(AllDataCorrected[[#This Row],[Site Name]],LocationsKey[Site Name], LocationsKey[Waterway])</f>
        <v>Langley Ford</v>
      </c>
      <c r="K460" t="s">
        <v>561</v>
      </c>
      <c r="L460">
        <f>_xlfn.XLOOKUP(AllDataCorrected[[#This Row],[Site Name]],Tables!$B$12:$B$100, Tables!C$12:C$100)</f>
        <v>52.262666528301864</v>
      </c>
      <c r="M460">
        <f>_xlfn.XLOOKUP(AllDataCorrected[[#This Row],[Site Name]],Tables!$B$12:$B$100, Tables!D$12:D$100)</f>
        <v>-1.6545845283018858</v>
      </c>
      <c r="N460" t="s">
        <v>31</v>
      </c>
      <c r="O460">
        <v>520</v>
      </c>
      <c r="P460">
        <v>7.5</v>
      </c>
      <c r="Q460">
        <v>6</v>
      </c>
      <c r="R460" t="str">
        <f>IF(AllDataCorrected[[#This Row],[Nitrate (PPM)]]&gt;2, "4. Very high (&gt;2ppm)", IF(AllDataCorrected[[#This Row],[Nitrate (PPM)]]&gt;1, "3. High (1-2ppm)", IF(AllDataCorrected[[#This Row],[Nitrate (PPM)]]&gt;0.5, "2. Some evidence (0.5-1ppm)", IF(AllDataCorrected[[#This Row],[Nitrate (PPM)]]&gt;=0, "1. No evidence (&lt;0.5ppm)"))))</f>
        <v>4. Very high (&gt;2ppm)</v>
      </c>
      <c r="S460">
        <v>0.63</v>
      </c>
      <c r="T4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0">
        <v>35</v>
      </c>
      <c r="V460" t="s">
        <v>747</v>
      </c>
    </row>
    <row r="461" spans="1:22" x14ac:dyDescent="0.35">
      <c r="A461" t="s">
        <v>748</v>
      </c>
      <c r="B461" s="2">
        <v>45347</v>
      </c>
      <c r="C461" t="str" cm="1">
        <f t="array" ref="C4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1">
        <v>2023</v>
      </c>
      <c r="E461" s="1">
        <v>0.64583333333333337</v>
      </c>
      <c r="F4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1" t="str">
        <f>_xlfn.XLOOKUP(AllDataCorrected[[#This Row],[Location Name]], Locations[Location Name],Locations[Group As])</f>
        <v>Fell Mill Footbridge</v>
      </c>
      <c r="H461" t="e" vm="1">
        <f>_xlfn.XLOOKUP(AllDataCorrected[[#This Row],[Site Name]],LocationsKey[Site Name],LocationsKey[District])</f>
        <v>#VALUE!</v>
      </c>
      <c r="I461" t="e" vm="15">
        <f>_xlfn.XLOOKUP(AllDataCorrected[[#This Row],[Site Name]],LocationsKey[Site Name],LocationsKey[Town])</f>
        <v>#VALUE!</v>
      </c>
      <c r="J461" t="str">
        <f>_xlfn.XLOOKUP(AllDataCorrected[[#This Row],[Site Name]],LocationsKey[Site Name], LocationsKey[Waterway])</f>
        <v>Stour</v>
      </c>
      <c r="K461" t="s">
        <v>500</v>
      </c>
      <c r="L461">
        <f>_xlfn.XLOOKUP(AllDataCorrected[[#This Row],[Site Name]],Tables!$B$12:$B$100, Tables!C$12:C$100)</f>
        <v>52.069044372881365</v>
      </c>
      <c r="M461">
        <f>_xlfn.XLOOKUP(AllDataCorrected[[#This Row],[Site Name]],Tables!$B$12:$B$100, Tables!D$12:D$100)</f>
        <v>-1.6116270169491524</v>
      </c>
      <c r="N461" t="s">
        <v>31</v>
      </c>
      <c r="O461">
        <v>560</v>
      </c>
      <c r="P461">
        <v>8.1</v>
      </c>
      <c r="Q461">
        <v>5</v>
      </c>
      <c r="R461" t="str">
        <f>IF(AllDataCorrected[[#This Row],[Nitrate (PPM)]]&gt;2, "4. Very high (&gt;2ppm)", IF(AllDataCorrected[[#This Row],[Nitrate (PPM)]]&gt;1, "3. High (1-2ppm)", IF(AllDataCorrected[[#This Row],[Nitrate (PPM)]]&gt;0.5, "2. Some evidence (0.5-1ppm)", IF(AllDataCorrected[[#This Row],[Nitrate (PPM)]]&gt;=0, "1. No evidence (&lt;0.5ppm)"))))</f>
        <v>4. Very high (&gt;2ppm)</v>
      </c>
      <c r="S461">
        <v>0.33</v>
      </c>
      <c r="T4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1">
        <v>1.5</v>
      </c>
    </row>
    <row r="462" spans="1:22" x14ac:dyDescent="0.35">
      <c r="A462" t="s">
        <v>749</v>
      </c>
      <c r="B462" s="2">
        <v>45347</v>
      </c>
      <c r="C462" t="str" cm="1">
        <f t="array" ref="C4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2">
        <v>2023</v>
      </c>
      <c r="E462" s="1">
        <v>0.70763888888888893</v>
      </c>
      <c r="F4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2" t="str">
        <f>_xlfn.XLOOKUP(AllDataCorrected[[#This Row],[Location Name]], Locations[Location Name],Locations[Group As])</f>
        <v>Abbey Mill</v>
      </c>
      <c r="H462" t="e" vm="4">
        <f>_xlfn.XLOOKUP(AllDataCorrected[[#This Row],[Site Name]],LocationsKey[Site Name],LocationsKey[District])</f>
        <v>#VALUE!</v>
      </c>
      <c r="I462" t="e" vm="4">
        <f>_xlfn.XLOOKUP(AllDataCorrected[[#This Row],[Site Name]],LocationsKey[Site Name],LocationsKey[Town])</f>
        <v>#VALUE!</v>
      </c>
      <c r="J462" t="str">
        <f>_xlfn.XLOOKUP(AllDataCorrected[[#This Row],[Site Name]],LocationsKey[Site Name], LocationsKey[Waterway])</f>
        <v>Avon</v>
      </c>
      <c r="K462" t="s">
        <v>27</v>
      </c>
      <c r="L462">
        <f>_xlfn.XLOOKUP(AllDataCorrected[[#This Row],[Site Name]],Tables!$B$12:$B$100, Tables!C$12:C$100)</f>
        <v>51.991313075757589</v>
      </c>
      <c r="M462">
        <f>_xlfn.XLOOKUP(AllDataCorrected[[#This Row],[Site Name]],Tables!$B$12:$B$100, Tables!D$12:D$100)</f>
        <v>-2.1621998181818181</v>
      </c>
      <c r="N462" t="s">
        <v>25</v>
      </c>
      <c r="O462">
        <v>511</v>
      </c>
      <c r="P462">
        <v>7.2</v>
      </c>
      <c r="Q462">
        <v>5</v>
      </c>
      <c r="R462" t="str">
        <f>IF(AllDataCorrected[[#This Row],[Nitrate (PPM)]]&gt;2, "4. Very high (&gt;2ppm)", IF(AllDataCorrected[[#This Row],[Nitrate (PPM)]]&gt;1, "3. High (1-2ppm)", IF(AllDataCorrected[[#This Row],[Nitrate (PPM)]]&gt;0.5, "2. Some evidence (0.5-1ppm)", IF(AllDataCorrected[[#This Row],[Nitrate (PPM)]]&gt;=0, "1. No evidence (&lt;0.5ppm)"))))</f>
        <v>4. Very high (&gt;2ppm)</v>
      </c>
      <c r="S462">
        <v>0.51</v>
      </c>
      <c r="T4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2">
        <v>2.4</v>
      </c>
      <c r="V462" t="s">
        <v>750</v>
      </c>
    </row>
    <row r="463" spans="1:22" x14ac:dyDescent="0.35">
      <c r="A463" t="s">
        <v>751</v>
      </c>
      <c r="B463" s="2">
        <v>45347</v>
      </c>
      <c r="C463" t="str" cm="1">
        <f t="array" ref="C4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3">
        <v>2023</v>
      </c>
      <c r="E463" s="1">
        <v>0.70833333333333337</v>
      </c>
      <c r="F4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3" t="str">
        <f>_xlfn.XLOOKUP(AllDataCorrected[[#This Row],[Location Name]], Locations[Location Name],Locations[Group As])</f>
        <v>Sherbourne Brook 1</v>
      </c>
      <c r="H463" t="e" vm="1">
        <f>_xlfn.XLOOKUP(AllDataCorrected[[#This Row],[Site Name]],LocationsKey[Site Name],LocationsKey[District])</f>
        <v>#VALUE!</v>
      </c>
      <c r="I463" t="e" vm="23">
        <f>_xlfn.XLOOKUP(AllDataCorrected[[#This Row],[Site Name]],LocationsKey[Site Name],LocationsKey[Town])</f>
        <v>#VALUE!</v>
      </c>
      <c r="J463" t="str">
        <f>_xlfn.XLOOKUP(AllDataCorrected[[#This Row],[Site Name]],LocationsKey[Site Name], LocationsKey[Waterway])</f>
        <v>Sherbourne Brook</v>
      </c>
      <c r="K463" t="s">
        <v>541</v>
      </c>
      <c r="L463">
        <f>_xlfn.XLOOKUP(AllDataCorrected[[#This Row],[Site Name]],Tables!$B$12:$B$100, Tables!C$12:C$100)</f>
        <v>52.252500000000033</v>
      </c>
      <c r="M463">
        <f>_xlfn.XLOOKUP(AllDataCorrected[[#This Row],[Site Name]],Tables!$B$12:$B$100, Tables!D$12:D$100)</f>
        <v>-1.6685000000000012</v>
      </c>
      <c r="N463" t="s">
        <v>25</v>
      </c>
      <c r="O463">
        <v>911</v>
      </c>
      <c r="P463">
        <v>7.8</v>
      </c>
      <c r="Q463">
        <v>5</v>
      </c>
      <c r="R463" t="str">
        <f>IF(AllDataCorrected[[#This Row],[Nitrate (PPM)]]&gt;2, "4. Very high (&gt;2ppm)", IF(AllDataCorrected[[#This Row],[Nitrate (PPM)]]&gt;1, "3. High (1-2ppm)", IF(AllDataCorrected[[#This Row],[Nitrate (PPM)]]&gt;0.5, "2. Some evidence (0.5-1ppm)", IF(AllDataCorrected[[#This Row],[Nitrate (PPM)]]&gt;=0, "1. No evidence (&lt;0.5ppm)"))))</f>
        <v>4. Very high (&gt;2ppm)</v>
      </c>
      <c r="S463">
        <v>0.68</v>
      </c>
      <c r="T4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3">
        <v>0.5</v>
      </c>
    </row>
    <row r="464" spans="1:22" x14ac:dyDescent="0.35">
      <c r="A464" t="s">
        <v>752</v>
      </c>
      <c r="B464" s="2">
        <v>45347</v>
      </c>
      <c r="C464" t="str" cm="1">
        <f t="array" ref="C4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4">
        <v>2023</v>
      </c>
      <c r="E464" s="1">
        <v>0.71527777777777779</v>
      </c>
      <c r="F46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64" t="str">
        <f>_xlfn.XLOOKUP(AllDataCorrected[[#This Row],[Location Name]], Locations[Location Name],Locations[Group As])</f>
        <v>Bell Brook 1</v>
      </c>
      <c r="H464" t="e" vm="1">
        <f>_xlfn.XLOOKUP(AllDataCorrected[[#This Row],[Site Name]],LocationsKey[Site Name],LocationsKey[District])</f>
        <v>#VALUE!</v>
      </c>
      <c r="I464" t="e" vm="19">
        <f>_xlfn.XLOOKUP(AllDataCorrected[[#This Row],[Site Name]],LocationsKey[Site Name],LocationsKey[Town])</f>
        <v>#VALUE!</v>
      </c>
      <c r="J464" t="str">
        <f>_xlfn.XLOOKUP(AllDataCorrected[[#This Row],[Site Name]],LocationsKey[Site Name], LocationsKey[Waterway])</f>
        <v>Bell Brook</v>
      </c>
      <c r="K464" t="s">
        <v>538</v>
      </c>
      <c r="L464">
        <f>_xlfn.XLOOKUP(AllDataCorrected[[#This Row],[Site Name]],Tables!$B$12:$B$100, Tables!C$12:C$100)</f>
        <v>52.24489999999998</v>
      </c>
      <c r="M464">
        <f>_xlfn.XLOOKUP(AllDataCorrected[[#This Row],[Site Name]],Tables!$B$12:$B$100, Tables!D$12:D$100)</f>
        <v>-1.6617000000000013</v>
      </c>
      <c r="N464" t="s">
        <v>25</v>
      </c>
      <c r="O464">
        <v>595</v>
      </c>
      <c r="P464">
        <v>7.6</v>
      </c>
      <c r="Q464">
        <v>5</v>
      </c>
      <c r="R464" t="str">
        <f>IF(AllDataCorrected[[#This Row],[Nitrate (PPM)]]&gt;2, "4. Very high (&gt;2ppm)", IF(AllDataCorrected[[#This Row],[Nitrate (PPM)]]&gt;1, "3. High (1-2ppm)", IF(AllDataCorrected[[#This Row],[Nitrate (PPM)]]&gt;0.5, "2. Some evidence (0.5-1ppm)", IF(AllDataCorrected[[#This Row],[Nitrate (PPM)]]&gt;=0, "1. No evidence (&lt;0.5ppm)"))))</f>
        <v>4. Very high (&gt;2ppm)</v>
      </c>
      <c r="S464">
        <v>1.07</v>
      </c>
      <c r="T4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4">
        <v>0.5</v>
      </c>
    </row>
    <row r="465" spans="1:22" x14ac:dyDescent="0.35">
      <c r="A465" t="s">
        <v>753</v>
      </c>
      <c r="B465" s="2">
        <v>45347</v>
      </c>
      <c r="C465" t="str" cm="1">
        <f t="array" ref="C4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5">
        <v>2023</v>
      </c>
      <c r="E465" s="1">
        <v>0.78125</v>
      </c>
      <c r="F46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465" t="str">
        <f>_xlfn.XLOOKUP(AllDataCorrected[[#This Row],[Location Name]], Locations[Location Name],Locations[Group As])</f>
        <v>Stour Shipston Mill Bridge</v>
      </c>
      <c r="H465" t="e" vm="1">
        <f>_xlfn.XLOOKUP(AllDataCorrected[[#This Row],[Site Name]],LocationsKey[Site Name],LocationsKey[District])</f>
        <v>#VALUE!</v>
      </c>
      <c r="I465" t="e" vm="15">
        <f>_xlfn.XLOOKUP(AllDataCorrected[[#This Row],[Site Name]],LocationsKey[Site Name],LocationsKey[Town])</f>
        <v>#VALUE!</v>
      </c>
      <c r="J465" t="str">
        <f>_xlfn.XLOOKUP(AllDataCorrected[[#This Row],[Site Name]],LocationsKey[Site Name], LocationsKey[Waterway])</f>
        <v>Stour</v>
      </c>
      <c r="K465" t="s">
        <v>435</v>
      </c>
      <c r="L465">
        <f>_xlfn.XLOOKUP(AllDataCorrected[[#This Row],[Site Name]],Tables!$B$12:$B$100, Tables!C$12:C$100)</f>
        <v>52.062214921052629</v>
      </c>
      <c r="M465">
        <f>_xlfn.XLOOKUP(AllDataCorrected[[#This Row],[Site Name]],Tables!$B$12:$B$100, Tables!D$12:D$100)</f>
        <v>-1.6223788421052625</v>
      </c>
      <c r="N465" t="s">
        <v>25</v>
      </c>
      <c r="O465">
        <v>586</v>
      </c>
      <c r="P465">
        <v>7.7</v>
      </c>
      <c r="Q465">
        <v>2</v>
      </c>
      <c r="R465" t="str">
        <f>IF(AllDataCorrected[[#This Row],[Nitrate (PPM)]]&gt;2, "4. Very high (&gt;2ppm)", IF(AllDataCorrected[[#This Row],[Nitrate (PPM)]]&gt;1, "3. High (1-2ppm)", IF(AllDataCorrected[[#This Row],[Nitrate (PPM)]]&gt;0.5, "2. Some evidence (0.5-1ppm)", IF(AllDataCorrected[[#This Row],[Nitrate (PPM)]]&gt;=0, "1. No evidence (&lt;0.5ppm)"))))</f>
        <v>3. High (1-2ppm)</v>
      </c>
      <c r="S465">
        <v>0.24</v>
      </c>
      <c r="T4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5">
        <v>1.5</v>
      </c>
    </row>
    <row r="466" spans="1:22" x14ac:dyDescent="0.35">
      <c r="A466" t="s">
        <v>754</v>
      </c>
      <c r="B466" s="2">
        <v>45347</v>
      </c>
      <c r="C466" t="str" cm="1">
        <f t="array" ref="C4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6">
        <v>2023</v>
      </c>
      <c r="F46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6" t="str">
        <f>_xlfn.XLOOKUP(AllDataCorrected[[#This Row],[Location Name]], Locations[Location Name],Locations[Group As])</f>
        <v>Site 1  :  Middle Street</v>
      </c>
      <c r="H466" t="e" vm="1">
        <f>_xlfn.XLOOKUP(AllDataCorrected[[#This Row],[Site Name]],LocationsKey[Site Name],LocationsKey[District])</f>
        <v>#VALUE!</v>
      </c>
      <c r="I466" t="e" vm="14">
        <f>_xlfn.XLOOKUP(AllDataCorrected[[#This Row],[Site Name]],LocationsKey[Site Name],LocationsKey[Town])</f>
        <v>#VALUE!</v>
      </c>
      <c r="J466" t="str">
        <f>_xlfn.XLOOKUP(AllDataCorrected[[#This Row],[Site Name]],LocationsKey[Site Name], LocationsKey[Waterway])</f>
        <v>Fosseway Brook</v>
      </c>
      <c r="K466" t="s">
        <v>667</v>
      </c>
      <c r="L466">
        <f>_xlfn.XLOOKUP(AllDataCorrected[[#This Row],[Site Name]],Tables!$B$12:$B$100, Tables!C$12:C$100)</f>
        <v>52.090081855670022</v>
      </c>
      <c r="M466">
        <f>_xlfn.XLOOKUP(AllDataCorrected[[#This Row],[Site Name]],Tables!$B$12:$B$100, Tables!D$12:D$100)</f>
        <v>-1.6925771134020597</v>
      </c>
      <c r="N466" t="s">
        <v>68</v>
      </c>
      <c r="O466">
        <v>561</v>
      </c>
      <c r="P466">
        <v>8.4</v>
      </c>
      <c r="Q466">
        <v>5</v>
      </c>
      <c r="R466" t="str">
        <f>IF(AllDataCorrected[[#This Row],[Nitrate (PPM)]]&gt;2, "4. Very high (&gt;2ppm)", IF(AllDataCorrected[[#This Row],[Nitrate (PPM)]]&gt;1, "3. High (1-2ppm)", IF(AllDataCorrected[[#This Row],[Nitrate (PPM)]]&gt;0.5, "2. Some evidence (0.5-1ppm)", IF(AllDataCorrected[[#This Row],[Nitrate (PPM)]]&gt;=0, "1. No evidence (&lt;0.5ppm)"))))</f>
        <v>4. Very high (&gt;2ppm)</v>
      </c>
      <c r="S466">
        <v>0.37</v>
      </c>
      <c r="T4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66">
        <v>0</v>
      </c>
      <c r="V466" t="s">
        <v>755</v>
      </c>
    </row>
    <row r="467" spans="1:22" x14ac:dyDescent="0.35">
      <c r="A467" t="s">
        <v>756</v>
      </c>
      <c r="B467" s="2">
        <v>45347</v>
      </c>
      <c r="C467" t="str" cm="1">
        <f t="array" ref="C4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7">
        <v>2023</v>
      </c>
      <c r="F46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7" t="str">
        <f>_xlfn.XLOOKUP(AllDataCorrected[[#This Row],[Location Name]], Locations[Location Name],Locations[Group As])</f>
        <v>Site 1  :  Middle Street</v>
      </c>
      <c r="H467" t="e" vm="1">
        <f>_xlfn.XLOOKUP(AllDataCorrected[[#This Row],[Site Name]],LocationsKey[Site Name],LocationsKey[District])</f>
        <v>#VALUE!</v>
      </c>
      <c r="I467" t="e" vm="14">
        <f>_xlfn.XLOOKUP(AllDataCorrected[[#This Row],[Site Name]],LocationsKey[Site Name],LocationsKey[Town])</f>
        <v>#VALUE!</v>
      </c>
      <c r="J467" t="str">
        <f>_xlfn.XLOOKUP(AllDataCorrected[[#This Row],[Site Name]],LocationsKey[Site Name], LocationsKey[Waterway])</f>
        <v>Fosseway Brook</v>
      </c>
      <c r="K467" t="s">
        <v>670</v>
      </c>
      <c r="L467">
        <f>_xlfn.XLOOKUP(AllDataCorrected[[#This Row],[Site Name]],Tables!$B$12:$B$100, Tables!C$12:C$100)</f>
        <v>52.090081855670022</v>
      </c>
      <c r="M467">
        <f>_xlfn.XLOOKUP(AllDataCorrected[[#This Row],[Site Name]],Tables!$B$12:$B$100, Tables!D$12:D$100)</f>
        <v>-1.6925771134020597</v>
      </c>
      <c r="N467" t="s">
        <v>68</v>
      </c>
      <c r="O467">
        <v>561</v>
      </c>
      <c r="P467">
        <v>8.4</v>
      </c>
      <c r="Q467">
        <v>5</v>
      </c>
      <c r="R467" t="str">
        <f>IF(AllDataCorrected[[#This Row],[Nitrate (PPM)]]&gt;2, "4. Very high (&gt;2ppm)", IF(AllDataCorrected[[#This Row],[Nitrate (PPM)]]&gt;1, "3. High (1-2ppm)", IF(AllDataCorrected[[#This Row],[Nitrate (PPM)]]&gt;0.5, "2. Some evidence (0.5-1ppm)", IF(AllDataCorrected[[#This Row],[Nitrate (PPM)]]&gt;=0, "1. No evidence (&lt;0.5ppm)"))))</f>
        <v>4. Very high (&gt;2ppm)</v>
      </c>
      <c r="S467">
        <v>0.37</v>
      </c>
      <c r="T4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67" t="s">
        <v>757</v>
      </c>
    </row>
    <row r="468" spans="1:22" x14ac:dyDescent="0.35">
      <c r="A468" t="s">
        <v>758</v>
      </c>
      <c r="B468" s="2">
        <v>45347</v>
      </c>
      <c r="C468" t="str" cm="1">
        <f t="array" ref="C4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8">
        <v>2023</v>
      </c>
      <c r="F46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8" t="str">
        <f>_xlfn.XLOOKUP(AllDataCorrected[[#This Row],[Location Name]], Locations[Location Name],Locations[Group As])</f>
        <v>Site 2  :  Cross Leys culvert</v>
      </c>
      <c r="H468" t="e" vm="1">
        <f>_xlfn.XLOOKUP(AllDataCorrected[[#This Row],[Site Name]],LocationsKey[Site Name],LocationsKey[District])</f>
        <v>#VALUE!</v>
      </c>
      <c r="I468" t="e" vm="14">
        <f>_xlfn.XLOOKUP(AllDataCorrected[[#This Row],[Site Name]],LocationsKey[Site Name],LocationsKey[Town])</f>
        <v>#VALUE!</v>
      </c>
      <c r="J468" t="str">
        <f>_xlfn.XLOOKUP(AllDataCorrected[[#This Row],[Site Name]],LocationsKey[Site Name], LocationsKey[Waterway])</f>
        <v>Fosseway Brook</v>
      </c>
      <c r="K468" t="s">
        <v>623</v>
      </c>
      <c r="L468">
        <f>_xlfn.XLOOKUP(AllDataCorrected[[#This Row],[Site Name]],Tables!$B$12:$B$100, Tables!C$12:C$100)</f>
        <v>52.092997354838673</v>
      </c>
      <c r="M468">
        <f>_xlfn.XLOOKUP(AllDataCorrected[[#This Row],[Site Name]],Tables!$B$12:$B$100, Tables!D$12:D$100)</f>
        <v>-1.6862254516129045</v>
      </c>
      <c r="N468" t="s">
        <v>68</v>
      </c>
      <c r="O468">
        <v>625</v>
      </c>
      <c r="P468">
        <v>7.8</v>
      </c>
      <c r="Q468">
        <v>2</v>
      </c>
      <c r="R468" t="str">
        <f>IF(AllDataCorrected[[#This Row],[Nitrate (PPM)]]&gt;2, "4. Very high (&gt;2ppm)", IF(AllDataCorrected[[#This Row],[Nitrate (PPM)]]&gt;1, "3. High (1-2ppm)", IF(AllDataCorrected[[#This Row],[Nitrate (PPM)]]&gt;0.5, "2. Some evidence (0.5-1ppm)", IF(AllDataCorrected[[#This Row],[Nitrate (PPM)]]&gt;=0, "1. No evidence (&lt;0.5ppm)"))))</f>
        <v>3. High (1-2ppm)</v>
      </c>
      <c r="S468">
        <v>0.52</v>
      </c>
      <c r="T4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68">
        <v>0</v>
      </c>
      <c r="V468" t="s">
        <v>624</v>
      </c>
    </row>
    <row r="469" spans="1:22" x14ac:dyDescent="0.35">
      <c r="A469" t="s">
        <v>759</v>
      </c>
      <c r="B469" s="2">
        <v>45347</v>
      </c>
      <c r="C469" t="str" cm="1">
        <f t="array" ref="C4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69">
        <v>2023</v>
      </c>
      <c r="F46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69" t="str">
        <f>_xlfn.XLOOKUP(AllDataCorrected[[#This Row],[Location Name]], Locations[Location Name],Locations[Group As])</f>
        <v>Site 2  :  Cross Leys culvert</v>
      </c>
      <c r="H469" t="e" vm="1">
        <f>_xlfn.XLOOKUP(AllDataCorrected[[#This Row],[Site Name]],LocationsKey[Site Name],LocationsKey[District])</f>
        <v>#VALUE!</v>
      </c>
      <c r="I469" t="e" vm="14">
        <f>_xlfn.XLOOKUP(AllDataCorrected[[#This Row],[Site Name]],LocationsKey[Site Name],LocationsKey[Town])</f>
        <v>#VALUE!</v>
      </c>
      <c r="J469" t="str">
        <f>_xlfn.XLOOKUP(AllDataCorrected[[#This Row],[Site Name]],LocationsKey[Site Name], LocationsKey[Waterway])</f>
        <v>Fosseway Brook</v>
      </c>
      <c r="K469" t="s">
        <v>626</v>
      </c>
      <c r="L469">
        <f>_xlfn.XLOOKUP(AllDataCorrected[[#This Row],[Site Name]],Tables!$B$12:$B$100, Tables!C$12:C$100)</f>
        <v>52.092997354838673</v>
      </c>
      <c r="M469">
        <f>_xlfn.XLOOKUP(AllDataCorrected[[#This Row],[Site Name]],Tables!$B$12:$B$100, Tables!D$12:D$100)</f>
        <v>-1.6862254516129045</v>
      </c>
      <c r="N469" t="s">
        <v>68</v>
      </c>
      <c r="O469">
        <v>625</v>
      </c>
      <c r="P469">
        <v>7.8</v>
      </c>
      <c r="Q469">
        <v>2</v>
      </c>
      <c r="R469" t="str">
        <f>IF(AllDataCorrected[[#This Row],[Nitrate (PPM)]]&gt;2, "4. Very high (&gt;2ppm)", IF(AllDataCorrected[[#This Row],[Nitrate (PPM)]]&gt;1, "3. High (1-2ppm)", IF(AllDataCorrected[[#This Row],[Nitrate (PPM)]]&gt;0.5, "2. Some evidence (0.5-1ppm)", IF(AllDataCorrected[[#This Row],[Nitrate (PPM)]]&gt;=0, "1. No evidence (&lt;0.5ppm)"))))</f>
        <v>3. High (1-2ppm)</v>
      </c>
      <c r="S469">
        <v>0.52</v>
      </c>
      <c r="T4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69" t="s">
        <v>627</v>
      </c>
    </row>
    <row r="470" spans="1:22" x14ac:dyDescent="0.35">
      <c r="A470" t="s">
        <v>760</v>
      </c>
      <c r="B470" s="2">
        <v>45347</v>
      </c>
      <c r="C470" t="str" cm="1">
        <f t="array" ref="C4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0">
        <v>2023</v>
      </c>
      <c r="F47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70" t="str">
        <f>_xlfn.XLOOKUP(AllDataCorrected[[#This Row],[Location Name]], Locations[Location Name],Locations[Group As])</f>
        <v>Site 3  :  Severn Trent Water processing plant outflow</v>
      </c>
      <c r="H470" t="e" vm="1">
        <f>_xlfn.XLOOKUP(AllDataCorrected[[#This Row],[Site Name]],LocationsKey[Site Name],LocationsKey[District])</f>
        <v>#VALUE!</v>
      </c>
      <c r="I470" t="e" vm="14">
        <f>_xlfn.XLOOKUP(AllDataCorrected[[#This Row],[Site Name]],LocationsKey[Site Name],LocationsKey[Town])</f>
        <v>#VALUE!</v>
      </c>
      <c r="J470" t="str">
        <f>_xlfn.XLOOKUP(AllDataCorrected[[#This Row],[Site Name]],LocationsKey[Site Name], LocationsKey[Waterway])</f>
        <v>Fosseway Brook</v>
      </c>
      <c r="K470" t="s">
        <v>673</v>
      </c>
      <c r="L470">
        <f>_xlfn.XLOOKUP(AllDataCorrected[[#This Row],[Site Name]],Tables!$B$12:$B$100, Tables!C$12:C$100)</f>
        <v>52.130499999999998</v>
      </c>
      <c r="M470">
        <f>_xlfn.XLOOKUP(AllDataCorrected[[#This Row],[Site Name]],Tables!$B$12:$B$100, Tables!D$12:D$100)</f>
        <v>-2.0787</v>
      </c>
      <c r="N470" t="s">
        <v>31</v>
      </c>
      <c r="O470">
        <v>775</v>
      </c>
      <c r="P470">
        <v>8.5</v>
      </c>
      <c r="Q470">
        <v>5</v>
      </c>
      <c r="R470" t="str">
        <f>IF(AllDataCorrected[[#This Row],[Nitrate (PPM)]]&gt;2, "4. Very high (&gt;2ppm)", IF(AllDataCorrected[[#This Row],[Nitrate (PPM)]]&gt;1, "3. High (1-2ppm)", IF(AllDataCorrected[[#This Row],[Nitrate (PPM)]]&gt;0.5, "2. Some evidence (0.5-1ppm)", IF(AllDataCorrected[[#This Row],[Nitrate (PPM)]]&gt;=0, "1. No evidence (&lt;0.5ppm)"))))</f>
        <v>4. Very high (&gt;2ppm)</v>
      </c>
      <c r="S470">
        <v>2.5</v>
      </c>
      <c r="T4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0">
        <v>0</v>
      </c>
      <c r="V470" t="s">
        <v>674</v>
      </c>
    </row>
    <row r="471" spans="1:22" x14ac:dyDescent="0.35">
      <c r="A471" t="s">
        <v>761</v>
      </c>
      <c r="B471" s="2">
        <v>45347</v>
      </c>
      <c r="C471" t="str" cm="1">
        <f t="array" ref="C4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1">
        <v>2023</v>
      </c>
      <c r="F47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71" t="str">
        <f>_xlfn.XLOOKUP(AllDataCorrected[[#This Row],[Location Name]], Locations[Location Name],Locations[Group As])</f>
        <v>Site 3  :  Severn Trent Water processing plant outflow</v>
      </c>
      <c r="H471" t="e" vm="1">
        <f>_xlfn.XLOOKUP(AllDataCorrected[[#This Row],[Site Name]],LocationsKey[Site Name],LocationsKey[District])</f>
        <v>#VALUE!</v>
      </c>
      <c r="I471" t="e" vm="14">
        <f>_xlfn.XLOOKUP(AllDataCorrected[[#This Row],[Site Name]],LocationsKey[Site Name],LocationsKey[Town])</f>
        <v>#VALUE!</v>
      </c>
      <c r="J471" t="str">
        <f>_xlfn.XLOOKUP(AllDataCorrected[[#This Row],[Site Name]],LocationsKey[Site Name], LocationsKey[Waterway])</f>
        <v>Fosseway Brook</v>
      </c>
      <c r="K471" t="s">
        <v>676</v>
      </c>
      <c r="L471">
        <f>_xlfn.XLOOKUP(AllDataCorrected[[#This Row],[Site Name]],Tables!$B$12:$B$100, Tables!C$12:C$100)</f>
        <v>52.130499999999998</v>
      </c>
      <c r="M471">
        <f>_xlfn.XLOOKUP(AllDataCorrected[[#This Row],[Site Name]],Tables!$B$12:$B$100, Tables!D$12:D$100)</f>
        <v>-2.0787</v>
      </c>
      <c r="N471" t="s">
        <v>31</v>
      </c>
      <c r="O471">
        <v>775</v>
      </c>
      <c r="P471">
        <v>8.5</v>
      </c>
      <c r="Q471">
        <v>5</v>
      </c>
      <c r="R471" t="str">
        <f>IF(AllDataCorrected[[#This Row],[Nitrate (PPM)]]&gt;2, "4. Very high (&gt;2ppm)", IF(AllDataCorrected[[#This Row],[Nitrate (PPM)]]&gt;1, "3. High (1-2ppm)", IF(AllDataCorrected[[#This Row],[Nitrate (PPM)]]&gt;0.5, "2. Some evidence (0.5-1ppm)", IF(AllDataCorrected[[#This Row],[Nitrate (PPM)]]&gt;=0, "1. No evidence (&lt;0.5ppm)"))))</f>
        <v>4. Very high (&gt;2ppm)</v>
      </c>
      <c r="S471">
        <v>2.5</v>
      </c>
      <c r="T4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471" t="s">
        <v>627</v>
      </c>
    </row>
    <row r="472" spans="1:22" x14ac:dyDescent="0.35">
      <c r="A472" t="s">
        <v>763</v>
      </c>
      <c r="B472" s="2">
        <v>45348</v>
      </c>
      <c r="C472" t="str" cm="1">
        <f t="array" ref="C4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2">
        <v>2023</v>
      </c>
      <c r="E472" s="1">
        <v>0.36458333333333331</v>
      </c>
      <c r="F4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2" t="str">
        <f>_xlfn.XLOOKUP(AllDataCorrected[[#This Row],[Location Name]], Locations[Location Name],Locations[Group As])</f>
        <v>Stour Stretton-on-Fosse Village</v>
      </c>
      <c r="H472" t="e" vm="1">
        <f>_xlfn.XLOOKUP(AllDataCorrected[[#This Row],[Site Name]],LocationsKey[Site Name],LocationsKey[District])</f>
        <v>#VALUE!</v>
      </c>
      <c r="I472" t="e" vm="30">
        <f>_xlfn.XLOOKUP(AllDataCorrected[[#This Row],[Site Name]],LocationsKey[Site Name],LocationsKey[Town])</f>
        <v>#VALUE!</v>
      </c>
      <c r="J472" t="str">
        <f>_xlfn.XLOOKUP(AllDataCorrected[[#This Row],[Site Name]],LocationsKey[Site Name], LocationsKey[Waterway])</f>
        <v>Stour</v>
      </c>
      <c r="K472" t="s">
        <v>548</v>
      </c>
      <c r="L472">
        <f>_xlfn.XLOOKUP(AllDataCorrected[[#This Row],[Site Name]],Tables!$B$12:$B$100, Tables!C$12:C$100)</f>
        <v>52.046517558823531</v>
      </c>
      <c r="M472">
        <f>_xlfn.XLOOKUP(AllDataCorrected[[#This Row],[Site Name]],Tables!$B$12:$B$100, Tables!D$12:D$100)</f>
        <v>-1.6734143529411762</v>
      </c>
      <c r="N472" t="s">
        <v>68</v>
      </c>
      <c r="O472">
        <v>564</v>
      </c>
      <c r="P472">
        <v>6</v>
      </c>
      <c r="Q472">
        <v>2</v>
      </c>
      <c r="R472" t="str">
        <f>IF(AllDataCorrected[[#This Row],[Nitrate (PPM)]]&gt;2, "4. Very high (&gt;2ppm)", IF(AllDataCorrected[[#This Row],[Nitrate (PPM)]]&gt;1, "3. High (1-2ppm)", IF(AllDataCorrected[[#This Row],[Nitrate (PPM)]]&gt;0.5, "2. Some evidence (0.5-1ppm)", IF(AllDataCorrected[[#This Row],[Nitrate (PPM)]]&gt;=0, "1. No evidence (&lt;0.5ppm)"))))</f>
        <v>3. High (1-2ppm)</v>
      </c>
      <c r="S472">
        <v>1.0900000000000001</v>
      </c>
      <c r="T4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2">
        <v>0.15</v>
      </c>
    </row>
    <row r="473" spans="1:22" x14ac:dyDescent="0.35">
      <c r="A473" t="s">
        <v>764</v>
      </c>
      <c r="B473" s="2">
        <v>45348</v>
      </c>
      <c r="C473" t="str" cm="1">
        <f t="array" ref="C4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3">
        <v>2023</v>
      </c>
      <c r="E473" s="1">
        <v>0.39166666666666666</v>
      </c>
      <c r="F4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3" t="str">
        <f>_xlfn.XLOOKUP(AllDataCorrected[[#This Row],[Location Name]], Locations[Location Name],Locations[Group As])</f>
        <v>Stour Stretton-on-Fosse Sewage Works</v>
      </c>
      <c r="H473" t="e" vm="1">
        <f>_xlfn.XLOOKUP(AllDataCorrected[[#This Row],[Site Name]],LocationsKey[Site Name],LocationsKey[District])</f>
        <v>#VALUE!</v>
      </c>
      <c r="I473" t="e" vm="30">
        <f>_xlfn.XLOOKUP(AllDataCorrected[[#This Row],[Site Name]],LocationsKey[Site Name],LocationsKey[Town])</f>
        <v>#VALUE!</v>
      </c>
      <c r="J473" t="str">
        <f>_xlfn.XLOOKUP(AllDataCorrected[[#This Row],[Site Name]],LocationsKey[Site Name], LocationsKey[Waterway])</f>
        <v>Stour</v>
      </c>
      <c r="K473" t="s">
        <v>337</v>
      </c>
      <c r="L473">
        <f>_xlfn.XLOOKUP(AllDataCorrected[[#This Row],[Site Name]],Tables!$B$12:$B$100, Tables!C$12:C$100)</f>
        <v>52.045653647058828</v>
      </c>
      <c r="M473">
        <f>_xlfn.XLOOKUP(AllDataCorrected[[#This Row],[Site Name]],Tables!$B$12:$B$100, Tables!D$12:D$100)</f>
        <v>-1.6719221470588239</v>
      </c>
      <c r="N473" t="s">
        <v>31</v>
      </c>
      <c r="O473">
        <v>628</v>
      </c>
      <c r="P473">
        <v>6.5</v>
      </c>
      <c r="Q473">
        <v>3.5</v>
      </c>
      <c r="R473" t="str">
        <f>IF(AllDataCorrected[[#This Row],[Nitrate (PPM)]]&gt;2, "4. Very high (&gt;2ppm)", IF(AllDataCorrected[[#This Row],[Nitrate (PPM)]]&gt;1, "3. High (1-2ppm)", IF(AllDataCorrected[[#This Row],[Nitrate (PPM)]]&gt;0.5, "2. Some evidence (0.5-1ppm)", IF(AllDataCorrected[[#This Row],[Nitrate (PPM)]]&gt;=0, "1. No evidence (&lt;0.5ppm)"))))</f>
        <v>4. Very high (&gt;2ppm)</v>
      </c>
      <c r="S473">
        <v>2.04</v>
      </c>
      <c r="T4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3">
        <v>0.25</v>
      </c>
    </row>
    <row r="474" spans="1:22" x14ac:dyDescent="0.35">
      <c r="A474" t="s">
        <v>765</v>
      </c>
      <c r="B474" s="2">
        <v>45348</v>
      </c>
      <c r="C474" t="str" cm="1">
        <f t="array" ref="C4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4">
        <v>2023</v>
      </c>
      <c r="E474" s="1">
        <v>0.69791666666666663</v>
      </c>
      <c r="F4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4" t="str">
        <f>_xlfn.XLOOKUP(AllDataCorrected[[#This Row],[Location Name]], Locations[Location Name],Locations[Group As])</f>
        <v>Clifford Chambers Mill Bridge</v>
      </c>
      <c r="H474" t="e" vm="1">
        <f>_xlfn.XLOOKUP(AllDataCorrected[[#This Row],[Site Name]],LocationsKey[Site Name],LocationsKey[District])</f>
        <v>#VALUE!</v>
      </c>
      <c r="I474" t="e" vm="22">
        <f>_xlfn.XLOOKUP(AllDataCorrected[[#This Row],[Site Name]],LocationsKey[Site Name],LocationsKey[Town])</f>
        <v>#VALUE!</v>
      </c>
      <c r="J474" t="str">
        <f>_xlfn.XLOOKUP(AllDataCorrected[[#This Row],[Site Name]],LocationsKey[Site Name], LocationsKey[Waterway])</f>
        <v>Stour</v>
      </c>
      <c r="K474" t="s">
        <v>766</v>
      </c>
      <c r="L474">
        <f>_xlfn.XLOOKUP(AllDataCorrected[[#This Row],[Site Name]],Tables!$B$12:$B$100, Tables!C$12:C$100)</f>
        <v>52.166363596153808</v>
      </c>
      <c r="M474">
        <f>_xlfn.XLOOKUP(AllDataCorrected[[#This Row],[Site Name]],Tables!$B$12:$B$100, Tables!D$12:D$100)</f>
        <v>-1.7080375384615398</v>
      </c>
      <c r="N474" t="s">
        <v>68</v>
      </c>
      <c r="O474">
        <v>615</v>
      </c>
      <c r="P474">
        <v>8.6999999999999993</v>
      </c>
      <c r="Q474">
        <v>5</v>
      </c>
      <c r="R474" t="str">
        <f>IF(AllDataCorrected[[#This Row],[Nitrate (PPM)]]&gt;2, "4. Very high (&gt;2ppm)", IF(AllDataCorrected[[#This Row],[Nitrate (PPM)]]&gt;1, "3. High (1-2ppm)", IF(AllDataCorrected[[#This Row],[Nitrate (PPM)]]&gt;0.5, "2. Some evidence (0.5-1ppm)", IF(AllDataCorrected[[#This Row],[Nitrate (PPM)]]&gt;=0, "1. No evidence (&lt;0.5ppm)"))))</f>
        <v>4. Very high (&gt;2ppm)</v>
      </c>
      <c r="S474">
        <v>0.21</v>
      </c>
      <c r="T4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4">
        <v>1.25</v>
      </c>
      <c r="V474" t="s">
        <v>767</v>
      </c>
    </row>
    <row r="475" spans="1:22" x14ac:dyDescent="0.35">
      <c r="A475" t="s">
        <v>768</v>
      </c>
      <c r="B475" s="2">
        <v>45350</v>
      </c>
      <c r="C475" t="str" cm="1">
        <f t="array" ref="C4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5">
        <v>2023</v>
      </c>
      <c r="E475" s="1">
        <v>0.6</v>
      </c>
      <c r="F4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5" t="str">
        <f>_xlfn.XLOOKUP(AllDataCorrected[[#This Row],[Location Name]], Locations[Location Name],Locations[Group As])</f>
        <v>Alveston Weir</v>
      </c>
      <c r="H475" t="e" vm="1">
        <f>_xlfn.XLOOKUP(AllDataCorrected[[#This Row],[Site Name]],LocationsKey[Site Name],LocationsKey[District])</f>
        <v>#VALUE!</v>
      </c>
      <c r="I475" t="e" vm="2">
        <f>_xlfn.XLOOKUP(AllDataCorrected[[#This Row],[Site Name]],LocationsKey[Site Name],LocationsKey[Town])</f>
        <v>#VALUE!</v>
      </c>
      <c r="J475" t="str">
        <f>_xlfn.XLOOKUP(AllDataCorrected[[#This Row],[Site Name]],LocationsKey[Site Name], LocationsKey[Waterway])</f>
        <v>Avon</v>
      </c>
      <c r="K475" t="s">
        <v>288</v>
      </c>
      <c r="L475">
        <f>_xlfn.XLOOKUP(AllDataCorrected[[#This Row],[Site Name]],Tables!$B$12:$B$100, Tables!C$12:C$100)</f>
        <v>52.21226301333337</v>
      </c>
      <c r="M475">
        <f>_xlfn.XLOOKUP(AllDataCorrected[[#This Row],[Site Name]],Tables!$B$12:$B$100, Tables!D$12:D$100)</f>
        <v>-1.6595226800000011</v>
      </c>
      <c r="N475" t="s">
        <v>31</v>
      </c>
      <c r="O475">
        <v>616</v>
      </c>
      <c r="P475">
        <v>9.1999999999999993</v>
      </c>
      <c r="Q475">
        <v>2</v>
      </c>
      <c r="R475" t="str">
        <f>IF(AllDataCorrected[[#This Row],[Nitrate (PPM)]]&gt;2, "4. Very high (&gt;2ppm)", IF(AllDataCorrected[[#This Row],[Nitrate (PPM)]]&gt;1, "3. High (1-2ppm)", IF(AllDataCorrected[[#This Row],[Nitrate (PPM)]]&gt;0.5, "2. Some evidence (0.5-1ppm)", IF(AllDataCorrected[[#This Row],[Nitrate (PPM)]]&gt;=0, "1. No evidence (&lt;0.5ppm)"))))</f>
        <v>3. High (1-2ppm)</v>
      </c>
      <c r="S475">
        <v>0.4</v>
      </c>
      <c r="T4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5">
        <v>0</v>
      </c>
      <c r="V475" t="s">
        <v>769</v>
      </c>
    </row>
    <row r="476" spans="1:22" x14ac:dyDescent="0.35">
      <c r="A476" t="s">
        <v>770</v>
      </c>
      <c r="B476" s="2">
        <v>45350</v>
      </c>
      <c r="C476" t="str" cm="1">
        <f t="array" ref="C4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6">
        <v>2023</v>
      </c>
      <c r="E476" s="1">
        <v>0.60972222222222228</v>
      </c>
      <c r="F4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6" t="str">
        <f>_xlfn.XLOOKUP(AllDataCorrected[[#This Row],[Location Name]], Locations[Location Name],Locations[Group As])</f>
        <v>Swiffen Bank</v>
      </c>
      <c r="H476" t="e" vm="1">
        <f>_xlfn.XLOOKUP(AllDataCorrected[[#This Row],[Site Name]],LocationsKey[Site Name],LocationsKey[District])</f>
        <v>#VALUE!</v>
      </c>
      <c r="I476" t="e" vm="2">
        <f>_xlfn.XLOOKUP(AllDataCorrected[[#This Row],[Site Name]],LocationsKey[Site Name],LocationsKey[Town])</f>
        <v>#VALUE!</v>
      </c>
      <c r="J476" t="str">
        <f>_xlfn.XLOOKUP(AllDataCorrected[[#This Row],[Site Name]],LocationsKey[Site Name], LocationsKey[Waterway])</f>
        <v>Avon</v>
      </c>
      <c r="K476" t="s">
        <v>286</v>
      </c>
      <c r="L476">
        <f>_xlfn.XLOOKUP(AllDataCorrected[[#This Row],[Site Name]],Tables!$B$12:$B$100, Tables!C$12:C$100)</f>
        <v>52.206649805555557</v>
      </c>
      <c r="M476">
        <f>_xlfn.XLOOKUP(AllDataCorrected[[#This Row],[Site Name]],Tables!$B$12:$B$100, Tables!D$12:D$100)</f>
        <v>-1.6541018611111094</v>
      </c>
      <c r="N476" t="s">
        <v>31</v>
      </c>
      <c r="O476">
        <v>613</v>
      </c>
      <c r="P476">
        <v>10.4</v>
      </c>
      <c r="Q476">
        <v>5</v>
      </c>
      <c r="R476" t="str">
        <f>IF(AllDataCorrected[[#This Row],[Nitrate (PPM)]]&gt;2, "4. Very high (&gt;2ppm)", IF(AllDataCorrected[[#This Row],[Nitrate (PPM)]]&gt;1, "3. High (1-2ppm)", IF(AllDataCorrected[[#This Row],[Nitrate (PPM)]]&gt;0.5, "2. Some evidence (0.5-1ppm)", IF(AllDataCorrected[[#This Row],[Nitrate (PPM)]]&gt;=0, "1. No evidence (&lt;0.5ppm)"))))</f>
        <v>4. Very high (&gt;2ppm)</v>
      </c>
      <c r="S476">
        <v>0.44</v>
      </c>
      <c r="T4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6">
        <v>0.5</v>
      </c>
    </row>
    <row r="477" spans="1:22" x14ac:dyDescent="0.35">
      <c r="A477" t="s">
        <v>771</v>
      </c>
      <c r="B477" s="2">
        <v>45350</v>
      </c>
      <c r="C477" t="str" cm="1">
        <f t="array" ref="C4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7">
        <v>2023</v>
      </c>
      <c r="E477" s="1">
        <v>0.70833333333333337</v>
      </c>
      <c r="F4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7" t="str">
        <f>_xlfn.XLOOKUP(AllDataCorrected[[#This Row],[Location Name]], Locations[Location Name],Locations[Group As])</f>
        <v>Stour Newbold Mill</v>
      </c>
      <c r="H477" t="e" vm="1">
        <f>_xlfn.XLOOKUP(AllDataCorrected[[#This Row],[Site Name]],LocationsKey[Site Name],LocationsKey[District])</f>
        <v>#VALUE!</v>
      </c>
      <c r="I477" t="e" vm="27">
        <f>_xlfn.XLOOKUP(AllDataCorrected[[#This Row],[Site Name]],LocationsKey[Site Name],LocationsKey[Town])</f>
        <v>#VALUE!</v>
      </c>
      <c r="J477" t="str">
        <f>_xlfn.XLOOKUP(AllDataCorrected[[#This Row],[Site Name]],LocationsKey[Site Name], LocationsKey[Waterway])</f>
        <v>Stour</v>
      </c>
      <c r="K477" t="s">
        <v>141</v>
      </c>
      <c r="L477">
        <f>_xlfn.XLOOKUP(AllDataCorrected[[#This Row],[Site Name]],Tables!$B$12:$B$100, Tables!C$12:C$100)</f>
        <v>52.113052370370369</v>
      </c>
      <c r="M477">
        <f>_xlfn.XLOOKUP(AllDataCorrected[[#This Row],[Site Name]],Tables!$B$12:$B$100, Tables!D$12:D$100)</f>
        <v>-1.6333685185185181</v>
      </c>
      <c r="N477" t="s">
        <v>31</v>
      </c>
      <c r="O477">
        <v>643</v>
      </c>
      <c r="P477">
        <v>13</v>
      </c>
      <c r="Q477">
        <v>5</v>
      </c>
      <c r="R477" t="str">
        <f>IF(AllDataCorrected[[#This Row],[Nitrate (PPM)]]&gt;2, "4. Very high (&gt;2ppm)", IF(AllDataCorrected[[#This Row],[Nitrate (PPM)]]&gt;1, "3. High (1-2ppm)", IF(AllDataCorrected[[#This Row],[Nitrate (PPM)]]&gt;0.5, "2. Some evidence (0.5-1ppm)", IF(AllDataCorrected[[#This Row],[Nitrate (PPM)]]&gt;=0, "1. No evidence (&lt;0.5ppm)"))))</f>
        <v>4. Very high (&gt;2ppm)</v>
      </c>
      <c r="S477">
        <v>0.36</v>
      </c>
      <c r="T4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7">
        <v>2.5</v>
      </c>
      <c r="V477" t="s">
        <v>772</v>
      </c>
    </row>
    <row r="478" spans="1:22" x14ac:dyDescent="0.35">
      <c r="A478" t="s">
        <v>773</v>
      </c>
      <c r="B478" s="2">
        <v>45351</v>
      </c>
      <c r="C478" t="str" cm="1">
        <f t="array" ref="C4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Winter</v>
      </c>
      <c r="D478">
        <v>2023</v>
      </c>
      <c r="E478" s="1">
        <v>0.4375</v>
      </c>
      <c r="F4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78" t="str">
        <f>_xlfn.XLOOKUP(AllDataCorrected[[#This Row],[Location Name]], Locations[Location Name],Locations[Group As])</f>
        <v>Swilgate</v>
      </c>
      <c r="H478" t="e" vm="4">
        <f>_xlfn.XLOOKUP(AllDataCorrected[[#This Row],[Site Name]],LocationsKey[Site Name],LocationsKey[District])</f>
        <v>#VALUE!</v>
      </c>
      <c r="I478" t="e" vm="4">
        <f>_xlfn.XLOOKUP(AllDataCorrected[[#This Row],[Site Name]],LocationsKey[Site Name],LocationsKey[Town])</f>
        <v>#VALUE!</v>
      </c>
      <c r="J478" t="str">
        <f>_xlfn.XLOOKUP(AllDataCorrected[[#This Row],[Site Name]],LocationsKey[Site Name], LocationsKey[Waterway])</f>
        <v>Swilgate</v>
      </c>
      <c r="K478" t="s">
        <v>85</v>
      </c>
      <c r="L478">
        <f>_xlfn.XLOOKUP(AllDataCorrected[[#This Row],[Site Name]],Tables!$B$12:$B$100, Tables!C$12:C$100)</f>
        <v>51.988591500000005</v>
      </c>
      <c r="M478">
        <f>_xlfn.XLOOKUP(AllDataCorrected[[#This Row],[Site Name]],Tables!$B$12:$B$100, Tables!D$12:D$100)</f>
        <v>-2.163898333333333</v>
      </c>
      <c r="N478" t="s">
        <v>25</v>
      </c>
      <c r="O478">
        <v>709</v>
      </c>
      <c r="P478">
        <v>10.1</v>
      </c>
      <c r="Q478">
        <v>3</v>
      </c>
      <c r="R478" t="str">
        <f>IF(AllDataCorrected[[#This Row],[Nitrate (PPM)]]&gt;2, "4. Very high (&gt;2ppm)", IF(AllDataCorrected[[#This Row],[Nitrate (PPM)]]&gt;1, "3. High (1-2ppm)", IF(AllDataCorrected[[#This Row],[Nitrate (PPM)]]&gt;0.5, "2. Some evidence (0.5-1ppm)", IF(AllDataCorrected[[#This Row],[Nitrate (PPM)]]&gt;=0, "1. No evidence (&lt;0.5ppm)"))))</f>
        <v>4. Very high (&gt;2ppm)</v>
      </c>
      <c r="S478">
        <v>0.47</v>
      </c>
      <c r="T4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78">
        <v>2</v>
      </c>
    </row>
    <row r="479" spans="1:22" x14ac:dyDescent="0.35">
      <c r="A479" t="s">
        <v>774</v>
      </c>
      <c r="B479" s="2">
        <v>45352</v>
      </c>
      <c r="C479" t="str" cm="1">
        <f t="array" ref="C4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79">
        <f>YEAR(AllDataCorrected[[#This Row],[Date]])</f>
        <v>2024</v>
      </c>
      <c r="E479" s="1">
        <v>0.50277777777777777</v>
      </c>
      <c r="F47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79" t="str">
        <f>_xlfn.XLOOKUP(AllDataCorrected[[#This Row],[Location Name]], Locations[Location Name],Locations[Group As])</f>
        <v>Walcot Lane, Bow Brook Ford</v>
      </c>
      <c r="H479" t="e" vm="6">
        <f>_xlfn.XLOOKUP(AllDataCorrected[[#This Row],[Site Name]],LocationsKey[Site Name],LocationsKey[District])</f>
        <v>#VALUE!</v>
      </c>
      <c r="I479" t="e" vm="7">
        <f>_xlfn.XLOOKUP(AllDataCorrected[[#This Row],[Site Name]],LocationsKey[Site Name],LocationsKey[Town])</f>
        <v>#VALUE!</v>
      </c>
      <c r="J479" t="str">
        <f>_xlfn.XLOOKUP(AllDataCorrected[[#This Row],[Site Name]],LocationsKey[Site Name], LocationsKey[Waterway])</f>
        <v>Bow Brook</v>
      </c>
      <c r="K479" t="s">
        <v>775</v>
      </c>
      <c r="L479">
        <f>_xlfn.XLOOKUP(AllDataCorrected[[#This Row],[Site Name]],Tables!$B$12:$B$100, Tables!C$12:C$100)</f>
        <v>52.12810345454546</v>
      </c>
      <c r="M479">
        <f>_xlfn.XLOOKUP(AllDataCorrected[[#This Row],[Site Name]],Tables!$B$12:$B$100, Tables!D$12:D$100)</f>
        <v>-2.0789593939393938</v>
      </c>
      <c r="N479" t="s">
        <v>3658</v>
      </c>
      <c r="O479">
        <v>693</v>
      </c>
      <c r="P479">
        <v>9.1</v>
      </c>
      <c r="Q479">
        <v>5</v>
      </c>
      <c r="R479" t="str">
        <f>IF(AllDataCorrected[[#This Row],[Nitrate (PPM)]]&gt;2, "4. Very high (&gt;2ppm)", IF(AllDataCorrected[[#This Row],[Nitrate (PPM)]]&gt;1, "3. High (1-2ppm)", IF(AllDataCorrected[[#This Row],[Nitrate (PPM)]]&gt;0.5, "2. Some evidence (0.5-1ppm)", IF(AllDataCorrected[[#This Row],[Nitrate (PPM)]]&gt;=0, "1. No evidence (&lt;0.5ppm)"))))</f>
        <v>4. Very high (&gt;2ppm)</v>
      </c>
      <c r="S479">
        <v>0.7</v>
      </c>
      <c r="T4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79">
        <v>0.9</v>
      </c>
      <c r="V479" t="s">
        <v>776</v>
      </c>
    </row>
    <row r="480" spans="1:22" x14ac:dyDescent="0.35">
      <c r="A480" t="s">
        <v>777</v>
      </c>
      <c r="B480" s="2">
        <v>45352</v>
      </c>
      <c r="C480" t="str" cm="1">
        <f t="array" ref="C4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0">
        <f>YEAR(AllDataCorrected[[#This Row],[Date]])</f>
        <v>2024</v>
      </c>
      <c r="E480" s="1">
        <v>0.52569444444444446</v>
      </c>
      <c r="F4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0" t="str">
        <f>_xlfn.XLOOKUP(AllDataCorrected[[#This Row],[Location Name]], Locations[Location Name],Locations[Group As])</f>
        <v>Preston-on-Stour River Bridge</v>
      </c>
      <c r="H480" t="e" vm="1">
        <f>_xlfn.XLOOKUP(AllDataCorrected[[#This Row],[Site Name]],LocationsKey[Site Name],LocationsKey[District])</f>
        <v>#VALUE!</v>
      </c>
      <c r="I480" t="e" vm="20">
        <f>_xlfn.XLOOKUP(AllDataCorrected[[#This Row],[Site Name]],LocationsKey[Site Name],LocationsKey[Town])</f>
        <v>#VALUE!</v>
      </c>
      <c r="J480" t="str">
        <f>_xlfn.XLOOKUP(AllDataCorrected[[#This Row],[Site Name]],LocationsKey[Site Name], LocationsKey[Waterway])</f>
        <v>Stour</v>
      </c>
      <c r="K480" t="s">
        <v>164</v>
      </c>
      <c r="L480">
        <f>_xlfn.XLOOKUP(AllDataCorrected[[#This Row],[Site Name]],Tables!$B$12:$B$100, Tables!C$12:C$100)</f>
        <v>52.146672352941174</v>
      </c>
      <c r="M480">
        <f>_xlfn.XLOOKUP(AllDataCorrected[[#This Row],[Site Name]],Tables!$B$12:$B$100, Tables!D$12:D$100)</f>
        <v>-1.6984533333333334</v>
      </c>
      <c r="N480" t="s">
        <v>31</v>
      </c>
      <c r="O480">
        <v>623</v>
      </c>
      <c r="P480">
        <v>7.8</v>
      </c>
      <c r="Q480">
        <v>5</v>
      </c>
      <c r="R480" t="str">
        <f>IF(AllDataCorrected[[#This Row],[Nitrate (PPM)]]&gt;2, "4. Very high (&gt;2ppm)", IF(AllDataCorrected[[#This Row],[Nitrate (PPM)]]&gt;1, "3. High (1-2ppm)", IF(AllDataCorrected[[#This Row],[Nitrate (PPM)]]&gt;0.5, "2. Some evidence (0.5-1ppm)", IF(AllDataCorrected[[#This Row],[Nitrate (PPM)]]&gt;=0, "1. No evidence (&lt;0.5ppm)"))))</f>
        <v>4. Very high (&gt;2ppm)</v>
      </c>
      <c r="S480">
        <v>0.32</v>
      </c>
      <c r="T4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0">
        <v>1.5</v>
      </c>
    </row>
    <row r="481" spans="1:22" x14ac:dyDescent="0.35">
      <c r="A481" t="s">
        <v>778</v>
      </c>
      <c r="B481" s="2">
        <v>45352</v>
      </c>
      <c r="C481" t="str" cm="1">
        <f t="array" ref="C4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1">
        <f>YEAR(AllDataCorrected[[#This Row],[Date]])</f>
        <v>2024</v>
      </c>
      <c r="E481" s="1">
        <v>0.65277777777777779</v>
      </c>
      <c r="F4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1" t="str">
        <f>_xlfn.XLOOKUP(AllDataCorrected[[#This Row],[Location Name]], Locations[Location Name],Locations[Group As])</f>
        <v>Preston Bagot Canal</v>
      </c>
      <c r="H481" t="e" vm="1">
        <f>_xlfn.XLOOKUP(AllDataCorrected[[#This Row],[Site Name]],LocationsKey[Site Name],LocationsKey[District])</f>
        <v>#VALUE!</v>
      </c>
      <c r="I481" t="e" vm="21">
        <f>_xlfn.XLOOKUP(AllDataCorrected[[#This Row],[Site Name]],LocationsKey[Site Name],LocationsKey[Town])</f>
        <v>#VALUE!</v>
      </c>
      <c r="J481" t="str">
        <f>_xlfn.XLOOKUP(AllDataCorrected[[#This Row],[Site Name]],LocationsKey[Site Name], LocationsKey[Waterway])</f>
        <v>Preston Bagot Canal</v>
      </c>
      <c r="K481" t="s">
        <v>618</v>
      </c>
      <c r="L481">
        <f>_xlfn.XLOOKUP(AllDataCorrected[[#This Row],[Site Name]],Tables!$B$12:$B$100, Tables!C$12:C$100)</f>
        <v>52.286975789473694</v>
      </c>
      <c r="M481">
        <f>_xlfn.XLOOKUP(AllDataCorrected[[#This Row],[Site Name]],Tables!$B$12:$B$100, Tables!D$12:D$100)</f>
        <v>-1.5622505263157891</v>
      </c>
      <c r="N481" t="s">
        <v>25</v>
      </c>
      <c r="O481">
        <v>295</v>
      </c>
      <c r="P481">
        <v>9.1</v>
      </c>
      <c r="Q481">
        <v>1.5</v>
      </c>
      <c r="R481" t="str">
        <f>IF(AllDataCorrected[[#This Row],[Nitrate (PPM)]]&gt;2, "4. Very high (&gt;2ppm)", IF(AllDataCorrected[[#This Row],[Nitrate (PPM)]]&gt;1, "3. High (1-2ppm)", IF(AllDataCorrected[[#This Row],[Nitrate (PPM)]]&gt;0.5, "2. Some evidence (0.5-1ppm)", IF(AllDataCorrected[[#This Row],[Nitrate (PPM)]]&gt;=0, "1. No evidence (&lt;0.5ppm)"))))</f>
        <v>3. High (1-2ppm)</v>
      </c>
      <c r="S481">
        <v>0.51</v>
      </c>
      <c r="T4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1">
        <v>0</v>
      </c>
      <c r="V481" t="s">
        <v>739</v>
      </c>
    </row>
    <row r="482" spans="1:22" x14ac:dyDescent="0.35">
      <c r="A482" t="s">
        <v>779</v>
      </c>
      <c r="B482" s="2">
        <v>45352</v>
      </c>
      <c r="C482" t="str" cm="1">
        <f t="array" ref="C4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2">
        <f>YEAR(AllDataCorrected[[#This Row],[Date]])</f>
        <v>2024</v>
      </c>
      <c r="E482" s="1">
        <v>0.65972222222222221</v>
      </c>
      <c r="F4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2" t="str">
        <f>_xlfn.XLOOKUP(AllDataCorrected[[#This Row],[Location Name]], Locations[Location Name],Locations[Group As])</f>
        <v>Preston Bagot Brook</v>
      </c>
      <c r="H482" t="e" vm="1">
        <f>_xlfn.XLOOKUP(AllDataCorrected[[#This Row],[Site Name]],LocationsKey[Site Name],LocationsKey[District])</f>
        <v>#VALUE!</v>
      </c>
      <c r="I482" t="e" vm="21">
        <f>_xlfn.XLOOKUP(AllDataCorrected[[#This Row],[Site Name]],LocationsKey[Site Name],LocationsKey[Town])</f>
        <v>#VALUE!</v>
      </c>
      <c r="J482" t="str">
        <f>_xlfn.XLOOKUP(AllDataCorrected[[#This Row],[Site Name]],LocationsKey[Site Name], LocationsKey[Waterway])</f>
        <v>Preston Bagot Brook</v>
      </c>
      <c r="K482" t="s">
        <v>621</v>
      </c>
      <c r="L482">
        <f>_xlfn.XLOOKUP(AllDataCorrected[[#This Row],[Site Name]],Tables!$B$12:$B$100, Tables!C$12:C$100)</f>
        <v>52.286066538461554</v>
      </c>
      <c r="M482">
        <f>_xlfn.XLOOKUP(AllDataCorrected[[#This Row],[Site Name]],Tables!$B$12:$B$100, Tables!D$12:D$100)</f>
        <v>-1.7472480769230765</v>
      </c>
      <c r="N482" t="s">
        <v>25</v>
      </c>
      <c r="O482">
        <v>457</v>
      </c>
      <c r="P482">
        <v>10.1</v>
      </c>
      <c r="Q482">
        <v>2</v>
      </c>
      <c r="R482" t="str">
        <f>IF(AllDataCorrected[[#This Row],[Nitrate (PPM)]]&gt;2, "4. Very high (&gt;2ppm)", IF(AllDataCorrected[[#This Row],[Nitrate (PPM)]]&gt;1, "3. High (1-2ppm)", IF(AllDataCorrected[[#This Row],[Nitrate (PPM)]]&gt;0.5, "2. Some evidence (0.5-1ppm)", IF(AllDataCorrected[[#This Row],[Nitrate (PPM)]]&gt;=0, "1. No evidence (&lt;0.5ppm)"))))</f>
        <v>3. High (1-2ppm)</v>
      </c>
      <c r="S482">
        <v>0.61</v>
      </c>
      <c r="T4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2">
        <v>0</v>
      </c>
      <c r="V482" t="s">
        <v>739</v>
      </c>
    </row>
    <row r="483" spans="1:22" x14ac:dyDescent="0.35">
      <c r="A483" t="s">
        <v>780</v>
      </c>
      <c r="B483" s="2">
        <v>45353</v>
      </c>
      <c r="C483" t="str" cm="1">
        <f t="array" ref="C4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3">
        <f>YEAR(AllDataCorrected[[#This Row],[Date]])</f>
        <v>2024</v>
      </c>
      <c r="E483" s="1">
        <v>0.44097222222222221</v>
      </c>
      <c r="F4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3" t="str">
        <f>_xlfn.XLOOKUP(AllDataCorrected[[#This Row],[Location Name]], Locations[Location Name],Locations[Group As])</f>
        <v>Lucy's Mill Bridge</v>
      </c>
      <c r="H483" t="e" vm="1">
        <f>_xlfn.XLOOKUP(AllDataCorrected[[#This Row],[Site Name]],LocationsKey[Site Name],LocationsKey[District])</f>
        <v>#VALUE!</v>
      </c>
      <c r="I483" t="e" vm="12">
        <f>_xlfn.XLOOKUP(AllDataCorrected[[#This Row],[Site Name]],LocationsKey[Site Name],LocationsKey[Town])</f>
        <v>#VALUE!</v>
      </c>
      <c r="J483" t="str">
        <f>_xlfn.XLOOKUP(AllDataCorrected[[#This Row],[Site Name]],LocationsKey[Site Name], LocationsKey[Waterway])</f>
        <v>Avon</v>
      </c>
      <c r="K483" t="s">
        <v>212</v>
      </c>
      <c r="L483">
        <f>_xlfn.XLOOKUP(AllDataCorrected[[#This Row],[Site Name]],Tables!$B$12:$B$100, Tables!C$12:C$100)</f>
        <v>52.183699000000011</v>
      </c>
      <c r="M483">
        <f>_xlfn.XLOOKUP(AllDataCorrected[[#This Row],[Site Name]],Tables!$B$12:$B$100, Tables!D$12:D$100)</f>
        <v>-1.7078160000000004</v>
      </c>
      <c r="N483" t="s">
        <v>31</v>
      </c>
      <c r="P483">
        <v>8</v>
      </c>
      <c r="Q483">
        <v>5</v>
      </c>
      <c r="R483" t="str">
        <f>IF(AllDataCorrected[[#This Row],[Nitrate (PPM)]]&gt;2, "4. Very high (&gt;2ppm)", IF(AllDataCorrected[[#This Row],[Nitrate (PPM)]]&gt;1, "3. High (1-2ppm)", IF(AllDataCorrected[[#This Row],[Nitrate (PPM)]]&gt;0.5, "2. Some evidence (0.5-1ppm)", IF(AllDataCorrected[[#This Row],[Nitrate (PPM)]]&gt;=0, "1. No evidence (&lt;0.5ppm)"))))</f>
        <v>4. Very high (&gt;2ppm)</v>
      </c>
      <c r="S483">
        <v>0.06</v>
      </c>
      <c r="T48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83">
        <v>0.7</v>
      </c>
    </row>
    <row r="484" spans="1:22" x14ac:dyDescent="0.35">
      <c r="A484" t="s">
        <v>781</v>
      </c>
      <c r="B484" s="2">
        <v>45353</v>
      </c>
      <c r="C484" t="str" cm="1">
        <f t="array" ref="C4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4">
        <f>YEAR(AllDataCorrected[[#This Row],[Date]])</f>
        <v>2024</v>
      </c>
      <c r="E484" s="1">
        <v>0.53888888888888886</v>
      </c>
      <c r="F4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4" t="str">
        <f>_xlfn.XLOOKUP(AllDataCorrected[[#This Row],[Location Name]], Locations[Location Name],Locations[Group As])</f>
        <v>Stour Willington</v>
      </c>
      <c r="H484" t="e" vm="1">
        <f>_xlfn.XLOOKUP(AllDataCorrected[[#This Row],[Site Name]],LocationsKey[Site Name],LocationsKey[District])</f>
        <v>#VALUE!</v>
      </c>
      <c r="I484" t="str">
        <f>_xlfn.XLOOKUP(AllDataCorrected[[#This Row],[Site Name]],LocationsKey[Site Name],LocationsKey[Town])</f>
        <v>Willington</v>
      </c>
      <c r="J484" t="str">
        <f>_xlfn.XLOOKUP(AllDataCorrected[[#This Row],[Site Name]],LocationsKey[Site Name], LocationsKey[Waterway])</f>
        <v>Stour</v>
      </c>
      <c r="K484" t="s">
        <v>521</v>
      </c>
      <c r="L484">
        <f>_xlfn.XLOOKUP(AllDataCorrected[[#This Row],[Site Name]],Tables!$B$12:$B$100, Tables!C$12:C$100)</f>
        <v>52.053227523809518</v>
      </c>
      <c r="M484">
        <f>_xlfn.XLOOKUP(AllDataCorrected[[#This Row],[Site Name]],Tables!$B$12:$B$100, Tables!D$12:D$100)</f>
        <v>-1.6194739523809523</v>
      </c>
      <c r="N484" t="s">
        <v>25</v>
      </c>
      <c r="O484">
        <v>383</v>
      </c>
      <c r="P484">
        <v>8.6999999999999993</v>
      </c>
      <c r="Q484">
        <v>2</v>
      </c>
      <c r="R484" t="str">
        <f>IF(AllDataCorrected[[#This Row],[Nitrate (PPM)]]&gt;2, "4. Very high (&gt;2ppm)", IF(AllDataCorrected[[#This Row],[Nitrate (PPM)]]&gt;1, "3. High (1-2ppm)", IF(AllDataCorrected[[#This Row],[Nitrate (PPM)]]&gt;0.5, "2. Some evidence (0.5-1ppm)", IF(AllDataCorrected[[#This Row],[Nitrate (PPM)]]&gt;=0, "1. No evidence (&lt;0.5ppm)"))))</f>
        <v>3. High (1-2ppm)</v>
      </c>
      <c r="S484">
        <v>0.22</v>
      </c>
      <c r="T4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4">
        <v>1.5</v>
      </c>
      <c r="V484" t="s">
        <v>782</v>
      </c>
    </row>
    <row r="485" spans="1:22" x14ac:dyDescent="0.35">
      <c r="A485" t="s">
        <v>783</v>
      </c>
      <c r="B485" s="2">
        <v>45353</v>
      </c>
      <c r="C485" t="str" cm="1">
        <f t="array" ref="C4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5">
        <f>YEAR(AllDataCorrected[[#This Row],[Date]])</f>
        <v>2024</v>
      </c>
      <c r="E485" s="1">
        <v>0.69930555555555551</v>
      </c>
      <c r="F4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5" t="str">
        <f>_xlfn.XLOOKUP(AllDataCorrected[[#This Row],[Location Name]], Locations[Location Name],Locations[Group As])</f>
        <v>Avon Smiths Meadow Wyre Piddle</v>
      </c>
      <c r="H485" t="e" vm="6">
        <f>_xlfn.XLOOKUP(AllDataCorrected[[#This Row],[Site Name]],LocationsKey[Site Name],LocationsKey[District])</f>
        <v>#VALUE!</v>
      </c>
      <c r="I485" t="e" vm="13">
        <f>_xlfn.XLOOKUP(AllDataCorrected[[#This Row],[Site Name]],LocationsKey[Site Name],LocationsKey[Town])</f>
        <v>#VALUE!</v>
      </c>
      <c r="J485" t="str">
        <f>_xlfn.XLOOKUP(AllDataCorrected[[#This Row],[Site Name]],LocationsKey[Site Name], LocationsKey[Waterway])</f>
        <v>Avon</v>
      </c>
      <c r="K485" t="s">
        <v>784</v>
      </c>
      <c r="L485">
        <f>_xlfn.XLOOKUP(AllDataCorrected[[#This Row],[Site Name]],Tables!$B$12:$B$100, Tables!C$12:C$100)</f>
        <v>52.123126101694929</v>
      </c>
      <c r="M485">
        <f>_xlfn.XLOOKUP(AllDataCorrected[[#This Row],[Site Name]],Tables!$B$12:$B$100, Tables!D$12:D$100)</f>
        <v>-2.0572511355932215</v>
      </c>
      <c r="N485" t="s">
        <v>25</v>
      </c>
      <c r="O485">
        <v>704</v>
      </c>
      <c r="P485">
        <v>7.4</v>
      </c>
      <c r="Q485">
        <v>5</v>
      </c>
      <c r="R485" t="str">
        <f>IF(AllDataCorrected[[#This Row],[Nitrate (PPM)]]&gt;2, "4. Very high (&gt;2ppm)", IF(AllDataCorrected[[#This Row],[Nitrate (PPM)]]&gt;1, "3. High (1-2ppm)", IF(AllDataCorrected[[#This Row],[Nitrate (PPM)]]&gt;0.5, "2. Some evidence (0.5-1ppm)", IF(AllDataCorrected[[#This Row],[Nitrate (PPM)]]&gt;=0, "1. No evidence (&lt;0.5ppm)"))))</f>
        <v>4. Very high (&gt;2ppm)</v>
      </c>
      <c r="S485">
        <v>0.44</v>
      </c>
      <c r="T4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5">
        <v>2</v>
      </c>
      <c r="V485" t="s">
        <v>785</v>
      </c>
    </row>
    <row r="486" spans="1:22" x14ac:dyDescent="0.35">
      <c r="A486" t="s">
        <v>786</v>
      </c>
      <c r="B486" s="2">
        <v>45353</v>
      </c>
      <c r="C486" t="str" cm="1">
        <f t="array" ref="C4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6">
        <f>YEAR(AllDataCorrected[[#This Row],[Date]])</f>
        <v>2024</v>
      </c>
      <c r="E486" s="1">
        <v>0.73888888888888893</v>
      </c>
      <c r="F4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86" t="str">
        <f>_xlfn.XLOOKUP(AllDataCorrected[[#This Row],[Location Name]], Locations[Location Name],Locations[Group As])</f>
        <v>Piddle Brook Wyre Piddle Bridge</v>
      </c>
      <c r="H486" t="e" vm="6">
        <f>_xlfn.XLOOKUP(AllDataCorrected[[#This Row],[Site Name]],LocationsKey[Site Name],LocationsKey[District])</f>
        <v>#VALUE!</v>
      </c>
      <c r="I486" t="e" vm="13">
        <f>_xlfn.XLOOKUP(AllDataCorrected[[#This Row],[Site Name]],LocationsKey[Site Name],LocationsKey[Town])</f>
        <v>#VALUE!</v>
      </c>
      <c r="J486" t="str">
        <f>_xlfn.XLOOKUP(AllDataCorrected[[#This Row],[Site Name]],LocationsKey[Site Name], LocationsKey[Waterway])</f>
        <v>Piddle Brook</v>
      </c>
      <c r="K486" t="s">
        <v>787</v>
      </c>
      <c r="L486">
        <f>_xlfn.XLOOKUP(AllDataCorrected[[#This Row],[Site Name]],Tables!$B$12:$B$100, Tables!C$12:C$100)</f>
        <v>52.126394500000039</v>
      </c>
      <c r="M486">
        <f>_xlfn.XLOOKUP(AllDataCorrected[[#This Row],[Site Name]],Tables!$B$12:$B$100, Tables!D$12:D$100)</f>
        <v>-2.0564211206896545</v>
      </c>
      <c r="N486" t="s">
        <v>25</v>
      </c>
      <c r="O486">
        <v>572</v>
      </c>
      <c r="P486">
        <v>5.9</v>
      </c>
      <c r="Q486">
        <v>2</v>
      </c>
      <c r="R486" t="str">
        <f>IF(AllDataCorrected[[#This Row],[Nitrate (PPM)]]&gt;2, "4. Very high (&gt;2ppm)", IF(AllDataCorrected[[#This Row],[Nitrate (PPM)]]&gt;1, "3. High (1-2ppm)", IF(AllDataCorrected[[#This Row],[Nitrate (PPM)]]&gt;0.5, "2. Some evidence (0.5-1ppm)", IF(AllDataCorrected[[#This Row],[Nitrate (PPM)]]&gt;=0, "1. No evidence (&lt;0.5ppm)"))))</f>
        <v>3. High (1-2ppm)</v>
      </c>
      <c r="S486">
        <v>1.36</v>
      </c>
      <c r="T4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6">
        <v>0.95</v>
      </c>
      <c r="V486" t="s">
        <v>788</v>
      </c>
    </row>
    <row r="487" spans="1:22" x14ac:dyDescent="0.35">
      <c r="A487" t="s">
        <v>789</v>
      </c>
      <c r="B487" s="2">
        <v>45354</v>
      </c>
      <c r="C487" t="str" cm="1">
        <f t="array" ref="C4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7">
        <f>YEAR(AllDataCorrected[[#This Row],[Date]])</f>
        <v>2024</v>
      </c>
      <c r="E487" s="1">
        <v>0.46180555555555558</v>
      </c>
      <c r="F4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7" t="str">
        <f>_xlfn.XLOOKUP(AllDataCorrected[[#This Row],[Location Name]], Locations[Location Name],Locations[Group As])</f>
        <v>The Ford, Langley</v>
      </c>
      <c r="H487" t="e" vm="1">
        <f>_xlfn.XLOOKUP(AllDataCorrected[[#This Row],[Site Name]],LocationsKey[Site Name],LocationsKey[District])</f>
        <v>#VALUE!</v>
      </c>
      <c r="I487" t="str">
        <f>_xlfn.XLOOKUP(AllDataCorrected[[#This Row],[Site Name]],LocationsKey[Site Name],LocationsKey[Town])</f>
        <v>Langley</v>
      </c>
      <c r="J487" t="str">
        <f>_xlfn.XLOOKUP(AllDataCorrected[[#This Row],[Site Name]],LocationsKey[Site Name], LocationsKey[Waterway])</f>
        <v>Langley Ford</v>
      </c>
      <c r="K487" t="s">
        <v>561</v>
      </c>
      <c r="L487">
        <f>_xlfn.XLOOKUP(AllDataCorrected[[#This Row],[Site Name]],Tables!$B$12:$B$100, Tables!C$12:C$100)</f>
        <v>52.262666528301864</v>
      </c>
      <c r="M487">
        <f>_xlfn.XLOOKUP(AllDataCorrected[[#This Row],[Site Name]],Tables!$B$12:$B$100, Tables!D$12:D$100)</f>
        <v>-1.6545845283018858</v>
      </c>
      <c r="N487" t="s">
        <v>31</v>
      </c>
      <c r="O487">
        <v>445</v>
      </c>
      <c r="P487">
        <v>8.1</v>
      </c>
      <c r="Q487">
        <v>4</v>
      </c>
      <c r="R487" t="str">
        <f>IF(AllDataCorrected[[#This Row],[Nitrate (PPM)]]&gt;2, "4. Very high (&gt;2ppm)", IF(AllDataCorrected[[#This Row],[Nitrate (PPM)]]&gt;1, "3. High (1-2ppm)", IF(AllDataCorrected[[#This Row],[Nitrate (PPM)]]&gt;0.5, "2. Some evidence (0.5-1ppm)", IF(AllDataCorrected[[#This Row],[Nitrate (PPM)]]&gt;=0, "1. No evidence (&lt;0.5ppm)"))))</f>
        <v>4. Very high (&gt;2ppm)</v>
      </c>
      <c r="S487">
        <v>0.55000000000000004</v>
      </c>
      <c r="T4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87">
        <v>0.46</v>
      </c>
    </row>
    <row r="488" spans="1:22" x14ac:dyDescent="0.35">
      <c r="A488" t="s">
        <v>790</v>
      </c>
      <c r="B488" s="2">
        <v>45354</v>
      </c>
      <c r="C488" t="str" cm="1">
        <f t="array" ref="C4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8">
        <f>YEAR(AllDataCorrected[[#This Row],[Date]])</f>
        <v>2024</v>
      </c>
      <c r="E488" s="1">
        <v>0.47916666666666669</v>
      </c>
      <c r="F4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8" t="str">
        <f>_xlfn.XLOOKUP(AllDataCorrected[[#This Row],[Location Name]], Locations[Location Name],Locations[Group As])</f>
        <v>Carrant Bredon Rd</v>
      </c>
      <c r="H488" t="e" vm="4">
        <f>_xlfn.XLOOKUP(AllDataCorrected[[#This Row],[Site Name]],LocationsKey[Site Name],LocationsKey[District])</f>
        <v>#VALUE!</v>
      </c>
      <c r="I488" t="e" vm="4">
        <f>_xlfn.XLOOKUP(AllDataCorrected[[#This Row],[Site Name]],LocationsKey[Site Name],LocationsKey[Town])</f>
        <v>#VALUE!</v>
      </c>
      <c r="J488" t="str">
        <f>_xlfn.XLOOKUP(AllDataCorrected[[#This Row],[Site Name]],LocationsKey[Site Name], LocationsKey[Waterway])</f>
        <v>Carrant</v>
      </c>
      <c r="K488" t="s">
        <v>603</v>
      </c>
      <c r="L488">
        <f>_xlfn.XLOOKUP(AllDataCorrected[[#This Row],[Site Name]],Tables!$B$12:$B$100, Tables!C$12:C$100)</f>
        <v>51.996322536231894</v>
      </c>
      <c r="M488">
        <f>_xlfn.XLOOKUP(AllDataCorrected[[#This Row],[Site Name]],Tables!$B$12:$B$100, Tables!D$12:D$100)</f>
        <v>-2.1558410144927538</v>
      </c>
      <c r="N488" t="s">
        <v>25</v>
      </c>
      <c r="O488">
        <v>629</v>
      </c>
      <c r="P488">
        <v>7.8</v>
      </c>
      <c r="Q488">
        <v>4</v>
      </c>
      <c r="R488" t="str">
        <f>IF(AllDataCorrected[[#This Row],[Nitrate (PPM)]]&gt;2, "4. Very high (&gt;2ppm)", IF(AllDataCorrected[[#This Row],[Nitrate (PPM)]]&gt;1, "3. High (1-2ppm)", IF(AllDataCorrected[[#This Row],[Nitrate (PPM)]]&gt;0.5, "2. Some evidence (0.5-1ppm)", IF(AllDataCorrected[[#This Row],[Nitrate (PPM)]]&gt;=0, "1. No evidence (&lt;0.5ppm)"))))</f>
        <v>4. Very high (&gt;2ppm)</v>
      </c>
      <c r="S488">
        <v>0.31</v>
      </c>
      <c r="T4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8">
        <v>1.07</v>
      </c>
      <c r="V488" t="s">
        <v>791</v>
      </c>
    </row>
    <row r="489" spans="1:22" x14ac:dyDescent="0.35">
      <c r="A489" t="s">
        <v>792</v>
      </c>
      <c r="B489" s="2">
        <v>45354</v>
      </c>
      <c r="C489" t="str" cm="1">
        <f t="array" ref="C4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89">
        <f>YEAR(AllDataCorrected[[#This Row],[Date]])</f>
        <v>2024</v>
      </c>
      <c r="E489" s="1">
        <v>0.49305555555555558</v>
      </c>
      <c r="F4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89" t="str">
        <f>_xlfn.XLOOKUP(AllDataCorrected[[#This Row],[Location Name]], Locations[Location Name],Locations[Group As])</f>
        <v>Avonbank Drive</v>
      </c>
      <c r="H489" t="e" vm="1">
        <f>_xlfn.XLOOKUP(AllDataCorrected[[#This Row],[Site Name]],LocationsKey[Site Name],LocationsKey[District])</f>
        <v>#VALUE!</v>
      </c>
      <c r="I489" t="e" vm="12">
        <f>_xlfn.XLOOKUP(AllDataCorrected[[#This Row],[Site Name]],LocationsKey[Site Name],LocationsKey[Town])</f>
        <v>#VALUE!</v>
      </c>
      <c r="J489" t="str">
        <f>_xlfn.XLOOKUP(AllDataCorrected[[#This Row],[Site Name]],LocationsKey[Site Name], LocationsKey[Waterway])</f>
        <v>Avon</v>
      </c>
      <c r="K489" t="s">
        <v>104</v>
      </c>
      <c r="L489">
        <f>_xlfn.XLOOKUP(AllDataCorrected[[#This Row],[Site Name]],Tables!$B$12:$B$100, Tables!C$12:C$100)</f>
        <v>51.566927775862098</v>
      </c>
      <c r="M489">
        <f>_xlfn.XLOOKUP(AllDataCorrected[[#This Row],[Site Name]],Tables!$B$12:$B$100, Tables!D$12:D$100)</f>
        <v>-7.2113336724137929</v>
      </c>
      <c r="N489" t="s">
        <v>68</v>
      </c>
      <c r="O489">
        <v>675</v>
      </c>
      <c r="P489">
        <v>15.7</v>
      </c>
      <c r="Q489">
        <v>5</v>
      </c>
      <c r="R489" t="str">
        <f>IF(AllDataCorrected[[#This Row],[Nitrate (PPM)]]&gt;2, "4. Very high (&gt;2ppm)", IF(AllDataCorrected[[#This Row],[Nitrate (PPM)]]&gt;1, "3. High (1-2ppm)", IF(AllDataCorrected[[#This Row],[Nitrate (PPM)]]&gt;0.5, "2. Some evidence (0.5-1ppm)", IF(AllDataCorrected[[#This Row],[Nitrate (PPM)]]&gt;=0, "1. No evidence (&lt;0.5ppm)"))))</f>
        <v>4. Very high (&gt;2ppm)</v>
      </c>
      <c r="S489">
        <v>0.48</v>
      </c>
      <c r="T4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89">
        <v>0.8</v>
      </c>
    </row>
    <row r="490" spans="1:22" x14ac:dyDescent="0.35">
      <c r="A490" t="s">
        <v>793</v>
      </c>
      <c r="B490" s="2">
        <v>45354</v>
      </c>
      <c r="C490" t="str" cm="1">
        <f t="array" ref="C4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0">
        <f>YEAR(AllDataCorrected[[#This Row],[Date]])</f>
        <v>2024</v>
      </c>
      <c r="E490" s="1">
        <v>0.49305555555555558</v>
      </c>
      <c r="F4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490" t="str">
        <f>_xlfn.XLOOKUP(AllDataCorrected[[#This Row],[Location Name]], Locations[Location Name],Locations[Group As])</f>
        <v>Pitch 16</v>
      </c>
      <c r="H490" t="e" vm="1">
        <f>_xlfn.XLOOKUP(AllDataCorrected[[#This Row],[Site Name]],LocationsKey[Site Name],LocationsKey[District])</f>
        <v>#VALUE!</v>
      </c>
      <c r="I490" t="e" vm="12">
        <f>_xlfn.XLOOKUP(AllDataCorrected[[#This Row],[Site Name]],LocationsKey[Site Name],LocationsKey[Town])</f>
        <v>#VALUE!</v>
      </c>
      <c r="J490" t="str">
        <f>_xlfn.XLOOKUP(AllDataCorrected[[#This Row],[Site Name]],LocationsKey[Site Name], LocationsKey[Waterway])</f>
        <v>Avon</v>
      </c>
      <c r="K490" t="s">
        <v>71</v>
      </c>
      <c r="L490">
        <f>_xlfn.XLOOKUP(AllDataCorrected[[#This Row],[Site Name]],Tables!$B$12:$B$100, Tables!C$12:C$100)</f>
        <v>51.289310076923087</v>
      </c>
      <c r="M490">
        <f>_xlfn.XLOOKUP(AllDataCorrected[[#This Row],[Site Name]],Tables!$B$12:$B$100, Tables!D$12:D$100)</f>
        <v>-0.10399761538461544</v>
      </c>
      <c r="N490" t="s">
        <v>31</v>
      </c>
      <c r="O490">
        <v>635</v>
      </c>
      <c r="P490">
        <v>15.8</v>
      </c>
      <c r="Q490">
        <v>5</v>
      </c>
      <c r="R490" t="str">
        <f>IF(AllDataCorrected[[#This Row],[Nitrate (PPM)]]&gt;2, "4. Very high (&gt;2ppm)", IF(AllDataCorrected[[#This Row],[Nitrate (PPM)]]&gt;1, "3. High (1-2ppm)", IF(AllDataCorrected[[#This Row],[Nitrate (PPM)]]&gt;0.5, "2. Some evidence (0.5-1ppm)", IF(AllDataCorrected[[#This Row],[Nitrate (PPM)]]&gt;=0, "1. No evidence (&lt;0.5ppm)"))))</f>
        <v>4. Very high (&gt;2ppm)</v>
      </c>
      <c r="S490">
        <v>0.35</v>
      </c>
      <c r="T4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0">
        <v>0.8</v>
      </c>
    </row>
    <row r="491" spans="1:22" x14ac:dyDescent="0.35">
      <c r="A491" t="s">
        <v>794</v>
      </c>
      <c r="B491" s="2">
        <v>45354</v>
      </c>
      <c r="C491" t="str" cm="1">
        <f t="array" ref="C4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1">
        <f>YEAR(AllDataCorrected[[#This Row],[Date]])</f>
        <v>2024</v>
      </c>
      <c r="E491" s="1">
        <v>0.58958333333333335</v>
      </c>
      <c r="F4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1" t="str">
        <f>_xlfn.XLOOKUP(AllDataCorrected[[#This Row],[Location Name]], Locations[Location Name],Locations[Group As])</f>
        <v>Black Bear</v>
      </c>
      <c r="H491" t="e" vm="4">
        <f>_xlfn.XLOOKUP(AllDataCorrected[[#This Row],[Site Name]],LocationsKey[Site Name],LocationsKey[District])</f>
        <v>#VALUE!</v>
      </c>
      <c r="I491" t="e" vm="4">
        <f>_xlfn.XLOOKUP(AllDataCorrected[[#This Row],[Site Name]],LocationsKey[Site Name],LocationsKey[Town])</f>
        <v>#VALUE!</v>
      </c>
      <c r="J491" t="str">
        <f>_xlfn.XLOOKUP(AllDataCorrected[[#This Row],[Site Name]],LocationsKey[Site Name], LocationsKey[Waterway])</f>
        <v>Avon</v>
      </c>
      <c r="K491" t="s">
        <v>572</v>
      </c>
      <c r="L491">
        <f>_xlfn.XLOOKUP(AllDataCorrected[[#This Row],[Site Name]],Tables!$B$12:$B$100, Tables!C$12:C$100)</f>
        <v>51.997466254237274</v>
      </c>
      <c r="M491">
        <f>_xlfn.XLOOKUP(AllDataCorrected[[#This Row],[Site Name]],Tables!$B$12:$B$100, Tables!D$12:D$100)</f>
        <v>-2.1561788644067801</v>
      </c>
      <c r="N491" t="s">
        <v>25</v>
      </c>
      <c r="O491">
        <v>642</v>
      </c>
      <c r="P491">
        <v>9.4</v>
      </c>
      <c r="Q491">
        <v>5</v>
      </c>
      <c r="R491" t="str">
        <f>IF(AllDataCorrected[[#This Row],[Nitrate (PPM)]]&gt;2, "4. Very high (&gt;2ppm)", IF(AllDataCorrected[[#This Row],[Nitrate (PPM)]]&gt;1, "3. High (1-2ppm)", IF(AllDataCorrected[[#This Row],[Nitrate (PPM)]]&gt;0.5, "2. Some evidence (0.5-1ppm)", IF(AllDataCorrected[[#This Row],[Nitrate (PPM)]]&gt;=0, "1. No evidence (&lt;0.5ppm)"))))</f>
        <v>4. Very high (&gt;2ppm)</v>
      </c>
      <c r="S491">
        <v>0.59</v>
      </c>
      <c r="T4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1">
        <v>1.5</v>
      </c>
    </row>
    <row r="492" spans="1:22" x14ac:dyDescent="0.35">
      <c r="A492" t="s">
        <v>795</v>
      </c>
      <c r="B492" s="2">
        <v>45354</v>
      </c>
      <c r="C492" t="str" cm="1">
        <f t="array" ref="C4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2">
        <f>YEAR(AllDataCorrected[[#This Row],[Date]])</f>
        <v>2024</v>
      </c>
      <c r="E492" s="1">
        <v>0.60416666666666663</v>
      </c>
      <c r="F4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2" t="str">
        <f>_xlfn.XLOOKUP(AllDataCorrected[[#This Row],[Location Name]], Locations[Location Name],Locations[Group As])</f>
        <v>Clifford Chambers Mill Bridge</v>
      </c>
      <c r="H492" t="e" vm="1">
        <f>_xlfn.XLOOKUP(AllDataCorrected[[#This Row],[Site Name]],LocationsKey[Site Name],LocationsKey[District])</f>
        <v>#VALUE!</v>
      </c>
      <c r="I492" t="e" vm="22">
        <f>_xlfn.XLOOKUP(AllDataCorrected[[#This Row],[Site Name]],LocationsKey[Site Name],LocationsKey[Town])</f>
        <v>#VALUE!</v>
      </c>
      <c r="J492" t="str">
        <f>_xlfn.XLOOKUP(AllDataCorrected[[#This Row],[Site Name]],LocationsKey[Site Name], LocationsKey[Waterway])</f>
        <v>Stour</v>
      </c>
      <c r="K492" t="s">
        <v>266</v>
      </c>
      <c r="L492">
        <f>_xlfn.XLOOKUP(AllDataCorrected[[#This Row],[Site Name]],Tables!$B$12:$B$100, Tables!C$12:C$100)</f>
        <v>52.166363596153808</v>
      </c>
      <c r="M492">
        <f>_xlfn.XLOOKUP(AllDataCorrected[[#This Row],[Site Name]],Tables!$B$12:$B$100, Tables!D$12:D$100)</f>
        <v>-1.7080375384615398</v>
      </c>
      <c r="N492" t="s">
        <v>68</v>
      </c>
      <c r="O492">
        <v>460</v>
      </c>
      <c r="P492">
        <v>12.8</v>
      </c>
      <c r="Q492">
        <v>3</v>
      </c>
      <c r="R492" t="str">
        <f>IF(AllDataCorrected[[#This Row],[Nitrate (PPM)]]&gt;2, "4. Very high (&gt;2ppm)", IF(AllDataCorrected[[#This Row],[Nitrate (PPM)]]&gt;1, "3. High (1-2ppm)", IF(AllDataCorrected[[#This Row],[Nitrate (PPM)]]&gt;0.5, "2. Some evidence (0.5-1ppm)", IF(AllDataCorrected[[#This Row],[Nitrate (PPM)]]&gt;=0, "1. No evidence (&lt;0.5ppm)"))))</f>
        <v>4. Very high (&gt;2ppm)</v>
      </c>
      <c r="S492">
        <v>0.27</v>
      </c>
      <c r="T4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2">
        <v>1.4</v>
      </c>
      <c r="V492" t="s">
        <v>796</v>
      </c>
    </row>
    <row r="493" spans="1:22" x14ac:dyDescent="0.35">
      <c r="A493" t="s">
        <v>797</v>
      </c>
      <c r="B493" s="2">
        <v>45354</v>
      </c>
      <c r="C493" t="str" cm="1">
        <f t="array" ref="C4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3">
        <f>YEAR(AllDataCorrected[[#This Row],[Date]])</f>
        <v>2024</v>
      </c>
      <c r="E493" s="1">
        <v>0.625</v>
      </c>
      <c r="F4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3" t="str">
        <f>_xlfn.XLOOKUP(AllDataCorrected[[#This Row],[Location Name]], Locations[Location Name],Locations[Group As])</f>
        <v>Sherbourne Brook 1</v>
      </c>
      <c r="H493" t="e" vm="1">
        <f>_xlfn.XLOOKUP(AllDataCorrected[[#This Row],[Site Name]],LocationsKey[Site Name],LocationsKey[District])</f>
        <v>#VALUE!</v>
      </c>
      <c r="I493" t="e" vm="23">
        <f>_xlfn.XLOOKUP(AllDataCorrected[[#This Row],[Site Name]],LocationsKey[Site Name],LocationsKey[Town])</f>
        <v>#VALUE!</v>
      </c>
      <c r="J493" t="str">
        <f>_xlfn.XLOOKUP(AllDataCorrected[[#This Row],[Site Name]],LocationsKey[Site Name], LocationsKey[Waterway])</f>
        <v>Sherbourne Brook</v>
      </c>
      <c r="K493" t="s">
        <v>541</v>
      </c>
      <c r="L493">
        <f>_xlfn.XLOOKUP(AllDataCorrected[[#This Row],[Site Name]],Tables!$B$12:$B$100, Tables!C$12:C$100)</f>
        <v>52.252500000000033</v>
      </c>
      <c r="M493">
        <f>_xlfn.XLOOKUP(AllDataCorrected[[#This Row],[Site Name]],Tables!$B$12:$B$100, Tables!D$12:D$100)</f>
        <v>-1.6685000000000012</v>
      </c>
      <c r="N493" t="s">
        <v>25</v>
      </c>
      <c r="O493">
        <v>759</v>
      </c>
      <c r="P493">
        <v>8.6999999999999993</v>
      </c>
      <c r="Q493">
        <v>5</v>
      </c>
      <c r="R493" t="str">
        <f>IF(AllDataCorrected[[#This Row],[Nitrate (PPM)]]&gt;2, "4. Very high (&gt;2ppm)", IF(AllDataCorrected[[#This Row],[Nitrate (PPM)]]&gt;1, "3. High (1-2ppm)", IF(AllDataCorrected[[#This Row],[Nitrate (PPM)]]&gt;0.5, "2. Some evidence (0.5-1ppm)", IF(AllDataCorrected[[#This Row],[Nitrate (PPM)]]&gt;=0, "1. No evidence (&lt;0.5ppm)"))))</f>
        <v>4. Very high (&gt;2ppm)</v>
      </c>
      <c r="S493">
        <v>0.57999999999999996</v>
      </c>
      <c r="T4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3">
        <v>0.5</v>
      </c>
      <c r="V493" t="s">
        <v>798</v>
      </c>
    </row>
    <row r="494" spans="1:22" x14ac:dyDescent="0.35">
      <c r="A494" t="s">
        <v>799</v>
      </c>
      <c r="B494" s="2">
        <v>45354</v>
      </c>
      <c r="C494" t="str" cm="1">
        <f t="array" ref="C4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4">
        <f>YEAR(AllDataCorrected[[#This Row],[Date]])</f>
        <v>2024</v>
      </c>
      <c r="E494" s="1">
        <v>0.63541666666666663</v>
      </c>
      <c r="F4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494" t="str">
        <f>_xlfn.XLOOKUP(AllDataCorrected[[#This Row],[Location Name]], Locations[Location Name],Locations[Group As])</f>
        <v>Bell Brook 1</v>
      </c>
      <c r="H494" t="e" vm="1">
        <f>_xlfn.XLOOKUP(AllDataCorrected[[#This Row],[Site Name]],LocationsKey[Site Name],LocationsKey[District])</f>
        <v>#VALUE!</v>
      </c>
      <c r="I494" t="e" vm="19">
        <f>_xlfn.XLOOKUP(AllDataCorrected[[#This Row],[Site Name]],LocationsKey[Site Name],LocationsKey[Town])</f>
        <v>#VALUE!</v>
      </c>
      <c r="J494" t="str">
        <f>_xlfn.XLOOKUP(AllDataCorrected[[#This Row],[Site Name]],LocationsKey[Site Name], LocationsKey[Waterway])</f>
        <v>Bell Brook</v>
      </c>
      <c r="K494" t="s">
        <v>538</v>
      </c>
      <c r="L494">
        <f>_xlfn.XLOOKUP(AllDataCorrected[[#This Row],[Site Name]],Tables!$B$12:$B$100, Tables!C$12:C$100)</f>
        <v>52.24489999999998</v>
      </c>
      <c r="M494">
        <f>_xlfn.XLOOKUP(AllDataCorrected[[#This Row],[Site Name]],Tables!$B$12:$B$100, Tables!D$12:D$100)</f>
        <v>-1.6617000000000013</v>
      </c>
      <c r="N494" t="s">
        <v>25</v>
      </c>
      <c r="O494">
        <v>490</v>
      </c>
      <c r="P494">
        <v>8.8000000000000007</v>
      </c>
      <c r="Q494">
        <v>5</v>
      </c>
      <c r="R494" t="str">
        <f>IF(AllDataCorrected[[#This Row],[Nitrate (PPM)]]&gt;2, "4. Very high (&gt;2ppm)", IF(AllDataCorrected[[#This Row],[Nitrate (PPM)]]&gt;1, "3. High (1-2ppm)", IF(AllDataCorrected[[#This Row],[Nitrate (PPM)]]&gt;0.5, "2. Some evidence (0.5-1ppm)", IF(AllDataCorrected[[#This Row],[Nitrate (PPM)]]&gt;=0, "1. No evidence (&lt;0.5ppm)"))))</f>
        <v>4. Very high (&gt;2ppm)</v>
      </c>
      <c r="S494">
        <v>0.44</v>
      </c>
      <c r="T4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4">
        <v>0.5</v>
      </c>
      <c r="V494" t="s">
        <v>798</v>
      </c>
    </row>
    <row r="495" spans="1:22" x14ac:dyDescent="0.35">
      <c r="A495" t="s">
        <v>800</v>
      </c>
      <c r="B495" s="2">
        <v>45354</v>
      </c>
      <c r="C495" t="str" cm="1">
        <f t="array" ref="C4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5">
        <f>YEAR(AllDataCorrected[[#This Row],[Date]])</f>
        <v>2024</v>
      </c>
      <c r="F49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5" t="str">
        <f>_xlfn.XLOOKUP(AllDataCorrected[[#This Row],[Location Name]], Locations[Location Name],Locations[Group As])</f>
        <v>Site 1  :  Middle Street</v>
      </c>
      <c r="H495" t="e" vm="1">
        <f>_xlfn.XLOOKUP(AllDataCorrected[[#This Row],[Site Name]],LocationsKey[Site Name],LocationsKey[District])</f>
        <v>#VALUE!</v>
      </c>
      <c r="I495" t="e" vm="14">
        <f>_xlfn.XLOOKUP(AllDataCorrected[[#This Row],[Site Name]],LocationsKey[Site Name],LocationsKey[Town])</f>
        <v>#VALUE!</v>
      </c>
      <c r="J495" t="str">
        <f>_xlfn.XLOOKUP(AllDataCorrected[[#This Row],[Site Name]],LocationsKey[Site Name], LocationsKey[Waterway])</f>
        <v>Fosseway Brook</v>
      </c>
      <c r="K495" t="s">
        <v>667</v>
      </c>
      <c r="L495">
        <f>_xlfn.XLOOKUP(AllDataCorrected[[#This Row],[Site Name]],Tables!$B$12:$B$100, Tables!C$12:C$100)</f>
        <v>52.090081855670022</v>
      </c>
      <c r="M495">
        <f>_xlfn.XLOOKUP(AllDataCorrected[[#This Row],[Site Name]],Tables!$B$12:$B$100, Tables!D$12:D$100)</f>
        <v>-1.6925771134020597</v>
      </c>
      <c r="N495" t="s">
        <v>68</v>
      </c>
      <c r="O495">
        <v>626</v>
      </c>
      <c r="P495">
        <v>7.8</v>
      </c>
      <c r="Q495">
        <v>2</v>
      </c>
      <c r="R495" t="str">
        <f>IF(AllDataCorrected[[#This Row],[Nitrate (PPM)]]&gt;2, "4. Very high (&gt;2ppm)", IF(AllDataCorrected[[#This Row],[Nitrate (PPM)]]&gt;1, "3. High (1-2ppm)", IF(AllDataCorrected[[#This Row],[Nitrate (PPM)]]&gt;0.5, "2. Some evidence (0.5-1ppm)", IF(AllDataCorrected[[#This Row],[Nitrate (PPM)]]&gt;=0, "1. No evidence (&lt;0.5ppm)"))))</f>
        <v>3. High (1-2ppm)</v>
      </c>
      <c r="S495">
        <v>7.0000000000000007E-2</v>
      </c>
      <c r="T4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495">
        <v>0</v>
      </c>
      <c r="V495" t="s">
        <v>697</v>
      </c>
    </row>
    <row r="496" spans="1:22" x14ac:dyDescent="0.35">
      <c r="A496" t="s">
        <v>801</v>
      </c>
      <c r="B496" s="2">
        <v>45354</v>
      </c>
      <c r="C496" t="str" cm="1">
        <f t="array" ref="C4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6">
        <f>YEAR(AllDataCorrected[[#This Row],[Date]])</f>
        <v>2024</v>
      </c>
      <c r="F4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6" t="str">
        <f>_xlfn.XLOOKUP(AllDataCorrected[[#This Row],[Location Name]], Locations[Location Name],Locations[Group As])</f>
        <v>Site 1  :  Middle Street</v>
      </c>
      <c r="H496" t="e" vm="1">
        <f>_xlfn.XLOOKUP(AllDataCorrected[[#This Row],[Site Name]],LocationsKey[Site Name],LocationsKey[District])</f>
        <v>#VALUE!</v>
      </c>
      <c r="I496" t="e" vm="14">
        <f>_xlfn.XLOOKUP(AllDataCorrected[[#This Row],[Site Name]],LocationsKey[Site Name],LocationsKey[Town])</f>
        <v>#VALUE!</v>
      </c>
      <c r="J496" t="str">
        <f>_xlfn.XLOOKUP(AllDataCorrected[[#This Row],[Site Name]],LocationsKey[Site Name], LocationsKey[Waterway])</f>
        <v>Fosseway Brook</v>
      </c>
      <c r="K496" t="s">
        <v>670</v>
      </c>
      <c r="L496">
        <f>_xlfn.XLOOKUP(AllDataCorrected[[#This Row],[Site Name]],Tables!$B$12:$B$100, Tables!C$12:C$100)</f>
        <v>52.090081855670022</v>
      </c>
      <c r="M496">
        <f>_xlfn.XLOOKUP(AllDataCorrected[[#This Row],[Site Name]],Tables!$B$12:$B$100, Tables!D$12:D$100)</f>
        <v>-1.6925771134020597</v>
      </c>
      <c r="N496" t="s">
        <v>68</v>
      </c>
      <c r="O496">
        <v>626</v>
      </c>
      <c r="P496">
        <v>7.8</v>
      </c>
      <c r="Q496">
        <v>2</v>
      </c>
      <c r="R496" t="str">
        <f>IF(AllDataCorrected[[#This Row],[Nitrate (PPM)]]&gt;2, "4. Very high (&gt;2ppm)", IF(AllDataCorrected[[#This Row],[Nitrate (PPM)]]&gt;1, "3. High (1-2ppm)", IF(AllDataCorrected[[#This Row],[Nitrate (PPM)]]&gt;0.5, "2. Some evidence (0.5-1ppm)", IF(AllDataCorrected[[#This Row],[Nitrate (PPM)]]&gt;=0, "1. No evidence (&lt;0.5ppm)"))))</f>
        <v>3. High (1-2ppm)</v>
      </c>
      <c r="S496">
        <v>7.0000000000000007E-2</v>
      </c>
      <c r="T496"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496" t="s">
        <v>699</v>
      </c>
    </row>
    <row r="497" spans="1:22" x14ac:dyDescent="0.35">
      <c r="A497" t="s">
        <v>802</v>
      </c>
      <c r="B497" s="2">
        <v>45354</v>
      </c>
      <c r="C497" t="str" cm="1">
        <f t="array" ref="C4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7">
        <f>YEAR(AllDataCorrected[[#This Row],[Date]])</f>
        <v>2024</v>
      </c>
      <c r="F4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7" t="str">
        <f>_xlfn.XLOOKUP(AllDataCorrected[[#This Row],[Location Name]], Locations[Location Name],Locations[Group As])</f>
        <v>Site 2  :  Cross Leys culvert</v>
      </c>
      <c r="H497" t="e" vm="1">
        <f>_xlfn.XLOOKUP(AllDataCorrected[[#This Row],[Site Name]],LocationsKey[Site Name],LocationsKey[District])</f>
        <v>#VALUE!</v>
      </c>
      <c r="I497" t="e" vm="14">
        <f>_xlfn.XLOOKUP(AllDataCorrected[[#This Row],[Site Name]],LocationsKey[Site Name],LocationsKey[Town])</f>
        <v>#VALUE!</v>
      </c>
      <c r="J497" t="str">
        <f>_xlfn.XLOOKUP(AllDataCorrected[[#This Row],[Site Name]],LocationsKey[Site Name], LocationsKey[Waterway])</f>
        <v>Fosseway Brook</v>
      </c>
      <c r="K497" t="s">
        <v>623</v>
      </c>
      <c r="L497">
        <f>_xlfn.XLOOKUP(AllDataCorrected[[#This Row],[Site Name]],Tables!$B$12:$B$100, Tables!C$12:C$100)</f>
        <v>52.092997354838673</v>
      </c>
      <c r="M497">
        <f>_xlfn.XLOOKUP(AllDataCorrected[[#This Row],[Site Name]],Tables!$B$12:$B$100, Tables!D$12:D$100)</f>
        <v>-1.6862254516129045</v>
      </c>
      <c r="N497" t="s">
        <v>68</v>
      </c>
      <c r="O497">
        <v>619</v>
      </c>
      <c r="P497">
        <v>7.7</v>
      </c>
      <c r="Q497">
        <v>2</v>
      </c>
      <c r="R497" t="str">
        <f>IF(AllDataCorrected[[#This Row],[Nitrate (PPM)]]&gt;2, "4. Very high (&gt;2ppm)", IF(AllDataCorrected[[#This Row],[Nitrate (PPM)]]&gt;1, "3. High (1-2ppm)", IF(AllDataCorrected[[#This Row],[Nitrate (PPM)]]&gt;0.5, "2. Some evidence (0.5-1ppm)", IF(AllDataCorrected[[#This Row],[Nitrate (PPM)]]&gt;=0, "1. No evidence (&lt;0.5ppm)"))))</f>
        <v>3. High (1-2ppm)</v>
      </c>
      <c r="S497">
        <v>0.35</v>
      </c>
      <c r="T49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497">
        <v>0</v>
      </c>
      <c r="V497" t="s">
        <v>701</v>
      </c>
    </row>
    <row r="498" spans="1:22" x14ac:dyDescent="0.35">
      <c r="A498" t="s">
        <v>803</v>
      </c>
      <c r="B498" s="2">
        <v>45354</v>
      </c>
      <c r="C498" t="str" cm="1">
        <f t="array" ref="C4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8">
        <f>YEAR(AllDataCorrected[[#This Row],[Date]])</f>
        <v>2024</v>
      </c>
      <c r="F4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8" t="str">
        <f>_xlfn.XLOOKUP(AllDataCorrected[[#This Row],[Location Name]], Locations[Location Name],Locations[Group As])</f>
        <v>Site 2  :  Cross Leys culvert</v>
      </c>
      <c r="H498" t="e" vm="1">
        <f>_xlfn.XLOOKUP(AllDataCorrected[[#This Row],[Site Name]],LocationsKey[Site Name],LocationsKey[District])</f>
        <v>#VALUE!</v>
      </c>
      <c r="I498" t="e" vm="14">
        <f>_xlfn.XLOOKUP(AllDataCorrected[[#This Row],[Site Name]],LocationsKey[Site Name],LocationsKey[Town])</f>
        <v>#VALUE!</v>
      </c>
      <c r="J498" t="str">
        <f>_xlfn.XLOOKUP(AllDataCorrected[[#This Row],[Site Name]],LocationsKey[Site Name], LocationsKey[Waterway])</f>
        <v>Fosseway Brook</v>
      </c>
      <c r="K498" t="s">
        <v>626</v>
      </c>
      <c r="L498">
        <f>_xlfn.XLOOKUP(AllDataCorrected[[#This Row],[Site Name]],Tables!$B$12:$B$100, Tables!C$12:C$100)</f>
        <v>52.092997354838673</v>
      </c>
      <c r="M498">
        <f>_xlfn.XLOOKUP(AllDataCorrected[[#This Row],[Site Name]],Tables!$B$12:$B$100, Tables!D$12:D$100)</f>
        <v>-1.6862254516129045</v>
      </c>
      <c r="N498" t="s">
        <v>68</v>
      </c>
      <c r="O498">
        <v>619</v>
      </c>
      <c r="P498">
        <v>7.7</v>
      </c>
      <c r="Q498">
        <v>2</v>
      </c>
      <c r="R498" t="str">
        <f>IF(AllDataCorrected[[#This Row],[Nitrate (PPM)]]&gt;2, "4. Very high (&gt;2ppm)", IF(AllDataCorrected[[#This Row],[Nitrate (PPM)]]&gt;1, "3. High (1-2ppm)", IF(AllDataCorrected[[#This Row],[Nitrate (PPM)]]&gt;0.5, "2. Some evidence (0.5-1ppm)", IF(AllDataCorrected[[#This Row],[Nitrate (PPM)]]&gt;=0, "1. No evidence (&lt;0.5ppm)"))))</f>
        <v>3. High (1-2ppm)</v>
      </c>
      <c r="S498">
        <v>0.35</v>
      </c>
      <c r="T4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498" t="s">
        <v>703</v>
      </c>
    </row>
    <row r="499" spans="1:22" x14ac:dyDescent="0.35">
      <c r="A499" t="s">
        <v>804</v>
      </c>
      <c r="B499" s="2">
        <v>45354</v>
      </c>
      <c r="C499" t="str" cm="1">
        <f t="array" ref="C4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499">
        <f>YEAR(AllDataCorrected[[#This Row],[Date]])</f>
        <v>2024</v>
      </c>
      <c r="F4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499" t="str">
        <f>_xlfn.XLOOKUP(AllDataCorrected[[#This Row],[Location Name]], Locations[Location Name],Locations[Group As])</f>
        <v>Site 3  :  Severn Trent Water processing plant outflow</v>
      </c>
      <c r="H499" t="e" vm="1">
        <f>_xlfn.XLOOKUP(AllDataCorrected[[#This Row],[Site Name]],LocationsKey[Site Name],LocationsKey[District])</f>
        <v>#VALUE!</v>
      </c>
      <c r="I499" t="e" vm="14">
        <f>_xlfn.XLOOKUP(AllDataCorrected[[#This Row],[Site Name]],LocationsKey[Site Name],LocationsKey[Town])</f>
        <v>#VALUE!</v>
      </c>
      <c r="J499" t="str">
        <f>_xlfn.XLOOKUP(AllDataCorrected[[#This Row],[Site Name]],LocationsKey[Site Name], LocationsKey[Waterway])</f>
        <v>Fosseway Brook</v>
      </c>
      <c r="K499" t="s">
        <v>673</v>
      </c>
      <c r="L499">
        <f>_xlfn.XLOOKUP(AllDataCorrected[[#This Row],[Site Name]],Tables!$B$12:$B$100, Tables!C$12:C$100)</f>
        <v>52.130499999999998</v>
      </c>
      <c r="M499">
        <f>_xlfn.XLOOKUP(AllDataCorrected[[#This Row],[Site Name]],Tables!$B$12:$B$100, Tables!D$12:D$100)</f>
        <v>-2.0787</v>
      </c>
      <c r="N499" t="s">
        <v>31</v>
      </c>
      <c r="O499">
        <v>723</v>
      </c>
      <c r="P499">
        <v>8.8000000000000007</v>
      </c>
      <c r="Q499">
        <v>5</v>
      </c>
      <c r="R499" t="str">
        <f>IF(AllDataCorrected[[#This Row],[Nitrate (PPM)]]&gt;2, "4. Very high (&gt;2ppm)", IF(AllDataCorrected[[#This Row],[Nitrate (PPM)]]&gt;1, "3. High (1-2ppm)", IF(AllDataCorrected[[#This Row],[Nitrate (PPM)]]&gt;0.5, "2. Some evidence (0.5-1ppm)", IF(AllDataCorrected[[#This Row],[Nitrate (PPM)]]&gt;=0, "1. No evidence (&lt;0.5ppm)"))))</f>
        <v>4. Very high (&gt;2ppm)</v>
      </c>
      <c r="S499">
        <v>2.5</v>
      </c>
      <c r="T4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499">
        <v>0</v>
      </c>
      <c r="V499" t="s">
        <v>705</v>
      </c>
    </row>
    <row r="500" spans="1:22" x14ac:dyDescent="0.35">
      <c r="A500" t="s">
        <v>805</v>
      </c>
      <c r="B500" s="2">
        <v>45354</v>
      </c>
      <c r="C500" t="str" cm="1">
        <f t="array" ref="C5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0">
        <f>YEAR(AllDataCorrected[[#This Row],[Date]])</f>
        <v>2024</v>
      </c>
      <c r="F5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00" t="str">
        <f>_xlfn.XLOOKUP(AllDataCorrected[[#This Row],[Location Name]], Locations[Location Name],Locations[Group As])</f>
        <v>Site 3  :  Severn Trent Water processing plant outflow</v>
      </c>
      <c r="H500" t="e" vm="1">
        <f>_xlfn.XLOOKUP(AllDataCorrected[[#This Row],[Site Name]],LocationsKey[Site Name],LocationsKey[District])</f>
        <v>#VALUE!</v>
      </c>
      <c r="I500" t="e" vm="14">
        <f>_xlfn.XLOOKUP(AllDataCorrected[[#This Row],[Site Name]],LocationsKey[Site Name],LocationsKey[Town])</f>
        <v>#VALUE!</v>
      </c>
      <c r="J500" t="str">
        <f>_xlfn.XLOOKUP(AllDataCorrected[[#This Row],[Site Name]],LocationsKey[Site Name], LocationsKey[Waterway])</f>
        <v>Fosseway Brook</v>
      </c>
      <c r="K500" t="s">
        <v>676</v>
      </c>
      <c r="L500">
        <f>_xlfn.XLOOKUP(AllDataCorrected[[#This Row],[Site Name]],Tables!$B$12:$B$100, Tables!C$12:C$100)</f>
        <v>52.130499999999998</v>
      </c>
      <c r="M500">
        <f>_xlfn.XLOOKUP(AllDataCorrected[[#This Row],[Site Name]],Tables!$B$12:$B$100, Tables!D$12:D$100)</f>
        <v>-2.0787</v>
      </c>
      <c r="N500" t="s">
        <v>31</v>
      </c>
      <c r="O500">
        <v>723</v>
      </c>
      <c r="P500">
        <v>8.8000000000000007</v>
      </c>
      <c r="Q500">
        <v>5</v>
      </c>
      <c r="R500" t="str">
        <f>IF(AllDataCorrected[[#This Row],[Nitrate (PPM)]]&gt;2, "4. Very high (&gt;2ppm)", IF(AllDataCorrected[[#This Row],[Nitrate (PPM)]]&gt;1, "3. High (1-2ppm)", IF(AllDataCorrected[[#This Row],[Nitrate (PPM)]]&gt;0.5, "2. Some evidence (0.5-1ppm)", IF(AllDataCorrected[[#This Row],[Nitrate (PPM)]]&gt;=0, "1. No evidence (&lt;0.5ppm)"))))</f>
        <v>4. Very high (&gt;2ppm)</v>
      </c>
      <c r="S500">
        <v>2.5</v>
      </c>
      <c r="T5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00" t="s">
        <v>703</v>
      </c>
    </row>
    <row r="501" spans="1:22" x14ac:dyDescent="0.35">
      <c r="A501" t="s">
        <v>807</v>
      </c>
      <c r="B501" s="2">
        <v>45355</v>
      </c>
      <c r="C501" t="str" cm="1">
        <f t="array" ref="C5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1">
        <f>YEAR(AllDataCorrected[[#This Row],[Date]])</f>
        <v>2024</v>
      </c>
      <c r="E501" s="1">
        <v>0.37569444444444444</v>
      </c>
      <c r="F5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1" t="str">
        <f>_xlfn.XLOOKUP(AllDataCorrected[[#This Row],[Location Name]], Locations[Location Name],Locations[Group As])</f>
        <v>Stour Stretton-on-Fosse Village</v>
      </c>
      <c r="H501" t="e" vm="1">
        <f>_xlfn.XLOOKUP(AllDataCorrected[[#This Row],[Site Name]],LocationsKey[Site Name],LocationsKey[District])</f>
        <v>#VALUE!</v>
      </c>
      <c r="I501" t="e" vm="30">
        <f>_xlfn.XLOOKUP(AllDataCorrected[[#This Row],[Site Name]],LocationsKey[Site Name],LocationsKey[Town])</f>
        <v>#VALUE!</v>
      </c>
      <c r="J501" t="str">
        <f>_xlfn.XLOOKUP(AllDataCorrected[[#This Row],[Site Name]],LocationsKey[Site Name], LocationsKey[Waterway])</f>
        <v>Stour</v>
      </c>
      <c r="K501" t="s">
        <v>548</v>
      </c>
      <c r="L501">
        <f>_xlfn.XLOOKUP(AllDataCorrected[[#This Row],[Site Name]],Tables!$B$12:$B$100, Tables!C$12:C$100)</f>
        <v>52.046517558823531</v>
      </c>
      <c r="M501">
        <f>_xlfn.XLOOKUP(AllDataCorrected[[#This Row],[Site Name]],Tables!$B$12:$B$100, Tables!D$12:D$100)</f>
        <v>-1.6734143529411762</v>
      </c>
      <c r="N501" t="s">
        <v>68</v>
      </c>
      <c r="O501">
        <v>551</v>
      </c>
      <c r="P501">
        <v>5.5</v>
      </c>
      <c r="Q501">
        <v>1</v>
      </c>
      <c r="R501"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01">
        <v>1.0900000000000001</v>
      </c>
      <c r="T5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1">
        <v>0.2</v>
      </c>
    </row>
    <row r="502" spans="1:22" x14ac:dyDescent="0.35">
      <c r="A502" t="s">
        <v>808</v>
      </c>
      <c r="B502" s="2">
        <v>45355</v>
      </c>
      <c r="C502" t="str" cm="1">
        <f t="array" ref="C5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2">
        <f>YEAR(AllDataCorrected[[#This Row],[Date]])</f>
        <v>2024</v>
      </c>
      <c r="E502" s="1">
        <v>0.38819444444444445</v>
      </c>
      <c r="F5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2" t="str">
        <f>_xlfn.XLOOKUP(AllDataCorrected[[#This Row],[Location Name]], Locations[Location Name],Locations[Group As])</f>
        <v>Stour Stretton-on-Fosse Sewage Works</v>
      </c>
      <c r="H502" t="e" vm="1">
        <f>_xlfn.XLOOKUP(AllDataCorrected[[#This Row],[Site Name]],LocationsKey[Site Name],LocationsKey[District])</f>
        <v>#VALUE!</v>
      </c>
      <c r="I502" t="e" vm="30">
        <f>_xlfn.XLOOKUP(AllDataCorrected[[#This Row],[Site Name]],LocationsKey[Site Name],LocationsKey[Town])</f>
        <v>#VALUE!</v>
      </c>
      <c r="J502" t="str">
        <f>_xlfn.XLOOKUP(AllDataCorrected[[#This Row],[Site Name]],LocationsKey[Site Name], LocationsKey[Waterway])</f>
        <v>Stour</v>
      </c>
      <c r="K502" t="s">
        <v>337</v>
      </c>
      <c r="L502">
        <f>_xlfn.XLOOKUP(AllDataCorrected[[#This Row],[Site Name]],Tables!$B$12:$B$100, Tables!C$12:C$100)</f>
        <v>52.045653647058828</v>
      </c>
      <c r="M502">
        <f>_xlfn.XLOOKUP(AllDataCorrected[[#This Row],[Site Name]],Tables!$B$12:$B$100, Tables!D$12:D$100)</f>
        <v>-1.6719221470588239</v>
      </c>
      <c r="N502" t="s">
        <v>31</v>
      </c>
      <c r="O502">
        <v>599</v>
      </c>
      <c r="P502">
        <v>5.0999999999999996</v>
      </c>
      <c r="Q502">
        <v>2</v>
      </c>
      <c r="R502" t="str">
        <f>IF(AllDataCorrected[[#This Row],[Nitrate (PPM)]]&gt;2, "4. Very high (&gt;2ppm)", IF(AllDataCorrected[[#This Row],[Nitrate (PPM)]]&gt;1, "3. High (1-2ppm)", IF(AllDataCorrected[[#This Row],[Nitrate (PPM)]]&gt;0.5, "2. Some evidence (0.5-1ppm)", IF(AllDataCorrected[[#This Row],[Nitrate (PPM)]]&gt;=0, "1. No evidence (&lt;0.5ppm)"))))</f>
        <v>3. High (1-2ppm)</v>
      </c>
      <c r="S502">
        <v>1.5</v>
      </c>
      <c r="T5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2">
        <v>0.3</v>
      </c>
    </row>
    <row r="503" spans="1:22" x14ac:dyDescent="0.35">
      <c r="A503" t="s">
        <v>809</v>
      </c>
      <c r="B503" s="2">
        <v>45355</v>
      </c>
      <c r="C503" t="str" cm="1">
        <f t="array" ref="C5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3">
        <f>YEAR(AllDataCorrected[[#This Row],[Date]])</f>
        <v>2024</v>
      </c>
      <c r="E503" s="1">
        <v>0.59375</v>
      </c>
      <c r="F5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3" t="str">
        <f>_xlfn.XLOOKUP(AllDataCorrected[[#This Row],[Location Name]], Locations[Location Name],Locations[Group As])</f>
        <v>Swiffen Bank</v>
      </c>
      <c r="H503" t="e" vm="1">
        <f>_xlfn.XLOOKUP(AllDataCorrected[[#This Row],[Site Name]],LocationsKey[Site Name],LocationsKey[District])</f>
        <v>#VALUE!</v>
      </c>
      <c r="I503" t="e" vm="2">
        <f>_xlfn.XLOOKUP(AllDataCorrected[[#This Row],[Site Name]],LocationsKey[Site Name],LocationsKey[Town])</f>
        <v>#VALUE!</v>
      </c>
      <c r="J503" t="str">
        <f>_xlfn.XLOOKUP(AllDataCorrected[[#This Row],[Site Name]],LocationsKey[Site Name], LocationsKey[Waterway])</f>
        <v>Avon</v>
      </c>
      <c r="K503" t="s">
        <v>286</v>
      </c>
      <c r="L503">
        <f>_xlfn.XLOOKUP(AllDataCorrected[[#This Row],[Site Name]],Tables!$B$12:$B$100, Tables!C$12:C$100)</f>
        <v>52.206649805555557</v>
      </c>
      <c r="M503">
        <f>_xlfn.XLOOKUP(AllDataCorrected[[#This Row],[Site Name]],Tables!$B$12:$B$100, Tables!D$12:D$100)</f>
        <v>-1.6541018611111094</v>
      </c>
      <c r="N503" t="s">
        <v>31</v>
      </c>
      <c r="O503">
        <v>568</v>
      </c>
      <c r="P503">
        <v>8.8000000000000007</v>
      </c>
      <c r="Q503">
        <v>5</v>
      </c>
      <c r="R503" t="str">
        <f>IF(AllDataCorrected[[#This Row],[Nitrate (PPM)]]&gt;2, "4. Very high (&gt;2ppm)", IF(AllDataCorrected[[#This Row],[Nitrate (PPM)]]&gt;1, "3. High (1-2ppm)", IF(AllDataCorrected[[#This Row],[Nitrate (PPM)]]&gt;0.5, "2. Some evidence (0.5-1ppm)", IF(AllDataCorrected[[#This Row],[Nitrate (PPM)]]&gt;=0, "1. No evidence (&lt;0.5ppm)"))))</f>
        <v>4. Very high (&gt;2ppm)</v>
      </c>
      <c r="S503">
        <v>0.32</v>
      </c>
      <c r="T5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3">
        <v>0.75</v>
      </c>
      <c r="V503" t="s">
        <v>810</v>
      </c>
    </row>
    <row r="504" spans="1:22" x14ac:dyDescent="0.35">
      <c r="A504" t="s">
        <v>811</v>
      </c>
      <c r="B504" s="2">
        <v>45355</v>
      </c>
      <c r="C504" t="str" cm="1">
        <f t="array" ref="C5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4">
        <f>YEAR(AllDataCorrected[[#This Row],[Date]])</f>
        <v>2024</v>
      </c>
      <c r="E504" s="1">
        <v>0.59513888888888888</v>
      </c>
      <c r="F5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4" t="str">
        <f>_xlfn.XLOOKUP(AllDataCorrected[[#This Row],[Location Name]], Locations[Location Name],Locations[Group As])</f>
        <v>Alveston Weir</v>
      </c>
      <c r="H504" t="e" vm="1">
        <f>_xlfn.XLOOKUP(AllDataCorrected[[#This Row],[Site Name]],LocationsKey[Site Name],LocationsKey[District])</f>
        <v>#VALUE!</v>
      </c>
      <c r="I504" t="e" vm="2">
        <f>_xlfn.XLOOKUP(AllDataCorrected[[#This Row],[Site Name]],LocationsKey[Site Name],LocationsKey[Town])</f>
        <v>#VALUE!</v>
      </c>
      <c r="J504" t="str">
        <f>_xlfn.XLOOKUP(AllDataCorrected[[#This Row],[Site Name]],LocationsKey[Site Name], LocationsKey[Waterway])</f>
        <v>Avon</v>
      </c>
      <c r="K504" t="s">
        <v>288</v>
      </c>
      <c r="L504">
        <f>_xlfn.XLOOKUP(AllDataCorrected[[#This Row],[Site Name]],Tables!$B$12:$B$100, Tables!C$12:C$100)</f>
        <v>52.21226301333337</v>
      </c>
      <c r="M504">
        <f>_xlfn.XLOOKUP(AllDataCorrected[[#This Row],[Site Name]],Tables!$B$12:$B$100, Tables!D$12:D$100)</f>
        <v>-1.6595226800000011</v>
      </c>
      <c r="N504" t="s">
        <v>31</v>
      </c>
      <c r="O504">
        <v>561</v>
      </c>
      <c r="P504">
        <v>8.8000000000000007</v>
      </c>
      <c r="Q504">
        <v>5</v>
      </c>
      <c r="R504" t="str">
        <f>IF(AllDataCorrected[[#This Row],[Nitrate (PPM)]]&gt;2, "4. Very high (&gt;2ppm)", IF(AllDataCorrected[[#This Row],[Nitrate (PPM)]]&gt;1, "3. High (1-2ppm)", IF(AllDataCorrected[[#This Row],[Nitrate (PPM)]]&gt;0.5, "2. Some evidence (0.5-1ppm)", IF(AllDataCorrected[[#This Row],[Nitrate (PPM)]]&gt;=0, "1. No evidence (&lt;0.5ppm)"))))</f>
        <v>4. Very high (&gt;2ppm)</v>
      </c>
      <c r="S504">
        <v>0.42</v>
      </c>
      <c r="T5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4">
        <v>0.75</v>
      </c>
    </row>
    <row r="505" spans="1:22" x14ac:dyDescent="0.35">
      <c r="A505" t="s">
        <v>812</v>
      </c>
      <c r="B505" s="2">
        <v>45356</v>
      </c>
      <c r="C505" t="str" cm="1">
        <f t="array" ref="C5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5">
        <f>YEAR(AllDataCorrected[[#This Row],[Date]])</f>
        <v>2024</v>
      </c>
      <c r="E505" s="1">
        <v>0.76736111111111116</v>
      </c>
      <c r="F50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505" t="str">
        <f>_xlfn.XLOOKUP(AllDataCorrected[[#This Row],[Location Name]], Locations[Location Name],Locations[Group As])</f>
        <v>Abbey Mill</v>
      </c>
      <c r="H505" t="e" vm="4">
        <f>_xlfn.XLOOKUP(AllDataCorrected[[#This Row],[Site Name]],LocationsKey[Site Name],LocationsKey[District])</f>
        <v>#VALUE!</v>
      </c>
      <c r="I505" t="e" vm="4">
        <f>_xlfn.XLOOKUP(AllDataCorrected[[#This Row],[Site Name]],LocationsKey[Site Name],LocationsKey[Town])</f>
        <v>#VALUE!</v>
      </c>
      <c r="J505" t="str">
        <f>_xlfn.XLOOKUP(AllDataCorrected[[#This Row],[Site Name]],LocationsKey[Site Name], LocationsKey[Waterway])</f>
        <v>Avon</v>
      </c>
      <c r="K505" t="s">
        <v>27</v>
      </c>
      <c r="L505">
        <f>_xlfn.XLOOKUP(AllDataCorrected[[#This Row],[Site Name]],Tables!$B$12:$B$100, Tables!C$12:C$100)</f>
        <v>51.991313075757589</v>
      </c>
      <c r="M505">
        <f>_xlfn.XLOOKUP(AllDataCorrected[[#This Row],[Site Name]],Tables!$B$12:$B$100, Tables!D$12:D$100)</f>
        <v>-2.1621998181818181</v>
      </c>
      <c r="N505" t="s">
        <v>25</v>
      </c>
      <c r="O505">
        <v>709</v>
      </c>
      <c r="P505">
        <v>8.4</v>
      </c>
      <c r="Q505">
        <v>5</v>
      </c>
      <c r="R505" t="str">
        <f>IF(AllDataCorrected[[#This Row],[Nitrate (PPM)]]&gt;2, "4. Very high (&gt;2ppm)", IF(AllDataCorrected[[#This Row],[Nitrate (PPM)]]&gt;1, "3. High (1-2ppm)", IF(AllDataCorrected[[#This Row],[Nitrate (PPM)]]&gt;0.5, "2. Some evidence (0.5-1ppm)", IF(AllDataCorrected[[#This Row],[Nitrate (PPM)]]&gt;=0, "1. No evidence (&lt;0.5ppm)"))))</f>
        <v>4. Very high (&gt;2ppm)</v>
      </c>
      <c r="S505">
        <v>0.5</v>
      </c>
      <c r="T5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5">
        <v>0.3</v>
      </c>
    </row>
    <row r="506" spans="1:22" x14ac:dyDescent="0.35">
      <c r="A506" t="s">
        <v>813</v>
      </c>
      <c r="B506" s="2">
        <v>45357</v>
      </c>
      <c r="C506" t="str" cm="1">
        <f t="array" ref="C5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6">
        <f>YEAR(AllDataCorrected[[#This Row],[Date]])</f>
        <v>2024</v>
      </c>
      <c r="E506" s="1">
        <v>0.68055555555555558</v>
      </c>
      <c r="F5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06" t="str">
        <f>_xlfn.XLOOKUP(AllDataCorrected[[#This Row],[Location Name]], Locations[Location Name],Locations[Group As])</f>
        <v>Stour Newbold Mill</v>
      </c>
      <c r="H506" t="e" vm="1">
        <f>_xlfn.XLOOKUP(AllDataCorrected[[#This Row],[Site Name]],LocationsKey[Site Name],LocationsKey[District])</f>
        <v>#VALUE!</v>
      </c>
      <c r="I506" t="e" vm="27">
        <f>_xlfn.XLOOKUP(AllDataCorrected[[#This Row],[Site Name]],LocationsKey[Site Name],LocationsKey[Town])</f>
        <v>#VALUE!</v>
      </c>
      <c r="J506" t="str">
        <f>_xlfn.XLOOKUP(AllDataCorrected[[#This Row],[Site Name]],LocationsKey[Site Name], LocationsKey[Waterway])</f>
        <v>Stour</v>
      </c>
      <c r="K506" t="s">
        <v>141</v>
      </c>
      <c r="L506">
        <f>_xlfn.XLOOKUP(AllDataCorrected[[#This Row],[Site Name]],Tables!$B$12:$B$100, Tables!C$12:C$100)</f>
        <v>52.113052370370369</v>
      </c>
      <c r="M506">
        <f>_xlfn.XLOOKUP(AllDataCorrected[[#This Row],[Site Name]],Tables!$B$12:$B$100, Tables!D$12:D$100)</f>
        <v>-1.6333685185185181</v>
      </c>
      <c r="N506" t="s">
        <v>31</v>
      </c>
      <c r="O506">
        <v>607</v>
      </c>
      <c r="P506">
        <v>10.199999999999999</v>
      </c>
      <c r="Q506">
        <v>2</v>
      </c>
      <c r="R506" t="str">
        <f>IF(AllDataCorrected[[#This Row],[Nitrate (PPM)]]&gt;2, "4. Very high (&gt;2ppm)", IF(AllDataCorrected[[#This Row],[Nitrate (PPM)]]&gt;1, "3. High (1-2ppm)", IF(AllDataCorrected[[#This Row],[Nitrate (PPM)]]&gt;0.5, "2. Some evidence (0.5-1ppm)", IF(AllDataCorrected[[#This Row],[Nitrate (PPM)]]&gt;=0, "1. No evidence (&lt;0.5ppm)"))))</f>
        <v>3. High (1-2ppm)</v>
      </c>
      <c r="S506">
        <v>0.27</v>
      </c>
      <c r="T5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6">
        <v>2.5</v>
      </c>
      <c r="V506" t="s">
        <v>814</v>
      </c>
    </row>
    <row r="507" spans="1:22" x14ac:dyDescent="0.35">
      <c r="A507" t="s">
        <v>815</v>
      </c>
      <c r="B507" s="2">
        <v>45358</v>
      </c>
      <c r="C507" t="str" cm="1">
        <f t="array" ref="C5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7">
        <f>YEAR(AllDataCorrected[[#This Row],[Date]])</f>
        <v>2024</v>
      </c>
      <c r="E507" s="1">
        <v>0.47847222222222224</v>
      </c>
      <c r="F5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7" t="str">
        <f>_xlfn.XLOOKUP(AllDataCorrected[[#This Row],[Location Name]], Locations[Location Name],Locations[Group As])</f>
        <v>Stour Willington</v>
      </c>
      <c r="H507" t="e" vm="1">
        <f>_xlfn.XLOOKUP(AllDataCorrected[[#This Row],[Site Name]],LocationsKey[Site Name],LocationsKey[District])</f>
        <v>#VALUE!</v>
      </c>
      <c r="I507" t="str">
        <f>_xlfn.XLOOKUP(AllDataCorrected[[#This Row],[Site Name]],LocationsKey[Site Name],LocationsKey[Town])</f>
        <v>Willington</v>
      </c>
      <c r="J507" t="str">
        <f>_xlfn.XLOOKUP(AllDataCorrected[[#This Row],[Site Name]],LocationsKey[Site Name], LocationsKey[Waterway])</f>
        <v>Stour</v>
      </c>
      <c r="K507" t="s">
        <v>521</v>
      </c>
      <c r="L507">
        <f>_xlfn.XLOOKUP(AllDataCorrected[[#This Row],[Site Name]],Tables!$B$12:$B$100, Tables!C$12:C$100)</f>
        <v>52.053227523809518</v>
      </c>
      <c r="M507">
        <f>_xlfn.XLOOKUP(AllDataCorrected[[#This Row],[Site Name]],Tables!$B$12:$B$100, Tables!D$12:D$100)</f>
        <v>-1.6194739523809523</v>
      </c>
      <c r="N507" t="s">
        <v>25</v>
      </c>
      <c r="O507">
        <v>590</v>
      </c>
      <c r="P507">
        <v>9</v>
      </c>
      <c r="Q507">
        <v>5</v>
      </c>
      <c r="R507" t="str">
        <f>IF(AllDataCorrected[[#This Row],[Nitrate (PPM)]]&gt;2, "4. Very high (&gt;2ppm)", IF(AllDataCorrected[[#This Row],[Nitrate (PPM)]]&gt;1, "3. High (1-2ppm)", IF(AllDataCorrected[[#This Row],[Nitrate (PPM)]]&gt;0.5, "2. Some evidence (0.5-1ppm)", IF(AllDataCorrected[[#This Row],[Nitrate (PPM)]]&gt;=0, "1. No evidence (&lt;0.5ppm)"))))</f>
        <v>4. Very high (&gt;2ppm)</v>
      </c>
      <c r="S507">
        <v>0.14000000000000001</v>
      </c>
      <c r="T5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07">
        <v>0.5</v>
      </c>
    </row>
    <row r="508" spans="1:22" x14ac:dyDescent="0.35">
      <c r="A508" t="s">
        <v>816</v>
      </c>
      <c r="B508" s="2">
        <v>45359</v>
      </c>
      <c r="C508" t="str" cm="1">
        <f t="array" ref="C5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8">
        <f>YEAR(AllDataCorrected[[#This Row],[Date]])</f>
        <v>2024</v>
      </c>
      <c r="E508" s="1">
        <v>0.36388888888888887</v>
      </c>
      <c r="F5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8" t="str">
        <f>_xlfn.XLOOKUP(AllDataCorrected[[#This Row],[Location Name]], Locations[Location Name],Locations[Group As])</f>
        <v>Mill Bridge Peopleton</v>
      </c>
      <c r="H508" t="e" vm="6">
        <f>_xlfn.XLOOKUP(AllDataCorrected[[#This Row],[Site Name]],LocationsKey[Site Name],LocationsKey[District])</f>
        <v>#VALUE!</v>
      </c>
      <c r="I508" t="str">
        <f>_xlfn.XLOOKUP(AllDataCorrected[[#This Row],[Site Name]],LocationsKey[Site Name],LocationsKey[Town])</f>
        <v>Peopleton</v>
      </c>
      <c r="J508" t="str">
        <f>_xlfn.XLOOKUP(AllDataCorrected[[#This Row],[Site Name]],LocationsKey[Site Name], LocationsKey[Waterway])</f>
        <v>Bow Brook</v>
      </c>
      <c r="K508" t="s">
        <v>817</v>
      </c>
      <c r="L508">
        <f>_xlfn.XLOOKUP(AllDataCorrected[[#This Row],[Site Name]],Tables!$B$12:$B$100, Tables!C$12:C$100)</f>
        <v>52.151811999999993</v>
      </c>
      <c r="M508">
        <f>_xlfn.XLOOKUP(AllDataCorrected[[#This Row],[Site Name]],Tables!$B$12:$B$100, Tables!D$12:D$100)</f>
        <v>-2.0958865161290317</v>
      </c>
      <c r="N508" t="s">
        <v>31</v>
      </c>
      <c r="O508">
        <v>975</v>
      </c>
      <c r="P508">
        <v>9.3000000000000007</v>
      </c>
      <c r="Q508">
        <v>5</v>
      </c>
      <c r="R508" t="str">
        <f>IF(AllDataCorrected[[#This Row],[Nitrate (PPM)]]&gt;2, "4. Very high (&gt;2ppm)", IF(AllDataCorrected[[#This Row],[Nitrate (PPM)]]&gt;1, "3. High (1-2ppm)", IF(AllDataCorrected[[#This Row],[Nitrate (PPM)]]&gt;0.5, "2. Some evidence (0.5-1ppm)", IF(AllDataCorrected[[#This Row],[Nitrate (PPM)]]&gt;=0, "1. No evidence (&lt;0.5ppm)"))))</f>
        <v>4. Very high (&gt;2ppm)</v>
      </c>
      <c r="S508">
        <v>0.8</v>
      </c>
      <c r="T5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8">
        <v>0.75</v>
      </c>
      <c r="V508" t="s">
        <v>818</v>
      </c>
    </row>
    <row r="509" spans="1:22" x14ac:dyDescent="0.35">
      <c r="A509" t="s">
        <v>819</v>
      </c>
      <c r="B509" s="2">
        <v>45359</v>
      </c>
      <c r="C509" t="str" cm="1">
        <f t="array" ref="C5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09">
        <f>YEAR(AllDataCorrected[[#This Row],[Date]])</f>
        <v>2024</v>
      </c>
      <c r="E509" s="1">
        <v>0.39930555555555558</v>
      </c>
      <c r="F5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09" t="str">
        <f>_xlfn.XLOOKUP(AllDataCorrected[[#This Row],[Location Name]], Locations[Location Name],Locations[Group As])</f>
        <v>The Ford, Langley</v>
      </c>
      <c r="H509" t="e" vm="1">
        <f>_xlfn.XLOOKUP(AllDataCorrected[[#This Row],[Site Name]],LocationsKey[Site Name],LocationsKey[District])</f>
        <v>#VALUE!</v>
      </c>
      <c r="I509" t="str">
        <f>_xlfn.XLOOKUP(AllDataCorrected[[#This Row],[Site Name]],LocationsKey[Site Name],LocationsKey[Town])</f>
        <v>Langley</v>
      </c>
      <c r="J509" t="str">
        <f>_xlfn.XLOOKUP(AllDataCorrected[[#This Row],[Site Name]],LocationsKey[Site Name], LocationsKey[Waterway])</f>
        <v>Langley Ford</v>
      </c>
      <c r="K509" t="s">
        <v>530</v>
      </c>
      <c r="L509">
        <f>_xlfn.XLOOKUP(AllDataCorrected[[#This Row],[Site Name]],Tables!$B$12:$B$100, Tables!C$12:C$100)</f>
        <v>52.262666528301864</v>
      </c>
      <c r="M509">
        <f>_xlfn.XLOOKUP(AllDataCorrected[[#This Row],[Site Name]],Tables!$B$12:$B$100, Tables!D$12:D$100)</f>
        <v>-1.6545845283018858</v>
      </c>
      <c r="N509" t="s">
        <v>31</v>
      </c>
      <c r="O509">
        <v>661</v>
      </c>
      <c r="P509">
        <v>8</v>
      </c>
      <c r="Q509">
        <v>5</v>
      </c>
      <c r="R509" t="str">
        <f>IF(AllDataCorrected[[#This Row],[Nitrate (PPM)]]&gt;2, "4. Very high (&gt;2ppm)", IF(AllDataCorrected[[#This Row],[Nitrate (PPM)]]&gt;1, "3. High (1-2ppm)", IF(AllDataCorrected[[#This Row],[Nitrate (PPM)]]&gt;0.5, "2. Some evidence (0.5-1ppm)", IF(AllDataCorrected[[#This Row],[Nitrate (PPM)]]&gt;=0, "1. No evidence (&lt;0.5ppm)"))))</f>
        <v>4. Very high (&gt;2ppm)</v>
      </c>
      <c r="S509">
        <v>0.6</v>
      </c>
      <c r="T5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09">
        <v>0.25</v>
      </c>
      <c r="V509" t="s">
        <v>820</v>
      </c>
    </row>
    <row r="510" spans="1:22" x14ac:dyDescent="0.35">
      <c r="A510" t="s">
        <v>821</v>
      </c>
      <c r="B510" s="2">
        <v>45359</v>
      </c>
      <c r="C510" t="str" cm="1">
        <f t="array" ref="C5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0">
        <f>YEAR(AllDataCorrected[[#This Row],[Date]])</f>
        <v>2024</v>
      </c>
      <c r="E510" s="1">
        <v>0.57361111111111107</v>
      </c>
      <c r="F5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0" t="str">
        <f>_xlfn.XLOOKUP(AllDataCorrected[[#This Row],[Location Name]], Locations[Location Name],Locations[Group As])</f>
        <v>Preston-on-Stour River Bridge</v>
      </c>
      <c r="H510" t="e" vm="1">
        <f>_xlfn.XLOOKUP(AllDataCorrected[[#This Row],[Site Name]],LocationsKey[Site Name],LocationsKey[District])</f>
        <v>#VALUE!</v>
      </c>
      <c r="I510" t="e" vm="20">
        <f>_xlfn.XLOOKUP(AllDataCorrected[[#This Row],[Site Name]],LocationsKey[Site Name],LocationsKey[Town])</f>
        <v>#VALUE!</v>
      </c>
      <c r="J510" t="str">
        <f>_xlfn.XLOOKUP(AllDataCorrected[[#This Row],[Site Name]],LocationsKey[Site Name], LocationsKey[Waterway])</f>
        <v>Stour</v>
      </c>
      <c r="K510" t="s">
        <v>164</v>
      </c>
      <c r="L510">
        <f>_xlfn.XLOOKUP(AllDataCorrected[[#This Row],[Site Name]],Tables!$B$12:$B$100, Tables!C$12:C$100)</f>
        <v>52.146672352941174</v>
      </c>
      <c r="M510">
        <f>_xlfn.XLOOKUP(AllDataCorrected[[#This Row],[Site Name]],Tables!$B$12:$B$100, Tables!D$12:D$100)</f>
        <v>-1.6984533333333334</v>
      </c>
      <c r="N510" t="s">
        <v>31</v>
      </c>
      <c r="O510">
        <v>647</v>
      </c>
      <c r="P510">
        <v>8.4</v>
      </c>
      <c r="Q510">
        <v>7</v>
      </c>
      <c r="R510" t="str">
        <f>IF(AllDataCorrected[[#This Row],[Nitrate (PPM)]]&gt;2, "4. Very high (&gt;2ppm)", IF(AllDataCorrected[[#This Row],[Nitrate (PPM)]]&gt;1, "3. High (1-2ppm)", IF(AllDataCorrected[[#This Row],[Nitrate (PPM)]]&gt;0.5, "2. Some evidence (0.5-1ppm)", IF(AllDataCorrected[[#This Row],[Nitrate (PPM)]]&gt;=0, "1. No evidence (&lt;0.5ppm)"))))</f>
        <v>4. Very high (&gt;2ppm)</v>
      </c>
      <c r="S510">
        <v>0.22</v>
      </c>
      <c r="T5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0">
        <v>1.5</v>
      </c>
    </row>
    <row r="511" spans="1:22" x14ac:dyDescent="0.35">
      <c r="A511" t="s">
        <v>822</v>
      </c>
      <c r="B511" s="2">
        <v>45359</v>
      </c>
      <c r="C511" t="str" cm="1">
        <f t="array" ref="C5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1">
        <f>YEAR(AllDataCorrected[[#This Row],[Date]])</f>
        <v>2024</v>
      </c>
      <c r="E511" s="1">
        <v>0.66666666666666663</v>
      </c>
      <c r="F5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1" t="str">
        <f>_xlfn.XLOOKUP(AllDataCorrected[[#This Row],[Location Name]], Locations[Location Name],Locations[Group As])</f>
        <v>Preston Bagot Canal</v>
      </c>
      <c r="H511" t="e" vm="1">
        <f>_xlfn.XLOOKUP(AllDataCorrected[[#This Row],[Site Name]],LocationsKey[Site Name],LocationsKey[District])</f>
        <v>#VALUE!</v>
      </c>
      <c r="I511" t="e" vm="21">
        <f>_xlfn.XLOOKUP(AllDataCorrected[[#This Row],[Site Name]],LocationsKey[Site Name],LocationsKey[Town])</f>
        <v>#VALUE!</v>
      </c>
      <c r="J511" t="str">
        <f>_xlfn.XLOOKUP(AllDataCorrected[[#This Row],[Site Name]],LocationsKey[Site Name], LocationsKey[Waterway])</f>
        <v>Preston Bagot Canal</v>
      </c>
      <c r="K511" t="s">
        <v>618</v>
      </c>
      <c r="L511">
        <f>_xlfn.XLOOKUP(AllDataCorrected[[#This Row],[Site Name]],Tables!$B$12:$B$100, Tables!C$12:C$100)</f>
        <v>52.286975789473694</v>
      </c>
      <c r="M511">
        <f>_xlfn.XLOOKUP(AllDataCorrected[[#This Row],[Site Name]],Tables!$B$12:$B$100, Tables!D$12:D$100)</f>
        <v>-1.5622505263157891</v>
      </c>
      <c r="N511" t="s">
        <v>25</v>
      </c>
      <c r="O511">
        <v>338</v>
      </c>
      <c r="P511">
        <v>9.5</v>
      </c>
      <c r="Q511">
        <v>2.5</v>
      </c>
      <c r="R511" t="str">
        <f>IF(AllDataCorrected[[#This Row],[Nitrate (PPM)]]&gt;2, "4. Very high (&gt;2ppm)", IF(AllDataCorrected[[#This Row],[Nitrate (PPM)]]&gt;1, "3. High (1-2ppm)", IF(AllDataCorrected[[#This Row],[Nitrate (PPM)]]&gt;0.5, "2. Some evidence (0.5-1ppm)", IF(AllDataCorrected[[#This Row],[Nitrate (PPM)]]&gt;=0, "1. No evidence (&lt;0.5ppm)"))))</f>
        <v>4. Very high (&gt;2ppm)</v>
      </c>
      <c r="S511">
        <v>0.34</v>
      </c>
      <c r="T5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1">
        <v>0</v>
      </c>
    </row>
    <row r="512" spans="1:22" x14ac:dyDescent="0.35">
      <c r="A512" t="s">
        <v>823</v>
      </c>
      <c r="B512" s="2">
        <v>45359</v>
      </c>
      <c r="C512" t="str" cm="1">
        <f t="array" ref="C5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2">
        <f>YEAR(AllDataCorrected[[#This Row],[Date]])</f>
        <v>2024</v>
      </c>
      <c r="E512" s="1">
        <v>0.67708333333333337</v>
      </c>
      <c r="F5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2" t="str">
        <f>_xlfn.XLOOKUP(AllDataCorrected[[#This Row],[Location Name]], Locations[Location Name],Locations[Group As])</f>
        <v>Preston Bagot Brook</v>
      </c>
      <c r="H512" t="e" vm="1">
        <f>_xlfn.XLOOKUP(AllDataCorrected[[#This Row],[Site Name]],LocationsKey[Site Name],LocationsKey[District])</f>
        <v>#VALUE!</v>
      </c>
      <c r="I512" t="e" vm="21">
        <f>_xlfn.XLOOKUP(AllDataCorrected[[#This Row],[Site Name]],LocationsKey[Site Name],LocationsKey[Town])</f>
        <v>#VALUE!</v>
      </c>
      <c r="J512" t="str">
        <f>_xlfn.XLOOKUP(AllDataCorrected[[#This Row],[Site Name]],LocationsKey[Site Name], LocationsKey[Waterway])</f>
        <v>Preston Bagot Brook</v>
      </c>
      <c r="K512" t="s">
        <v>621</v>
      </c>
      <c r="L512">
        <f>_xlfn.XLOOKUP(AllDataCorrected[[#This Row],[Site Name]],Tables!$B$12:$B$100, Tables!C$12:C$100)</f>
        <v>52.286066538461554</v>
      </c>
      <c r="M512">
        <f>_xlfn.XLOOKUP(AllDataCorrected[[#This Row],[Site Name]],Tables!$B$12:$B$100, Tables!D$12:D$100)</f>
        <v>-1.7472480769230765</v>
      </c>
      <c r="N512" t="s">
        <v>25</v>
      </c>
      <c r="O512">
        <v>745</v>
      </c>
      <c r="P512">
        <v>10.1</v>
      </c>
      <c r="Q512">
        <v>2.5</v>
      </c>
      <c r="R512" t="str">
        <f>IF(AllDataCorrected[[#This Row],[Nitrate (PPM)]]&gt;2, "4. Very high (&gt;2ppm)", IF(AllDataCorrected[[#This Row],[Nitrate (PPM)]]&gt;1, "3. High (1-2ppm)", IF(AllDataCorrected[[#This Row],[Nitrate (PPM)]]&gt;0.5, "2. Some evidence (0.5-1ppm)", IF(AllDataCorrected[[#This Row],[Nitrate (PPM)]]&gt;=0, "1. No evidence (&lt;0.5ppm)"))))</f>
        <v>4. Very high (&gt;2ppm)</v>
      </c>
      <c r="S512">
        <v>0.57999999999999996</v>
      </c>
      <c r="T5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2">
        <v>0</v>
      </c>
    </row>
    <row r="513" spans="1:22" x14ac:dyDescent="0.35">
      <c r="A513" t="s">
        <v>824</v>
      </c>
      <c r="B513" s="2">
        <v>45359</v>
      </c>
      <c r="C513" t="str" cm="1">
        <f t="array" ref="C5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3">
        <f>YEAR(AllDataCorrected[[#This Row],[Date]])</f>
        <v>2024</v>
      </c>
      <c r="E513" s="1">
        <v>0.67986111111111114</v>
      </c>
      <c r="F5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3" t="str">
        <f>_xlfn.XLOOKUP(AllDataCorrected[[#This Row],[Location Name]], Locations[Location Name],Locations[Group As])</f>
        <v>Walcot Lane, Bow Brook Ford</v>
      </c>
      <c r="H513" t="e" vm="6">
        <f>_xlfn.XLOOKUP(AllDataCorrected[[#This Row],[Site Name]],LocationsKey[Site Name],LocationsKey[District])</f>
        <v>#VALUE!</v>
      </c>
      <c r="I513" t="e" vm="7">
        <f>_xlfn.XLOOKUP(AllDataCorrected[[#This Row],[Site Name]],LocationsKey[Site Name],LocationsKey[Town])</f>
        <v>#VALUE!</v>
      </c>
      <c r="J513" t="str">
        <f>_xlfn.XLOOKUP(AllDataCorrected[[#This Row],[Site Name]],LocationsKey[Site Name], LocationsKey[Waterway])</f>
        <v>Bow Brook</v>
      </c>
      <c r="K513" t="s">
        <v>775</v>
      </c>
      <c r="L513">
        <f>_xlfn.XLOOKUP(AllDataCorrected[[#This Row],[Site Name]],Tables!$B$12:$B$100, Tables!C$12:C$100)</f>
        <v>52.12810345454546</v>
      </c>
      <c r="M513">
        <f>_xlfn.XLOOKUP(AllDataCorrected[[#This Row],[Site Name]],Tables!$B$12:$B$100, Tables!D$12:D$100)</f>
        <v>-2.0789593939393938</v>
      </c>
      <c r="N513" t="s">
        <v>3659</v>
      </c>
      <c r="O513">
        <v>848</v>
      </c>
      <c r="P513">
        <v>8.8000000000000007</v>
      </c>
      <c r="Q513">
        <v>5</v>
      </c>
      <c r="R513" t="str">
        <f>IF(AllDataCorrected[[#This Row],[Nitrate (PPM)]]&gt;2, "4. Very high (&gt;2ppm)", IF(AllDataCorrected[[#This Row],[Nitrate (PPM)]]&gt;1, "3. High (1-2ppm)", IF(AllDataCorrected[[#This Row],[Nitrate (PPM)]]&gt;0.5, "2. Some evidence (0.5-1ppm)", IF(AllDataCorrected[[#This Row],[Nitrate (PPM)]]&gt;=0, "1. No evidence (&lt;0.5ppm)"))))</f>
        <v>4. Very high (&gt;2ppm)</v>
      </c>
      <c r="S513">
        <v>0.77</v>
      </c>
      <c r="T5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3">
        <v>0.4</v>
      </c>
      <c r="V513" t="s">
        <v>825</v>
      </c>
    </row>
    <row r="514" spans="1:22" x14ac:dyDescent="0.35">
      <c r="A514" t="s">
        <v>826</v>
      </c>
      <c r="B514" s="2">
        <v>45360</v>
      </c>
      <c r="C514" t="str" cm="1">
        <f t="array" ref="C5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4">
        <f>YEAR(AllDataCorrected[[#This Row],[Date]])</f>
        <v>2024</v>
      </c>
      <c r="E514" s="1">
        <v>0.37569444444444444</v>
      </c>
      <c r="F5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14" t="str">
        <f>_xlfn.XLOOKUP(AllDataCorrected[[#This Row],[Location Name]], Locations[Location Name],Locations[Group As])</f>
        <v>Swilgate</v>
      </c>
      <c r="H514" t="e" vm="4">
        <f>_xlfn.XLOOKUP(AllDataCorrected[[#This Row],[Site Name]],LocationsKey[Site Name],LocationsKey[District])</f>
        <v>#VALUE!</v>
      </c>
      <c r="I514" t="e" vm="4">
        <f>_xlfn.XLOOKUP(AllDataCorrected[[#This Row],[Site Name]],LocationsKey[Site Name],LocationsKey[Town])</f>
        <v>#VALUE!</v>
      </c>
      <c r="J514" t="str">
        <f>_xlfn.XLOOKUP(AllDataCorrected[[#This Row],[Site Name]],LocationsKey[Site Name], LocationsKey[Waterway])</f>
        <v>Swilgate</v>
      </c>
      <c r="K514" t="s">
        <v>486</v>
      </c>
      <c r="L514">
        <f>_xlfn.XLOOKUP(AllDataCorrected[[#This Row],[Site Name]],Tables!$B$12:$B$100, Tables!C$12:C$100)</f>
        <v>51.988591500000005</v>
      </c>
      <c r="M514">
        <f>_xlfn.XLOOKUP(AllDataCorrected[[#This Row],[Site Name]],Tables!$B$12:$B$100, Tables!D$12:D$100)</f>
        <v>-2.163898333333333</v>
      </c>
      <c r="N514" t="s">
        <v>25</v>
      </c>
      <c r="O514">
        <v>861</v>
      </c>
      <c r="P514">
        <v>9.5</v>
      </c>
      <c r="Q514">
        <v>7</v>
      </c>
      <c r="R514" t="str">
        <f>IF(AllDataCorrected[[#This Row],[Nitrate (PPM)]]&gt;2, "4. Very high (&gt;2ppm)", IF(AllDataCorrected[[#This Row],[Nitrate (PPM)]]&gt;1, "3. High (1-2ppm)", IF(AllDataCorrected[[#This Row],[Nitrate (PPM)]]&gt;0.5, "2. Some evidence (0.5-1ppm)", IF(AllDataCorrected[[#This Row],[Nitrate (PPM)]]&gt;=0, "1. No evidence (&lt;0.5ppm)"))))</f>
        <v>4. Very high (&gt;2ppm)</v>
      </c>
      <c r="S514">
        <v>0.6</v>
      </c>
      <c r="T5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4">
        <v>0</v>
      </c>
    </row>
    <row r="515" spans="1:22" x14ac:dyDescent="0.35">
      <c r="A515" t="s">
        <v>827</v>
      </c>
      <c r="B515" s="2">
        <v>45360</v>
      </c>
      <c r="C515" t="str" cm="1">
        <f t="array" ref="C5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5">
        <f>YEAR(AllDataCorrected[[#This Row],[Date]])</f>
        <v>2024</v>
      </c>
      <c r="E515" s="1">
        <v>0.5</v>
      </c>
      <c r="F5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5" t="str">
        <f>_xlfn.XLOOKUP(AllDataCorrected[[#This Row],[Location Name]], Locations[Location Name],Locations[Group As])</f>
        <v>Carrant Bredon Rd</v>
      </c>
      <c r="H515" t="e" vm="4">
        <f>_xlfn.XLOOKUP(AllDataCorrected[[#This Row],[Site Name]],LocationsKey[Site Name],LocationsKey[District])</f>
        <v>#VALUE!</v>
      </c>
      <c r="I515" t="e" vm="4">
        <f>_xlfn.XLOOKUP(AllDataCorrected[[#This Row],[Site Name]],LocationsKey[Site Name],LocationsKey[Town])</f>
        <v>#VALUE!</v>
      </c>
      <c r="J515" t="str">
        <f>_xlfn.XLOOKUP(AllDataCorrected[[#This Row],[Site Name]],LocationsKey[Site Name], LocationsKey[Waterway])</f>
        <v>Carrant</v>
      </c>
      <c r="K515" t="s">
        <v>603</v>
      </c>
      <c r="L515">
        <f>_xlfn.XLOOKUP(AllDataCorrected[[#This Row],[Site Name]],Tables!$B$12:$B$100, Tables!C$12:C$100)</f>
        <v>51.996322536231894</v>
      </c>
      <c r="M515">
        <f>_xlfn.XLOOKUP(AllDataCorrected[[#This Row],[Site Name]],Tables!$B$12:$B$100, Tables!D$12:D$100)</f>
        <v>-2.1558410144927538</v>
      </c>
      <c r="N515" t="s">
        <v>25</v>
      </c>
      <c r="O515">
        <v>736</v>
      </c>
      <c r="P515">
        <v>9.6</v>
      </c>
      <c r="Q515">
        <v>7</v>
      </c>
      <c r="R515" t="str">
        <f>IF(AllDataCorrected[[#This Row],[Nitrate (PPM)]]&gt;2, "4. Very high (&gt;2ppm)", IF(AllDataCorrected[[#This Row],[Nitrate (PPM)]]&gt;1, "3. High (1-2ppm)", IF(AllDataCorrected[[#This Row],[Nitrate (PPM)]]&gt;0.5, "2. Some evidence (0.5-1ppm)", IF(AllDataCorrected[[#This Row],[Nitrate (PPM)]]&gt;=0, "1. No evidence (&lt;0.5ppm)"))))</f>
        <v>4. Very high (&gt;2ppm)</v>
      </c>
      <c r="S515">
        <v>0.28000000000000003</v>
      </c>
      <c r="T5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5">
        <v>7.4999999999999997E-2</v>
      </c>
      <c r="V515" t="s">
        <v>828</v>
      </c>
    </row>
    <row r="516" spans="1:22" x14ac:dyDescent="0.35">
      <c r="A516" t="s">
        <v>829</v>
      </c>
      <c r="B516" s="2">
        <v>45360</v>
      </c>
      <c r="C516" t="str" cm="1">
        <f t="array" ref="C5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6">
        <f>YEAR(AllDataCorrected[[#This Row],[Date]])</f>
        <v>2024</v>
      </c>
      <c r="E516" s="1">
        <v>0.51597222222222228</v>
      </c>
      <c r="F5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6" t="str">
        <f>_xlfn.XLOOKUP(AllDataCorrected[[#This Row],[Location Name]], Locations[Location Name],Locations[Group As])</f>
        <v>Piddle Brook Wyre Piddle Bridge</v>
      </c>
      <c r="H516" t="e" vm="6">
        <f>_xlfn.XLOOKUP(AllDataCorrected[[#This Row],[Site Name]],LocationsKey[Site Name],LocationsKey[District])</f>
        <v>#VALUE!</v>
      </c>
      <c r="I516" t="e" vm="13">
        <f>_xlfn.XLOOKUP(AllDataCorrected[[#This Row],[Site Name]],LocationsKey[Site Name],LocationsKey[Town])</f>
        <v>#VALUE!</v>
      </c>
      <c r="J516" t="str">
        <f>_xlfn.XLOOKUP(AllDataCorrected[[#This Row],[Site Name]],LocationsKey[Site Name], LocationsKey[Waterway])</f>
        <v>Piddle Brook</v>
      </c>
      <c r="K516" t="s">
        <v>787</v>
      </c>
      <c r="L516">
        <f>_xlfn.XLOOKUP(AllDataCorrected[[#This Row],[Site Name]],Tables!$B$12:$B$100, Tables!C$12:C$100)</f>
        <v>52.126394500000039</v>
      </c>
      <c r="M516">
        <f>_xlfn.XLOOKUP(AllDataCorrected[[#This Row],[Site Name]],Tables!$B$12:$B$100, Tables!D$12:D$100)</f>
        <v>-2.0564211206896545</v>
      </c>
      <c r="N516" t="s">
        <v>25</v>
      </c>
      <c r="O516">
        <v>1060</v>
      </c>
      <c r="P516">
        <v>8.6</v>
      </c>
      <c r="Q516">
        <v>5</v>
      </c>
      <c r="R516" t="str">
        <f>IF(AllDataCorrected[[#This Row],[Nitrate (PPM)]]&gt;2, "4. Very high (&gt;2ppm)", IF(AllDataCorrected[[#This Row],[Nitrate (PPM)]]&gt;1, "3. High (1-2ppm)", IF(AllDataCorrected[[#This Row],[Nitrate (PPM)]]&gt;0.5, "2. Some evidence (0.5-1ppm)", IF(AllDataCorrected[[#This Row],[Nitrate (PPM)]]&gt;=0, "1. No evidence (&lt;0.5ppm)"))))</f>
        <v>4. Very high (&gt;2ppm)</v>
      </c>
      <c r="S516">
        <v>0.51</v>
      </c>
      <c r="T5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6">
        <v>0.28999999999999998</v>
      </c>
      <c r="V516" t="s">
        <v>830</v>
      </c>
    </row>
    <row r="517" spans="1:22" x14ac:dyDescent="0.35">
      <c r="A517" t="s">
        <v>831</v>
      </c>
      <c r="B517" s="2">
        <v>45360</v>
      </c>
      <c r="C517" t="str" cm="1">
        <f t="array" ref="C5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7">
        <f>YEAR(AllDataCorrected[[#This Row],[Date]])</f>
        <v>2024</v>
      </c>
      <c r="E517" s="1">
        <v>0.5444444444444444</v>
      </c>
      <c r="F5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7" t="str">
        <f>_xlfn.XLOOKUP(AllDataCorrected[[#This Row],[Location Name]], Locations[Location Name],Locations[Group As])</f>
        <v>Avon Smiths Meadow Wyre Piddle</v>
      </c>
      <c r="H517" t="e" vm="6">
        <f>_xlfn.XLOOKUP(AllDataCorrected[[#This Row],[Site Name]],LocationsKey[Site Name],LocationsKey[District])</f>
        <v>#VALUE!</v>
      </c>
      <c r="I517" t="e" vm="13">
        <f>_xlfn.XLOOKUP(AllDataCorrected[[#This Row],[Site Name]],LocationsKey[Site Name],LocationsKey[Town])</f>
        <v>#VALUE!</v>
      </c>
      <c r="J517" t="str">
        <f>_xlfn.XLOOKUP(AllDataCorrected[[#This Row],[Site Name]],LocationsKey[Site Name], LocationsKey[Waterway])</f>
        <v>Avon</v>
      </c>
      <c r="K517" t="s">
        <v>784</v>
      </c>
      <c r="L517">
        <f>_xlfn.XLOOKUP(AllDataCorrected[[#This Row],[Site Name]],Tables!$B$12:$B$100, Tables!C$12:C$100)</f>
        <v>52.123126101694929</v>
      </c>
      <c r="M517">
        <f>_xlfn.XLOOKUP(AllDataCorrected[[#This Row],[Site Name]],Tables!$B$12:$B$100, Tables!D$12:D$100)</f>
        <v>-2.0572511355932215</v>
      </c>
      <c r="N517" t="s">
        <v>25</v>
      </c>
      <c r="O517">
        <v>313</v>
      </c>
      <c r="P517">
        <v>9.4</v>
      </c>
      <c r="Q517">
        <v>10</v>
      </c>
      <c r="R517" t="str">
        <f>IF(AllDataCorrected[[#This Row],[Nitrate (PPM)]]&gt;2, "4. Very high (&gt;2ppm)", IF(AllDataCorrected[[#This Row],[Nitrate (PPM)]]&gt;1, "3. High (1-2ppm)", IF(AllDataCorrected[[#This Row],[Nitrate (PPM)]]&gt;0.5, "2. Some evidence (0.5-1ppm)", IF(AllDataCorrected[[#This Row],[Nitrate (PPM)]]&gt;=0, "1. No evidence (&lt;0.5ppm)"))))</f>
        <v>4. Very high (&gt;2ppm)</v>
      </c>
      <c r="S517">
        <v>0.56999999999999995</v>
      </c>
      <c r="T5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17">
        <v>0.78</v>
      </c>
      <c r="V517" t="s">
        <v>832</v>
      </c>
    </row>
    <row r="518" spans="1:22" x14ac:dyDescent="0.35">
      <c r="A518" t="s">
        <v>833</v>
      </c>
      <c r="B518" s="2">
        <v>45360</v>
      </c>
      <c r="C518" t="str" cm="1">
        <f t="array" ref="C5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8">
        <f>YEAR(AllDataCorrected[[#This Row],[Date]])</f>
        <v>2024</v>
      </c>
      <c r="E518" s="1">
        <v>0.65902777777777777</v>
      </c>
      <c r="F5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18" t="str">
        <f>_xlfn.XLOOKUP(AllDataCorrected[[#This Row],[Location Name]], Locations[Location Name],Locations[Group As])</f>
        <v>Black Bear</v>
      </c>
      <c r="H518" t="e" vm="4">
        <f>_xlfn.XLOOKUP(AllDataCorrected[[#This Row],[Site Name]],LocationsKey[Site Name],LocationsKey[District])</f>
        <v>#VALUE!</v>
      </c>
      <c r="I518" t="e" vm="4">
        <f>_xlfn.XLOOKUP(AllDataCorrected[[#This Row],[Site Name]],LocationsKey[Site Name],LocationsKey[Town])</f>
        <v>#VALUE!</v>
      </c>
      <c r="J518" t="str">
        <f>_xlfn.XLOOKUP(AllDataCorrected[[#This Row],[Site Name]],LocationsKey[Site Name], LocationsKey[Waterway])</f>
        <v>Avon</v>
      </c>
      <c r="K518" t="s">
        <v>572</v>
      </c>
      <c r="L518">
        <f>_xlfn.XLOOKUP(AllDataCorrected[[#This Row],[Site Name]],Tables!$B$12:$B$100, Tables!C$12:C$100)</f>
        <v>51.997466254237274</v>
      </c>
      <c r="M518">
        <f>_xlfn.XLOOKUP(AllDataCorrected[[#This Row],[Site Name]],Tables!$B$12:$B$100, Tables!D$12:D$100)</f>
        <v>-2.1561788644067801</v>
      </c>
      <c r="N518" t="s">
        <v>25</v>
      </c>
      <c r="O518">
        <v>780</v>
      </c>
      <c r="P518">
        <v>9.8000000000000007</v>
      </c>
      <c r="Q518">
        <v>5</v>
      </c>
      <c r="R518" t="str">
        <f>IF(AllDataCorrected[[#This Row],[Nitrate (PPM)]]&gt;2, "4. Very high (&gt;2ppm)", IF(AllDataCorrected[[#This Row],[Nitrate (PPM)]]&gt;1, "3. High (1-2ppm)", IF(AllDataCorrected[[#This Row],[Nitrate (PPM)]]&gt;0.5, "2. Some evidence (0.5-1ppm)", IF(AllDataCorrected[[#This Row],[Nitrate (PPM)]]&gt;=0, "1. No evidence (&lt;0.5ppm)"))))</f>
        <v>4. Very high (&gt;2ppm)</v>
      </c>
      <c r="S518">
        <v>0.48</v>
      </c>
      <c r="T5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18">
        <v>0</v>
      </c>
    </row>
    <row r="519" spans="1:22" x14ac:dyDescent="0.35">
      <c r="A519" t="s">
        <v>834</v>
      </c>
      <c r="B519" s="2">
        <v>45360</v>
      </c>
      <c r="C519" t="str" cm="1">
        <f t="array" ref="C5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19">
        <f>YEAR(AllDataCorrected[[#This Row],[Date]])</f>
        <v>2024</v>
      </c>
      <c r="F5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19" t="str">
        <f>_xlfn.XLOOKUP(AllDataCorrected[[#This Row],[Location Name]], Locations[Location Name],Locations[Group As])</f>
        <v>Site 1  :  Middle Street</v>
      </c>
      <c r="H519" t="e" vm="1">
        <f>_xlfn.XLOOKUP(AllDataCorrected[[#This Row],[Site Name]],LocationsKey[Site Name],LocationsKey[District])</f>
        <v>#VALUE!</v>
      </c>
      <c r="I519" t="e" vm="14">
        <f>_xlfn.XLOOKUP(AllDataCorrected[[#This Row],[Site Name]],LocationsKey[Site Name],LocationsKey[Town])</f>
        <v>#VALUE!</v>
      </c>
      <c r="J519" t="str">
        <f>_xlfn.XLOOKUP(AllDataCorrected[[#This Row],[Site Name]],LocationsKey[Site Name], LocationsKey[Waterway])</f>
        <v>Fosseway Brook</v>
      </c>
      <c r="K519" t="s">
        <v>667</v>
      </c>
      <c r="L519">
        <f>_xlfn.XLOOKUP(AllDataCorrected[[#This Row],[Site Name]],Tables!$B$12:$B$100, Tables!C$12:C$100)</f>
        <v>52.090081855670022</v>
      </c>
      <c r="M519">
        <f>_xlfn.XLOOKUP(AllDataCorrected[[#This Row],[Site Name]],Tables!$B$12:$B$100, Tables!D$12:D$100)</f>
        <v>-1.6925771134020597</v>
      </c>
      <c r="N519" t="s">
        <v>68</v>
      </c>
      <c r="O519">
        <v>548</v>
      </c>
      <c r="P519">
        <v>11.3</v>
      </c>
      <c r="Q519">
        <v>2</v>
      </c>
      <c r="R519" t="str">
        <f>IF(AllDataCorrected[[#This Row],[Nitrate (PPM)]]&gt;2, "4. Very high (&gt;2ppm)", IF(AllDataCorrected[[#This Row],[Nitrate (PPM)]]&gt;1, "3. High (1-2ppm)", IF(AllDataCorrected[[#This Row],[Nitrate (PPM)]]&gt;0.5, "2. Some evidence (0.5-1ppm)", IF(AllDataCorrected[[#This Row],[Nitrate (PPM)]]&gt;=0, "1. No evidence (&lt;0.5ppm)"))))</f>
        <v>3. High (1-2ppm)</v>
      </c>
      <c r="S519">
        <v>0</v>
      </c>
      <c r="T519"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519">
        <v>0</v>
      </c>
      <c r="V519" t="s">
        <v>835</v>
      </c>
    </row>
    <row r="520" spans="1:22" x14ac:dyDescent="0.35">
      <c r="A520" t="s">
        <v>836</v>
      </c>
      <c r="B520" s="2">
        <v>45360</v>
      </c>
      <c r="C520" t="str" cm="1">
        <f t="array" ref="C5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0">
        <f>YEAR(AllDataCorrected[[#This Row],[Date]])</f>
        <v>2024</v>
      </c>
      <c r="F5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0" t="str">
        <f>_xlfn.XLOOKUP(AllDataCorrected[[#This Row],[Location Name]], Locations[Location Name],Locations[Group As])</f>
        <v>Site 1  :  Middle Street</v>
      </c>
      <c r="H520" t="e" vm="1">
        <f>_xlfn.XLOOKUP(AllDataCorrected[[#This Row],[Site Name]],LocationsKey[Site Name],LocationsKey[District])</f>
        <v>#VALUE!</v>
      </c>
      <c r="I520" t="e" vm="14">
        <f>_xlfn.XLOOKUP(AllDataCorrected[[#This Row],[Site Name]],LocationsKey[Site Name],LocationsKey[Town])</f>
        <v>#VALUE!</v>
      </c>
      <c r="J520" t="str">
        <f>_xlfn.XLOOKUP(AllDataCorrected[[#This Row],[Site Name]],LocationsKey[Site Name], LocationsKey[Waterway])</f>
        <v>Fosseway Brook</v>
      </c>
      <c r="K520" t="s">
        <v>670</v>
      </c>
      <c r="L520">
        <f>_xlfn.XLOOKUP(AllDataCorrected[[#This Row],[Site Name]],Tables!$B$12:$B$100, Tables!C$12:C$100)</f>
        <v>52.090081855670022</v>
      </c>
      <c r="M520">
        <f>_xlfn.XLOOKUP(AllDataCorrected[[#This Row],[Site Name]],Tables!$B$12:$B$100, Tables!D$12:D$100)</f>
        <v>-1.6925771134020597</v>
      </c>
      <c r="N520" t="s">
        <v>68</v>
      </c>
      <c r="O520">
        <v>548</v>
      </c>
      <c r="P520">
        <v>11.3</v>
      </c>
      <c r="Q520">
        <v>2</v>
      </c>
      <c r="R520" t="str">
        <f>IF(AllDataCorrected[[#This Row],[Nitrate (PPM)]]&gt;2, "4. Very high (&gt;2ppm)", IF(AllDataCorrected[[#This Row],[Nitrate (PPM)]]&gt;1, "3. High (1-2ppm)", IF(AllDataCorrected[[#This Row],[Nitrate (PPM)]]&gt;0.5, "2. Some evidence (0.5-1ppm)", IF(AllDataCorrected[[#This Row],[Nitrate (PPM)]]&gt;=0, "1. No evidence (&lt;0.5ppm)"))))</f>
        <v>3. High (1-2ppm)</v>
      </c>
      <c r="S520">
        <v>0</v>
      </c>
      <c r="T520"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row>
    <row r="521" spans="1:22" x14ac:dyDescent="0.35">
      <c r="A521" t="s">
        <v>837</v>
      </c>
      <c r="B521" s="2">
        <v>45360</v>
      </c>
      <c r="C521" t="str" cm="1">
        <f t="array" ref="C5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1">
        <f>YEAR(AllDataCorrected[[#This Row],[Date]])</f>
        <v>2024</v>
      </c>
      <c r="F52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1" t="str">
        <f>_xlfn.XLOOKUP(AllDataCorrected[[#This Row],[Location Name]], Locations[Location Name],Locations[Group As])</f>
        <v>Site 2  :  Cross Leys culvert</v>
      </c>
      <c r="H521" t="e" vm="1">
        <f>_xlfn.XLOOKUP(AllDataCorrected[[#This Row],[Site Name]],LocationsKey[Site Name],LocationsKey[District])</f>
        <v>#VALUE!</v>
      </c>
      <c r="I521" t="e" vm="14">
        <f>_xlfn.XLOOKUP(AllDataCorrected[[#This Row],[Site Name]],LocationsKey[Site Name],LocationsKey[Town])</f>
        <v>#VALUE!</v>
      </c>
      <c r="J521" t="str">
        <f>_xlfn.XLOOKUP(AllDataCorrected[[#This Row],[Site Name]],LocationsKey[Site Name], LocationsKey[Waterway])</f>
        <v>Fosseway Brook</v>
      </c>
      <c r="K521" t="s">
        <v>623</v>
      </c>
      <c r="L521">
        <f>_xlfn.XLOOKUP(AllDataCorrected[[#This Row],[Site Name]],Tables!$B$12:$B$100, Tables!C$12:C$100)</f>
        <v>52.092997354838673</v>
      </c>
      <c r="M521">
        <f>_xlfn.XLOOKUP(AllDataCorrected[[#This Row],[Site Name]],Tables!$B$12:$B$100, Tables!D$12:D$100)</f>
        <v>-1.6862254516129045</v>
      </c>
      <c r="N521" t="s">
        <v>68</v>
      </c>
      <c r="O521">
        <v>600</v>
      </c>
      <c r="P521">
        <v>9.6999999999999993</v>
      </c>
      <c r="Q521">
        <v>2</v>
      </c>
      <c r="R521" t="str">
        <f>IF(AllDataCorrected[[#This Row],[Nitrate (PPM)]]&gt;2, "4. Very high (&gt;2ppm)", IF(AllDataCorrected[[#This Row],[Nitrate (PPM)]]&gt;1, "3. High (1-2ppm)", IF(AllDataCorrected[[#This Row],[Nitrate (PPM)]]&gt;0.5, "2. Some evidence (0.5-1ppm)", IF(AllDataCorrected[[#This Row],[Nitrate (PPM)]]&gt;=0, "1. No evidence (&lt;0.5ppm)"))))</f>
        <v>3. High (1-2ppm)</v>
      </c>
      <c r="S521">
        <v>0.17</v>
      </c>
      <c r="T5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1">
        <v>0</v>
      </c>
      <c r="V521" t="s">
        <v>835</v>
      </c>
    </row>
    <row r="522" spans="1:22" x14ac:dyDescent="0.35">
      <c r="A522" t="s">
        <v>838</v>
      </c>
      <c r="B522" s="2">
        <v>45360</v>
      </c>
      <c r="C522" t="str" cm="1">
        <f t="array" ref="C5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2">
        <f>YEAR(AllDataCorrected[[#This Row],[Date]])</f>
        <v>2024</v>
      </c>
      <c r="F52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2" t="str">
        <f>_xlfn.XLOOKUP(AllDataCorrected[[#This Row],[Location Name]], Locations[Location Name],Locations[Group As])</f>
        <v>Site 2  :  Cross Leys culvert</v>
      </c>
      <c r="H522" t="e" vm="1">
        <f>_xlfn.XLOOKUP(AllDataCorrected[[#This Row],[Site Name]],LocationsKey[Site Name],LocationsKey[District])</f>
        <v>#VALUE!</v>
      </c>
      <c r="I522" t="e" vm="14">
        <f>_xlfn.XLOOKUP(AllDataCorrected[[#This Row],[Site Name]],LocationsKey[Site Name],LocationsKey[Town])</f>
        <v>#VALUE!</v>
      </c>
      <c r="J522" t="str">
        <f>_xlfn.XLOOKUP(AllDataCorrected[[#This Row],[Site Name]],LocationsKey[Site Name], LocationsKey[Waterway])</f>
        <v>Fosseway Brook</v>
      </c>
      <c r="K522" t="s">
        <v>626</v>
      </c>
      <c r="L522">
        <f>_xlfn.XLOOKUP(AllDataCorrected[[#This Row],[Site Name]],Tables!$B$12:$B$100, Tables!C$12:C$100)</f>
        <v>52.092997354838673</v>
      </c>
      <c r="M522">
        <f>_xlfn.XLOOKUP(AllDataCorrected[[#This Row],[Site Name]],Tables!$B$12:$B$100, Tables!D$12:D$100)</f>
        <v>-1.6862254516129045</v>
      </c>
      <c r="N522" t="s">
        <v>68</v>
      </c>
      <c r="O522">
        <v>600</v>
      </c>
      <c r="P522">
        <v>9.6999999999999993</v>
      </c>
      <c r="Q522">
        <v>2</v>
      </c>
      <c r="R522" t="str">
        <f>IF(AllDataCorrected[[#This Row],[Nitrate (PPM)]]&gt;2, "4. Very high (&gt;2ppm)", IF(AllDataCorrected[[#This Row],[Nitrate (PPM)]]&gt;1, "3. High (1-2ppm)", IF(AllDataCorrected[[#This Row],[Nitrate (PPM)]]&gt;0.5, "2. Some evidence (0.5-1ppm)", IF(AllDataCorrected[[#This Row],[Nitrate (PPM)]]&gt;=0, "1. No evidence (&lt;0.5ppm)"))))</f>
        <v>3. High (1-2ppm)</v>
      </c>
      <c r="S522">
        <v>0.17</v>
      </c>
      <c r="T5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523" spans="1:22" x14ac:dyDescent="0.35">
      <c r="A523" t="s">
        <v>839</v>
      </c>
      <c r="B523" s="2">
        <v>45360</v>
      </c>
      <c r="C523" t="str" cm="1">
        <f t="array" ref="C5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3">
        <f>YEAR(AllDataCorrected[[#This Row],[Date]])</f>
        <v>2024</v>
      </c>
      <c r="F5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3" t="str">
        <f>_xlfn.XLOOKUP(AllDataCorrected[[#This Row],[Location Name]], Locations[Location Name],Locations[Group As])</f>
        <v>Site 3  :  Severn Trent Water processing plant outflow</v>
      </c>
      <c r="H523" t="e" vm="1">
        <f>_xlfn.XLOOKUP(AllDataCorrected[[#This Row],[Site Name]],LocationsKey[Site Name],LocationsKey[District])</f>
        <v>#VALUE!</v>
      </c>
      <c r="I523" t="e" vm="14">
        <f>_xlfn.XLOOKUP(AllDataCorrected[[#This Row],[Site Name]],LocationsKey[Site Name],LocationsKey[Town])</f>
        <v>#VALUE!</v>
      </c>
      <c r="J523" t="str">
        <f>_xlfn.XLOOKUP(AllDataCorrected[[#This Row],[Site Name]],LocationsKey[Site Name], LocationsKey[Waterway])</f>
        <v>Fosseway Brook</v>
      </c>
      <c r="K523" t="s">
        <v>673</v>
      </c>
      <c r="L523">
        <f>_xlfn.XLOOKUP(AllDataCorrected[[#This Row],[Site Name]],Tables!$B$12:$B$100, Tables!C$12:C$100)</f>
        <v>52.130499999999998</v>
      </c>
      <c r="M523">
        <f>_xlfn.XLOOKUP(AllDataCorrected[[#This Row],[Site Name]],Tables!$B$12:$B$100, Tables!D$12:D$100)</f>
        <v>-2.0787</v>
      </c>
      <c r="N523" t="s">
        <v>31</v>
      </c>
      <c r="O523">
        <v>614</v>
      </c>
      <c r="P523">
        <v>10.039999999999999</v>
      </c>
      <c r="Q523">
        <v>10</v>
      </c>
      <c r="R523" t="str">
        <f>IF(AllDataCorrected[[#This Row],[Nitrate (PPM)]]&gt;2, "4. Very high (&gt;2ppm)", IF(AllDataCorrected[[#This Row],[Nitrate (PPM)]]&gt;1, "3. High (1-2ppm)", IF(AllDataCorrected[[#This Row],[Nitrate (PPM)]]&gt;0.5, "2. Some evidence (0.5-1ppm)", IF(AllDataCorrected[[#This Row],[Nitrate (PPM)]]&gt;=0, "1. No evidence (&lt;0.5ppm)"))))</f>
        <v>4. Very high (&gt;2ppm)</v>
      </c>
      <c r="S523">
        <v>2.5</v>
      </c>
      <c r="T5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3">
        <v>0</v>
      </c>
      <c r="V523" t="s">
        <v>840</v>
      </c>
    </row>
    <row r="524" spans="1:22" x14ac:dyDescent="0.35">
      <c r="A524" t="s">
        <v>841</v>
      </c>
      <c r="B524" s="2">
        <v>45360</v>
      </c>
      <c r="C524" t="str" cm="1">
        <f t="array" ref="C5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4">
        <f>YEAR(AllDataCorrected[[#This Row],[Date]])</f>
        <v>2024</v>
      </c>
      <c r="F52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24" t="str">
        <f>_xlfn.XLOOKUP(AllDataCorrected[[#This Row],[Location Name]], Locations[Location Name],Locations[Group As])</f>
        <v>Site 3  :  Severn Trent Water processing plant outflow</v>
      </c>
      <c r="H524" t="e" vm="1">
        <f>_xlfn.XLOOKUP(AllDataCorrected[[#This Row],[Site Name]],LocationsKey[Site Name],LocationsKey[District])</f>
        <v>#VALUE!</v>
      </c>
      <c r="I524" t="e" vm="14">
        <f>_xlfn.XLOOKUP(AllDataCorrected[[#This Row],[Site Name]],LocationsKey[Site Name],LocationsKey[Town])</f>
        <v>#VALUE!</v>
      </c>
      <c r="J524" t="str">
        <f>_xlfn.XLOOKUP(AllDataCorrected[[#This Row],[Site Name]],LocationsKey[Site Name], LocationsKey[Waterway])</f>
        <v>Fosseway Brook</v>
      </c>
      <c r="K524" t="s">
        <v>676</v>
      </c>
      <c r="L524">
        <f>_xlfn.XLOOKUP(AllDataCorrected[[#This Row],[Site Name]],Tables!$B$12:$B$100, Tables!C$12:C$100)</f>
        <v>52.130499999999998</v>
      </c>
      <c r="M524">
        <f>_xlfn.XLOOKUP(AllDataCorrected[[#This Row],[Site Name]],Tables!$B$12:$B$100, Tables!D$12:D$100)</f>
        <v>-2.0787</v>
      </c>
      <c r="N524" t="s">
        <v>31</v>
      </c>
      <c r="O524">
        <v>614</v>
      </c>
      <c r="P524">
        <v>10.039999999999999</v>
      </c>
      <c r="Q524">
        <v>10</v>
      </c>
      <c r="R524" t="str">
        <f>IF(AllDataCorrected[[#This Row],[Nitrate (PPM)]]&gt;2, "4. Very high (&gt;2ppm)", IF(AllDataCorrected[[#This Row],[Nitrate (PPM)]]&gt;1, "3. High (1-2ppm)", IF(AllDataCorrected[[#This Row],[Nitrate (PPM)]]&gt;0.5, "2. Some evidence (0.5-1ppm)", IF(AllDataCorrected[[#This Row],[Nitrate (PPM)]]&gt;=0, "1. No evidence (&lt;0.5ppm)"))))</f>
        <v>4. Very high (&gt;2ppm)</v>
      </c>
      <c r="S524">
        <v>2.5</v>
      </c>
      <c r="T5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525" spans="1:22" x14ac:dyDescent="0.35">
      <c r="A525" t="s">
        <v>843</v>
      </c>
      <c r="B525" s="2">
        <v>45361</v>
      </c>
      <c r="C525" t="str" cm="1">
        <f t="array" ref="C5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5">
        <f>YEAR(AllDataCorrected[[#This Row],[Date]])</f>
        <v>2024</v>
      </c>
      <c r="E525" s="1">
        <v>0.4375</v>
      </c>
      <c r="F5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25" t="str">
        <f>_xlfn.XLOOKUP(AllDataCorrected[[#This Row],[Location Name]], Locations[Location Name],Locations[Group As])</f>
        <v>Lucy's Mill Bridge</v>
      </c>
      <c r="H525" t="e" vm="1">
        <f>_xlfn.XLOOKUP(AllDataCorrected[[#This Row],[Site Name]],LocationsKey[Site Name],LocationsKey[District])</f>
        <v>#VALUE!</v>
      </c>
      <c r="I525" t="e" vm="12">
        <f>_xlfn.XLOOKUP(AllDataCorrected[[#This Row],[Site Name]],LocationsKey[Site Name],LocationsKey[Town])</f>
        <v>#VALUE!</v>
      </c>
      <c r="J525" t="str">
        <f>_xlfn.XLOOKUP(AllDataCorrected[[#This Row],[Site Name]],LocationsKey[Site Name], LocationsKey[Waterway])</f>
        <v>Avon</v>
      </c>
      <c r="K525" t="s">
        <v>212</v>
      </c>
      <c r="L525">
        <f>_xlfn.XLOOKUP(AllDataCorrected[[#This Row],[Site Name]],Tables!$B$12:$B$100, Tables!C$12:C$100)</f>
        <v>52.183699000000011</v>
      </c>
      <c r="M525">
        <f>_xlfn.XLOOKUP(AllDataCorrected[[#This Row],[Site Name]],Tables!$B$12:$B$100, Tables!D$12:D$100)</f>
        <v>-1.7078160000000004</v>
      </c>
      <c r="N525" t="s">
        <v>31</v>
      </c>
      <c r="P525">
        <v>10</v>
      </c>
      <c r="Q525">
        <v>3</v>
      </c>
      <c r="R525" t="str">
        <f>IF(AllDataCorrected[[#This Row],[Nitrate (PPM)]]&gt;2, "4. Very high (&gt;2ppm)", IF(AllDataCorrected[[#This Row],[Nitrate (PPM)]]&gt;1, "3. High (1-2ppm)", IF(AllDataCorrected[[#This Row],[Nitrate (PPM)]]&gt;0.5, "2. Some evidence (0.5-1ppm)", IF(AllDataCorrected[[#This Row],[Nitrate (PPM)]]&gt;=0, "1. No evidence (&lt;0.5ppm)"))))</f>
        <v>4. Very high (&gt;2ppm)</v>
      </c>
      <c r="S525">
        <v>0.4</v>
      </c>
      <c r="T5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5">
        <v>0.7</v>
      </c>
    </row>
    <row r="526" spans="1:22" x14ac:dyDescent="0.35">
      <c r="A526" t="s">
        <v>844</v>
      </c>
      <c r="B526" s="2">
        <v>45361</v>
      </c>
      <c r="C526" t="str" cm="1">
        <f t="array" ref="C5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6">
        <f>YEAR(AllDataCorrected[[#This Row],[Date]])</f>
        <v>2024</v>
      </c>
      <c r="E526" s="1">
        <v>0.5625</v>
      </c>
      <c r="F5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6" t="str">
        <f>_xlfn.XLOOKUP(AllDataCorrected[[#This Row],[Location Name]], Locations[Location Name],Locations[Group As])</f>
        <v>Clifford Chambers Mill Bridge</v>
      </c>
      <c r="H526" t="e" vm="1">
        <f>_xlfn.XLOOKUP(AllDataCorrected[[#This Row],[Site Name]],LocationsKey[Site Name],LocationsKey[District])</f>
        <v>#VALUE!</v>
      </c>
      <c r="I526" t="e" vm="22">
        <f>_xlfn.XLOOKUP(AllDataCorrected[[#This Row],[Site Name]],LocationsKey[Site Name],LocationsKey[Town])</f>
        <v>#VALUE!</v>
      </c>
      <c r="J526" t="str">
        <f>_xlfn.XLOOKUP(AllDataCorrected[[#This Row],[Site Name]],LocationsKey[Site Name], LocationsKey[Waterway])</f>
        <v>Stour</v>
      </c>
      <c r="K526" t="s">
        <v>266</v>
      </c>
      <c r="L526">
        <f>_xlfn.XLOOKUP(AllDataCorrected[[#This Row],[Site Name]],Tables!$B$12:$B$100, Tables!C$12:C$100)</f>
        <v>52.166363596153808</v>
      </c>
      <c r="M526">
        <f>_xlfn.XLOOKUP(AllDataCorrected[[#This Row],[Site Name]],Tables!$B$12:$B$100, Tables!D$12:D$100)</f>
        <v>-1.7080375384615398</v>
      </c>
      <c r="N526" t="s">
        <v>68</v>
      </c>
      <c r="O526">
        <v>665</v>
      </c>
      <c r="P526">
        <v>9.1999999999999993</v>
      </c>
      <c r="Q526">
        <v>10</v>
      </c>
      <c r="R526" t="str">
        <f>IF(AllDataCorrected[[#This Row],[Nitrate (PPM)]]&gt;2, "4. Very high (&gt;2ppm)", IF(AllDataCorrected[[#This Row],[Nitrate (PPM)]]&gt;1, "3. High (1-2ppm)", IF(AllDataCorrected[[#This Row],[Nitrate (PPM)]]&gt;0.5, "2. Some evidence (0.5-1ppm)", IF(AllDataCorrected[[#This Row],[Nitrate (PPM)]]&gt;=0, "1. No evidence (&lt;0.5ppm)"))))</f>
        <v>4. Very high (&gt;2ppm)</v>
      </c>
      <c r="S526">
        <v>0.22</v>
      </c>
      <c r="T5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6">
        <v>1.2</v>
      </c>
      <c r="V526" t="s">
        <v>845</v>
      </c>
    </row>
    <row r="527" spans="1:22" x14ac:dyDescent="0.35">
      <c r="A527" t="s">
        <v>846</v>
      </c>
      <c r="B527" s="2">
        <v>45361</v>
      </c>
      <c r="C527" t="str" cm="1">
        <f t="array" ref="C5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7">
        <f>YEAR(AllDataCorrected[[#This Row],[Date]])</f>
        <v>2024</v>
      </c>
      <c r="E527" s="1">
        <v>0.58333333333333337</v>
      </c>
      <c r="F5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7" t="str">
        <f>_xlfn.XLOOKUP(AllDataCorrected[[#This Row],[Location Name]], Locations[Location Name],Locations[Group As])</f>
        <v>Avonbank Drive</v>
      </c>
      <c r="H527" t="e" vm="1">
        <f>_xlfn.XLOOKUP(AllDataCorrected[[#This Row],[Site Name]],LocationsKey[Site Name],LocationsKey[District])</f>
        <v>#VALUE!</v>
      </c>
      <c r="I527" t="e" vm="12">
        <f>_xlfn.XLOOKUP(AllDataCorrected[[#This Row],[Site Name]],LocationsKey[Site Name],LocationsKey[Town])</f>
        <v>#VALUE!</v>
      </c>
      <c r="J527" t="str">
        <f>_xlfn.XLOOKUP(AllDataCorrected[[#This Row],[Site Name]],LocationsKey[Site Name], LocationsKey[Waterway])</f>
        <v>Avon</v>
      </c>
      <c r="K527" t="s">
        <v>104</v>
      </c>
      <c r="L527">
        <f>_xlfn.XLOOKUP(AllDataCorrected[[#This Row],[Site Name]],Tables!$B$12:$B$100, Tables!C$12:C$100)</f>
        <v>51.566927775862098</v>
      </c>
      <c r="M527">
        <f>_xlfn.XLOOKUP(AllDataCorrected[[#This Row],[Site Name]],Tables!$B$12:$B$100, Tables!D$12:D$100)</f>
        <v>-7.2113336724137929</v>
      </c>
      <c r="N527" t="s">
        <v>68</v>
      </c>
      <c r="O527">
        <v>897</v>
      </c>
      <c r="P527">
        <v>14.8</v>
      </c>
      <c r="Q527">
        <v>10</v>
      </c>
      <c r="R527" t="str">
        <f>IF(AllDataCorrected[[#This Row],[Nitrate (PPM)]]&gt;2, "4. Very high (&gt;2ppm)", IF(AllDataCorrected[[#This Row],[Nitrate (PPM)]]&gt;1, "3. High (1-2ppm)", IF(AllDataCorrected[[#This Row],[Nitrate (PPM)]]&gt;0.5, "2. Some evidence (0.5-1ppm)", IF(AllDataCorrected[[#This Row],[Nitrate (PPM)]]&gt;=0, "1. No evidence (&lt;0.5ppm)"))))</f>
        <v>4. Very high (&gt;2ppm)</v>
      </c>
      <c r="S527">
        <v>0.47</v>
      </c>
      <c r="T5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7">
        <v>1</v>
      </c>
    </row>
    <row r="528" spans="1:22" x14ac:dyDescent="0.35">
      <c r="A528" t="s">
        <v>847</v>
      </c>
      <c r="B528" s="2">
        <v>45361</v>
      </c>
      <c r="C528" t="str" cm="1">
        <f t="array" ref="C5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8">
        <f>YEAR(AllDataCorrected[[#This Row],[Date]])</f>
        <v>2024</v>
      </c>
      <c r="E528" s="1">
        <v>0.58333333333333337</v>
      </c>
      <c r="F5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8" t="str">
        <f>_xlfn.XLOOKUP(AllDataCorrected[[#This Row],[Location Name]], Locations[Location Name],Locations[Group As])</f>
        <v>Pitch 16</v>
      </c>
      <c r="H528" t="e" vm="1">
        <f>_xlfn.XLOOKUP(AllDataCorrected[[#This Row],[Site Name]],LocationsKey[Site Name],LocationsKey[District])</f>
        <v>#VALUE!</v>
      </c>
      <c r="I528" t="e" vm="12">
        <f>_xlfn.XLOOKUP(AllDataCorrected[[#This Row],[Site Name]],LocationsKey[Site Name],LocationsKey[Town])</f>
        <v>#VALUE!</v>
      </c>
      <c r="J528" t="str">
        <f>_xlfn.XLOOKUP(AllDataCorrected[[#This Row],[Site Name]],LocationsKey[Site Name], LocationsKey[Waterway])</f>
        <v>Avon</v>
      </c>
      <c r="K528" t="s">
        <v>71</v>
      </c>
      <c r="L528">
        <f>_xlfn.XLOOKUP(AllDataCorrected[[#This Row],[Site Name]],Tables!$B$12:$B$100, Tables!C$12:C$100)</f>
        <v>51.289310076923087</v>
      </c>
      <c r="M528">
        <f>_xlfn.XLOOKUP(AllDataCorrected[[#This Row],[Site Name]],Tables!$B$12:$B$100, Tables!D$12:D$100)</f>
        <v>-0.10399761538461544</v>
      </c>
      <c r="N528" t="s">
        <v>31</v>
      </c>
      <c r="O528">
        <v>873</v>
      </c>
      <c r="P528">
        <v>12.8</v>
      </c>
      <c r="Q528">
        <v>10</v>
      </c>
      <c r="R528" t="str">
        <f>IF(AllDataCorrected[[#This Row],[Nitrate (PPM)]]&gt;2, "4. Very high (&gt;2ppm)", IF(AllDataCorrected[[#This Row],[Nitrate (PPM)]]&gt;1, "3. High (1-2ppm)", IF(AllDataCorrected[[#This Row],[Nitrate (PPM)]]&gt;0.5, "2. Some evidence (0.5-1ppm)", IF(AllDataCorrected[[#This Row],[Nitrate (PPM)]]&gt;=0, "1. No evidence (&lt;0.5ppm)"))))</f>
        <v>4. Very high (&gt;2ppm)</v>
      </c>
      <c r="S528">
        <v>0.43</v>
      </c>
      <c r="T5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28">
        <v>1</v>
      </c>
    </row>
    <row r="529" spans="1:22" x14ac:dyDescent="0.35">
      <c r="A529" t="s">
        <v>848</v>
      </c>
      <c r="B529" s="2">
        <v>45361</v>
      </c>
      <c r="C529" t="str" cm="1">
        <f t="array" ref="C5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29">
        <f>YEAR(AllDataCorrected[[#This Row],[Date]])</f>
        <v>2024</v>
      </c>
      <c r="E529" s="1">
        <v>0.625</v>
      </c>
      <c r="F5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29" t="str">
        <f>_xlfn.XLOOKUP(AllDataCorrected[[#This Row],[Location Name]], Locations[Location Name],Locations[Group As])</f>
        <v>Sherbourne Brook 1</v>
      </c>
      <c r="H529" t="e" vm="1">
        <f>_xlfn.XLOOKUP(AllDataCorrected[[#This Row],[Site Name]],LocationsKey[Site Name],LocationsKey[District])</f>
        <v>#VALUE!</v>
      </c>
      <c r="I529" t="e" vm="23">
        <f>_xlfn.XLOOKUP(AllDataCorrected[[#This Row],[Site Name]],LocationsKey[Site Name],LocationsKey[Town])</f>
        <v>#VALUE!</v>
      </c>
      <c r="J529" t="str">
        <f>_xlfn.XLOOKUP(AllDataCorrected[[#This Row],[Site Name]],LocationsKey[Site Name], LocationsKey[Waterway])</f>
        <v>Sherbourne Brook</v>
      </c>
      <c r="K529" t="s">
        <v>541</v>
      </c>
      <c r="L529">
        <f>_xlfn.XLOOKUP(AllDataCorrected[[#This Row],[Site Name]],Tables!$B$12:$B$100, Tables!C$12:C$100)</f>
        <v>52.252500000000033</v>
      </c>
      <c r="M529">
        <f>_xlfn.XLOOKUP(AllDataCorrected[[#This Row],[Site Name]],Tables!$B$12:$B$100, Tables!D$12:D$100)</f>
        <v>-1.6685000000000012</v>
      </c>
      <c r="N529" t="s">
        <v>25</v>
      </c>
      <c r="O529">
        <v>456</v>
      </c>
      <c r="P529">
        <v>8.8000000000000007</v>
      </c>
      <c r="Q529">
        <v>4</v>
      </c>
      <c r="R529" t="str">
        <f>IF(AllDataCorrected[[#This Row],[Nitrate (PPM)]]&gt;2, "4. Very high (&gt;2ppm)", IF(AllDataCorrected[[#This Row],[Nitrate (PPM)]]&gt;1, "3. High (1-2ppm)", IF(AllDataCorrected[[#This Row],[Nitrate (PPM)]]&gt;0.5, "2. Some evidence (0.5-1ppm)", IF(AllDataCorrected[[#This Row],[Nitrate (PPM)]]&gt;=0, "1. No evidence (&lt;0.5ppm)"))))</f>
        <v>4. Very high (&gt;2ppm)</v>
      </c>
      <c r="S529">
        <v>0.84</v>
      </c>
      <c r="T5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29">
        <v>1</v>
      </c>
      <c r="V529" t="s">
        <v>849</v>
      </c>
    </row>
    <row r="530" spans="1:22" x14ac:dyDescent="0.35">
      <c r="A530" t="s">
        <v>850</v>
      </c>
      <c r="B530" s="2">
        <v>45361</v>
      </c>
      <c r="C530" t="str" cm="1">
        <f t="array" ref="C5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0">
        <f>YEAR(AllDataCorrected[[#This Row],[Date]])</f>
        <v>2024</v>
      </c>
      <c r="E530" s="1">
        <v>0.63541666666666663</v>
      </c>
      <c r="F5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0" t="str">
        <f>_xlfn.XLOOKUP(AllDataCorrected[[#This Row],[Location Name]], Locations[Location Name],Locations[Group As])</f>
        <v>Bell Brook 1</v>
      </c>
      <c r="H530" t="e" vm="1">
        <f>_xlfn.XLOOKUP(AllDataCorrected[[#This Row],[Site Name]],LocationsKey[Site Name],LocationsKey[District])</f>
        <v>#VALUE!</v>
      </c>
      <c r="I530" t="e" vm="19">
        <f>_xlfn.XLOOKUP(AllDataCorrected[[#This Row],[Site Name]],LocationsKey[Site Name],LocationsKey[Town])</f>
        <v>#VALUE!</v>
      </c>
      <c r="J530" t="str">
        <f>_xlfn.XLOOKUP(AllDataCorrected[[#This Row],[Site Name]],LocationsKey[Site Name], LocationsKey[Waterway])</f>
        <v>Bell Brook</v>
      </c>
      <c r="K530" t="s">
        <v>538</v>
      </c>
      <c r="L530">
        <f>_xlfn.XLOOKUP(AllDataCorrected[[#This Row],[Site Name]],Tables!$B$12:$B$100, Tables!C$12:C$100)</f>
        <v>52.24489999999998</v>
      </c>
      <c r="M530">
        <f>_xlfn.XLOOKUP(AllDataCorrected[[#This Row],[Site Name]],Tables!$B$12:$B$100, Tables!D$12:D$100)</f>
        <v>-1.6617000000000013</v>
      </c>
      <c r="N530" t="s">
        <v>25</v>
      </c>
      <c r="O530">
        <v>602</v>
      </c>
      <c r="P530">
        <v>9.6999999999999993</v>
      </c>
      <c r="Q530">
        <v>4</v>
      </c>
      <c r="R530" t="str">
        <f>IF(AllDataCorrected[[#This Row],[Nitrate (PPM)]]&gt;2, "4. Very high (&gt;2ppm)", IF(AllDataCorrected[[#This Row],[Nitrate (PPM)]]&gt;1, "3. High (1-2ppm)", IF(AllDataCorrected[[#This Row],[Nitrate (PPM)]]&gt;0.5, "2. Some evidence (0.5-1ppm)", IF(AllDataCorrected[[#This Row],[Nitrate (PPM)]]&gt;=0, "1. No evidence (&lt;0.5ppm)"))))</f>
        <v>4. Very high (&gt;2ppm)</v>
      </c>
      <c r="S530">
        <v>0.67</v>
      </c>
      <c r="T5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0">
        <v>1</v>
      </c>
      <c r="V530" t="s">
        <v>849</v>
      </c>
    </row>
    <row r="531" spans="1:22" x14ac:dyDescent="0.35">
      <c r="A531" t="s">
        <v>851</v>
      </c>
      <c r="B531" s="2">
        <v>45362</v>
      </c>
      <c r="C531" t="str" cm="1">
        <f t="array" ref="C5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1">
        <f>YEAR(AllDataCorrected[[#This Row],[Date]])</f>
        <v>2024</v>
      </c>
      <c r="E531" s="1">
        <v>0.37569444444444444</v>
      </c>
      <c r="F5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1" t="str">
        <f>_xlfn.XLOOKUP(AllDataCorrected[[#This Row],[Location Name]], Locations[Location Name],Locations[Group As])</f>
        <v>Stour Stretton-on-Fosse Village</v>
      </c>
      <c r="H531" t="e" vm="1">
        <f>_xlfn.XLOOKUP(AllDataCorrected[[#This Row],[Site Name]],LocationsKey[Site Name],LocationsKey[District])</f>
        <v>#VALUE!</v>
      </c>
      <c r="I531" t="e" vm="30">
        <f>_xlfn.XLOOKUP(AllDataCorrected[[#This Row],[Site Name]],LocationsKey[Site Name],LocationsKey[Town])</f>
        <v>#VALUE!</v>
      </c>
      <c r="J531" t="str">
        <f>_xlfn.XLOOKUP(AllDataCorrected[[#This Row],[Site Name]],LocationsKey[Site Name], LocationsKey[Waterway])</f>
        <v>Stour</v>
      </c>
      <c r="K531" t="s">
        <v>548</v>
      </c>
      <c r="L531">
        <f>_xlfn.XLOOKUP(AllDataCorrected[[#This Row],[Site Name]],Tables!$B$12:$B$100, Tables!C$12:C$100)</f>
        <v>52.046517558823531</v>
      </c>
      <c r="M531">
        <f>_xlfn.XLOOKUP(AllDataCorrected[[#This Row],[Site Name]],Tables!$B$12:$B$100, Tables!D$12:D$100)</f>
        <v>-1.6734143529411762</v>
      </c>
      <c r="N531" t="s">
        <v>68</v>
      </c>
      <c r="O531">
        <v>420</v>
      </c>
      <c r="P531">
        <v>8.1</v>
      </c>
      <c r="Q531">
        <v>0.5</v>
      </c>
      <c r="R53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531">
        <v>0.35</v>
      </c>
      <c r="T5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1">
        <v>0.3</v>
      </c>
    </row>
    <row r="532" spans="1:22" x14ac:dyDescent="0.35">
      <c r="A532" t="s">
        <v>852</v>
      </c>
      <c r="B532" s="2">
        <v>45362</v>
      </c>
      <c r="C532" t="str" cm="1">
        <f t="array" ref="C5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2">
        <f>YEAR(AllDataCorrected[[#This Row],[Date]])</f>
        <v>2024</v>
      </c>
      <c r="E532" s="1">
        <v>0.39305555555555555</v>
      </c>
      <c r="F5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2" t="str">
        <f>_xlfn.XLOOKUP(AllDataCorrected[[#This Row],[Location Name]], Locations[Location Name],Locations[Group As])</f>
        <v>Stour Stretton-on-Fosse Sewage Works</v>
      </c>
      <c r="H532" t="e" vm="1">
        <f>_xlfn.XLOOKUP(AllDataCorrected[[#This Row],[Site Name]],LocationsKey[Site Name],LocationsKey[District])</f>
        <v>#VALUE!</v>
      </c>
      <c r="I532" t="e" vm="30">
        <f>_xlfn.XLOOKUP(AllDataCorrected[[#This Row],[Site Name]],LocationsKey[Site Name],LocationsKey[Town])</f>
        <v>#VALUE!</v>
      </c>
      <c r="J532" t="str">
        <f>_xlfn.XLOOKUP(AllDataCorrected[[#This Row],[Site Name]],LocationsKey[Site Name], LocationsKey[Waterway])</f>
        <v>Stour</v>
      </c>
      <c r="K532" t="s">
        <v>337</v>
      </c>
      <c r="L532">
        <f>_xlfn.XLOOKUP(AllDataCorrected[[#This Row],[Site Name]],Tables!$B$12:$B$100, Tables!C$12:C$100)</f>
        <v>52.045653647058828</v>
      </c>
      <c r="M532">
        <f>_xlfn.XLOOKUP(AllDataCorrected[[#This Row],[Site Name]],Tables!$B$12:$B$100, Tables!D$12:D$100)</f>
        <v>-1.6719221470588239</v>
      </c>
      <c r="N532" t="s">
        <v>31</v>
      </c>
      <c r="O532">
        <v>425</v>
      </c>
      <c r="P532">
        <v>7.1</v>
      </c>
      <c r="Q532">
        <v>2</v>
      </c>
      <c r="R532" t="str">
        <f>IF(AllDataCorrected[[#This Row],[Nitrate (PPM)]]&gt;2, "4. Very high (&gt;2ppm)", IF(AllDataCorrected[[#This Row],[Nitrate (PPM)]]&gt;1, "3. High (1-2ppm)", IF(AllDataCorrected[[#This Row],[Nitrate (PPM)]]&gt;0.5, "2. Some evidence (0.5-1ppm)", IF(AllDataCorrected[[#This Row],[Nitrate (PPM)]]&gt;=0, "1. No evidence (&lt;0.5ppm)"))))</f>
        <v>3. High (1-2ppm)</v>
      </c>
      <c r="S532">
        <v>0.31</v>
      </c>
      <c r="T5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2">
        <v>0.4</v>
      </c>
    </row>
    <row r="533" spans="1:22" x14ac:dyDescent="0.35">
      <c r="A533" t="s">
        <v>853</v>
      </c>
      <c r="B533" s="2">
        <v>45362</v>
      </c>
      <c r="C533" t="str" cm="1">
        <f t="array" ref="C5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3">
        <f>YEAR(AllDataCorrected[[#This Row],[Date]])</f>
        <v>2024</v>
      </c>
      <c r="E533" s="1">
        <v>0.6694444444444444</v>
      </c>
      <c r="F5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3" t="str">
        <f>_xlfn.XLOOKUP(AllDataCorrected[[#This Row],[Location Name]], Locations[Location Name],Locations[Group As])</f>
        <v>Abbey Mill</v>
      </c>
      <c r="H533" t="e" vm="4">
        <f>_xlfn.XLOOKUP(AllDataCorrected[[#This Row],[Site Name]],LocationsKey[Site Name],LocationsKey[District])</f>
        <v>#VALUE!</v>
      </c>
      <c r="I533" t="e" vm="4">
        <f>_xlfn.XLOOKUP(AllDataCorrected[[#This Row],[Site Name]],LocationsKey[Site Name],LocationsKey[Town])</f>
        <v>#VALUE!</v>
      </c>
      <c r="J533" t="str">
        <f>_xlfn.XLOOKUP(AllDataCorrected[[#This Row],[Site Name]],LocationsKey[Site Name], LocationsKey[Waterway])</f>
        <v>Avon</v>
      </c>
      <c r="K533" t="s">
        <v>27</v>
      </c>
      <c r="L533">
        <f>_xlfn.XLOOKUP(AllDataCorrected[[#This Row],[Site Name]],Tables!$B$12:$B$100, Tables!C$12:C$100)</f>
        <v>51.991313075757589</v>
      </c>
      <c r="M533">
        <f>_xlfn.XLOOKUP(AllDataCorrected[[#This Row],[Site Name]],Tables!$B$12:$B$100, Tables!D$12:D$100)</f>
        <v>-2.1621998181818181</v>
      </c>
      <c r="N533" t="s">
        <v>25</v>
      </c>
      <c r="O533">
        <v>863</v>
      </c>
      <c r="P533">
        <v>9.4</v>
      </c>
      <c r="Q533">
        <v>7</v>
      </c>
      <c r="R533" t="str">
        <f>IF(AllDataCorrected[[#This Row],[Nitrate (PPM)]]&gt;2, "4. Very high (&gt;2ppm)", IF(AllDataCorrected[[#This Row],[Nitrate (PPM)]]&gt;1, "3. High (1-2ppm)", IF(AllDataCorrected[[#This Row],[Nitrate (PPM)]]&gt;0.5, "2. Some evidence (0.5-1ppm)", IF(AllDataCorrected[[#This Row],[Nitrate (PPM)]]&gt;=0, "1. No evidence (&lt;0.5ppm)"))))</f>
        <v>4. Very high (&gt;2ppm)</v>
      </c>
      <c r="S533">
        <v>0.5</v>
      </c>
      <c r="T5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3">
        <v>0.6</v>
      </c>
    </row>
    <row r="534" spans="1:22" x14ac:dyDescent="0.35">
      <c r="A534" t="s">
        <v>854</v>
      </c>
      <c r="B534" s="2">
        <v>45364</v>
      </c>
      <c r="C534" t="str" cm="1">
        <f t="array" ref="C5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4">
        <f>YEAR(AllDataCorrected[[#This Row],[Date]])</f>
        <v>2024</v>
      </c>
      <c r="E534" s="1">
        <v>0.52916666666666667</v>
      </c>
      <c r="F5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4" t="str">
        <f>_xlfn.XLOOKUP(AllDataCorrected[[#This Row],[Location Name]], Locations[Location Name],Locations[Group As])</f>
        <v>Preston-on-Stour River Bridge</v>
      </c>
      <c r="H534" t="e" vm="1">
        <f>_xlfn.XLOOKUP(AllDataCorrected[[#This Row],[Site Name]],LocationsKey[Site Name],LocationsKey[District])</f>
        <v>#VALUE!</v>
      </c>
      <c r="I534" t="e" vm="20">
        <f>_xlfn.XLOOKUP(AllDataCorrected[[#This Row],[Site Name]],LocationsKey[Site Name],LocationsKey[Town])</f>
        <v>#VALUE!</v>
      </c>
      <c r="J534" t="str">
        <f>_xlfn.XLOOKUP(AllDataCorrected[[#This Row],[Site Name]],LocationsKey[Site Name], LocationsKey[Waterway])</f>
        <v>Stour</v>
      </c>
      <c r="K534" t="s">
        <v>164</v>
      </c>
      <c r="L534">
        <f>_xlfn.XLOOKUP(AllDataCorrected[[#This Row],[Site Name]],Tables!$B$12:$B$100, Tables!C$12:C$100)</f>
        <v>52.146672352941174</v>
      </c>
      <c r="M534">
        <f>_xlfn.XLOOKUP(AllDataCorrected[[#This Row],[Site Name]],Tables!$B$12:$B$100, Tables!D$12:D$100)</f>
        <v>-1.6984533333333334</v>
      </c>
      <c r="N534" t="s">
        <v>31</v>
      </c>
      <c r="O534">
        <v>508</v>
      </c>
      <c r="P534">
        <v>10.9</v>
      </c>
      <c r="Q534">
        <v>6</v>
      </c>
      <c r="R534" t="str">
        <f>IF(AllDataCorrected[[#This Row],[Nitrate (PPM)]]&gt;2, "4. Very high (&gt;2ppm)", IF(AllDataCorrected[[#This Row],[Nitrate (PPM)]]&gt;1, "3. High (1-2ppm)", IF(AllDataCorrected[[#This Row],[Nitrate (PPM)]]&gt;0.5, "2. Some evidence (0.5-1ppm)", IF(AllDataCorrected[[#This Row],[Nitrate (PPM)]]&gt;=0, "1. No evidence (&lt;0.5ppm)"))))</f>
        <v>4. Very high (&gt;2ppm)</v>
      </c>
      <c r="S534">
        <v>0.32</v>
      </c>
      <c r="T5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4">
        <v>2</v>
      </c>
      <c r="V534" t="s">
        <v>855</v>
      </c>
    </row>
    <row r="535" spans="1:22" x14ac:dyDescent="0.35">
      <c r="A535" t="s">
        <v>856</v>
      </c>
      <c r="B535" s="2">
        <v>45364</v>
      </c>
      <c r="C535" t="str" cm="1">
        <f t="array" ref="C5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5">
        <f>YEAR(AllDataCorrected[[#This Row],[Date]])</f>
        <v>2024</v>
      </c>
      <c r="E535" s="1">
        <v>0.61111111111111116</v>
      </c>
      <c r="F5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5" t="str">
        <f>_xlfn.XLOOKUP(AllDataCorrected[[#This Row],[Location Name]], Locations[Location Name],Locations[Group As])</f>
        <v>Alveston Weir</v>
      </c>
      <c r="H535" t="e" vm="1">
        <f>_xlfn.XLOOKUP(AllDataCorrected[[#This Row],[Site Name]],LocationsKey[Site Name],LocationsKey[District])</f>
        <v>#VALUE!</v>
      </c>
      <c r="I535" t="e" vm="2">
        <f>_xlfn.XLOOKUP(AllDataCorrected[[#This Row],[Site Name]],LocationsKey[Site Name],LocationsKey[Town])</f>
        <v>#VALUE!</v>
      </c>
      <c r="J535" t="str">
        <f>_xlfn.XLOOKUP(AllDataCorrected[[#This Row],[Site Name]],LocationsKey[Site Name], LocationsKey[Waterway])</f>
        <v>Avon</v>
      </c>
      <c r="K535" t="s">
        <v>288</v>
      </c>
      <c r="L535">
        <f>_xlfn.XLOOKUP(AllDataCorrected[[#This Row],[Site Name]],Tables!$B$12:$B$100, Tables!C$12:C$100)</f>
        <v>52.21226301333337</v>
      </c>
      <c r="M535">
        <f>_xlfn.XLOOKUP(AllDataCorrected[[#This Row],[Site Name]],Tables!$B$12:$B$100, Tables!D$12:D$100)</f>
        <v>-1.6595226800000011</v>
      </c>
      <c r="N535" t="s">
        <v>31</v>
      </c>
      <c r="O535">
        <v>464</v>
      </c>
      <c r="P535">
        <v>13.7</v>
      </c>
      <c r="Q535">
        <v>5</v>
      </c>
      <c r="R535" t="str">
        <f>IF(AllDataCorrected[[#This Row],[Nitrate (PPM)]]&gt;2, "4. Very high (&gt;2ppm)", IF(AllDataCorrected[[#This Row],[Nitrate (PPM)]]&gt;1, "3. High (1-2ppm)", IF(AllDataCorrected[[#This Row],[Nitrate (PPM)]]&gt;0.5, "2. Some evidence (0.5-1ppm)", IF(AllDataCorrected[[#This Row],[Nitrate (PPM)]]&gt;=0, "1. No evidence (&lt;0.5ppm)"))))</f>
        <v>4. Very high (&gt;2ppm)</v>
      </c>
      <c r="S535">
        <v>0.52</v>
      </c>
      <c r="T5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5">
        <v>1.5</v>
      </c>
      <c r="V535" t="s">
        <v>857</v>
      </c>
    </row>
    <row r="536" spans="1:22" x14ac:dyDescent="0.35">
      <c r="A536" t="s">
        <v>858</v>
      </c>
      <c r="B536" s="2">
        <v>45364</v>
      </c>
      <c r="C536" t="str" cm="1">
        <f t="array" ref="C5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6">
        <f>YEAR(AllDataCorrected[[#This Row],[Date]])</f>
        <v>2024</v>
      </c>
      <c r="E536" s="1">
        <v>0.63541666666666663</v>
      </c>
      <c r="F5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6" t="str">
        <f>_xlfn.XLOOKUP(AllDataCorrected[[#This Row],[Location Name]], Locations[Location Name],Locations[Group As])</f>
        <v>Swiffen Bank</v>
      </c>
      <c r="H536" t="e" vm="1">
        <f>_xlfn.XLOOKUP(AllDataCorrected[[#This Row],[Site Name]],LocationsKey[Site Name],LocationsKey[District])</f>
        <v>#VALUE!</v>
      </c>
      <c r="I536" t="e" vm="2">
        <f>_xlfn.XLOOKUP(AllDataCorrected[[#This Row],[Site Name]],LocationsKey[Site Name],LocationsKey[Town])</f>
        <v>#VALUE!</v>
      </c>
      <c r="J536" t="str">
        <f>_xlfn.XLOOKUP(AllDataCorrected[[#This Row],[Site Name]],LocationsKey[Site Name], LocationsKey[Waterway])</f>
        <v>Avon</v>
      </c>
      <c r="K536" t="s">
        <v>286</v>
      </c>
      <c r="L536">
        <f>_xlfn.XLOOKUP(AllDataCorrected[[#This Row],[Site Name]],Tables!$B$12:$B$100, Tables!C$12:C$100)</f>
        <v>52.206649805555557</v>
      </c>
      <c r="M536">
        <f>_xlfn.XLOOKUP(AllDataCorrected[[#This Row],[Site Name]],Tables!$B$12:$B$100, Tables!D$12:D$100)</f>
        <v>-1.6541018611111094</v>
      </c>
      <c r="N536" t="s">
        <v>31</v>
      </c>
      <c r="O536">
        <v>464</v>
      </c>
      <c r="P536">
        <v>12.4</v>
      </c>
      <c r="Q536">
        <v>5</v>
      </c>
      <c r="R536" t="str">
        <f>IF(AllDataCorrected[[#This Row],[Nitrate (PPM)]]&gt;2, "4. Very high (&gt;2ppm)", IF(AllDataCorrected[[#This Row],[Nitrate (PPM)]]&gt;1, "3. High (1-2ppm)", IF(AllDataCorrected[[#This Row],[Nitrate (PPM)]]&gt;0.5, "2. Some evidence (0.5-1ppm)", IF(AllDataCorrected[[#This Row],[Nitrate (PPM)]]&gt;=0, "1. No evidence (&lt;0.5ppm)"))))</f>
        <v>4. Very high (&gt;2ppm)</v>
      </c>
      <c r="S536">
        <v>0.25</v>
      </c>
      <c r="T5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6">
        <v>1.5</v>
      </c>
      <c r="V536" t="s">
        <v>859</v>
      </c>
    </row>
    <row r="537" spans="1:22" x14ac:dyDescent="0.35">
      <c r="A537" t="s">
        <v>860</v>
      </c>
      <c r="B537" s="2">
        <v>45365</v>
      </c>
      <c r="C537" t="str" cm="1">
        <f t="array" ref="C5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7">
        <f>YEAR(AllDataCorrected[[#This Row],[Date]])</f>
        <v>2024</v>
      </c>
      <c r="E537" s="1">
        <v>0.47222222222222221</v>
      </c>
      <c r="F5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7" t="str">
        <f>_xlfn.XLOOKUP(AllDataCorrected[[#This Row],[Location Name]], Locations[Location Name],Locations[Group As])</f>
        <v>Stour Willington</v>
      </c>
      <c r="H537" t="e" vm="1">
        <f>_xlfn.XLOOKUP(AllDataCorrected[[#This Row],[Site Name]],LocationsKey[Site Name],LocationsKey[District])</f>
        <v>#VALUE!</v>
      </c>
      <c r="I537" t="str">
        <f>_xlfn.XLOOKUP(AllDataCorrected[[#This Row],[Site Name]],LocationsKey[Site Name],LocationsKey[Town])</f>
        <v>Willington</v>
      </c>
      <c r="J537" t="str">
        <f>_xlfn.XLOOKUP(AllDataCorrected[[#This Row],[Site Name]],LocationsKey[Site Name], LocationsKey[Waterway])</f>
        <v>Stour</v>
      </c>
      <c r="K537" t="s">
        <v>521</v>
      </c>
      <c r="L537">
        <f>_xlfn.XLOOKUP(AllDataCorrected[[#This Row],[Site Name]],Tables!$B$12:$B$100, Tables!C$12:C$100)</f>
        <v>52.053227523809518</v>
      </c>
      <c r="M537">
        <f>_xlfn.XLOOKUP(AllDataCorrected[[#This Row],[Site Name]],Tables!$B$12:$B$100, Tables!D$12:D$100)</f>
        <v>-1.6194739523809523</v>
      </c>
      <c r="N537" t="s">
        <v>25</v>
      </c>
      <c r="O537">
        <v>563</v>
      </c>
      <c r="P537">
        <v>12.8</v>
      </c>
      <c r="Q537">
        <v>2</v>
      </c>
      <c r="R537" t="str">
        <f>IF(AllDataCorrected[[#This Row],[Nitrate (PPM)]]&gt;2, "4. Very high (&gt;2ppm)", IF(AllDataCorrected[[#This Row],[Nitrate (PPM)]]&gt;1, "3. High (1-2ppm)", IF(AllDataCorrected[[#This Row],[Nitrate (PPM)]]&gt;0.5, "2. Some evidence (0.5-1ppm)", IF(AllDataCorrected[[#This Row],[Nitrate (PPM)]]&gt;=0, "1. No evidence (&lt;0.5ppm)"))))</f>
        <v>3. High (1-2ppm)</v>
      </c>
      <c r="S537">
        <v>0.21</v>
      </c>
      <c r="T5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7">
        <v>0.5</v>
      </c>
    </row>
    <row r="538" spans="1:22" x14ac:dyDescent="0.35">
      <c r="A538" t="s">
        <v>861</v>
      </c>
      <c r="B538" s="2">
        <v>45365</v>
      </c>
      <c r="C538" t="str" cm="1">
        <f t="array" ref="C5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8">
        <f>YEAR(AllDataCorrected[[#This Row],[Date]])</f>
        <v>2024</v>
      </c>
      <c r="E538" s="1">
        <v>0.70833333333333337</v>
      </c>
      <c r="F5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38" t="str">
        <f>_xlfn.XLOOKUP(AllDataCorrected[[#This Row],[Location Name]], Locations[Location Name],Locations[Group As])</f>
        <v>Stour Newbold Mill</v>
      </c>
      <c r="H538" t="e" vm="1">
        <f>_xlfn.XLOOKUP(AllDataCorrected[[#This Row],[Site Name]],LocationsKey[Site Name],LocationsKey[District])</f>
        <v>#VALUE!</v>
      </c>
      <c r="I538" t="e" vm="27">
        <f>_xlfn.XLOOKUP(AllDataCorrected[[#This Row],[Site Name]],LocationsKey[Site Name],LocationsKey[Town])</f>
        <v>#VALUE!</v>
      </c>
      <c r="J538" t="str">
        <f>_xlfn.XLOOKUP(AllDataCorrected[[#This Row],[Site Name]],LocationsKey[Site Name], LocationsKey[Waterway])</f>
        <v>Stour</v>
      </c>
      <c r="K538" t="s">
        <v>141</v>
      </c>
      <c r="L538">
        <f>_xlfn.XLOOKUP(AllDataCorrected[[#This Row],[Site Name]],Tables!$B$12:$B$100, Tables!C$12:C$100)</f>
        <v>52.113052370370369</v>
      </c>
      <c r="M538">
        <f>_xlfn.XLOOKUP(AllDataCorrected[[#This Row],[Site Name]],Tables!$B$12:$B$100, Tables!D$12:D$100)</f>
        <v>-1.6333685185185181</v>
      </c>
      <c r="N538" t="s">
        <v>31</v>
      </c>
      <c r="O538">
        <v>602</v>
      </c>
      <c r="P538">
        <v>13.8</v>
      </c>
      <c r="Q538">
        <v>2</v>
      </c>
      <c r="R538" t="str">
        <f>IF(AllDataCorrected[[#This Row],[Nitrate (PPM)]]&gt;2, "4. Very high (&gt;2ppm)", IF(AllDataCorrected[[#This Row],[Nitrate (PPM)]]&gt;1, "3. High (1-2ppm)", IF(AllDataCorrected[[#This Row],[Nitrate (PPM)]]&gt;0.5, "2. Some evidence (0.5-1ppm)", IF(AllDataCorrected[[#This Row],[Nitrate (PPM)]]&gt;=0, "1. No evidence (&lt;0.5ppm)"))))</f>
        <v>3. High (1-2ppm)</v>
      </c>
      <c r="S538">
        <v>0.13</v>
      </c>
      <c r="T5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38">
        <v>2.5</v>
      </c>
      <c r="V538" t="s">
        <v>862</v>
      </c>
    </row>
    <row r="539" spans="1:22" x14ac:dyDescent="0.35">
      <c r="A539" t="s">
        <v>863</v>
      </c>
      <c r="B539" s="2">
        <v>45366</v>
      </c>
      <c r="C539" t="str" cm="1">
        <f t="array" ref="C5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39">
        <f>YEAR(AllDataCorrected[[#This Row],[Date]])</f>
        <v>2024</v>
      </c>
      <c r="E539" s="1">
        <v>0.48958333333333331</v>
      </c>
      <c r="F5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39" t="str">
        <f>_xlfn.XLOOKUP(AllDataCorrected[[#This Row],[Location Name]], Locations[Location Name],Locations[Group As])</f>
        <v>Walcot Lane, Bow Brook Ford</v>
      </c>
      <c r="H539" t="e" vm="6">
        <f>_xlfn.XLOOKUP(AllDataCorrected[[#This Row],[Site Name]],LocationsKey[Site Name],LocationsKey[District])</f>
        <v>#VALUE!</v>
      </c>
      <c r="I539" t="e" vm="7">
        <f>_xlfn.XLOOKUP(AllDataCorrected[[#This Row],[Site Name]],LocationsKey[Site Name],LocationsKey[Town])</f>
        <v>#VALUE!</v>
      </c>
      <c r="J539" t="str">
        <f>_xlfn.XLOOKUP(AllDataCorrected[[#This Row],[Site Name]],LocationsKey[Site Name], LocationsKey[Waterway])</f>
        <v>Bow Brook</v>
      </c>
      <c r="K539" t="s">
        <v>775</v>
      </c>
      <c r="L539">
        <f>_xlfn.XLOOKUP(AllDataCorrected[[#This Row],[Site Name]],Tables!$B$12:$B$100, Tables!C$12:C$100)</f>
        <v>52.12810345454546</v>
      </c>
      <c r="M539">
        <f>_xlfn.XLOOKUP(AllDataCorrected[[#This Row],[Site Name]],Tables!$B$12:$B$100, Tables!D$12:D$100)</f>
        <v>-2.0789593939393938</v>
      </c>
      <c r="N539" t="s">
        <v>3659</v>
      </c>
      <c r="O539">
        <v>808</v>
      </c>
      <c r="P539">
        <v>13.7</v>
      </c>
      <c r="Q539">
        <v>5</v>
      </c>
      <c r="R539" t="str">
        <f>IF(AllDataCorrected[[#This Row],[Nitrate (PPM)]]&gt;2, "4. Very high (&gt;2ppm)", IF(AllDataCorrected[[#This Row],[Nitrate (PPM)]]&gt;1, "3. High (1-2ppm)", IF(AllDataCorrected[[#This Row],[Nitrate (PPM)]]&gt;0.5, "2. Some evidence (0.5-1ppm)", IF(AllDataCorrected[[#This Row],[Nitrate (PPM)]]&gt;=0, "1. No evidence (&lt;0.5ppm)"))))</f>
        <v>4. Very high (&gt;2ppm)</v>
      </c>
      <c r="S539">
        <v>0.82</v>
      </c>
      <c r="T5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39">
        <v>0.6</v>
      </c>
      <c r="V539" t="s">
        <v>864</v>
      </c>
    </row>
    <row r="540" spans="1:22" x14ac:dyDescent="0.35">
      <c r="A540" t="s">
        <v>865</v>
      </c>
      <c r="B540" s="2">
        <v>45366</v>
      </c>
      <c r="C540" t="str" cm="1">
        <f t="array" ref="C5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0">
        <f>YEAR(AllDataCorrected[[#This Row],[Date]])</f>
        <v>2024</v>
      </c>
      <c r="E540" s="1">
        <v>0.65972222222222221</v>
      </c>
      <c r="F5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0" t="str">
        <f>_xlfn.XLOOKUP(AllDataCorrected[[#This Row],[Location Name]], Locations[Location Name],Locations[Group As])</f>
        <v>Preston Bagot Canal</v>
      </c>
      <c r="H540" t="e" vm="1">
        <f>_xlfn.XLOOKUP(AllDataCorrected[[#This Row],[Site Name]],LocationsKey[Site Name],LocationsKey[District])</f>
        <v>#VALUE!</v>
      </c>
      <c r="I540" t="e" vm="21">
        <f>_xlfn.XLOOKUP(AllDataCorrected[[#This Row],[Site Name]],LocationsKey[Site Name],LocationsKey[Town])</f>
        <v>#VALUE!</v>
      </c>
      <c r="J540" t="str">
        <f>_xlfn.XLOOKUP(AllDataCorrected[[#This Row],[Site Name]],LocationsKey[Site Name], LocationsKey[Waterway])</f>
        <v>Preston Bagot Canal</v>
      </c>
      <c r="K540" t="s">
        <v>618</v>
      </c>
      <c r="L540">
        <f>_xlfn.XLOOKUP(AllDataCorrected[[#This Row],[Site Name]],Tables!$B$12:$B$100, Tables!C$12:C$100)</f>
        <v>52.286975789473694</v>
      </c>
      <c r="M540">
        <f>_xlfn.XLOOKUP(AllDataCorrected[[#This Row],[Site Name]],Tables!$B$12:$B$100, Tables!D$12:D$100)</f>
        <v>-1.5622505263157891</v>
      </c>
      <c r="N540" t="s">
        <v>25</v>
      </c>
      <c r="O540">
        <v>312</v>
      </c>
      <c r="P540">
        <v>12.7</v>
      </c>
      <c r="Q540">
        <v>2</v>
      </c>
      <c r="R540" t="str">
        <f>IF(AllDataCorrected[[#This Row],[Nitrate (PPM)]]&gt;2, "4. Very high (&gt;2ppm)", IF(AllDataCorrected[[#This Row],[Nitrate (PPM)]]&gt;1, "3. High (1-2ppm)", IF(AllDataCorrected[[#This Row],[Nitrate (PPM)]]&gt;0.5, "2. Some evidence (0.5-1ppm)", IF(AllDataCorrected[[#This Row],[Nitrate (PPM)]]&gt;=0, "1. No evidence (&lt;0.5ppm)"))))</f>
        <v>3. High (1-2ppm)</v>
      </c>
      <c r="S540">
        <v>0.13</v>
      </c>
      <c r="T5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0">
        <v>0</v>
      </c>
    </row>
    <row r="541" spans="1:22" x14ac:dyDescent="0.35">
      <c r="A541" t="s">
        <v>866</v>
      </c>
      <c r="B541" s="2">
        <v>45366</v>
      </c>
      <c r="C541" t="str" cm="1">
        <f t="array" ref="C5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1">
        <f>YEAR(AllDataCorrected[[#This Row],[Date]])</f>
        <v>2024</v>
      </c>
      <c r="E541" s="1">
        <v>0.66666666666666663</v>
      </c>
      <c r="F5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1" t="str">
        <f>_xlfn.XLOOKUP(AllDataCorrected[[#This Row],[Location Name]], Locations[Location Name],Locations[Group As])</f>
        <v>Preston Bagot Brook</v>
      </c>
      <c r="H541" t="e" vm="1">
        <f>_xlfn.XLOOKUP(AllDataCorrected[[#This Row],[Site Name]],LocationsKey[Site Name],LocationsKey[District])</f>
        <v>#VALUE!</v>
      </c>
      <c r="I541" t="e" vm="21">
        <f>_xlfn.XLOOKUP(AllDataCorrected[[#This Row],[Site Name]],LocationsKey[Site Name],LocationsKey[Town])</f>
        <v>#VALUE!</v>
      </c>
      <c r="J541" t="str">
        <f>_xlfn.XLOOKUP(AllDataCorrected[[#This Row],[Site Name]],LocationsKey[Site Name], LocationsKey[Waterway])</f>
        <v>Preston Bagot Brook</v>
      </c>
      <c r="K541" t="s">
        <v>621</v>
      </c>
      <c r="L541">
        <f>_xlfn.XLOOKUP(AllDataCorrected[[#This Row],[Site Name]],Tables!$B$12:$B$100, Tables!C$12:C$100)</f>
        <v>52.286066538461554</v>
      </c>
      <c r="M541">
        <f>_xlfn.XLOOKUP(AllDataCorrected[[#This Row],[Site Name]],Tables!$B$12:$B$100, Tables!D$12:D$100)</f>
        <v>-1.7472480769230765</v>
      </c>
      <c r="N541" t="s">
        <v>25</v>
      </c>
      <c r="O541">
        <v>597</v>
      </c>
      <c r="P541">
        <v>13</v>
      </c>
      <c r="Q541">
        <v>2.5</v>
      </c>
      <c r="R541" t="str">
        <f>IF(AllDataCorrected[[#This Row],[Nitrate (PPM)]]&gt;2, "4. Very high (&gt;2ppm)", IF(AllDataCorrected[[#This Row],[Nitrate (PPM)]]&gt;1, "3. High (1-2ppm)", IF(AllDataCorrected[[#This Row],[Nitrate (PPM)]]&gt;0.5, "2. Some evidence (0.5-1ppm)", IF(AllDataCorrected[[#This Row],[Nitrate (PPM)]]&gt;=0, "1. No evidence (&lt;0.5ppm)"))))</f>
        <v>4. Very high (&gt;2ppm)</v>
      </c>
      <c r="S541">
        <v>1</v>
      </c>
      <c r="T5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1">
        <v>0</v>
      </c>
    </row>
    <row r="542" spans="1:22" x14ac:dyDescent="0.35">
      <c r="A542" t="s">
        <v>867</v>
      </c>
      <c r="B542" s="2">
        <v>45367</v>
      </c>
      <c r="C542" t="str" cm="1">
        <f t="array" ref="C5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2">
        <f>YEAR(AllDataCorrected[[#This Row],[Date]])</f>
        <v>2024</v>
      </c>
      <c r="E542" s="1">
        <v>0.41249999999999998</v>
      </c>
      <c r="F5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2" t="str">
        <f>_xlfn.XLOOKUP(AllDataCorrected[[#This Row],[Location Name]], Locations[Location Name],Locations[Group As])</f>
        <v>Lower Lode</v>
      </c>
      <c r="H542" t="e" vm="4">
        <f>_xlfn.XLOOKUP(AllDataCorrected[[#This Row],[Site Name]],LocationsKey[Site Name],LocationsKey[District])</f>
        <v>#VALUE!</v>
      </c>
      <c r="I542" t="e" vm="4">
        <f>_xlfn.XLOOKUP(AllDataCorrected[[#This Row],[Site Name]],LocationsKey[Site Name],LocationsKey[Town])</f>
        <v>#VALUE!</v>
      </c>
      <c r="J542" t="str">
        <f>_xlfn.XLOOKUP(AllDataCorrected[[#This Row],[Site Name]],LocationsKey[Site Name], LocationsKey[Waterway])</f>
        <v>Avon</v>
      </c>
      <c r="K542" t="s">
        <v>595</v>
      </c>
      <c r="L542">
        <f>_xlfn.XLOOKUP(AllDataCorrected[[#This Row],[Site Name]],Tables!$B$12:$B$100, Tables!C$12:C$100)</f>
        <v>51.984916745098026</v>
      </c>
      <c r="M542">
        <f>_xlfn.XLOOKUP(AllDataCorrected[[#This Row],[Site Name]],Tables!$B$12:$B$100, Tables!D$12:D$100)</f>
        <v>-2.1745787647058821</v>
      </c>
      <c r="N542" t="s">
        <v>31</v>
      </c>
      <c r="O542">
        <v>6390.1</v>
      </c>
      <c r="P542">
        <v>11.5</v>
      </c>
      <c r="Q542">
        <v>20</v>
      </c>
      <c r="R542" t="str">
        <f>IF(AllDataCorrected[[#This Row],[Nitrate (PPM)]]&gt;2, "4. Very high (&gt;2ppm)", IF(AllDataCorrected[[#This Row],[Nitrate (PPM)]]&gt;1, "3. High (1-2ppm)", IF(AllDataCorrected[[#This Row],[Nitrate (PPM)]]&gt;0.5, "2. Some evidence (0.5-1ppm)", IF(AllDataCorrected[[#This Row],[Nitrate (PPM)]]&gt;=0, "1. No evidence (&lt;0.5ppm)"))))</f>
        <v>4. Very high (&gt;2ppm)</v>
      </c>
      <c r="S542">
        <v>0.55000000000000004</v>
      </c>
      <c r="T5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2">
        <v>3</v>
      </c>
    </row>
    <row r="543" spans="1:22" x14ac:dyDescent="0.35">
      <c r="A543" t="s">
        <v>868</v>
      </c>
      <c r="B543" s="2">
        <v>45367</v>
      </c>
      <c r="C543" t="str" cm="1">
        <f t="array" ref="C5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3">
        <f>YEAR(AllDataCorrected[[#This Row],[Date]])</f>
        <v>2024</v>
      </c>
      <c r="E543" s="1">
        <v>0.44444444444444442</v>
      </c>
      <c r="F5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3" t="str">
        <f>_xlfn.XLOOKUP(AllDataCorrected[[#This Row],[Location Name]], Locations[Location Name],Locations[Group As])</f>
        <v>Swilgate</v>
      </c>
      <c r="H543" t="e" vm="4">
        <f>_xlfn.XLOOKUP(AllDataCorrected[[#This Row],[Site Name]],LocationsKey[Site Name],LocationsKey[District])</f>
        <v>#VALUE!</v>
      </c>
      <c r="I543" t="e" vm="4">
        <f>_xlfn.XLOOKUP(AllDataCorrected[[#This Row],[Site Name]],LocationsKey[Site Name],LocationsKey[Town])</f>
        <v>#VALUE!</v>
      </c>
      <c r="J543" t="str">
        <f>_xlfn.XLOOKUP(AllDataCorrected[[#This Row],[Site Name]],LocationsKey[Site Name], LocationsKey[Waterway])</f>
        <v>Swilgate</v>
      </c>
      <c r="K543" t="s">
        <v>85</v>
      </c>
      <c r="L543">
        <f>_xlfn.XLOOKUP(AllDataCorrected[[#This Row],[Site Name]],Tables!$B$12:$B$100, Tables!C$12:C$100)</f>
        <v>51.988591500000005</v>
      </c>
      <c r="M543">
        <f>_xlfn.XLOOKUP(AllDataCorrected[[#This Row],[Site Name]],Tables!$B$12:$B$100, Tables!D$12:D$100)</f>
        <v>-2.163898333333333</v>
      </c>
      <c r="N543" t="s">
        <v>25</v>
      </c>
      <c r="O543">
        <v>764</v>
      </c>
      <c r="P543">
        <v>11.4</v>
      </c>
      <c r="Q543">
        <v>5</v>
      </c>
      <c r="R543" t="str">
        <f>IF(AllDataCorrected[[#This Row],[Nitrate (PPM)]]&gt;2, "4. Very high (&gt;2ppm)", IF(AllDataCorrected[[#This Row],[Nitrate (PPM)]]&gt;1, "3. High (1-2ppm)", IF(AllDataCorrected[[#This Row],[Nitrate (PPM)]]&gt;0.5, "2. Some evidence (0.5-1ppm)", IF(AllDataCorrected[[#This Row],[Nitrate (PPM)]]&gt;=0, "1. No evidence (&lt;0.5ppm)"))))</f>
        <v>4. Very high (&gt;2ppm)</v>
      </c>
      <c r="S543">
        <v>0.61</v>
      </c>
      <c r="T5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3">
        <v>2</v>
      </c>
    </row>
    <row r="544" spans="1:22" x14ac:dyDescent="0.35">
      <c r="A544" t="s">
        <v>869</v>
      </c>
      <c r="B544" s="2">
        <v>45367</v>
      </c>
      <c r="C544" t="str" cm="1">
        <f t="array" ref="C5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4">
        <f>YEAR(AllDataCorrected[[#This Row],[Date]])</f>
        <v>2024</v>
      </c>
      <c r="E544" s="1">
        <v>0.46180555555555558</v>
      </c>
      <c r="F5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4" t="str">
        <f>_xlfn.XLOOKUP(AllDataCorrected[[#This Row],[Location Name]], Locations[Location Name],Locations[Group As])</f>
        <v>Black Bear</v>
      </c>
      <c r="H544" t="e" vm="4">
        <f>_xlfn.XLOOKUP(AllDataCorrected[[#This Row],[Site Name]],LocationsKey[Site Name],LocationsKey[District])</f>
        <v>#VALUE!</v>
      </c>
      <c r="I544" t="e" vm="4">
        <f>_xlfn.XLOOKUP(AllDataCorrected[[#This Row],[Site Name]],LocationsKey[Site Name],LocationsKey[Town])</f>
        <v>#VALUE!</v>
      </c>
      <c r="J544" t="str">
        <f>_xlfn.XLOOKUP(AllDataCorrected[[#This Row],[Site Name]],LocationsKey[Site Name], LocationsKey[Waterway])</f>
        <v>Avon</v>
      </c>
      <c r="K544" t="s">
        <v>572</v>
      </c>
      <c r="L544">
        <f>_xlfn.XLOOKUP(AllDataCorrected[[#This Row],[Site Name]],Tables!$B$12:$B$100, Tables!C$12:C$100)</f>
        <v>51.997466254237274</v>
      </c>
      <c r="M544">
        <f>_xlfn.XLOOKUP(AllDataCorrected[[#This Row],[Site Name]],Tables!$B$12:$B$100, Tables!D$12:D$100)</f>
        <v>-2.1561788644067801</v>
      </c>
      <c r="N544" t="s">
        <v>25</v>
      </c>
      <c r="O544">
        <v>645</v>
      </c>
      <c r="P544">
        <v>12.7</v>
      </c>
      <c r="Q544">
        <v>5</v>
      </c>
      <c r="R544" t="str">
        <f>IF(AllDataCorrected[[#This Row],[Nitrate (PPM)]]&gt;2, "4. Very high (&gt;2ppm)", IF(AllDataCorrected[[#This Row],[Nitrate (PPM)]]&gt;1, "3. High (1-2ppm)", IF(AllDataCorrected[[#This Row],[Nitrate (PPM)]]&gt;0.5, "2. Some evidence (0.5-1ppm)", IF(AllDataCorrected[[#This Row],[Nitrate (PPM)]]&gt;=0, "1. No evidence (&lt;0.5ppm)"))))</f>
        <v>4. Very high (&gt;2ppm)</v>
      </c>
      <c r="S544">
        <v>0.77</v>
      </c>
      <c r="T5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4">
        <v>2</v>
      </c>
    </row>
    <row r="545" spans="1:22" x14ac:dyDescent="0.35">
      <c r="A545" t="s">
        <v>870</v>
      </c>
      <c r="B545" s="2">
        <v>45367</v>
      </c>
      <c r="C545" t="str" cm="1">
        <f t="array" ref="C5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5">
        <f>YEAR(AllDataCorrected[[#This Row],[Date]])</f>
        <v>2024</v>
      </c>
      <c r="E545" s="1">
        <v>0.48958333333333331</v>
      </c>
      <c r="F5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5" t="str">
        <f>_xlfn.XLOOKUP(AllDataCorrected[[#This Row],[Location Name]], Locations[Location Name],Locations[Group As])</f>
        <v>Avon Smiths Meadow Wyre Piddle</v>
      </c>
      <c r="H545" t="e" vm="6">
        <f>_xlfn.XLOOKUP(AllDataCorrected[[#This Row],[Site Name]],LocationsKey[Site Name],LocationsKey[District])</f>
        <v>#VALUE!</v>
      </c>
      <c r="I545" t="e" vm="13">
        <f>_xlfn.XLOOKUP(AllDataCorrected[[#This Row],[Site Name]],LocationsKey[Site Name],LocationsKey[Town])</f>
        <v>#VALUE!</v>
      </c>
      <c r="J545" t="str">
        <f>_xlfn.XLOOKUP(AllDataCorrected[[#This Row],[Site Name]],LocationsKey[Site Name], LocationsKey[Waterway])</f>
        <v>Avon</v>
      </c>
      <c r="K545" t="s">
        <v>784</v>
      </c>
      <c r="L545">
        <f>_xlfn.XLOOKUP(AllDataCorrected[[#This Row],[Site Name]],Tables!$B$12:$B$100, Tables!C$12:C$100)</f>
        <v>52.123126101694929</v>
      </c>
      <c r="M545">
        <f>_xlfn.XLOOKUP(AllDataCorrected[[#This Row],[Site Name]],Tables!$B$12:$B$100, Tables!D$12:D$100)</f>
        <v>-2.0572511355932215</v>
      </c>
      <c r="N545" t="s">
        <v>25</v>
      </c>
      <c r="O545">
        <v>676</v>
      </c>
      <c r="P545">
        <v>11.3</v>
      </c>
      <c r="Q545">
        <v>5</v>
      </c>
      <c r="R545" t="str">
        <f>IF(AllDataCorrected[[#This Row],[Nitrate (PPM)]]&gt;2, "4. Very high (&gt;2ppm)", IF(AllDataCorrected[[#This Row],[Nitrate (PPM)]]&gt;1, "3. High (1-2ppm)", IF(AllDataCorrected[[#This Row],[Nitrate (PPM)]]&gt;0.5, "2. Some evidence (0.5-1ppm)", IF(AllDataCorrected[[#This Row],[Nitrate (PPM)]]&gt;=0, "1. No evidence (&lt;0.5ppm)"))))</f>
        <v>4. Very high (&gt;2ppm)</v>
      </c>
      <c r="S545">
        <v>0.6</v>
      </c>
      <c r="T5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5">
        <v>1.1000000000000001</v>
      </c>
      <c r="V545" t="s">
        <v>871</v>
      </c>
    </row>
    <row r="546" spans="1:22" x14ac:dyDescent="0.35">
      <c r="A546" t="s">
        <v>872</v>
      </c>
      <c r="B546" s="2">
        <v>45367</v>
      </c>
      <c r="C546" t="str" cm="1">
        <f t="array" ref="C5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6">
        <f>YEAR(AllDataCorrected[[#This Row],[Date]])</f>
        <v>2024</v>
      </c>
      <c r="E546" s="1">
        <v>0.51041666666666663</v>
      </c>
      <c r="F5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6" t="str">
        <f>_xlfn.XLOOKUP(AllDataCorrected[[#This Row],[Location Name]], Locations[Location Name],Locations[Group As])</f>
        <v>Piddle Brook Wyre Piddle Bridge</v>
      </c>
      <c r="H546" t="e" vm="6">
        <f>_xlfn.XLOOKUP(AllDataCorrected[[#This Row],[Site Name]],LocationsKey[Site Name],LocationsKey[District])</f>
        <v>#VALUE!</v>
      </c>
      <c r="I546" t="e" vm="13">
        <f>_xlfn.XLOOKUP(AllDataCorrected[[#This Row],[Site Name]],LocationsKey[Site Name],LocationsKey[Town])</f>
        <v>#VALUE!</v>
      </c>
      <c r="J546" t="str">
        <f>_xlfn.XLOOKUP(AllDataCorrected[[#This Row],[Site Name]],LocationsKey[Site Name], LocationsKey[Waterway])</f>
        <v>Piddle Brook</v>
      </c>
      <c r="K546" t="s">
        <v>787</v>
      </c>
      <c r="L546">
        <f>_xlfn.XLOOKUP(AllDataCorrected[[#This Row],[Site Name]],Tables!$B$12:$B$100, Tables!C$12:C$100)</f>
        <v>52.126394500000039</v>
      </c>
      <c r="M546">
        <f>_xlfn.XLOOKUP(AllDataCorrected[[#This Row],[Site Name]],Tables!$B$12:$B$100, Tables!D$12:D$100)</f>
        <v>-2.0564211206896545</v>
      </c>
      <c r="N546" t="s">
        <v>25</v>
      </c>
      <c r="O546">
        <v>672</v>
      </c>
      <c r="P546">
        <v>10.3</v>
      </c>
      <c r="Q546">
        <v>5</v>
      </c>
      <c r="R546" t="str">
        <f>IF(AllDataCorrected[[#This Row],[Nitrate (PPM)]]&gt;2, "4. Very high (&gt;2ppm)", IF(AllDataCorrected[[#This Row],[Nitrate (PPM)]]&gt;1, "3. High (1-2ppm)", IF(AllDataCorrected[[#This Row],[Nitrate (PPM)]]&gt;0.5, "2. Some evidence (0.5-1ppm)", IF(AllDataCorrected[[#This Row],[Nitrate (PPM)]]&gt;=0, "1. No evidence (&lt;0.5ppm)"))))</f>
        <v>4. Very high (&gt;2ppm)</v>
      </c>
      <c r="S546">
        <v>0.53</v>
      </c>
      <c r="T5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46">
        <v>0.4</v>
      </c>
      <c r="V546" t="s">
        <v>873</v>
      </c>
    </row>
    <row r="547" spans="1:22" x14ac:dyDescent="0.35">
      <c r="A547" t="s">
        <v>874</v>
      </c>
      <c r="B547" s="2">
        <v>45367</v>
      </c>
      <c r="C547" t="str" cm="1">
        <f t="array" ref="C5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7">
        <f>YEAR(AllDataCorrected[[#This Row],[Date]])</f>
        <v>2024</v>
      </c>
      <c r="E547" s="1">
        <v>0.60069444444444442</v>
      </c>
      <c r="F5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47" t="str">
        <f>_xlfn.XLOOKUP(AllDataCorrected[[#This Row],[Location Name]], Locations[Location Name],Locations[Group As])</f>
        <v>Fell Mill Footbridge</v>
      </c>
      <c r="H547" t="e" vm="1">
        <f>_xlfn.XLOOKUP(AllDataCorrected[[#This Row],[Site Name]],LocationsKey[Site Name],LocationsKey[District])</f>
        <v>#VALUE!</v>
      </c>
      <c r="I547" t="e" vm="15">
        <f>_xlfn.XLOOKUP(AllDataCorrected[[#This Row],[Site Name]],LocationsKey[Site Name],LocationsKey[Town])</f>
        <v>#VALUE!</v>
      </c>
      <c r="J547" t="str">
        <f>_xlfn.XLOOKUP(AllDataCorrected[[#This Row],[Site Name]],LocationsKey[Site Name], LocationsKey[Waterway])</f>
        <v>Stour</v>
      </c>
      <c r="K547" t="s">
        <v>875</v>
      </c>
      <c r="L547">
        <f>_xlfn.XLOOKUP(AllDataCorrected[[#This Row],[Site Name]],Tables!$B$12:$B$100, Tables!C$12:C$100)</f>
        <v>52.069044372881365</v>
      </c>
      <c r="M547">
        <f>_xlfn.XLOOKUP(AllDataCorrected[[#This Row],[Site Name]],Tables!$B$12:$B$100, Tables!D$12:D$100)</f>
        <v>-1.6116270169491524</v>
      </c>
      <c r="N547" t="s">
        <v>31</v>
      </c>
      <c r="O547">
        <v>599</v>
      </c>
      <c r="P547">
        <v>10.1</v>
      </c>
      <c r="Q547">
        <v>10</v>
      </c>
      <c r="R547" t="str">
        <f>IF(AllDataCorrected[[#This Row],[Nitrate (PPM)]]&gt;2, "4. Very high (&gt;2ppm)", IF(AllDataCorrected[[#This Row],[Nitrate (PPM)]]&gt;1, "3. High (1-2ppm)", IF(AllDataCorrected[[#This Row],[Nitrate (PPM)]]&gt;0.5, "2. Some evidence (0.5-1ppm)", IF(AllDataCorrected[[#This Row],[Nitrate (PPM)]]&gt;=0, "1. No evidence (&lt;0.5ppm)"))))</f>
        <v>4. Very high (&gt;2ppm)</v>
      </c>
      <c r="S547">
        <v>0.27</v>
      </c>
      <c r="T5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7">
        <v>2</v>
      </c>
      <c r="V547" t="s">
        <v>876</v>
      </c>
    </row>
    <row r="548" spans="1:22" x14ac:dyDescent="0.35">
      <c r="A548" t="s">
        <v>877</v>
      </c>
      <c r="B548" s="2">
        <v>45368</v>
      </c>
      <c r="C548" t="str" cm="1">
        <f t="array" ref="C5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8">
        <f>YEAR(AllDataCorrected[[#This Row],[Date]])</f>
        <v>2024</v>
      </c>
      <c r="E548" s="1">
        <v>0.4375</v>
      </c>
      <c r="F5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8" t="str">
        <f>_xlfn.XLOOKUP(AllDataCorrected[[#This Row],[Location Name]], Locations[Location Name],Locations[Group As])</f>
        <v>Lucy's Mill Bridge</v>
      </c>
      <c r="H548" t="e" vm="1">
        <f>_xlfn.XLOOKUP(AllDataCorrected[[#This Row],[Site Name]],LocationsKey[Site Name],LocationsKey[District])</f>
        <v>#VALUE!</v>
      </c>
      <c r="I548" t="e" vm="12">
        <f>_xlfn.XLOOKUP(AllDataCorrected[[#This Row],[Site Name]],LocationsKey[Site Name],LocationsKey[Town])</f>
        <v>#VALUE!</v>
      </c>
      <c r="J548" t="str">
        <f>_xlfn.XLOOKUP(AllDataCorrected[[#This Row],[Site Name]],LocationsKey[Site Name], LocationsKey[Waterway])</f>
        <v>Avon</v>
      </c>
      <c r="K548" t="s">
        <v>212</v>
      </c>
      <c r="L548">
        <f>_xlfn.XLOOKUP(AllDataCorrected[[#This Row],[Site Name]],Tables!$B$12:$B$100, Tables!C$12:C$100)</f>
        <v>52.183699000000011</v>
      </c>
      <c r="M548">
        <f>_xlfn.XLOOKUP(AllDataCorrected[[#This Row],[Site Name]],Tables!$B$12:$B$100, Tables!D$12:D$100)</f>
        <v>-1.7078160000000004</v>
      </c>
      <c r="N548" t="s">
        <v>31</v>
      </c>
      <c r="P548">
        <v>11.2</v>
      </c>
      <c r="Q548">
        <v>5</v>
      </c>
      <c r="R548" t="str">
        <f>IF(AllDataCorrected[[#This Row],[Nitrate (PPM)]]&gt;2, "4. Very high (&gt;2ppm)", IF(AllDataCorrected[[#This Row],[Nitrate (PPM)]]&gt;1, "3. High (1-2ppm)", IF(AllDataCorrected[[#This Row],[Nitrate (PPM)]]&gt;0.5, "2. Some evidence (0.5-1ppm)", IF(AllDataCorrected[[#This Row],[Nitrate (PPM)]]&gt;=0, "1. No evidence (&lt;0.5ppm)"))))</f>
        <v>4. Very high (&gt;2ppm)</v>
      </c>
      <c r="S548">
        <v>0.25</v>
      </c>
      <c r="T5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8">
        <v>0.7</v>
      </c>
    </row>
    <row r="549" spans="1:22" x14ac:dyDescent="0.35">
      <c r="A549" t="s">
        <v>878</v>
      </c>
      <c r="B549" s="2">
        <v>45368</v>
      </c>
      <c r="C549" t="str" cm="1">
        <f t="array" ref="C5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49">
        <f>YEAR(AllDataCorrected[[#This Row],[Date]])</f>
        <v>2024</v>
      </c>
      <c r="E549" s="1">
        <v>0.48958333333333331</v>
      </c>
      <c r="F5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49" t="str">
        <f>_xlfn.XLOOKUP(AllDataCorrected[[#This Row],[Location Name]], Locations[Location Name],Locations[Group As])</f>
        <v>Carrant Bredon Rd</v>
      </c>
      <c r="H549" t="e" vm="4">
        <f>_xlfn.XLOOKUP(AllDataCorrected[[#This Row],[Site Name]],LocationsKey[Site Name],LocationsKey[District])</f>
        <v>#VALUE!</v>
      </c>
      <c r="I549" t="e" vm="4">
        <f>_xlfn.XLOOKUP(AllDataCorrected[[#This Row],[Site Name]],LocationsKey[Site Name],LocationsKey[Town])</f>
        <v>#VALUE!</v>
      </c>
      <c r="J549" t="str">
        <f>_xlfn.XLOOKUP(AllDataCorrected[[#This Row],[Site Name]],LocationsKey[Site Name], LocationsKey[Waterway])</f>
        <v>Carrant</v>
      </c>
      <c r="K549" t="s">
        <v>603</v>
      </c>
      <c r="L549">
        <f>_xlfn.XLOOKUP(AllDataCorrected[[#This Row],[Site Name]],Tables!$B$12:$B$100, Tables!C$12:C$100)</f>
        <v>51.996322536231894</v>
      </c>
      <c r="M549">
        <f>_xlfn.XLOOKUP(AllDataCorrected[[#This Row],[Site Name]],Tables!$B$12:$B$100, Tables!D$12:D$100)</f>
        <v>-2.1558410144927538</v>
      </c>
      <c r="N549" t="s">
        <v>25</v>
      </c>
      <c r="O549">
        <v>535</v>
      </c>
      <c r="P549">
        <v>12.4</v>
      </c>
      <c r="Q549">
        <v>5</v>
      </c>
      <c r="R549" t="str">
        <f>IF(AllDataCorrected[[#This Row],[Nitrate (PPM)]]&gt;2, "4. Very high (&gt;2ppm)", IF(AllDataCorrected[[#This Row],[Nitrate (PPM)]]&gt;1, "3. High (1-2ppm)", IF(AllDataCorrected[[#This Row],[Nitrate (PPM)]]&gt;0.5, "2. Some evidence (0.5-1ppm)", IF(AllDataCorrected[[#This Row],[Nitrate (PPM)]]&gt;=0, "1. No evidence (&lt;0.5ppm)"))))</f>
        <v>4. Very high (&gt;2ppm)</v>
      </c>
      <c r="S549">
        <v>0.19</v>
      </c>
      <c r="T5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49">
        <v>0.32</v>
      </c>
      <c r="V549" t="s">
        <v>879</v>
      </c>
    </row>
    <row r="550" spans="1:22" x14ac:dyDescent="0.35">
      <c r="A550" t="s">
        <v>880</v>
      </c>
      <c r="B550" s="2">
        <v>45368</v>
      </c>
      <c r="C550" t="str" cm="1">
        <f t="array" ref="C5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0">
        <f>YEAR(AllDataCorrected[[#This Row],[Date]])</f>
        <v>2024</v>
      </c>
      <c r="E550" s="1">
        <v>0.59375</v>
      </c>
      <c r="F5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0" t="str">
        <f>_xlfn.XLOOKUP(AllDataCorrected[[#This Row],[Location Name]], Locations[Location Name],Locations[Group As])</f>
        <v>Clifford Chambers Mill Bridge</v>
      </c>
      <c r="H550" t="e" vm="1">
        <f>_xlfn.XLOOKUP(AllDataCorrected[[#This Row],[Site Name]],LocationsKey[Site Name],LocationsKey[District])</f>
        <v>#VALUE!</v>
      </c>
      <c r="I550" t="e" vm="22">
        <f>_xlfn.XLOOKUP(AllDataCorrected[[#This Row],[Site Name]],LocationsKey[Site Name],LocationsKey[Town])</f>
        <v>#VALUE!</v>
      </c>
      <c r="J550" t="str">
        <f>_xlfn.XLOOKUP(AllDataCorrected[[#This Row],[Site Name]],LocationsKey[Site Name], LocationsKey[Waterway])</f>
        <v>Stour</v>
      </c>
      <c r="K550" t="s">
        <v>266</v>
      </c>
      <c r="L550">
        <f>_xlfn.XLOOKUP(AllDataCorrected[[#This Row],[Site Name]],Tables!$B$12:$B$100, Tables!C$12:C$100)</f>
        <v>52.166363596153808</v>
      </c>
      <c r="M550">
        <f>_xlfn.XLOOKUP(AllDataCorrected[[#This Row],[Site Name]],Tables!$B$12:$B$100, Tables!D$12:D$100)</f>
        <v>-1.7080375384615398</v>
      </c>
      <c r="N550" t="s">
        <v>68</v>
      </c>
      <c r="O550">
        <v>538</v>
      </c>
      <c r="P550">
        <v>16.5</v>
      </c>
      <c r="Q550">
        <v>5</v>
      </c>
      <c r="R550" t="str">
        <f>IF(AllDataCorrected[[#This Row],[Nitrate (PPM)]]&gt;2, "4. Very high (&gt;2ppm)", IF(AllDataCorrected[[#This Row],[Nitrate (PPM)]]&gt;1, "3. High (1-2ppm)", IF(AllDataCorrected[[#This Row],[Nitrate (PPM)]]&gt;0.5, "2. Some evidence (0.5-1ppm)", IF(AllDataCorrected[[#This Row],[Nitrate (PPM)]]&gt;=0, "1. No evidence (&lt;0.5ppm)"))))</f>
        <v>4. Very high (&gt;2ppm)</v>
      </c>
      <c r="S550">
        <v>0.3</v>
      </c>
      <c r="T55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0">
        <v>1.7</v>
      </c>
    </row>
    <row r="551" spans="1:22" x14ac:dyDescent="0.35">
      <c r="A551" t="s">
        <v>881</v>
      </c>
      <c r="B551" s="2">
        <v>45368</v>
      </c>
      <c r="C551" t="str" cm="1">
        <f t="array" ref="C5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1">
        <f>YEAR(AllDataCorrected[[#This Row],[Date]])</f>
        <v>2024</v>
      </c>
      <c r="E551" s="1">
        <v>0.59722222222222221</v>
      </c>
      <c r="F5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1" t="str">
        <f>_xlfn.XLOOKUP(AllDataCorrected[[#This Row],[Location Name]], Locations[Location Name],Locations[Group As])</f>
        <v>The Ford, Langley</v>
      </c>
      <c r="H551" t="e" vm="1">
        <f>_xlfn.XLOOKUP(AllDataCorrected[[#This Row],[Site Name]],LocationsKey[Site Name],LocationsKey[District])</f>
        <v>#VALUE!</v>
      </c>
      <c r="I551" t="str">
        <f>_xlfn.XLOOKUP(AllDataCorrected[[#This Row],[Site Name]],LocationsKey[Site Name],LocationsKey[Town])</f>
        <v>Langley</v>
      </c>
      <c r="J551" t="str">
        <f>_xlfn.XLOOKUP(AllDataCorrected[[#This Row],[Site Name]],LocationsKey[Site Name], LocationsKey[Waterway])</f>
        <v>Langley Ford</v>
      </c>
      <c r="K551" t="s">
        <v>561</v>
      </c>
      <c r="L551">
        <f>_xlfn.XLOOKUP(AllDataCorrected[[#This Row],[Site Name]],Tables!$B$12:$B$100, Tables!C$12:C$100)</f>
        <v>52.262666528301864</v>
      </c>
      <c r="M551">
        <f>_xlfn.XLOOKUP(AllDataCorrected[[#This Row],[Site Name]],Tables!$B$12:$B$100, Tables!D$12:D$100)</f>
        <v>-1.6545845283018858</v>
      </c>
      <c r="N551" t="s">
        <v>31</v>
      </c>
      <c r="O551">
        <v>223</v>
      </c>
      <c r="P551">
        <v>12.7</v>
      </c>
      <c r="Q551">
        <v>0.5</v>
      </c>
      <c r="R55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551">
        <v>0.73</v>
      </c>
      <c r="T5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1">
        <v>0.65</v>
      </c>
      <c r="V551" t="s">
        <v>882</v>
      </c>
    </row>
    <row r="552" spans="1:22" x14ac:dyDescent="0.35">
      <c r="A552" t="s">
        <v>883</v>
      </c>
      <c r="B552" s="2">
        <v>45368</v>
      </c>
      <c r="C552" t="str" cm="1">
        <f t="array" ref="C5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2">
        <f>YEAR(AllDataCorrected[[#This Row],[Date]])</f>
        <v>2024</v>
      </c>
      <c r="E552" s="1">
        <v>0.62708333333333333</v>
      </c>
      <c r="F5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2" t="str">
        <f>_xlfn.XLOOKUP(AllDataCorrected[[#This Row],[Location Name]], Locations[Location Name],Locations[Group As])</f>
        <v>Sherbourne Brook 1</v>
      </c>
      <c r="H552" t="e" vm="1">
        <f>_xlfn.XLOOKUP(AllDataCorrected[[#This Row],[Site Name]],LocationsKey[Site Name],LocationsKey[District])</f>
        <v>#VALUE!</v>
      </c>
      <c r="I552" t="e" vm="23">
        <f>_xlfn.XLOOKUP(AllDataCorrected[[#This Row],[Site Name]],LocationsKey[Site Name],LocationsKey[Town])</f>
        <v>#VALUE!</v>
      </c>
      <c r="J552" t="str">
        <f>_xlfn.XLOOKUP(AllDataCorrected[[#This Row],[Site Name]],LocationsKey[Site Name], LocationsKey[Waterway])</f>
        <v>Sherbourne Brook</v>
      </c>
      <c r="K552" t="s">
        <v>541</v>
      </c>
      <c r="L552">
        <f>_xlfn.XLOOKUP(AllDataCorrected[[#This Row],[Site Name]],Tables!$B$12:$B$100, Tables!C$12:C$100)</f>
        <v>52.252500000000033</v>
      </c>
      <c r="M552">
        <f>_xlfn.XLOOKUP(AllDataCorrected[[#This Row],[Site Name]],Tables!$B$12:$B$100, Tables!D$12:D$100)</f>
        <v>-1.6685000000000012</v>
      </c>
      <c r="N552" t="s">
        <v>25</v>
      </c>
      <c r="O552">
        <v>193</v>
      </c>
      <c r="P552">
        <v>11.7</v>
      </c>
      <c r="Q552">
        <v>3</v>
      </c>
      <c r="R552" t="str">
        <f>IF(AllDataCorrected[[#This Row],[Nitrate (PPM)]]&gt;2, "4. Very high (&gt;2ppm)", IF(AllDataCorrected[[#This Row],[Nitrate (PPM)]]&gt;1, "3. High (1-2ppm)", IF(AllDataCorrected[[#This Row],[Nitrate (PPM)]]&gt;0.5, "2. Some evidence (0.5-1ppm)", IF(AllDataCorrected[[#This Row],[Nitrate (PPM)]]&gt;=0, "1. No evidence (&lt;0.5ppm)"))))</f>
        <v>4. Very high (&gt;2ppm)</v>
      </c>
      <c r="S552">
        <v>0.68</v>
      </c>
      <c r="T5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2">
        <v>1</v>
      </c>
      <c r="V552" t="s">
        <v>884</v>
      </c>
    </row>
    <row r="553" spans="1:22" x14ac:dyDescent="0.35">
      <c r="A553" t="s">
        <v>885</v>
      </c>
      <c r="B553" s="2">
        <v>45368</v>
      </c>
      <c r="C553" t="str" cm="1">
        <f t="array" ref="C5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3">
        <f>YEAR(AllDataCorrected[[#This Row],[Date]])</f>
        <v>2024</v>
      </c>
      <c r="E553" s="1">
        <v>0.63541666666666663</v>
      </c>
      <c r="F5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53" t="str">
        <f>_xlfn.XLOOKUP(AllDataCorrected[[#This Row],[Location Name]], Locations[Location Name],Locations[Group As])</f>
        <v>Bell Brook 1</v>
      </c>
      <c r="H553" t="e" vm="1">
        <f>_xlfn.XLOOKUP(AllDataCorrected[[#This Row],[Site Name]],LocationsKey[Site Name],LocationsKey[District])</f>
        <v>#VALUE!</v>
      </c>
      <c r="I553" t="e" vm="19">
        <f>_xlfn.XLOOKUP(AllDataCorrected[[#This Row],[Site Name]],LocationsKey[Site Name],LocationsKey[Town])</f>
        <v>#VALUE!</v>
      </c>
      <c r="J553" t="str">
        <f>_xlfn.XLOOKUP(AllDataCorrected[[#This Row],[Site Name]],LocationsKey[Site Name], LocationsKey[Waterway])</f>
        <v>Bell Brook</v>
      </c>
      <c r="K553" t="s">
        <v>538</v>
      </c>
      <c r="L553">
        <f>_xlfn.XLOOKUP(AllDataCorrected[[#This Row],[Site Name]],Tables!$B$12:$B$100, Tables!C$12:C$100)</f>
        <v>52.24489999999998</v>
      </c>
      <c r="M553">
        <f>_xlfn.XLOOKUP(AllDataCorrected[[#This Row],[Site Name]],Tables!$B$12:$B$100, Tables!D$12:D$100)</f>
        <v>-1.6617000000000013</v>
      </c>
      <c r="N553" t="s">
        <v>25</v>
      </c>
      <c r="O553">
        <v>222</v>
      </c>
      <c r="P553">
        <v>12.1</v>
      </c>
      <c r="Q553">
        <v>2</v>
      </c>
      <c r="R553" t="str">
        <f>IF(AllDataCorrected[[#This Row],[Nitrate (PPM)]]&gt;2, "4. Very high (&gt;2ppm)", IF(AllDataCorrected[[#This Row],[Nitrate (PPM)]]&gt;1, "3. High (1-2ppm)", IF(AllDataCorrected[[#This Row],[Nitrate (PPM)]]&gt;0.5, "2. Some evidence (0.5-1ppm)", IF(AllDataCorrected[[#This Row],[Nitrate (PPM)]]&gt;=0, "1. No evidence (&lt;0.5ppm)"))))</f>
        <v>3. High (1-2ppm)</v>
      </c>
      <c r="S553">
        <v>0.41</v>
      </c>
      <c r="T5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3">
        <v>1</v>
      </c>
      <c r="V553" t="s">
        <v>884</v>
      </c>
    </row>
    <row r="554" spans="1:22" x14ac:dyDescent="0.35">
      <c r="A554" t="s">
        <v>886</v>
      </c>
      <c r="B554" s="2">
        <v>45368</v>
      </c>
      <c r="C554" t="str" cm="1">
        <f t="array" ref="C5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4">
        <f>YEAR(AllDataCorrected[[#This Row],[Date]])</f>
        <v>2024</v>
      </c>
      <c r="F55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4" t="str">
        <f>_xlfn.XLOOKUP(AllDataCorrected[[#This Row],[Location Name]], Locations[Location Name],Locations[Group As])</f>
        <v>Site 1  :  Middle Street</v>
      </c>
      <c r="H554" t="e" vm="1">
        <f>_xlfn.XLOOKUP(AllDataCorrected[[#This Row],[Site Name]],LocationsKey[Site Name],LocationsKey[District])</f>
        <v>#VALUE!</v>
      </c>
      <c r="I554" t="e" vm="14">
        <f>_xlfn.XLOOKUP(AllDataCorrected[[#This Row],[Site Name]],LocationsKey[Site Name],LocationsKey[Town])</f>
        <v>#VALUE!</v>
      </c>
      <c r="J554" t="str">
        <f>_xlfn.XLOOKUP(AllDataCorrected[[#This Row],[Site Name]],LocationsKey[Site Name], LocationsKey[Waterway])</f>
        <v>Fosseway Brook</v>
      </c>
      <c r="K554" t="s">
        <v>667</v>
      </c>
      <c r="L554">
        <f>_xlfn.XLOOKUP(AllDataCorrected[[#This Row],[Site Name]],Tables!$B$12:$B$100, Tables!C$12:C$100)</f>
        <v>52.090081855670022</v>
      </c>
      <c r="M554">
        <f>_xlfn.XLOOKUP(AllDataCorrected[[#This Row],[Site Name]],Tables!$B$12:$B$100, Tables!D$12:D$100)</f>
        <v>-1.6925771134020597</v>
      </c>
      <c r="N554" t="s">
        <v>68</v>
      </c>
      <c r="O554">
        <v>470</v>
      </c>
      <c r="P554">
        <v>11.6</v>
      </c>
      <c r="Q554">
        <v>2</v>
      </c>
      <c r="R554" t="str">
        <f>IF(AllDataCorrected[[#This Row],[Nitrate (PPM)]]&gt;2, "4. Very high (&gt;2ppm)", IF(AllDataCorrected[[#This Row],[Nitrate (PPM)]]&gt;1, "3. High (1-2ppm)", IF(AllDataCorrected[[#This Row],[Nitrate (PPM)]]&gt;0.5, "2. Some evidence (0.5-1ppm)", IF(AllDataCorrected[[#This Row],[Nitrate (PPM)]]&gt;=0, "1. No evidence (&lt;0.5ppm)"))))</f>
        <v>3. High (1-2ppm)</v>
      </c>
      <c r="S554">
        <v>0.06</v>
      </c>
      <c r="T55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554">
        <v>0</v>
      </c>
      <c r="V554" t="s">
        <v>887</v>
      </c>
    </row>
    <row r="555" spans="1:22" x14ac:dyDescent="0.35">
      <c r="A555" t="s">
        <v>888</v>
      </c>
      <c r="B555" s="2">
        <v>45368</v>
      </c>
      <c r="C555" t="str" cm="1">
        <f t="array" ref="C5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5">
        <f>YEAR(AllDataCorrected[[#This Row],[Date]])</f>
        <v>2024</v>
      </c>
      <c r="F55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5" t="str">
        <f>_xlfn.XLOOKUP(AllDataCorrected[[#This Row],[Location Name]], Locations[Location Name],Locations[Group As])</f>
        <v>Site 1  :  Middle Street</v>
      </c>
      <c r="H555" t="e" vm="1">
        <f>_xlfn.XLOOKUP(AllDataCorrected[[#This Row],[Site Name]],LocationsKey[Site Name],LocationsKey[District])</f>
        <v>#VALUE!</v>
      </c>
      <c r="I555" t="e" vm="14">
        <f>_xlfn.XLOOKUP(AllDataCorrected[[#This Row],[Site Name]],LocationsKey[Site Name],LocationsKey[Town])</f>
        <v>#VALUE!</v>
      </c>
      <c r="J555" t="str">
        <f>_xlfn.XLOOKUP(AllDataCorrected[[#This Row],[Site Name]],LocationsKey[Site Name], LocationsKey[Waterway])</f>
        <v>Fosseway Brook</v>
      </c>
      <c r="K555" t="s">
        <v>670</v>
      </c>
      <c r="L555">
        <f>_xlfn.XLOOKUP(AllDataCorrected[[#This Row],[Site Name]],Tables!$B$12:$B$100, Tables!C$12:C$100)</f>
        <v>52.090081855670022</v>
      </c>
      <c r="M555">
        <f>_xlfn.XLOOKUP(AllDataCorrected[[#This Row],[Site Name]],Tables!$B$12:$B$100, Tables!D$12:D$100)</f>
        <v>-1.6925771134020597</v>
      </c>
      <c r="N555" t="s">
        <v>68</v>
      </c>
      <c r="O555">
        <v>470</v>
      </c>
      <c r="P555">
        <v>11.6</v>
      </c>
      <c r="Q555">
        <v>2</v>
      </c>
      <c r="R555" t="str">
        <f>IF(AllDataCorrected[[#This Row],[Nitrate (PPM)]]&gt;2, "4. Very high (&gt;2ppm)", IF(AllDataCorrected[[#This Row],[Nitrate (PPM)]]&gt;1, "3. High (1-2ppm)", IF(AllDataCorrected[[#This Row],[Nitrate (PPM)]]&gt;0.5, "2. Some evidence (0.5-1ppm)", IF(AllDataCorrected[[#This Row],[Nitrate (PPM)]]&gt;=0, "1. No evidence (&lt;0.5ppm)"))))</f>
        <v>3. High (1-2ppm)</v>
      </c>
      <c r="S555">
        <v>0.06</v>
      </c>
      <c r="T55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555" t="s">
        <v>889</v>
      </c>
    </row>
    <row r="556" spans="1:22" x14ac:dyDescent="0.35">
      <c r="A556" t="s">
        <v>890</v>
      </c>
      <c r="B556" s="2">
        <v>45368</v>
      </c>
      <c r="C556" t="str" cm="1">
        <f t="array" ref="C5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6">
        <f>YEAR(AllDataCorrected[[#This Row],[Date]])</f>
        <v>2024</v>
      </c>
      <c r="F55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6" t="str">
        <f>_xlfn.XLOOKUP(AllDataCorrected[[#This Row],[Location Name]], Locations[Location Name],Locations[Group As])</f>
        <v>Site 2  :  Cross Leys culvert</v>
      </c>
      <c r="H556" t="e" vm="1">
        <f>_xlfn.XLOOKUP(AllDataCorrected[[#This Row],[Site Name]],LocationsKey[Site Name],LocationsKey[District])</f>
        <v>#VALUE!</v>
      </c>
      <c r="I556" t="e" vm="14">
        <f>_xlfn.XLOOKUP(AllDataCorrected[[#This Row],[Site Name]],LocationsKey[Site Name],LocationsKey[Town])</f>
        <v>#VALUE!</v>
      </c>
      <c r="J556" t="str">
        <f>_xlfn.XLOOKUP(AllDataCorrected[[#This Row],[Site Name]],LocationsKey[Site Name], LocationsKey[Waterway])</f>
        <v>Fosseway Brook</v>
      </c>
      <c r="K556" t="s">
        <v>623</v>
      </c>
      <c r="L556">
        <f>_xlfn.XLOOKUP(AllDataCorrected[[#This Row],[Site Name]],Tables!$B$12:$B$100, Tables!C$12:C$100)</f>
        <v>52.092997354838673</v>
      </c>
      <c r="M556">
        <f>_xlfn.XLOOKUP(AllDataCorrected[[#This Row],[Site Name]],Tables!$B$12:$B$100, Tables!D$12:D$100)</f>
        <v>-1.6862254516129045</v>
      </c>
      <c r="N556" t="s">
        <v>68</v>
      </c>
      <c r="O556">
        <v>456</v>
      </c>
      <c r="P556">
        <v>11.3</v>
      </c>
      <c r="Q556">
        <v>2</v>
      </c>
      <c r="R556" t="str">
        <f>IF(AllDataCorrected[[#This Row],[Nitrate (PPM)]]&gt;2, "4. Very high (&gt;2ppm)", IF(AllDataCorrected[[#This Row],[Nitrate (PPM)]]&gt;1, "3. High (1-2ppm)", IF(AllDataCorrected[[#This Row],[Nitrate (PPM)]]&gt;0.5, "2. Some evidence (0.5-1ppm)", IF(AllDataCorrected[[#This Row],[Nitrate (PPM)]]&gt;=0, "1. No evidence (&lt;0.5ppm)"))))</f>
        <v>3. High (1-2ppm)</v>
      </c>
      <c r="S556">
        <v>0.4</v>
      </c>
      <c r="T5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56">
        <v>0</v>
      </c>
      <c r="V556" t="s">
        <v>891</v>
      </c>
    </row>
    <row r="557" spans="1:22" x14ac:dyDescent="0.35">
      <c r="A557" t="s">
        <v>892</v>
      </c>
      <c r="B557" s="2">
        <v>45368</v>
      </c>
      <c r="C557" t="str" cm="1">
        <f t="array" ref="C5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7">
        <f>YEAR(AllDataCorrected[[#This Row],[Date]])</f>
        <v>2024</v>
      </c>
      <c r="F55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7" t="str">
        <f>_xlfn.XLOOKUP(AllDataCorrected[[#This Row],[Location Name]], Locations[Location Name],Locations[Group As])</f>
        <v>Site 2  :  Cross Leys culvert</v>
      </c>
      <c r="H557" t="e" vm="1">
        <f>_xlfn.XLOOKUP(AllDataCorrected[[#This Row],[Site Name]],LocationsKey[Site Name],LocationsKey[District])</f>
        <v>#VALUE!</v>
      </c>
      <c r="I557" t="e" vm="14">
        <f>_xlfn.XLOOKUP(AllDataCorrected[[#This Row],[Site Name]],LocationsKey[Site Name],LocationsKey[Town])</f>
        <v>#VALUE!</v>
      </c>
      <c r="J557" t="str">
        <f>_xlfn.XLOOKUP(AllDataCorrected[[#This Row],[Site Name]],LocationsKey[Site Name], LocationsKey[Waterway])</f>
        <v>Fosseway Brook</v>
      </c>
      <c r="K557" t="s">
        <v>626</v>
      </c>
      <c r="L557">
        <f>_xlfn.XLOOKUP(AllDataCorrected[[#This Row],[Site Name]],Tables!$B$12:$B$100, Tables!C$12:C$100)</f>
        <v>52.092997354838673</v>
      </c>
      <c r="M557">
        <f>_xlfn.XLOOKUP(AllDataCorrected[[#This Row],[Site Name]],Tables!$B$12:$B$100, Tables!D$12:D$100)</f>
        <v>-1.6862254516129045</v>
      </c>
      <c r="N557" t="s">
        <v>68</v>
      </c>
      <c r="O557">
        <v>456</v>
      </c>
      <c r="P557">
        <v>11.3</v>
      </c>
      <c r="Q557">
        <v>2</v>
      </c>
      <c r="R557" t="str">
        <f>IF(AllDataCorrected[[#This Row],[Nitrate (PPM)]]&gt;2, "4. Very high (&gt;2ppm)", IF(AllDataCorrected[[#This Row],[Nitrate (PPM)]]&gt;1, "3. High (1-2ppm)", IF(AllDataCorrected[[#This Row],[Nitrate (PPM)]]&gt;0.5, "2. Some evidence (0.5-1ppm)", IF(AllDataCorrected[[#This Row],[Nitrate (PPM)]]&gt;=0, "1. No evidence (&lt;0.5ppm)"))))</f>
        <v>3. High (1-2ppm)</v>
      </c>
      <c r="S557">
        <v>0.4</v>
      </c>
      <c r="T5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557" t="s">
        <v>893</v>
      </c>
    </row>
    <row r="558" spans="1:22" x14ac:dyDescent="0.35">
      <c r="A558" t="s">
        <v>894</v>
      </c>
      <c r="B558" s="2">
        <v>45368</v>
      </c>
      <c r="C558" t="str" cm="1">
        <f t="array" ref="C5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8">
        <f>YEAR(AllDataCorrected[[#This Row],[Date]])</f>
        <v>2024</v>
      </c>
      <c r="F55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8" t="str">
        <f>_xlfn.XLOOKUP(AllDataCorrected[[#This Row],[Location Name]], Locations[Location Name],Locations[Group As])</f>
        <v>Site 3  :  Severn Trent Water processing plant outflow</v>
      </c>
      <c r="H558" t="e" vm="1">
        <f>_xlfn.XLOOKUP(AllDataCorrected[[#This Row],[Site Name]],LocationsKey[Site Name],LocationsKey[District])</f>
        <v>#VALUE!</v>
      </c>
      <c r="I558" t="e" vm="14">
        <f>_xlfn.XLOOKUP(AllDataCorrected[[#This Row],[Site Name]],LocationsKey[Site Name],LocationsKey[Town])</f>
        <v>#VALUE!</v>
      </c>
      <c r="J558" t="str">
        <f>_xlfn.XLOOKUP(AllDataCorrected[[#This Row],[Site Name]],LocationsKey[Site Name], LocationsKey[Waterway])</f>
        <v>Fosseway Brook</v>
      </c>
      <c r="K558" t="s">
        <v>673</v>
      </c>
      <c r="L558">
        <f>_xlfn.XLOOKUP(AllDataCorrected[[#This Row],[Site Name]],Tables!$B$12:$B$100, Tables!C$12:C$100)</f>
        <v>52.130499999999998</v>
      </c>
      <c r="M558">
        <f>_xlfn.XLOOKUP(AllDataCorrected[[#This Row],[Site Name]],Tables!$B$12:$B$100, Tables!D$12:D$100)</f>
        <v>-2.0787</v>
      </c>
      <c r="N558" t="s">
        <v>31</v>
      </c>
      <c r="O558">
        <v>484</v>
      </c>
      <c r="P558">
        <v>11</v>
      </c>
      <c r="Q558">
        <v>2</v>
      </c>
      <c r="R558" t="str">
        <f>IF(AllDataCorrected[[#This Row],[Nitrate (PPM)]]&gt;2, "4. Very high (&gt;2ppm)", IF(AllDataCorrected[[#This Row],[Nitrate (PPM)]]&gt;1, "3. High (1-2ppm)", IF(AllDataCorrected[[#This Row],[Nitrate (PPM)]]&gt;0.5, "2. Some evidence (0.5-1ppm)", IF(AllDataCorrected[[#This Row],[Nitrate (PPM)]]&gt;=0, "1. No evidence (&lt;0.5ppm)"))))</f>
        <v>3. High (1-2ppm)</v>
      </c>
      <c r="S558">
        <v>0.79</v>
      </c>
      <c r="T5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58">
        <v>0</v>
      </c>
      <c r="V558" t="s">
        <v>895</v>
      </c>
    </row>
    <row r="559" spans="1:22" x14ac:dyDescent="0.35">
      <c r="A559" t="s">
        <v>896</v>
      </c>
      <c r="B559" s="2">
        <v>45368</v>
      </c>
      <c r="C559" t="str" cm="1">
        <f t="array" ref="C5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59">
        <f>YEAR(AllDataCorrected[[#This Row],[Date]])</f>
        <v>2024</v>
      </c>
      <c r="F55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59" t="str">
        <f>_xlfn.XLOOKUP(AllDataCorrected[[#This Row],[Location Name]], Locations[Location Name],Locations[Group As])</f>
        <v>Site 3  :  Severn Trent Water processing plant outflow</v>
      </c>
      <c r="H559" t="e" vm="1">
        <f>_xlfn.XLOOKUP(AllDataCorrected[[#This Row],[Site Name]],LocationsKey[Site Name],LocationsKey[District])</f>
        <v>#VALUE!</v>
      </c>
      <c r="I559" t="e" vm="14">
        <f>_xlfn.XLOOKUP(AllDataCorrected[[#This Row],[Site Name]],LocationsKey[Site Name],LocationsKey[Town])</f>
        <v>#VALUE!</v>
      </c>
      <c r="J559" t="str">
        <f>_xlfn.XLOOKUP(AllDataCorrected[[#This Row],[Site Name]],LocationsKey[Site Name], LocationsKey[Waterway])</f>
        <v>Fosseway Brook</v>
      </c>
      <c r="K559" t="s">
        <v>676</v>
      </c>
      <c r="L559">
        <f>_xlfn.XLOOKUP(AllDataCorrected[[#This Row],[Site Name]],Tables!$B$12:$B$100, Tables!C$12:C$100)</f>
        <v>52.130499999999998</v>
      </c>
      <c r="M559">
        <f>_xlfn.XLOOKUP(AllDataCorrected[[#This Row],[Site Name]],Tables!$B$12:$B$100, Tables!D$12:D$100)</f>
        <v>-2.0787</v>
      </c>
      <c r="N559" t="s">
        <v>31</v>
      </c>
      <c r="O559">
        <v>484</v>
      </c>
      <c r="P559">
        <v>11</v>
      </c>
      <c r="Q559">
        <v>2</v>
      </c>
      <c r="R559" t="str">
        <f>IF(AllDataCorrected[[#This Row],[Nitrate (PPM)]]&gt;2, "4. Very high (&gt;2ppm)", IF(AllDataCorrected[[#This Row],[Nitrate (PPM)]]&gt;1, "3. High (1-2ppm)", IF(AllDataCorrected[[#This Row],[Nitrate (PPM)]]&gt;0.5, "2. Some evidence (0.5-1ppm)", IF(AllDataCorrected[[#This Row],[Nitrate (PPM)]]&gt;=0, "1. No evidence (&lt;0.5ppm)"))))</f>
        <v>3. High (1-2ppm)</v>
      </c>
      <c r="S559">
        <v>0.79</v>
      </c>
      <c r="T5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59" t="s">
        <v>897</v>
      </c>
    </row>
    <row r="560" spans="1:22" x14ac:dyDescent="0.35">
      <c r="A560" t="s">
        <v>899</v>
      </c>
      <c r="B560" s="2">
        <v>45369</v>
      </c>
      <c r="C560" t="str" cm="1">
        <f t="array" ref="C5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0">
        <f>YEAR(AllDataCorrected[[#This Row],[Date]])</f>
        <v>2024</v>
      </c>
      <c r="E560" s="1">
        <v>0.33888888888888891</v>
      </c>
      <c r="F5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0" t="str">
        <f>_xlfn.XLOOKUP(AllDataCorrected[[#This Row],[Location Name]], Locations[Location Name],Locations[Group As])</f>
        <v>Pershore Bridges</v>
      </c>
      <c r="H560" t="e" vm="6">
        <f>_xlfn.XLOOKUP(AllDataCorrected[[#This Row],[Site Name]],LocationsKey[Site Name],LocationsKey[District])</f>
        <v>#VALUE!</v>
      </c>
      <c r="I560" t="e" vm="7">
        <f>_xlfn.XLOOKUP(AllDataCorrected[[#This Row],[Site Name]],LocationsKey[Site Name],LocationsKey[Town])</f>
        <v>#VALUE!</v>
      </c>
      <c r="J560" t="str">
        <f>_xlfn.XLOOKUP(AllDataCorrected[[#This Row],[Site Name]],LocationsKey[Site Name], LocationsKey[Waterway])</f>
        <v>Avon</v>
      </c>
      <c r="K560" t="s">
        <v>584</v>
      </c>
      <c r="L560">
        <f>_xlfn.XLOOKUP(AllDataCorrected[[#This Row],[Site Name]],Tables!$B$12:$B$100, Tables!C$12:C$100)</f>
        <v>52.104196285714281</v>
      </c>
      <c r="M560">
        <f>_xlfn.XLOOKUP(AllDataCorrected[[#This Row],[Site Name]],Tables!$B$12:$B$100, Tables!D$12:D$100)</f>
        <v>-2.0709292857142851</v>
      </c>
      <c r="O560">
        <v>607</v>
      </c>
      <c r="P560">
        <v>14.1</v>
      </c>
      <c r="Q560">
        <v>5</v>
      </c>
      <c r="R560" t="str">
        <f>IF(AllDataCorrected[[#This Row],[Nitrate (PPM)]]&gt;2, "4. Very high (&gt;2ppm)", IF(AllDataCorrected[[#This Row],[Nitrate (PPM)]]&gt;1, "3. High (1-2ppm)", IF(AllDataCorrected[[#This Row],[Nitrate (PPM)]]&gt;0.5, "2. Some evidence (0.5-1ppm)", IF(AllDataCorrected[[#This Row],[Nitrate (PPM)]]&gt;=0, "1. No evidence (&lt;0.5ppm)"))))</f>
        <v>4. Very high (&gt;2ppm)</v>
      </c>
      <c r="S560">
        <v>0.5</v>
      </c>
      <c r="T5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0">
        <v>3.48</v>
      </c>
    </row>
    <row r="561" spans="1:22" x14ac:dyDescent="0.35">
      <c r="A561" t="s">
        <v>900</v>
      </c>
      <c r="B561" s="2">
        <v>45369</v>
      </c>
      <c r="C561" t="str" cm="1">
        <f t="array" ref="C5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1">
        <f>YEAR(AllDataCorrected[[#This Row],[Date]])</f>
        <v>2024</v>
      </c>
      <c r="E561" s="1">
        <v>0.39374999999999999</v>
      </c>
      <c r="F5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1" t="str">
        <f>_xlfn.XLOOKUP(AllDataCorrected[[#This Row],[Location Name]], Locations[Location Name],Locations[Group As])</f>
        <v>Stour Stretton-on-Fosse Village</v>
      </c>
      <c r="H561" t="e" vm="1">
        <f>_xlfn.XLOOKUP(AllDataCorrected[[#This Row],[Site Name]],LocationsKey[Site Name],LocationsKey[District])</f>
        <v>#VALUE!</v>
      </c>
      <c r="I561" t="e" vm="30">
        <f>_xlfn.XLOOKUP(AllDataCorrected[[#This Row],[Site Name]],LocationsKey[Site Name],LocationsKey[Town])</f>
        <v>#VALUE!</v>
      </c>
      <c r="J561" t="str">
        <f>_xlfn.XLOOKUP(AllDataCorrected[[#This Row],[Site Name]],LocationsKey[Site Name], LocationsKey[Waterway])</f>
        <v>Stour</v>
      </c>
      <c r="K561" t="s">
        <v>548</v>
      </c>
      <c r="L561">
        <f>_xlfn.XLOOKUP(AllDataCorrected[[#This Row],[Site Name]],Tables!$B$12:$B$100, Tables!C$12:C$100)</f>
        <v>52.046517558823531</v>
      </c>
      <c r="M561">
        <f>_xlfn.XLOOKUP(AllDataCorrected[[#This Row],[Site Name]],Tables!$B$12:$B$100, Tables!D$12:D$100)</f>
        <v>-1.6734143529411762</v>
      </c>
      <c r="N561" t="s">
        <v>68</v>
      </c>
      <c r="O561">
        <v>489</v>
      </c>
      <c r="P561">
        <v>10.1</v>
      </c>
      <c r="Q561">
        <v>1</v>
      </c>
      <c r="R561"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61">
        <v>0.72</v>
      </c>
      <c r="T5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1">
        <v>0.3</v>
      </c>
      <c r="V561" t="s">
        <v>901</v>
      </c>
    </row>
    <row r="562" spans="1:22" x14ac:dyDescent="0.35">
      <c r="A562" t="s">
        <v>902</v>
      </c>
      <c r="B562" s="2">
        <v>45369</v>
      </c>
      <c r="C562" t="str" cm="1">
        <f t="array" ref="C5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2">
        <f>YEAR(AllDataCorrected[[#This Row],[Date]])</f>
        <v>2024</v>
      </c>
      <c r="E562" s="1">
        <v>0.40694444444444444</v>
      </c>
      <c r="F56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2" t="str">
        <f>_xlfn.XLOOKUP(AllDataCorrected[[#This Row],[Location Name]], Locations[Location Name],Locations[Group As])</f>
        <v>Stour Stretton-on-Fosse Sewage Works</v>
      </c>
      <c r="H562" t="e" vm="1">
        <f>_xlfn.XLOOKUP(AllDataCorrected[[#This Row],[Site Name]],LocationsKey[Site Name],LocationsKey[District])</f>
        <v>#VALUE!</v>
      </c>
      <c r="I562" t="e" vm="30">
        <f>_xlfn.XLOOKUP(AllDataCorrected[[#This Row],[Site Name]],LocationsKey[Site Name],LocationsKey[Town])</f>
        <v>#VALUE!</v>
      </c>
      <c r="J562" t="str">
        <f>_xlfn.XLOOKUP(AllDataCorrected[[#This Row],[Site Name]],LocationsKey[Site Name], LocationsKey[Waterway])</f>
        <v>Stour</v>
      </c>
      <c r="K562" t="s">
        <v>337</v>
      </c>
      <c r="L562">
        <f>_xlfn.XLOOKUP(AllDataCorrected[[#This Row],[Site Name]],Tables!$B$12:$B$100, Tables!C$12:C$100)</f>
        <v>52.045653647058828</v>
      </c>
      <c r="M562">
        <f>_xlfn.XLOOKUP(AllDataCorrected[[#This Row],[Site Name]],Tables!$B$12:$B$100, Tables!D$12:D$100)</f>
        <v>-1.6719221470588239</v>
      </c>
      <c r="N562" t="s">
        <v>31</v>
      </c>
      <c r="O562">
        <v>529</v>
      </c>
      <c r="P562">
        <v>9.8000000000000007</v>
      </c>
      <c r="Q562">
        <v>1</v>
      </c>
      <c r="R562"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562">
        <v>0.95</v>
      </c>
      <c r="T5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2">
        <v>0.4</v>
      </c>
    </row>
    <row r="563" spans="1:22" x14ac:dyDescent="0.35">
      <c r="A563" t="s">
        <v>903</v>
      </c>
      <c r="B563" s="2">
        <v>45369</v>
      </c>
      <c r="C563" t="str" cm="1">
        <f t="array" ref="C5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3">
        <f>YEAR(AllDataCorrected[[#This Row],[Date]])</f>
        <v>2024</v>
      </c>
      <c r="E563" s="1">
        <v>0.50208333333333333</v>
      </c>
      <c r="F5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3" t="str">
        <f>_xlfn.XLOOKUP(AllDataCorrected[[#This Row],[Location Name]], Locations[Location Name],Locations[Group As])</f>
        <v>Abbey Mill</v>
      </c>
      <c r="H563" t="e" vm="4">
        <f>_xlfn.XLOOKUP(AllDataCorrected[[#This Row],[Site Name]],LocationsKey[Site Name],LocationsKey[District])</f>
        <v>#VALUE!</v>
      </c>
      <c r="I563" t="e" vm="4">
        <f>_xlfn.XLOOKUP(AllDataCorrected[[#This Row],[Site Name]],LocationsKey[Site Name],LocationsKey[Town])</f>
        <v>#VALUE!</v>
      </c>
      <c r="J563" t="str">
        <f>_xlfn.XLOOKUP(AllDataCorrected[[#This Row],[Site Name]],LocationsKey[Site Name], LocationsKey[Waterway])</f>
        <v>Avon</v>
      </c>
      <c r="K563" t="s">
        <v>27</v>
      </c>
      <c r="L563">
        <f>_xlfn.XLOOKUP(AllDataCorrected[[#This Row],[Site Name]],Tables!$B$12:$B$100, Tables!C$12:C$100)</f>
        <v>51.991313075757589</v>
      </c>
      <c r="M563">
        <f>_xlfn.XLOOKUP(AllDataCorrected[[#This Row],[Site Name]],Tables!$B$12:$B$100, Tables!D$12:D$100)</f>
        <v>-2.1621998181818181</v>
      </c>
      <c r="N563" t="s">
        <v>25</v>
      </c>
      <c r="O563">
        <v>547</v>
      </c>
      <c r="P563">
        <v>12.1</v>
      </c>
      <c r="Q563">
        <v>6</v>
      </c>
      <c r="R563" t="str">
        <f>IF(AllDataCorrected[[#This Row],[Nitrate (PPM)]]&gt;2, "4. Very high (&gt;2ppm)", IF(AllDataCorrected[[#This Row],[Nitrate (PPM)]]&gt;1, "3. High (1-2ppm)", IF(AllDataCorrected[[#This Row],[Nitrate (PPM)]]&gt;0.5, "2. Some evidence (0.5-1ppm)", IF(AllDataCorrected[[#This Row],[Nitrate (PPM)]]&gt;=0, "1. No evidence (&lt;0.5ppm)"))))</f>
        <v>4. Very high (&gt;2ppm)</v>
      </c>
      <c r="S563">
        <v>0.63</v>
      </c>
      <c r="T5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63">
        <v>2.5</v>
      </c>
      <c r="V563" t="s">
        <v>904</v>
      </c>
    </row>
    <row r="564" spans="1:22" x14ac:dyDescent="0.35">
      <c r="A564" t="s">
        <v>905</v>
      </c>
      <c r="B564" s="2">
        <v>45371</v>
      </c>
      <c r="C564" t="str" cm="1">
        <f t="array" ref="C5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4">
        <f>YEAR(AllDataCorrected[[#This Row],[Date]])</f>
        <v>2024</v>
      </c>
      <c r="E564" s="1">
        <v>9.7222222222222224E-2</v>
      </c>
      <c r="F56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64" t="str">
        <f>_xlfn.XLOOKUP(AllDataCorrected[[#This Row],[Location Name]], Locations[Location Name],Locations[Group As])</f>
        <v>Swiffen Bank</v>
      </c>
      <c r="H564" t="e" vm="1">
        <f>_xlfn.XLOOKUP(AllDataCorrected[[#This Row],[Site Name]],LocationsKey[Site Name],LocationsKey[District])</f>
        <v>#VALUE!</v>
      </c>
      <c r="I564" t="e" vm="2">
        <f>_xlfn.XLOOKUP(AllDataCorrected[[#This Row],[Site Name]],LocationsKey[Site Name],LocationsKey[Town])</f>
        <v>#VALUE!</v>
      </c>
      <c r="J564" t="str">
        <f>_xlfn.XLOOKUP(AllDataCorrected[[#This Row],[Site Name]],LocationsKey[Site Name], LocationsKey[Waterway])</f>
        <v>Avon</v>
      </c>
      <c r="K564" t="s">
        <v>286</v>
      </c>
      <c r="L564">
        <f>_xlfn.XLOOKUP(AllDataCorrected[[#This Row],[Site Name]],Tables!$B$12:$B$100, Tables!C$12:C$100)</f>
        <v>52.206649805555557</v>
      </c>
      <c r="M564">
        <f>_xlfn.XLOOKUP(AllDataCorrected[[#This Row],[Site Name]],Tables!$B$12:$B$100, Tables!D$12:D$100)</f>
        <v>-1.6541018611111094</v>
      </c>
      <c r="N564" t="s">
        <v>31</v>
      </c>
      <c r="O564">
        <v>542</v>
      </c>
      <c r="P564">
        <v>13</v>
      </c>
      <c r="Q564">
        <v>5</v>
      </c>
      <c r="R564" t="str">
        <f>IF(AllDataCorrected[[#This Row],[Nitrate (PPM)]]&gt;2, "4. Very high (&gt;2ppm)", IF(AllDataCorrected[[#This Row],[Nitrate (PPM)]]&gt;1, "3. High (1-2ppm)", IF(AllDataCorrected[[#This Row],[Nitrate (PPM)]]&gt;0.5, "2. Some evidence (0.5-1ppm)", IF(AllDataCorrected[[#This Row],[Nitrate (PPM)]]&gt;=0, "1. No evidence (&lt;0.5ppm)"))))</f>
        <v>4. Very high (&gt;2ppm)</v>
      </c>
      <c r="S564">
        <v>0.47</v>
      </c>
      <c r="T5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4">
        <v>1</v>
      </c>
      <c r="V564" t="s">
        <v>906</v>
      </c>
    </row>
    <row r="565" spans="1:22" x14ac:dyDescent="0.35">
      <c r="A565" t="s">
        <v>907</v>
      </c>
      <c r="B565" s="2">
        <v>45371</v>
      </c>
      <c r="C565" t="str" cm="1">
        <f t="array" ref="C5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5">
        <f>YEAR(AllDataCorrected[[#This Row],[Date]])</f>
        <v>2024</v>
      </c>
      <c r="E565" s="1">
        <v>0.625</v>
      </c>
      <c r="F5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5" t="str">
        <f>_xlfn.XLOOKUP(AllDataCorrected[[#This Row],[Location Name]], Locations[Location Name],Locations[Group As])</f>
        <v>Stour Newbold Mill</v>
      </c>
      <c r="H565" t="e" vm="1">
        <f>_xlfn.XLOOKUP(AllDataCorrected[[#This Row],[Site Name]],LocationsKey[Site Name],LocationsKey[District])</f>
        <v>#VALUE!</v>
      </c>
      <c r="I565" t="e" vm="27">
        <f>_xlfn.XLOOKUP(AllDataCorrected[[#This Row],[Site Name]],LocationsKey[Site Name],LocationsKey[Town])</f>
        <v>#VALUE!</v>
      </c>
      <c r="J565" t="str">
        <f>_xlfn.XLOOKUP(AllDataCorrected[[#This Row],[Site Name]],LocationsKey[Site Name], LocationsKey[Waterway])</f>
        <v>Stour</v>
      </c>
      <c r="K565" t="s">
        <v>141</v>
      </c>
      <c r="L565">
        <f>_xlfn.XLOOKUP(AllDataCorrected[[#This Row],[Site Name]],Tables!$B$12:$B$100, Tables!C$12:C$100)</f>
        <v>52.113052370370369</v>
      </c>
      <c r="M565">
        <f>_xlfn.XLOOKUP(AllDataCorrected[[#This Row],[Site Name]],Tables!$B$12:$B$100, Tables!D$12:D$100)</f>
        <v>-1.6333685185185181</v>
      </c>
      <c r="N565" t="s">
        <v>31</v>
      </c>
      <c r="O565">
        <v>560</v>
      </c>
      <c r="P565">
        <v>14.2</v>
      </c>
      <c r="Q565">
        <v>2</v>
      </c>
      <c r="R565" t="str">
        <f>IF(AllDataCorrected[[#This Row],[Nitrate (PPM)]]&gt;2, "4. Very high (&gt;2ppm)", IF(AllDataCorrected[[#This Row],[Nitrate (PPM)]]&gt;1, "3. High (1-2ppm)", IF(AllDataCorrected[[#This Row],[Nitrate (PPM)]]&gt;0.5, "2. Some evidence (0.5-1ppm)", IF(AllDataCorrected[[#This Row],[Nitrate (PPM)]]&gt;=0, "1. No evidence (&lt;0.5ppm)"))))</f>
        <v>3. High (1-2ppm)</v>
      </c>
      <c r="S565">
        <v>0.28999999999999998</v>
      </c>
      <c r="T5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5">
        <v>3</v>
      </c>
      <c r="V565" t="s">
        <v>908</v>
      </c>
    </row>
    <row r="566" spans="1:22" x14ac:dyDescent="0.35">
      <c r="A566" t="s">
        <v>909</v>
      </c>
      <c r="B566" s="2">
        <v>45371</v>
      </c>
      <c r="C566" t="str" cm="1">
        <f t="array" ref="C5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6">
        <f>YEAR(AllDataCorrected[[#This Row],[Date]])</f>
        <v>2024</v>
      </c>
      <c r="E566" s="1">
        <v>0.63402777777777775</v>
      </c>
      <c r="F5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6" t="str">
        <f>_xlfn.XLOOKUP(AllDataCorrected[[#This Row],[Location Name]], Locations[Location Name],Locations[Group As])</f>
        <v>Alveston Weir</v>
      </c>
      <c r="H566" t="e" vm="1">
        <f>_xlfn.XLOOKUP(AllDataCorrected[[#This Row],[Site Name]],LocationsKey[Site Name],LocationsKey[District])</f>
        <v>#VALUE!</v>
      </c>
      <c r="I566" t="e" vm="2">
        <f>_xlfn.XLOOKUP(AllDataCorrected[[#This Row],[Site Name]],LocationsKey[Site Name],LocationsKey[Town])</f>
        <v>#VALUE!</v>
      </c>
      <c r="J566" t="str">
        <f>_xlfn.XLOOKUP(AllDataCorrected[[#This Row],[Site Name]],LocationsKey[Site Name], LocationsKey[Waterway])</f>
        <v>Avon</v>
      </c>
      <c r="K566" t="s">
        <v>288</v>
      </c>
      <c r="L566">
        <f>_xlfn.XLOOKUP(AllDataCorrected[[#This Row],[Site Name]],Tables!$B$12:$B$100, Tables!C$12:C$100)</f>
        <v>52.21226301333337</v>
      </c>
      <c r="M566">
        <f>_xlfn.XLOOKUP(AllDataCorrected[[#This Row],[Site Name]],Tables!$B$12:$B$100, Tables!D$12:D$100)</f>
        <v>-1.6595226800000011</v>
      </c>
      <c r="N566" t="s">
        <v>31</v>
      </c>
      <c r="O566">
        <v>538</v>
      </c>
      <c r="P566">
        <v>17.399999999999999</v>
      </c>
      <c r="Q566">
        <v>5</v>
      </c>
      <c r="R566" t="str">
        <f>IF(AllDataCorrected[[#This Row],[Nitrate (PPM)]]&gt;2, "4. Very high (&gt;2ppm)", IF(AllDataCorrected[[#This Row],[Nitrate (PPM)]]&gt;1, "3. High (1-2ppm)", IF(AllDataCorrected[[#This Row],[Nitrate (PPM)]]&gt;0.5, "2. Some evidence (0.5-1ppm)", IF(AllDataCorrected[[#This Row],[Nitrate (PPM)]]&gt;=0, "1. No evidence (&lt;0.5ppm)"))))</f>
        <v>4. Very high (&gt;2ppm)</v>
      </c>
      <c r="S566">
        <v>0.44</v>
      </c>
      <c r="T5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6">
        <v>1</v>
      </c>
      <c r="V566" t="s">
        <v>910</v>
      </c>
    </row>
    <row r="567" spans="1:22" x14ac:dyDescent="0.35">
      <c r="A567" t="s">
        <v>911</v>
      </c>
      <c r="B567" s="2">
        <v>45372</v>
      </c>
      <c r="C567" t="str" cm="1">
        <f t="array" ref="C5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7">
        <f>YEAR(AllDataCorrected[[#This Row],[Date]])</f>
        <v>2024</v>
      </c>
      <c r="E567" s="1">
        <v>0.4375</v>
      </c>
      <c r="F5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7" t="str">
        <f>_xlfn.XLOOKUP(AllDataCorrected[[#This Row],[Location Name]], Locations[Location Name],Locations[Group As])</f>
        <v>Stour Willington</v>
      </c>
      <c r="H567" t="e" vm="1">
        <f>_xlfn.XLOOKUP(AllDataCorrected[[#This Row],[Site Name]],LocationsKey[Site Name],LocationsKey[District])</f>
        <v>#VALUE!</v>
      </c>
      <c r="I567" t="str">
        <f>_xlfn.XLOOKUP(AllDataCorrected[[#This Row],[Site Name]],LocationsKey[Site Name],LocationsKey[Town])</f>
        <v>Willington</v>
      </c>
      <c r="J567" t="str">
        <f>_xlfn.XLOOKUP(AllDataCorrected[[#This Row],[Site Name]],LocationsKey[Site Name], LocationsKey[Waterway])</f>
        <v>Stour</v>
      </c>
      <c r="K567" t="s">
        <v>521</v>
      </c>
      <c r="L567">
        <f>_xlfn.XLOOKUP(AllDataCorrected[[#This Row],[Site Name]],Tables!$B$12:$B$100, Tables!C$12:C$100)</f>
        <v>52.053227523809518</v>
      </c>
      <c r="M567">
        <f>_xlfn.XLOOKUP(AllDataCorrected[[#This Row],[Site Name]],Tables!$B$12:$B$100, Tables!D$12:D$100)</f>
        <v>-1.6194739523809523</v>
      </c>
      <c r="N567" t="s">
        <v>25</v>
      </c>
      <c r="O567">
        <v>556</v>
      </c>
      <c r="P567">
        <v>12.5</v>
      </c>
      <c r="Q567">
        <v>2</v>
      </c>
      <c r="R567" t="str">
        <f>IF(AllDataCorrected[[#This Row],[Nitrate (PPM)]]&gt;2, "4. Very high (&gt;2ppm)", IF(AllDataCorrected[[#This Row],[Nitrate (PPM)]]&gt;1, "3. High (1-2ppm)", IF(AllDataCorrected[[#This Row],[Nitrate (PPM)]]&gt;0.5, "2. Some evidence (0.5-1ppm)", IF(AllDataCorrected[[#This Row],[Nitrate (PPM)]]&gt;=0, "1. No evidence (&lt;0.5ppm)"))))</f>
        <v>3. High (1-2ppm)</v>
      </c>
      <c r="S567">
        <v>0.25</v>
      </c>
      <c r="T5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7">
        <v>0.5</v>
      </c>
    </row>
    <row r="568" spans="1:22" x14ac:dyDescent="0.35">
      <c r="A568" t="s">
        <v>912</v>
      </c>
      <c r="B568" s="2">
        <v>45372</v>
      </c>
      <c r="C568" t="str" cm="1">
        <f t="array" ref="C5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8">
        <f>YEAR(AllDataCorrected[[#This Row],[Date]])</f>
        <v>2024</v>
      </c>
      <c r="E568" s="1">
        <v>0.47916666666666669</v>
      </c>
      <c r="F5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68" t="str">
        <f>_xlfn.XLOOKUP(AllDataCorrected[[#This Row],[Location Name]], Locations[Location Name],Locations[Group As])</f>
        <v>Swilgate</v>
      </c>
      <c r="H568" t="e" vm="4">
        <f>_xlfn.XLOOKUP(AllDataCorrected[[#This Row],[Site Name]],LocationsKey[Site Name],LocationsKey[District])</f>
        <v>#VALUE!</v>
      </c>
      <c r="I568" t="e" vm="4">
        <f>_xlfn.XLOOKUP(AllDataCorrected[[#This Row],[Site Name]],LocationsKey[Site Name],LocationsKey[Town])</f>
        <v>#VALUE!</v>
      </c>
      <c r="J568" t="str">
        <f>_xlfn.XLOOKUP(AllDataCorrected[[#This Row],[Site Name]],LocationsKey[Site Name], LocationsKey[Waterway])</f>
        <v>Swilgate</v>
      </c>
      <c r="K568" t="s">
        <v>85</v>
      </c>
      <c r="L568">
        <f>_xlfn.XLOOKUP(AllDataCorrected[[#This Row],[Site Name]],Tables!$B$12:$B$100, Tables!C$12:C$100)</f>
        <v>51.988591500000005</v>
      </c>
      <c r="M568">
        <f>_xlfn.XLOOKUP(AllDataCorrected[[#This Row],[Site Name]],Tables!$B$12:$B$100, Tables!D$12:D$100)</f>
        <v>-2.163898333333333</v>
      </c>
      <c r="N568" t="s">
        <v>25</v>
      </c>
      <c r="O568">
        <v>858</v>
      </c>
      <c r="P568">
        <v>12.6</v>
      </c>
      <c r="Q568">
        <v>3</v>
      </c>
      <c r="R568" t="str">
        <f>IF(AllDataCorrected[[#This Row],[Nitrate (PPM)]]&gt;2, "4. Very high (&gt;2ppm)", IF(AllDataCorrected[[#This Row],[Nitrate (PPM)]]&gt;1, "3. High (1-2ppm)", IF(AllDataCorrected[[#This Row],[Nitrate (PPM)]]&gt;0.5, "2. Some evidence (0.5-1ppm)", IF(AllDataCorrected[[#This Row],[Nitrate (PPM)]]&gt;=0, "1. No evidence (&lt;0.5ppm)"))))</f>
        <v>4. Very high (&gt;2ppm)</v>
      </c>
      <c r="S568">
        <v>0.41</v>
      </c>
      <c r="T5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8">
        <v>0</v>
      </c>
    </row>
    <row r="569" spans="1:22" x14ac:dyDescent="0.35">
      <c r="A569" t="s">
        <v>913</v>
      </c>
      <c r="B569" s="2">
        <v>45372</v>
      </c>
      <c r="C569" t="str" cm="1">
        <f t="array" ref="C5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69">
        <f>YEAR(AllDataCorrected[[#This Row],[Date]])</f>
        <v>2024</v>
      </c>
      <c r="E569" s="1">
        <v>0.64583333333333337</v>
      </c>
      <c r="F5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69" t="str">
        <f>_xlfn.XLOOKUP(AllDataCorrected[[#This Row],[Location Name]], Locations[Location Name],Locations[Group As])</f>
        <v>Preston-on-Stour River Bridge</v>
      </c>
      <c r="H569" t="e" vm="1">
        <f>_xlfn.XLOOKUP(AllDataCorrected[[#This Row],[Site Name]],LocationsKey[Site Name],LocationsKey[District])</f>
        <v>#VALUE!</v>
      </c>
      <c r="I569" t="e" vm="20">
        <f>_xlfn.XLOOKUP(AllDataCorrected[[#This Row],[Site Name]],LocationsKey[Site Name],LocationsKey[Town])</f>
        <v>#VALUE!</v>
      </c>
      <c r="J569" t="str">
        <f>_xlfn.XLOOKUP(AllDataCorrected[[#This Row],[Site Name]],LocationsKey[Site Name], LocationsKey[Waterway])</f>
        <v>Stour</v>
      </c>
      <c r="K569" t="s">
        <v>164</v>
      </c>
      <c r="L569">
        <f>_xlfn.XLOOKUP(AllDataCorrected[[#This Row],[Site Name]],Tables!$B$12:$B$100, Tables!C$12:C$100)</f>
        <v>52.146672352941174</v>
      </c>
      <c r="M569">
        <f>_xlfn.XLOOKUP(AllDataCorrected[[#This Row],[Site Name]],Tables!$B$12:$B$100, Tables!D$12:D$100)</f>
        <v>-1.6984533333333334</v>
      </c>
      <c r="N569" t="s">
        <v>31</v>
      </c>
      <c r="O569">
        <v>610</v>
      </c>
      <c r="P569">
        <v>11.3</v>
      </c>
      <c r="Q569">
        <v>6</v>
      </c>
      <c r="R569" t="str">
        <f>IF(AllDataCorrected[[#This Row],[Nitrate (PPM)]]&gt;2, "4. Very high (&gt;2ppm)", IF(AllDataCorrected[[#This Row],[Nitrate (PPM)]]&gt;1, "3. High (1-2ppm)", IF(AllDataCorrected[[#This Row],[Nitrate (PPM)]]&gt;0.5, "2. Some evidence (0.5-1ppm)", IF(AllDataCorrected[[#This Row],[Nitrate (PPM)]]&gt;=0, "1. No evidence (&lt;0.5ppm)"))))</f>
        <v>4. Very high (&gt;2ppm)</v>
      </c>
      <c r="S569">
        <v>0.31</v>
      </c>
      <c r="T5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69">
        <v>1.5</v>
      </c>
    </row>
    <row r="570" spans="1:22" x14ac:dyDescent="0.35">
      <c r="A570" t="s">
        <v>914</v>
      </c>
      <c r="B570" s="2">
        <v>45373</v>
      </c>
      <c r="C570" t="str" cm="1">
        <f t="array" ref="C5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0">
        <f>YEAR(AllDataCorrected[[#This Row],[Date]])</f>
        <v>2024</v>
      </c>
      <c r="E570" s="1">
        <v>0.37430555555555556</v>
      </c>
      <c r="F5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0" t="str">
        <f>_xlfn.XLOOKUP(AllDataCorrected[[#This Row],[Location Name]], Locations[Location Name],Locations[Group As])</f>
        <v>Mill Bridge Peopleton</v>
      </c>
      <c r="H570" t="e" vm="6">
        <f>_xlfn.XLOOKUP(AllDataCorrected[[#This Row],[Site Name]],LocationsKey[Site Name],LocationsKey[District])</f>
        <v>#VALUE!</v>
      </c>
      <c r="I570" t="str">
        <f>_xlfn.XLOOKUP(AllDataCorrected[[#This Row],[Site Name]],LocationsKey[Site Name],LocationsKey[Town])</f>
        <v>Peopleton</v>
      </c>
      <c r="J570" t="str">
        <f>_xlfn.XLOOKUP(AllDataCorrected[[#This Row],[Site Name]],LocationsKey[Site Name], LocationsKey[Waterway])</f>
        <v>Bow Brook</v>
      </c>
      <c r="K570" t="s">
        <v>915</v>
      </c>
      <c r="L570">
        <f>_xlfn.XLOOKUP(AllDataCorrected[[#This Row],[Site Name]],Tables!$B$12:$B$100, Tables!C$12:C$100)</f>
        <v>52.151811999999993</v>
      </c>
      <c r="M570">
        <f>_xlfn.XLOOKUP(AllDataCorrected[[#This Row],[Site Name]],Tables!$B$12:$B$100, Tables!D$12:D$100)</f>
        <v>-2.0958865161290317</v>
      </c>
      <c r="N570" t="s">
        <v>31</v>
      </c>
      <c r="O570">
        <v>851</v>
      </c>
      <c r="P570">
        <v>11.9</v>
      </c>
      <c r="Q570">
        <v>5</v>
      </c>
      <c r="R570" t="str">
        <f>IF(AllDataCorrected[[#This Row],[Nitrate (PPM)]]&gt;2, "4. Very high (&gt;2ppm)", IF(AllDataCorrected[[#This Row],[Nitrate (PPM)]]&gt;1, "3. High (1-2ppm)", IF(AllDataCorrected[[#This Row],[Nitrate (PPM)]]&gt;0.5, "2. Some evidence (0.5-1ppm)", IF(AllDataCorrected[[#This Row],[Nitrate (PPM)]]&gt;=0, "1. No evidence (&lt;0.5ppm)"))))</f>
        <v>4. Very high (&gt;2ppm)</v>
      </c>
      <c r="S570">
        <v>0.32</v>
      </c>
      <c r="T5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0">
        <v>0.9</v>
      </c>
      <c r="V570" t="s">
        <v>916</v>
      </c>
    </row>
    <row r="571" spans="1:22" x14ac:dyDescent="0.35">
      <c r="A571" t="s">
        <v>917</v>
      </c>
      <c r="B571" s="2">
        <v>45373</v>
      </c>
      <c r="C571" t="str" cm="1">
        <f t="array" ref="C5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1">
        <f>YEAR(AllDataCorrected[[#This Row],[Date]])</f>
        <v>2024</v>
      </c>
      <c r="E571" s="1">
        <v>0.38611111111111113</v>
      </c>
      <c r="F57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1" t="str">
        <f>_xlfn.XLOOKUP(AllDataCorrected[[#This Row],[Location Name]], Locations[Location Name],Locations[Group As])</f>
        <v>Black Bear</v>
      </c>
      <c r="H571" t="e" vm="4">
        <f>_xlfn.XLOOKUP(AllDataCorrected[[#This Row],[Site Name]],LocationsKey[Site Name],LocationsKey[District])</f>
        <v>#VALUE!</v>
      </c>
      <c r="I571" t="e" vm="4">
        <f>_xlfn.XLOOKUP(AllDataCorrected[[#This Row],[Site Name]],LocationsKey[Site Name],LocationsKey[Town])</f>
        <v>#VALUE!</v>
      </c>
      <c r="J571" t="str">
        <f>_xlfn.XLOOKUP(AllDataCorrected[[#This Row],[Site Name]],LocationsKey[Site Name], LocationsKey[Waterway])</f>
        <v>Avon</v>
      </c>
      <c r="K571" t="s">
        <v>572</v>
      </c>
      <c r="L571">
        <f>_xlfn.XLOOKUP(AllDataCorrected[[#This Row],[Site Name]],Tables!$B$12:$B$100, Tables!C$12:C$100)</f>
        <v>51.997466254237274</v>
      </c>
      <c r="M571">
        <f>_xlfn.XLOOKUP(AllDataCorrected[[#This Row],[Site Name]],Tables!$B$12:$B$100, Tables!D$12:D$100)</f>
        <v>-2.1561788644067801</v>
      </c>
      <c r="N571" t="s">
        <v>25</v>
      </c>
      <c r="O571">
        <v>675</v>
      </c>
      <c r="P571">
        <v>13.7</v>
      </c>
      <c r="Q571">
        <v>5</v>
      </c>
      <c r="R571" t="str">
        <f>IF(AllDataCorrected[[#This Row],[Nitrate (PPM)]]&gt;2, "4. Very high (&gt;2ppm)", IF(AllDataCorrected[[#This Row],[Nitrate (PPM)]]&gt;1, "3. High (1-2ppm)", IF(AllDataCorrected[[#This Row],[Nitrate (PPM)]]&gt;0.5, "2. Some evidence (0.5-1ppm)", IF(AllDataCorrected[[#This Row],[Nitrate (PPM)]]&gt;=0, "1. No evidence (&lt;0.5ppm)"))))</f>
        <v>4. Very high (&gt;2ppm)</v>
      </c>
      <c r="S571">
        <v>0.82</v>
      </c>
      <c r="T5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1">
        <v>0</v>
      </c>
    </row>
    <row r="572" spans="1:22" x14ac:dyDescent="0.35">
      <c r="A572" t="s">
        <v>918</v>
      </c>
      <c r="B572" s="2">
        <v>45373</v>
      </c>
      <c r="C572" t="str" cm="1">
        <f t="array" ref="C5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2">
        <f>YEAR(AllDataCorrected[[#This Row],[Date]])</f>
        <v>2024</v>
      </c>
      <c r="E572" s="1">
        <v>0.40277777777777779</v>
      </c>
      <c r="F5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2" t="str">
        <f>_xlfn.XLOOKUP(AllDataCorrected[[#This Row],[Location Name]], Locations[Location Name],Locations[Group As])</f>
        <v>Lower Lode</v>
      </c>
      <c r="H572" t="e" vm="4">
        <f>_xlfn.XLOOKUP(AllDataCorrected[[#This Row],[Site Name]],LocationsKey[Site Name],LocationsKey[District])</f>
        <v>#VALUE!</v>
      </c>
      <c r="I572" t="e" vm="4">
        <f>_xlfn.XLOOKUP(AllDataCorrected[[#This Row],[Site Name]],LocationsKey[Site Name],LocationsKey[Town])</f>
        <v>#VALUE!</v>
      </c>
      <c r="J572" t="str">
        <f>_xlfn.XLOOKUP(AllDataCorrected[[#This Row],[Site Name]],LocationsKey[Site Name], LocationsKey[Waterway])</f>
        <v>Avon</v>
      </c>
      <c r="K572" t="s">
        <v>595</v>
      </c>
      <c r="L572">
        <f>_xlfn.XLOOKUP(AllDataCorrected[[#This Row],[Site Name]],Tables!$B$12:$B$100, Tables!C$12:C$100)</f>
        <v>51.984916745098026</v>
      </c>
      <c r="M572">
        <f>_xlfn.XLOOKUP(AllDataCorrected[[#This Row],[Site Name]],Tables!$B$12:$B$100, Tables!D$12:D$100)</f>
        <v>-2.1745787647058821</v>
      </c>
      <c r="N572" t="s">
        <v>31</v>
      </c>
      <c r="O572">
        <v>7350</v>
      </c>
      <c r="P572">
        <v>12.4</v>
      </c>
      <c r="Q572">
        <v>10</v>
      </c>
      <c r="R572" t="str">
        <f>IF(AllDataCorrected[[#This Row],[Nitrate (PPM)]]&gt;2, "4. Very high (&gt;2ppm)", IF(AllDataCorrected[[#This Row],[Nitrate (PPM)]]&gt;1, "3. High (1-2ppm)", IF(AllDataCorrected[[#This Row],[Nitrate (PPM)]]&gt;0.5, "2. Some evidence (0.5-1ppm)", IF(AllDataCorrected[[#This Row],[Nitrate (PPM)]]&gt;=0, "1. No evidence (&lt;0.5ppm)"))))</f>
        <v>4. Very high (&gt;2ppm)</v>
      </c>
      <c r="S572">
        <v>0.43</v>
      </c>
      <c r="T5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2">
        <v>2</v>
      </c>
      <c r="V572" t="s">
        <v>919</v>
      </c>
    </row>
    <row r="573" spans="1:22" x14ac:dyDescent="0.35">
      <c r="A573" t="s">
        <v>920</v>
      </c>
      <c r="B573" s="2">
        <v>45373</v>
      </c>
      <c r="C573" t="str" cm="1">
        <f t="array" ref="C5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3">
        <f>YEAR(AllDataCorrected[[#This Row],[Date]])</f>
        <v>2024</v>
      </c>
      <c r="E573" s="1">
        <v>0.67361111111111116</v>
      </c>
      <c r="F5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3" t="str">
        <f>_xlfn.XLOOKUP(AllDataCorrected[[#This Row],[Location Name]], Locations[Location Name],Locations[Group As])</f>
        <v>Preston Bagot Canal</v>
      </c>
      <c r="H573" t="e" vm="1">
        <f>_xlfn.XLOOKUP(AllDataCorrected[[#This Row],[Site Name]],LocationsKey[Site Name],LocationsKey[District])</f>
        <v>#VALUE!</v>
      </c>
      <c r="I573" t="e" vm="21">
        <f>_xlfn.XLOOKUP(AllDataCorrected[[#This Row],[Site Name]],LocationsKey[Site Name],LocationsKey[Town])</f>
        <v>#VALUE!</v>
      </c>
      <c r="J573" t="str">
        <f>_xlfn.XLOOKUP(AllDataCorrected[[#This Row],[Site Name]],LocationsKey[Site Name], LocationsKey[Waterway])</f>
        <v>Preston Bagot Canal</v>
      </c>
      <c r="K573" t="s">
        <v>618</v>
      </c>
      <c r="L573">
        <f>_xlfn.XLOOKUP(AllDataCorrected[[#This Row],[Site Name]],Tables!$B$12:$B$100, Tables!C$12:C$100)</f>
        <v>52.286975789473694</v>
      </c>
      <c r="M573">
        <f>_xlfn.XLOOKUP(AllDataCorrected[[#This Row],[Site Name]],Tables!$B$12:$B$100, Tables!D$12:D$100)</f>
        <v>-1.5622505263157891</v>
      </c>
      <c r="N573" t="s">
        <v>25</v>
      </c>
      <c r="O573">
        <v>410</v>
      </c>
      <c r="P573">
        <v>12.6</v>
      </c>
      <c r="Q573">
        <v>2</v>
      </c>
      <c r="R573" t="str">
        <f>IF(AllDataCorrected[[#This Row],[Nitrate (PPM)]]&gt;2, "4. Very high (&gt;2ppm)", IF(AllDataCorrected[[#This Row],[Nitrate (PPM)]]&gt;1, "3. High (1-2ppm)", IF(AllDataCorrected[[#This Row],[Nitrate (PPM)]]&gt;0.5, "2. Some evidence (0.5-1ppm)", IF(AllDataCorrected[[#This Row],[Nitrate (PPM)]]&gt;=0, "1. No evidence (&lt;0.5ppm)"))))</f>
        <v>3. High (1-2ppm)</v>
      </c>
      <c r="S573">
        <v>0.26</v>
      </c>
      <c r="T5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3">
        <v>0</v>
      </c>
      <c r="V573" t="s">
        <v>921</v>
      </c>
    </row>
    <row r="574" spans="1:22" x14ac:dyDescent="0.35">
      <c r="A574" t="s">
        <v>924</v>
      </c>
      <c r="B574" s="2">
        <v>45374</v>
      </c>
      <c r="C574" t="str" cm="1">
        <f t="array" ref="C5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4">
        <f>YEAR(AllDataCorrected[[#This Row],[Date]])</f>
        <v>2024</v>
      </c>
      <c r="E574" s="1">
        <v>0.42708333333333331</v>
      </c>
      <c r="F57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4" t="str">
        <f>_xlfn.XLOOKUP(AllDataCorrected[[#This Row],[Location Name]], Locations[Location Name],Locations[Group As])</f>
        <v>Stour Whichford</v>
      </c>
      <c r="H574" t="e" vm="1">
        <f>_xlfn.XLOOKUP(AllDataCorrected[[#This Row],[Site Name]],LocationsKey[Site Name],LocationsKey[District])</f>
        <v>#VALUE!</v>
      </c>
      <c r="I574" t="e" vm="24">
        <f>_xlfn.XLOOKUP(AllDataCorrected[[#This Row],[Site Name]],LocationsKey[Site Name],LocationsKey[Town])</f>
        <v>#VALUE!</v>
      </c>
      <c r="J574" t="str">
        <f>_xlfn.XLOOKUP(AllDataCorrected[[#This Row],[Site Name]],LocationsKey[Site Name], LocationsKey[Waterway])</f>
        <v>Stour</v>
      </c>
      <c r="K574" t="s">
        <v>925</v>
      </c>
      <c r="L574">
        <f>_xlfn.XLOOKUP(AllDataCorrected[[#This Row],[Site Name]],Tables!$B$12:$B$100, Tables!C$12:C$100)</f>
        <v>52.017437000000001</v>
      </c>
      <c r="M574">
        <f>_xlfn.XLOOKUP(AllDataCorrected[[#This Row],[Site Name]],Tables!$B$12:$B$100, Tables!D$12:D$100)</f>
        <v>-1.544745</v>
      </c>
      <c r="N574" t="s">
        <v>31</v>
      </c>
      <c r="O574">
        <v>593</v>
      </c>
      <c r="P574">
        <v>9.5</v>
      </c>
      <c r="Q574">
        <v>2</v>
      </c>
      <c r="R574" t="str">
        <f>IF(AllDataCorrected[[#This Row],[Nitrate (PPM)]]&gt;2, "4. Very high (&gt;2ppm)", IF(AllDataCorrected[[#This Row],[Nitrate (PPM)]]&gt;1, "3. High (1-2ppm)", IF(AllDataCorrected[[#This Row],[Nitrate (PPM)]]&gt;0.5, "2. Some evidence (0.5-1ppm)", IF(AllDataCorrected[[#This Row],[Nitrate (PPM)]]&gt;=0, "1. No evidence (&lt;0.5ppm)"))))</f>
        <v>3. High (1-2ppm)</v>
      </c>
      <c r="S574">
        <v>0.35</v>
      </c>
      <c r="T5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4">
        <v>21.6</v>
      </c>
    </row>
    <row r="575" spans="1:22" x14ac:dyDescent="0.35">
      <c r="A575" t="s">
        <v>926</v>
      </c>
      <c r="B575" s="2">
        <v>45374</v>
      </c>
      <c r="C575" t="str" cm="1">
        <f t="array" ref="C5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5">
        <f>YEAR(AllDataCorrected[[#This Row],[Date]])</f>
        <v>2024</v>
      </c>
      <c r="E575" s="1">
        <v>0.44444444444444442</v>
      </c>
      <c r="F5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5" t="str">
        <f>_xlfn.XLOOKUP(AllDataCorrected[[#This Row],[Location Name]], Locations[Location Name],Locations[Group As])</f>
        <v>Stour Ascott Village</v>
      </c>
      <c r="H575" t="e" vm="1">
        <f>_xlfn.XLOOKUP(AllDataCorrected[[#This Row],[Site Name]],LocationsKey[Site Name],LocationsKey[District])</f>
        <v>#VALUE!</v>
      </c>
      <c r="I575" t="e" vm="25">
        <f>_xlfn.XLOOKUP(AllDataCorrected[[#This Row],[Site Name]],LocationsKey[Site Name],LocationsKey[Town])</f>
        <v>#VALUE!</v>
      </c>
      <c r="J575" t="str">
        <f>_xlfn.XLOOKUP(AllDataCorrected[[#This Row],[Site Name]],LocationsKey[Site Name], LocationsKey[Waterway])</f>
        <v>Stour</v>
      </c>
      <c r="K575" t="s">
        <v>927</v>
      </c>
      <c r="L575">
        <f>_xlfn.XLOOKUP(AllDataCorrected[[#This Row],[Site Name]],Tables!$B$12:$B$100, Tables!C$12:C$100)</f>
        <v>52.013255999999998</v>
      </c>
      <c r="M575">
        <f>_xlfn.XLOOKUP(AllDataCorrected[[#This Row],[Site Name]],Tables!$B$12:$B$100, Tables!D$12:D$100)</f>
        <v>-1.5387710000000001</v>
      </c>
      <c r="N575" t="s">
        <v>68</v>
      </c>
      <c r="O575">
        <v>558</v>
      </c>
      <c r="P575">
        <v>8.5</v>
      </c>
      <c r="Q575">
        <v>2</v>
      </c>
      <c r="R575" t="str">
        <f>IF(AllDataCorrected[[#This Row],[Nitrate (PPM)]]&gt;2, "4. Very high (&gt;2ppm)", IF(AllDataCorrected[[#This Row],[Nitrate (PPM)]]&gt;1, "3. High (1-2ppm)", IF(AllDataCorrected[[#This Row],[Nitrate (PPM)]]&gt;0.5, "2. Some evidence (0.5-1ppm)", IF(AllDataCorrected[[#This Row],[Nitrate (PPM)]]&gt;=0, "1. No evidence (&lt;0.5ppm)"))))</f>
        <v>3. High (1-2ppm)</v>
      </c>
      <c r="S575">
        <v>7.0000000000000007E-2</v>
      </c>
      <c r="T57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575">
        <v>12.7</v>
      </c>
    </row>
    <row r="576" spans="1:22" x14ac:dyDescent="0.35">
      <c r="A576" t="s">
        <v>928</v>
      </c>
      <c r="B576" s="2">
        <v>45374</v>
      </c>
      <c r="C576" t="str" cm="1">
        <f t="array" ref="C5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6">
        <f>YEAR(AllDataCorrected[[#This Row],[Date]])</f>
        <v>2024</v>
      </c>
      <c r="E576" s="1">
        <v>0.48958333333333331</v>
      </c>
      <c r="F5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6" t="str">
        <f>_xlfn.XLOOKUP(AllDataCorrected[[#This Row],[Location Name]], Locations[Location Name],Locations[Group As])</f>
        <v>Avon Smiths Meadow Wyre Piddle</v>
      </c>
      <c r="H576" t="e" vm="6">
        <f>_xlfn.XLOOKUP(AllDataCorrected[[#This Row],[Site Name]],LocationsKey[Site Name],LocationsKey[District])</f>
        <v>#VALUE!</v>
      </c>
      <c r="I576" t="e" vm="13">
        <f>_xlfn.XLOOKUP(AllDataCorrected[[#This Row],[Site Name]],LocationsKey[Site Name],LocationsKey[Town])</f>
        <v>#VALUE!</v>
      </c>
      <c r="J576" t="str">
        <f>_xlfn.XLOOKUP(AllDataCorrected[[#This Row],[Site Name]],LocationsKey[Site Name], LocationsKey[Waterway])</f>
        <v>Avon</v>
      </c>
      <c r="K576" t="s">
        <v>784</v>
      </c>
      <c r="L576">
        <f>_xlfn.XLOOKUP(AllDataCorrected[[#This Row],[Site Name]],Tables!$B$12:$B$100, Tables!C$12:C$100)</f>
        <v>52.123126101694929</v>
      </c>
      <c r="M576">
        <f>_xlfn.XLOOKUP(AllDataCorrected[[#This Row],[Site Name]],Tables!$B$12:$B$100, Tables!D$12:D$100)</f>
        <v>-2.0572511355932215</v>
      </c>
      <c r="N576" t="s">
        <v>25</v>
      </c>
      <c r="O576">
        <v>747</v>
      </c>
      <c r="P576">
        <v>10.4</v>
      </c>
      <c r="Q576">
        <v>10</v>
      </c>
      <c r="R576" t="str">
        <f>IF(AllDataCorrected[[#This Row],[Nitrate (PPM)]]&gt;2, "4. Very high (&gt;2ppm)", IF(AllDataCorrected[[#This Row],[Nitrate (PPM)]]&gt;1, "3. High (1-2ppm)", IF(AllDataCorrected[[#This Row],[Nitrate (PPM)]]&gt;0.5, "2. Some evidence (0.5-1ppm)", IF(AllDataCorrected[[#This Row],[Nitrate (PPM)]]&gt;=0, "1. No evidence (&lt;0.5ppm)"))))</f>
        <v>4. Very high (&gt;2ppm)</v>
      </c>
      <c r="S576">
        <v>0.67</v>
      </c>
      <c r="T5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6">
        <v>0.9</v>
      </c>
      <c r="V576" t="s">
        <v>929</v>
      </c>
    </row>
    <row r="577" spans="1:22" x14ac:dyDescent="0.35">
      <c r="A577" t="s">
        <v>930</v>
      </c>
      <c r="B577" s="2">
        <v>45374</v>
      </c>
      <c r="C577" t="str" cm="1">
        <f t="array" ref="C5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7">
        <f>YEAR(AllDataCorrected[[#This Row],[Date]])</f>
        <v>2024</v>
      </c>
      <c r="E577" s="1">
        <v>0.52083333333333337</v>
      </c>
      <c r="F57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7" t="str">
        <f>_xlfn.XLOOKUP(AllDataCorrected[[#This Row],[Location Name]], Locations[Location Name],Locations[Group As])</f>
        <v>Carrant Bredon Rd</v>
      </c>
      <c r="H577" t="e" vm="4">
        <f>_xlfn.XLOOKUP(AllDataCorrected[[#This Row],[Site Name]],LocationsKey[Site Name],LocationsKey[District])</f>
        <v>#VALUE!</v>
      </c>
      <c r="I577" t="e" vm="4">
        <f>_xlfn.XLOOKUP(AllDataCorrected[[#This Row],[Site Name]],LocationsKey[Site Name],LocationsKey[Town])</f>
        <v>#VALUE!</v>
      </c>
      <c r="J577" t="str">
        <f>_xlfn.XLOOKUP(AllDataCorrected[[#This Row],[Site Name]],LocationsKey[Site Name], LocationsKey[Waterway])</f>
        <v>Carrant</v>
      </c>
      <c r="K577" t="s">
        <v>603</v>
      </c>
      <c r="L577">
        <f>_xlfn.XLOOKUP(AllDataCorrected[[#This Row],[Site Name]],Tables!$B$12:$B$100, Tables!C$12:C$100)</f>
        <v>51.996322536231894</v>
      </c>
      <c r="M577">
        <f>_xlfn.XLOOKUP(AllDataCorrected[[#This Row],[Site Name]],Tables!$B$12:$B$100, Tables!D$12:D$100)</f>
        <v>-2.1558410144927538</v>
      </c>
      <c r="N577" t="s">
        <v>25</v>
      </c>
      <c r="O577">
        <v>780</v>
      </c>
      <c r="P577">
        <v>9.8000000000000007</v>
      </c>
      <c r="Q577">
        <v>4</v>
      </c>
      <c r="R577" t="str">
        <f>IF(AllDataCorrected[[#This Row],[Nitrate (PPM)]]&gt;2, "4. Very high (&gt;2ppm)", IF(AllDataCorrected[[#This Row],[Nitrate (PPM)]]&gt;1, "3. High (1-2ppm)", IF(AllDataCorrected[[#This Row],[Nitrate (PPM)]]&gt;0.5, "2. Some evidence (0.5-1ppm)", IF(AllDataCorrected[[#This Row],[Nitrate (PPM)]]&gt;=0, "1. No evidence (&lt;0.5ppm)"))))</f>
        <v>4. Very high (&gt;2ppm)</v>
      </c>
      <c r="S577">
        <v>0.25</v>
      </c>
      <c r="T5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7">
        <v>0.01</v>
      </c>
      <c r="V577" t="s">
        <v>931</v>
      </c>
    </row>
    <row r="578" spans="1:22" x14ac:dyDescent="0.35">
      <c r="A578" t="s">
        <v>932</v>
      </c>
      <c r="B578" s="2">
        <v>45374</v>
      </c>
      <c r="C578" t="str" cm="1">
        <f t="array" ref="C5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8">
        <f>YEAR(AllDataCorrected[[#This Row],[Date]])</f>
        <v>2024</v>
      </c>
      <c r="E578" s="1">
        <v>0.52083333333333337</v>
      </c>
      <c r="F5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78" t="str">
        <f>_xlfn.XLOOKUP(AllDataCorrected[[#This Row],[Location Name]], Locations[Location Name],Locations[Group As])</f>
        <v>Piddle Brook Wyre Piddle Bridge</v>
      </c>
      <c r="H578" t="e" vm="6">
        <f>_xlfn.XLOOKUP(AllDataCorrected[[#This Row],[Site Name]],LocationsKey[Site Name],LocationsKey[District])</f>
        <v>#VALUE!</v>
      </c>
      <c r="I578" t="e" vm="13">
        <f>_xlfn.XLOOKUP(AllDataCorrected[[#This Row],[Site Name]],LocationsKey[Site Name],LocationsKey[Town])</f>
        <v>#VALUE!</v>
      </c>
      <c r="J578" t="str">
        <f>_xlfn.XLOOKUP(AllDataCorrected[[#This Row],[Site Name]],LocationsKey[Site Name], LocationsKey[Waterway])</f>
        <v>Piddle Brook</v>
      </c>
      <c r="K578" t="s">
        <v>787</v>
      </c>
      <c r="L578">
        <f>_xlfn.XLOOKUP(AllDataCorrected[[#This Row],[Site Name]],Tables!$B$12:$B$100, Tables!C$12:C$100)</f>
        <v>52.126394500000039</v>
      </c>
      <c r="M578">
        <f>_xlfn.XLOOKUP(AllDataCorrected[[#This Row],[Site Name]],Tables!$B$12:$B$100, Tables!D$12:D$100)</f>
        <v>-2.0564211206896545</v>
      </c>
      <c r="N578" t="s">
        <v>25</v>
      </c>
      <c r="O578">
        <v>1020</v>
      </c>
      <c r="P578">
        <v>9.4</v>
      </c>
      <c r="Q578">
        <v>5</v>
      </c>
      <c r="R578" t="str">
        <f>IF(AllDataCorrected[[#This Row],[Nitrate (PPM)]]&gt;2, "4. Very high (&gt;2ppm)", IF(AllDataCorrected[[#This Row],[Nitrate (PPM)]]&gt;1, "3. High (1-2ppm)", IF(AllDataCorrected[[#This Row],[Nitrate (PPM)]]&gt;0.5, "2. Some evidence (0.5-1ppm)", IF(AllDataCorrected[[#This Row],[Nitrate (PPM)]]&gt;=0, "1. No evidence (&lt;0.5ppm)"))))</f>
        <v>4. Very high (&gt;2ppm)</v>
      </c>
      <c r="S578">
        <v>0.53</v>
      </c>
      <c r="T5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78">
        <v>0.34</v>
      </c>
      <c r="V578" t="s">
        <v>933</v>
      </c>
    </row>
    <row r="579" spans="1:22" x14ac:dyDescent="0.35">
      <c r="A579" t="s">
        <v>934</v>
      </c>
      <c r="B579" s="2">
        <v>45375</v>
      </c>
      <c r="C579" t="str" cm="1">
        <f t="array" ref="C5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79">
        <f>YEAR(AllDataCorrected[[#This Row],[Date]])</f>
        <v>2024</v>
      </c>
      <c r="E579" s="1">
        <v>0.44097222222222221</v>
      </c>
      <c r="F5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79" t="str">
        <f>_xlfn.XLOOKUP(AllDataCorrected[[#This Row],[Location Name]], Locations[Location Name],Locations[Group As])</f>
        <v>Fell Mill Footbridge</v>
      </c>
      <c r="H579" t="e" vm="1">
        <f>_xlfn.XLOOKUP(AllDataCorrected[[#This Row],[Site Name]],LocationsKey[Site Name],LocationsKey[District])</f>
        <v>#VALUE!</v>
      </c>
      <c r="I579" t="e" vm="15">
        <f>_xlfn.XLOOKUP(AllDataCorrected[[#This Row],[Site Name]],LocationsKey[Site Name],LocationsKey[Town])</f>
        <v>#VALUE!</v>
      </c>
      <c r="J579" t="str">
        <f>_xlfn.XLOOKUP(AllDataCorrected[[#This Row],[Site Name]],LocationsKey[Site Name], LocationsKey[Waterway])</f>
        <v>Stour</v>
      </c>
      <c r="K579" t="s">
        <v>875</v>
      </c>
      <c r="L579">
        <f>_xlfn.XLOOKUP(AllDataCorrected[[#This Row],[Site Name]],Tables!$B$12:$B$100, Tables!C$12:C$100)</f>
        <v>52.069044372881365</v>
      </c>
      <c r="M579">
        <f>_xlfn.XLOOKUP(AllDataCorrected[[#This Row],[Site Name]],Tables!$B$12:$B$100, Tables!D$12:D$100)</f>
        <v>-1.6116270169491524</v>
      </c>
      <c r="N579" t="s">
        <v>31</v>
      </c>
      <c r="O579">
        <v>592</v>
      </c>
      <c r="P579">
        <v>10.1</v>
      </c>
      <c r="Q579">
        <v>10</v>
      </c>
      <c r="R579" t="str">
        <f>IF(AllDataCorrected[[#This Row],[Nitrate (PPM)]]&gt;2, "4. Very high (&gt;2ppm)", IF(AllDataCorrected[[#This Row],[Nitrate (PPM)]]&gt;1, "3. High (1-2ppm)", IF(AllDataCorrected[[#This Row],[Nitrate (PPM)]]&gt;0.5, "2. Some evidence (0.5-1ppm)", IF(AllDataCorrected[[#This Row],[Nitrate (PPM)]]&gt;=0, "1. No evidence (&lt;0.5ppm)"))))</f>
        <v>4. Very high (&gt;2ppm)</v>
      </c>
      <c r="S579">
        <v>0.28999999999999998</v>
      </c>
      <c r="T5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79">
        <v>1.5</v>
      </c>
      <c r="V579" t="s">
        <v>935</v>
      </c>
    </row>
    <row r="580" spans="1:22" x14ac:dyDescent="0.35">
      <c r="A580" t="s">
        <v>936</v>
      </c>
      <c r="B580" s="2">
        <v>45375</v>
      </c>
      <c r="C580" t="str" cm="1">
        <f t="array" ref="C5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0">
        <f>YEAR(AllDataCorrected[[#This Row],[Date]])</f>
        <v>2024</v>
      </c>
      <c r="E580" s="1">
        <v>0.45833333333333331</v>
      </c>
      <c r="F5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80" t="str">
        <f>_xlfn.XLOOKUP(AllDataCorrected[[#This Row],[Location Name]], Locations[Location Name],Locations[Group As])</f>
        <v>Lucy's Mill Bridge</v>
      </c>
      <c r="H580" t="e" vm="1">
        <f>_xlfn.XLOOKUP(AllDataCorrected[[#This Row],[Site Name]],LocationsKey[Site Name],LocationsKey[District])</f>
        <v>#VALUE!</v>
      </c>
      <c r="I580" t="e" vm="12">
        <f>_xlfn.XLOOKUP(AllDataCorrected[[#This Row],[Site Name]],LocationsKey[Site Name],LocationsKey[Town])</f>
        <v>#VALUE!</v>
      </c>
      <c r="J580" t="str">
        <f>_xlfn.XLOOKUP(AllDataCorrected[[#This Row],[Site Name]],LocationsKey[Site Name], LocationsKey[Waterway])</f>
        <v>Avon</v>
      </c>
      <c r="K580" t="s">
        <v>212</v>
      </c>
      <c r="L580">
        <f>_xlfn.XLOOKUP(AllDataCorrected[[#This Row],[Site Name]],Tables!$B$12:$B$100, Tables!C$12:C$100)</f>
        <v>52.183699000000011</v>
      </c>
      <c r="M580">
        <f>_xlfn.XLOOKUP(AllDataCorrected[[#This Row],[Site Name]],Tables!$B$12:$B$100, Tables!D$12:D$100)</f>
        <v>-1.7078160000000004</v>
      </c>
      <c r="N580" t="s">
        <v>31</v>
      </c>
      <c r="P580">
        <v>11.5</v>
      </c>
      <c r="Q580">
        <v>5</v>
      </c>
      <c r="R580" t="str">
        <f>IF(AllDataCorrected[[#This Row],[Nitrate (PPM)]]&gt;2, "4. Very high (&gt;2ppm)", IF(AllDataCorrected[[#This Row],[Nitrate (PPM)]]&gt;1, "3. High (1-2ppm)", IF(AllDataCorrected[[#This Row],[Nitrate (PPM)]]&gt;0.5, "2. Some evidence (0.5-1ppm)", IF(AllDataCorrected[[#This Row],[Nitrate (PPM)]]&gt;=0, "1. No evidence (&lt;0.5ppm)"))))</f>
        <v>4. Very high (&gt;2ppm)</v>
      </c>
      <c r="S580">
        <v>0.25</v>
      </c>
      <c r="T5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0">
        <v>0.7</v>
      </c>
    </row>
    <row r="581" spans="1:22" x14ac:dyDescent="0.35">
      <c r="A581" t="s">
        <v>937</v>
      </c>
      <c r="B581" s="2">
        <v>45375</v>
      </c>
      <c r="C581" t="str" cm="1">
        <f t="array" ref="C5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1">
        <f>YEAR(AllDataCorrected[[#This Row],[Date]])</f>
        <v>2024</v>
      </c>
      <c r="E581" s="1">
        <v>0.55208333333333337</v>
      </c>
      <c r="F5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1" t="str">
        <f>_xlfn.XLOOKUP(AllDataCorrected[[#This Row],[Location Name]], Locations[Location Name],Locations[Group As])</f>
        <v>Pershore Bridges</v>
      </c>
      <c r="H581" t="e" vm="6">
        <f>_xlfn.XLOOKUP(AllDataCorrected[[#This Row],[Site Name]],LocationsKey[Site Name],LocationsKey[District])</f>
        <v>#VALUE!</v>
      </c>
      <c r="I581" t="e" vm="7">
        <f>_xlfn.XLOOKUP(AllDataCorrected[[#This Row],[Site Name]],LocationsKey[Site Name],LocationsKey[Town])</f>
        <v>#VALUE!</v>
      </c>
      <c r="J581" t="str">
        <f>_xlfn.XLOOKUP(AllDataCorrected[[#This Row],[Site Name]],LocationsKey[Site Name], LocationsKey[Waterway])</f>
        <v>Avon</v>
      </c>
      <c r="K581" t="s">
        <v>938</v>
      </c>
      <c r="L581">
        <f>_xlfn.XLOOKUP(AllDataCorrected[[#This Row],[Site Name]],Tables!$B$12:$B$100, Tables!C$12:C$100)</f>
        <v>52.104196285714281</v>
      </c>
      <c r="M581">
        <f>_xlfn.XLOOKUP(AllDataCorrected[[#This Row],[Site Name]],Tables!$B$12:$B$100, Tables!D$12:D$100)</f>
        <v>-2.0709292857142851</v>
      </c>
      <c r="O581">
        <v>770</v>
      </c>
      <c r="P581">
        <v>12</v>
      </c>
      <c r="Q581">
        <v>10</v>
      </c>
      <c r="R581" t="str">
        <f>IF(AllDataCorrected[[#This Row],[Nitrate (PPM)]]&gt;2, "4. Very high (&gt;2ppm)", IF(AllDataCorrected[[#This Row],[Nitrate (PPM)]]&gt;1, "3. High (1-2ppm)", IF(AllDataCorrected[[#This Row],[Nitrate (PPM)]]&gt;0.5, "2. Some evidence (0.5-1ppm)", IF(AllDataCorrected[[#This Row],[Nitrate (PPM)]]&gt;=0, "1. No evidence (&lt;0.5ppm)"))))</f>
        <v>4. Very high (&gt;2ppm)</v>
      </c>
      <c r="S581">
        <v>0.57999999999999996</v>
      </c>
      <c r="T5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1">
        <v>3.42</v>
      </c>
    </row>
    <row r="582" spans="1:22" x14ac:dyDescent="0.35">
      <c r="A582" t="s">
        <v>939</v>
      </c>
      <c r="B582" s="2">
        <v>45375</v>
      </c>
      <c r="C582" t="str" cm="1">
        <f t="array" ref="C5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2">
        <f>YEAR(AllDataCorrected[[#This Row],[Date]])</f>
        <v>2024</v>
      </c>
      <c r="E582" s="1">
        <v>0.5625</v>
      </c>
      <c r="F5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2" t="str">
        <f>_xlfn.XLOOKUP(AllDataCorrected[[#This Row],[Location Name]], Locations[Location Name],Locations[Group As])</f>
        <v>Clifford Chambers Mill Bridge</v>
      </c>
      <c r="H582" t="e" vm="1">
        <f>_xlfn.XLOOKUP(AllDataCorrected[[#This Row],[Site Name]],LocationsKey[Site Name],LocationsKey[District])</f>
        <v>#VALUE!</v>
      </c>
      <c r="I582" t="e" vm="22">
        <f>_xlfn.XLOOKUP(AllDataCorrected[[#This Row],[Site Name]],LocationsKey[Site Name],LocationsKey[Town])</f>
        <v>#VALUE!</v>
      </c>
      <c r="J582" t="str">
        <f>_xlfn.XLOOKUP(AllDataCorrected[[#This Row],[Site Name]],LocationsKey[Site Name], LocationsKey[Waterway])</f>
        <v>Stour</v>
      </c>
      <c r="K582" t="s">
        <v>266</v>
      </c>
      <c r="L582">
        <f>_xlfn.XLOOKUP(AllDataCorrected[[#This Row],[Site Name]],Tables!$B$12:$B$100, Tables!C$12:C$100)</f>
        <v>52.166363596153808</v>
      </c>
      <c r="M582">
        <f>_xlfn.XLOOKUP(AllDataCorrected[[#This Row],[Site Name]],Tables!$B$12:$B$100, Tables!D$12:D$100)</f>
        <v>-1.7080375384615398</v>
      </c>
      <c r="N582" t="s">
        <v>68</v>
      </c>
      <c r="O582">
        <v>663</v>
      </c>
      <c r="P582">
        <v>11.1</v>
      </c>
      <c r="Q582">
        <v>8</v>
      </c>
      <c r="R582" t="str">
        <f>IF(AllDataCorrected[[#This Row],[Nitrate (PPM)]]&gt;2, "4. Very high (&gt;2ppm)", IF(AllDataCorrected[[#This Row],[Nitrate (PPM)]]&gt;1, "3. High (1-2ppm)", IF(AllDataCorrected[[#This Row],[Nitrate (PPM)]]&gt;0.5, "2. Some evidence (0.5-1ppm)", IF(AllDataCorrected[[#This Row],[Nitrate (PPM)]]&gt;=0, "1. No evidence (&lt;0.5ppm)"))))</f>
        <v>4. Very high (&gt;2ppm)</v>
      </c>
      <c r="S582">
        <v>0.31</v>
      </c>
      <c r="T5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2">
        <v>1</v>
      </c>
    </row>
    <row r="583" spans="1:22" x14ac:dyDescent="0.35">
      <c r="A583" t="s">
        <v>940</v>
      </c>
      <c r="B583" s="2">
        <v>45375</v>
      </c>
      <c r="C583" t="str" cm="1">
        <f t="array" ref="C5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3">
        <f>YEAR(AllDataCorrected[[#This Row],[Date]])</f>
        <v>2024</v>
      </c>
      <c r="E583" s="1">
        <v>0.625</v>
      </c>
      <c r="F5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3" t="str">
        <f>_xlfn.XLOOKUP(AllDataCorrected[[#This Row],[Location Name]], Locations[Location Name],Locations[Group As])</f>
        <v>Sherbourne Brook 2</v>
      </c>
      <c r="H583" t="e" vm="1">
        <f>_xlfn.XLOOKUP(AllDataCorrected[[#This Row],[Site Name]],LocationsKey[Site Name],LocationsKey[District])</f>
        <v>#VALUE!</v>
      </c>
      <c r="I583" t="str">
        <f>_xlfn.XLOOKUP(AllDataCorrected[[#This Row],[Site Name]],LocationsKey[Site Name],LocationsKey[Town])</f>
        <v>Unknown</v>
      </c>
      <c r="J583" t="str">
        <f>_xlfn.XLOOKUP(AllDataCorrected[[#This Row],[Site Name]],LocationsKey[Site Name], LocationsKey[Waterway])</f>
        <v>Sherbourne Brook</v>
      </c>
      <c r="K583" t="s">
        <v>941</v>
      </c>
      <c r="L583" t="str">
        <f>_xlfn.XLOOKUP(AllDataCorrected[[#This Row],[Site Name]],Tables!$B$12:$B$100, Tables!C$12:C$100)</f>
        <v>Unknown</v>
      </c>
      <c r="M583" t="str">
        <f>_xlfn.XLOOKUP(AllDataCorrected[[#This Row],[Site Name]],Tables!$B$12:$B$100, Tables!D$12:D$100)</f>
        <v>Unknown</v>
      </c>
      <c r="N583" t="s">
        <v>25</v>
      </c>
      <c r="O583">
        <v>100</v>
      </c>
      <c r="P583">
        <v>10.8</v>
      </c>
      <c r="Q583">
        <v>4</v>
      </c>
      <c r="R583" t="str">
        <f>IF(AllDataCorrected[[#This Row],[Nitrate (PPM)]]&gt;2, "4. Very high (&gt;2ppm)", IF(AllDataCorrected[[#This Row],[Nitrate (PPM)]]&gt;1, "3. High (1-2ppm)", IF(AllDataCorrected[[#This Row],[Nitrate (PPM)]]&gt;0.5, "2. Some evidence (0.5-1ppm)", IF(AllDataCorrected[[#This Row],[Nitrate (PPM)]]&gt;=0, "1. No evidence (&lt;0.5ppm)"))))</f>
        <v>4. Very high (&gt;2ppm)</v>
      </c>
      <c r="S583">
        <v>0.57999999999999996</v>
      </c>
      <c r="T5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3">
        <v>0.2</v>
      </c>
      <c r="V583" t="s">
        <v>798</v>
      </c>
    </row>
    <row r="584" spans="1:22" x14ac:dyDescent="0.35">
      <c r="A584" t="s">
        <v>942</v>
      </c>
      <c r="B584" s="2">
        <v>45375</v>
      </c>
      <c r="C584" t="str" cm="1">
        <f t="array" ref="C5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4">
        <f>YEAR(AllDataCorrected[[#This Row],[Date]])</f>
        <v>2024</v>
      </c>
      <c r="E584" s="1">
        <v>0.63541666666666663</v>
      </c>
      <c r="F5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4" t="str">
        <f>_xlfn.XLOOKUP(AllDataCorrected[[#This Row],[Location Name]], Locations[Location Name],Locations[Group As])</f>
        <v>Bell Brook 1</v>
      </c>
      <c r="H584" t="e" vm="1">
        <f>_xlfn.XLOOKUP(AllDataCorrected[[#This Row],[Site Name]],LocationsKey[Site Name],LocationsKey[District])</f>
        <v>#VALUE!</v>
      </c>
      <c r="I584" t="e" vm="19">
        <f>_xlfn.XLOOKUP(AllDataCorrected[[#This Row],[Site Name]],LocationsKey[Site Name],LocationsKey[Town])</f>
        <v>#VALUE!</v>
      </c>
      <c r="J584" t="str">
        <f>_xlfn.XLOOKUP(AllDataCorrected[[#This Row],[Site Name]],LocationsKey[Site Name], LocationsKey[Waterway])</f>
        <v>Bell Brook</v>
      </c>
      <c r="K584" t="s">
        <v>538</v>
      </c>
      <c r="L584">
        <f>_xlfn.XLOOKUP(AllDataCorrected[[#This Row],[Site Name]],Tables!$B$12:$B$100, Tables!C$12:C$100)</f>
        <v>52.24489999999998</v>
      </c>
      <c r="M584">
        <f>_xlfn.XLOOKUP(AllDataCorrected[[#This Row],[Site Name]],Tables!$B$12:$B$100, Tables!D$12:D$100)</f>
        <v>-1.6617000000000013</v>
      </c>
      <c r="N584" t="s">
        <v>25</v>
      </c>
      <c r="O584">
        <v>107</v>
      </c>
      <c r="P584">
        <v>10.3</v>
      </c>
      <c r="Q584">
        <v>5</v>
      </c>
      <c r="R584" t="str">
        <f>IF(AllDataCorrected[[#This Row],[Nitrate (PPM)]]&gt;2, "4. Very high (&gt;2ppm)", IF(AllDataCorrected[[#This Row],[Nitrate (PPM)]]&gt;1, "3. High (1-2ppm)", IF(AllDataCorrected[[#This Row],[Nitrate (PPM)]]&gt;0.5, "2. Some evidence (0.5-1ppm)", IF(AllDataCorrected[[#This Row],[Nitrate (PPM)]]&gt;=0, "1. No evidence (&lt;0.5ppm)"))))</f>
        <v>4. Very high (&gt;2ppm)</v>
      </c>
      <c r="S584">
        <v>0.53</v>
      </c>
      <c r="T5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4">
        <v>0.15</v>
      </c>
      <c r="V584" t="s">
        <v>798</v>
      </c>
    </row>
    <row r="585" spans="1:22" x14ac:dyDescent="0.35">
      <c r="A585" t="s">
        <v>943</v>
      </c>
      <c r="B585" s="2">
        <v>45375</v>
      </c>
      <c r="C585" t="str" cm="1">
        <f t="array" ref="C5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5">
        <f>YEAR(AllDataCorrected[[#This Row],[Date]])</f>
        <v>2024</v>
      </c>
      <c r="E585" s="1">
        <v>0.66666666666666663</v>
      </c>
      <c r="F5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85" t="str">
        <f>_xlfn.XLOOKUP(AllDataCorrected[[#This Row],[Location Name]], Locations[Location Name],Locations[Group As])</f>
        <v>The Ford, Langley</v>
      </c>
      <c r="H585" t="e" vm="1">
        <f>_xlfn.XLOOKUP(AllDataCorrected[[#This Row],[Site Name]],LocationsKey[Site Name],LocationsKey[District])</f>
        <v>#VALUE!</v>
      </c>
      <c r="I585" t="str">
        <f>_xlfn.XLOOKUP(AllDataCorrected[[#This Row],[Site Name]],LocationsKey[Site Name],LocationsKey[Town])</f>
        <v>Langley</v>
      </c>
      <c r="J585" t="str">
        <f>_xlfn.XLOOKUP(AllDataCorrected[[#This Row],[Site Name]],LocationsKey[Site Name], LocationsKey[Waterway])</f>
        <v>Langley Ford</v>
      </c>
      <c r="K585" t="s">
        <v>561</v>
      </c>
      <c r="L585">
        <f>_xlfn.XLOOKUP(AllDataCorrected[[#This Row],[Site Name]],Tables!$B$12:$B$100, Tables!C$12:C$100)</f>
        <v>52.262666528301864</v>
      </c>
      <c r="M585">
        <f>_xlfn.XLOOKUP(AllDataCorrected[[#This Row],[Site Name]],Tables!$B$12:$B$100, Tables!D$12:D$100)</f>
        <v>-1.6545845283018858</v>
      </c>
      <c r="N585" t="s">
        <v>31</v>
      </c>
      <c r="O585">
        <v>634</v>
      </c>
      <c r="P585">
        <v>9.6</v>
      </c>
      <c r="Q585">
        <v>2</v>
      </c>
      <c r="R585" t="str">
        <f>IF(AllDataCorrected[[#This Row],[Nitrate (PPM)]]&gt;2, "4. Very high (&gt;2ppm)", IF(AllDataCorrected[[#This Row],[Nitrate (PPM)]]&gt;1, "3. High (1-2ppm)", IF(AllDataCorrected[[#This Row],[Nitrate (PPM)]]&gt;0.5, "2. Some evidence (0.5-1ppm)", IF(AllDataCorrected[[#This Row],[Nitrate (PPM)]]&gt;=0, "1. No evidence (&lt;0.5ppm)"))))</f>
        <v>3. High (1-2ppm)</v>
      </c>
      <c r="S585">
        <v>0.68</v>
      </c>
      <c r="T5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5">
        <v>0.45</v>
      </c>
    </row>
    <row r="586" spans="1:22" x14ac:dyDescent="0.35">
      <c r="A586" t="s">
        <v>944</v>
      </c>
      <c r="B586" s="2">
        <v>45375</v>
      </c>
      <c r="C586" t="str" cm="1">
        <f t="array" ref="C5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6">
        <f>YEAR(AllDataCorrected[[#This Row],[Date]])</f>
        <v>2024</v>
      </c>
      <c r="E586" s="1">
        <v>0.75486111111111109</v>
      </c>
      <c r="F586"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586" t="str">
        <f>_xlfn.XLOOKUP(AllDataCorrected[[#This Row],[Location Name]], Locations[Location Name],Locations[Group As])</f>
        <v>Walcot Lane, Bow Brook Ford</v>
      </c>
      <c r="H586" t="e" vm="6">
        <f>_xlfn.XLOOKUP(AllDataCorrected[[#This Row],[Site Name]],LocationsKey[Site Name],LocationsKey[District])</f>
        <v>#VALUE!</v>
      </c>
      <c r="I586" t="e" vm="7">
        <f>_xlfn.XLOOKUP(AllDataCorrected[[#This Row],[Site Name]],LocationsKey[Site Name],LocationsKey[Town])</f>
        <v>#VALUE!</v>
      </c>
      <c r="J586" t="str">
        <f>_xlfn.XLOOKUP(AllDataCorrected[[#This Row],[Site Name]],LocationsKey[Site Name], LocationsKey[Waterway])</f>
        <v>Bow Brook</v>
      </c>
      <c r="K586" t="s">
        <v>945</v>
      </c>
      <c r="L586">
        <f>_xlfn.XLOOKUP(AllDataCorrected[[#This Row],[Site Name]],Tables!$B$12:$B$100, Tables!C$12:C$100)</f>
        <v>52.12810345454546</v>
      </c>
      <c r="M586">
        <f>_xlfn.XLOOKUP(AllDataCorrected[[#This Row],[Site Name]],Tables!$B$12:$B$100, Tables!D$12:D$100)</f>
        <v>-2.0789593939393938</v>
      </c>
      <c r="N586" t="s">
        <v>25</v>
      </c>
      <c r="O586">
        <v>933</v>
      </c>
      <c r="P586">
        <v>10.3</v>
      </c>
      <c r="Q586">
        <v>5</v>
      </c>
      <c r="R586" t="str">
        <f>IF(AllDataCorrected[[#This Row],[Nitrate (PPM)]]&gt;2, "4. Very high (&gt;2ppm)", IF(AllDataCorrected[[#This Row],[Nitrate (PPM)]]&gt;1, "3. High (1-2ppm)", IF(AllDataCorrected[[#This Row],[Nitrate (PPM)]]&gt;0.5, "2. Some evidence (0.5-1ppm)", IF(AllDataCorrected[[#This Row],[Nitrate (PPM)]]&gt;=0, "1. No evidence (&lt;0.5ppm)"))))</f>
        <v>4. Very high (&gt;2ppm)</v>
      </c>
      <c r="S586">
        <v>0.9</v>
      </c>
      <c r="T5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86">
        <v>0.5</v>
      </c>
      <c r="V586" t="s">
        <v>946</v>
      </c>
    </row>
    <row r="587" spans="1:22" x14ac:dyDescent="0.35">
      <c r="A587" t="s">
        <v>947</v>
      </c>
      <c r="B587" s="2">
        <v>45375</v>
      </c>
      <c r="C587" t="str" cm="1">
        <f t="array" ref="C5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7">
        <f>YEAR(AllDataCorrected[[#This Row],[Date]])</f>
        <v>2024</v>
      </c>
      <c r="F58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7" t="str">
        <f>_xlfn.XLOOKUP(AllDataCorrected[[#This Row],[Location Name]], Locations[Location Name],Locations[Group As])</f>
        <v>Site 1  :  Middle Street</v>
      </c>
      <c r="H587" t="e" vm="1">
        <f>_xlfn.XLOOKUP(AllDataCorrected[[#This Row],[Site Name]],LocationsKey[Site Name],LocationsKey[District])</f>
        <v>#VALUE!</v>
      </c>
      <c r="I587" t="e" vm="14">
        <f>_xlfn.XLOOKUP(AllDataCorrected[[#This Row],[Site Name]],LocationsKey[Site Name],LocationsKey[Town])</f>
        <v>#VALUE!</v>
      </c>
      <c r="J587" t="str">
        <f>_xlfn.XLOOKUP(AllDataCorrected[[#This Row],[Site Name]],LocationsKey[Site Name], LocationsKey[Waterway])</f>
        <v>Fosseway Brook</v>
      </c>
      <c r="K587" t="s">
        <v>667</v>
      </c>
      <c r="L587">
        <f>_xlfn.XLOOKUP(AllDataCorrected[[#This Row],[Site Name]],Tables!$B$12:$B$100, Tables!C$12:C$100)</f>
        <v>52.090081855670022</v>
      </c>
      <c r="M587">
        <f>_xlfn.XLOOKUP(AllDataCorrected[[#This Row],[Site Name]],Tables!$B$12:$B$100, Tables!D$12:D$100)</f>
        <v>-1.6925771134020597</v>
      </c>
      <c r="N587" t="s">
        <v>68</v>
      </c>
      <c r="O587">
        <v>588</v>
      </c>
      <c r="P587">
        <v>12.1</v>
      </c>
      <c r="Q587">
        <v>2</v>
      </c>
      <c r="R587" t="str">
        <f>IF(AllDataCorrected[[#This Row],[Nitrate (PPM)]]&gt;2, "4. Very high (&gt;2ppm)", IF(AllDataCorrected[[#This Row],[Nitrate (PPM)]]&gt;1, "3. High (1-2ppm)", IF(AllDataCorrected[[#This Row],[Nitrate (PPM)]]&gt;0.5, "2. Some evidence (0.5-1ppm)", IF(AllDataCorrected[[#This Row],[Nitrate (PPM)]]&gt;=0, "1. No evidence (&lt;0.5ppm)"))))</f>
        <v>3. High (1-2ppm)</v>
      </c>
      <c r="S587">
        <v>0</v>
      </c>
      <c r="T58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587">
        <v>0</v>
      </c>
      <c r="V587" t="s">
        <v>948</v>
      </c>
    </row>
    <row r="588" spans="1:22" x14ac:dyDescent="0.35">
      <c r="A588" t="s">
        <v>949</v>
      </c>
      <c r="B588" s="2">
        <v>45375</v>
      </c>
      <c r="C588" t="str" cm="1">
        <f t="array" ref="C5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8">
        <f>YEAR(AllDataCorrected[[#This Row],[Date]])</f>
        <v>2024</v>
      </c>
      <c r="F58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8" t="str">
        <f>_xlfn.XLOOKUP(AllDataCorrected[[#This Row],[Location Name]], Locations[Location Name],Locations[Group As])</f>
        <v>Site 1  :  Middle Street</v>
      </c>
      <c r="H588" t="e" vm="1">
        <f>_xlfn.XLOOKUP(AllDataCorrected[[#This Row],[Site Name]],LocationsKey[Site Name],LocationsKey[District])</f>
        <v>#VALUE!</v>
      </c>
      <c r="I588" t="e" vm="14">
        <f>_xlfn.XLOOKUP(AllDataCorrected[[#This Row],[Site Name]],LocationsKey[Site Name],LocationsKey[Town])</f>
        <v>#VALUE!</v>
      </c>
      <c r="J588" t="str">
        <f>_xlfn.XLOOKUP(AllDataCorrected[[#This Row],[Site Name]],LocationsKey[Site Name], LocationsKey[Waterway])</f>
        <v>Fosseway Brook</v>
      </c>
      <c r="K588" t="s">
        <v>670</v>
      </c>
      <c r="L588">
        <f>_xlfn.XLOOKUP(AllDataCorrected[[#This Row],[Site Name]],Tables!$B$12:$B$100, Tables!C$12:C$100)</f>
        <v>52.090081855670022</v>
      </c>
      <c r="M588">
        <f>_xlfn.XLOOKUP(AllDataCorrected[[#This Row],[Site Name]],Tables!$B$12:$B$100, Tables!D$12:D$100)</f>
        <v>-1.6925771134020597</v>
      </c>
      <c r="N588" t="s">
        <v>68</v>
      </c>
      <c r="O588">
        <v>588</v>
      </c>
      <c r="P588">
        <v>12.1</v>
      </c>
      <c r="Q588">
        <v>2</v>
      </c>
      <c r="R588" t="str">
        <f>IF(AllDataCorrected[[#This Row],[Nitrate (PPM)]]&gt;2, "4. Very high (&gt;2ppm)", IF(AllDataCorrected[[#This Row],[Nitrate (PPM)]]&gt;1, "3. High (1-2ppm)", IF(AllDataCorrected[[#This Row],[Nitrate (PPM)]]&gt;0.5, "2. Some evidence (0.5-1ppm)", IF(AllDataCorrected[[#This Row],[Nitrate (PPM)]]&gt;=0, "1. No evidence (&lt;0.5ppm)"))))</f>
        <v>3. High (1-2ppm)</v>
      </c>
      <c r="S588">
        <v>0</v>
      </c>
      <c r="T58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V588" t="s">
        <v>950</v>
      </c>
    </row>
    <row r="589" spans="1:22" x14ac:dyDescent="0.35">
      <c r="A589" t="s">
        <v>951</v>
      </c>
      <c r="B589" s="2">
        <v>45375</v>
      </c>
      <c r="C589" t="str" cm="1">
        <f t="array" ref="C5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89">
        <f>YEAR(AllDataCorrected[[#This Row],[Date]])</f>
        <v>2024</v>
      </c>
      <c r="F58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89" t="str">
        <f>_xlfn.XLOOKUP(AllDataCorrected[[#This Row],[Location Name]], Locations[Location Name],Locations[Group As])</f>
        <v>Site 2  :  Cross Leys culvert</v>
      </c>
      <c r="H589" t="e" vm="1">
        <f>_xlfn.XLOOKUP(AllDataCorrected[[#This Row],[Site Name]],LocationsKey[Site Name],LocationsKey[District])</f>
        <v>#VALUE!</v>
      </c>
      <c r="I589" t="e" vm="14">
        <f>_xlfn.XLOOKUP(AllDataCorrected[[#This Row],[Site Name]],LocationsKey[Site Name],LocationsKey[Town])</f>
        <v>#VALUE!</v>
      </c>
      <c r="J589" t="str">
        <f>_xlfn.XLOOKUP(AllDataCorrected[[#This Row],[Site Name]],LocationsKey[Site Name], LocationsKey[Waterway])</f>
        <v>Fosseway Brook</v>
      </c>
      <c r="K589" t="s">
        <v>623</v>
      </c>
      <c r="L589">
        <f>_xlfn.XLOOKUP(AllDataCorrected[[#This Row],[Site Name]],Tables!$B$12:$B$100, Tables!C$12:C$100)</f>
        <v>52.092997354838673</v>
      </c>
      <c r="M589">
        <f>_xlfn.XLOOKUP(AllDataCorrected[[#This Row],[Site Name]],Tables!$B$12:$B$100, Tables!D$12:D$100)</f>
        <v>-1.6862254516129045</v>
      </c>
      <c r="N589" t="s">
        <v>68</v>
      </c>
      <c r="O589">
        <v>666</v>
      </c>
      <c r="P589">
        <v>11.5</v>
      </c>
      <c r="Q589">
        <v>5</v>
      </c>
      <c r="R589" t="str">
        <f>IF(AllDataCorrected[[#This Row],[Nitrate (PPM)]]&gt;2, "4. Very high (&gt;2ppm)", IF(AllDataCorrected[[#This Row],[Nitrate (PPM)]]&gt;1, "3. High (1-2ppm)", IF(AllDataCorrected[[#This Row],[Nitrate (PPM)]]&gt;0.5, "2. Some evidence (0.5-1ppm)", IF(AllDataCorrected[[#This Row],[Nitrate (PPM)]]&gt;=0, "1. No evidence (&lt;0.5ppm)"))))</f>
        <v>4. Very high (&gt;2ppm)</v>
      </c>
      <c r="S589">
        <v>0.13</v>
      </c>
      <c r="T5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89">
        <v>0</v>
      </c>
      <c r="V589" t="s">
        <v>948</v>
      </c>
    </row>
    <row r="590" spans="1:22" x14ac:dyDescent="0.35">
      <c r="A590" t="s">
        <v>952</v>
      </c>
      <c r="B590" s="2">
        <v>45375</v>
      </c>
      <c r="C590" t="str" cm="1">
        <f t="array" ref="C5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0">
        <f>YEAR(AllDataCorrected[[#This Row],[Date]])</f>
        <v>2024</v>
      </c>
      <c r="F59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0" t="str">
        <f>_xlfn.XLOOKUP(AllDataCorrected[[#This Row],[Location Name]], Locations[Location Name],Locations[Group As])</f>
        <v>Site 2  :  Cross Leys culvert</v>
      </c>
      <c r="H590" t="e" vm="1">
        <f>_xlfn.XLOOKUP(AllDataCorrected[[#This Row],[Site Name]],LocationsKey[Site Name],LocationsKey[District])</f>
        <v>#VALUE!</v>
      </c>
      <c r="I590" t="e" vm="14">
        <f>_xlfn.XLOOKUP(AllDataCorrected[[#This Row],[Site Name]],LocationsKey[Site Name],LocationsKey[Town])</f>
        <v>#VALUE!</v>
      </c>
      <c r="J590" t="str">
        <f>_xlfn.XLOOKUP(AllDataCorrected[[#This Row],[Site Name]],LocationsKey[Site Name], LocationsKey[Waterway])</f>
        <v>Fosseway Brook</v>
      </c>
      <c r="K590" t="s">
        <v>626</v>
      </c>
      <c r="L590">
        <f>_xlfn.XLOOKUP(AllDataCorrected[[#This Row],[Site Name]],Tables!$B$12:$B$100, Tables!C$12:C$100)</f>
        <v>52.092997354838673</v>
      </c>
      <c r="M590">
        <f>_xlfn.XLOOKUP(AllDataCorrected[[#This Row],[Site Name]],Tables!$B$12:$B$100, Tables!D$12:D$100)</f>
        <v>-1.6862254516129045</v>
      </c>
      <c r="N590" t="s">
        <v>68</v>
      </c>
      <c r="O590">
        <v>666</v>
      </c>
      <c r="P590">
        <v>11.5</v>
      </c>
      <c r="Q590">
        <v>5</v>
      </c>
      <c r="R590" t="str">
        <f>IF(AllDataCorrected[[#This Row],[Nitrate (PPM)]]&gt;2, "4. Very high (&gt;2ppm)", IF(AllDataCorrected[[#This Row],[Nitrate (PPM)]]&gt;1, "3. High (1-2ppm)", IF(AllDataCorrected[[#This Row],[Nitrate (PPM)]]&gt;0.5, "2. Some evidence (0.5-1ppm)", IF(AllDataCorrected[[#This Row],[Nitrate (PPM)]]&gt;=0, "1. No evidence (&lt;0.5ppm)"))))</f>
        <v>4. Very high (&gt;2ppm)</v>
      </c>
      <c r="S590">
        <v>0.13</v>
      </c>
      <c r="T5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590" t="s">
        <v>950</v>
      </c>
    </row>
    <row r="591" spans="1:22" x14ac:dyDescent="0.35">
      <c r="A591" t="s">
        <v>953</v>
      </c>
      <c r="B591" s="2">
        <v>45375</v>
      </c>
      <c r="C591" t="str" cm="1">
        <f t="array" ref="C5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1">
        <f>YEAR(AllDataCorrected[[#This Row],[Date]])</f>
        <v>2024</v>
      </c>
      <c r="F59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1" t="str">
        <f>_xlfn.XLOOKUP(AllDataCorrected[[#This Row],[Location Name]], Locations[Location Name],Locations[Group As])</f>
        <v>Site 3  :  Severn Trent Water processing plant outflow</v>
      </c>
      <c r="H591" t="e" vm="1">
        <f>_xlfn.XLOOKUP(AllDataCorrected[[#This Row],[Site Name]],LocationsKey[Site Name],LocationsKey[District])</f>
        <v>#VALUE!</v>
      </c>
      <c r="I591" t="e" vm="14">
        <f>_xlfn.XLOOKUP(AllDataCorrected[[#This Row],[Site Name]],LocationsKey[Site Name],LocationsKey[Town])</f>
        <v>#VALUE!</v>
      </c>
      <c r="J591" t="str">
        <f>_xlfn.XLOOKUP(AllDataCorrected[[#This Row],[Site Name]],LocationsKey[Site Name], LocationsKey[Waterway])</f>
        <v>Fosseway Brook</v>
      </c>
      <c r="K591" t="s">
        <v>673</v>
      </c>
      <c r="L591">
        <f>_xlfn.XLOOKUP(AllDataCorrected[[#This Row],[Site Name]],Tables!$B$12:$B$100, Tables!C$12:C$100)</f>
        <v>52.130499999999998</v>
      </c>
      <c r="M591">
        <f>_xlfn.XLOOKUP(AllDataCorrected[[#This Row],[Site Name]],Tables!$B$12:$B$100, Tables!D$12:D$100)</f>
        <v>-2.0787</v>
      </c>
      <c r="N591" t="s">
        <v>31</v>
      </c>
      <c r="O591">
        <v>866</v>
      </c>
      <c r="P591">
        <v>13.3</v>
      </c>
      <c r="Q591">
        <v>10</v>
      </c>
      <c r="R591" t="str">
        <f>IF(AllDataCorrected[[#This Row],[Nitrate (PPM)]]&gt;2, "4. Very high (&gt;2ppm)", IF(AllDataCorrected[[#This Row],[Nitrate (PPM)]]&gt;1, "3. High (1-2ppm)", IF(AllDataCorrected[[#This Row],[Nitrate (PPM)]]&gt;0.5, "2. Some evidence (0.5-1ppm)", IF(AllDataCorrected[[#This Row],[Nitrate (PPM)]]&gt;=0, "1. No evidence (&lt;0.5ppm)"))))</f>
        <v>4. Very high (&gt;2ppm)</v>
      </c>
      <c r="S591">
        <v>2.5</v>
      </c>
      <c r="T5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1">
        <v>0</v>
      </c>
      <c r="V591" t="s">
        <v>954</v>
      </c>
    </row>
    <row r="592" spans="1:22" x14ac:dyDescent="0.35">
      <c r="A592" t="s">
        <v>955</v>
      </c>
      <c r="B592" s="2">
        <v>45375</v>
      </c>
      <c r="C592" t="str" cm="1">
        <f t="array" ref="C5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2">
        <f>YEAR(AllDataCorrected[[#This Row],[Date]])</f>
        <v>2024</v>
      </c>
      <c r="F59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592" t="str">
        <f>_xlfn.XLOOKUP(AllDataCorrected[[#This Row],[Location Name]], Locations[Location Name],Locations[Group As])</f>
        <v>Site 3  :  Severn Trent Water processing plant outflow</v>
      </c>
      <c r="H592" t="e" vm="1">
        <f>_xlfn.XLOOKUP(AllDataCorrected[[#This Row],[Site Name]],LocationsKey[Site Name],LocationsKey[District])</f>
        <v>#VALUE!</v>
      </c>
      <c r="I592" t="e" vm="14">
        <f>_xlfn.XLOOKUP(AllDataCorrected[[#This Row],[Site Name]],LocationsKey[Site Name],LocationsKey[Town])</f>
        <v>#VALUE!</v>
      </c>
      <c r="J592" t="str">
        <f>_xlfn.XLOOKUP(AllDataCorrected[[#This Row],[Site Name]],LocationsKey[Site Name], LocationsKey[Waterway])</f>
        <v>Fosseway Brook</v>
      </c>
      <c r="K592" t="s">
        <v>676</v>
      </c>
      <c r="L592">
        <f>_xlfn.XLOOKUP(AllDataCorrected[[#This Row],[Site Name]],Tables!$B$12:$B$100, Tables!C$12:C$100)</f>
        <v>52.130499999999998</v>
      </c>
      <c r="M592">
        <f>_xlfn.XLOOKUP(AllDataCorrected[[#This Row],[Site Name]],Tables!$B$12:$B$100, Tables!D$12:D$100)</f>
        <v>-2.0787</v>
      </c>
      <c r="N592" t="s">
        <v>31</v>
      </c>
      <c r="O592">
        <v>866</v>
      </c>
      <c r="P592">
        <v>13.3</v>
      </c>
      <c r="Q592">
        <v>10</v>
      </c>
      <c r="R592" t="str">
        <f>IF(AllDataCorrected[[#This Row],[Nitrate (PPM)]]&gt;2, "4. Very high (&gt;2ppm)", IF(AllDataCorrected[[#This Row],[Nitrate (PPM)]]&gt;1, "3. High (1-2ppm)", IF(AllDataCorrected[[#This Row],[Nitrate (PPM)]]&gt;0.5, "2. Some evidence (0.5-1ppm)", IF(AllDataCorrected[[#This Row],[Nitrate (PPM)]]&gt;=0, "1. No evidence (&lt;0.5ppm)"))))</f>
        <v>4. Very high (&gt;2ppm)</v>
      </c>
      <c r="S592">
        <v>2.5</v>
      </c>
      <c r="T5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592" t="s">
        <v>950</v>
      </c>
    </row>
    <row r="593" spans="1:22" x14ac:dyDescent="0.35">
      <c r="A593" t="s">
        <v>957</v>
      </c>
      <c r="B593" s="2">
        <v>45376</v>
      </c>
      <c r="C593" t="str" cm="1">
        <f t="array" ref="C5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3">
        <f>YEAR(AllDataCorrected[[#This Row],[Date]])</f>
        <v>2024</v>
      </c>
      <c r="E593" s="1">
        <v>0.37361111111111112</v>
      </c>
      <c r="F5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3" t="str">
        <f>_xlfn.XLOOKUP(AllDataCorrected[[#This Row],[Location Name]], Locations[Location Name],Locations[Group As])</f>
        <v>Stour Stretton-on-Fosse Village</v>
      </c>
      <c r="H593" t="e" vm="1">
        <f>_xlfn.XLOOKUP(AllDataCorrected[[#This Row],[Site Name]],LocationsKey[Site Name],LocationsKey[District])</f>
        <v>#VALUE!</v>
      </c>
      <c r="I593" t="e" vm="30">
        <f>_xlfn.XLOOKUP(AllDataCorrected[[#This Row],[Site Name]],LocationsKey[Site Name],LocationsKey[Town])</f>
        <v>#VALUE!</v>
      </c>
      <c r="J593" t="str">
        <f>_xlfn.XLOOKUP(AllDataCorrected[[#This Row],[Site Name]],LocationsKey[Site Name], LocationsKey[Waterway])</f>
        <v>Stour</v>
      </c>
      <c r="K593" t="s">
        <v>548</v>
      </c>
      <c r="L593">
        <f>_xlfn.XLOOKUP(AllDataCorrected[[#This Row],[Site Name]],Tables!$B$12:$B$100, Tables!C$12:C$100)</f>
        <v>52.046517558823531</v>
      </c>
      <c r="M593">
        <f>_xlfn.XLOOKUP(AllDataCorrected[[#This Row],[Site Name]],Tables!$B$12:$B$100, Tables!D$12:D$100)</f>
        <v>-1.6734143529411762</v>
      </c>
      <c r="N593" t="s">
        <v>68</v>
      </c>
      <c r="O593">
        <v>702</v>
      </c>
      <c r="P593">
        <v>8.4</v>
      </c>
      <c r="Q593">
        <v>2</v>
      </c>
      <c r="R593" t="str">
        <f>IF(AllDataCorrected[[#This Row],[Nitrate (PPM)]]&gt;2, "4. Very high (&gt;2ppm)", IF(AllDataCorrected[[#This Row],[Nitrate (PPM)]]&gt;1, "3. High (1-2ppm)", IF(AllDataCorrected[[#This Row],[Nitrate (PPM)]]&gt;0.5, "2. Some evidence (0.5-1ppm)", IF(AllDataCorrected[[#This Row],[Nitrate (PPM)]]&gt;=0, "1. No evidence (&lt;0.5ppm)"))))</f>
        <v>3. High (1-2ppm)</v>
      </c>
      <c r="S593">
        <v>1.57</v>
      </c>
      <c r="T5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3">
        <v>0.2</v>
      </c>
    </row>
    <row r="594" spans="1:22" x14ac:dyDescent="0.35">
      <c r="A594" t="s">
        <v>958</v>
      </c>
      <c r="B594" s="2">
        <v>45376</v>
      </c>
      <c r="C594" t="str" cm="1">
        <f t="array" ref="C5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4">
        <f>YEAR(AllDataCorrected[[#This Row],[Date]])</f>
        <v>2024</v>
      </c>
      <c r="E594" s="1">
        <v>0.37986111111111109</v>
      </c>
      <c r="F5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4" t="str">
        <f>_xlfn.XLOOKUP(AllDataCorrected[[#This Row],[Location Name]], Locations[Location Name],Locations[Group As])</f>
        <v>Stour Stretton-on-Fosse Sewage Works</v>
      </c>
      <c r="H594" t="e" vm="1">
        <f>_xlfn.XLOOKUP(AllDataCorrected[[#This Row],[Site Name]],LocationsKey[Site Name],LocationsKey[District])</f>
        <v>#VALUE!</v>
      </c>
      <c r="I594" t="e" vm="30">
        <f>_xlfn.XLOOKUP(AllDataCorrected[[#This Row],[Site Name]],LocationsKey[Site Name],LocationsKey[Town])</f>
        <v>#VALUE!</v>
      </c>
      <c r="J594" t="str">
        <f>_xlfn.XLOOKUP(AllDataCorrected[[#This Row],[Site Name]],LocationsKey[Site Name], LocationsKey[Waterway])</f>
        <v>Stour</v>
      </c>
      <c r="K594" t="s">
        <v>337</v>
      </c>
      <c r="L594">
        <f>_xlfn.XLOOKUP(AllDataCorrected[[#This Row],[Site Name]],Tables!$B$12:$B$100, Tables!C$12:C$100)</f>
        <v>52.045653647058828</v>
      </c>
      <c r="M594">
        <f>_xlfn.XLOOKUP(AllDataCorrected[[#This Row],[Site Name]],Tables!$B$12:$B$100, Tables!D$12:D$100)</f>
        <v>-1.6719221470588239</v>
      </c>
      <c r="N594" t="s">
        <v>31</v>
      </c>
      <c r="O594">
        <v>760</v>
      </c>
      <c r="P594">
        <v>8.1</v>
      </c>
      <c r="Q594">
        <v>2</v>
      </c>
      <c r="R594" t="str">
        <f>IF(AllDataCorrected[[#This Row],[Nitrate (PPM)]]&gt;2, "4. Very high (&gt;2ppm)", IF(AllDataCorrected[[#This Row],[Nitrate (PPM)]]&gt;1, "3. High (1-2ppm)", IF(AllDataCorrected[[#This Row],[Nitrate (PPM)]]&gt;0.5, "2. Some evidence (0.5-1ppm)", IF(AllDataCorrected[[#This Row],[Nitrate (PPM)]]&gt;=0, "1. No evidence (&lt;0.5ppm)"))))</f>
        <v>3. High (1-2ppm)</v>
      </c>
      <c r="S594">
        <v>2.5</v>
      </c>
      <c r="T5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4">
        <v>0.3</v>
      </c>
      <c r="V594" t="s">
        <v>959</v>
      </c>
    </row>
    <row r="595" spans="1:22" x14ac:dyDescent="0.35">
      <c r="A595" t="s">
        <v>960</v>
      </c>
      <c r="B595" s="2">
        <v>45378</v>
      </c>
      <c r="C595" t="str" cm="1">
        <f t="array" ref="C5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5">
        <f>YEAR(AllDataCorrected[[#This Row],[Date]])</f>
        <v>2024</v>
      </c>
      <c r="E595" s="1">
        <v>0.40069444444444446</v>
      </c>
      <c r="F5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5" t="str">
        <f>_xlfn.XLOOKUP(AllDataCorrected[[#This Row],[Location Name]], Locations[Location Name],Locations[Group As])</f>
        <v>Abbey Mill</v>
      </c>
      <c r="H595" t="e" vm="4">
        <f>_xlfn.XLOOKUP(AllDataCorrected[[#This Row],[Site Name]],LocationsKey[Site Name],LocationsKey[District])</f>
        <v>#VALUE!</v>
      </c>
      <c r="I595" t="e" vm="4">
        <f>_xlfn.XLOOKUP(AllDataCorrected[[#This Row],[Site Name]],LocationsKey[Site Name],LocationsKey[Town])</f>
        <v>#VALUE!</v>
      </c>
      <c r="J595" t="str">
        <f>_xlfn.XLOOKUP(AllDataCorrected[[#This Row],[Site Name]],LocationsKey[Site Name], LocationsKey[Waterway])</f>
        <v>Avon</v>
      </c>
      <c r="K595" t="s">
        <v>27</v>
      </c>
      <c r="L595">
        <f>_xlfn.XLOOKUP(AllDataCorrected[[#This Row],[Site Name]],Tables!$B$12:$B$100, Tables!C$12:C$100)</f>
        <v>51.991313075757589</v>
      </c>
      <c r="M595">
        <f>_xlfn.XLOOKUP(AllDataCorrected[[#This Row],[Site Name]],Tables!$B$12:$B$100, Tables!D$12:D$100)</f>
        <v>-2.1621998181818181</v>
      </c>
      <c r="N595" t="s">
        <v>25</v>
      </c>
      <c r="O595">
        <v>810</v>
      </c>
      <c r="P595">
        <v>9.8000000000000007</v>
      </c>
      <c r="Q595">
        <v>5</v>
      </c>
      <c r="R595" t="str">
        <f>IF(AllDataCorrected[[#This Row],[Nitrate (PPM)]]&gt;2, "4. Very high (&gt;2ppm)", IF(AllDataCorrected[[#This Row],[Nitrate (PPM)]]&gt;1, "3. High (1-2ppm)", IF(AllDataCorrected[[#This Row],[Nitrate (PPM)]]&gt;0.5, "2. Some evidence (0.5-1ppm)", IF(AllDataCorrected[[#This Row],[Nitrate (PPM)]]&gt;=0, "1. No evidence (&lt;0.5ppm)"))))</f>
        <v>4. Very high (&gt;2ppm)</v>
      </c>
      <c r="S595">
        <v>0.98</v>
      </c>
      <c r="T5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5">
        <v>0.7</v>
      </c>
      <c r="V595" t="s">
        <v>961</v>
      </c>
    </row>
    <row r="596" spans="1:22" x14ac:dyDescent="0.35">
      <c r="A596" t="s">
        <v>962</v>
      </c>
      <c r="B596" s="2">
        <v>45378</v>
      </c>
      <c r="C596" t="str" cm="1">
        <f t="array" ref="C5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6">
        <f>YEAR(AllDataCorrected[[#This Row],[Date]])</f>
        <v>2024</v>
      </c>
      <c r="E596" s="1">
        <v>0.57708333333333328</v>
      </c>
      <c r="F5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6" t="str">
        <f>_xlfn.XLOOKUP(AllDataCorrected[[#This Row],[Location Name]], Locations[Location Name],Locations[Group As])</f>
        <v>Swiffen Bank</v>
      </c>
      <c r="H596" t="e" vm="1">
        <f>_xlfn.XLOOKUP(AllDataCorrected[[#This Row],[Site Name]],LocationsKey[Site Name],LocationsKey[District])</f>
        <v>#VALUE!</v>
      </c>
      <c r="I596" t="e" vm="2">
        <f>_xlfn.XLOOKUP(AllDataCorrected[[#This Row],[Site Name]],LocationsKey[Site Name],LocationsKey[Town])</f>
        <v>#VALUE!</v>
      </c>
      <c r="J596" t="str">
        <f>_xlfn.XLOOKUP(AllDataCorrected[[#This Row],[Site Name]],LocationsKey[Site Name], LocationsKey[Waterway])</f>
        <v>Avon</v>
      </c>
      <c r="K596" t="s">
        <v>286</v>
      </c>
      <c r="L596">
        <f>_xlfn.XLOOKUP(AllDataCorrected[[#This Row],[Site Name]],Tables!$B$12:$B$100, Tables!C$12:C$100)</f>
        <v>52.206649805555557</v>
      </c>
      <c r="M596">
        <f>_xlfn.XLOOKUP(AllDataCorrected[[#This Row],[Site Name]],Tables!$B$12:$B$100, Tables!D$12:D$100)</f>
        <v>-1.6541018611111094</v>
      </c>
      <c r="N596" t="s">
        <v>31</v>
      </c>
      <c r="O596">
        <v>542</v>
      </c>
      <c r="P596">
        <v>12.1</v>
      </c>
      <c r="Q596">
        <v>5</v>
      </c>
      <c r="R596" t="str">
        <f>IF(AllDataCorrected[[#This Row],[Nitrate (PPM)]]&gt;2, "4. Very high (&gt;2ppm)", IF(AllDataCorrected[[#This Row],[Nitrate (PPM)]]&gt;1, "3. High (1-2ppm)", IF(AllDataCorrected[[#This Row],[Nitrate (PPM)]]&gt;0.5, "2. Some evidence (0.5-1ppm)", IF(AllDataCorrected[[#This Row],[Nitrate (PPM)]]&gt;=0, "1. No evidence (&lt;0.5ppm)"))))</f>
        <v>4. Very high (&gt;2ppm)</v>
      </c>
      <c r="S596">
        <v>0.74</v>
      </c>
      <c r="T5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596">
        <v>1.75</v>
      </c>
      <c r="V596" t="s">
        <v>963</v>
      </c>
    </row>
    <row r="597" spans="1:22" x14ac:dyDescent="0.35">
      <c r="A597" t="s">
        <v>964</v>
      </c>
      <c r="B597" s="2">
        <v>45378</v>
      </c>
      <c r="C597" t="str" cm="1">
        <f t="array" ref="C5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7">
        <f>YEAR(AllDataCorrected[[#This Row],[Date]])</f>
        <v>2024</v>
      </c>
      <c r="E597" s="1">
        <v>0.59375</v>
      </c>
      <c r="F59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7" t="str">
        <f>_xlfn.XLOOKUP(AllDataCorrected[[#This Row],[Location Name]], Locations[Location Name],Locations[Group As])</f>
        <v>Alveston Weir</v>
      </c>
      <c r="H597" t="e" vm="1">
        <f>_xlfn.XLOOKUP(AllDataCorrected[[#This Row],[Site Name]],LocationsKey[Site Name],LocationsKey[District])</f>
        <v>#VALUE!</v>
      </c>
      <c r="I597" t="e" vm="2">
        <f>_xlfn.XLOOKUP(AllDataCorrected[[#This Row],[Site Name]],LocationsKey[Site Name],LocationsKey[Town])</f>
        <v>#VALUE!</v>
      </c>
      <c r="J597" t="str">
        <f>_xlfn.XLOOKUP(AllDataCorrected[[#This Row],[Site Name]],LocationsKey[Site Name], LocationsKey[Waterway])</f>
        <v>Avon</v>
      </c>
      <c r="K597" t="s">
        <v>288</v>
      </c>
      <c r="L597">
        <f>_xlfn.XLOOKUP(AllDataCorrected[[#This Row],[Site Name]],Tables!$B$12:$B$100, Tables!C$12:C$100)</f>
        <v>52.21226301333337</v>
      </c>
      <c r="M597">
        <f>_xlfn.XLOOKUP(AllDataCorrected[[#This Row],[Site Name]],Tables!$B$12:$B$100, Tables!D$12:D$100)</f>
        <v>-1.6595226800000011</v>
      </c>
      <c r="N597" t="s">
        <v>31</v>
      </c>
      <c r="O597">
        <v>545</v>
      </c>
      <c r="P597">
        <v>11</v>
      </c>
      <c r="Q597">
        <v>5</v>
      </c>
      <c r="R597" t="str">
        <f>IF(AllDataCorrected[[#This Row],[Nitrate (PPM)]]&gt;2, "4. Very high (&gt;2ppm)", IF(AllDataCorrected[[#This Row],[Nitrate (PPM)]]&gt;1, "3. High (1-2ppm)", IF(AllDataCorrected[[#This Row],[Nitrate (PPM)]]&gt;0.5, "2. Some evidence (0.5-1ppm)", IF(AllDataCorrected[[#This Row],[Nitrate (PPM)]]&gt;=0, "1. No evidence (&lt;0.5ppm)"))))</f>
        <v>4. Very high (&gt;2ppm)</v>
      </c>
      <c r="S597">
        <v>0.43</v>
      </c>
      <c r="T59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7">
        <v>1.75</v>
      </c>
      <c r="V597" t="s">
        <v>965</v>
      </c>
    </row>
    <row r="598" spans="1:22" x14ac:dyDescent="0.35">
      <c r="A598" t="s">
        <v>966</v>
      </c>
      <c r="B598" s="2">
        <v>45378</v>
      </c>
      <c r="C598" t="str" cm="1">
        <f t="array" ref="C5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8">
        <f>YEAR(AllDataCorrected[[#This Row],[Date]])</f>
        <v>2024</v>
      </c>
      <c r="E598" s="1">
        <v>0.625</v>
      </c>
      <c r="F5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598" t="str">
        <f>_xlfn.XLOOKUP(AllDataCorrected[[#This Row],[Location Name]], Locations[Location Name],Locations[Group As])</f>
        <v>Stour Newbold Mill</v>
      </c>
      <c r="H598" t="e" vm="1">
        <f>_xlfn.XLOOKUP(AllDataCorrected[[#This Row],[Site Name]],LocationsKey[Site Name],LocationsKey[District])</f>
        <v>#VALUE!</v>
      </c>
      <c r="I598" t="e" vm="27">
        <f>_xlfn.XLOOKUP(AllDataCorrected[[#This Row],[Site Name]],LocationsKey[Site Name],LocationsKey[Town])</f>
        <v>#VALUE!</v>
      </c>
      <c r="J598" t="str">
        <f>_xlfn.XLOOKUP(AllDataCorrected[[#This Row],[Site Name]],LocationsKey[Site Name], LocationsKey[Waterway])</f>
        <v>Stour</v>
      </c>
      <c r="K598" t="s">
        <v>141</v>
      </c>
      <c r="L598">
        <f>_xlfn.XLOOKUP(AllDataCorrected[[#This Row],[Site Name]],Tables!$B$12:$B$100, Tables!C$12:C$100)</f>
        <v>52.113052370370369</v>
      </c>
      <c r="M598">
        <f>_xlfn.XLOOKUP(AllDataCorrected[[#This Row],[Site Name]],Tables!$B$12:$B$100, Tables!D$12:D$100)</f>
        <v>-1.6333685185185181</v>
      </c>
      <c r="N598" t="s">
        <v>68</v>
      </c>
      <c r="O598">
        <v>460</v>
      </c>
      <c r="P598">
        <v>13.1</v>
      </c>
      <c r="Q598">
        <v>2</v>
      </c>
      <c r="R598" t="str">
        <f>IF(AllDataCorrected[[#This Row],[Nitrate (PPM)]]&gt;2, "4. Very high (&gt;2ppm)", IF(AllDataCorrected[[#This Row],[Nitrate (PPM)]]&gt;1, "3. High (1-2ppm)", IF(AllDataCorrected[[#This Row],[Nitrate (PPM)]]&gt;0.5, "2. Some evidence (0.5-1ppm)", IF(AllDataCorrected[[#This Row],[Nitrate (PPM)]]&gt;=0, "1. No evidence (&lt;0.5ppm)"))))</f>
        <v>3. High (1-2ppm)</v>
      </c>
      <c r="S598">
        <v>0.19</v>
      </c>
      <c r="T5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8">
        <v>3.5</v>
      </c>
      <c r="V598" t="s">
        <v>908</v>
      </c>
    </row>
    <row r="599" spans="1:22" x14ac:dyDescent="0.35">
      <c r="A599" t="s">
        <v>967</v>
      </c>
      <c r="B599" s="2">
        <v>45379</v>
      </c>
      <c r="C599" t="str" cm="1">
        <f t="array" ref="C5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599">
        <f>YEAR(AllDataCorrected[[#This Row],[Date]])</f>
        <v>2024</v>
      </c>
      <c r="E599" s="1">
        <v>0.44722222222222224</v>
      </c>
      <c r="F59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599" t="str">
        <f>_xlfn.XLOOKUP(AllDataCorrected[[#This Row],[Location Name]], Locations[Location Name],Locations[Group As])</f>
        <v>Stour Willington</v>
      </c>
      <c r="H599" t="e" vm="1">
        <f>_xlfn.XLOOKUP(AllDataCorrected[[#This Row],[Site Name]],LocationsKey[Site Name],LocationsKey[District])</f>
        <v>#VALUE!</v>
      </c>
      <c r="I599" t="str">
        <f>_xlfn.XLOOKUP(AllDataCorrected[[#This Row],[Site Name]],LocationsKey[Site Name],LocationsKey[Town])</f>
        <v>Willington</v>
      </c>
      <c r="J599" t="str">
        <f>_xlfn.XLOOKUP(AllDataCorrected[[#This Row],[Site Name]],LocationsKey[Site Name], LocationsKey[Waterway])</f>
        <v>Stour</v>
      </c>
      <c r="K599" t="s">
        <v>521</v>
      </c>
      <c r="L599">
        <f>_xlfn.XLOOKUP(AllDataCorrected[[#This Row],[Site Name]],Tables!$B$12:$B$100, Tables!C$12:C$100)</f>
        <v>52.053227523809518</v>
      </c>
      <c r="M599">
        <f>_xlfn.XLOOKUP(AllDataCorrected[[#This Row],[Site Name]],Tables!$B$12:$B$100, Tables!D$12:D$100)</f>
        <v>-1.6194739523809523</v>
      </c>
      <c r="N599" t="s">
        <v>25</v>
      </c>
      <c r="O599">
        <v>353</v>
      </c>
      <c r="P599">
        <v>10.199999999999999</v>
      </c>
      <c r="Q599">
        <v>1.5</v>
      </c>
      <c r="R599" t="str">
        <f>IF(AllDataCorrected[[#This Row],[Nitrate (PPM)]]&gt;2, "4. Very high (&gt;2ppm)", IF(AllDataCorrected[[#This Row],[Nitrate (PPM)]]&gt;1, "3. High (1-2ppm)", IF(AllDataCorrected[[#This Row],[Nitrate (PPM)]]&gt;0.5, "2. Some evidence (0.5-1ppm)", IF(AllDataCorrected[[#This Row],[Nitrate (PPM)]]&gt;=0, "1. No evidence (&lt;0.5ppm)"))))</f>
        <v>3. High (1-2ppm)</v>
      </c>
      <c r="S599">
        <v>0.25</v>
      </c>
      <c r="T5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599">
        <v>0.5</v>
      </c>
    </row>
    <row r="600" spans="1:22" x14ac:dyDescent="0.35">
      <c r="A600" t="s">
        <v>968</v>
      </c>
      <c r="B600" s="2">
        <v>45379</v>
      </c>
      <c r="C600" t="str" cm="1">
        <f t="array" ref="C6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0">
        <f>YEAR(AllDataCorrected[[#This Row],[Date]])</f>
        <v>2024</v>
      </c>
      <c r="E600" s="1">
        <v>0.44791666666666669</v>
      </c>
      <c r="F60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0" t="str">
        <f>_xlfn.XLOOKUP(AllDataCorrected[[#This Row],[Location Name]], Locations[Location Name],Locations[Group As])</f>
        <v>Swilgate</v>
      </c>
      <c r="H600" t="e" vm="4">
        <f>_xlfn.XLOOKUP(AllDataCorrected[[#This Row],[Site Name]],LocationsKey[Site Name],LocationsKey[District])</f>
        <v>#VALUE!</v>
      </c>
      <c r="I600" t="e" vm="4">
        <f>_xlfn.XLOOKUP(AllDataCorrected[[#This Row],[Site Name]],LocationsKey[Site Name],LocationsKey[Town])</f>
        <v>#VALUE!</v>
      </c>
      <c r="J600" t="str">
        <f>_xlfn.XLOOKUP(AllDataCorrected[[#This Row],[Site Name]],LocationsKey[Site Name], LocationsKey[Waterway])</f>
        <v>Swilgate</v>
      </c>
      <c r="K600" t="s">
        <v>85</v>
      </c>
      <c r="L600">
        <f>_xlfn.XLOOKUP(AllDataCorrected[[#This Row],[Site Name]],Tables!$B$12:$B$100, Tables!C$12:C$100)</f>
        <v>51.988591500000005</v>
      </c>
      <c r="M600">
        <f>_xlfn.XLOOKUP(AllDataCorrected[[#This Row],[Site Name]],Tables!$B$12:$B$100, Tables!D$12:D$100)</f>
        <v>-2.163898333333333</v>
      </c>
      <c r="N600" t="s">
        <v>25</v>
      </c>
      <c r="O600">
        <v>450</v>
      </c>
      <c r="P600">
        <v>8.8000000000000007</v>
      </c>
      <c r="Q600">
        <v>2</v>
      </c>
      <c r="R600" t="str">
        <f>IF(AllDataCorrected[[#This Row],[Nitrate (PPM)]]&gt;2, "4. Very high (&gt;2ppm)", IF(AllDataCorrected[[#This Row],[Nitrate (PPM)]]&gt;1, "3. High (1-2ppm)", IF(AllDataCorrected[[#This Row],[Nitrate (PPM)]]&gt;0.5, "2. Some evidence (0.5-1ppm)", IF(AllDataCorrected[[#This Row],[Nitrate (PPM)]]&gt;=0, "1. No evidence (&lt;0.5ppm)"))))</f>
        <v>3. High (1-2ppm)</v>
      </c>
      <c r="S600">
        <v>0.43</v>
      </c>
      <c r="T6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0">
        <v>1.5</v>
      </c>
    </row>
    <row r="601" spans="1:22" x14ac:dyDescent="0.35">
      <c r="A601" t="s">
        <v>972</v>
      </c>
      <c r="B601" s="2">
        <v>45381</v>
      </c>
      <c r="C601" t="str" cm="1">
        <f t="array" ref="C6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1">
        <f>YEAR(AllDataCorrected[[#This Row],[Date]])</f>
        <v>2024</v>
      </c>
      <c r="E601" s="1">
        <v>0.45416666666666666</v>
      </c>
      <c r="F6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1" t="str">
        <f>_xlfn.XLOOKUP(AllDataCorrected[[#This Row],[Location Name]], Locations[Location Name],Locations[Group As])</f>
        <v>Avon Smiths Meadow Wyre Piddle</v>
      </c>
      <c r="H601" t="e" vm="6">
        <f>_xlfn.XLOOKUP(AllDataCorrected[[#This Row],[Site Name]],LocationsKey[Site Name],LocationsKey[District])</f>
        <v>#VALUE!</v>
      </c>
      <c r="I601" t="e" vm="13">
        <f>_xlfn.XLOOKUP(AllDataCorrected[[#This Row],[Site Name]],LocationsKey[Site Name],LocationsKey[Town])</f>
        <v>#VALUE!</v>
      </c>
      <c r="J601" t="str">
        <f>_xlfn.XLOOKUP(AllDataCorrected[[#This Row],[Site Name]],LocationsKey[Site Name], LocationsKey[Waterway])</f>
        <v>Avon</v>
      </c>
      <c r="K601" t="s">
        <v>784</v>
      </c>
      <c r="L601">
        <f>_xlfn.XLOOKUP(AllDataCorrected[[#This Row],[Site Name]],Tables!$B$12:$B$100, Tables!C$12:C$100)</f>
        <v>52.123126101694929</v>
      </c>
      <c r="M601">
        <f>_xlfn.XLOOKUP(AllDataCorrected[[#This Row],[Site Name]],Tables!$B$12:$B$100, Tables!D$12:D$100)</f>
        <v>-2.0572511355932215</v>
      </c>
      <c r="N601" t="s">
        <v>25</v>
      </c>
      <c r="O601">
        <v>492</v>
      </c>
      <c r="P601">
        <v>10.5</v>
      </c>
      <c r="Q601">
        <v>5</v>
      </c>
      <c r="R601" t="str">
        <f>IF(AllDataCorrected[[#This Row],[Nitrate (PPM)]]&gt;2, "4. Very high (&gt;2ppm)", IF(AllDataCorrected[[#This Row],[Nitrate (PPM)]]&gt;1, "3. High (1-2ppm)", IF(AllDataCorrected[[#This Row],[Nitrate (PPM)]]&gt;0.5, "2. Some evidence (0.5-1ppm)", IF(AllDataCorrected[[#This Row],[Nitrate (PPM)]]&gt;=0, "1. No evidence (&lt;0.5ppm)"))))</f>
        <v>4. Very high (&gt;2ppm)</v>
      </c>
      <c r="S601">
        <v>0.47</v>
      </c>
      <c r="T6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1">
        <v>1.88</v>
      </c>
      <c r="V601" t="s">
        <v>973</v>
      </c>
    </row>
    <row r="602" spans="1:22" x14ac:dyDescent="0.35">
      <c r="A602" t="s">
        <v>974</v>
      </c>
      <c r="B602" s="2">
        <v>45381</v>
      </c>
      <c r="C602" t="str" cm="1">
        <f t="array" ref="C6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2">
        <f>YEAR(AllDataCorrected[[#This Row],[Date]])</f>
        <v>2024</v>
      </c>
      <c r="E602" s="1">
        <v>0.50347222222222221</v>
      </c>
      <c r="F6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2" t="str">
        <f>_xlfn.XLOOKUP(AllDataCorrected[[#This Row],[Location Name]], Locations[Location Name],Locations[Group As])</f>
        <v>Pershore Bridges</v>
      </c>
      <c r="H602" t="e" vm="6">
        <f>_xlfn.XLOOKUP(AllDataCorrected[[#This Row],[Site Name]],LocationsKey[Site Name],LocationsKey[District])</f>
        <v>#VALUE!</v>
      </c>
      <c r="I602" t="e" vm="7">
        <f>_xlfn.XLOOKUP(AllDataCorrected[[#This Row],[Site Name]],LocationsKey[Site Name],LocationsKey[Town])</f>
        <v>#VALUE!</v>
      </c>
      <c r="J602" t="str">
        <f>_xlfn.XLOOKUP(AllDataCorrected[[#This Row],[Site Name]],LocationsKey[Site Name], LocationsKey[Waterway])</f>
        <v>Avon</v>
      </c>
      <c r="K602" t="s">
        <v>938</v>
      </c>
      <c r="L602">
        <f>_xlfn.XLOOKUP(AllDataCorrected[[#This Row],[Site Name]],Tables!$B$12:$B$100, Tables!C$12:C$100)</f>
        <v>52.104196285714281</v>
      </c>
      <c r="M602">
        <f>_xlfn.XLOOKUP(AllDataCorrected[[#This Row],[Site Name]],Tables!$B$12:$B$100, Tables!D$12:D$100)</f>
        <v>-2.0709292857142851</v>
      </c>
      <c r="O602">
        <v>520</v>
      </c>
      <c r="P602">
        <v>13.4</v>
      </c>
      <c r="Q602">
        <v>10</v>
      </c>
      <c r="R602" t="str">
        <f>IF(AllDataCorrected[[#This Row],[Nitrate (PPM)]]&gt;2, "4. Very high (&gt;2ppm)", IF(AllDataCorrected[[#This Row],[Nitrate (PPM)]]&gt;1, "3. High (1-2ppm)", IF(AllDataCorrected[[#This Row],[Nitrate (PPM)]]&gt;0.5, "2. Some evidence (0.5-1ppm)", IF(AllDataCorrected[[#This Row],[Nitrate (PPM)]]&gt;=0, "1. No evidence (&lt;0.5ppm)"))))</f>
        <v>4. Very high (&gt;2ppm)</v>
      </c>
      <c r="S602">
        <v>0.53</v>
      </c>
      <c r="T6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2">
        <v>3.41</v>
      </c>
    </row>
    <row r="603" spans="1:22" x14ac:dyDescent="0.35">
      <c r="A603" t="s">
        <v>975</v>
      </c>
      <c r="B603" s="2">
        <v>45381</v>
      </c>
      <c r="C603" t="str" cm="1">
        <f t="array" ref="C6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3">
        <f>YEAR(AllDataCorrected[[#This Row],[Date]])</f>
        <v>2024</v>
      </c>
      <c r="E603" s="1">
        <v>0.50486111111111109</v>
      </c>
      <c r="F60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3" t="str">
        <f>_xlfn.XLOOKUP(AllDataCorrected[[#This Row],[Location Name]], Locations[Location Name],Locations[Group As])</f>
        <v>Piddle Brook Wyre Piddle Bridge</v>
      </c>
      <c r="H603" t="e" vm="6">
        <f>_xlfn.XLOOKUP(AllDataCorrected[[#This Row],[Site Name]],LocationsKey[Site Name],LocationsKey[District])</f>
        <v>#VALUE!</v>
      </c>
      <c r="I603" t="e" vm="13">
        <f>_xlfn.XLOOKUP(AllDataCorrected[[#This Row],[Site Name]],LocationsKey[Site Name],LocationsKey[Town])</f>
        <v>#VALUE!</v>
      </c>
      <c r="J603" t="str">
        <f>_xlfn.XLOOKUP(AllDataCorrected[[#This Row],[Site Name]],LocationsKey[Site Name], LocationsKey[Waterway])</f>
        <v>Piddle Brook</v>
      </c>
      <c r="K603" t="s">
        <v>787</v>
      </c>
      <c r="L603">
        <f>_xlfn.XLOOKUP(AllDataCorrected[[#This Row],[Site Name]],Tables!$B$12:$B$100, Tables!C$12:C$100)</f>
        <v>52.126394500000039</v>
      </c>
      <c r="M603">
        <f>_xlfn.XLOOKUP(AllDataCorrected[[#This Row],[Site Name]],Tables!$B$12:$B$100, Tables!D$12:D$100)</f>
        <v>-2.0564211206896545</v>
      </c>
      <c r="N603" t="s">
        <v>25</v>
      </c>
      <c r="O603">
        <v>650</v>
      </c>
      <c r="P603">
        <v>10.8</v>
      </c>
      <c r="Q603">
        <v>4</v>
      </c>
      <c r="R603" t="str">
        <f>IF(AllDataCorrected[[#This Row],[Nitrate (PPM)]]&gt;2, "4. Very high (&gt;2ppm)", IF(AllDataCorrected[[#This Row],[Nitrate (PPM)]]&gt;1, "3. High (1-2ppm)", IF(AllDataCorrected[[#This Row],[Nitrate (PPM)]]&gt;0.5, "2. Some evidence (0.5-1ppm)", IF(AllDataCorrected[[#This Row],[Nitrate (PPM)]]&gt;=0, "1. No evidence (&lt;0.5ppm)"))))</f>
        <v>4. Very high (&gt;2ppm)</v>
      </c>
      <c r="S603">
        <v>0.37</v>
      </c>
      <c r="T6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3">
        <v>0.72</v>
      </c>
      <c r="V603" t="s">
        <v>976</v>
      </c>
    </row>
    <row r="604" spans="1:22" x14ac:dyDescent="0.35">
      <c r="A604" t="s">
        <v>977</v>
      </c>
      <c r="B604" s="2">
        <v>45381</v>
      </c>
      <c r="C604" t="str" cm="1">
        <f t="array" ref="C6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4">
        <f>YEAR(AllDataCorrected[[#This Row],[Date]])</f>
        <v>2024</v>
      </c>
      <c r="E604" s="1">
        <v>0.53611111111111109</v>
      </c>
      <c r="F6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4" t="str">
        <f>_xlfn.XLOOKUP(AllDataCorrected[[#This Row],[Location Name]], Locations[Location Name],Locations[Group As])</f>
        <v>Preston-on-Stour River Bridge</v>
      </c>
      <c r="H604" t="e" vm="1">
        <f>_xlfn.XLOOKUP(AllDataCorrected[[#This Row],[Site Name]],LocationsKey[Site Name],LocationsKey[District])</f>
        <v>#VALUE!</v>
      </c>
      <c r="I604" t="e" vm="20">
        <f>_xlfn.XLOOKUP(AllDataCorrected[[#This Row],[Site Name]],LocationsKey[Site Name],LocationsKey[Town])</f>
        <v>#VALUE!</v>
      </c>
      <c r="J604" t="str">
        <f>_xlfn.XLOOKUP(AllDataCorrected[[#This Row],[Site Name]],LocationsKey[Site Name], LocationsKey[Waterway])</f>
        <v>Stour</v>
      </c>
      <c r="K604" t="s">
        <v>164</v>
      </c>
      <c r="L604">
        <f>_xlfn.XLOOKUP(AllDataCorrected[[#This Row],[Site Name]],Tables!$B$12:$B$100, Tables!C$12:C$100)</f>
        <v>52.146672352941174</v>
      </c>
      <c r="M604">
        <f>_xlfn.XLOOKUP(AllDataCorrected[[#This Row],[Site Name]],Tables!$B$12:$B$100, Tables!D$12:D$100)</f>
        <v>-1.6984533333333334</v>
      </c>
      <c r="N604" t="s">
        <v>31</v>
      </c>
      <c r="O604">
        <v>541</v>
      </c>
      <c r="P604">
        <v>10.8</v>
      </c>
      <c r="Q604">
        <v>6</v>
      </c>
      <c r="R604" t="str">
        <f>IF(AllDataCorrected[[#This Row],[Nitrate (PPM)]]&gt;2, "4. Very high (&gt;2ppm)", IF(AllDataCorrected[[#This Row],[Nitrate (PPM)]]&gt;1, "3. High (1-2ppm)", IF(AllDataCorrected[[#This Row],[Nitrate (PPM)]]&gt;0.5, "2. Some evidence (0.5-1ppm)", IF(AllDataCorrected[[#This Row],[Nitrate (PPM)]]&gt;=0, "1. No evidence (&lt;0.5ppm)"))))</f>
        <v>4. Very high (&gt;2ppm)</v>
      </c>
      <c r="S604">
        <v>0.21</v>
      </c>
      <c r="T6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4">
        <v>2</v>
      </c>
    </row>
    <row r="605" spans="1:22" x14ac:dyDescent="0.35">
      <c r="A605" t="s">
        <v>978</v>
      </c>
      <c r="B605" s="2">
        <v>45381</v>
      </c>
      <c r="C605" t="str" cm="1">
        <f t="array" ref="C6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5">
        <f>YEAR(AllDataCorrected[[#This Row],[Date]])</f>
        <v>2024</v>
      </c>
      <c r="E605" s="1">
        <v>0.65277777777777779</v>
      </c>
      <c r="F6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5" t="str">
        <f>_xlfn.XLOOKUP(AllDataCorrected[[#This Row],[Location Name]], Locations[Location Name],Locations[Group As])</f>
        <v>Stour Ascott Village</v>
      </c>
      <c r="H605" t="e" vm="1">
        <f>_xlfn.XLOOKUP(AllDataCorrected[[#This Row],[Site Name]],LocationsKey[Site Name],LocationsKey[District])</f>
        <v>#VALUE!</v>
      </c>
      <c r="I605" t="e" vm="25">
        <f>_xlfn.XLOOKUP(AllDataCorrected[[#This Row],[Site Name]],LocationsKey[Site Name],LocationsKey[Town])</f>
        <v>#VALUE!</v>
      </c>
      <c r="J605" t="str">
        <f>_xlfn.XLOOKUP(AllDataCorrected[[#This Row],[Site Name]],LocationsKey[Site Name], LocationsKey[Waterway])</f>
        <v>Stour</v>
      </c>
      <c r="K605" t="s">
        <v>927</v>
      </c>
      <c r="L605">
        <f>_xlfn.XLOOKUP(AllDataCorrected[[#This Row],[Site Name]],Tables!$B$12:$B$100, Tables!C$12:C$100)</f>
        <v>52.013255999999998</v>
      </c>
      <c r="M605">
        <f>_xlfn.XLOOKUP(AllDataCorrected[[#This Row],[Site Name]],Tables!$B$12:$B$100, Tables!D$12:D$100)</f>
        <v>-1.5387710000000001</v>
      </c>
      <c r="N605" t="s">
        <v>68</v>
      </c>
      <c r="O605">
        <v>50.06</v>
      </c>
      <c r="P605">
        <v>13.7</v>
      </c>
      <c r="Q605">
        <v>2</v>
      </c>
      <c r="R605" t="str">
        <f>IF(AllDataCorrected[[#This Row],[Nitrate (PPM)]]&gt;2, "4. Very high (&gt;2ppm)", IF(AllDataCorrected[[#This Row],[Nitrate (PPM)]]&gt;1, "3. High (1-2ppm)", IF(AllDataCorrected[[#This Row],[Nitrate (PPM)]]&gt;0.5, "2. Some evidence (0.5-1ppm)", IF(AllDataCorrected[[#This Row],[Nitrate (PPM)]]&gt;=0, "1. No evidence (&lt;0.5ppm)"))))</f>
        <v>3. High (1-2ppm)</v>
      </c>
      <c r="S605">
        <v>0.73</v>
      </c>
      <c r="T6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5">
        <v>17</v>
      </c>
    </row>
    <row r="606" spans="1:22" x14ac:dyDescent="0.35">
      <c r="A606" t="s">
        <v>979</v>
      </c>
      <c r="B606" s="2">
        <v>45381</v>
      </c>
      <c r="C606" t="str" cm="1">
        <f t="array" ref="C6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6">
        <f>YEAR(AllDataCorrected[[#This Row],[Date]])</f>
        <v>2024</v>
      </c>
      <c r="E606" s="1">
        <v>0.67708333333333337</v>
      </c>
      <c r="F6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06" t="str">
        <f>_xlfn.XLOOKUP(AllDataCorrected[[#This Row],[Location Name]], Locations[Location Name],Locations[Group As])</f>
        <v>Stour Whichford</v>
      </c>
      <c r="H606" t="e" vm="1">
        <f>_xlfn.XLOOKUP(AllDataCorrected[[#This Row],[Site Name]],LocationsKey[Site Name],LocationsKey[District])</f>
        <v>#VALUE!</v>
      </c>
      <c r="I606" t="e" vm="24">
        <f>_xlfn.XLOOKUP(AllDataCorrected[[#This Row],[Site Name]],LocationsKey[Site Name],LocationsKey[Town])</f>
        <v>#VALUE!</v>
      </c>
      <c r="J606" t="str">
        <f>_xlfn.XLOOKUP(AllDataCorrected[[#This Row],[Site Name]],LocationsKey[Site Name], LocationsKey[Waterway])</f>
        <v>Stour</v>
      </c>
      <c r="K606" t="s">
        <v>980</v>
      </c>
      <c r="L606">
        <f>_xlfn.XLOOKUP(AllDataCorrected[[#This Row],[Site Name]],Tables!$B$12:$B$100, Tables!C$12:C$100)</f>
        <v>52.017437000000001</v>
      </c>
      <c r="M606">
        <f>_xlfn.XLOOKUP(AllDataCorrected[[#This Row],[Site Name]],Tables!$B$12:$B$100, Tables!D$12:D$100)</f>
        <v>-1.544745</v>
      </c>
      <c r="N606" t="s">
        <v>31</v>
      </c>
      <c r="O606">
        <v>53.7</v>
      </c>
      <c r="P606">
        <v>12.5</v>
      </c>
      <c r="Q606">
        <v>2</v>
      </c>
      <c r="R606" t="str">
        <f>IF(AllDataCorrected[[#This Row],[Nitrate (PPM)]]&gt;2, "4. Very high (&gt;2ppm)", IF(AllDataCorrected[[#This Row],[Nitrate (PPM)]]&gt;1, "3. High (1-2ppm)", IF(AllDataCorrected[[#This Row],[Nitrate (PPM)]]&gt;0.5, "2. Some evidence (0.5-1ppm)", IF(AllDataCorrected[[#This Row],[Nitrate (PPM)]]&gt;=0, "1. No evidence (&lt;0.5ppm)"))))</f>
        <v>3. High (1-2ppm)</v>
      </c>
      <c r="S606">
        <v>0.31</v>
      </c>
      <c r="T6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6">
        <v>29</v>
      </c>
    </row>
    <row r="607" spans="1:22" x14ac:dyDescent="0.35">
      <c r="A607" t="s">
        <v>981</v>
      </c>
      <c r="B607" s="2">
        <v>45382</v>
      </c>
      <c r="C607" t="str" cm="1">
        <f t="array" ref="C6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7">
        <f>YEAR(AllDataCorrected[[#This Row],[Date]])</f>
        <v>2024</v>
      </c>
      <c r="E607" s="1">
        <v>5.2777777777777778E-2</v>
      </c>
      <c r="F60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07" t="str">
        <f>_xlfn.XLOOKUP(AllDataCorrected[[#This Row],[Location Name]], Locations[Location Name],Locations[Group As])</f>
        <v>The Ford, Langley</v>
      </c>
      <c r="H607" t="e" vm="1">
        <f>_xlfn.XLOOKUP(AllDataCorrected[[#This Row],[Site Name]],LocationsKey[Site Name],LocationsKey[District])</f>
        <v>#VALUE!</v>
      </c>
      <c r="I607" t="str">
        <f>_xlfn.XLOOKUP(AllDataCorrected[[#This Row],[Site Name]],LocationsKey[Site Name],LocationsKey[Town])</f>
        <v>Langley</v>
      </c>
      <c r="J607" t="str">
        <f>_xlfn.XLOOKUP(AllDataCorrected[[#This Row],[Site Name]],LocationsKey[Site Name], LocationsKey[Waterway])</f>
        <v>Langley Ford</v>
      </c>
      <c r="K607" t="s">
        <v>561</v>
      </c>
      <c r="L607">
        <f>_xlfn.XLOOKUP(AllDataCorrected[[#This Row],[Site Name]],Tables!$B$12:$B$100, Tables!C$12:C$100)</f>
        <v>52.262666528301864</v>
      </c>
      <c r="M607">
        <f>_xlfn.XLOOKUP(AllDataCorrected[[#This Row],[Site Name]],Tables!$B$12:$B$100, Tables!D$12:D$100)</f>
        <v>-1.6545845283018858</v>
      </c>
      <c r="N607" t="s">
        <v>31</v>
      </c>
      <c r="O607">
        <v>522</v>
      </c>
      <c r="P607">
        <v>8.8000000000000007</v>
      </c>
      <c r="Q607">
        <v>2</v>
      </c>
      <c r="R607" t="str">
        <f>IF(AllDataCorrected[[#This Row],[Nitrate (PPM)]]&gt;2, "4. Very high (&gt;2ppm)", IF(AllDataCorrected[[#This Row],[Nitrate (PPM)]]&gt;1, "3. High (1-2ppm)", IF(AllDataCorrected[[#This Row],[Nitrate (PPM)]]&gt;0.5, "2. Some evidence (0.5-1ppm)", IF(AllDataCorrected[[#This Row],[Nitrate (PPM)]]&gt;=0, "1. No evidence (&lt;0.5ppm)"))))</f>
        <v>3. High (1-2ppm)</v>
      </c>
      <c r="S607">
        <v>0.6</v>
      </c>
      <c r="T6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07">
        <v>0.5</v>
      </c>
      <c r="V607" t="s">
        <v>982</v>
      </c>
    </row>
    <row r="608" spans="1:22" x14ac:dyDescent="0.35">
      <c r="A608" t="s">
        <v>983</v>
      </c>
      <c r="B608" s="2">
        <v>45382</v>
      </c>
      <c r="C608" t="str" cm="1">
        <f t="array" ref="C6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8">
        <f>YEAR(AllDataCorrected[[#This Row],[Date]])</f>
        <v>2024</v>
      </c>
      <c r="E608" s="1">
        <v>0.4375</v>
      </c>
      <c r="F6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8" t="str">
        <f>_xlfn.XLOOKUP(AllDataCorrected[[#This Row],[Location Name]], Locations[Location Name],Locations[Group As])</f>
        <v>Lucy's Mill Bridge</v>
      </c>
      <c r="H608" t="e" vm="1">
        <f>_xlfn.XLOOKUP(AllDataCorrected[[#This Row],[Site Name]],LocationsKey[Site Name],LocationsKey[District])</f>
        <v>#VALUE!</v>
      </c>
      <c r="I608" t="e" vm="12">
        <f>_xlfn.XLOOKUP(AllDataCorrected[[#This Row],[Site Name]],LocationsKey[Site Name],LocationsKey[Town])</f>
        <v>#VALUE!</v>
      </c>
      <c r="J608" t="str">
        <f>_xlfn.XLOOKUP(AllDataCorrected[[#This Row],[Site Name]],LocationsKey[Site Name], LocationsKey[Waterway])</f>
        <v>Avon</v>
      </c>
      <c r="K608" t="s">
        <v>212</v>
      </c>
      <c r="L608">
        <f>_xlfn.XLOOKUP(AllDataCorrected[[#This Row],[Site Name]],Tables!$B$12:$B$100, Tables!C$12:C$100)</f>
        <v>52.183699000000011</v>
      </c>
      <c r="M608">
        <f>_xlfn.XLOOKUP(AllDataCorrected[[#This Row],[Site Name]],Tables!$B$12:$B$100, Tables!D$12:D$100)</f>
        <v>-1.7078160000000004</v>
      </c>
      <c r="N608" t="s">
        <v>31</v>
      </c>
      <c r="P608">
        <v>11</v>
      </c>
      <c r="Q608">
        <v>0</v>
      </c>
      <c r="R60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08">
        <v>0.28000000000000003</v>
      </c>
      <c r="T6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8">
        <v>0.7</v>
      </c>
    </row>
    <row r="609" spans="1:22" x14ac:dyDescent="0.35">
      <c r="A609" t="s">
        <v>984</v>
      </c>
      <c r="B609" s="2">
        <v>45382</v>
      </c>
      <c r="C609" t="str" cm="1">
        <f t="array" ref="C6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09">
        <f>YEAR(AllDataCorrected[[#This Row],[Date]])</f>
        <v>2024</v>
      </c>
      <c r="E609" s="1">
        <v>0.44444444444444442</v>
      </c>
      <c r="F6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09" t="str">
        <f>_xlfn.XLOOKUP(AllDataCorrected[[#This Row],[Location Name]], Locations[Location Name],Locations[Group As])</f>
        <v>Pitch 16</v>
      </c>
      <c r="H609" t="e" vm="1">
        <f>_xlfn.XLOOKUP(AllDataCorrected[[#This Row],[Site Name]],LocationsKey[Site Name],LocationsKey[District])</f>
        <v>#VALUE!</v>
      </c>
      <c r="I609" t="e" vm="12">
        <f>_xlfn.XLOOKUP(AllDataCorrected[[#This Row],[Site Name]],LocationsKey[Site Name],LocationsKey[Town])</f>
        <v>#VALUE!</v>
      </c>
      <c r="J609" t="str">
        <f>_xlfn.XLOOKUP(AllDataCorrected[[#This Row],[Site Name]],LocationsKey[Site Name], LocationsKey[Waterway])</f>
        <v>Avon</v>
      </c>
      <c r="K609" t="s">
        <v>71</v>
      </c>
      <c r="L609">
        <f>_xlfn.XLOOKUP(AllDataCorrected[[#This Row],[Site Name]],Tables!$B$12:$B$100, Tables!C$12:C$100)</f>
        <v>51.289310076923087</v>
      </c>
      <c r="M609">
        <f>_xlfn.XLOOKUP(AllDataCorrected[[#This Row],[Site Name]],Tables!$B$12:$B$100, Tables!D$12:D$100)</f>
        <v>-0.10399761538461544</v>
      </c>
      <c r="N609" t="s">
        <v>31</v>
      </c>
      <c r="O609">
        <v>586</v>
      </c>
      <c r="P609">
        <v>11.1</v>
      </c>
      <c r="Q609">
        <v>3</v>
      </c>
      <c r="R609" t="str">
        <f>IF(AllDataCorrected[[#This Row],[Nitrate (PPM)]]&gt;2, "4. Very high (&gt;2ppm)", IF(AllDataCorrected[[#This Row],[Nitrate (PPM)]]&gt;1, "3. High (1-2ppm)", IF(AllDataCorrected[[#This Row],[Nitrate (PPM)]]&gt;0.5, "2. Some evidence (0.5-1ppm)", IF(AllDataCorrected[[#This Row],[Nitrate (PPM)]]&gt;=0, "1. No evidence (&lt;0.5ppm)"))))</f>
        <v>4. Very high (&gt;2ppm)</v>
      </c>
      <c r="S609">
        <v>0.46</v>
      </c>
      <c r="T6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09">
        <v>0.84</v>
      </c>
      <c r="V609" t="s">
        <v>985</v>
      </c>
    </row>
    <row r="610" spans="1:22" x14ac:dyDescent="0.35">
      <c r="A610" t="s">
        <v>986</v>
      </c>
      <c r="B610" s="2">
        <v>45382</v>
      </c>
      <c r="C610" t="str" cm="1">
        <f t="array" ref="C6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0">
        <f>YEAR(AllDataCorrected[[#This Row],[Date]])</f>
        <v>2024</v>
      </c>
      <c r="E610" s="1">
        <v>0.45833333333333331</v>
      </c>
      <c r="F6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10" t="str">
        <f>_xlfn.XLOOKUP(AllDataCorrected[[#This Row],[Location Name]], Locations[Location Name],Locations[Group As])</f>
        <v>Avonbank Drive</v>
      </c>
      <c r="H610" t="e" vm="1">
        <f>_xlfn.XLOOKUP(AllDataCorrected[[#This Row],[Site Name]],LocationsKey[Site Name],LocationsKey[District])</f>
        <v>#VALUE!</v>
      </c>
      <c r="I610" t="e" vm="12">
        <f>_xlfn.XLOOKUP(AllDataCorrected[[#This Row],[Site Name]],LocationsKey[Site Name],LocationsKey[Town])</f>
        <v>#VALUE!</v>
      </c>
      <c r="J610" t="str">
        <f>_xlfn.XLOOKUP(AllDataCorrected[[#This Row],[Site Name]],LocationsKey[Site Name], LocationsKey[Waterway])</f>
        <v>Avon</v>
      </c>
      <c r="K610" t="s">
        <v>67</v>
      </c>
      <c r="L610">
        <f>_xlfn.XLOOKUP(AllDataCorrected[[#This Row],[Site Name]],Tables!$B$12:$B$100, Tables!C$12:C$100)</f>
        <v>51.566927775862098</v>
      </c>
      <c r="M610">
        <f>_xlfn.XLOOKUP(AllDataCorrected[[#This Row],[Site Name]],Tables!$B$12:$B$100, Tables!D$12:D$100)</f>
        <v>-7.2113336724137929</v>
      </c>
      <c r="N610" t="s">
        <v>68</v>
      </c>
      <c r="O610">
        <v>594</v>
      </c>
      <c r="P610">
        <v>10.1</v>
      </c>
      <c r="Q610">
        <v>3</v>
      </c>
      <c r="R610" t="str">
        <f>IF(AllDataCorrected[[#This Row],[Nitrate (PPM)]]&gt;2, "4. Very high (&gt;2ppm)", IF(AllDataCorrected[[#This Row],[Nitrate (PPM)]]&gt;1, "3. High (1-2ppm)", IF(AllDataCorrected[[#This Row],[Nitrate (PPM)]]&gt;0.5, "2. Some evidence (0.5-1ppm)", IF(AllDataCorrected[[#This Row],[Nitrate (PPM)]]&gt;=0, "1. No evidence (&lt;0.5ppm)"))))</f>
        <v>4. Very high (&gt;2ppm)</v>
      </c>
      <c r="S610">
        <v>0.31</v>
      </c>
      <c r="T6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0">
        <v>0.84</v>
      </c>
    </row>
    <row r="611" spans="1:22" x14ac:dyDescent="0.35">
      <c r="A611" t="s">
        <v>987</v>
      </c>
      <c r="B611" s="2">
        <v>45382</v>
      </c>
      <c r="C611" t="str" cm="1">
        <f t="array" ref="C6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1">
        <f>YEAR(AllDataCorrected[[#This Row],[Date]])</f>
        <v>2024</v>
      </c>
      <c r="E611" s="1">
        <v>0.52083333333333337</v>
      </c>
      <c r="F6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1" t="str">
        <f>_xlfn.XLOOKUP(AllDataCorrected[[#This Row],[Location Name]], Locations[Location Name],Locations[Group As])</f>
        <v>Carrant Bredon Rd</v>
      </c>
      <c r="H611" t="e" vm="4">
        <f>_xlfn.XLOOKUP(AllDataCorrected[[#This Row],[Site Name]],LocationsKey[Site Name],LocationsKey[District])</f>
        <v>#VALUE!</v>
      </c>
      <c r="I611" t="e" vm="4">
        <f>_xlfn.XLOOKUP(AllDataCorrected[[#This Row],[Site Name]],LocationsKey[Site Name],LocationsKey[Town])</f>
        <v>#VALUE!</v>
      </c>
      <c r="J611" t="str">
        <f>_xlfn.XLOOKUP(AllDataCorrected[[#This Row],[Site Name]],LocationsKey[Site Name], LocationsKey[Waterway])</f>
        <v>Carrant</v>
      </c>
      <c r="K611" t="s">
        <v>603</v>
      </c>
      <c r="L611">
        <f>_xlfn.XLOOKUP(AllDataCorrected[[#This Row],[Site Name]],Tables!$B$12:$B$100, Tables!C$12:C$100)</f>
        <v>51.996322536231894</v>
      </c>
      <c r="M611">
        <f>_xlfn.XLOOKUP(AllDataCorrected[[#This Row],[Site Name]],Tables!$B$12:$B$100, Tables!D$12:D$100)</f>
        <v>-2.1558410144927538</v>
      </c>
      <c r="N611" t="s">
        <v>25</v>
      </c>
      <c r="O611">
        <v>539</v>
      </c>
      <c r="P611">
        <v>10.6</v>
      </c>
      <c r="Q611">
        <v>4</v>
      </c>
      <c r="R611" t="str">
        <f>IF(AllDataCorrected[[#This Row],[Nitrate (PPM)]]&gt;2, "4. Very high (&gt;2ppm)", IF(AllDataCorrected[[#This Row],[Nitrate (PPM)]]&gt;1, "3. High (1-2ppm)", IF(AllDataCorrected[[#This Row],[Nitrate (PPM)]]&gt;0.5, "2. Some evidence (0.5-1ppm)", IF(AllDataCorrected[[#This Row],[Nitrate (PPM)]]&gt;=0, "1. No evidence (&lt;0.5ppm)"))))</f>
        <v>4. Very high (&gt;2ppm)</v>
      </c>
      <c r="S611">
        <v>0.45</v>
      </c>
      <c r="T6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1">
        <v>1.7</v>
      </c>
      <c r="V611" t="s">
        <v>988</v>
      </c>
    </row>
    <row r="612" spans="1:22" x14ac:dyDescent="0.35">
      <c r="A612" t="s">
        <v>989</v>
      </c>
      <c r="B612" s="2">
        <v>45382</v>
      </c>
      <c r="C612" t="str" cm="1">
        <f t="array" ref="C6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2">
        <f>YEAR(AllDataCorrected[[#This Row],[Date]])</f>
        <v>2024</v>
      </c>
      <c r="E612" s="1">
        <v>0.53125</v>
      </c>
      <c r="F6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2" t="str">
        <f>_xlfn.XLOOKUP(AllDataCorrected[[#This Row],[Location Name]], Locations[Location Name],Locations[Group As])</f>
        <v>Black Bear</v>
      </c>
      <c r="H612" t="e" vm="4">
        <f>_xlfn.XLOOKUP(AllDataCorrected[[#This Row],[Site Name]],LocationsKey[Site Name],LocationsKey[District])</f>
        <v>#VALUE!</v>
      </c>
      <c r="I612" t="e" vm="4">
        <f>_xlfn.XLOOKUP(AllDataCorrected[[#This Row],[Site Name]],LocationsKey[Site Name],LocationsKey[Town])</f>
        <v>#VALUE!</v>
      </c>
      <c r="J612" t="str">
        <f>_xlfn.XLOOKUP(AllDataCorrected[[#This Row],[Site Name]],LocationsKey[Site Name], LocationsKey[Waterway])</f>
        <v>Avon</v>
      </c>
      <c r="K612" t="s">
        <v>572</v>
      </c>
      <c r="L612">
        <f>_xlfn.XLOOKUP(AllDataCorrected[[#This Row],[Site Name]],Tables!$B$12:$B$100, Tables!C$12:C$100)</f>
        <v>51.997466254237274</v>
      </c>
      <c r="M612">
        <f>_xlfn.XLOOKUP(AllDataCorrected[[#This Row],[Site Name]],Tables!$B$12:$B$100, Tables!D$12:D$100)</f>
        <v>-2.1561788644067801</v>
      </c>
      <c r="N612" t="s">
        <v>25</v>
      </c>
      <c r="O612">
        <v>571</v>
      </c>
      <c r="P612">
        <v>10.4</v>
      </c>
      <c r="Q612">
        <v>4</v>
      </c>
      <c r="R612" t="str">
        <f>IF(AllDataCorrected[[#This Row],[Nitrate (PPM)]]&gt;2, "4. Very high (&gt;2ppm)", IF(AllDataCorrected[[#This Row],[Nitrate (PPM)]]&gt;1, "3. High (1-2ppm)", IF(AllDataCorrected[[#This Row],[Nitrate (PPM)]]&gt;0.5, "2. Some evidence (0.5-1ppm)", IF(AllDataCorrected[[#This Row],[Nitrate (PPM)]]&gt;=0, "1. No evidence (&lt;0.5ppm)"))))</f>
        <v>4. Very high (&gt;2ppm)</v>
      </c>
      <c r="S612">
        <v>0.36</v>
      </c>
      <c r="T6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2">
        <v>0</v>
      </c>
      <c r="V612" t="s">
        <v>990</v>
      </c>
    </row>
    <row r="613" spans="1:22" x14ac:dyDescent="0.35">
      <c r="A613" t="s">
        <v>991</v>
      </c>
      <c r="B613" s="2">
        <v>45382</v>
      </c>
      <c r="C613" t="str" cm="1">
        <f t="array" ref="C6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3">
        <f>YEAR(AllDataCorrected[[#This Row],[Date]])</f>
        <v>2024</v>
      </c>
      <c r="E613" s="1">
        <v>0.5625</v>
      </c>
      <c r="F6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13" t="str">
        <f>_xlfn.XLOOKUP(AllDataCorrected[[#This Row],[Location Name]], Locations[Location Name],Locations[Group As])</f>
        <v>Clifford Chambers Mill Bridge</v>
      </c>
      <c r="H613" t="e" vm="1">
        <f>_xlfn.XLOOKUP(AllDataCorrected[[#This Row],[Site Name]],LocationsKey[Site Name],LocationsKey[District])</f>
        <v>#VALUE!</v>
      </c>
      <c r="I613" t="e" vm="22">
        <f>_xlfn.XLOOKUP(AllDataCorrected[[#This Row],[Site Name]],LocationsKey[Site Name],LocationsKey[Town])</f>
        <v>#VALUE!</v>
      </c>
      <c r="J613" t="str">
        <f>_xlfn.XLOOKUP(AllDataCorrected[[#This Row],[Site Name]],LocationsKey[Site Name], LocationsKey[Waterway])</f>
        <v>Stour</v>
      </c>
      <c r="K613" t="s">
        <v>266</v>
      </c>
      <c r="L613">
        <f>_xlfn.XLOOKUP(AllDataCorrected[[#This Row],[Site Name]],Tables!$B$12:$B$100, Tables!C$12:C$100)</f>
        <v>52.166363596153808</v>
      </c>
      <c r="M613">
        <f>_xlfn.XLOOKUP(AllDataCorrected[[#This Row],[Site Name]],Tables!$B$12:$B$100, Tables!D$12:D$100)</f>
        <v>-1.7080375384615398</v>
      </c>
      <c r="N613" t="s">
        <v>68</v>
      </c>
      <c r="O613">
        <v>610</v>
      </c>
      <c r="P613">
        <v>10.1</v>
      </c>
      <c r="Q613">
        <v>10</v>
      </c>
      <c r="R613" t="str">
        <f>IF(AllDataCorrected[[#This Row],[Nitrate (PPM)]]&gt;2, "4. Very high (&gt;2ppm)", IF(AllDataCorrected[[#This Row],[Nitrate (PPM)]]&gt;1, "3. High (1-2ppm)", IF(AllDataCorrected[[#This Row],[Nitrate (PPM)]]&gt;0.5, "2. Some evidence (0.5-1ppm)", IF(AllDataCorrected[[#This Row],[Nitrate (PPM)]]&gt;=0, "1. No evidence (&lt;0.5ppm)"))))</f>
        <v>4. Very high (&gt;2ppm)</v>
      </c>
      <c r="S613">
        <v>0.28000000000000003</v>
      </c>
      <c r="T6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3">
        <v>1.25</v>
      </c>
    </row>
    <row r="614" spans="1:22" x14ac:dyDescent="0.35">
      <c r="A614" t="s">
        <v>992</v>
      </c>
      <c r="B614" s="2">
        <v>45383</v>
      </c>
      <c r="C614" t="str" cm="1">
        <f t="array" ref="C6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4">
        <f>YEAR(AllDataCorrected[[#This Row],[Date]])</f>
        <v>2024</v>
      </c>
      <c r="F61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4" t="str">
        <f>_xlfn.XLOOKUP(AllDataCorrected[[#This Row],[Location Name]], Locations[Location Name],Locations[Group As])</f>
        <v>Site 1  :  Middle Street</v>
      </c>
      <c r="H614" t="e" vm="1">
        <f>_xlfn.XLOOKUP(AllDataCorrected[[#This Row],[Site Name]],LocationsKey[Site Name],LocationsKey[District])</f>
        <v>#VALUE!</v>
      </c>
      <c r="I614" t="e" vm="14">
        <f>_xlfn.XLOOKUP(AllDataCorrected[[#This Row],[Site Name]],LocationsKey[Site Name],LocationsKey[Town])</f>
        <v>#VALUE!</v>
      </c>
      <c r="J614" t="str">
        <f>_xlfn.XLOOKUP(AllDataCorrected[[#This Row],[Site Name]],LocationsKey[Site Name], LocationsKey[Waterway])</f>
        <v>Fosseway Brook</v>
      </c>
      <c r="K614" t="s">
        <v>667</v>
      </c>
      <c r="L614">
        <f>_xlfn.XLOOKUP(AllDataCorrected[[#This Row],[Site Name]],Tables!$B$12:$B$100, Tables!C$12:C$100)</f>
        <v>52.090081855670022</v>
      </c>
      <c r="M614">
        <f>_xlfn.XLOOKUP(AllDataCorrected[[#This Row],[Site Name]],Tables!$B$12:$B$100, Tables!D$12:D$100)</f>
        <v>-1.6925771134020597</v>
      </c>
      <c r="N614" t="s">
        <v>68</v>
      </c>
      <c r="O614">
        <v>525</v>
      </c>
      <c r="P614">
        <v>14.2</v>
      </c>
      <c r="Q614">
        <v>3.5</v>
      </c>
      <c r="R614" t="str">
        <f>IF(AllDataCorrected[[#This Row],[Nitrate (PPM)]]&gt;2, "4. Very high (&gt;2ppm)", IF(AllDataCorrected[[#This Row],[Nitrate (PPM)]]&gt;1, "3. High (1-2ppm)", IF(AllDataCorrected[[#This Row],[Nitrate (PPM)]]&gt;0.5, "2. Some evidence (0.5-1ppm)", IF(AllDataCorrected[[#This Row],[Nitrate (PPM)]]&gt;=0, "1. No evidence (&lt;0.5ppm)"))))</f>
        <v>4. Very high (&gt;2ppm)</v>
      </c>
      <c r="S614">
        <v>0.24</v>
      </c>
      <c r="T6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4">
        <v>0</v>
      </c>
      <c r="V614" t="s">
        <v>835</v>
      </c>
    </row>
    <row r="615" spans="1:22" x14ac:dyDescent="0.35">
      <c r="A615" t="s">
        <v>993</v>
      </c>
      <c r="B615" s="2">
        <v>45383</v>
      </c>
      <c r="C615" t="str" cm="1">
        <f t="array" ref="C6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5">
        <f>YEAR(AllDataCorrected[[#This Row],[Date]])</f>
        <v>2024</v>
      </c>
      <c r="F61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5" t="str">
        <f>_xlfn.XLOOKUP(AllDataCorrected[[#This Row],[Location Name]], Locations[Location Name],Locations[Group As])</f>
        <v>Site 1  :  Middle Street</v>
      </c>
      <c r="H615" t="e" vm="1">
        <f>_xlfn.XLOOKUP(AllDataCorrected[[#This Row],[Site Name]],LocationsKey[Site Name],LocationsKey[District])</f>
        <v>#VALUE!</v>
      </c>
      <c r="I615" t="e" vm="14">
        <f>_xlfn.XLOOKUP(AllDataCorrected[[#This Row],[Site Name]],LocationsKey[Site Name],LocationsKey[Town])</f>
        <v>#VALUE!</v>
      </c>
      <c r="J615" t="str">
        <f>_xlfn.XLOOKUP(AllDataCorrected[[#This Row],[Site Name]],LocationsKey[Site Name], LocationsKey[Waterway])</f>
        <v>Fosseway Brook</v>
      </c>
      <c r="K615" t="s">
        <v>670</v>
      </c>
      <c r="L615">
        <f>_xlfn.XLOOKUP(AllDataCorrected[[#This Row],[Site Name]],Tables!$B$12:$B$100, Tables!C$12:C$100)</f>
        <v>52.090081855670022</v>
      </c>
      <c r="M615">
        <f>_xlfn.XLOOKUP(AllDataCorrected[[#This Row],[Site Name]],Tables!$B$12:$B$100, Tables!D$12:D$100)</f>
        <v>-1.6925771134020597</v>
      </c>
      <c r="N615" t="s">
        <v>68</v>
      </c>
      <c r="O615">
        <v>525</v>
      </c>
      <c r="P615">
        <v>14.2</v>
      </c>
      <c r="Q615">
        <v>3.5</v>
      </c>
      <c r="R615" t="str">
        <f>IF(AllDataCorrected[[#This Row],[Nitrate (PPM)]]&gt;2, "4. Very high (&gt;2ppm)", IF(AllDataCorrected[[#This Row],[Nitrate (PPM)]]&gt;1, "3. High (1-2ppm)", IF(AllDataCorrected[[#This Row],[Nitrate (PPM)]]&gt;0.5, "2. Some evidence (0.5-1ppm)", IF(AllDataCorrected[[#This Row],[Nitrate (PPM)]]&gt;=0, "1. No evidence (&lt;0.5ppm)"))))</f>
        <v>4. Very high (&gt;2ppm)</v>
      </c>
      <c r="S615">
        <v>0.24</v>
      </c>
      <c r="T6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616" spans="1:22" x14ac:dyDescent="0.35">
      <c r="A616" t="s">
        <v>994</v>
      </c>
      <c r="B616" s="2">
        <v>45383</v>
      </c>
      <c r="C616" t="str" cm="1">
        <f t="array" ref="C6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6">
        <f>YEAR(AllDataCorrected[[#This Row],[Date]])</f>
        <v>2024</v>
      </c>
      <c r="F61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6" t="str">
        <f>_xlfn.XLOOKUP(AllDataCorrected[[#This Row],[Location Name]], Locations[Location Name],Locations[Group As])</f>
        <v>Site 2  :  Cross Leys culvert</v>
      </c>
      <c r="H616" t="e" vm="1">
        <f>_xlfn.XLOOKUP(AllDataCorrected[[#This Row],[Site Name]],LocationsKey[Site Name],LocationsKey[District])</f>
        <v>#VALUE!</v>
      </c>
      <c r="I616" t="e" vm="14">
        <f>_xlfn.XLOOKUP(AllDataCorrected[[#This Row],[Site Name]],LocationsKey[Site Name],LocationsKey[Town])</f>
        <v>#VALUE!</v>
      </c>
      <c r="J616" t="str">
        <f>_xlfn.XLOOKUP(AllDataCorrected[[#This Row],[Site Name]],LocationsKey[Site Name], LocationsKey[Waterway])</f>
        <v>Fosseway Brook</v>
      </c>
      <c r="K616" t="s">
        <v>623</v>
      </c>
      <c r="L616">
        <f>_xlfn.XLOOKUP(AllDataCorrected[[#This Row],[Site Name]],Tables!$B$12:$B$100, Tables!C$12:C$100)</f>
        <v>52.092997354838673</v>
      </c>
      <c r="M616">
        <f>_xlfn.XLOOKUP(AllDataCorrected[[#This Row],[Site Name]],Tables!$B$12:$B$100, Tables!D$12:D$100)</f>
        <v>-1.6862254516129045</v>
      </c>
      <c r="N616" t="s">
        <v>68</v>
      </c>
      <c r="O616">
        <v>580</v>
      </c>
      <c r="P616">
        <v>13.3</v>
      </c>
      <c r="Q616">
        <v>2</v>
      </c>
      <c r="R616" t="str">
        <f>IF(AllDataCorrected[[#This Row],[Nitrate (PPM)]]&gt;2, "4. Very high (&gt;2ppm)", IF(AllDataCorrected[[#This Row],[Nitrate (PPM)]]&gt;1, "3. High (1-2ppm)", IF(AllDataCorrected[[#This Row],[Nitrate (PPM)]]&gt;0.5, "2. Some evidence (0.5-1ppm)", IF(AllDataCorrected[[#This Row],[Nitrate (PPM)]]&gt;=0, "1. No evidence (&lt;0.5ppm)"))))</f>
        <v>3. High (1-2ppm)</v>
      </c>
      <c r="S616">
        <v>0.25</v>
      </c>
      <c r="T6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16">
        <v>0</v>
      </c>
      <c r="V616" t="s">
        <v>995</v>
      </c>
    </row>
    <row r="617" spans="1:22" x14ac:dyDescent="0.35">
      <c r="A617" t="s">
        <v>996</v>
      </c>
      <c r="B617" s="2">
        <v>45383</v>
      </c>
      <c r="C617" t="str" cm="1">
        <f t="array" ref="C6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7">
        <f>YEAR(AllDataCorrected[[#This Row],[Date]])</f>
        <v>2024</v>
      </c>
      <c r="F61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7" t="str">
        <f>_xlfn.XLOOKUP(AllDataCorrected[[#This Row],[Location Name]], Locations[Location Name],Locations[Group As])</f>
        <v>Site 2  :  Cross Leys culvert</v>
      </c>
      <c r="H617" t="e" vm="1">
        <f>_xlfn.XLOOKUP(AllDataCorrected[[#This Row],[Site Name]],LocationsKey[Site Name],LocationsKey[District])</f>
        <v>#VALUE!</v>
      </c>
      <c r="I617" t="e" vm="14">
        <f>_xlfn.XLOOKUP(AllDataCorrected[[#This Row],[Site Name]],LocationsKey[Site Name],LocationsKey[Town])</f>
        <v>#VALUE!</v>
      </c>
      <c r="J617" t="str">
        <f>_xlfn.XLOOKUP(AllDataCorrected[[#This Row],[Site Name]],LocationsKey[Site Name], LocationsKey[Waterway])</f>
        <v>Fosseway Brook</v>
      </c>
      <c r="K617" t="s">
        <v>626</v>
      </c>
      <c r="L617">
        <f>_xlfn.XLOOKUP(AllDataCorrected[[#This Row],[Site Name]],Tables!$B$12:$B$100, Tables!C$12:C$100)</f>
        <v>52.092997354838673</v>
      </c>
      <c r="M617">
        <f>_xlfn.XLOOKUP(AllDataCorrected[[#This Row],[Site Name]],Tables!$B$12:$B$100, Tables!D$12:D$100)</f>
        <v>-1.6862254516129045</v>
      </c>
      <c r="N617" t="s">
        <v>68</v>
      </c>
      <c r="O617">
        <v>580</v>
      </c>
      <c r="P617">
        <v>13.3</v>
      </c>
      <c r="Q617">
        <v>2</v>
      </c>
      <c r="R617" t="str">
        <f>IF(AllDataCorrected[[#This Row],[Nitrate (PPM)]]&gt;2, "4. Very high (&gt;2ppm)", IF(AllDataCorrected[[#This Row],[Nitrate (PPM)]]&gt;1, "3. High (1-2ppm)", IF(AllDataCorrected[[#This Row],[Nitrate (PPM)]]&gt;0.5, "2. Some evidence (0.5-1ppm)", IF(AllDataCorrected[[#This Row],[Nitrate (PPM)]]&gt;=0, "1. No evidence (&lt;0.5ppm)"))))</f>
        <v>3. High (1-2ppm)</v>
      </c>
      <c r="S617">
        <v>0.25</v>
      </c>
      <c r="T6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17" t="s">
        <v>997</v>
      </c>
    </row>
    <row r="618" spans="1:22" x14ac:dyDescent="0.35">
      <c r="A618" t="s">
        <v>998</v>
      </c>
      <c r="B618" s="2">
        <v>45383</v>
      </c>
      <c r="C618" t="str" cm="1">
        <f t="array" ref="C6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8">
        <f>YEAR(AllDataCorrected[[#This Row],[Date]])</f>
        <v>2024</v>
      </c>
      <c r="F6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8" t="str">
        <f>_xlfn.XLOOKUP(AllDataCorrected[[#This Row],[Location Name]], Locations[Location Name],Locations[Group As])</f>
        <v>Site 3  :  Severn Trent Water processing plant outflow</v>
      </c>
      <c r="H618" t="e" vm="1">
        <f>_xlfn.XLOOKUP(AllDataCorrected[[#This Row],[Site Name]],LocationsKey[Site Name],LocationsKey[District])</f>
        <v>#VALUE!</v>
      </c>
      <c r="I618" t="e" vm="14">
        <f>_xlfn.XLOOKUP(AllDataCorrected[[#This Row],[Site Name]],LocationsKey[Site Name],LocationsKey[Town])</f>
        <v>#VALUE!</v>
      </c>
      <c r="J618" t="str">
        <f>_xlfn.XLOOKUP(AllDataCorrected[[#This Row],[Site Name]],LocationsKey[Site Name], LocationsKey[Waterway])</f>
        <v>Fosseway Brook</v>
      </c>
      <c r="K618" t="s">
        <v>673</v>
      </c>
      <c r="L618">
        <f>_xlfn.XLOOKUP(AllDataCorrected[[#This Row],[Site Name]],Tables!$B$12:$B$100, Tables!C$12:C$100)</f>
        <v>52.130499999999998</v>
      </c>
      <c r="M618">
        <f>_xlfn.XLOOKUP(AllDataCorrected[[#This Row],[Site Name]],Tables!$B$12:$B$100, Tables!D$12:D$100)</f>
        <v>-2.0787</v>
      </c>
      <c r="N618" t="s">
        <v>31</v>
      </c>
      <c r="O618">
        <v>718</v>
      </c>
      <c r="P618">
        <v>13.9</v>
      </c>
      <c r="Q618">
        <v>7.5</v>
      </c>
      <c r="R618" t="str">
        <f>IF(AllDataCorrected[[#This Row],[Nitrate (PPM)]]&gt;2, "4. Very high (&gt;2ppm)", IF(AllDataCorrected[[#This Row],[Nitrate (PPM)]]&gt;1, "3. High (1-2ppm)", IF(AllDataCorrected[[#This Row],[Nitrate (PPM)]]&gt;0.5, "2. Some evidence (0.5-1ppm)", IF(AllDataCorrected[[#This Row],[Nitrate (PPM)]]&gt;=0, "1. No evidence (&lt;0.5ppm)"))))</f>
        <v>4. Very high (&gt;2ppm)</v>
      </c>
      <c r="S618">
        <v>0.87</v>
      </c>
      <c r="T6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18">
        <v>0</v>
      </c>
      <c r="V618" t="s">
        <v>840</v>
      </c>
    </row>
    <row r="619" spans="1:22" x14ac:dyDescent="0.35">
      <c r="A619" t="s">
        <v>999</v>
      </c>
      <c r="B619" s="2">
        <v>45383</v>
      </c>
      <c r="C619" t="str" cm="1">
        <f t="array" ref="C6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19">
        <f>YEAR(AllDataCorrected[[#This Row],[Date]])</f>
        <v>2024</v>
      </c>
      <c r="F6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19" t="str">
        <f>_xlfn.XLOOKUP(AllDataCorrected[[#This Row],[Location Name]], Locations[Location Name],Locations[Group As])</f>
        <v>Site 3  :  Severn Trent Water processing plant outflow</v>
      </c>
      <c r="H619" t="e" vm="1">
        <f>_xlfn.XLOOKUP(AllDataCorrected[[#This Row],[Site Name]],LocationsKey[Site Name],LocationsKey[District])</f>
        <v>#VALUE!</v>
      </c>
      <c r="I619" t="e" vm="14">
        <f>_xlfn.XLOOKUP(AllDataCorrected[[#This Row],[Site Name]],LocationsKey[Site Name],LocationsKey[Town])</f>
        <v>#VALUE!</v>
      </c>
      <c r="J619" t="str">
        <f>_xlfn.XLOOKUP(AllDataCorrected[[#This Row],[Site Name]],LocationsKey[Site Name], LocationsKey[Waterway])</f>
        <v>Fosseway Brook</v>
      </c>
      <c r="K619" t="s">
        <v>676</v>
      </c>
      <c r="L619">
        <f>_xlfn.XLOOKUP(AllDataCorrected[[#This Row],[Site Name]],Tables!$B$12:$B$100, Tables!C$12:C$100)</f>
        <v>52.130499999999998</v>
      </c>
      <c r="M619">
        <f>_xlfn.XLOOKUP(AllDataCorrected[[#This Row],[Site Name]],Tables!$B$12:$B$100, Tables!D$12:D$100)</f>
        <v>-2.0787</v>
      </c>
      <c r="N619" t="s">
        <v>31</v>
      </c>
      <c r="O619">
        <v>718</v>
      </c>
      <c r="P619">
        <v>13.9</v>
      </c>
      <c r="Q619">
        <v>7.5</v>
      </c>
      <c r="R619" t="str">
        <f>IF(AllDataCorrected[[#This Row],[Nitrate (PPM)]]&gt;2, "4. Very high (&gt;2ppm)", IF(AllDataCorrected[[#This Row],[Nitrate (PPM)]]&gt;1, "3. High (1-2ppm)", IF(AllDataCorrected[[#This Row],[Nitrate (PPM)]]&gt;0.5, "2. Some evidence (0.5-1ppm)", IF(AllDataCorrected[[#This Row],[Nitrate (PPM)]]&gt;=0, "1. No evidence (&lt;0.5ppm)"))))</f>
        <v>4. Very high (&gt;2ppm)</v>
      </c>
      <c r="S619">
        <v>0.87</v>
      </c>
      <c r="T6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620" spans="1:22" x14ac:dyDescent="0.35">
      <c r="A620" t="s">
        <v>1001</v>
      </c>
      <c r="B620" s="2">
        <v>45384</v>
      </c>
      <c r="C620" t="str" cm="1">
        <f t="array" ref="C6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0">
        <f>YEAR(AllDataCorrected[[#This Row],[Date]])</f>
        <v>2024</v>
      </c>
      <c r="E620" s="1">
        <v>0.40277777777777779</v>
      </c>
      <c r="F6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0" t="str">
        <f>_xlfn.XLOOKUP(AllDataCorrected[[#This Row],[Location Name]], Locations[Location Name],Locations[Group As])</f>
        <v>Stour Stretton-on-Fosse Village</v>
      </c>
      <c r="H620" t="e" vm="1">
        <f>_xlfn.XLOOKUP(AllDataCorrected[[#This Row],[Site Name]],LocationsKey[Site Name],LocationsKey[District])</f>
        <v>#VALUE!</v>
      </c>
      <c r="I620" t="e" vm="30">
        <f>_xlfn.XLOOKUP(AllDataCorrected[[#This Row],[Site Name]],LocationsKey[Site Name],LocationsKey[Town])</f>
        <v>#VALUE!</v>
      </c>
      <c r="J620" t="str">
        <f>_xlfn.XLOOKUP(AllDataCorrected[[#This Row],[Site Name]],LocationsKey[Site Name], LocationsKey[Waterway])</f>
        <v>Stour</v>
      </c>
      <c r="K620" t="s">
        <v>548</v>
      </c>
      <c r="L620">
        <f>_xlfn.XLOOKUP(AllDataCorrected[[#This Row],[Site Name]],Tables!$B$12:$B$100, Tables!C$12:C$100)</f>
        <v>52.046517558823531</v>
      </c>
      <c r="M620">
        <f>_xlfn.XLOOKUP(AllDataCorrected[[#This Row],[Site Name]],Tables!$B$12:$B$100, Tables!D$12:D$100)</f>
        <v>-1.6734143529411762</v>
      </c>
      <c r="N620" t="s">
        <v>68</v>
      </c>
      <c r="O620">
        <v>418</v>
      </c>
      <c r="P620">
        <v>9.6</v>
      </c>
      <c r="Q620">
        <v>0.5</v>
      </c>
      <c r="R62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0">
        <v>0.42</v>
      </c>
      <c r="T6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0">
        <v>0.3</v>
      </c>
    </row>
    <row r="621" spans="1:22" x14ac:dyDescent="0.35">
      <c r="A621" t="s">
        <v>1002</v>
      </c>
      <c r="B621" s="2">
        <v>45384</v>
      </c>
      <c r="C621" t="str" cm="1">
        <f t="array" ref="C6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1">
        <f>YEAR(AllDataCorrected[[#This Row],[Date]])</f>
        <v>2024</v>
      </c>
      <c r="E621" s="1">
        <v>0.41597222222222224</v>
      </c>
      <c r="F62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1" t="str">
        <f>_xlfn.XLOOKUP(AllDataCorrected[[#This Row],[Location Name]], Locations[Location Name],Locations[Group As])</f>
        <v>Stour Stretton-on-Fosse Sewage Works</v>
      </c>
      <c r="H621" t="e" vm="1">
        <f>_xlfn.XLOOKUP(AllDataCorrected[[#This Row],[Site Name]],LocationsKey[Site Name],LocationsKey[District])</f>
        <v>#VALUE!</v>
      </c>
      <c r="I621" t="e" vm="30">
        <f>_xlfn.XLOOKUP(AllDataCorrected[[#This Row],[Site Name]],LocationsKey[Site Name],LocationsKey[Town])</f>
        <v>#VALUE!</v>
      </c>
      <c r="J621" t="str">
        <f>_xlfn.XLOOKUP(AllDataCorrected[[#This Row],[Site Name]],LocationsKey[Site Name], LocationsKey[Waterway])</f>
        <v>Stour</v>
      </c>
      <c r="K621" t="s">
        <v>337</v>
      </c>
      <c r="L621">
        <f>_xlfn.XLOOKUP(AllDataCorrected[[#This Row],[Site Name]],Tables!$B$12:$B$100, Tables!C$12:C$100)</f>
        <v>52.045653647058828</v>
      </c>
      <c r="M621">
        <f>_xlfn.XLOOKUP(AllDataCorrected[[#This Row],[Site Name]],Tables!$B$12:$B$100, Tables!D$12:D$100)</f>
        <v>-1.6719221470588239</v>
      </c>
      <c r="N621" t="s">
        <v>31</v>
      </c>
      <c r="O621">
        <v>452</v>
      </c>
      <c r="P621">
        <v>9.6999999999999993</v>
      </c>
      <c r="Q621">
        <v>0.5</v>
      </c>
      <c r="R62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1">
        <v>0.7</v>
      </c>
      <c r="T6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1">
        <v>0.35</v>
      </c>
    </row>
    <row r="622" spans="1:22" x14ac:dyDescent="0.35">
      <c r="A622" t="s">
        <v>1003</v>
      </c>
      <c r="B622" s="2">
        <v>45385</v>
      </c>
      <c r="C622" t="str" cm="1">
        <f t="array" ref="C6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2">
        <f>YEAR(AllDataCorrected[[#This Row],[Date]])</f>
        <v>2024</v>
      </c>
      <c r="E622" s="1">
        <v>0.625</v>
      </c>
      <c r="F6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2" t="str">
        <f>_xlfn.XLOOKUP(AllDataCorrected[[#This Row],[Location Name]], Locations[Location Name],Locations[Group As])</f>
        <v>Sherbourne Brook 1</v>
      </c>
      <c r="H622" t="e" vm="1">
        <f>_xlfn.XLOOKUP(AllDataCorrected[[#This Row],[Site Name]],LocationsKey[Site Name],LocationsKey[District])</f>
        <v>#VALUE!</v>
      </c>
      <c r="I622" t="e" vm="23">
        <f>_xlfn.XLOOKUP(AllDataCorrected[[#This Row],[Site Name]],LocationsKey[Site Name],LocationsKey[Town])</f>
        <v>#VALUE!</v>
      </c>
      <c r="J622" t="str">
        <f>_xlfn.XLOOKUP(AllDataCorrected[[#This Row],[Site Name]],LocationsKey[Site Name], LocationsKey[Waterway])</f>
        <v>Sherbourne Brook</v>
      </c>
      <c r="K622" t="s">
        <v>541</v>
      </c>
      <c r="L622">
        <f>_xlfn.XLOOKUP(AllDataCorrected[[#This Row],[Site Name]],Tables!$B$12:$B$100, Tables!C$12:C$100)</f>
        <v>52.252500000000033</v>
      </c>
      <c r="M622">
        <f>_xlfn.XLOOKUP(AllDataCorrected[[#This Row],[Site Name]],Tables!$B$12:$B$100, Tables!D$12:D$100)</f>
        <v>-1.6685000000000012</v>
      </c>
      <c r="N622" t="s">
        <v>25</v>
      </c>
      <c r="O622">
        <v>685</v>
      </c>
      <c r="P622">
        <v>11.4</v>
      </c>
      <c r="Q622">
        <v>5</v>
      </c>
      <c r="R622" t="str">
        <f>IF(AllDataCorrected[[#This Row],[Nitrate (PPM)]]&gt;2, "4. Very high (&gt;2ppm)", IF(AllDataCorrected[[#This Row],[Nitrate (PPM)]]&gt;1, "3. High (1-2ppm)", IF(AllDataCorrected[[#This Row],[Nitrate (PPM)]]&gt;0.5, "2. Some evidence (0.5-1ppm)", IF(AllDataCorrected[[#This Row],[Nitrate (PPM)]]&gt;=0, "1. No evidence (&lt;0.5ppm)"))))</f>
        <v>4. Very high (&gt;2ppm)</v>
      </c>
      <c r="S622">
        <v>0.8</v>
      </c>
      <c r="T6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2">
        <v>0.5</v>
      </c>
      <c r="V622" t="s">
        <v>1004</v>
      </c>
    </row>
    <row r="623" spans="1:22" x14ac:dyDescent="0.35">
      <c r="A623" t="s">
        <v>1005</v>
      </c>
      <c r="B623" s="2">
        <v>45385</v>
      </c>
      <c r="C623" t="str" cm="1">
        <f t="array" ref="C6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3">
        <f>YEAR(AllDataCorrected[[#This Row],[Date]])</f>
        <v>2024</v>
      </c>
      <c r="E623" s="1">
        <v>0.63541666666666663</v>
      </c>
      <c r="F6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3" t="str">
        <f>_xlfn.XLOOKUP(AllDataCorrected[[#This Row],[Location Name]], Locations[Location Name],Locations[Group As])</f>
        <v>Stour Newbold Mill</v>
      </c>
      <c r="H623" t="e" vm="1">
        <f>_xlfn.XLOOKUP(AllDataCorrected[[#This Row],[Site Name]],LocationsKey[Site Name],LocationsKey[District])</f>
        <v>#VALUE!</v>
      </c>
      <c r="I623" t="e" vm="27">
        <f>_xlfn.XLOOKUP(AllDataCorrected[[#This Row],[Site Name]],LocationsKey[Site Name],LocationsKey[Town])</f>
        <v>#VALUE!</v>
      </c>
      <c r="J623" t="str">
        <f>_xlfn.XLOOKUP(AllDataCorrected[[#This Row],[Site Name]],LocationsKey[Site Name], LocationsKey[Waterway])</f>
        <v>Stour</v>
      </c>
      <c r="K623" t="s">
        <v>141</v>
      </c>
      <c r="L623">
        <f>_xlfn.XLOOKUP(AllDataCorrected[[#This Row],[Site Name]],Tables!$B$12:$B$100, Tables!C$12:C$100)</f>
        <v>52.113052370370369</v>
      </c>
      <c r="M623">
        <f>_xlfn.XLOOKUP(AllDataCorrected[[#This Row],[Site Name]],Tables!$B$12:$B$100, Tables!D$12:D$100)</f>
        <v>-1.6333685185185181</v>
      </c>
      <c r="N623" t="s">
        <v>31</v>
      </c>
      <c r="O623">
        <v>571</v>
      </c>
      <c r="P623">
        <v>14.1</v>
      </c>
      <c r="Q623">
        <v>2</v>
      </c>
      <c r="R623" t="str">
        <f>IF(AllDataCorrected[[#This Row],[Nitrate (PPM)]]&gt;2, "4. Very high (&gt;2ppm)", IF(AllDataCorrected[[#This Row],[Nitrate (PPM)]]&gt;1, "3. High (1-2ppm)", IF(AllDataCorrected[[#This Row],[Nitrate (PPM)]]&gt;0.5, "2. Some evidence (0.5-1ppm)", IF(AllDataCorrected[[#This Row],[Nitrate (PPM)]]&gt;=0, "1. No evidence (&lt;0.5ppm)"))))</f>
        <v>3. High (1-2ppm)</v>
      </c>
      <c r="S623">
        <v>0.23</v>
      </c>
      <c r="T6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3">
        <v>3</v>
      </c>
      <c r="V623" t="s">
        <v>908</v>
      </c>
    </row>
    <row r="624" spans="1:22" x14ac:dyDescent="0.35">
      <c r="A624" t="s">
        <v>1006</v>
      </c>
      <c r="B624" s="2">
        <v>45385</v>
      </c>
      <c r="C624" t="str" cm="1">
        <f t="array" ref="C6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4">
        <f>YEAR(AllDataCorrected[[#This Row],[Date]])</f>
        <v>2024</v>
      </c>
      <c r="E624" s="1">
        <v>0.63888888888888884</v>
      </c>
      <c r="F6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24" t="str">
        <f>_xlfn.XLOOKUP(AllDataCorrected[[#This Row],[Location Name]], Locations[Location Name],Locations[Group As])</f>
        <v>Bell Brook 1</v>
      </c>
      <c r="H624" t="e" vm="1">
        <f>_xlfn.XLOOKUP(AllDataCorrected[[#This Row],[Site Name]],LocationsKey[Site Name],LocationsKey[District])</f>
        <v>#VALUE!</v>
      </c>
      <c r="I624" t="e" vm="19">
        <f>_xlfn.XLOOKUP(AllDataCorrected[[#This Row],[Site Name]],LocationsKey[Site Name],LocationsKey[Town])</f>
        <v>#VALUE!</v>
      </c>
      <c r="J624" t="str">
        <f>_xlfn.XLOOKUP(AllDataCorrected[[#This Row],[Site Name]],LocationsKey[Site Name], LocationsKey[Waterway])</f>
        <v>Bell Brook</v>
      </c>
      <c r="K624" t="s">
        <v>538</v>
      </c>
      <c r="L624">
        <f>_xlfn.XLOOKUP(AllDataCorrected[[#This Row],[Site Name]],Tables!$B$12:$B$100, Tables!C$12:C$100)</f>
        <v>52.24489999999998</v>
      </c>
      <c r="M624">
        <f>_xlfn.XLOOKUP(AllDataCorrected[[#This Row],[Site Name]],Tables!$B$12:$B$100, Tables!D$12:D$100)</f>
        <v>-1.6617000000000013</v>
      </c>
      <c r="N624" t="s">
        <v>25</v>
      </c>
      <c r="O624">
        <v>531</v>
      </c>
      <c r="P624">
        <v>10.7</v>
      </c>
      <c r="Q624">
        <v>3</v>
      </c>
      <c r="R624" t="str">
        <f>IF(AllDataCorrected[[#This Row],[Nitrate (PPM)]]&gt;2, "4. Very high (&gt;2ppm)", IF(AllDataCorrected[[#This Row],[Nitrate (PPM)]]&gt;1, "3. High (1-2ppm)", IF(AllDataCorrected[[#This Row],[Nitrate (PPM)]]&gt;0.5, "2. Some evidence (0.5-1ppm)", IF(AllDataCorrected[[#This Row],[Nitrate (PPM)]]&gt;=0, "1. No evidence (&lt;0.5ppm)"))))</f>
        <v>4. Very high (&gt;2ppm)</v>
      </c>
      <c r="S624">
        <v>0.28999999999999998</v>
      </c>
      <c r="T6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4">
        <v>0.3</v>
      </c>
      <c r="V624" t="s">
        <v>798</v>
      </c>
    </row>
    <row r="625" spans="1:22" x14ac:dyDescent="0.35">
      <c r="A625" t="s">
        <v>1007</v>
      </c>
      <c r="B625" s="2">
        <v>45386</v>
      </c>
      <c r="C625" t="str" cm="1">
        <f t="array" ref="C6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5">
        <f>YEAR(AllDataCorrected[[#This Row],[Date]])</f>
        <v>2024</v>
      </c>
      <c r="E625" s="1">
        <v>0.41666666666666669</v>
      </c>
      <c r="F6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5" t="str">
        <f>_xlfn.XLOOKUP(AllDataCorrected[[#This Row],[Location Name]], Locations[Location Name],Locations[Group As])</f>
        <v>Swilgate</v>
      </c>
      <c r="H625" t="e" vm="4">
        <f>_xlfn.XLOOKUP(AllDataCorrected[[#This Row],[Site Name]],LocationsKey[Site Name],LocationsKey[District])</f>
        <v>#VALUE!</v>
      </c>
      <c r="I625" t="e" vm="4">
        <f>_xlfn.XLOOKUP(AllDataCorrected[[#This Row],[Site Name]],LocationsKey[Site Name],LocationsKey[Town])</f>
        <v>#VALUE!</v>
      </c>
      <c r="J625" t="str">
        <f>_xlfn.XLOOKUP(AllDataCorrected[[#This Row],[Site Name]],LocationsKey[Site Name], LocationsKey[Waterway])</f>
        <v>Swilgate</v>
      </c>
      <c r="K625" t="s">
        <v>85</v>
      </c>
      <c r="L625">
        <f>_xlfn.XLOOKUP(AllDataCorrected[[#This Row],[Site Name]],Tables!$B$12:$B$100, Tables!C$12:C$100)</f>
        <v>51.988591500000005</v>
      </c>
      <c r="M625">
        <f>_xlfn.XLOOKUP(AllDataCorrected[[#This Row],[Site Name]],Tables!$B$12:$B$100, Tables!D$12:D$100)</f>
        <v>-2.163898333333333</v>
      </c>
      <c r="N625" t="s">
        <v>25</v>
      </c>
      <c r="O625">
        <v>416</v>
      </c>
      <c r="P625">
        <v>11.1</v>
      </c>
      <c r="Q625">
        <v>2</v>
      </c>
      <c r="R625" t="str">
        <f>IF(AllDataCorrected[[#This Row],[Nitrate (PPM)]]&gt;2, "4. Very high (&gt;2ppm)", IF(AllDataCorrected[[#This Row],[Nitrate (PPM)]]&gt;1, "3. High (1-2ppm)", IF(AllDataCorrected[[#This Row],[Nitrate (PPM)]]&gt;0.5, "2. Some evidence (0.5-1ppm)", IF(AllDataCorrected[[#This Row],[Nitrate (PPM)]]&gt;=0, "1. No evidence (&lt;0.5ppm)"))))</f>
        <v>3. High (1-2ppm)</v>
      </c>
      <c r="S625">
        <v>0.2</v>
      </c>
      <c r="T6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5">
        <v>1</v>
      </c>
    </row>
    <row r="626" spans="1:22" x14ac:dyDescent="0.35">
      <c r="A626" t="s">
        <v>1008</v>
      </c>
      <c r="B626" s="2">
        <v>45386</v>
      </c>
      <c r="C626" t="str" cm="1">
        <f t="array" ref="C6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6">
        <f>YEAR(AllDataCorrected[[#This Row],[Date]])</f>
        <v>2024</v>
      </c>
      <c r="E626" s="1">
        <v>0.46875</v>
      </c>
      <c r="F6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6" t="str">
        <f>_xlfn.XLOOKUP(AllDataCorrected[[#This Row],[Location Name]], Locations[Location Name],Locations[Group As])</f>
        <v>Alveston Weir</v>
      </c>
      <c r="H626" t="e" vm="1">
        <f>_xlfn.XLOOKUP(AllDataCorrected[[#This Row],[Site Name]],LocationsKey[Site Name],LocationsKey[District])</f>
        <v>#VALUE!</v>
      </c>
      <c r="I626" t="e" vm="2">
        <f>_xlfn.XLOOKUP(AllDataCorrected[[#This Row],[Site Name]],LocationsKey[Site Name],LocationsKey[Town])</f>
        <v>#VALUE!</v>
      </c>
      <c r="J626" t="str">
        <f>_xlfn.XLOOKUP(AllDataCorrected[[#This Row],[Site Name]],LocationsKey[Site Name], LocationsKey[Waterway])</f>
        <v>Avon</v>
      </c>
      <c r="K626" t="s">
        <v>288</v>
      </c>
      <c r="L626">
        <f>_xlfn.XLOOKUP(AllDataCorrected[[#This Row],[Site Name]],Tables!$B$12:$B$100, Tables!C$12:C$100)</f>
        <v>52.21226301333337</v>
      </c>
      <c r="M626">
        <f>_xlfn.XLOOKUP(AllDataCorrected[[#This Row],[Site Name]],Tables!$B$12:$B$100, Tables!D$12:D$100)</f>
        <v>-1.6595226800000011</v>
      </c>
      <c r="N626" t="s">
        <v>31</v>
      </c>
      <c r="O626">
        <v>493</v>
      </c>
      <c r="P626">
        <v>14.4</v>
      </c>
      <c r="Q626">
        <v>5</v>
      </c>
      <c r="R626" t="str">
        <f>IF(AllDataCorrected[[#This Row],[Nitrate (PPM)]]&gt;2, "4. Very high (&gt;2ppm)", IF(AllDataCorrected[[#This Row],[Nitrate (PPM)]]&gt;1, "3. High (1-2ppm)", IF(AllDataCorrected[[#This Row],[Nitrate (PPM)]]&gt;0.5, "2. Some evidence (0.5-1ppm)", IF(AllDataCorrected[[#This Row],[Nitrate (PPM)]]&gt;=0, "1. No evidence (&lt;0.5ppm)"))))</f>
        <v>4. Very high (&gt;2ppm)</v>
      </c>
      <c r="S626">
        <v>0.35</v>
      </c>
      <c r="T6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6">
        <v>1.5</v>
      </c>
      <c r="V626" t="s">
        <v>1009</v>
      </c>
    </row>
    <row r="627" spans="1:22" x14ac:dyDescent="0.35">
      <c r="A627" t="s">
        <v>1010</v>
      </c>
      <c r="B627" s="2">
        <v>45386</v>
      </c>
      <c r="C627" t="str" cm="1">
        <f t="array" ref="C6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7">
        <f>YEAR(AllDataCorrected[[#This Row],[Date]])</f>
        <v>2024</v>
      </c>
      <c r="E627" s="1">
        <v>0.47222222222222221</v>
      </c>
      <c r="F6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7" t="str">
        <f>_xlfn.XLOOKUP(AllDataCorrected[[#This Row],[Location Name]], Locations[Location Name],Locations[Group As])</f>
        <v>Swiffen Bank</v>
      </c>
      <c r="H627" t="e" vm="1">
        <f>_xlfn.XLOOKUP(AllDataCorrected[[#This Row],[Site Name]],LocationsKey[Site Name],LocationsKey[District])</f>
        <v>#VALUE!</v>
      </c>
      <c r="I627" t="e" vm="2">
        <f>_xlfn.XLOOKUP(AllDataCorrected[[#This Row],[Site Name]],LocationsKey[Site Name],LocationsKey[Town])</f>
        <v>#VALUE!</v>
      </c>
      <c r="J627" t="str">
        <f>_xlfn.XLOOKUP(AllDataCorrected[[#This Row],[Site Name]],LocationsKey[Site Name], LocationsKey[Waterway])</f>
        <v>Avon</v>
      </c>
      <c r="K627" t="s">
        <v>286</v>
      </c>
      <c r="L627">
        <f>_xlfn.XLOOKUP(AllDataCorrected[[#This Row],[Site Name]],Tables!$B$12:$B$100, Tables!C$12:C$100)</f>
        <v>52.206649805555557</v>
      </c>
      <c r="M627">
        <f>_xlfn.XLOOKUP(AllDataCorrected[[#This Row],[Site Name]],Tables!$B$12:$B$100, Tables!D$12:D$100)</f>
        <v>-1.6541018611111094</v>
      </c>
      <c r="N627" t="s">
        <v>31</v>
      </c>
      <c r="O627">
        <v>519</v>
      </c>
      <c r="P627">
        <v>13.8</v>
      </c>
      <c r="Q627">
        <v>5</v>
      </c>
      <c r="R627" t="str">
        <f>IF(AllDataCorrected[[#This Row],[Nitrate (PPM)]]&gt;2, "4. Very high (&gt;2ppm)", IF(AllDataCorrected[[#This Row],[Nitrate (PPM)]]&gt;1, "3. High (1-2ppm)", IF(AllDataCorrected[[#This Row],[Nitrate (PPM)]]&gt;0.5, "2. Some evidence (0.5-1ppm)", IF(AllDataCorrected[[#This Row],[Nitrate (PPM)]]&gt;=0, "1. No evidence (&lt;0.5ppm)"))))</f>
        <v>4. Very high (&gt;2ppm)</v>
      </c>
      <c r="S627">
        <v>0.51</v>
      </c>
      <c r="T6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27">
        <v>2</v>
      </c>
      <c r="V627" t="s">
        <v>1011</v>
      </c>
    </row>
    <row r="628" spans="1:22" x14ac:dyDescent="0.35">
      <c r="A628" t="s">
        <v>1012</v>
      </c>
      <c r="B628" s="2">
        <v>45386</v>
      </c>
      <c r="C628" t="str" cm="1">
        <f t="array" ref="C6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8">
        <f>YEAR(AllDataCorrected[[#This Row],[Date]])</f>
        <v>2024</v>
      </c>
      <c r="E628" s="1">
        <v>0.47916666666666669</v>
      </c>
      <c r="F6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8" t="str">
        <f>_xlfn.XLOOKUP(AllDataCorrected[[#This Row],[Location Name]], Locations[Location Name],Locations[Group As])</f>
        <v>Stour Willington</v>
      </c>
      <c r="H628" t="e" vm="1">
        <f>_xlfn.XLOOKUP(AllDataCorrected[[#This Row],[Site Name]],LocationsKey[Site Name],LocationsKey[District])</f>
        <v>#VALUE!</v>
      </c>
      <c r="I628" t="str">
        <f>_xlfn.XLOOKUP(AllDataCorrected[[#This Row],[Site Name]],LocationsKey[Site Name],LocationsKey[Town])</f>
        <v>Willington</v>
      </c>
      <c r="J628" t="str">
        <f>_xlfn.XLOOKUP(AllDataCorrected[[#This Row],[Site Name]],LocationsKey[Site Name], LocationsKey[Waterway])</f>
        <v>Stour</v>
      </c>
      <c r="K628" t="s">
        <v>521</v>
      </c>
      <c r="L628">
        <f>_xlfn.XLOOKUP(AllDataCorrected[[#This Row],[Site Name]],Tables!$B$12:$B$100, Tables!C$12:C$100)</f>
        <v>52.053227523809518</v>
      </c>
      <c r="M628">
        <f>_xlfn.XLOOKUP(AllDataCorrected[[#This Row],[Site Name]],Tables!$B$12:$B$100, Tables!D$12:D$100)</f>
        <v>-1.6194739523809523</v>
      </c>
      <c r="N628" t="s">
        <v>25</v>
      </c>
      <c r="O628">
        <v>325</v>
      </c>
      <c r="P628">
        <v>12.9</v>
      </c>
      <c r="Q628">
        <v>0.5</v>
      </c>
      <c r="R62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28">
        <v>0.06</v>
      </c>
      <c r="T628"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28">
        <v>1.5</v>
      </c>
      <c r="V628" t="s">
        <v>1013</v>
      </c>
    </row>
    <row r="629" spans="1:22" x14ac:dyDescent="0.35">
      <c r="A629" t="s">
        <v>1014</v>
      </c>
      <c r="B629" s="2">
        <v>45387</v>
      </c>
      <c r="C629" t="str" cm="1">
        <f t="array" ref="C6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29">
        <f>YEAR(AllDataCorrected[[#This Row],[Date]])</f>
        <v>2024</v>
      </c>
      <c r="E629" s="1">
        <v>0.3923611111111111</v>
      </c>
      <c r="F6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29" t="str">
        <f>_xlfn.XLOOKUP(AllDataCorrected[[#This Row],[Location Name]], Locations[Location Name],Locations[Group As])</f>
        <v>Mill Bridge Peopleton</v>
      </c>
      <c r="H629" t="e" vm="6">
        <f>_xlfn.XLOOKUP(AllDataCorrected[[#This Row],[Site Name]],LocationsKey[Site Name],LocationsKey[District])</f>
        <v>#VALUE!</v>
      </c>
      <c r="I629" t="str">
        <f>_xlfn.XLOOKUP(AllDataCorrected[[#This Row],[Site Name]],LocationsKey[Site Name],LocationsKey[Town])</f>
        <v>Peopleton</v>
      </c>
      <c r="J629" t="str">
        <f>_xlfn.XLOOKUP(AllDataCorrected[[#This Row],[Site Name]],LocationsKey[Site Name], LocationsKey[Waterway])</f>
        <v>Bow Brook</v>
      </c>
      <c r="K629" t="s">
        <v>1015</v>
      </c>
      <c r="L629">
        <f>_xlfn.XLOOKUP(AllDataCorrected[[#This Row],[Site Name]],Tables!$B$12:$B$100, Tables!C$12:C$100)</f>
        <v>52.151811999999993</v>
      </c>
      <c r="M629">
        <f>_xlfn.XLOOKUP(AllDataCorrected[[#This Row],[Site Name]],Tables!$B$12:$B$100, Tables!D$12:D$100)</f>
        <v>-2.0958865161290317</v>
      </c>
      <c r="N629" t="s">
        <v>31</v>
      </c>
      <c r="O629">
        <v>523</v>
      </c>
      <c r="P629">
        <v>12.6</v>
      </c>
      <c r="Q629">
        <v>5</v>
      </c>
      <c r="R629" t="str">
        <f>IF(AllDataCorrected[[#This Row],[Nitrate (PPM)]]&gt;2, "4. Very high (&gt;2ppm)", IF(AllDataCorrected[[#This Row],[Nitrate (PPM)]]&gt;1, "3. High (1-2ppm)", IF(AllDataCorrected[[#This Row],[Nitrate (PPM)]]&gt;0.5, "2. Some evidence (0.5-1ppm)", IF(AllDataCorrected[[#This Row],[Nitrate (PPM)]]&gt;=0, "1. No evidence (&lt;0.5ppm)"))))</f>
        <v>4. Very high (&gt;2ppm)</v>
      </c>
      <c r="S629">
        <v>0.46</v>
      </c>
      <c r="T6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29">
        <v>1.4</v>
      </c>
      <c r="V629" t="s">
        <v>1016</v>
      </c>
    </row>
    <row r="630" spans="1:22" x14ac:dyDescent="0.35">
      <c r="A630" t="s">
        <v>1019</v>
      </c>
      <c r="B630" s="2">
        <v>45388</v>
      </c>
      <c r="C630" t="str" cm="1">
        <f t="array" ref="C6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0">
        <f>YEAR(AllDataCorrected[[#This Row],[Date]])</f>
        <v>2024</v>
      </c>
      <c r="E630" s="1">
        <v>0.36666666666666664</v>
      </c>
      <c r="F63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0" t="str">
        <f>_xlfn.XLOOKUP(AllDataCorrected[[#This Row],[Location Name]], Locations[Location Name],Locations[Group As])</f>
        <v>Stour Whichford</v>
      </c>
      <c r="H630" t="e" vm="1">
        <f>_xlfn.XLOOKUP(AllDataCorrected[[#This Row],[Site Name]],LocationsKey[Site Name],LocationsKey[District])</f>
        <v>#VALUE!</v>
      </c>
      <c r="I630" t="e" vm="24">
        <f>_xlfn.XLOOKUP(AllDataCorrected[[#This Row],[Site Name]],LocationsKey[Site Name],LocationsKey[Town])</f>
        <v>#VALUE!</v>
      </c>
      <c r="J630" t="str">
        <f>_xlfn.XLOOKUP(AllDataCorrected[[#This Row],[Site Name]],LocationsKey[Site Name], LocationsKey[Waterway])</f>
        <v>Stour</v>
      </c>
      <c r="K630" t="s">
        <v>980</v>
      </c>
      <c r="L630">
        <f>_xlfn.XLOOKUP(AllDataCorrected[[#This Row],[Site Name]],Tables!$B$12:$B$100, Tables!C$12:C$100)</f>
        <v>52.017437000000001</v>
      </c>
      <c r="M630">
        <f>_xlfn.XLOOKUP(AllDataCorrected[[#This Row],[Site Name]],Tables!$B$12:$B$100, Tables!D$12:D$100)</f>
        <v>-1.544745</v>
      </c>
      <c r="N630" t="s">
        <v>31</v>
      </c>
      <c r="O630">
        <v>50.9</v>
      </c>
      <c r="P630">
        <v>12.09</v>
      </c>
      <c r="Q630">
        <v>1.08</v>
      </c>
      <c r="R630" t="str">
        <f>IF(AllDataCorrected[[#This Row],[Nitrate (PPM)]]&gt;2, "4. Very high (&gt;2ppm)", IF(AllDataCorrected[[#This Row],[Nitrate (PPM)]]&gt;1, "3. High (1-2ppm)", IF(AllDataCorrected[[#This Row],[Nitrate (PPM)]]&gt;0.5, "2. Some evidence (0.5-1ppm)", IF(AllDataCorrected[[#This Row],[Nitrate (PPM)]]&gt;=0, "1. No evidence (&lt;0.5ppm)"))))</f>
        <v>3. High (1-2ppm)</v>
      </c>
      <c r="S630">
        <v>0.54</v>
      </c>
      <c r="T6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30">
        <v>25</v>
      </c>
    </row>
    <row r="631" spans="1:22" x14ac:dyDescent="0.35">
      <c r="A631" t="s">
        <v>1020</v>
      </c>
      <c r="B631" s="2">
        <v>45388</v>
      </c>
      <c r="C631" t="str" cm="1">
        <f t="array" ref="C6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1">
        <f>YEAR(AllDataCorrected[[#This Row],[Date]])</f>
        <v>2024</v>
      </c>
      <c r="E631" s="1">
        <v>0.38750000000000001</v>
      </c>
      <c r="F6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1" t="str">
        <f>_xlfn.XLOOKUP(AllDataCorrected[[#This Row],[Location Name]], Locations[Location Name],Locations[Group As])</f>
        <v>Stour Ascott Village</v>
      </c>
      <c r="H631" t="e" vm="1">
        <f>_xlfn.XLOOKUP(AllDataCorrected[[#This Row],[Site Name]],LocationsKey[Site Name],LocationsKey[District])</f>
        <v>#VALUE!</v>
      </c>
      <c r="I631" t="e" vm="25">
        <f>_xlfn.XLOOKUP(AllDataCorrected[[#This Row],[Site Name]],LocationsKey[Site Name],LocationsKey[Town])</f>
        <v>#VALUE!</v>
      </c>
      <c r="J631" t="str">
        <f>_xlfn.XLOOKUP(AllDataCorrected[[#This Row],[Site Name]],LocationsKey[Site Name], LocationsKey[Waterway])</f>
        <v>Stour</v>
      </c>
      <c r="K631" t="s">
        <v>927</v>
      </c>
      <c r="L631">
        <f>_xlfn.XLOOKUP(AllDataCorrected[[#This Row],[Site Name]],Tables!$B$12:$B$100, Tables!C$12:C$100)</f>
        <v>52.013255999999998</v>
      </c>
      <c r="M631">
        <f>_xlfn.XLOOKUP(AllDataCorrected[[#This Row],[Site Name]],Tables!$B$12:$B$100, Tables!D$12:D$100)</f>
        <v>-1.5387710000000001</v>
      </c>
      <c r="N631" t="s">
        <v>68</v>
      </c>
      <c r="O631">
        <v>51.04</v>
      </c>
      <c r="P631">
        <v>12.9</v>
      </c>
      <c r="Q631">
        <v>2</v>
      </c>
      <c r="R631" t="str">
        <f>IF(AllDataCorrected[[#This Row],[Nitrate (PPM)]]&gt;2, "4. Very high (&gt;2ppm)", IF(AllDataCorrected[[#This Row],[Nitrate (PPM)]]&gt;1, "3. High (1-2ppm)", IF(AllDataCorrected[[#This Row],[Nitrate (PPM)]]&gt;0.5, "2. Some evidence (0.5-1ppm)", IF(AllDataCorrected[[#This Row],[Nitrate (PPM)]]&gt;=0, "1. No evidence (&lt;0.5ppm)"))))</f>
        <v>3. High (1-2ppm)</v>
      </c>
      <c r="S631">
        <v>0.1</v>
      </c>
      <c r="T6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31">
        <v>18</v>
      </c>
    </row>
    <row r="632" spans="1:22" x14ac:dyDescent="0.35">
      <c r="A632" t="s">
        <v>1021</v>
      </c>
      <c r="B632" s="2">
        <v>45388</v>
      </c>
      <c r="C632" t="str" cm="1">
        <f t="array" ref="C6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2">
        <f>YEAR(AllDataCorrected[[#This Row],[Date]])</f>
        <v>2024</v>
      </c>
      <c r="E632" s="1">
        <v>0.41666666666666669</v>
      </c>
      <c r="F6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2" t="str">
        <f>_xlfn.XLOOKUP(AllDataCorrected[[#This Row],[Location Name]], Locations[Location Name],Locations[Group As])</f>
        <v>Avonbank Drive</v>
      </c>
      <c r="H632" t="e" vm="1">
        <f>_xlfn.XLOOKUP(AllDataCorrected[[#This Row],[Site Name]],LocationsKey[Site Name],LocationsKey[District])</f>
        <v>#VALUE!</v>
      </c>
      <c r="I632" t="e" vm="12">
        <f>_xlfn.XLOOKUP(AllDataCorrected[[#This Row],[Site Name]],LocationsKey[Site Name],LocationsKey[Town])</f>
        <v>#VALUE!</v>
      </c>
      <c r="J632" t="str">
        <f>_xlfn.XLOOKUP(AllDataCorrected[[#This Row],[Site Name]],LocationsKey[Site Name], LocationsKey[Waterway])</f>
        <v>Avon</v>
      </c>
      <c r="K632" t="s">
        <v>104</v>
      </c>
      <c r="L632">
        <f>_xlfn.XLOOKUP(AllDataCorrected[[#This Row],[Site Name]],Tables!$B$12:$B$100, Tables!C$12:C$100)</f>
        <v>51.566927775862098</v>
      </c>
      <c r="M632">
        <f>_xlfn.XLOOKUP(AllDataCorrected[[#This Row],[Site Name]],Tables!$B$12:$B$100, Tables!D$12:D$100)</f>
        <v>-7.2113336724137929</v>
      </c>
      <c r="N632" t="s">
        <v>68</v>
      </c>
      <c r="O632">
        <v>642</v>
      </c>
      <c r="P632">
        <v>17.5</v>
      </c>
      <c r="Q632">
        <v>10</v>
      </c>
      <c r="R632" t="str">
        <f>IF(AllDataCorrected[[#This Row],[Nitrate (PPM)]]&gt;2, "4. Very high (&gt;2ppm)", IF(AllDataCorrected[[#This Row],[Nitrate (PPM)]]&gt;1, "3. High (1-2ppm)", IF(AllDataCorrected[[#This Row],[Nitrate (PPM)]]&gt;0.5, "2. Some evidence (0.5-1ppm)", IF(AllDataCorrected[[#This Row],[Nitrate (PPM)]]&gt;=0, "1. No evidence (&lt;0.5ppm)"))))</f>
        <v>4. Very high (&gt;2ppm)</v>
      </c>
      <c r="S632">
        <v>0.38</v>
      </c>
      <c r="T6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2">
        <v>1</v>
      </c>
    </row>
    <row r="633" spans="1:22" x14ac:dyDescent="0.35">
      <c r="A633" t="s">
        <v>1022</v>
      </c>
      <c r="B633" s="2">
        <v>45388</v>
      </c>
      <c r="C633" t="str" cm="1">
        <f t="array" ref="C6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3">
        <f>YEAR(AllDataCorrected[[#This Row],[Date]])</f>
        <v>2024</v>
      </c>
      <c r="E633" s="1">
        <v>0.41666666666666669</v>
      </c>
      <c r="F6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3" t="str">
        <f>_xlfn.XLOOKUP(AllDataCorrected[[#This Row],[Location Name]], Locations[Location Name],Locations[Group As])</f>
        <v>Pitch 16</v>
      </c>
      <c r="H633" t="e" vm="1">
        <f>_xlfn.XLOOKUP(AllDataCorrected[[#This Row],[Site Name]],LocationsKey[Site Name],LocationsKey[District])</f>
        <v>#VALUE!</v>
      </c>
      <c r="I633" t="e" vm="12">
        <f>_xlfn.XLOOKUP(AllDataCorrected[[#This Row],[Site Name]],LocationsKey[Site Name],LocationsKey[Town])</f>
        <v>#VALUE!</v>
      </c>
      <c r="J633" t="str">
        <f>_xlfn.XLOOKUP(AllDataCorrected[[#This Row],[Site Name]],LocationsKey[Site Name], LocationsKey[Waterway])</f>
        <v>Avon</v>
      </c>
      <c r="K633" t="s">
        <v>71</v>
      </c>
      <c r="L633">
        <f>_xlfn.XLOOKUP(AllDataCorrected[[#This Row],[Site Name]],Tables!$B$12:$B$100, Tables!C$12:C$100)</f>
        <v>51.289310076923087</v>
      </c>
      <c r="M633">
        <f>_xlfn.XLOOKUP(AllDataCorrected[[#This Row],[Site Name]],Tables!$B$12:$B$100, Tables!D$12:D$100)</f>
        <v>-0.10399761538461544</v>
      </c>
      <c r="N633" t="s">
        <v>31</v>
      </c>
      <c r="O633">
        <v>641</v>
      </c>
      <c r="P633">
        <v>17.5</v>
      </c>
      <c r="Q633">
        <v>10</v>
      </c>
      <c r="R633" t="str">
        <f>IF(AllDataCorrected[[#This Row],[Nitrate (PPM)]]&gt;2, "4. Very high (&gt;2ppm)", IF(AllDataCorrected[[#This Row],[Nitrate (PPM)]]&gt;1, "3. High (1-2ppm)", IF(AllDataCorrected[[#This Row],[Nitrate (PPM)]]&gt;0.5, "2. Some evidence (0.5-1ppm)", IF(AllDataCorrected[[#This Row],[Nitrate (PPM)]]&gt;=0, "1. No evidence (&lt;0.5ppm)"))))</f>
        <v>4. Very high (&gt;2ppm)</v>
      </c>
      <c r="S633">
        <v>0.36</v>
      </c>
      <c r="T6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3">
        <v>1</v>
      </c>
    </row>
    <row r="634" spans="1:22" x14ac:dyDescent="0.35">
      <c r="A634" t="s">
        <v>1023</v>
      </c>
      <c r="B634" s="2">
        <v>45388</v>
      </c>
      <c r="C634" t="str" cm="1">
        <f t="array" ref="C6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4">
        <f>YEAR(AllDataCorrected[[#This Row],[Date]])</f>
        <v>2024</v>
      </c>
      <c r="E634" s="1">
        <v>0.47430555555555554</v>
      </c>
      <c r="F6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34" t="str">
        <f>_xlfn.XLOOKUP(AllDataCorrected[[#This Row],[Location Name]], Locations[Location Name],Locations[Group As])</f>
        <v>Avon Smiths Meadow Wyre Piddle</v>
      </c>
      <c r="H634" t="e" vm="6">
        <f>_xlfn.XLOOKUP(AllDataCorrected[[#This Row],[Site Name]],LocationsKey[Site Name],LocationsKey[District])</f>
        <v>#VALUE!</v>
      </c>
      <c r="I634" t="e" vm="13">
        <f>_xlfn.XLOOKUP(AllDataCorrected[[#This Row],[Site Name]],LocationsKey[Site Name],LocationsKey[Town])</f>
        <v>#VALUE!</v>
      </c>
      <c r="J634" t="str">
        <f>_xlfn.XLOOKUP(AllDataCorrected[[#This Row],[Site Name]],LocationsKey[Site Name], LocationsKey[Waterway])</f>
        <v>Avon</v>
      </c>
      <c r="K634" t="s">
        <v>784</v>
      </c>
      <c r="L634">
        <f>_xlfn.XLOOKUP(AllDataCorrected[[#This Row],[Site Name]],Tables!$B$12:$B$100, Tables!C$12:C$100)</f>
        <v>52.123126101694929</v>
      </c>
      <c r="M634">
        <f>_xlfn.XLOOKUP(AllDataCorrected[[#This Row],[Site Name]],Tables!$B$12:$B$100, Tables!D$12:D$100)</f>
        <v>-2.0572511355932215</v>
      </c>
      <c r="N634" t="s">
        <v>25</v>
      </c>
      <c r="O634">
        <v>495</v>
      </c>
      <c r="P634">
        <v>13</v>
      </c>
      <c r="Q634">
        <v>4</v>
      </c>
      <c r="R634" t="str">
        <f>IF(AllDataCorrected[[#This Row],[Nitrate (PPM)]]&gt;2, "4. Very high (&gt;2ppm)", IF(AllDataCorrected[[#This Row],[Nitrate (PPM)]]&gt;1, "3. High (1-2ppm)", IF(AllDataCorrected[[#This Row],[Nitrate (PPM)]]&gt;0.5, "2. Some evidence (0.5-1ppm)", IF(AllDataCorrected[[#This Row],[Nitrate (PPM)]]&gt;=0, "1. No evidence (&lt;0.5ppm)"))))</f>
        <v>4. Very high (&gt;2ppm)</v>
      </c>
      <c r="S634">
        <v>0.37</v>
      </c>
      <c r="T6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4">
        <v>2.0299999999999998</v>
      </c>
      <c r="V634" t="s">
        <v>1024</v>
      </c>
    </row>
    <row r="635" spans="1:22" x14ac:dyDescent="0.35">
      <c r="A635" t="s">
        <v>1025</v>
      </c>
      <c r="B635" s="2">
        <v>45388</v>
      </c>
      <c r="C635" t="str" cm="1">
        <f t="array" ref="C6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5">
        <f>YEAR(AllDataCorrected[[#This Row],[Date]])</f>
        <v>2024</v>
      </c>
      <c r="E635" s="1">
        <v>0.51041666666666663</v>
      </c>
      <c r="F6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5" t="str">
        <f>_xlfn.XLOOKUP(AllDataCorrected[[#This Row],[Location Name]], Locations[Location Name],Locations[Group As])</f>
        <v>Piddle Brook Wyre Piddle Bridge</v>
      </c>
      <c r="H635" t="e" vm="6">
        <f>_xlfn.XLOOKUP(AllDataCorrected[[#This Row],[Site Name]],LocationsKey[Site Name],LocationsKey[District])</f>
        <v>#VALUE!</v>
      </c>
      <c r="I635" t="e" vm="13">
        <f>_xlfn.XLOOKUP(AllDataCorrected[[#This Row],[Site Name]],LocationsKey[Site Name],LocationsKey[Town])</f>
        <v>#VALUE!</v>
      </c>
      <c r="J635" t="str">
        <f>_xlfn.XLOOKUP(AllDataCorrected[[#This Row],[Site Name]],LocationsKey[Site Name], LocationsKey[Waterway])</f>
        <v>Piddle Brook</v>
      </c>
      <c r="K635" t="s">
        <v>787</v>
      </c>
      <c r="L635">
        <f>_xlfn.XLOOKUP(AllDataCorrected[[#This Row],[Site Name]],Tables!$B$12:$B$100, Tables!C$12:C$100)</f>
        <v>52.126394500000039</v>
      </c>
      <c r="M635">
        <f>_xlfn.XLOOKUP(AllDataCorrected[[#This Row],[Site Name]],Tables!$B$12:$B$100, Tables!D$12:D$100)</f>
        <v>-2.0564211206896545</v>
      </c>
      <c r="N635" t="s">
        <v>25</v>
      </c>
      <c r="O635">
        <v>639</v>
      </c>
      <c r="P635">
        <v>13.3</v>
      </c>
      <c r="Q635">
        <v>4</v>
      </c>
      <c r="R635" t="str">
        <f>IF(AllDataCorrected[[#This Row],[Nitrate (PPM)]]&gt;2, "4. Very high (&gt;2ppm)", IF(AllDataCorrected[[#This Row],[Nitrate (PPM)]]&gt;1, "3. High (1-2ppm)", IF(AllDataCorrected[[#This Row],[Nitrate (PPM)]]&gt;0.5, "2. Some evidence (0.5-1ppm)", IF(AllDataCorrected[[#This Row],[Nitrate (PPM)]]&gt;=0, "1. No evidence (&lt;0.5ppm)"))))</f>
        <v>4. Very high (&gt;2ppm)</v>
      </c>
      <c r="S635">
        <v>0.32</v>
      </c>
      <c r="T6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5">
        <v>0.96</v>
      </c>
      <c r="V635" t="s">
        <v>1026</v>
      </c>
    </row>
    <row r="636" spans="1:22" x14ac:dyDescent="0.35">
      <c r="A636" t="s">
        <v>1027</v>
      </c>
      <c r="B636" s="2">
        <v>45388</v>
      </c>
      <c r="C636" t="str" cm="1">
        <f t="array" ref="C6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6">
        <f>YEAR(AllDataCorrected[[#This Row],[Date]])</f>
        <v>2024</v>
      </c>
      <c r="E636" s="1">
        <v>0.59027777777777779</v>
      </c>
      <c r="F6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6" t="str">
        <f>_xlfn.XLOOKUP(AllDataCorrected[[#This Row],[Location Name]], Locations[Location Name],Locations[Group As])</f>
        <v>Preston-on-Stour River Bridge</v>
      </c>
      <c r="H636" t="e" vm="1">
        <f>_xlfn.XLOOKUP(AllDataCorrected[[#This Row],[Site Name]],LocationsKey[Site Name],LocationsKey[District])</f>
        <v>#VALUE!</v>
      </c>
      <c r="I636" t="e" vm="20">
        <f>_xlfn.XLOOKUP(AllDataCorrected[[#This Row],[Site Name]],LocationsKey[Site Name],LocationsKey[Town])</f>
        <v>#VALUE!</v>
      </c>
      <c r="J636" t="str">
        <f>_xlfn.XLOOKUP(AllDataCorrected[[#This Row],[Site Name]],LocationsKey[Site Name], LocationsKey[Waterway])</f>
        <v>Stour</v>
      </c>
      <c r="K636" t="s">
        <v>164</v>
      </c>
      <c r="L636">
        <f>_xlfn.XLOOKUP(AllDataCorrected[[#This Row],[Site Name]],Tables!$B$12:$B$100, Tables!C$12:C$100)</f>
        <v>52.146672352941174</v>
      </c>
      <c r="M636">
        <f>_xlfn.XLOOKUP(AllDataCorrected[[#This Row],[Site Name]],Tables!$B$12:$B$100, Tables!D$12:D$100)</f>
        <v>-1.6984533333333334</v>
      </c>
      <c r="N636" t="s">
        <v>31</v>
      </c>
      <c r="O636">
        <v>544</v>
      </c>
      <c r="P636">
        <v>14.4</v>
      </c>
      <c r="Q636">
        <v>6</v>
      </c>
      <c r="R636" t="str">
        <f>IF(AllDataCorrected[[#This Row],[Nitrate (PPM)]]&gt;2, "4. Very high (&gt;2ppm)", IF(AllDataCorrected[[#This Row],[Nitrate (PPM)]]&gt;1, "3. High (1-2ppm)", IF(AllDataCorrected[[#This Row],[Nitrate (PPM)]]&gt;0.5, "2. Some evidence (0.5-1ppm)", IF(AllDataCorrected[[#This Row],[Nitrate (PPM)]]&gt;=0, "1. No evidence (&lt;0.5ppm)"))))</f>
        <v>4. Very high (&gt;2ppm)</v>
      </c>
      <c r="S636">
        <v>0.26</v>
      </c>
      <c r="T6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6">
        <v>2</v>
      </c>
      <c r="V636" t="s">
        <v>1028</v>
      </c>
    </row>
    <row r="637" spans="1:22" x14ac:dyDescent="0.35">
      <c r="A637" t="s">
        <v>1029</v>
      </c>
      <c r="B637" s="2">
        <v>45388</v>
      </c>
      <c r="C637" t="str" cm="1">
        <f t="array" ref="C6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7">
        <f>YEAR(AllDataCorrected[[#This Row],[Date]])</f>
        <v>2024</v>
      </c>
      <c r="E637" s="1">
        <v>0.625</v>
      </c>
      <c r="F6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7" t="str">
        <f>_xlfn.XLOOKUP(AllDataCorrected[[#This Row],[Location Name]], Locations[Location Name],Locations[Group As])</f>
        <v>Carrant Bredon Rd</v>
      </c>
      <c r="H637" t="e" vm="4">
        <f>_xlfn.XLOOKUP(AllDataCorrected[[#This Row],[Site Name]],LocationsKey[Site Name],LocationsKey[District])</f>
        <v>#VALUE!</v>
      </c>
      <c r="I637" t="e" vm="4">
        <f>_xlfn.XLOOKUP(AllDataCorrected[[#This Row],[Site Name]],LocationsKey[Site Name],LocationsKey[Town])</f>
        <v>#VALUE!</v>
      </c>
      <c r="J637" t="str">
        <f>_xlfn.XLOOKUP(AllDataCorrected[[#This Row],[Site Name]],LocationsKey[Site Name], LocationsKey[Waterway])</f>
        <v>Carrant</v>
      </c>
      <c r="K637" t="s">
        <v>603</v>
      </c>
      <c r="L637">
        <f>_xlfn.XLOOKUP(AllDataCorrected[[#This Row],[Site Name]],Tables!$B$12:$B$100, Tables!C$12:C$100)</f>
        <v>51.996322536231894</v>
      </c>
      <c r="M637">
        <f>_xlfn.XLOOKUP(AllDataCorrected[[#This Row],[Site Name]],Tables!$B$12:$B$100, Tables!D$12:D$100)</f>
        <v>-2.1558410144927538</v>
      </c>
      <c r="N637" t="s">
        <v>25</v>
      </c>
      <c r="O637">
        <v>652</v>
      </c>
      <c r="P637">
        <v>15.1</v>
      </c>
      <c r="Q637">
        <v>5</v>
      </c>
      <c r="R637" t="str">
        <f>IF(AllDataCorrected[[#This Row],[Nitrate (PPM)]]&gt;2, "4. Very high (&gt;2ppm)", IF(AllDataCorrected[[#This Row],[Nitrate (PPM)]]&gt;1, "3. High (1-2ppm)", IF(AllDataCorrected[[#This Row],[Nitrate (PPM)]]&gt;0.5, "2. Some evidence (0.5-1ppm)", IF(AllDataCorrected[[#This Row],[Nitrate (PPM)]]&gt;=0, "1. No evidence (&lt;0.5ppm)"))))</f>
        <v>4. Very high (&gt;2ppm)</v>
      </c>
      <c r="S637">
        <v>0.3</v>
      </c>
      <c r="T6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7">
        <v>1.28</v>
      </c>
      <c r="V637" t="s">
        <v>1030</v>
      </c>
    </row>
    <row r="638" spans="1:22" x14ac:dyDescent="0.35">
      <c r="A638" t="s">
        <v>1031</v>
      </c>
      <c r="B638" s="2">
        <v>45388</v>
      </c>
      <c r="C638" t="str" cm="1">
        <f t="array" ref="C6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8">
        <f>YEAR(AllDataCorrected[[#This Row],[Date]])</f>
        <v>2024</v>
      </c>
      <c r="E638" s="1">
        <v>0.64583333333333337</v>
      </c>
      <c r="F6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38" t="str">
        <f>_xlfn.XLOOKUP(AllDataCorrected[[#This Row],[Location Name]], Locations[Location Name],Locations[Group As])</f>
        <v>Black Bear</v>
      </c>
      <c r="H638" t="e" vm="4">
        <f>_xlfn.XLOOKUP(AllDataCorrected[[#This Row],[Site Name]],LocationsKey[Site Name],LocationsKey[District])</f>
        <v>#VALUE!</v>
      </c>
      <c r="I638" t="e" vm="4">
        <f>_xlfn.XLOOKUP(AllDataCorrected[[#This Row],[Site Name]],LocationsKey[Site Name],LocationsKey[Town])</f>
        <v>#VALUE!</v>
      </c>
      <c r="J638" t="str">
        <f>_xlfn.XLOOKUP(AllDataCorrected[[#This Row],[Site Name]],LocationsKey[Site Name], LocationsKey[Waterway])</f>
        <v>Avon</v>
      </c>
      <c r="K638" t="s">
        <v>572</v>
      </c>
      <c r="L638">
        <f>_xlfn.XLOOKUP(AllDataCorrected[[#This Row],[Site Name]],Tables!$B$12:$B$100, Tables!C$12:C$100)</f>
        <v>51.997466254237274</v>
      </c>
      <c r="M638">
        <f>_xlfn.XLOOKUP(AllDataCorrected[[#This Row],[Site Name]],Tables!$B$12:$B$100, Tables!D$12:D$100)</f>
        <v>-2.1561788644067801</v>
      </c>
      <c r="N638" t="s">
        <v>25</v>
      </c>
      <c r="O638">
        <v>631</v>
      </c>
      <c r="P638">
        <v>14.6</v>
      </c>
      <c r="Q638">
        <v>5</v>
      </c>
      <c r="R638" t="str">
        <f>IF(AllDataCorrected[[#This Row],[Nitrate (PPM)]]&gt;2, "4. Very high (&gt;2ppm)", IF(AllDataCorrected[[#This Row],[Nitrate (PPM)]]&gt;1, "3. High (1-2ppm)", IF(AllDataCorrected[[#This Row],[Nitrate (PPM)]]&gt;0.5, "2. Some evidence (0.5-1ppm)", IF(AllDataCorrected[[#This Row],[Nitrate (PPM)]]&gt;=0, "1. No evidence (&lt;0.5ppm)"))))</f>
        <v>4. Very high (&gt;2ppm)</v>
      </c>
      <c r="S638">
        <v>0.4</v>
      </c>
      <c r="T6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38">
        <v>0</v>
      </c>
      <c r="V638" t="s">
        <v>1032</v>
      </c>
    </row>
    <row r="639" spans="1:22" x14ac:dyDescent="0.35">
      <c r="A639" t="s">
        <v>1033</v>
      </c>
      <c r="B639" s="2">
        <v>45388</v>
      </c>
      <c r="C639" t="str" cm="1">
        <f t="array" ref="C6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39">
        <f>YEAR(AllDataCorrected[[#This Row],[Date]])</f>
        <v>2024</v>
      </c>
      <c r="F6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39" t="str">
        <f>_xlfn.XLOOKUP(AllDataCorrected[[#This Row],[Location Name]], Locations[Location Name],Locations[Group As])</f>
        <v>Site 1  :  Middle Street</v>
      </c>
      <c r="H639" t="e" vm="1">
        <f>_xlfn.XLOOKUP(AllDataCorrected[[#This Row],[Site Name]],LocationsKey[Site Name],LocationsKey[District])</f>
        <v>#VALUE!</v>
      </c>
      <c r="I639" t="e" vm="14">
        <f>_xlfn.XLOOKUP(AllDataCorrected[[#This Row],[Site Name]],LocationsKey[Site Name],LocationsKey[Town])</f>
        <v>#VALUE!</v>
      </c>
      <c r="J639" t="str">
        <f>_xlfn.XLOOKUP(AllDataCorrected[[#This Row],[Site Name]],LocationsKey[Site Name], LocationsKey[Waterway])</f>
        <v>Fosseway Brook</v>
      </c>
      <c r="K639" t="s">
        <v>667</v>
      </c>
      <c r="L639">
        <f>_xlfn.XLOOKUP(AllDataCorrected[[#This Row],[Site Name]],Tables!$B$12:$B$100, Tables!C$12:C$100)</f>
        <v>52.090081855670022</v>
      </c>
      <c r="M639">
        <f>_xlfn.XLOOKUP(AllDataCorrected[[#This Row],[Site Name]],Tables!$B$12:$B$100, Tables!D$12:D$100)</f>
        <v>-1.6925771134020597</v>
      </c>
      <c r="N639" t="s">
        <v>68</v>
      </c>
      <c r="O639">
        <v>519</v>
      </c>
      <c r="P639">
        <v>14.8</v>
      </c>
      <c r="Q639">
        <v>2</v>
      </c>
      <c r="R639" t="str">
        <f>IF(AllDataCorrected[[#This Row],[Nitrate (PPM)]]&gt;2, "4. Very high (&gt;2ppm)", IF(AllDataCorrected[[#This Row],[Nitrate (PPM)]]&gt;1, "3. High (1-2ppm)", IF(AllDataCorrected[[#This Row],[Nitrate (PPM)]]&gt;0.5, "2. Some evidence (0.5-1ppm)", IF(AllDataCorrected[[#This Row],[Nitrate (PPM)]]&gt;=0, "1. No evidence (&lt;0.5ppm)"))))</f>
        <v>3. High (1-2ppm)</v>
      </c>
      <c r="S639">
        <v>0.06</v>
      </c>
      <c r="T639"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39">
        <v>0</v>
      </c>
      <c r="V639" t="s">
        <v>1034</v>
      </c>
    </row>
    <row r="640" spans="1:22" x14ac:dyDescent="0.35">
      <c r="A640" t="s">
        <v>1035</v>
      </c>
      <c r="B640" s="2">
        <v>45388</v>
      </c>
      <c r="C640" t="str" cm="1">
        <f t="array" ref="C6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0">
        <f>YEAR(AllDataCorrected[[#This Row],[Date]])</f>
        <v>2024</v>
      </c>
      <c r="F6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0" t="str">
        <f>_xlfn.XLOOKUP(AllDataCorrected[[#This Row],[Location Name]], Locations[Location Name],Locations[Group As])</f>
        <v>Site 1  :  Middle Street</v>
      </c>
      <c r="H640" t="e" vm="1">
        <f>_xlfn.XLOOKUP(AllDataCorrected[[#This Row],[Site Name]],LocationsKey[Site Name],LocationsKey[District])</f>
        <v>#VALUE!</v>
      </c>
      <c r="I640" t="e" vm="14">
        <f>_xlfn.XLOOKUP(AllDataCorrected[[#This Row],[Site Name]],LocationsKey[Site Name],LocationsKey[Town])</f>
        <v>#VALUE!</v>
      </c>
      <c r="J640" t="str">
        <f>_xlfn.XLOOKUP(AllDataCorrected[[#This Row],[Site Name]],LocationsKey[Site Name], LocationsKey[Waterway])</f>
        <v>Fosseway Brook</v>
      </c>
      <c r="K640" t="s">
        <v>670</v>
      </c>
      <c r="L640">
        <f>_xlfn.XLOOKUP(AllDataCorrected[[#This Row],[Site Name]],Tables!$B$12:$B$100, Tables!C$12:C$100)</f>
        <v>52.090081855670022</v>
      </c>
      <c r="M640">
        <f>_xlfn.XLOOKUP(AllDataCorrected[[#This Row],[Site Name]],Tables!$B$12:$B$100, Tables!D$12:D$100)</f>
        <v>-1.6925771134020597</v>
      </c>
      <c r="N640" t="s">
        <v>68</v>
      </c>
      <c r="O640">
        <v>519</v>
      </c>
      <c r="P640">
        <v>14.8</v>
      </c>
      <c r="Q640">
        <v>2</v>
      </c>
      <c r="R640" t="str">
        <f>IF(AllDataCorrected[[#This Row],[Nitrate (PPM)]]&gt;2, "4. Very high (&gt;2ppm)", IF(AllDataCorrected[[#This Row],[Nitrate (PPM)]]&gt;1, "3. High (1-2ppm)", IF(AllDataCorrected[[#This Row],[Nitrate (PPM)]]&gt;0.5, "2. Some evidence (0.5-1ppm)", IF(AllDataCorrected[[#This Row],[Nitrate (PPM)]]&gt;=0, "1. No evidence (&lt;0.5ppm)"))))</f>
        <v>3. High (1-2ppm)</v>
      </c>
      <c r="S640">
        <v>0.06</v>
      </c>
      <c r="T640"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V640" t="s">
        <v>1036</v>
      </c>
    </row>
    <row r="641" spans="1:22" x14ac:dyDescent="0.35">
      <c r="A641" t="s">
        <v>1037</v>
      </c>
      <c r="B641" s="2">
        <v>45388</v>
      </c>
      <c r="C641" t="str" cm="1">
        <f t="array" ref="C6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1">
        <f>YEAR(AllDataCorrected[[#This Row],[Date]])</f>
        <v>2024</v>
      </c>
      <c r="F64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1" t="str">
        <f>_xlfn.XLOOKUP(AllDataCorrected[[#This Row],[Location Name]], Locations[Location Name],Locations[Group As])</f>
        <v>Site 2  :  Cross Leys culvert</v>
      </c>
      <c r="H641" t="e" vm="1">
        <f>_xlfn.XLOOKUP(AllDataCorrected[[#This Row],[Site Name]],LocationsKey[Site Name],LocationsKey[District])</f>
        <v>#VALUE!</v>
      </c>
      <c r="I641" t="e" vm="14">
        <f>_xlfn.XLOOKUP(AllDataCorrected[[#This Row],[Site Name]],LocationsKey[Site Name],LocationsKey[Town])</f>
        <v>#VALUE!</v>
      </c>
      <c r="J641" t="str">
        <f>_xlfn.XLOOKUP(AllDataCorrected[[#This Row],[Site Name]],LocationsKey[Site Name], LocationsKey[Waterway])</f>
        <v>Fosseway Brook</v>
      </c>
      <c r="K641" t="s">
        <v>623</v>
      </c>
      <c r="L641">
        <f>_xlfn.XLOOKUP(AllDataCorrected[[#This Row],[Site Name]],Tables!$B$12:$B$100, Tables!C$12:C$100)</f>
        <v>52.092997354838673</v>
      </c>
      <c r="M641">
        <f>_xlfn.XLOOKUP(AllDataCorrected[[#This Row],[Site Name]],Tables!$B$12:$B$100, Tables!D$12:D$100)</f>
        <v>-1.6862254516129045</v>
      </c>
      <c r="N641" t="s">
        <v>68</v>
      </c>
      <c r="O641">
        <v>588</v>
      </c>
      <c r="P641">
        <v>14.1</v>
      </c>
      <c r="Q641">
        <v>2</v>
      </c>
      <c r="R641" t="str">
        <f>IF(AllDataCorrected[[#This Row],[Nitrate (PPM)]]&gt;2, "4. Very high (&gt;2ppm)", IF(AllDataCorrected[[#This Row],[Nitrate (PPM)]]&gt;1, "3. High (1-2ppm)", IF(AllDataCorrected[[#This Row],[Nitrate (PPM)]]&gt;0.5, "2. Some evidence (0.5-1ppm)", IF(AllDataCorrected[[#This Row],[Nitrate (PPM)]]&gt;=0, "1. No evidence (&lt;0.5ppm)"))))</f>
        <v>3. High (1-2ppm)</v>
      </c>
      <c r="S641">
        <v>0.3</v>
      </c>
      <c r="T64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1">
        <v>0</v>
      </c>
      <c r="V641" t="s">
        <v>948</v>
      </c>
    </row>
    <row r="642" spans="1:22" x14ac:dyDescent="0.35">
      <c r="A642" t="s">
        <v>1038</v>
      </c>
      <c r="B642" s="2">
        <v>45388</v>
      </c>
      <c r="C642" t="str" cm="1">
        <f t="array" ref="C6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2">
        <f>YEAR(AllDataCorrected[[#This Row],[Date]])</f>
        <v>2024</v>
      </c>
      <c r="F64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2" t="str">
        <f>_xlfn.XLOOKUP(AllDataCorrected[[#This Row],[Location Name]], Locations[Location Name],Locations[Group As])</f>
        <v>Site 2  :  Cross Leys culvert</v>
      </c>
      <c r="H642" t="e" vm="1">
        <f>_xlfn.XLOOKUP(AllDataCorrected[[#This Row],[Site Name]],LocationsKey[Site Name],LocationsKey[District])</f>
        <v>#VALUE!</v>
      </c>
      <c r="I642" t="e" vm="14">
        <f>_xlfn.XLOOKUP(AllDataCorrected[[#This Row],[Site Name]],LocationsKey[Site Name],LocationsKey[Town])</f>
        <v>#VALUE!</v>
      </c>
      <c r="J642" t="str">
        <f>_xlfn.XLOOKUP(AllDataCorrected[[#This Row],[Site Name]],LocationsKey[Site Name], LocationsKey[Waterway])</f>
        <v>Fosseway Brook</v>
      </c>
      <c r="K642" t="s">
        <v>626</v>
      </c>
      <c r="L642">
        <f>_xlfn.XLOOKUP(AllDataCorrected[[#This Row],[Site Name]],Tables!$B$12:$B$100, Tables!C$12:C$100)</f>
        <v>52.092997354838673</v>
      </c>
      <c r="M642">
        <f>_xlfn.XLOOKUP(AllDataCorrected[[#This Row],[Site Name]],Tables!$B$12:$B$100, Tables!D$12:D$100)</f>
        <v>-1.6862254516129045</v>
      </c>
      <c r="N642" t="s">
        <v>68</v>
      </c>
      <c r="O642">
        <v>588</v>
      </c>
      <c r="P642">
        <v>14.1</v>
      </c>
      <c r="Q642">
        <v>2</v>
      </c>
      <c r="R642" t="str">
        <f>IF(AllDataCorrected[[#This Row],[Nitrate (PPM)]]&gt;2, "4. Very high (&gt;2ppm)", IF(AllDataCorrected[[#This Row],[Nitrate (PPM)]]&gt;1, "3. High (1-2ppm)", IF(AllDataCorrected[[#This Row],[Nitrate (PPM)]]&gt;0.5, "2. Some evidence (0.5-1ppm)", IF(AllDataCorrected[[#This Row],[Nitrate (PPM)]]&gt;=0, "1. No evidence (&lt;0.5ppm)"))))</f>
        <v>3. High (1-2ppm)</v>
      </c>
      <c r="S642">
        <v>0.3</v>
      </c>
      <c r="T6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42" t="s">
        <v>950</v>
      </c>
    </row>
    <row r="643" spans="1:22" x14ac:dyDescent="0.35">
      <c r="A643" t="s">
        <v>1039</v>
      </c>
      <c r="B643" s="2">
        <v>45388</v>
      </c>
      <c r="C643" t="str" cm="1">
        <f t="array" ref="C6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3">
        <f>YEAR(AllDataCorrected[[#This Row],[Date]])</f>
        <v>2024</v>
      </c>
      <c r="F64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3" t="str">
        <f>_xlfn.XLOOKUP(AllDataCorrected[[#This Row],[Location Name]], Locations[Location Name],Locations[Group As])</f>
        <v>Site 3  :  Severn Trent Water processing plant outflow</v>
      </c>
      <c r="H643" t="e" vm="1">
        <f>_xlfn.XLOOKUP(AllDataCorrected[[#This Row],[Site Name]],LocationsKey[Site Name],LocationsKey[District])</f>
        <v>#VALUE!</v>
      </c>
      <c r="I643" t="e" vm="14">
        <f>_xlfn.XLOOKUP(AllDataCorrected[[#This Row],[Site Name]],LocationsKey[Site Name],LocationsKey[Town])</f>
        <v>#VALUE!</v>
      </c>
      <c r="J643" t="str">
        <f>_xlfn.XLOOKUP(AllDataCorrected[[#This Row],[Site Name]],LocationsKey[Site Name], LocationsKey[Waterway])</f>
        <v>Fosseway Brook</v>
      </c>
      <c r="K643" t="s">
        <v>673</v>
      </c>
      <c r="L643">
        <f>_xlfn.XLOOKUP(AllDataCorrected[[#This Row],[Site Name]],Tables!$B$12:$B$100, Tables!C$12:C$100)</f>
        <v>52.130499999999998</v>
      </c>
      <c r="M643">
        <f>_xlfn.XLOOKUP(AllDataCorrected[[#This Row],[Site Name]],Tables!$B$12:$B$100, Tables!D$12:D$100)</f>
        <v>-2.0787</v>
      </c>
      <c r="N643" t="s">
        <v>31</v>
      </c>
      <c r="O643">
        <v>712</v>
      </c>
      <c r="P643">
        <v>13.1</v>
      </c>
      <c r="Q643">
        <v>5</v>
      </c>
      <c r="R643" t="str">
        <f>IF(AllDataCorrected[[#This Row],[Nitrate (PPM)]]&gt;2, "4. Very high (&gt;2ppm)", IF(AllDataCorrected[[#This Row],[Nitrate (PPM)]]&gt;1, "3. High (1-2ppm)", IF(AllDataCorrected[[#This Row],[Nitrate (PPM)]]&gt;0.5, "2. Some evidence (0.5-1ppm)", IF(AllDataCorrected[[#This Row],[Nitrate (PPM)]]&gt;=0, "1. No evidence (&lt;0.5ppm)"))))</f>
        <v>4. Very high (&gt;2ppm)</v>
      </c>
      <c r="S643">
        <v>2.5</v>
      </c>
      <c r="T6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3">
        <v>0</v>
      </c>
      <c r="V643" t="s">
        <v>1040</v>
      </c>
    </row>
    <row r="644" spans="1:22" x14ac:dyDescent="0.35">
      <c r="A644" t="s">
        <v>1041</v>
      </c>
      <c r="B644" s="2">
        <v>45388</v>
      </c>
      <c r="C644" t="str" cm="1">
        <f t="array" ref="C6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4">
        <f>YEAR(AllDataCorrected[[#This Row],[Date]])</f>
        <v>2024</v>
      </c>
      <c r="F64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44" t="str">
        <f>_xlfn.XLOOKUP(AllDataCorrected[[#This Row],[Location Name]], Locations[Location Name],Locations[Group As])</f>
        <v>Site 3  :  Severn Trent Water processing plant outflow</v>
      </c>
      <c r="H644" t="e" vm="1">
        <f>_xlfn.XLOOKUP(AllDataCorrected[[#This Row],[Site Name]],LocationsKey[Site Name],LocationsKey[District])</f>
        <v>#VALUE!</v>
      </c>
      <c r="I644" t="e" vm="14">
        <f>_xlfn.XLOOKUP(AllDataCorrected[[#This Row],[Site Name]],LocationsKey[Site Name],LocationsKey[Town])</f>
        <v>#VALUE!</v>
      </c>
      <c r="J644" t="str">
        <f>_xlfn.XLOOKUP(AllDataCorrected[[#This Row],[Site Name]],LocationsKey[Site Name], LocationsKey[Waterway])</f>
        <v>Fosseway Brook</v>
      </c>
      <c r="K644" t="s">
        <v>676</v>
      </c>
      <c r="L644">
        <f>_xlfn.XLOOKUP(AllDataCorrected[[#This Row],[Site Name]],Tables!$B$12:$B$100, Tables!C$12:C$100)</f>
        <v>52.130499999999998</v>
      </c>
      <c r="M644">
        <f>_xlfn.XLOOKUP(AllDataCorrected[[#This Row],[Site Name]],Tables!$B$12:$B$100, Tables!D$12:D$100)</f>
        <v>-2.0787</v>
      </c>
      <c r="N644" t="s">
        <v>31</v>
      </c>
      <c r="O644">
        <v>712</v>
      </c>
      <c r="P644">
        <v>13.1</v>
      </c>
      <c r="Q644">
        <v>5</v>
      </c>
      <c r="R644" t="str">
        <f>IF(AllDataCorrected[[#This Row],[Nitrate (PPM)]]&gt;2, "4. Very high (&gt;2ppm)", IF(AllDataCorrected[[#This Row],[Nitrate (PPM)]]&gt;1, "3. High (1-2ppm)", IF(AllDataCorrected[[#This Row],[Nitrate (PPM)]]&gt;0.5, "2. Some evidence (0.5-1ppm)", IF(AllDataCorrected[[#This Row],[Nitrate (PPM)]]&gt;=0, "1. No evidence (&lt;0.5ppm)"))))</f>
        <v>4. Very high (&gt;2ppm)</v>
      </c>
      <c r="S644">
        <v>2.5</v>
      </c>
      <c r="T64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644" t="s">
        <v>950</v>
      </c>
    </row>
    <row r="645" spans="1:22" x14ac:dyDescent="0.35">
      <c r="A645" t="s">
        <v>1043</v>
      </c>
      <c r="B645" s="2">
        <v>45389</v>
      </c>
      <c r="C645" t="str" cm="1">
        <f t="array" ref="C6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5">
        <f>YEAR(AllDataCorrected[[#This Row],[Date]])</f>
        <v>2024</v>
      </c>
      <c r="E645" s="1">
        <v>0.4513888888888889</v>
      </c>
      <c r="F6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45" t="str">
        <f>_xlfn.XLOOKUP(AllDataCorrected[[#This Row],[Location Name]], Locations[Location Name],Locations[Group As])</f>
        <v>The Ford, Langley</v>
      </c>
      <c r="H645" t="e" vm="1">
        <f>_xlfn.XLOOKUP(AllDataCorrected[[#This Row],[Site Name]],LocationsKey[Site Name],LocationsKey[District])</f>
        <v>#VALUE!</v>
      </c>
      <c r="I645" t="str">
        <f>_xlfn.XLOOKUP(AllDataCorrected[[#This Row],[Site Name]],LocationsKey[Site Name],LocationsKey[Town])</f>
        <v>Langley</v>
      </c>
      <c r="J645" t="str">
        <f>_xlfn.XLOOKUP(AllDataCorrected[[#This Row],[Site Name]],LocationsKey[Site Name], LocationsKey[Waterway])</f>
        <v>Langley Ford</v>
      </c>
      <c r="K645" t="s">
        <v>561</v>
      </c>
      <c r="L645">
        <f>_xlfn.XLOOKUP(AllDataCorrected[[#This Row],[Site Name]],Tables!$B$12:$B$100, Tables!C$12:C$100)</f>
        <v>52.262666528301864</v>
      </c>
      <c r="M645">
        <f>_xlfn.XLOOKUP(AllDataCorrected[[#This Row],[Site Name]],Tables!$B$12:$B$100, Tables!D$12:D$100)</f>
        <v>-1.6545845283018858</v>
      </c>
      <c r="N645" t="s">
        <v>31</v>
      </c>
      <c r="O645">
        <v>436</v>
      </c>
      <c r="P645">
        <v>11</v>
      </c>
      <c r="Q645">
        <v>0.5</v>
      </c>
      <c r="R645"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45">
        <v>0.73</v>
      </c>
      <c r="T6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5">
        <v>0.45</v>
      </c>
      <c r="V645" t="s">
        <v>1044</v>
      </c>
    </row>
    <row r="646" spans="1:22" x14ac:dyDescent="0.35">
      <c r="A646" t="s">
        <v>1045</v>
      </c>
      <c r="B646" s="2">
        <v>45389</v>
      </c>
      <c r="C646" t="str" cm="1">
        <f t="array" ref="C6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6">
        <f>YEAR(AllDataCorrected[[#This Row],[Date]])</f>
        <v>2024</v>
      </c>
      <c r="E646" s="1">
        <v>0.48958333333333331</v>
      </c>
      <c r="F6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46" t="str">
        <f>_xlfn.XLOOKUP(AllDataCorrected[[#This Row],[Location Name]], Locations[Location Name],Locations[Group As])</f>
        <v>Lucy's Mill Bridge</v>
      </c>
      <c r="H646" t="e" vm="1">
        <f>_xlfn.XLOOKUP(AllDataCorrected[[#This Row],[Site Name]],LocationsKey[Site Name],LocationsKey[District])</f>
        <v>#VALUE!</v>
      </c>
      <c r="I646" t="e" vm="12">
        <f>_xlfn.XLOOKUP(AllDataCorrected[[#This Row],[Site Name]],LocationsKey[Site Name],LocationsKey[Town])</f>
        <v>#VALUE!</v>
      </c>
      <c r="J646" t="str">
        <f>_xlfn.XLOOKUP(AllDataCorrected[[#This Row],[Site Name]],LocationsKey[Site Name], LocationsKey[Waterway])</f>
        <v>Avon</v>
      </c>
      <c r="K646" t="s">
        <v>212</v>
      </c>
      <c r="L646">
        <f>_xlfn.XLOOKUP(AllDataCorrected[[#This Row],[Site Name]],Tables!$B$12:$B$100, Tables!C$12:C$100)</f>
        <v>52.183699000000011</v>
      </c>
      <c r="M646">
        <f>_xlfn.XLOOKUP(AllDataCorrected[[#This Row],[Site Name]],Tables!$B$12:$B$100, Tables!D$12:D$100)</f>
        <v>-1.7078160000000004</v>
      </c>
      <c r="N646" t="s">
        <v>31</v>
      </c>
      <c r="P646">
        <v>13</v>
      </c>
      <c r="Q646">
        <v>5</v>
      </c>
      <c r="R646" t="str">
        <f>IF(AllDataCorrected[[#This Row],[Nitrate (PPM)]]&gt;2, "4. Very high (&gt;2ppm)", IF(AllDataCorrected[[#This Row],[Nitrate (PPM)]]&gt;1, "3. High (1-2ppm)", IF(AllDataCorrected[[#This Row],[Nitrate (PPM)]]&gt;0.5, "2. Some evidence (0.5-1ppm)", IF(AllDataCorrected[[#This Row],[Nitrate (PPM)]]&gt;=0, "1. No evidence (&lt;0.5ppm)"))))</f>
        <v>4. Very high (&gt;2ppm)</v>
      </c>
      <c r="S646">
        <v>0.26</v>
      </c>
      <c r="T6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6">
        <v>0.7</v>
      </c>
    </row>
    <row r="647" spans="1:22" x14ac:dyDescent="0.35">
      <c r="A647" t="s">
        <v>1046</v>
      </c>
      <c r="B647" s="2">
        <v>45389</v>
      </c>
      <c r="C647" t="str" cm="1">
        <f t="array" ref="C6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7">
        <f>YEAR(AllDataCorrected[[#This Row],[Date]])</f>
        <v>2024</v>
      </c>
      <c r="E647" s="1">
        <v>0.57291666666666663</v>
      </c>
      <c r="F6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7" t="str">
        <f>_xlfn.XLOOKUP(AllDataCorrected[[#This Row],[Location Name]], Locations[Location Name],Locations[Group As])</f>
        <v>Clifford Chambers Mill Bridge</v>
      </c>
      <c r="H647" t="e" vm="1">
        <f>_xlfn.XLOOKUP(AllDataCorrected[[#This Row],[Site Name]],LocationsKey[Site Name],LocationsKey[District])</f>
        <v>#VALUE!</v>
      </c>
      <c r="I647" t="e" vm="22">
        <f>_xlfn.XLOOKUP(AllDataCorrected[[#This Row],[Site Name]],LocationsKey[Site Name],LocationsKey[Town])</f>
        <v>#VALUE!</v>
      </c>
      <c r="J647" t="str">
        <f>_xlfn.XLOOKUP(AllDataCorrected[[#This Row],[Site Name]],LocationsKey[Site Name], LocationsKey[Waterway])</f>
        <v>Stour</v>
      </c>
      <c r="K647" t="s">
        <v>266</v>
      </c>
      <c r="L647">
        <f>_xlfn.XLOOKUP(AllDataCorrected[[#This Row],[Site Name]],Tables!$B$12:$B$100, Tables!C$12:C$100)</f>
        <v>52.166363596153808</v>
      </c>
      <c r="M647">
        <f>_xlfn.XLOOKUP(AllDataCorrected[[#This Row],[Site Name]],Tables!$B$12:$B$100, Tables!D$12:D$100)</f>
        <v>-1.7080375384615398</v>
      </c>
      <c r="N647" t="s">
        <v>68</v>
      </c>
      <c r="O647">
        <v>617</v>
      </c>
      <c r="P647">
        <v>14.4</v>
      </c>
      <c r="Q647">
        <v>9</v>
      </c>
      <c r="R647" t="str">
        <f>IF(AllDataCorrected[[#This Row],[Nitrate (PPM)]]&gt;2, "4. Very high (&gt;2ppm)", IF(AllDataCorrected[[#This Row],[Nitrate (PPM)]]&gt;1, "3. High (1-2ppm)", IF(AllDataCorrected[[#This Row],[Nitrate (PPM)]]&gt;0.5, "2. Some evidence (0.5-1ppm)", IF(AllDataCorrected[[#This Row],[Nitrate (PPM)]]&gt;=0, "1. No evidence (&lt;0.5ppm)"))))</f>
        <v>4. Very high (&gt;2ppm)</v>
      </c>
      <c r="S647">
        <v>0.24</v>
      </c>
      <c r="T6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7">
        <v>1.25</v>
      </c>
      <c r="V647" t="s">
        <v>34</v>
      </c>
    </row>
    <row r="648" spans="1:22" x14ac:dyDescent="0.35">
      <c r="A648" t="s">
        <v>1047</v>
      </c>
      <c r="B648" s="2">
        <v>45389</v>
      </c>
      <c r="C648" t="str" cm="1">
        <f t="array" ref="C6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8">
        <f>YEAR(AllDataCorrected[[#This Row],[Date]])</f>
        <v>2024</v>
      </c>
      <c r="E648" s="1">
        <v>0.61041666666666672</v>
      </c>
      <c r="F6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8" t="str">
        <f>_xlfn.XLOOKUP(AllDataCorrected[[#This Row],[Location Name]], Locations[Location Name],Locations[Group As])</f>
        <v>Walcot Lane, Bow Brook Ford</v>
      </c>
      <c r="H648" t="e" vm="6">
        <f>_xlfn.XLOOKUP(AllDataCorrected[[#This Row],[Site Name]],LocationsKey[Site Name],LocationsKey[District])</f>
        <v>#VALUE!</v>
      </c>
      <c r="I648" t="e" vm="7">
        <f>_xlfn.XLOOKUP(AllDataCorrected[[#This Row],[Site Name]],LocationsKey[Site Name],LocationsKey[Town])</f>
        <v>#VALUE!</v>
      </c>
      <c r="J648" t="str">
        <f>_xlfn.XLOOKUP(AllDataCorrected[[#This Row],[Site Name]],LocationsKey[Site Name], LocationsKey[Waterway])</f>
        <v>Bow Brook</v>
      </c>
      <c r="K648" t="s">
        <v>775</v>
      </c>
      <c r="L648">
        <f>_xlfn.XLOOKUP(AllDataCorrected[[#This Row],[Site Name]],Tables!$B$12:$B$100, Tables!C$12:C$100)</f>
        <v>52.12810345454546</v>
      </c>
      <c r="M648">
        <f>_xlfn.XLOOKUP(AllDataCorrected[[#This Row],[Site Name]],Tables!$B$12:$B$100, Tables!D$12:D$100)</f>
        <v>-2.0789593939393938</v>
      </c>
      <c r="N648" t="s">
        <v>25</v>
      </c>
      <c r="O648">
        <v>749</v>
      </c>
      <c r="P648">
        <v>13.2</v>
      </c>
      <c r="Q648">
        <v>5</v>
      </c>
      <c r="R648" t="str">
        <f>IF(AllDataCorrected[[#This Row],[Nitrate (PPM)]]&gt;2, "4. Very high (&gt;2ppm)", IF(AllDataCorrected[[#This Row],[Nitrate (PPM)]]&gt;1, "3. High (1-2ppm)", IF(AllDataCorrected[[#This Row],[Nitrate (PPM)]]&gt;0.5, "2. Some evidence (0.5-1ppm)", IF(AllDataCorrected[[#This Row],[Nitrate (PPM)]]&gt;=0, "1. No evidence (&lt;0.5ppm)"))))</f>
        <v>4. Very high (&gt;2ppm)</v>
      </c>
      <c r="S648">
        <v>0.8</v>
      </c>
      <c r="T6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48">
        <v>0.9</v>
      </c>
      <c r="V648" t="s">
        <v>1048</v>
      </c>
    </row>
    <row r="649" spans="1:22" x14ac:dyDescent="0.35">
      <c r="A649" t="s">
        <v>1049</v>
      </c>
      <c r="B649" s="2">
        <v>45389</v>
      </c>
      <c r="C649" t="str" cm="1">
        <f t="array" ref="C6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49">
        <f>YEAR(AllDataCorrected[[#This Row],[Date]])</f>
        <v>2024</v>
      </c>
      <c r="E649" s="1">
        <v>0.61805555555555558</v>
      </c>
      <c r="F6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49" t="str">
        <f>_xlfn.XLOOKUP(AllDataCorrected[[#This Row],[Location Name]], Locations[Location Name],Locations[Group As])</f>
        <v>Fell Mill Footbridge</v>
      </c>
      <c r="H649" t="e" vm="1">
        <f>_xlfn.XLOOKUP(AllDataCorrected[[#This Row],[Site Name]],LocationsKey[Site Name],LocationsKey[District])</f>
        <v>#VALUE!</v>
      </c>
      <c r="I649" t="e" vm="15">
        <f>_xlfn.XLOOKUP(AllDataCorrected[[#This Row],[Site Name]],LocationsKey[Site Name],LocationsKey[Town])</f>
        <v>#VALUE!</v>
      </c>
      <c r="J649" t="str">
        <f>_xlfn.XLOOKUP(AllDataCorrected[[#This Row],[Site Name]],LocationsKey[Site Name], LocationsKey[Waterway])</f>
        <v>Stour</v>
      </c>
      <c r="K649" t="s">
        <v>875</v>
      </c>
      <c r="L649">
        <f>_xlfn.XLOOKUP(AllDataCorrected[[#This Row],[Site Name]],Tables!$B$12:$B$100, Tables!C$12:C$100)</f>
        <v>52.069044372881365</v>
      </c>
      <c r="M649">
        <f>_xlfn.XLOOKUP(AllDataCorrected[[#This Row],[Site Name]],Tables!$B$12:$B$100, Tables!D$12:D$100)</f>
        <v>-1.6116270169491524</v>
      </c>
      <c r="N649" t="s">
        <v>31</v>
      </c>
      <c r="O649">
        <v>579</v>
      </c>
      <c r="P649">
        <v>12.5</v>
      </c>
      <c r="Q649">
        <v>2</v>
      </c>
      <c r="R649" t="str">
        <f>IF(AllDataCorrected[[#This Row],[Nitrate (PPM)]]&gt;2, "4. Very high (&gt;2ppm)", IF(AllDataCorrected[[#This Row],[Nitrate (PPM)]]&gt;1, "3. High (1-2ppm)", IF(AllDataCorrected[[#This Row],[Nitrate (PPM)]]&gt;0.5, "2. Some evidence (0.5-1ppm)", IF(AllDataCorrected[[#This Row],[Nitrate (PPM)]]&gt;=0, "1. No evidence (&lt;0.5ppm)"))))</f>
        <v>3. High (1-2ppm)</v>
      </c>
      <c r="S649">
        <v>0.22</v>
      </c>
      <c r="T6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49">
        <v>1.75</v>
      </c>
      <c r="V649" t="s">
        <v>1050</v>
      </c>
    </row>
    <row r="650" spans="1:22" x14ac:dyDescent="0.35">
      <c r="A650" t="s">
        <v>1051</v>
      </c>
      <c r="B650" s="2">
        <v>45390</v>
      </c>
      <c r="C650" t="str" cm="1">
        <f t="array" ref="C6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0">
        <f>YEAR(AllDataCorrected[[#This Row],[Date]])</f>
        <v>2024</v>
      </c>
      <c r="E650" s="1">
        <v>0.40555555555555556</v>
      </c>
      <c r="F6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0" t="str">
        <f>_xlfn.XLOOKUP(AllDataCorrected[[#This Row],[Location Name]], Locations[Location Name],Locations[Group As])</f>
        <v>Stour Stretton-on-Fosse Village</v>
      </c>
      <c r="H650" t="e" vm="1">
        <f>_xlfn.XLOOKUP(AllDataCorrected[[#This Row],[Site Name]],LocationsKey[Site Name],LocationsKey[District])</f>
        <v>#VALUE!</v>
      </c>
      <c r="I650" t="e" vm="30">
        <f>_xlfn.XLOOKUP(AllDataCorrected[[#This Row],[Site Name]],LocationsKey[Site Name],LocationsKey[Town])</f>
        <v>#VALUE!</v>
      </c>
      <c r="J650" t="str">
        <f>_xlfn.XLOOKUP(AllDataCorrected[[#This Row],[Site Name]],LocationsKey[Site Name], LocationsKey[Waterway])</f>
        <v>Stour</v>
      </c>
      <c r="K650" t="s">
        <v>548</v>
      </c>
      <c r="L650">
        <f>_xlfn.XLOOKUP(AllDataCorrected[[#This Row],[Site Name]],Tables!$B$12:$B$100, Tables!C$12:C$100)</f>
        <v>52.046517558823531</v>
      </c>
      <c r="M650">
        <f>_xlfn.XLOOKUP(AllDataCorrected[[#This Row],[Site Name]],Tables!$B$12:$B$100, Tables!D$12:D$100)</f>
        <v>-1.6734143529411762</v>
      </c>
      <c r="N650" t="s">
        <v>68</v>
      </c>
      <c r="O650">
        <v>610</v>
      </c>
      <c r="P650">
        <v>11.4</v>
      </c>
      <c r="Q650">
        <v>2</v>
      </c>
      <c r="R650" t="str">
        <f>IF(AllDataCorrected[[#This Row],[Nitrate (PPM)]]&gt;2, "4. Very high (&gt;2ppm)", IF(AllDataCorrected[[#This Row],[Nitrate (PPM)]]&gt;1, "3. High (1-2ppm)", IF(AllDataCorrected[[#This Row],[Nitrate (PPM)]]&gt;0.5, "2. Some evidence (0.5-1ppm)", IF(AllDataCorrected[[#This Row],[Nitrate (PPM)]]&gt;=0, "1. No evidence (&lt;0.5ppm)"))))</f>
        <v>3. High (1-2ppm)</v>
      </c>
      <c r="S650">
        <v>1.28</v>
      </c>
      <c r="T6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0">
        <v>0.2</v>
      </c>
    </row>
    <row r="651" spans="1:22" x14ac:dyDescent="0.35">
      <c r="A651" t="s">
        <v>1052</v>
      </c>
      <c r="B651" s="2">
        <v>45390</v>
      </c>
      <c r="C651" t="str" cm="1">
        <f t="array" ref="C6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1">
        <f>YEAR(AllDataCorrected[[#This Row],[Date]])</f>
        <v>2024</v>
      </c>
      <c r="E651" s="1">
        <v>0.41736111111111113</v>
      </c>
      <c r="F6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1" t="str">
        <f>_xlfn.XLOOKUP(AllDataCorrected[[#This Row],[Location Name]], Locations[Location Name],Locations[Group As])</f>
        <v>Stour Stretton-on-Fosse Sewage Works</v>
      </c>
      <c r="H651" t="e" vm="1">
        <f>_xlfn.XLOOKUP(AllDataCorrected[[#This Row],[Site Name]],LocationsKey[Site Name],LocationsKey[District])</f>
        <v>#VALUE!</v>
      </c>
      <c r="I651" t="e" vm="30">
        <f>_xlfn.XLOOKUP(AllDataCorrected[[#This Row],[Site Name]],LocationsKey[Site Name],LocationsKey[Town])</f>
        <v>#VALUE!</v>
      </c>
      <c r="J651" t="str">
        <f>_xlfn.XLOOKUP(AllDataCorrected[[#This Row],[Site Name]],LocationsKey[Site Name], LocationsKey[Waterway])</f>
        <v>Stour</v>
      </c>
      <c r="K651" t="s">
        <v>337</v>
      </c>
      <c r="L651">
        <f>_xlfn.XLOOKUP(AllDataCorrected[[#This Row],[Site Name]],Tables!$B$12:$B$100, Tables!C$12:C$100)</f>
        <v>52.045653647058828</v>
      </c>
      <c r="M651">
        <f>_xlfn.XLOOKUP(AllDataCorrected[[#This Row],[Site Name]],Tables!$B$12:$B$100, Tables!D$12:D$100)</f>
        <v>-1.6719221470588239</v>
      </c>
      <c r="N651" t="s">
        <v>31</v>
      </c>
      <c r="O651">
        <v>677</v>
      </c>
      <c r="P651">
        <v>11.4</v>
      </c>
      <c r="Q651">
        <v>2</v>
      </c>
      <c r="R651" t="str">
        <f>IF(AllDataCorrected[[#This Row],[Nitrate (PPM)]]&gt;2, "4. Very high (&gt;2ppm)", IF(AllDataCorrected[[#This Row],[Nitrate (PPM)]]&gt;1, "3. High (1-2ppm)", IF(AllDataCorrected[[#This Row],[Nitrate (PPM)]]&gt;0.5, "2. Some evidence (0.5-1ppm)", IF(AllDataCorrected[[#This Row],[Nitrate (PPM)]]&gt;=0, "1. No evidence (&lt;0.5ppm)"))))</f>
        <v>3. High (1-2ppm)</v>
      </c>
      <c r="S651">
        <v>2.5</v>
      </c>
      <c r="T6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1">
        <v>0.3</v>
      </c>
    </row>
    <row r="652" spans="1:22" x14ac:dyDescent="0.35">
      <c r="A652" t="s">
        <v>1053</v>
      </c>
      <c r="B652" s="2">
        <v>45390</v>
      </c>
      <c r="C652" t="str" cm="1">
        <f t="array" ref="C6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2">
        <f>YEAR(AllDataCorrected[[#This Row],[Date]])</f>
        <v>2024</v>
      </c>
      <c r="E652" s="1">
        <v>0.60416666666666663</v>
      </c>
      <c r="F65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2" t="str">
        <f>_xlfn.XLOOKUP(AllDataCorrected[[#This Row],[Location Name]], Locations[Location Name],Locations[Group As])</f>
        <v>Swiffen Bank</v>
      </c>
      <c r="H652" t="e" vm="1">
        <f>_xlfn.XLOOKUP(AllDataCorrected[[#This Row],[Site Name]],LocationsKey[Site Name],LocationsKey[District])</f>
        <v>#VALUE!</v>
      </c>
      <c r="I652" t="e" vm="2">
        <f>_xlfn.XLOOKUP(AllDataCorrected[[#This Row],[Site Name]],LocationsKey[Site Name],LocationsKey[Town])</f>
        <v>#VALUE!</v>
      </c>
      <c r="J652" t="str">
        <f>_xlfn.XLOOKUP(AllDataCorrected[[#This Row],[Site Name]],LocationsKey[Site Name], LocationsKey[Waterway])</f>
        <v>Avon</v>
      </c>
      <c r="K652" t="s">
        <v>286</v>
      </c>
      <c r="L652">
        <f>_xlfn.XLOOKUP(AllDataCorrected[[#This Row],[Site Name]],Tables!$B$12:$B$100, Tables!C$12:C$100)</f>
        <v>52.206649805555557</v>
      </c>
      <c r="M652">
        <f>_xlfn.XLOOKUP(AllDataCorrected[[#This Row],[Site Name]],Tables!$B$12:$B$100, Tables!D$12:D$100)</f>
        <v>-1.6541018611111094</v>
      </c>
      <c r="N652" t="s">
        <v>31</v>
      </c>
      <c r="O652">
        <v>562</v>
      </c>
      <c r="P652">
        <v>15.5</v>
      </c>
      <c r="Q652">
        <v>5</v>
      </c>
      <c r="R652" t="str">
        <f>IF(AllDataCorrected[[#This Row],[Nitrate (PPM)]]&gt;2, "4. Very high (&gt;2ppm)", IF(AllDataCorrected[[#This Row],[Nitrate (PPM)]]&gt;1, "3. High (1-2ppm)", IF(AllDataCorrected[[#This Row],[Nitrate (PPM)]]&gt;0.5, "2. Some evidence (0.5-1ppm)", IF(AllDataCorrected[[#This Row],[Nitrate (PPM)]]&gt;=0, "1. No evidence (&lt;0.5ppm)"))))</f>
        <v>4. Very high (&gt;2ppm)</v>
      </c>
      <c r="S652">
        <v>0.49</v>
      </c>
      <c r="T65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2">
        <v>0.5</v>
      </c>
      <c r="V652" t="s">
        <v>1054</v>
      </c>
    </row>
    <row r="653" spans="1:22" x14ac:dyDescent="0.35">
      <c r="A653" t="s">
        <v>1055</v>
      </c>
      <c r="B653" s="2">
        <v>45390</v>
      </c>
      <c r="C653" t="str" cm="1">
        <f t="array" ref="C6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3">
        <f>YEAR(AllDataCorrected[[#This Row],[Date]])</f>
        <v>2024</v>
      </c>
      <c r="E653" s="1">
        <v>0.625</v>
      </c>
      <c r="F6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3" t="str">
        <f>_xlfn.XLOOKUP(AllDataCorrected[[#This Row],[Location Name]], Locations[Location Name],Locations[Group As])</f>
        <v>Alveston Weir</v>
      </c>
      <c r="H653" t="e" vm="1">
        <f>_xlfn.XLOOKUP(AllDataCorrected[[#This Row],[Site Name]],LocationsKey[Site Name],LocationsKey[District])</f>
        <v>#VALUE!</v>
      </c>
      <c r="I653" t="e" vm="2">
        <f>_xlfn.XLOOKUP(AllDataCorrected[[#This Row],[Site Name]],LocationsKey[Site Name],LocationsKey[Town])</f>
        <v>#VALUE!</v>
      </c>
      <c r="J653" t="str">
        <f>_xlfn.XLOOKUP(AllDataCorrected[[#This Row],[Site Name]],LocationsKey[Site Name], LocationsKey[Waterway])</f>
        <v>Avon</v>
      </c>
      <c r="K653" t="s">
        <v>288</v>
      </c>
      <c r="L653">
        <f>_xlfn.XLOOKUP(AllDataCorrected[[#This Row],[Site Name]],Tables!$B$12:$B$100, Tables!C$12:C$100)</f>
        <v>52.21226301333337</v>
      </c>
      <c r="M653">
        <f>_xlfn.XLOOKUP(AllDataCorrected[[#This Row],[Site Name]],Tables!$B$12:$B$100, Tables!D$12:D$100)</f>
        <v>-1.6595226800000011</v>
      </c>
      <c r="N653" t="s">
        <v>31</v>
      </c>
      <c r="O653">
        <v>557</v>
      </c>
      <c r="P653">
        <v>13.6</v>
      </c>
      <c r="Q653">
        <v>5</v>
      </c>
      <c r="R653" t="str">
        <f>IF(AllDataCorrected[[#This Row],[Nitrate (PPM)]]&gt;2, "4. Very high (&gt;2ppm)", IF(AllDataCorrected[[#This Row],[Nitrate (PPM)]]&gt;1, "3. High (1-2ppm)", IF(AllDataCorrected[[#This Row],[Nitrate (PPM)]]&gt;0.5, "2. Some evidence (0.5-1ppm)", IF(AllDataCorrected[[#This Row],[Nitrate (PPM)]]&gt;=0, "1. No evidence (&lt;0.5ppm)"))))</f>
        <v>4. Very high (&gt;2ppm)</v>
      </c>
      <c r="S653">
        <v>0.42</v>
      </c>
      <c r="T6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3">
        <v>0</v>
      </c>
      <c r="V653" t="s">
        <v>1056</v>
      </c>
    </row>
    <row r="654" spans="1:22" x14ac:dyDescent="0.35">
      <c r="A654" t="s">
        <v>1057</v>
      </c>
      <c r="B654" s="2">
        <v>45390</v>
      </c>
      <c r="C654" t="str" cm="1">
        <f t="array" ref="C6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4">
        <f>YEAR(AllDataCorrected[[#This Row],[Date]])</f>
        <v>2024</v>
      </c>
      <c r="E654" s="1">
        <v>0.73611111111111116</v>
      </c>
      <c r="F6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4" t="str">
        <f>_xlfn.XLOOKUP(AllDataCorrected[[#This Row],[Location Name]], Locations[Location Name],Locations[Group As])</f>
        <v>Sherbourne Brook 1</v>
      </c>
      <c r="H654" t="e" vm="1">
        <f>_xlfn.XLOOKUP(AllDataCorrected[[#This Row],[Site Name]],LocationsKey[Site Name],LocationsKey[District])</f>
        <v>#VALUE!</v>
      </c>
      <c r="I654" t="e" vm="23">
        <f>_xlfn.XLOOKUP(AllDataCorrected[[#This Row],[Site Name]],LocationsKey[Site Name],LocationsKey[Town])</f>
        <v>#VALUE!</v>
      </c>
      <c r="J654" t="str">
        <f>_xlfn.XLOOKUP(AllDataCorrected[[#This Row],[Site Name]],LocationsKey[Site Name], LocationsKey[Waterway])</f>
        <v>Sherbourne Brook</v>
      </c>
      <c r="K654" t="s">
        <v>541</v>
      </c>
      <c r="L654">
        <f>_xlfn.XLOOKUP(AllDataCorrected[[#This Row],[Site Name]],Tables!$B$12:$B$100, Tables!C$12:C$100)</f>
        <v>52.252500000000033</v>
      </c>
      <c r="M654">
        <f>_xlfn.XLOOKUP(AllDataCorrected[[#This Row],[Site Name]],Tables!$B$12:$B$100, Tables!D$12:D$100)</f>
        <v>-1.6685000000000012</v>
      </c>
      <c r="N654" t="s">
        <v>25</v>
      </c>
      <c r="O654">
        <v>962</v>
      </c>
      <c r="P654">
        <v>12.6</v>
      </c>
      <c r="Q654">
        <v>5</v>
      </c>
      <c r="R654" t="str">
        <f>IF(AllDataCorrected[[#This Row],[Nitrate (PPM)]]&gt;2, "4. Very high (&gt;2ppm)", IF(AllDataCorrected[[#This Row],[Nitrate (PPM)]]&gt;1, "3. High (1-2ppm)", IF(AllDataCorrected[[#This Row],[Nitrate (PPM)]]&gt;0.5, "2. Some evidence (0.5-1ppm)", IF(AllDataCorrected[[#This Row],[Nitrate (PPM)]]&gt;=0, "1. No evidence (&lt;0.5ppm)"))))</f>
        <v>4. Very high (&gt;2ppm)</v>
      </c>
      <c r="S654">
        <v>0.68</v>
      </c>
      <c r="T6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54">
        <v>0.2</v>
      </c>
    </row>
    <row r="655" spans="1:22" x14ac:dyDescent="0.35">
      <c r="A655" t="s">
        <v>1058</v>
      </c>
      <c r="B655" s="2">
        <v>45390</v>
      </c>
      <c r="C655" t="str" cm="1">
        <f t="array" ref="C6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5">
        <f>YEAR(AllDataCorrected[[#This Row],[Date]])</f>
        <v>2024</v>
      </c>
      <c r="E655" s="1">
        <v>0.74305555555555558</v>
      </c>
      <c r="F6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5" t="str">
        <f>_xlfn.XLOOKUP(AllDataCorrected[[#This Row],[Location Name]], Locations[Location Name],Locations[Group As])</f>
        <v>Bell Brook 1</v>
      </c>
      <c r="H655" t="e" vm="1">
        <f>_xlfn.XLOOKUP(AllDataCorrected[[#This Row],[Site Name]],LocationsKey[Site Name],LocationsKey[District])</f>
        <v>#VALUE!</v>
      </c>
      <c r="I655" t="e" vm="19">
        <f>_xlfn.XLOOKUP(AllDataCorrected[[#This Row],[Site Name]],LocationsKey[Site Name],LocationsKey[Town])</f>
        <v>#VALUE!</v>
      </c>
      <c r="J655" t="str">
        <f>_xlfn.XLOOKUP(AllDataCorrected[[#This Row],[Site Name]],LocationsKey[Site Name], LocationsKey[Waterway])</f>
        <v>Bell Brook</v>
      </c>
      <c r="K655" t="s">
        <v>538</v>
      </c>
      <c r="L655">
        <f>_xlfn.XLOOKUP(AllDataCorrected[[#This Row],[Site Name]],Tables!$B$12:$B$100, Tables!C$12:C$100)</f>
        <v>52.24489999999998</v>
      </c>
      <c r="M655">
        <f>_xlfn.XLOOKUP(AllDataCorrected[[#This Row],[Site Name]],Tables!$B$12:$B$100, Tables!D$12:D$100)</f>
        <v>-1.6617000000000013</v>
      </c>
      <c r="N655" t="s">
        <v>25</v>
      </c>
      <c r="O655">
        <v>643</v>
      </c>
      <c r="P655">
        <v>12.5</v>
      </c>
      <c r="Q655">
        <v>5</v>
      </c>
      <c r="R655" t="str">
        <f>IF(AllDataCorrected[[#This Row],[Nitrate (PPM)]]&gt;2, "4. Very high (&gt;2ppm)", IF(AllDataCorrected[[#This Row],[Nitrate (PPM)]]&gt;1, "3. High (1-2ppm)", IF(AllDataCorrected[[#This Row],[Nitrate (PPM)]]&gt;0.5, "2. Some evidence (0.5-1ppm)", IF(AllDataCorrected[[#This Row],[Nitrate (PPM)]]&gt;=0, "1. No evidence (&lt;0.5ppm)"))))</f>
        <v>4. Very high (&gt;2ppm)</v>
      </c>
      <c r="S655">
        <v>0.12</v>
      </c>
      <c r="T6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5">
        <v>0.2</v>
      </c>
    </row>
    <row r="656" spans="1:22" x14ac:dyDescent="0.35">
      <c r="A656" t="s">
        <v>1059</v>
      </c>
      <c r="B656" s="2">
        <v>45391</v>
      </c>
      <c r="C656" t="str" cm="1">
        <f t="array" ref="C6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6">
        <f>YEAR(AllDataCorrected[[#This Row],[Date]])</f>
        <v>2024</v>
      </c>
      <c r="E656" s="1">
        <v>0.61250000000000004</v>
      </c>
      <c r="F6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6" t="str">
        <f>_xlfn.XLOOKUP(AllDataCorrected[[#This Row],[Location Name]], Locations[Location Name],Locations[Group As])</f>
        <v>Abbey Mill</v>
      </c>
      <c r="H656" t="e" vm="4">
        <f>_xlfn.XLOOKUP(AllDataCorrected[[#This Row],[Site Name]],LocationsKey[Site Name],LocationsKey[District])</f>
        <v>#VALUE!</v>
      </c>
      <c r="I656" t="e" vm="4">
        <f>_xlfn.XLOOKUP(AllDataCorrected[[#This Row],[Site Name]],LocationsKey[Site Name],LocationsKey[Town])</f>
        <v>#VALUE!</v>
      </c>
      <c r="J656" t="str">
        <f>_xlfn.XLOOKUP(AllDataCorrected[[#This Row],[Site Name]],LocationsKey[Site Name], LocationsKey[Waterway])</f>
        <v>Avon</v>
      </c>
      <c r="K656" t="s">
        <v>27</v>
      </c>
      <c r="L656">
        <f>_xlfn.XLOOKUP(AllDataCorrected[[#This Row],[Site Name]],Tables!$B$12:$B$100, Tables!C$12:C$100)</f>
        <v>51.991313075757589</v>
      </c>
      <c r="M656">
        <f>_xlfn.XLOOKUP(AllDataCorrected[[#This Row],[Site Name]],Tables!$B$12:$B$100, Tables!D$12:D$100)</f>
        <v>-2.1621998181818181</v>
      </c>
      <c r="N656" t="s">
        <v>25</v>
      </c>
      <c r="O656">
        <v>682</v>
      </c>
      <c r="P656">
        <v>12.1</v>
      </c>
      <c r="Q656">
        <v>10</v>
      </c>
      <c r="R656" t="str">
        <f>IF(AllDataCorrected[[#This Row],[Nitrate (PPM)]]&gt;2, "4. Very high (&gt;2ppm)", IF(AllDataCorrected[[#This Row],[Nitrate (PPM)]]&gt;1, "3. High (1-2ppm)", IF(AllDataCorrected[[#This Row],[Nitrate (PPM)]]&gt;0.5, "2. Some evidence (0.5-1ppm)", IF(AllDataCorrected[[#This Row],[Nitrate (PPM)]]&gt;=0, "1. No evidence (&lt;0.5ppm)"))))</f>
        <v>4. Very high (&gt;2ppm)</v>
      </c>
      <c r="S656">
        <v>0.5</v>
      </c>
      <c r="T6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6">
        <v>2.5</v>
      </c>
      <c r="V656" t="s">
        <v>1060</v>
      </c>
    </row>
    <row r="657" spans="1:22" x14ac:dyDescent="0.35">
      <c r="A657" t="s">
        <v>1061</v>
      </c>
      <c r="B657" s="2">
        <v>45393</v>
      </c>
      <c r="C657" t="str" cm="1">
        <f t="array" ref="C6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7">
        <f>YEAR(AllDataCorrected[[#This Row],[Date]])</f>
        <v>2024</v>
      </c>
      <c r="E657" s="1">
        <v>0.4375</v>
      </c>
      <c r="F6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7" t="str">
        <f>_xlfn.XLOOKUP(AllDataCorrected[[#This Row],[Location Name]], Locations[Location Name],Locations[Group As])</f>
        <v>Swilgate</v>
      </c>
      <c r="H657" t="e" vm="4">
        <f>_xlfn.XLOOKUP(AllDataCorrected[[#This Row],[Site Name]],LocationsKey[Site Name],LocationsKey[District])</f>
        <v>#VALUE!</v>
      </c>
      <c r="I657" t="e" vm="4">
        <f>_xlfn.XLOOKUP(AllDataCorrected[[#This Row],[Site Name]],LocationsKey[Site Name],LocationsKey[Town])</f>
        <v>#VALUE!</v>
      </c>
      <c r="J657" t="str">
        <f>_xlfn.XLOOKUP(AllDataCorrected[[#This Row],[Site Name]],LocationsKey[Site Name], LocationsKey[Waterway])</f>
        <v>Swilgate</v>
      </c>
      <c r="K657" t="s">
        <v>85</v>
      </c>
      <c r="L657">
        <f>_xlfn.XLOOKUP(AllDataCorrected[[#This Row],[Site Name]],Tables!$B$12:$B$100, Tables!C$12:C$100)</f>
        <v>51.988591500000005</v>
      </c>
      <c r="M657">
        <f>_xlfn.XLOOKUP(AllDataCorrected[[#This Row],[Site Name]],Tables!$B$12:$B$100, Tables!D$12:D$100)</f>
        <v>-2.163898333333333</v>
      </c>
      <c r="N657" t="s">
        <v>25</v>
      </c>
      <c r="O657">
        <v>774</v>
      </c>
      <c r="P657">
        <v>13.2</v>
      </c>
      <c r="Q657">
        <v>3</v>
      </c>
      <c r="R657" t="str">
        <f>IF(AllDataCorrected[[#This Row],[Nitrate (PPM)]]&gt;2, "4. Very high (&gt;2ppm)", IF(AllDataCorrected[[#This Row],[Nitrate (PPM)]]&gt;1, "3. High (1-2ppm)", IF(AllDataCorrected[[#This Row],[Nitrate (PPM)]]&gt;0.5, "2. Some evidence (0.5-1ppm)", IF(AllDataCorrected[[#This Row],[Nitrate (PPM)]]&gt;=0, "1. No evidence (&lt;0.5ppm)"))))</f>
        <v>4. Very high (&gt;2ppm)</v>
      </c>
      <c r="S657">
        <v>0.25</v>
      </c>
      <c r="T6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7">
        <v>2</v>
      </c>
      <c r="V657" t="s">
        <v>272</v>
      </c>
    </row>
    <row r="658" spans="1:22" x14ac:dyDescent="0.35">
      <c r="A658" t="s">
        <v>1062</v>
      </c>
      <c r="B658" s="2">
        <v>45393</v>
      </c>
      <c r="C658" t="str" cm="1">
        <f t="array" ref="C6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8">
        <f>YEAR(AllDataCorrected[[#This Row],[Date]])</f>
        <v>2024</v>
      </c>
      <c r="E658" s="1">
        <v>0.45833333333333331</v>
      </c>
      <c r="F6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58" t="str">
        <f>_xlfn.XLOOKUP(AllDataCorrected[[#This Row],[Location Name]], Locations[Location Name],Locations[Group As])</f>
        <v>Stour Willington</v>
      </c>
      <c r="H658" t="e" vm="1">
        <f>_xlfn.XLOOKUP(AllDataCorrected[[#This Row],[Site Name]],LocationsKey[Site Name],LocationsKey[District])</f>
        <v>#VALUE!</v>
      </c>
      <c r="I658" t="str">
        <f>_xlfn.XLOOKUP(AllDataCorrected[[#This Row],[Site Name]],LocationsKey[Site Name],LocationsKey[Town])</f>
        <v>Willington</v>
      </c>
      <c r="J658" t="str">
        <f>_xlfn.XLOOKUP(AllDataCorrected[[#This Row],[Site Name]],LocationsKey[Site Name], LocationsKey[Waterway])</f>
        <v>Stour</v>
      </c>
      <c r="K658" t="s">
        <v>521</v>
      </c>
      <c r="L658">
        <f>_xlfn.XLOOKUP(AllDataCorrected[[#This Row],[Site Name]],Tables!$B$12:$B$100, Tables!C$12:C$100)</f>
        <v>52.053227523809518</v>
      </c>
      <c r="M658">
        <f>_xlfn.XLOOKUP(AllDataCorrected[[#This Row],[Site Name]],Tables!$B$12:$B$100, Tables!D$12:D$100)</f>
        <v>-1.6194739523809523</v>
      </c>
      <c r="N658" t="s">
        <v>25</v>
      </c>
      <c r="O658">
        <v>579</v>
      </c>
      <c r="P658">
        <v>14.1</v>
      </c>
      <c r="Q658">
        <v>2</v>
      </c>
      <c r="R658" t="str">
        <f>IF(AllDataCorrected[[#This Row],[Nitrate (PPM)]]&gt;2, "4. Very high (&gt;2ppm)", IF(AllDataCorrected[[#This Row],[Nitrate (PPM)]]&gt;1, "3. High (1-2ppm)", IF(AllDataCorrected[[#This Row],[Nitrate (PPM)]]&gt;0.5, "2. Some evidence (0.5-1ppm)", IF(AllDataCorrected[[#This Row],[Nitrate (PPM)]]&gt;=0, "1. No evidence (&lt;0.5ppm)"))))</f>
        <v>3. High (1-2ppm)</v>
      </c>
      <c r="S658">
        <v>0.24</v>
      </c>
      <c r="T6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8">
        <v>0.5</v>
      </c>
    </row>
    <row r="659" spans="1:22" x14ac:dyDescent="0.35">
      <c r="A659" t="s">
        <v>1063</v>
      </c>
      <c r="B659" s="2">
        <v>45393</v>
      </c>
      <c r="C659" t="str" cm="1">
        <f t="array" ref="C6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59">
        <f>YEAR(AllDataCorrected[[#This Row],[Date]])</f>
        <v>2024</v>
      </c>
      <c r="E659" s="1">
        <v>0.54374999999999996</v>
      </c>
      <c r="F6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59" t="str">
        <f>_xlfn.XLOOKUP(AllDataCorrected[[#This Row],[Location Name]], Locations[Location Name],Locations[Group As])</f>
        <v>Carrant Mitton Path</v>
      </c>
      <c r="H659" t="e" vm="4">
        <f>_xlfn.XLOOKUP(AllDataCorrected[[#This Row],[Site Name]],LocationsKey[Site Name],LocationsKey[District])</f>
        <v>#VALUE!</v>
      </c>
      <c r="I659" t="e" vm="4">
        <f>_xlfn.XLOOKUP(AllDataCorrected[[#This Row],[Site Name]],LocationsKey[Site Name],LocationsKey[Town])</f>
        <v>#VALUE!</v>
      </c>
      <c r="J659" t="str">
        <f>_xlfn.XLOOKUP(AllDataCorrected[[#This Row],[Site Name]],LocationsKey[Site Name], LocationsKey[Waterway])</f>
        <v>Carrant</v>
      </c>
      <c r="K659" t="s">
        <v>1064</v>
      </c>
      <c r="L659">
        <f>_xlfn.XLOOKUP(AllDataCorrected[[#This Row],[Site Name]],Tables!$B$12:$B$100, Tables!C$12:C$100)</f>
        <v>52.048665</v>
      </c>
      <c r="M659">
        <f>_xlfn.XLOOKUP(AllDataCorrected[[#This Row],[Site Name]],Tables!$B$12:$B$100, Tables!D$12:D$100)</f>
        <v>-1.7862663333333331</v>
      </c>
      <c r="N659" t="s">
        <v>25</v>
      </c>
      <c r="O659">
        <v>696</v>
      </c>
      <c r="P659">
        <v>14.6</v>
      </c>
      <c r="Q659">
        <v>6</v>
      </c>
      <c r="R659" t="str">
        <f>IF(AllDataCorrected[[#This Row],[Nitrate (PPM)]]&gt;2, "4. Very high (&gt;2ppm)", IF(AllDataCorrected[[#This Row],[Nitrate (PPM)]]&gt;1, "3. High (1-2ppm)", IF(AllDataCorrected[[#This Row],[Nitrate (PPM)]]&gt;0.5, "2. Some evidence (0.5-1ppm)", IF(AllDataCorrected[[#This Row],[Nitrate (PPM)]]&gt;=0, "1. No evidence (&lt;0.5ppm)"))))</f>
        <v>4. Very high (&gt;2ppm)</v>
      </c>
      <c r="S659">
        <v>0.47</v>
      </c>
      <c r="T6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59">
        <v>0.5</v>
      </c>
    </row>
    <row r="660" spans="1:22" x14ac:dyDescent="0.35">
      <c r="A660" t="s">
        <v>1065</v>
      </c>
      <c r="B660" s="2">
        <v>45393</v>
      </c>
      <c r="C660" t="str" cm="1">
        <f t="array" ref="C6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0">
        <f>YEAR(AllDataCorrected[[#This Row],[Date]])</f>
        <v>2024</v>
      </c>
      <c r="E660" s="1">
        <v>0.56597222222222221</v>
      </c>
      <c r="F6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0" t="str">
        <f>_xlfn.XLOOKUP(AllDataCorrected[[#This Row],[Location Name]], Locations[Location Name],Locations[Group As])</f>
        <v>Carrant M5 Bridge</v>
      </c>
      <c r="H660" t="e" vm="4">
        <f>_xlfn.XLOOKUP(AllDataCorrected[[#This Row],[Site Name]],LocationsKey[Site Name],LocationsKey[District])</f>
        <v>#VALUE!</v>
      </c>
      <c r="I660" t="e" vm="4">
        <f>_xlfn.XLOOKUP(AllDataCorrected[[#This Row],[Site Name]],LocationsKey[Site Name],LocationsKey[Town])</f>
        <v>#VALUE!</v>
      </c>
      <c r="J660" t="str">
        <f>_xlfn.XLOOKUP(AllDataCorrected[[#This Row],[Site Name]],LocationsKey[Site Name], LocationsKey[Waterway])</f>
        <v>Carrant</v>
      </c>
      <c r="K660" t="s">
        <v>1066</v>
      </c>
      <c r="L660">
        <f>_xlfn.XLOOKUP(AllDataCorrected[[#This Row],[Site Name]],Tables!$B$12:$B$100, Tables!C$12:C$100)</f>
        <v>52.012994652173923</v>
      </c>
      <c r="M660">
        <f>_xlfn.XLOOKUP(AllDataCorrected[[#This Row],[Site Name]],Tables!$B$12:$B$100, Tables!D$12:D$100)</f>
        <v>-2.1224405652173912</v>
      </c>
      <c r="N660" t="s">
        <v>25</v>
      </c>
      <c r="O660">
        <v>715</v>
      </c>
      <c r="P660">
        <v>15.6</v>
      </c>
      <c r="Q660">
        <v>9</v>
      </c>
      <c r="R660" t="str">
        <f>IF(AllDataCorrected[[#This Row],[Nitrate (PPM)]]&gt;2, "4. Very high (&gt;2ppm)", IF(AllDataCorrected[[#This Row],[Nitrate (PPM)]]&gt;1, "3. High (1-2ppm)", IF(AllDataCorrected[[#This Row],[Nitrate (PPM)]]&gt;0.5, "2. Some evidence (0.5-1ppm)", IF(AllDataCorrected[[#This Row],[Nitrate (PPM)]]&gt;=0, "1. No evidence (&lt;0.5ppm)"))))</f>
        <v>4. Very high (&gt;2ppm)</v>
      </c>
      <c r="S660">
        <v>0.3</v>
      </c>
      <c r="T6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0">
        <v>0.5</v>
      </c>
    </row>
    <row r="661" spans="1:22" x14ac:dyDescent="0.35">
      <c r="A661" t="s">
        <v>1067</v>
      </c>
      <c r="B661" s="2">
        <v>45393</v>
      </c>
      <c r="C661" t="str" cm="1">
        <f t="array" ref="C6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1">
        <f>YEAR(AllDataCorrected[[#This Row],[Date]])</f>
        <v>2024</v>
      </c>
      <c r="E661" s="1">
        <v>0.66666666666666663</v>
      </c>
      <c r="F6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1" t="str">
        <f>_xlfn.XLOOKUP(AllDataCorrected[[#This Row],[Location Name]], Locations[Location Name],Locations[Group As])</f>
        <v>Stour Newbold Mill</v>
      </c>
      <c r="H661" t="e" vm="1">
        <f>_xlfn.XLOOKUP(AllDataCorrected[[#This Row],[Site Name]],LocationsKey[Site Name],LocationsKey[District])</f>
        <v>#VALUE!</v>
      </c>
      <c r="I661" t="e" vm="27">
        <f>_xlfn.XLOOKUP(AllDataCorrected[[#This Row],[Site Name]],LocationsKey[Site Name],LocationsKey[Town])</f>
        <v>#VALUE!</v>
      </c>
      <c r="J661" t="str">
        <f>_xlfn.XLOOKUP(AllDataCorrected[[#This Row],[Site Name]],LocationsKey[Site Name], LocationsKey[Waterway])</f>
        <v>Stour</v>
      </c>
      <c r="K661" t="s">
        <v>141</v>
      </c>
      <c r="L661">
        <f>_xlfn.XLOOKUP(AllDataCorrected[[#This Row],[Site Name]],Tables!$B$12:$B$100, Tables!C$12:C$100)</f>
        <v>52.113052370370369</v>
      </c>
      <c r="M661">
        <f>_xlfn.XLOOKUP(AllDataCorrected[[#This Row],[Site Name]],Tables!$B$12:$B$100, Tables!D$12:D$100)</f>
        <v>-1.6333685185185181</v>
      </c>
      <c r="N661" t="s">
        <v>31</v>
      </c>
      <c r="O661">
        <v>608</v>
      </c>
      <c r="P661">
        <v>13.5</v>
      </c>
      <c r="Q661">
        <v>2</v>
      </c>
      <c r="R661" t="str">
        <f>IF(AllDataCorrected[[#This Row],[Nitrate (PPM)]]&gt;2, "4. Very high (&gt;2ppm)", IF(AllDataCorrected[[#This Row],[Nitrate (PPM)]]&gt;1, "3. High (1-2ppm)", IF(AllDataCorrected[[#This Row],[Nitrate (PPM)]]&gt;0.5, "2. Some evidence (0.5-1ppm)", IF(AllDataCorrected[[#This Row],[Nitrate (PPM)]]&gt;=0, "1. No evidence (&lt;0.5ppm)"))))</f>
        <v>3. High (1-2ppm)</v>
      </c>
      <c r="S661">
        <v>0.26</v>
      </c>
      <c r="T6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1">
        <v>3</v>
      </c>
      <c r="V661" t="s">
        <v>533</v>
      </c>
    </row>
    <row r="662" spans="1:22" x14ac:dyDescent="0.35">
      <c r="A662" t="s">
        <v>1068</v>
      </c>
      <c r="B662" s="2">
        <v>45393</v>
      </c>
      <c r="C662" t="str" cm="1">
        <f t="array" ref="C6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2">
        <f>YEAR(AllDataCorrected[[#This Row],[Date]])</f>
        <v>2024</v>
      </c>
      <c r="E662" s="1">
        <v>0.68125000000000002</v>
      </c>
      <c r="F6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2" t="str">
        <f>_xlfn.XLOOKUP(AllDataCorrected[[#This Row],[Location Name]], Locations[Location Name],Locations[Group As])</f>
        <v>Preston-on-Stour River Bridge</v>
      </c>
      <c r="H662" t="e" vm="1">
        <f>_xlfn.XLOOKUP(AllDataCorrected[[#This Row],[Site Name]],LocationsKey[Site Name],LocationsKey[District])</f>
        <v>#VALUE!</v>
      </c>
      <c r="I662" t="e" vm="20">
        <f>_xlfn.XLOOKUP(AllDataCorrected[[#This Row],[Site Name]],LocationsKey[Site Name],LocationsKey[Town])</f>
        <v>#VALUE!</v>
      </c>
      <c r="J662" t="str">
        <f>_xlfn.XLOOKUP(AllDataCorrected[[#This Row],[Site Name]],LocationsKey[Site Name], LocationsKey[Waterway])</f>
        <v>Stour</v>
      </c>
      <c r="K662" t="s">
        <v>164</v>
      </c>
      <c r="L662">
        <f>_xlfn.XLOOKUP(AllDataCorrected[[#This Row],[Site Name]],Tables!$B$12:$B$100, Tables!C$12:C$100)</f>
        <v>52.146672352941174</v>
      </c>
      <c r="M662">
        <f>_xlfn.XLOOKUP(AllDataCorrected[[#This Row],[Site Name]],Tables!$B$12:$B$100, Tables!D$12:D$100)</f>
        <v>-1.6984533333333334</v>
      </c>
      <c r="N662" t="s">
        <v>31</v>
      </c>
      <c r="O662">
        <v>605</v>
      </c>
      <c r="P662">
        <v>14</v>
      </c>
      <c r="Q662">
        <v>5</v>
      </c>
      <c r="R662" t="str">
        <f>IF(AllDataCorrected[[#This Row],[Nitrate (PPM)]]&gt;2, "4. Very high (&gt;2ppm)", IF(AllDataCorrected[[#This Row],[Nitrate (PPM)]]&gt;1, "3. High (1-2ppm)", IF(AllDataCorrected[[#This Row],[Nitrate (PPM)]]&gt;0.5, "2. Some evidence (0.5-1ppm)", IF(AllDataCorrected[[#This Row],[Nitrate (PPM)]]&gt;=0, "1. No evidence (&lt;0.5ppm)"))))</f>
        <v>4. Very high (&gt;2ppm)</v>
      </c>
      <c r="S662">
        <v>0.24</v>
      </c>
      <c r="T6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2">
        <v>1.5</v>
      </c>
    </row>
    <row r="663" spans="1:22" x14ac:dyDescent="0.35">
      <c r="A663" t="s">
        <v>1071</v>
      </c>
      <c r="B663" s="2">
        <v>45395</v>
      </c>
      <c r="C663" t="str" cm="1">
        <f t="array" ref="C6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3">
        <f>YEAR(AllDataCorrected[[#This Row],[Date]])</f>
        <v>2024</v>
      </c>
      <c r="E663" s="1">
        <v>0.36388888888888887</v>
      </c>
      <c r="F6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3" t="str">
        <f>_xlfn.XLOOKUP(AllDataCorrected[[#This Row],[Location Name]], Locations[Location Name],Locations[Group As])</f>
        <v>Stour Whichford</v>
      </c>
      <c r="H663" t="e" vm="1">
        <f>_xlfn.XLOOKUP(AllDataCorrected[[#This Row],[Site Name]],LocationsKey[Site Name],LocationsKey[District])</f>
        <v>#VALUE!</v>
      </c>
      <c r="I663" t="e" vm="24">
        <f>_xlfn.XLOOKUP(AllDataCorrected[[#This Row],[Site Name]],LocationsKey[Site Name],LocationsKey[Town])</f>
        <v>#VALUE!</v>
      </c>
      <c r="J663" t="str">
        <f>_xlfn.XLOOKUP(AllDataCorrected[[#This Row],[Site Name]],LocationsKey[Site Name], LocationsKey[Waterway])</f>
        <v>Stour</v>
      </c>
      <c r="K663" t="s">
        <v>980</v>
      </c>
      <c r="L663">
        <f>_xlfn.XLOOKUP(AllDataCorrected[[#This Row],[Site Name]],Tables!$B$12:$B$100, Tables!C$12:C$100)</f>
        <v>52.017437000000001</v>
      </c>
      <c r="M663">
        <f>_xlfn.XLOOKUP(AllDataCorrected[[#This Row],[Site Name]],Tables!$B$12:$B$100, Tables!D$12:D$100)</f>
        <v>-1.544745</v>
      </c>
      <c r="N663" t="s">
        <v>31</v>
      </c>
      <c r="O663">
        <v>59.8</v>
      </c>
      <c r="P663">
        <v>12.08</v>
      </c>
      <c r="Q663">
        <v>2.0699999999999998</v>
      </c>
      <c r="R663" t="str">
        <f>IF(AllDataCorrected[[#This Row],[Nitrate (PPM)]]&gt;2, "4. Very high (&gt;2ppm)", IF(AllDataCorrected[[#This Row],[Nitrate (PPM)]]&gt;1, "3. High (1-2ppm)", IF(AllDataCorrected[[#This Row],[Nitrate (PPM)]]&gt;0.5, "2. Some evidence (0.5-1ppm)", IF(AllDataCorrected[[#This Row],[Nitrate (PPM)]]&gt;=0, "1. No evidence (&lt;0.5ppm)"))))</f>
        <v>4. Very high (&gt;2ppm)</v>
      </c>
      <c r="S663">
        <v>0.48</v>
      </c>
      <c r="T6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3">
        <v>20</v>
      </c>
    </row>
    <row r="664" spans="1:22" x14ac:dyDescent="0.35">
      <c r="A664" t="s">
        <v>1072</v>
      </c>
      <c r="B664" s="2">
        <v>45395</v>
      </c>
      <c r="C664" t="str" cm="1">
        <f t="array" ref="C6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4">
        <f>YEAR(AllDataCorrected[[#This Row],[Date]])</f>
        <v>2024</v>
      </c>
      <c r="E664" s="1">
        <v>0.3659722222222222</v>
      </c>
      <c r="F6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4" t="str">
        <f>_xlfn.XLOOKUP(AllDataCorrected[[#This Row],[Location Name]], Locations[Location Name],Locations[Group As])</f>
        <v>Lower Lode</v>
      </c>
      <c r="H664" t="e" vm="4">
        <f>_xlfn.XLOOKUP(AllDataCorrected[[#This Row],[Site Name]],LocationsKey[Site Name],LocationsKey[District])</f>
        <v>#VALUE!</v>
      </c>
      <c r="I664" t="e" vm="4">
        <f>_xlfn.XLOOKUP(AllDataCorrected[[#This Row],[Site Name]],LocationsKey[Site Name],LocationsKey[Town])</f>
        <v>#VALUE!</v>
      </c>
      <c r="J664" t="str">
        <f>_xlfn.XLOOKUP(AllDataCorrected[[#This Row],[Site Name]],LocationsKey[Site Name], LocationsKey[Waterway])</f>
        <v>Avon</v>
      </c>
      <c r="K664" t="s">
        <v>595</v>
      </c>
      <c r="L664">
        <f>_xlfn.XLOOKUP(AllDataCorrected[[#This Row],[Site Name]],Tables!$B$12:$B$100, Tables!C$12:C$100)</f>
        <v>51.984916745098026</v>
      </c>
      <c r="M664">
        <f>_xlfn.XLOOKUP(AllDataCorrected[[#This Row],[Site Name]],Tables!$B$12:$B$100, Tables!D$12:D$100)</f>
        <v>-2.1745787647058821</v>
      </c>
      <c r="N664" t="s">
        <v>31</v>
      </c>
      <c r="O664">
        <v>7020</v>
      </c>
      <c r="P664">
        <v>13.5</v>
      </c>
      <c r="Q664">
        <v>10</v>
      </c>
      <c r="R664" t="str">
        <f>IF(AllDataCorrected[[#This Row],[Nitrate (PPM)]]&gt;2, "4. Very high (&gt;2ppm)", IF(AllDataCorrected[[#This Row],[Nitrate (PPM)]]&gt;1, "3. High (1-2ppm)", IF(AllDataCorrected[[#This Row],[Nitrate (PPM)]]&gt;0.5, "2. Some evidence (0.5-1ppm)", IF(AllDataCorrected[[#This Row],[Nitrate (PPM)]]&gt;=0, "1. No evidence (&lt;0.5ppm)"))))</f>
        <v>4. Very high (&gt;2ppm)</v>
      </c>
      <c r="S664">
        <v>0.4</v>
      </c>
      <c r="T6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4">
        <v>2</v>
      </c>
    </row>
    <row r="665" spans="1:22" x14ac:dyDescent="0.35">
      <c r="A665" t="s">
        <v>1073</v>
      </c>
      <c r="B665" s="2">
        <v>45395</v>
      </c>
      <c r="C665" t="str" cm="1">
        <f t="array" ref="C6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5">
        <f>YEAR(AllDataCorrected[[#This Row],[Date]])</f>
        <v>2024</v>
      </c>
      <c r="E665" s="1">
        <v>0.38472222222222224</v>
      </c>
      <c r="F6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5" t="str">
        <f>_xlfn.XLOOKUP(AllDataCorrected[[#This Row],[Location Name]], Locations[Location Name],Locations[Group As])</f>
        <v>Stour Ascott Village</v>
      </c>
      <c r="H665" t="e" vm="1">
        <f>_xlfn.XLOOKUP(AllDataCorrected[[#This Row],[Site Name]],LocationsKey[Site Name],LocationsKey[District])</f>
        <v>#VALUE!</v>
      </c>
      <c r="I665" t="e" vm="25">
        <f>_xlfn.XLOOKUP(AllDataCorrected[[#This Row],[Site Name]],LocationsKey[Site Name],LocationsKey[Town])</f>
        <v>#VALUE!</v>
      </c>
      <c r="J665" t="str">
        <f>_xlfn.XLOOKUP(AllDataCorrected[[#This Row],[Site Name]],LocationsKey[Site Name], LocationsKey[Waterway])</f>
        <v>Stour</v>
      </c>
      <c r="K665" t="s">
        <v>927</v>
      </c>
      <c r="L665">
        <f>_xlfn.XLOOKUP(AllDataCorrected[[#This Row],[Site Name]],Tables!$B$12:$B$100, Tables!C$12:C$100)</f>
        <v>52.013255999999998</v>
      </c>
      <c r="M665">
        <f>_xlfn.XLOOKUP(AllDataCorrected[[#This Row],[Site Name]],Tables!$B$12:$B$100, Tables!D$12:D$100)</f>
        <v>-1.5387710000000001</v>
      </c>
      <c r="N665" t="s">
        <v>68</v>
      </c>
      <c r="O665">
        <v>54.8</v>
      </c>
      <c r="P665">
        <v>12.6</v>
      </c>
      <c r="Q665">
        <v>0.01</v>
      </c>
      <c r="R665"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65">
        <v>0.21</v>
      </c>
      <c r="T6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5">
        <v>13</v>
      </c>
    </row>
    <row r="666" spans="1:22" x14ac:dyDescent="0.35">
      <c r="A666" t="s">
        <v>1074</v>
      </c>
      <c r="B666" s="2">
        <v>45395</v>
      </c>
      <c r="C666" t="str" cm="1">
        <f t="array" ref="C6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6">
        <f>YEAR(AllDataCorrected[[#This Row],[Date]])</f>
        <v>2024</v>
      </c>
      <c r="E666" s="1">
        <v>0.44374999999999998</v>
      </c>
      <c r="F6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6" t="str">
        <f>_xlfn.XLOOKUP(AllDataCorrected[[#This Row],[Location Name]], Locations[Location Name],Locations[Group As])</f>
        <v>Pitch 16</v>
      </c>
      <c r="H666" t="e" vm="1">
        <f>_xlfn.XLOOKUP(AllDataCorrected[[#This Row],[Site Name]],LocationsKey[Site Name],LocationsKey[District])</f>
        <v>#VALUE!</v>
      </c>
      <c r="I666" t="e" vm="12">
        <f>_xlfn.XLOOKUP(AllDataCorrected[[#This Row],[Site Name]],LocationsKey[Site Name],LocationsKey[Town])</f>
        <v>#VALUE!</v>
      </c>
      <c r="J666" t="str">
        <f>_xlfn.XLOOKUP(AllDataCorrected[[#This Row],[Site Name]],LocationsKey[Site Name], LocationsKey[Waterway])</f>
        <v>Avon</v>
      </c>
      <c r="K666" t="s">
        <v>71</v>
      </c>
      <c r="L666">
        <f>_xlfn.XLOOKUP(AllDataCorrected[[#This Row],[Site Name]],Tables!$B$12:$B$100, Tables!C$12:C$100)</f>
        <v>51.289310076923087</v>
      </c>
      <c r="M666">
        <f>_xlfn.XLOOKUP(AllDataCorrected[[#This Row],[Site Name]],Tables!$B$12:$B$100, Tables!D$12:D$100)</f>
        <v>-0.10399761538461544</v>
      </c>
      <c r="N666" t="s">
        <v>31</v>
      </c>
      <c r="O666">
        <v>790</v>
      </c>
      <c r="P666">
        <v>15.6</v>
      </c>
      <c r="Q666">
        <v>4</v>
      </c>
      <c r="R666" t="str">
        <f>IF(AllDataCorrected[[#This Row],[Nitrate (PPM)]]&gt;2, "4. Very high (&gt;2ppm)", IF(AllDataCorrected[[#This Row],[Nitrate (PPM)]]&gt;1, "3. High (1-2ppm)", IF(AllDataCorrected[[#This Row],[Nitrate (PPM)]]&gt;0.5, "2. Some evidence (0.5-1ppm)", IF(AllDataCorrected[[#This Row],[Nitrate (PPM)]]&gt;=0, "1. No evidence (&lt;0.5ppm)"))))</f>
        <v>4. Very high (&gt;2ppm)</v>
      </c>
      <c r="S666">
        <v>0.72</v>
      </c>
      <c r="T6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6">
        <v>0.8</v>
      </c>
      <c r="V666" t="s">
        <v>1075</v>
      </c>
    </row>
    <row r="667" spans="1:22" x14ac:dyDescent="0.35">
      <c r="A667" t="s">
        <v>1076</v>
      </c>
      <c r="B667" s="2">
        <v>45395</v>
      </c>
      <c r="C667" t="str" cm="1">
        <f t="array" ref="C6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7">
        <f>YEAR(AllDataCorrected[[#This Row],[Date]])</f>
        <v>2024</v>
      </c>
      <c r="E667" s="1">
        <v>0.4597222222222222</v>
      </c>
      <c r="F6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67" t="str">
        <f>_xlfn.XLOOKUP(AllDataCorrected[[#This Row],[Location Name]], Locations[Location Name],Locations[Group As])</f>
        <v>Avonbank Drive</v>
      </c>
      <c r="H667" t="e" vm="1">
        <f>_xlfn.XLOOKUP(AllDataCorrected[[#This Row],[Site Name]],LocationsKey[Site Name],LocationsKey[District])</f>
        <v>#VALUE!</v>
      </c>
      <c r="I667" t="e" vm="12">
        <f>_xlfn.XLOOKUP(AllDataCorrected[[#This Row],[Site Name]],LocationsKey[Site Name],LocationsKey[Town])</f>
        <v>#VALUE!</v>
      </c>
      <c r="J667" t="str">
        <f>_xlfn.XLOOKUP(AllDataCorrected[[#This Row],[Site Name]],LocationsKey[Site Name], LocationsKey[Waterway])</f>
        <v>Avon</v>
      </c>
      <c r="K667" t="s">
        <v>67</v>
      </c>
      <c r="L667">
        <f>_xlfn.XLOOKUP(AllDataCorrected[[#This Row],[Site Name]],Tables!$B$12:$B$100, Tables!C$12:C$100)</f>
        <v>51.566927775862098</v>
      </c>
      <c r="M667">
        <f>_xlfn.XLOOKUP(AllDataCorrected[[#This Row],[Site Name]],Tables!$B$12:$B$100, Tables!D$12:D$100)</f>
        <v>-7.2113336724137929</v>
      </c>
      <c r="N667" t="s">
        <v>68</v>
      </c>
      <c r="O667">
        <v>792</v>
      </c>
      <c r="P667">
        <v>15.8</v>
      </c>
      <c r="Q667">
        <v>7</v>
      </c>
      <c r="R667" t="str">
        <f>IF(AllDataCorrected[[#This Row],[Nitrate (PPM)]]&gt;2, "4. Very high (&gt;2ppm)", IF(AllDataCorrected[[#This Row],[Nitrate (PPM)]]&gt;1, "3. High (1-2ppm)", IF(AllDataCorrected[[#This Row],[Nitrate (PPM)]]&gt;0.5, "2. Some evidence (0.5-1ppm)", IF(AllDataCorrected[[#This Row],[Nitrate (PPM)]]&gt;=0, "1. No evidence (&lt;0.5ppm)"))))</f>
        <v>4. Very high (&gt;2ppm)</v>
      </c>
      <c r="S667">
        <v>0.4</v>
      </c>
      <c r="T6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7">
        <v>0.8</v>
      </c>
      <c r="V667" t="s">
        <v>1077</v>
      </c>
    </row>
    <row r="668" spans="1:22" x14ac:dyDescent="0.35">
      <c r="A668" t="s">
        <v>1078</v>
      </c>
      <c r="B668" s="2">
        <v>45395</v>
      </c>
      <c r="C668" t="str" cm="1">
        <f t="array" ref="C6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8">
        <f>YEAR(AllDataCorrected[[#This Row],[Date]])</f>
        <v>2024</v>
      </c>
      <c r="E668" s="1">
        <v>0.5</v>
      </c>
      <c r="F66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8" t="str">
        <f>_xlfn.XLOOKUP(AllDataCorrected[[#This Row],[Location Name]], Locations[Location Name],Locations[Group As])</f>
        <v>Avon Smiths Meadow Wyre Piddle</v>
      </c>
      <c r="H668" t="e" vm="6">
        <f>_xlfn.XLOOKUP(AllDataCorrected[[#This Row],[Site Name]],LocationsKey[Site Name],LocationsKey[District])</f>
        <v>#VALUE!</v>
      </c>
      <c r="I668" t="e" vm="13">
        <f>_xlfn.XLOOKUP(AllDataCorrected[[#This Row],[Site Name]],LocationsKey[Site Name],LocationsKey[Town])</f>
        <v>#VALUE!</v>
      </c>
      <c r="J668" t="str">
        <f>_xlfn.XLOOKUP(AllDataCorrected[[#This Row],[Site Name]],LocationsKey[Site Name], LocationsKey[Waterway])</f>
        <v>Avon</v>
      </c>
      <c r="K668" t="s">
        <v>784</v>
      </c>
      <c r="L668">
        <f>_xlfn.XLOOKUP(AllDataCorrected[[#This Row],[Site Name]],Tables!$B$12:$B$100, Tables!C$12:C$100)</f>
        <v>52.123126101694929</v>
      </c>
      <c r="M668">
        <f>_xlfn.XLOOKUP(AllDataCorrected[[#This Row],[Site Name]],Tables!$B$12:$B$100, Tables!D$12:D$100)</f>
        <v>-2.0572511355932215</v>
      </c>
      <c r="N668" t="s">
        <v>25</v>
      </c>
      <c r="O668">
        <v>743</v>
      </c>
      <c r="P668">
        <v>7.3</v>
      </c>
      <c r="Q668">
        <v>5</v>
      </c>
      <c r="R668" t="str">
        <f>IF(AllDataCorrected[[#This Row],[Nitrate (PPM)]]&gt;2, "4. Very high (&gt;2ppm)", IF(AllDataCorrected[[#This Row],[Nitrate (PPM)]]&gt;1, "3. High (1-2ppm)", IF(AllDataCorrected[[#This Row],[Nitrate (PPM)]]&gt;0.5, "2. Some evidence (0.5-1ppm)", IF(AllDataCorrected[[#This Row],[Nitrate (PPM)]]&gt;=0, "1. No evidence (&lt;0.5ppm)"))))</f>
        <v>4. Very high (&gt;2ppm)</v>
      </c>
      <c r="S668">
        <v>0.37</v>
      </c>
      <c r="T6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68">
        <v>0.84</v>
      </c>
      <c r="V668" t="s">
        <v>1079</v>
      </c>
    </row>
    <row r="669" spans="1:22" x14ac:dyDescent="0.35">
      <c r="A669" t="s">
        <v>1080</v>
      </c>
      <c r="B669" s="2">
        <v>45395</v>
      </c>
      <c r="C669" t="str" cm="1">
        <f t="array" ref="C6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69">
        <f>YEAR(AllDataCorrected[[#This Row],[Date]])</f>
        <v>2024</v>
      </c>
      <c r="E669" s="1">
        <v>0.5</v>
      </c>
      <c r="F6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69" t="str">
        <f>_xlfn.XLOOKUP(AllDataCorrected[[#This Row],[Location Name]], Locations[Location Name],Locations[Group As])</f>
        <v>Piddle Brook Wyre Piddle Bridge</v>
      </c>
      <c r="H669" t="e" vm="6">
        <f>_xlfn.XLOOKUP(AllDataCorrected[[#This Row],[Site Name]],LocationsKey[Site Name],LocationsKey[District])</f>
        <v>#VALUE!</v>
      </c>
      <c r="I669" t="e" vm="13">
        <f>_xlfn.XLOOKUP(AllDataCorrected[[#This Row],[Site Name]],LocationsKey[Site Name],LocationsKey[Town])</f>
        <v>#VALUE!</v>
      </c>
      <c r="J669" t="str">
        <f>_xlfn.XLOOKUP(AllDataCorrected[[#This Row],[Site Name]],LocationsKey[Site Name], LocationsKey[Waterway])</f>
        <v>Piddle Brook</v>
      </c>
      <c r="K669" t="s">
        <v>787</v>
      </c>
      <c r="L669">
        <f>_xlfn.XLOOKUP(AllDataCorrected[[#This Row],[Site Name]],Tables!$B$12:$B$100, Tables!C$12:C$100)</f>
        <v>52.126394500000039</v>
      </c>
      <c r="M669">
        <f>_xlfn.XLOOKUP(AllDataCorrected[[#This Row],[Site Name]],Tables!$B$12:$B$100, Tables!D$12:D$100)</f>
        <v>-2.0564211206896545</v>
      </c>
      <c r="N669" t="s">
        <v>25</v>
      </c>
      <c r="O669">
        <v>1010</v>
      </c>
      <c r="P669">
        <v>13.1</v>
      </c>
      <c r="Q669">
        <v>5</v>
      </c>
      <c r="R669" t="str">
        <f>IF(AllDataCorrected[[#This Row],[Nitrate (PPM)]]&gt;2, "4. Very high (&gt;2ppm)", IF(AllDataCorrected[[#This Row],[Nitrate (PPM)]]&gt;1, "3. High (1-2ppm)", IF(AllDataCorrected[[#This Row],[Nitrate (PPM)]]&gt;0.5, "2. Some evidence (0.5-1ppm)", IF(AllDataCorrected[[#This Row],[Nitrate (PPM)]]&gt;=0, "1. No evidence (&lt;0.5ppm)"))))</f>
        <v>4. Very high (&gt;2ppm)</v>
      </c>
      <c r="S669">
        <v>0.53</v>
      </c>
      <c r="T6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69">
        <v>0.33</v>
      </c>
      <c r="V669" t="s">
        <v>1081</v>
      </c>
    </row>
    <row r="670" spans="1:22" x14ac:dyDescent="0.35">
      <c r="A670" t="s">
        <v>1082</v>
      </c>
      <c r="B670" s="2">
        <v>45395</v>
      </c>
      <c r="C670" t="str" cm="1">
        <f t="array" ref="C6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0">
        <f>YEAR(AllDataCorrected[[#This Row],[Date]])</f>
        <v>2024</v>
      </c>
      <c r="E670" s="1">
        <v>0.52083333333333337</v>
      </c>
      <c r="F6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0" t="str">
        <f>_xlfn.XLOOKUP(AllDataCorrected[[#This Row],[Location Name]], Locations[Location Name],Locations[Group As])</f>
        <v>Carrant Bredon Rd</v>
      </c>
      <c r="H670" t="e" vm="4">
        <f>_xlfn.XLOOKUP(AllDataCorrected[[#This Row],[Site Name]],LocationsKey[Site Name],LocationsKey[District])</f>
        <v>#VALUE!</v>
      </c>
      <c r="I670" t="e" vm="4">
        <f>_xlfn.XLOOKUP(AllDataCorrected[[#This Row],[Site Name]],LocationsKey[Site Name],LocationsKey[Town])</f>
        <v>#VALUE!</v>
      </c>
      <c r="J670" t="str">
        <f>_xlfn.XLOOKUP(AllDataCorrected[[#This Row],[Site Name]],LocationsKey[Site Name], LocationsKey[Waterway])</f>
        <v>Carrant</v>
      </c>
      <c r="K670" t="s">
        <v>603</v>
      </c>
      <c r="L670">
        <f>_xlfn.XLOOKUP(AllDataCorrected[[#This Row],[Site Name]],Tables!$B$12:$B$100, Tables!C$12:C$100)</f>
        <v>51.996322536231894</v>
      </c>
      <c r="M670">
        <f>_xlfn.XLOOKUP(AllDataCorrected[[#This Row],[Site Name]],Tables!$B$12:$B$100, Tables!D$12:D$100)</f>
        <v>-2.1558410144927538</v>
      </c>
      <c r="N670" t="s">
        <v>25</v>
      </c>
      <c r="O670">
        <v>753</v>
      </c>
      <c r="P670">
        <v>14.3</v>
      </c>
      <c r="Q670">
        <v>5</v>
      </c>
      <c r="R670" t="str">
        <f>IF(AllDataCorrected[[#This Row],[Nitrate (PPM)]]&gt;2, "4. Very high (&gt;2ppm)", IF(AllDataCorrected[[#This Row],[Nitrate (PPM)]]&gt;1, "3. High (1-2ppm)", IF(AllDataCorrected[[#This Row],[Nitrate (PPM)]]&gt;0.5, "2. Some evidence (0.5-1ppm)", IF(AllDataCorrected[[#This Row],[Nitrate (PPM)]]&gt;=0, "1. No evidence (&lt;0.5ppm)"))))</f>
        <v>4. Very high (&gt;2ppm)</v>
      </c>
      <c r="S670">
        <v>0.32</v>
      </c>
      <c r="T6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0">
        <v>0.43</v>
      </c>
    </row>
    <row r="671" spans="1:22" x14ac:dyDescent="0.35">
      <c r="A671" t="s">
        <v>1083</v>
      </c>
      <c r="B671" s="2">
        <v>45395</v>
      </c>
      <c r="C671" t="str" cm="1">
        <f t="array" ref="C6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1">
        <f>YEAR(AllDataCorrected[[#This Row],[Date]])</f>
        <v>2024</v>
      </c>
      <c r="E671" s="1">
        <v>0.64583333333333337</v>
      </c>
      <c r="F6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1" t="str">
        <f>_xlfn.XLOOKUP(AllDataCorrected[[#This Row],[Location Name]], Locations[Location Name],Locations[Group As])</f>
        <v>Fell Mill Footbridge</v>
      </c>
      <c r="H671" t="e" vm="1">
        <f>_xlfn.XLOOKUP(AllDataCorrected[[#This Row],[Site Name]],LocationsKey[Site Name],LocationsKey[District])</f>
        <v>#VALUE!</v>
      </c>
      <c r="I671" t="e" vm="15">
        <f>_xlfn.XLOOKUP(AllDataCorrected[[#This Row],[Site Name]],LocationsKey[Site Name],LocationsKey[Town])</f>
        <v>#VALUE!</v>
      </c>
      <c r="J671" t="str">
        <f>_xlfn.XLOOKUP(AllDataCorrected[[#This Row],[Site Name]],LocationsKey[Site Name], LocationsKey[Waterway])</f>
        <v>Stour</v>
      </c>
      <c r="K671" t="s">
        <v>875</v>
      </c>
      <c r="L671">
        <f>_xlfn.XLOOKUP(AllDataCorrected[[#This Row],[Site Name]],Tables!$B$12:$B$100, Tables!C$12:C$100)</f>
        <v>52.069044372881365</v>
      </c>
      <c r="M671">
        <f>_xlfn.XLOOKUP(AllDataCorrected[[#This Row],[Site Name]],Tables!$B$12:$B$100, Tables!D$12:D$100)</f>
        <v>-1.6116270169491524</v>
      </c>
      <c r="N671" t="s">
        <v>31</v>
      </c>
      <c r="O671">
        <v>586</v>
      </c>
      <c r="P671">
        <v>14.4</v>
      </c>
      <c r="Q671">
        <v>10</v>
      </c>
      <c r="R671" t="str">
        <f>IF(AllDataCorrected[[#This Row],[Nitrate (PPM)]]&gt;2, "4. Very high (&gt;2ppm)", IF(AllDataCorrected[[#This Row],[Nitrate (PPM)]]&gt;1, "3. High (1-2ppm)", IF(AllDataCorrected[[#This Row],[Nitrate (PPM)]]&gt;0.5, "2. Some evidence (0.5-1ppm)", IF(AllDataCorrected[[#This Row],[Nitrate (PPM)]]&gt;=0, "1. No evidence (&lt;0.5ppm)"))))</f>
        <v>4. Very high (&gt;2ppm)</v>
      </c>
      <c r="S671">
        <v>0.18</v>
      </c>
      <c r="T6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1">
        <v>1.5</v>
      </c>
      <c r="V671" t="s">
        <v>1084</v>
      </c>
    </row>
    <row r="672" spans="1:22" x14ac:dyDescent="0.35">
      <c r="A672" t="s">
        <v>1085</v>
      </c>
      <c r="B672" s="2">
        <v>45395</v>
      </c>
      <c r="C672" t="str" cm="1">
        <f t="array" ref="C6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2">
        <f>YEAR(AllDataCorrected[[#This Row],[Date]])</f>
        <v>2024</v>
      </c>
      <c r="E672" s="1">
        <v>0.75277777777777777</v>
      </c>
      <c r="F67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672" t="str">
        <f>_xlfn.XLOOKUP(AllDataCorrected[[#This Row],[Location Name]], Locations[Location Name],Locations[Group As])</f>
        <v>Walcot Lane, Bow Brook Ford</v>
      </c>
      <c r="H672" t="e" vm="6">
        <f>_xlfn.XLOOKUP(AllDataCorrected[[#This Row],[Site Name]],LocationsKey[Site Name],LocationsKey[District])</f>
        <v>#VALUE!</v>
      </c>
      <c r="I672" t="e" vm="7">
        <f>_xlfn.XLOOKUP(AllDataCorrected[[#This Row],[Site Name]],LocationsKey[Site Name],LocationsKey[Town])</f>
        <v>#VALUE!</v>
      </c>
      <c r="J672" t="str">
        <f>_xlfn.XLOOKUP(AllDataCorrected[[#This Row],[Site Name]],LocationsKey[Site Name], LocationsKey[Waterway])</f>
        <v>Bow Brook</v>
      </c>
      <c r="K672" t="s">
        <v>775</v>
      </c>
      <c r="L672">
        <f>_xlfn.XLOOKUP(AllDataCorrected[[#This Row],[Site Name]],Tables!$B$12:$B$100, Tables!C$12:C$100)</f>
        <v>52.12810345454546</v>
      </c>
      <c r="M672">
        <f>_xlfn.XLOOKUP(AllDataCorrected[[#This Row],[Site Name]],Tables!$B$12:$B$100, Tables!D$12:D$100)</f>
        <v>-2.0789593939393938</v>
      </c>
      <c r="N672" t="s">
        <v>25</v>
      </c>
      <c r="O672">
        <v>872</v>
      </c>
      <c r="P672">
        <v>15.7</v>
      </c>
      <c r="Q672">
        <v>5</v>
      </c>
      <c r="R672" t="str">
        <f>IF(AllDataCorrected[[#This Row],[Nitrate (PPM)]]&gt;2, "4. Very high (&gt;2ppm)", IF(AllDataCorrected[[#This Row],[Nitrate (PPM)]]&gt;1, "3. High (1-2ppm)", IF(AllDataCorrected[[#This Row],[Nitrate (PPM)]]&gt;0.5, "2. Some evidence (0.5-1ppm)", IF(AllDataCorrected[[#This Row],[Nitrate (PPM)]]&gt;=0, "1. No evidence (&lt;0.5ppm)"))))</f>
        <v>4. Very high (&gt;2ppm)</v>
      </c>
      <c r="S672">
        <v>0.92</v>
      </c>
      <c r="T6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2">
        <v>0.5</v>
      </c>
      <c r="V672" t="s">
        <v>1086</v>
      </c>
    </row>
    <row r="673" spans="1:22" x14ac:dyDescent="0.35">
      <c r="A673" t="s">
        <v>1087</v>
      </c>
      <c r="B673" s="2">
        <v>45396</v>
      </c>
      <c r="C673" t="str" cm="1">
        <f t="array" ref="C6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3">
        <f>YEAR(AllDataCorrected[[#This Row],[Date]])</f>
        <v>2024</v>
      </c>
      <c r="E673" s="1">
        <v>0.5493055555555556</v>
      </c>
      <c r="F6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3" t="str">
        <f>_xlfn.XLOOKUP(AllDataCorrected[[#This Row],[Location Name]], Locations[Location Name],Locations[Group As])</f>
        <v>Lucy's Mill Bridge</v>
      </c>
      <c r="H673" t="e" vm="1">
        <f>_xlfn.XLOOKUP(AllDataCorrected[[#This Row],[Site Name]],LocationsKey[Site Name],LocationsKey[District])</f>
        <v>#VALUE!</v>
      </c>
      <c r="I673" t="e" vm="12">
        <f>_xlfn.XLOOKUP(AllDataCorrected[[#This Row],[Site Name]],LocationsKey[Site Name],LocationsKey[Town])</f>
        <v>#VALUE!</v>
      </c>
      <c r="J673" t="str">
        <f>_xlfn.XLOOKUP(AllDataCorrected[[#This Row],[Site Name]],LocationsKey[Site Name], LocationsKey[Waterway])</f>
        <v>Avon</v>
      </c>
      <c r="K673" t="s">
        <v>212</v>
      </c>
      <c r="L673">
        <f>_xlfn.XLOOKUP(AllDataCorrected[[#This Row],[Site Name]],Tables!$B$12:$B$100, Tables!C$12:C$100)</f>
        <v>52.183699000000011</v>
      </c>
      <c r="M673">
        <f>_xlfn.XLOOKUP(AllDataCorrected[[#This Row],[Site Name]],Tables!$B$12:$B$100, Tables!D$12:D$100)</f>
        <v>-1.7078160000000004</v>
      </c>
      <c r="N673" t="s">
        <v>31</v>
      </c>
      <c r="P673">
        <v>12</v>
      </c>
      <c r="Q673">
        <v>5</v>
      </c>
      <c r="R673" t="str">
        <f>IF(AllDataCorrected[[#This Row],[Nitrate (PPM)]]&gt;2, "4. Very high (&gt;2ppm)", IF(AllDataCorrected[[#This Row],[Nitrate (PPM)]]&gt;1, "3. High (1-2ppm)", IF(AllDataCorrected[[#This Row],[Nitrate (PPM)]]&gt;0.5, "2. Some evidence (0.5-1ppm)", IF(AllDataCorrected[[#This Row],[Nitrate (PPM)]]&gt;=0, "1. No evidence (&lt;0.5ppm)"))))</f>
        <v>4. Very high (&gt;2ppm)</v>
      </c>
      <c r="S673">
        <v>0.26</v>
      </c>
      <c r="T6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3">
        <v>0.7</v>
      </c>
    </row>
    <row r="674" spans="1:22" x14ac:dyDescent="0.35">
      <c r="A674" t="s">
        <v>1088</v>
      </c>
      <c r="B674" s="2">
        <v>45396</v>
      </c>
      <c r="C674" t="str" cm="1">
        <f t="array" ref="C6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4">
        <f>YEAR(AllDataCorrected[[#This Row],[Date]])</f>
        <v>2024</v>
      </c>
      <c r="E674" s="1">
        <v>0.68888888888888888</v>
      </c>
      <c r="F6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4" t="str">
        <f>_xlfn.XLOOKUP(AllDataCorrected[[#This Row],[Location Name]], Locations[Location Name],Locations[Group As])</f>
        <v>Black Bear</v>
      </c>
      <c r="H674" t="e" vm="4">
        <f>_xlfn.XLOOKUP(AllDataCorrected[[#This Row],[Site Name]],LocationsKey[Site Name],LocationsKey[District])</f>
        <v>#VALUE!</v>
      </c>
      <c r="I674" t="e" vm="4">
        <f>_xlfn.XLOOKUP(AllDataCorrected[[#This Row],[Site Name]],LocationsKey[Site Name],LocationsKey[Town])</f>
        <v>#VALUE!</v>
      </c>
      <c r="J674" t="str">
        <f>_xlfn.XLOOKUP(AllDataCorrected[[#This Row],[Site Name]],LocationsKey[Site Name], LocationsKey[Waterway])</f>
        <v>Avon</v>
      </c>
      <c r="K674" t="s">
        <v>572</v>
      </c>
      <c r="L674">
        <f>_xlfn.XLOOKUP(AllDataCorrected[[#This Row],[Site Name]],Tables!$B$12:$B$100, Tables!C$12:C$100)</f>
        <v>51.997466254237274</v>
      </c>
      <c r="M674">
        <f>_xlfn.XLOOKUP(AllDataCorrected[[#This Row],[Site Name]],Tables!$B$12:$B$100, Tables!D$12:D$100)</f>
        <v>-2.1561788644067801</v>
      </c>
      <c r="N674" t="s">
        <v>25</v>
      </c>
      <c r="O674">
        <v>765</v>
      </c>
      <c r="P674">
        <v>14.1</v>
      </c>
      <c r="Q674">
        <v>5</v>
      </c>
      <c r="R674" t="str">
        <f>IF(AllDataCorrected[[#This Row],[Nitrate (PPM)]]&gt;2, "4. Very high (&gt;2ppm)", IF(AllDataCorrected[[#This Row],[Nitrate (PPM)]]&gt;1, "3. High (1-2ppm)", IF(AllDataCorrected[[#This Row],[Nitrate (PPM)]]&gt;0.5, "2. Some evidence (0.5-1ppm)", IF(AllDataCorrected[[#This Row],[Nitrate (PPM)]]&gt;=0, "1. No evidence (&lt;0.5ppm)"))))</f>
        <v>4. Very high (&gt;2ppm)</v>
      </c>
      <c r="S674">
        <v>0.92</v>
      </c>
      <c r="T6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4">
        <v>0</v>
      </c>
    </row>
    <row r="675" spans="1:22" x14ac:dyDescent="0.35">
      <c r="A675" t="s">
        <v>1089</v>
      </c>
      <c r="B675" s="2">
        <v>45396</v>
      </c>
      <c r="C675" t="str" cm="1">
        <f t="array" ref="C6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5">
        <f>YEAR(AllDataCorrected[[#This Row],[Date]])</f>
        <v>2024</v>
      </c>
      <c r="E675" s="1">
        <v>0.72916666666666663</v>
      </c>
      <c r="F6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5" t="str">
        <f>_xlfn.XLOOKUP(AllDataCorrected[[#This Row],[Location Name]], Locations[Location Name],Locations[Group As])</f>
        <v>Sherbourne Brook 1</v>
      </c>
      <c r="H675" t="e" vm="1">
        <f>_xlfn.XLOOKUP(AllDataCorrected[[#This Row],[Site Name]],LocationsKey[Site Name],LocationsKey[District])</f>
        <v>#VALUE!</v>
      </c>
      <c r="I675" t="e" vm="23">
        <f>_xlfn.XLOOKUP(AllDataCorrected[[#This Row],[Site Name]],LocationsKey[Site Name],LocationsKey[Town])</f>
        <v>#VALUE!</v>
      </c>
      <c r="J675" t="str">
        <f>_xlfn.XLOOKUP(AllDataCorrected[[#This Row],[Site Name]],LocationsKey[Site Name], LocationsKey[Waterway])</f>
        <v>Sherbourne Brook</v>
      </c>
      <c r="K675" t="s">
        <v>541</v>
      </c>
      <c r="L675">
        <f>_xlfn.XLOOKUP(AllDataCorrected[[#This Row],[Site Name]],Tables!$B$12:$B$100, Tables!C$12:C$100)</f>
        <v>52.252500000000033</v>
      </c>
      <c r="M675">
        <f>_xlfn.XLOOKUP(AllDataCorrected[[#This Row],[Site Name]],Tables!$B$12:$B$100, Tables!D$12:D$100)</f>
        <v>-1.6685000000000012</v>
      </c>
      <c r="N675" t="s">
        <v>25</v>
      </c>
      <c r="O675">
        <v>1040</v>
      </c>
      <c r="P675">
        <v>12.2</v>
      </c>
      <c r="Q675">
        <v>5</v>
      </c>
      <c r="R675" t="str">
        <f>IF(AllDataCorrected[[#This Row],[Nitrate (PPM)]]&gt;2, "4. Very high (&gt;2ppm)", IF(AllDataCorrected[[#This Row],[Nitrate (PPM)]]&gt;1, "3. High (1-2ppm)", IF(AllDataCorrected[[#This Row],[Nitrate (PPM)]]&gt;0.5, "2. Some evidence (0.5-1ppm)", IF(AllDataCorrected[[#This Row],[Nitrate (PPM)]]&gt;=0, "1. No evidence (&lt;0.5ppm)"))))</f>
        <v>4. Very high (&gt;2ppm)</v>
      </c>
      <c r="S675">
        <v>0.62</v>
      </c>
      <c r="T6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5">
        <v>0.3</v>
      </c>
    </row>
    <row r="676" spans="1:22" x14ac:dyDescent="0.35">
      <c r="A676" t="s">
        <v>1090</v>
      </c>
      <c r="B676" s="2">
        <v>45396</v>
      </c>
      <c r="C676" t="str" cm="1">
        <f t="array" ref="C6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6">
        <f>YEAR(AllDataCorrected[[#This Row],[Date]])</f>
        <v>2024</v>
      </c>
      <c r="E676" s="1">
        <v>0.73958333333333337</v>
      </c>
      <c r="F6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76" t="str">
        <f>_xlfn.XLOOKUP(AllDataCorrected[[#This Row],[Location Name]], Locations[Location Name],Locations[Group As])</f>
        <v>Bell Brook 1</v>
      </c>
      <c r="H676" t="e" vm="1">
        <f>_xlfn.XLOOKUP(AllDataCorrected[[#This Row],[Site Name]],LocationsKey[Site Name],LocationsKey[District])</f>
        <v>#VALUE!</v>
      </c>
      <c r="I676" t="e" vm="19">
        <f>_xlfn.XLOOKUP(AllDataCorrected[[#This Row],[Site Name]],LocationsKey[Site Name],LocationsKey[Town])</f>
        <v>#VALUE!</v>
      </c>
      <c r="J676" t="str">
        <f>_xlfn.XLOOKUP(AllDataCorrected[[#This Row],[Site Name]],LocationsKey[Site Name], LocationsKey[Waterway])</f>
        <v>Bell Brook</v>
      </c>
      <c r="K676" t="s">
        <v>538</v>
      </c>
      <c r="L676">
        <f>_xlfn.XLOOKUP(AllDataCorrected[[#This Row],[Site Name]],Tables!$B$12:$B$100, Tables!C$12:C$100)</f>
        <v>52.24489999999998</v>
      </c>
      <c r="M676">
        <f>_xlfn.XLOOKUP(AllDataCorrected[[#This Row],[Site Name]],Tables!$B$12:$B$100, Tables!D$12:D$100)</f>
        <v>-1.6617000000000013</v>
      </c>
      <c r="N676" t="s">
        <v>25</v>
      </c>
      <c r="O676">
        <v>690</v>
      </c>
      <c r="P676">
        <v>13.1</v>
      </c>
      <c r="Q676">
        <v>4</v>
      </c>
      <c r="R676" t="str">
        <f>IF(AllDataCorrected[[#This Row],[Nitrate (PPM)]]&gt;2, "4. Very high (&gt;2ppm)", IF(AllDataCorrected[[#This Row],[Nitrate (PPM)]]&gt;1, "3. High (1-2ppm)", IF(AllDataCorrected[[#This Row],[Nitrate (PPM)]]&gt;0.5, "2. Some evidence (0.5-1ppm)", IF(AllDataCorrected[[#This Row],[Nitrate (PPM)]]&gt;=0, "1. No evidence (&lt;0.5ppm)"))))</f>
        <v>4. Very high (&gt;2ppm)</v>
      </c>
      <c r="S676">
        <v>0.5</v>
      </c>
      <c r="T6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6">
        <v>0.1</v>
      </c>
    </row>
    <row r="677" spans="1:22" x14ac:dyDescent="0.35">
      <c r="A677" t="s">
        <v>1091</v>
      </c>
      <c r="B677" s="2">
        <v>45396</v>
      </c>
      <c r="C677" t="str" cm="1">
        <f t="array" ref="C6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7">
        <f>YEAR(AllDataCorrected[[#This Row],[Date]])</f>
        <v>2024</v>
      </c>
      <c r="E677" s="1">
        <v>0.76111111111111107</v>
      </c>
      <c r="F67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677" t="str">
        <f>_xlfn.XLOOKUP(AllDataCorrected[[#This Row],[Location Name]], Locations[Location Name],Locations[Group As])</f>
        <v>Pershore Bridges</v>
      </c>
      <c r="H677" t="e" vm="6">
        <f>_xlfn.XLOOKUP(AllDataCorrected[[#This Row],[Site Name]],LocationsKey[Site Name],LocationsKey[District])</f>
        <v>#VALUE!</v>
      </c>
      <c r="I677" t="e" vm="7">
        <f>_xlfn.XLOOKUP(AllDataCorrected[[#This Row],[Site Name]],LocationsKey[Site Name],LocationsKey[Town])</f>
        <v>#VALUE!</v>
      </c>
      <c r="J677" t="str">
        <f>_xlfn.XLOOKUP(AllDataCorrected[[#This Row],[Site Name]],LocationsKey[Site Name], LocationsKey[Waterway])</f>
        <v>Avon</v>
      </c>
      <c r="K677" t="s">
        <v>584</v>
      </c>
      <c r="L677">
        <f>_xlfn.XLOOKUP(AllDataCorrected[[#This Row],[Site Name]],Tables!$B$12:$B$100, Tables!C$12:C$100)</f>
        <v>52.104196285714281</v>
      </c>
      <c r="M677">
        <f>_xlfn.XLOOKUP(AllDataCorrected[[#This Row],[Site Name]],Tables!$B$12:$B$100, Tables!D$12:D$100)</f>
        <v>-2.0709292857142851</v>
      </c>
      <c r="O677">
        <v>822</v>
      </c>
      <c r="P677">
        <v>12.5</v>
      </c>
      <c r="Q677">
        <v>5</v>
      </c>
      <c r="R677" t="str">
        <f>IF(AllDataCorrected[[#This Row],[Nitrate (PPM)]]&gt;2, "4. Very high (&gt;2ppm)", IF(AllDataCorrected[[#This Row],[Nitrate (PPM)]]&gt;1, "3. High (1-2ppm)", IF(AllDataCorrected[[#This Row],[Nitrate (PPM)]]&gt;0.5, "2. Some evidence (0.5-1ppm)", IF(AllDataCorrected[[#This Row],[Nitrate (PPM)]]&gt;=0, "1. No evidence (&lt;0.5ppm)"))))</f>
        <v>4. Very high (&gt;2ppm)</v>
      </c>
      <c r="S677">
        <v>0.62</v>
      </c>
      <c r="T6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77">
        <v>3.34</v>
      </c>
    </row>
    <row r="678" spans="1:22" x14ac:dyDescent="0.35">
      <c r="A678" t="s">
        <v>1092</v>
      </c>
      <c r="B678" s="2">
        <v>45396</v>
      </c>
      <c r="C678" t="str" cm="1">
        <f t="array" ref="C6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8">
        <f>YEAR(AllDataCorrected[[#This Row],[Date]])</f>
        <v>2024</v>
      </c>
      <c r="F6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78" t="str">
        <f>_xlfn.XLOOKUP(AllDataCorrected[[#This Row],[Location Name]], Locations[Location Name],Locations[Group As])</f>
        <v>Site 1  :  Middle Street</v>
      </c>
      <c r="H678" t="e" vm="1">
        <f>_xlfn.XLOOKUP(AllDataCorrected[[#This Row],[Site Name]],LocationsKey[Site Name],LocationsKey[District])</f>
        <v>#VALUE!</v>
      </c>
      <c r="I678" t="e" vm="14">
        <f>_xlfn.XLOOKUP(AllDataCorrected[[#This Row],[Site Name]],LocationsKey[Site Name],LocationsKey[Town])</f>
        <v>#VALUE!</v>
      </c>
      <c r="J678" t="str">
        <f>_xlfn.XLOOKUP(AllDataCorrected[[#This Row],[Site Name]],LocationsKey[Site Name], LocationsKey[Waterway])</f>
        <v>Fosseway Brook</v>
      </c>
      <c r="K678" t="s">
        <v>667</v>
      </c>
      <c r="L678">
        <f>_xlfn.XLOOKUP(AllDataCorrected[[#This Row],[Site Name]],Tables!$B$12:$B$100, Tables!C$12:C$100)</f>
        <v>52.090081855670022</v>
      </c>
      <c r="M678">
        <f>_xlfn.XLOOKUP(AllDataCorrected[[#This Row],[Site Name]],Tables!$B$12:$B$100, Tables!D$12:D$100)</f>
        <v>-1.6925771134020597</v>
      </c>
      <c r="N678" t="s">
        <v>68</v>
      </c>
      <c r="O678">
        <v>567</v>
      </c>
      <c r="P678">
        <v>14.8</v>
      </c>
      <c r="Q678">
        <v>2</v>
      </c>
      <c r="R678" t="str">
        <f>IF(AllDataCorrected[[#This Row],[Nitrate (PPM)]]&gt;2, "4. Very high (&gt;2ppm)", IF(AllDataCorrected[[#This Row],[Nitrate (PPM)]]&gt;1, "3. High (1-2ppm)", IF(AllDataCorrected[[#This Row],[Nitrate (PPM)]]&gt;0.5, "2. Some evidence (0.5-1ppm)", IF(AllDataCorrected[[#This Row],[Nitrate (PPM)]]&gt;=0, "1. No evidence (&lt;0.5ppm)"))))</f>
        <v>3. High (1-2ppm)</v>
      </c>
      <c r="S678">
        <v>0.24</v>
      </c>
      <c r="T6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78">
        <v>0</v>
      </c>
      <c r="V678" t="s">
        <v>1093</v>
      </c>
    </row>
    <row r="679" spans="1:22" x14ac:dyDescent="0.35">
      <c r="A679" t="s">
        <v>1094</v>
      </c>
      <c r="B679" s="2">
        <v>45396</v>
      </c>
      <c r="C679" t="str" cm="1">
        <f t="array" ref="C6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79">
        <f>YEAR(AllDataCorrected[[#This Row],[Date]])</f>
        <v>2024</v>
      </c>
      <c r="F6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79" t="str">
        <f>_xlfn.XLOOKUP(AllDataCorrected[[#This Row],[Location Name]], Locations[Location Name],Locations[Group As])</f>
        <v>Site 1  :  Middle Street</v>
      </c>
      <c r="H679" t="e" vm="1">
        <f>_xlfn.XLOOKUP(AllDataCorrected[[#This Row],[Site Name]],LocationsKey[Site Name],LocationsKey[District])</f>
        <v>#VALUE!</v>
      </c>
      <c r="I679" t="e" vm="14">
        <f>_xlfn.XLOOKUP(AllDataCorrected[[#This Row],[Site Name]],LocationsKey[Site Name],LocationsKey[Town])</f>
        <v>#VALUE!</v>
      </c>
      <c r="J679" t="str">
        <f>_xlfn.XLOOKUP(AllDataCorrected[[#This Row],[Site Name]],LocationsKey[Site Name], LocationsKey[Waterway])</f>
        <v>Fosseway Brook</v>
      </c>
      <c r="K679" t="s">
        <v>670</v>
      </c>
      <c r="L679">
        <f>_xlfn.XLOOKUP(AllDataCorrected[[#This Row],[Site Name]],Tables!$B$12:$B$100, Tables!C$12:C$100)</f>
        <v>52.090081855670022</v>
      </c>
      <c r="M679">
        <f>_xlfn.XLOOKUP(AllDataCorrected[[#This Row],[Site Name]],Tables!$B$12:$B$100, Tables!D$12:D$100)</f>
        <v>-1.6925771134020597</v>
      </c>
      <c r="N679" t="s">
        <v>68</v>
      </c>
      <c r="O679">
        <v>567</v>
      </c>
      <c r="P679">
        <v>14.8</v>
      </c>
      <c r="Q679">
        <v>2</v>
      </c>
      <c r="R679" t="str">
        <f>IF(AllDataCorrected[[#This Row],[Nitrate (PPM)]]&gt;2, "4. Very high (&gt;2ppm)", IF(AllDataCorrected[[#This Row],[Nitrate (PPM)]]&gt;1, "3. High (1-2ppm)", IF(AllDataCorrected[[#This Row],[Nitrate (PPM)]]&gt;0.5, "2. Some evidence (0.5-1ppm)", IF(AllDataCorrected[[#This Row],[Nitrate (PPM)]]&gt;=0, "1. No evidence (&lt;0.5ppm)"))))</f>
        <v>3. High (1-2ppm)</v>
      </c>
      <c r="S679">
        <v>0.24</v>
      </c>
      <c r="T6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679" t="s">
        <v>1095</v>
      </c>
    </row>
    <row r="680" spans="1:22" x14ac:dyDescent="0.35">
      <c r="A680" t="s">
        <v>1096</v>
      </c>
      <c r="B680" s="2">
        <v>45396</v>
      </c>
      <c r="C680" t="str" cm="1">
        <f t="array" ref="C6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0">
        <f>YEAR(AllDataCorrected[[#This Row],[Date]])</f>
        <v>2024</v>
      </c>
      <c r="F6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0" t="str">
        <f>_xlfn.XLOOKUP(AllDataCorrected[[#This Row],[Location Name]], Locations[Location Name],Locations[Group As])</f>
        <v>Site 2  :  Cross Leys culvert</v>
      </c>
      <c r="H680" t="e" vm="1">
        <f>_xlfn.XLOOKUP(AllDataCorrected[[#This Row],[Site Name]],LocationsKey[Site Name],LocationsKey[District])</f>
        <v>#VALUE!</v>
      </c>
      <c r="I680" t="e" vm="14">
        <f>_xlfn.XLOOKUP(AllDataCorrected[[#This Row],[Site Name]],LocationsKey[Site Name],LocationsKey[Town])</f>
        <v>#VALUE!</v>
      </c>
      <c r="J680" t="str">
        <f>_xlfn.XLOOKUP(AllDataCorrected[[#This Row],[Site Name]],LocationsKey[Site Name], LocationsKey[Waterway])</f>
        <v>Fosseway Brook</v>
      </c>
      <c r="K680" t="s">
        <v>623</v>
      </c>
      <c r="L680">
        <f>_xlfn.XLOOKUP(AllDataCorrected[[#This Row],[Site Name]],Tables!$B$12:$B$100, Tables!C$12:C$100)</f>
        <v>52.092997354838673</v>
      </c>
      <c r="M680">
        <f>_xlfn.XLOOKUP(AllDataCorrected[[#This Row],[Site Name]],Tables!$B$12:$B$100, Tables!D$12:D$100)</f>
        <v>-1.6862254516129045</v>
      </c>
      <c r="N680" t="s">
        <v>68</v>
      </c>
      <c r="O680">
        <v>638</v>
      </c>
      <c r="P680">
        <v>13.7</v>
      </c>
      <c r="Q680">
        <v>2</v>
      </c>
      <c r="R680" t="str">
        <f>IF(AllDataCorrected[[#This Row],[Nitrate (PPM)]]&gt;2, "4. Very high (&gt;2ppm)", IF(AllDataCorrected[[#This Row],[Nitrate (PPM)]]&gt;1, "3. High (1-2ppm)", IF(AllDataCorrected[[#This Row],[Nitrate (PPM)]]&gt;0.5, "2. Some evidence (0.5-1ppm)", IF(AllDataCorrected[[#This Row],[Nitrate (PPM)]]&gt;=0, "1. No evidence (&lt;0.5ppm)"))))</f>
        <v>3. High (1-2ppm)</v>
      </c>
      <c r="S680">
        <v>0.26</v>
      </c>
      <c r="T68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0">
        <v>0</v>
      </c>
      <c r="V680" t="s">
        <v>835</v>
      </c>
    </row>
    <row r="681" spans="1:22" x14ac:dyDescent="0.35">
      <c r="A681" t="s">
        <v>1097</v>
      </c>
      <c r="B681" s="2">
        <v>45396</v>
      </c>
      <c r="C681" t="str" cm="1">
        <f t="array" ref="C6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1">
        <f>YEAR(AllDataCorrected[[#This Row],[Date]])</f>
        <v>2024</v>
      </c>
      <c r="F6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1" t="str">
        <f>_xlfn.XLOOKUP(AllDataCorrected[[#This Row],[Location Name]], Locations[Location Name],Locations[Group As])</f>
        <v>Site 2  :  Cross Leys culvert</v>
      </c>
      <c r="H681" t="e" vm="1">
        <f>_xlfn.XLOOKUP(AllDataCorrected[[#This Row],[Site Name]],LocationsKey[Site Name],LocationsKey[District])</f>
        <v>#VALUE!</v>
      </c>
      <c r="I681" t="e" vm="14">
        <f>_xlfn.XLOOKUP(AllDataCorrected[[#This Row],[Site Name]],LocationsKey[Site Name],LocationsKey[Town])</f>
        <v>#VALUE!</v>
      </c>
      <c r="J681" t="str">
        <f>_xlfn.XLOOKUP(AllDataCorrected[[#This Row],[Site Name]],LocationsKey[Site Name], LocationsKey[Waterway])</f>
        <v>Fosseway Brook</v>
      </c>
      <c r="K681" t="s">
        <v>626</v>
      </c>
      <c r="L681">
        <f>_xlfn.XLOOKUP(AllDataCorrected[[#This Row],[Site Name]],Tables!$B$12:$B$100, Tables!C$12:C$100)</f>
        <v>52.092997354838673</v>
      </c>
      <c r="M681">
        <f>_xlfn.XLOOKUP(AllDataCorrected[[#This Row],[Site Name]],Tables!$B$12:$B$100, Tables!D$12:D$100)</f>
        <v>-1.6862254516129045</v>
      </c>
      <c r="N681" t="s">
        <v>68</v>
      </c>
      <c r="O681">
        <v>638</v>
      </c>
      <c r="P681">
        <v>13.7</v>
      </c>
      <c r="Q681">
        <v>2</v>
      </c>
      <c r="R681" t="str">
        <f>IF(AllDataCorrected[[#This Row],[Nitrate (PPM)]]&gt;2, "4. Very high (&gt;2ppm)", IF(AllDataCorrected[[#This Row],[Nitrate (PPM)]]&gt;1, "3. High (1-2ppm)", IF(AllDataCorrected[[#This Row],[Nitrate (PPM)]]&gt;0.5, "2. Some evidence (0.5-1ppm)", IF(AllDataCorrected[[#This Row],[Nitrate (PPM)]]&gt;=0, "1. No evidence (&lt;0.5ppm)"))))</f>
        <v>3. High (1-2ppm)</v>
      </c>
      <c r="S681">
        <v>0.26</v>
      </c>
      <c r="T6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682" spans="1:22" x14ac:dyDescent="0.35">
      <c r="A682" t="s">
        <v>1098</v>
      </c>
      <c r="B682" s="2">
        <v>45396</v>
      </c>
      <c r="C682" t="str" cm="1">
        <f t="array" ref="C6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2">
        <f>YEAR(AllDataCorrected[[#This Row],[Date]])</f>
        <v>2024</v>
      </c>
      <c r="F68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2" t="str">
        <f>_xlfn.XLOOKUP(AllDataCorrected[[#This Row],[Location Name]], Locations[Location Name],Locations[Group As])</f>
        <v>Site 3  :  Severn Trent Water processing plant outflow</v>
      </c>
      <c r="H682" t="e" vm="1">
        <f>_xlfn.XLOOKUP(AllDataCorrected[[#This Row],[Site Name]],LocationsKey[Site Name],LocationsKey[District])</f>
        <v>#VALUE!</v>
      </c>
      <c r="I682" t="e" vm="14">
        <f>_xlfn.XLOOKUP(AllDataCorrected[[#This Row],[Site Name]],LocationsKey[Site Name],LocationsKey[Town])</f>
        <v>#VALUE!</v>
      </c>
      <c r="J682" t="str">
        <f>_xlfn.XLOOKUP(AllDataCorrected[[#This Row],[Site Name]],LocationsKey[Site Name], LocationsKey[Waterway])</f>
        <v>Fosseway Brook</v>
      </c>
      <c r="K682" t="s">
        <v>673</v>
      </c>
      <c r="L682">
        <f>_xlfn.XLOOKUP(AllDataCorrected[[#This Row],[Site Name]],Tables!$B$12:$B$100, Tables!C$12:C$100)</f>
        <v>52.130499999999998</v>
      </c>
      <c r="M682">
        <f>_xlfn.XLOOKUP(AllDataCorrected[[#This Row],[Site Name]],Tables!$B$12:$B$100, Tables!D$12:D$100)</f>
        <v>-2.0787</v>
      </c>
      <c r="N682" t="s">
        <v>31</v>
      </c>
      <c r="O682">
        <v>841</v>
      </c>
      <c r="P682">
        <v>14.5</v>
      </c>
      <c r="Q682">
        <v>5</v>
      </c>
      <c r="R682" t="str">
        <f>IF(AllDataCorrected[[#This Row],[Nitrate (PPM)]]&gt;2, "4. Very high (&gt;2ppm)", IF(AllDataCorrected[[#This Row],[Nitrate (PPM)]]&gt;1, "3. High (1-2ppm)", IF(AllDataCorrected[[#This Row],[Nitrate (PPM)]]&gt;0.5, "2. Some evidence (0.5-1ppm)", IF(AllDataCorrected[[#This Row],[Nitrate (PPM)]]&gt;=0, "1. No evidence (&lt;0.5ppm)"))))</f>
        <v>4. Very high (&gt;2ppm)</v>
      </c>
      <c r="S682">
        <v>2.5</v>
      </c>
      <c r="T6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2">
        <v>0</v>
      </c>
      <c r="V682" t="s">
        <v>840</v>
      </c>
    </row>
    <row r="683" spans="1:22" x14ac:dyDescent="0.35">
      <c r="A683" t="s">
        <v>1099</v>
      </c>
      <c r="B683" s="2">
        <v>45396</v>
      </c>
      <c r="C683" t="str" cm="1">
        <f t="array" ref="C6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3">
        <f>YEAR(AllDataCorrected[[#This Row],[Date]])</f>
        <v>2024</v>
      </c>
      <c r="F68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83" t="str">
        <f>_xlfn.XLOOKUP(AllDataCorrected[[#This Row],[Location Name]], Locations[Location Name],Locations[Group As])</f>
        <v>Site 3  :  Severn Trent Water processing plant outflow</v>
      </c>
      <c r="H683" t="e" vm="1">
        <f>_xlfn.XLOOKUP(AllDataCorrected[[#This Row],[Site Name]],LocationsKey[Site Name],LocationsKey[District])</f>
        <v>#VALUE!</v>
      </c>
      <c r="I683" t="e" vm="14">
        <f>_xlfn.XLOOKUP(AllDataCorrected[[#This Row],[Site Name]],LocationsKey[Site Name],LocationsKey[Town])</f>
        <v>#VALUE!</v>
      </c>
      <c r="J683" t="str">
        <f>_xlfn.XLOOKUP(AllDataCorrected[[#This Row],[Site Name]],LocationsKey[Site Name], LocationsKey[Waterway])</f>
        <v>Fosseway Brook</v>
      </c>
      <c r="K683" t="s">
        <v>676</v>
      </c>
      <c r="L683">
        <f>_xlfn.XLOOKUP(AllDataCorrected[[#This Row],[Site Name]],Tables!$B$12:$B$100, Tables!C$12:C$100)</f>
        <v>52.130499999999998</v>
      </c>
      <c r="M683">
        <f>_xlfn.XLOOKUP(AllDataCorrected[[#This Row],[Site Name]],Tables!$B$12:$B$100, Tables!D$12:D$100)</f>
        <v>-2.0787</v>
      </c>
      <c r="N683" t="s">
        <v>31</v>
      </c>
      <c r="O683">
        <v>841</v>
      </c>
      <c r="P683">
        <v>14.5</v>
      </c>
      <c r="Q683">
        <v>5</v>
      </c>
      <c r="R683" t="str">
        <f>IF(AllDataCorrected[[#This Row],[Nitrate (PPM)]]&gt;2, "4. Very high (&gt;2ppm)", IF(AllDataCorrected[[#This Row],[Nitrate (PPM)]]&gt;1, "3. High (1-2ppm)", IF(AllDataCorrected[[#This Row],[Nitrate (PPM)]]&gt;0.5, "2. Some evidence (0.5-1ppm)", IF(AllDataCorrected[[#This Row],[Nitrate (PPM)]]&gt;=0, "1. No evidence (&lt;0.5ppm)"))))</f>
        <v>4. Very high (&gt;2ppm)</v>
      </c>
      <c r="S683">
        <v>2.5</v>
      </c>
      <c r="T6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684" spans="1:22" x14ac:dyDescent="0.35">
      <c r="A684" t="s">
        <v>1101</v>
      </c>
      <c r="B684" s="2">
        <v>45397</v>
      </c>
      <c r="C684" t="str" cm="1">
        <f t="array" ref="C6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4">
        <f>YEAR(AllDataCorrected[[#This Row],[Date]])</f>
        <v>2024</v>
      </c>
      <c r="E684" s="1">
        <v>0.59444444444444444</v>
      </c>
      <c r="F6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4" t="str">
        <f>_xlfn.XLOOKUP(AllDataCorrected[[#This Row],[Location Name]], Locations[Location Name],Locations[Group As])</f>
        <v>Alveston Weir</v>
      </c>
      <c r="H684" t="e" vm="1">
        <f>_xlfn.XLOOKUP(AllDataCorrected[[#This Row],[Site Name]],LocationsKey[Site Name],LocationsKey[District])</f>
        <v>#VALUE!</v>
      </c>
      <c r="I684" t="e" vm="2">
        <f>_xlfn.XLOOKUP(AllDataCorrected[[#This Row],[Site Name]],LocationsKey[Site Name],LocationsKey[Town])</f>
        <v>#VALUE!</v>
      </c>
      <c r="J684" t="str">
        <f>_xlfn.XLOOKUP(AllDataCorrected[[#This Row],[Site Name]],LocationsKey[Site Name], LocationsKey[Waterway])</f>
        <v>Avon</v>
      </c>
      <c r="K684" t="s">
        <v>288</v>
      </c>
      <c r="L684">
        <f>_xlfn.XLOOKUP(AllDataCorrected[[#This Row],[Site Name]],Tables!$B$12:$B$100, Tables!C$12:C$100)</f>
        <v>52.21226301333337</v>
      </c>
      <c r="M684">
        <f>_xlfn.XLOOKUP(AllDataCorrected[[#This Row],[Site Name]],Tables!$B$12:$B$100, Tables!D$12:D$100)</f>
        <v>-1.6595226800000011</v>
      </c>
      <c r="N684" t="s">
        <v>31</v>
      </c>
      <c r="O684">
        <v>666</v>
      </c>
      <c r="P684">
        <v>15</v>
      </c>
      <c r="Q684">
        <v>10</v>
      </c>
      <c r="R684" t="str">
        <f>IF(AllDataCorrected[[#This Row],[Nitrate (PPM)]]&gt;2, "4. Very high (&gt;2ppm)", IF(AllDataCorrected[[#This Row],[Nitrate (PPM)]]&gt;1, "3. High (1-2ppm)", IF(AllDataCorrected[[#This Row],[Nitrate (PPM)]]&gt;0.5, "2. Some evidence (0.5-1ppm)", IF(AllDataCorrected[[#This Row],[Nitrate (PPM)]]&gt;=0, "1. No evidence (&lt;0.5ppm)"))))</f>
        <v>4. Very high (&gt;2ppm)</v>
      </c>
      <c r="S684">
        <v>0.44</v>
      </c>
      <c r="T6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4">
        <v>0</v>
      </c>
      <c r="V684" t="s">
        <v>1102</v>
      </c>
    </row>
    <row r="685" spans="1:22" x14ac:dyDescent="0.35">
      <c r="A685" t="s">
        <v>1103</v>
      </c>
      <c r="B685" s="2">
        <v>45397</v>
      </c>
      <c r="C685" t="str" cm="1">
        <f t="array" ref="C6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5">
        <f>YEAR(AllDataCorrected[[#This Row],[Date]])</f>
        <v>2024</v>
      </c>
      <c r="E685" s="1">
        <v>0.59722222222222221</v>
      </c>
      <c r="F6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5" t="str">
        <f>_xlfn.XLOOKUP(AllDataCorrected[[#This Row],[Location Name]], Locations[Location Name],Locations[Group As])</f>
        <v>Abbey Mill</v>
      </c>
      <c r="H685" t="e" vm="4">
        <f>_xlfn.XLOOKUP(AllDataCorrected[[#This Row],[Site Name]],LocationsKey[Site Name],LocationsKey[District])</f>
        <v>#VALUE!</v>
      </c>
      <c r="I685" t="e" vm="4">
        <f>_xlfn.XLOOKUP(AllDataCorrected[[#This Row],[Site Name]],LocationsKey[Site Name],LocationsKey[Town])</f>
        <v>#VALUE!</v>
      </c>
      <c r="J685" t="str">
        <f>_xlfn.XLOOKUP(AllDataCorrected[[#This Row],[Site Name]],LocationsKey[Site Name], LocationsKey[Waterway])</f>
        <v>Avon</v>
      </c>
      <c r="K685" t="s">
        <v>27</v>
      </c>
      <c r="L685">
        <f>_xlfn.XLOOKUP(AllDataCorrected[[#This Row],[Site Name]],Tables!$B$12:$B$100, Tables!C$12:C$100)</f>
        <v>51.991313075757589</v>
      </c>
      <c r="M685">
        <f>_xlfn.XLOOKUP(AllDataCorrected[[#This Row],[Site Name]],Tables!$B$12:$B$100, Tables!D$12:D$100)</f>
        <v>-2.1621998181818181</v>
      </c>
      <c r="N685" t="s">
        <v>25</v>
      </c>
      <c r="O685">
        <v>794</v>
      </c>
      <c r="P685">
        <v>13</v>
      </c>
      <c r="Q685">
        <v>10</v>
      </c>
      <c r="R685" t="str">
        <f>IF(AllDataCorrected[[#This Row],[Nitrate (PPM)]]&gt;2, "4. Very high (&gt;2ppm)", IF(AllDataCorrected[[#This Row],[Nitrate (PPM)]]&gt;1, "3. High (1-2ppm)", IF(AllDataCorrected[[#This Row],[Nitrate (PPM)]]&gt;0.5, "2. Some evidence (0.5-1ppm)", IF(AllDataCorrected[[#This Row],[Nitrate (PPM)]]&gt;=0, "1. No evidence (&lt;0.5ppm)"))))</f>
        <v>4. Very high (&gt;2ppm)</v>
      </c>
      <c r="S685">
        <v>0.52</v>
      </c>
      <c r="T6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5">
        <v>0.5</v>
      </c>
      <c r="V685" t="s">
        <v>1104</v>
      </c>
    </row>
    <row r="686" spans="1:22" x14ac:dyDescent="0.35">
      <c r="A686" t="s">
        <v>1105</v>
      </c>
      <c r="B686" s="2">
        <v>45397</v>
      </c>
      <c r="C686" t="str" cm="1">
        <f t="array" ref="C6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6">
        <f>YEAR(AllDataCorrected[[#This Row],[Date]])</f>
        <v>2024</v>
      </c>
      <c r="E686" s="1">
        <v>0.60416666666666663</v>
      </c>
      <c r="F6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6" t="str">
        <f>_xlfn.XLOOKUP(AllDataCorrected[[#This Row],[Location Name]], Locations[Location Name],Locations[Group As])</f>
        <v>Swiffen Bank</v>
      </c>
      <c r="H686" t="e" vm="1">
        <f>_xlfn.XLOOKUP(AllDataCorrected[[#This Row],[Site Name]],LocationsKey[Site Name],LocationsKey[District])</f>
        <v>#VALUE!</v>
      </c>
      <c r="I686" t="e" vm="2">
        <f>_xlfn.XLOOKUP(AllDataCorrected[[#This Row],[Site Name]],LocationsKey[Site Name],LocationsKey[Town])</f>
        <v>#VALUE!</v>
      </c>
      <c r="J686" t="str">
        <f>_xlfn.XLOOKUP(AllDataCorrected[[#This Row],[Site Name]],LocationsKey[Site Name], LocationsKey[Waterway])</f>
        <v>Avon</v>
      </c>
      <c r="K686" t="s">
        <v>286</v>
      </c>
      <c r="L686">
        <f>_xlfn.XLOOKUP(AllDataCorrected[[#This Row],[Site Name]],Tables!$B$12:$B$100, Tables!C$12:C$100)</f>
        <v>52.206649805555557</v>
      </c>
      <c r="M686">
        <f>_xlfn.XLOOKUP(AllDataCorrected[[#This Row],[Site Name]],Tables!$B$12:$B$100, Tables!D$12:D$100)</f>
        <v>-1.6541018611111094</v>
      </c>
      <c r="N686" t="s">
        <v>31</v>
      </c>
      <c r="O686">
        <v>675</v>
      </c>
      <c r="P686">
        <v>12.7</v>
      </c>
      <c r="Q686">
        <v>10</v>
      </c>
      <c r="R686" t="str">
        <f>IF(AllDataCorrected[[#This Row],[Nitrate (PPM)]]&gt;2, "4. Very high (&gt;2ppm)", IF(AllDataCorrected[[#This Row],[Nitrate (PPM)]]&gt;1, "3. High (1-2ppm)", IF(AllDataCorrected[[#This Row],[Nitrate (PPM)]]&gt;0.5, "2. Some evidence (0.5-1ppm)", IF(AllDataCorrected[[#This Row],[Nitrate (PPM)]]&gt;=0, "1. No evidence (&lt;0.5ppm)"))))</f>
        <v>4. Very high (&gt;2ppm)</v>
      </c>
      <c r="S686">
        <v>0.41</v>
      </c>
      <c r="T68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86">
        <v>0</v>
      </c>
    </row>
    <row r="687" spans="1:22" x14ac:dyDescent="0.35">
      <c r="A687" t="s">
        <v>1106</v>
      </c>
      <c r="B687" s="2">
        <v>45397</v>
      </c>
      <c r="C687" t="str" cm="1">
        <f t="array" ref="C6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7">
        <f>YEAR(AllDataCorrected[[#This Row],[Date]])</f>
        <v>2024</v>
      </c>
      <c r="E687" s="1">
        <v>0.64513888888888893</v>
      </c>
      <c r="F6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87" t="str">
        <f>_xlfn.XLOOKUP(AllDataCorrected[[#This Row],[Location Name]], Locations[Location Name],Locations[Group As])</f>
        <v>The Ford, Langley</v>
      </c>
      <c r="H687" t="e" vm="1">
        <f>_xlfn.XLOOKUP(AllDataCorrected[[#This Row],[Site Name]],LocationsKey[Site Name],LocationsKey[District])</f>
        <v>#VALUE!</v>
      </c>
      <c r="I687" t="str">
        <f>_xlfn.XLOOKUP(AllDataCorrected[[#This Row],[Site Name]],LocationsKey[Site Name],LocationsKey[Town])</f>
        <v>Langley</v>
      </c>
      <c r="J687" t="str">
        <f>_xlfn.XLOOKUP(AllDataCorrected[[#This Row],[Site Name]],LocationsKey[Site Name], LocationsKey[Waterway])</f>
        <v>Langley Ford</v>
      </c>
      <c r="K687" t="s">
        <v>561</v>
      </c>
      <c r="L687">
        <f>_xlfn.XLOOKUP(AllDataCorrected[[#This Row],[Site Name]],Tables!$B$12:$B$100, Tables!C$12:C$100)</f>
        <v>52.262666528301864</v>
      </c>
      <c r="M687">
        <f>_xlfn.XLOOKUP(AllDataCorrected[[#This Row],[Site Name]],Tables!$B$12:$B$100, Tables!D$12:D$100)</f>
        <v>-1.6545845283018858</v>
      </c>
      <c r="N687" t="s">
        <v>31</v>
      </c>
      <c r="O687">
        <v>582</v>
      </c>
      <c r="P687">
        <v>11.2</v>
      </c>
      <c r="Q687">
        <v>0.5</v>
      </c>
      <c r="R68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687">
        <v>0.78</v>
      </c>
      <c r="T6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7">
        <v>0.65</v>
      </c>
    </row>
    <row r="688" spans="1:22" x14ac:dyDescent="0.35">
      <c r="A688" t="s">
        <v>1107</v>
      </c>
      <c r="B688" s="2">
        <v>45398</v>
      </c>
      <c r="C688" t="str" cm="1">
        <f t="array" ref="C6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8">
        <f>YEAR(AllDataCorrected[[#This Row],[Date]])</f>
        <v>2024</v>
      </c>
      <c r="E688" s="1">
        <v>0.37152777777777779</v>
      </c>
      <c r="F6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8" t="str">
        <f>_xlfn.XLOOKUP(AllDataCorrected[[#This Row],[Location Name]], Locations[Location Name],Locations[Group As])</f>
        <v>Stour Stretton-on-Fosse Village</v>
      </c>
      <c r="H688" t="e" vm="1">
        <f>_xlfn.XLOOKUP(AllDataCorrected[[#This Row],[Site Name]],LocationsKey[Site Name],LocationsKey[District])</f>
        <v>#VALUE!</v>
      </c>
      <c r="I688" t="e" vm="30">
        <f>_xlfn.XLOOKUP(AllDataCorrected[[#This Row],[Site Name]],LocationsKey[Site Name],LocationsKey[Town])</f>
        <v>#VALUE!</v>
      </c>
      <c r="J688" t="str">
        <f>_xlfn.XLOOKUP(AllDataCorrected[[#This Row],[Site Name]],LocationsKey[Site Name], LocationsKey[Waterway])</f>
        <v>Stour</v>
      </c>
      <c r="K688" t="s">
        <v>548</v>
      </c>
      <c r="L688">
        <f>_xlfn.XLOOKUP(AllDataCorrected[[#This Row],[Site Name]],Tables!$B$12:$B$100, Tables!C$12:C$100)</f>
        <v>52.046517558823531</v>
      </c>
      <c r="M688">
        <f>_xlfn.XLOOKUP(AllDataCorrected[[#This Row],[Site Name]],Tables!$B$12:$B$100, Tables!D$12:D$100)</f>
        <v>-1.6734143529411762</v>
      </c>
      <c r="N688" t="s">
        <v>68</v>
      </c>
      <c r="O688">
        <v>713</v>
      </c>
      <c r="P688">
        <v>8.9</v>
      </c>
      <c r="Q688">
        <v>2</v>
      </c>
      <c r="R688" t="str">
        <f>IF(AllDataCorrected[[#This Row],[Nitrate (PPM)]]&gt;2, "4. Very high (&gt;2ppm)", IF(AllDataCorrected[[#This Row],[Nitrate (PPM)]]&gt;1, "3. High (1-2ppm)", IF(AllDataCorrected[[#This Row],[Nitrate (PPM)]]&gt;0.5, "2. Some evidence (0.5-1ppm)", IF(AllDataCorrected[[#This Row],[Nitrate (PPM)]]&gt;=0, "1. No evidence (&lt;0.5ppm)"))))</f>
        <v>3. High (1-2ppm)</v>
      </c>
      <c r="S688">
        <v>1.99</v>
      </c>
      <c r="T6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8">
        <v>0.2</v>
      </c>
    </row>
    <row r="689" spans="1:22" x14ac:dyDescent="0.35">
      <c r="A689" t="s">
        <v>1108</v>
      </c>
      <c r="B689" s="2">
        <v>45398</v>
      </c>
      <c r="C689" t="str" cm="1">
        <f t="array" ref="C6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89">
        <f>YEAR(AllDataCorrected[[#This Row],[Date]])</f>
        <v>2024</v>
      </c>
      <c r="E689" s="1">
        <v>0.38333333333333336</v>
      </c>
      <c r="F6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89" t="str">
        <f>_xlfn.XLOOKUP(AllDataCorrected[[#This Row],[Location Name]], Locations[Location Name],Locations[Group As])</f>
        <v>Stour Stretton-on-Fosse Sewage Works</v>
      </c>
      <c r="H689" t="e" vm="1">
        <f>_xlfn.XLOOKUP(AllDataCorrected[[#This Row],[Site Name]],LocationsKey[Site Name],LocationsKey[District])</f>
        <v>#VALUE!</v>
      </c>
      <c r="I689" t="e" vm="30">
        <f>_xlfn.XLOOKUP(AllDataCorrected[[#This Row],[Site Name]],LocationsKey[Site Name],LocationsKey[Town])</f>
        <v>#VALUE!</v>
      </c>
      <c r="J689" t="str">
        <f>_xlfn.XLOOKUP(AllDataCorrected[[#This Row],[Site Name]],LocationsKey[Site Name], LocationsKey[Waterway])</f>
        <v>Stour</v>
      </c>
      <c r="K689" t="s">
        <v>337</v>
      </c>
      <c r="L689">
        <f>_xlfn.XLOOKUP(AllDataCorrected[[#This Row],[Site Name]],Tables!$B$12:$B$100, Tables!C$12:C$100)</f>
        <v>52.045653647058828</v>
      </c>
      <c r="M689">
        <f>_xlfn.XLOOKUP(AllDataCorrected[[#This Row],[Site Name]],Tables!$B$12:$B$100, Tables!D$12:D$100)</f>
        <v>-1.6719221470588239</v>
      </c>
      <c r="N689" t="s">
        <v>31</v>
      </c>
      <c r="O689">
        <v>753</v>
      </c>
      <c r="P689">
        <v>9.1999999999999993</v>
      </c>
      <c r="Q689">
        <v>2</v>
      </c>
      <c r="R689" t="str">
        <f>IF(AllDataCorrected[[#This Row],[Nitrate (PPM)]]&gt;2, "4. Very high (&gt;2ppm)", IF(AllDataCorrected[[#This Row],[Nitrate (PPM)]]&gt;1, "3. High (1-2ppm)", IF(AllDataCorrected[[#This Row],[Nitrate (PPM)]]&gt;0.5, "2. Some evidence (0.5-1ppm)", IF(AllDataCorrected[[#This Row],[Nitrate (PPM)]]&gt;=0, "1. No evidence (&lt;0.5ppm)"))))</f>
        <v>3. High (1-2ppm)</v>
      </c>
      <c r="S689">
        <v>2.5</v>
      </c>
      <c r="T6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89">
        <v>0.2</v>
      </c>
      <c r="V689" t="s">
        <v>1109</v>
      </c>
    </row>
    <row r="690" spans="1:22" x14ac:dyDescent="0.35">
      <c r="A690" t="s">
        <v>1110</v>
      </c>
      <c r="B690" s="2">
        <v>45399</v>
      </c>
      <c r="C690" t="str" cm="1">
        <f t="array" ref="C6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0">
        <f>YEAR(AllDataCorrected[[#This Row],[Date]])</f>
        <v>2024</v>
      </c>
      <c r="E690" s="1">
        <v>0.66666666666666663</v>
      </c>
      <c r="F6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0" t="str">
        <f>_xlfn.XLOOKUP(AllDataCorrected[[#This Row],[Location Name]], Locations[Location Name],Locations[Group As])</f>
        <v>Stour Newbold Mill</v>
      </c>
      <c r="H690" t="e" vm="1">
        <f>_xlfn.XLOOKUP(AllDataCorrected[[#This Row],[Site Name]],LocationsKey[Site Name],LocationsKey[District])</f>
        <v>#VALUE!</v>
      </c>
      <c r="I690" t="e" vm="27">
        <f>_xlfn.XLOOKUP(AllDataCorrected[[#This Row],[Site Name]],LocationsKey[Site Name],LocationsKey[Town])</f>
        <v>#VALUE!</v>
      </c>
      <c r="J690" t="str">
        <f>_xlfn.XLOOKUP(AllDataCorrected[[#This Row],[Site Name]],LocationsKey[Site Name], LocationsKey[Waterway])</f>
        <v>Stour</v>
      </c>
      <c r="K690" t="s">
        <v>141</v>
      </c>
      <c r="L690">
        <f>_xlfn.XLOOKUP(AllDataCorrected[[#This Row],[Site Name]],Tables!$B$12:$B$100, Tables!C$12:C$100)</f>
        <v>52.113052370370369</v>
      </c>
      <c r="M690">
        <f>_xlfn.XLOOKUP(AllDataCorrected[[#This Row],[Site Name]],Tables!$B$12:$B$100, Tables!D$12:D$100)</f>
        <v>-1.6333685185185181</v>
      </c>
      <c r="N690" t="s">
        <v>31</v>
      </c>
      <c r="O690">
        <v>572</v>
      </c>
      <c r="P690">
        <v>18.100000000000001</v>
      </c>
      <c r="Q690">
        <v>2</v>
      </c>
      <c r="R690" t="str">
        <f>IF(AllDataCorrected[[#This Row],[Nitrate (PPM)]]&gt;2, "4. Very high (&gt;2ppm)", IF(AllDataCorrected[[#This Row],[Nitrate (PPM)]]&gt;1, "3. High (1-2ppm)", IF(AllDataCorrected[[#This Row],[Nitrate (PPM)]]&gt;0.5, "2. Some evidence (0.5-1ppm)", IF(AllDataCorrected[[#This Row],[Nitrate (PPM)]]&gt;=0, "1. No evidence (&lt;0.5ppm)"))))</f>
        <v>3. High (1-2ppm)</v>
      </c>
      <c r="S690">
        <v>0.27</v>
      </c>
      <c r="T6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0">
        <v>2.5</v>
      </c>
      <c r="V690" t="s">
        <v>533</v>
      </c>
    </row>
    <row r="691" spans="1:22" x14ac:dyDescent="0.35">
      <c r="A691" t="s">
        <v>1111</v>
      </c>
      <c r="B691" s="2">
        <v>45400</v>
      </c>
      <c r="C691" t="str" cm="1">
        <f t="array" ref="C6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1">
        <f>YEAR(AllDataCorrected[[#This Row],[Date]])</f>
        <v>2024</v>
      </c>
      <c r="E691" s="1">
        <v>0.43472222222222223</v>
      </c>
      <c r="F6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91" t="str">
        <f>_xlfn.XLOOKUP(AllDataCorrected[[#This Row],[Location Name]], Locations[Location Name],Locations[Group As])</f>
        <v>Stour Willington</v>
      </c>
      <c r="H691" t="e" vm="1">
        <f>_xlfn.XLOOKUP(AllDataCorrected[[#This Row],[Site Name]],LocationsKey[Site Name],LocationsKey[District])</f>
        <v>#VALUE!</v>
      </c>
      <c r="I691" t="str">
        <f>_xlfn.XLOOKUP(AllDataCorrected[[#This Row],[Site Name]],LocationsKey[Site Name],LocationsKey[Town])</f>
        <v>Willington</v>
      </c>
      <c r="J691" t="str">
        <f>_xlfn.XLOOKUP(AllDataCorrected[[#This Row],[Site Name]],LocationsKey[Site Name], LocationsKey[Waterway])</f>
        <v>Stour</v>
      </c>
      <c r="K691" t="s">
        <v>521</v>
      </c>
      <c r="L691">
        <f>_xlfn.XLOOKUP(AllDataCorrected[[#This Row],[Site Name]],Tables!$B$12:$B$100, Tables!C$12:C$100)</f>
        <v>52.053227523809518</v>
      </c>
      <c r="M691">
        <f>_xlfn.XLOOKUP(AllDataCorrected[[#This Row],[Site Name]],Tables!$B$12:$B$100, Tables!D$12:D$100)</f>
        <v>-1.6194739523809523</v>
      </c>
      <c r="N691" t="s">
        <v>25</v>
      </c>
      <c r="O691">
        <v>597</v>
      </c>
      <c r="P691">
        <v>10.7</v>
      </c>
      <c r="Q691">
        <v>2</v>
      </c>
      <c r="R691" t="str">
        <f>IF(AllDataCorrected[[#This Row],[Nitrate (PPM)]]&gt;2, "4. Very high (&gt;2ppm)", IF(AllDataCorrected[[#This Row],[Nitrate (PPM)]]&gt;1, "3. High (1-2ppm)", IF(AllDataCorrected[[#This Row],[Nitrate (PPM)]]&gt;0.5, "2. Some evidence (0.5-1ppm)", IF(AllDataCorrected[[#This Row],[Nitrate (PPM)]]&gt;=0, "1. No evidence (&lt;0.5ppm)"))))</f>
        <v>3. High (1-2ppm)</v>
      </c>
      <c r="S691">
        <v>0.15</v>
      </c>
      <c r="T6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1">
        <v>0.5</v>
      </c>
    </row>
    <row r="692" spans="1:22" x14ac:dyDescent="0.35">
      <c r="A692" t="s">
        <v>1112</v>
      </c>
      <c r="B692" s="2">
        <v>45400</v>
      </c>
      <c r="C692" t="str" cm="1">
        <f t="array" ref="C6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2">
        <f>YEAR(AllDataCorrected[[#This Row],[Date]])</f>
        <v>2024</v>
      </c>
      <c r="E692" s="1">
        <v>0.44791666666666669</v>
      </c>
      <c r="F6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692" t="str">
        <f>_xlfn.XLOOKUP(AllDataCorrected[[#This Row],[Location Name]], Locations[Location Name],Locations[Group As])</f>
        <v>Swilgate</v>
      </c>
      <c r="H692" t="e" vm="4">
        <f>_xlfn.XLOOKUP(AllDataCorrected[[#This Row],[Site Name]],LocationsKey[Site Name],LocationsKey[District])</f>
        <v>#VALUE!</v>
      </c>
      <c r="I692" t="e" vm="4">
        <f>_xlfn.XLOOKUP(AllDataCorrected[[#This Row],[Site Name]],LocationsKey[Site Name],LocationsKey[Town])</f>
        <v>#VALUE!</v>
      </c>
      <c r="J692" t="str">
        <f>_xlfn.XLOOKUP(AllDataCorrected[[#This Row],[Site Name]],LocationsKey[Site Name], LocationsKey[Waterway])</f>
        <v>Swilgate</v>
      </c>
      <c r="K692" t="s">
        <v>85</v>
      </c>
      <c r="L692">
        <f>_xlfn.XLOOKUP(AllDataCorrected[[#This Row],[Site Name]],Tables!$B$12:$B$100, Tables!C$12:C$100)</f>
        <v>51.988591500000005</v>
      </c>
      <c r="M692">
        <f>_xlfn.XLOOKUP(AllDataCorrected[[#This Row],[Site Name]],Tables!$B$12:$B$100, Tables!D$12:D$100)</f>
        <v>-2.163898333333333</v>
      </c>
      <c r="N692" t="s">
        <v>25</v>
      </c>
      <c r="O692">
        <v>928</v>
      </c>
      <c r="P692">
        <v>10.5</v>
      </c>
      <c r="Q692">
        <v>3</v>
      </c>
      <c r="R692" t="str">
        <f>IF(AllDataCorrected[[#This Row],[Nitrate (PPM)]]&gt;2, "4. Very high (&gt;2ppm)", IF(AllDataCorrected[[#This Row],[Nitrate (PPM)]]&gt;1, "3. High (1-2ppm)", IF(AllDataCorrected[[#This Row],[Nitrate (PPM)]]&gt;0.5, "2. Some evidence (0.5-1ppm)", IF(AllDataCorrected[[#This Row],[Nitrate (PPM)]]&gt;=0, "1. No evidence (&lt;0.5ppm)"))))</f>
        <v>4. Very high (&gt;2ppm)</v>
      </c>
      <c r="S692">
        <v>0.37</v>
      </c>
      <c r="T6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2">
        <v>0</v>
      </c>
    </row>
    <row r="693" spans="1:22" x14ac:dyDescent="0.35">
      <c r="A693" t="s">
        <v>1113</v>
      </c>
      <c r="B693" s="2">
        <v>45400</v>
      </c>
      <c r="C693" t="str" cm="1">
        <f t="array" ref="C6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3">
        <f>YEAR(AllDataCorrected[[#This Row],[Date]])</f>
        <v>2024</v>
      </c>
      <c r="E693" s="1">
        <v>0.51875000000000004</v>
      </c>
      <c r="F6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3" t="str">
        <f>_xlfn.XLOOKUP(AllDataCorrected[[#This Row],[Location Name]], Locations[Location Name],Locations[Group As])</f>
        <v>Preston-on-Stour River Bridge</v>
      </c>
      <c r="H693" t="e" vm="1">
        <f>_xlfn.XLOOKUP(AllDataCorrected[[#This Row],[Site Name]],LocationsKey[Site Name],LocationsKey[District])</f>
        <v>#VALUE!</v>
      </c>
      <c r="I693" t="e" vm="20">
        <f>_xlfn.XLOOKUP(AllDataCorrected[[#This Row],[Site Name]],LocationsKey[Site Name],LocationsKey[Town])</f>
        <v>#VALUE!</v>
      </c>
      <c r="J693" t="str">
        <f>_xlfn.XLOOKUP(AllDataCorrected[[#This Row],[Site Name]],LocationsKey[Site Name], LocationsKey[Waterway])</f>
        <v>Stour</v>
      </c>
      <c r="K693" t="s">
        <v>164</v>
      </c>
      <c r="L693">
        <f>_xlfn.XLOOKUP(AllDataCorrected[[#This Row],[Site Name]],Tables!$B$12:$B$100, Tables!C$12:C$100)</f>
        <v>52.146672352941174</v>
      </c>
      <c r="M693">
        <f>_xlfn.XLOOKUP(AllDataCorrected[[#This Row],[Site Name]],Tables!$B$12:$B$100, Tables!D$12:D$100)</f>
        <v>-1.6984533333333334</v>
      </c>
      <c r="N693" t="s">
        <v>31</v>
      </c>
      <c r="O693">
        <v>658</v>
      </c>
      <c r="P693">
        <v>10.8</v>
      </c>
      <c r="Q693">
        <v>7</v>
      </c>
      <c r="R693" t="str">
        <f>IF(AllDataCorrected[[#This Row],[Nitrate (PPM)]]&gt;2, "4. Very high (&gt;2ppm)", IF(AllDataCorrected[[#This Row],[Nitrate (PPM)]]&gt;1, "3. High (1-2ppm)", IF(AllDataCorrected[[#This Row],[Nitrate (PPM)]]&gt;0.5, "2. Some evidence (0.5-1ppm)", IF(AllDataCorrected[[#This Row],[Nitrate (PPM)]]&gt;=0, "1. No evidence (&lt;0.5ppm)"))))</f>
        <v>4. Very high (&gt;2ppm)</v>
      </c>
      <c r="S693">
        <v>0.21</v>
      </c>
      <c r="T6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3">
        <v>1.5</v>
      </c>
    </row>
    <row r="694" spans="1:22" x14ac:dyDescent="0.35">
      <c r="A694" t="s">
        <v>1114</v>
      </c>
      <c r="B694" s="2">
        <v>45400</v>
      </c>
      <c r="C694" t="str" cm="1">
        <f t="array" ref="C6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4">
        <f>YEAR(AllDataCorrected[[#This Row],[Date]])</f>
        <v>2024</v>
      </c>
      <c r="E694" s="1">
        <v>0.58263888888888893</v>
      </c>
      <c r="F6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4" t="str">
        <f>_xlfn.XLOOKUP(AllDataCorrected[[#This Row],[Location Name]], Locations[Location Name],Locations[Group As])</f>
        <v>Twyning Fleet</v>
      </c>
      <c r="H694" t="e" vm="4">
        <f>_xlfn.XLOOKUP(AllDataCorrected[[#This Row],[Site Name]],LocationsKey[Site Name],LocationsKey[District])</f>
        <v>#VALUE!</v>
      </c>
      <c r="I694" t="str">
        <f>_xlfn.XLOOKUP(AllDataCorrected[[#This Row],[Site Name]],LocationsKey[Site Name],LocationsKey[Town])</f>
        <v>Twyning Green</v>
      </c>
      <c r="J694" t="str">
        <f>_xlfn.XLOOKUP(AllDataCorrected[[#This Row],[Site Name]],LocationsKey[Site Name], LocationsKey[Waterway])</f>
        <v>Avon</v>
      </c>
      <c r="K694" t="s">
        <v>56</v>
      </c>
      <c r="L694">
        <f>_xlfn.XLOOKUP(AllDataCorrected[[#This Row],[Site Name]],Tables!$B$12:$B$100, Tables!C$12:C$100)</f>
        <v>52.027216452380941</v>
      </c>
      <c r="M694">
        <f>_xlfn.XLOOKUP(AllDataCorrected[[#This Row],[Site Name]],Tables!$B$12:$B$100, Tables!D$12:D$100)</f>
        <v>-2.140853452380953</v>
      </c>
      <c r="N694" t="s">
        <v>31</v>
      </c>
      <c r="O694">
        <v>7380</v>
      </c>
      <c r="P694">
        <v>13.6</v>
      </c>
      <c r="Q694">
        <v>5</v>
      </c>
      <c r="R694" t="str">
        <f>IF(AllDataCorrected[[#This Row],[Nitrate (PPM)]]&gt;2, "4. Very high (&gt;2ppm)", IF(AllDataCorrected[[#This Row],[Nitrate (PPM)]]&gt;1, "3. High (1-2ppm)", IF(AllDataCorrected[[#This Row],[Nitrate (PPM)]]&gt;0.5, "2. Some evidence (0.5-1ppm)", IF(AllDataCorrected[[#This Row],[Nitrate (PPM)]]&gt;=0, "1. No evidence (&lt;0.5ppm)"))))</f>
        <v>4. Very high (&gt;2ppm)</v>
      </c>
      <c r="S694">
        <v>0.99</v>
      </c>
      <c r="T6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94">
        <v>0</v>
      </c>
      <c r="V694" t="s">
        <v>1115</v>
      </c>
    </row>
    <row r="695" spans="1:22" x14ac:dyDescent="0.35">
      <c r="A695" t="s">
        <v>1116</v>
      </c>
      <c r="B695" s="2">
        <v>45401</v>
      </c>
      <c r="C695" t="str" cm="1">
        <f t="array" ref="C6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5">
        <f>YEAR(AllDataCorrected[[#This Row],[Date]])</f>
        <v>2024</v>
      </c>
      <c r="E695" s="1">
        <v>0.70486111111111116</v>
      </c>
      <c r="F6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5" t="str">
        <f>_xlfn.XLOOKUP(AllDataCorrected[[#This Row],[Location Name]], Locations[Location Name],Locations[Group As])</f>
        <v>Lower Lode</v>
      </c>
      <c r="H695" t="e" vm="4">
        <f>_xlfn.XLOOKUP(AllDataCorrected[[#This Row],[Site Name]],LocationsKey[Site Name],LocationsKey[District])</f>
        <v>#VALUE!</v>
      </c>
      <c r="I695" t="e" vm="4">
        <f>_xlfn.XLOOKUP(AllDataCorrected[[#This Row],[Site Name]],LocationsKey[Site Name],LocationsKey[Town])</f>
        <v>#VALUE!</v>
      </c>
      <c r="J695" t="str">
        <f>_xlfn.XLOOKUP(AllDataCorrected[[#This Row],[Site Name]],LocationsKey[Site Name], LocationsKey[Waterway])</f>
        <v>Avon</v>
      </c>
      <c r="K695" t="s">
        <v>595</v>
      </c>
      <c r="L695">
        <f>_xlfn.XLOOKUP(AllDataCorrected[[#This Row],[Site Name]],Tables!$B$12:$B$100, Tables!C$12:C$100)</f>
        <v>51.984916745098026</v>
      </c>
      <c r="M695">
        <f>_xlfn.XLOOKUP(AllDataCorrected[[#This Row],[Site Name]],Tables!$B$12:$B$100, Tables!D$12:D$100)</f>
        <v>-2.1745787647058821</v>
      </c>
      <c r="N695" t="s">
        <v>31</v>
      </c>
      <c r="O695">
        <v>9000</v>
      </c>
      <c r="P695">
        <v>15.4</v>
      </c>
      <c r="Q695">
        <v>10</v>
      </c>
      <c r="R695" t="str">
        <f>IF(AllDataCorrected[[#This Row],[Nitrate (PPM)]]&gt;2, "4. Very high (&gt;2ppm)", IF(AllDataCorrected[[#This Row],[Nitrate (PPM)]]&gt;1, "3. High (1-2ppm)", IF(AllDataCorrected[[#This Row],[Nitrate (PPM)]]&gt;0.5, "2. Some evidence (0.5-1ppm)", IF(AllDataCorrected[[#This Row],[Nitrate (PPM)]]&gt;=0, "1. No evidence (&lt;0.5ppm)"))))</f>
        <v>4. Very high (&gt;2ppm)</v>
      </c>
      <c r="S695">
        <v>0.08</v>
      </c>
      <c r="T6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695">
        <v>2</v>
      </c>
    </row>
    <row r="696" spans="1:22" x14ac:dyDescent="0.35">
      <c r="A696" t="s">
        <v>1117</v>
      </c>
      <c r="B696" s="2">
        <v>45401</v>
      </c>
      <c r="C696" t="str" cm="1">
        <f t="array" ref="C6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6">
        <f>YEAR(AllDataCorrected[[#This Row],[Date]])</f>
        <v>2024</v>
      </c>
      <c r="E696" s="1">
        <v>0.70902777777777781</v>
      </c>
      <c r="F6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696" t="str">
        <f>_xlfn.XLOOKUP(AllDataCorrected[[#This Row],[Location Name]], Locations[Location Name],Locations[Group As])</f>
        <v>Mill Bridge Peopleton</v>
      </c>
      <c r="H696" t="e" vm="6">
        <f>_xlfn.XLOOKUP(AllDataCorrected[[#This Row],[Site Name]],LocationsKey[Site Name],LocationsKey[District])</f>
        <v>#VALUE!</v>
      </c>
      <c r="I696" t="str">
        <f>_xlfn.XLOOKUP(AllDataCorrected[[#This Row],[Site Name]],LocationsKey[Site Name],LocationsKey[Town])</f>
        <v>Peopleton</v>
      </c>
      <c r="J696" t="str">
        <f>_xlfn.XLOOKUP(AllDataCorrected[[#This Row],[Site Name]],LocationsKey[Site Name], LocationsKey[Waterway])</f>
        <v>Bow Brook</v>
      </c>
      <c r="K696" t="s">
        <v>1015</v>
      </c>
      <c r="L696">
        <f>_xlfn.XLOOKUP(AllDataCorrected[[#This Row],[Site Name]],Tables!$B$12:$B$100, Tables!C$12:C$100)</f>
        <v>52.151811999999993</v>
      </c>
      <c r="M696">
        <f>_xlfn.XLOOKUP(AllDataCorrected[[#This Row],[Site Name]],Tables!$B$12:$B$100, Tables!D$12:D$100)</f>
        <v>-2.0958865161290317</v>
      </c>
      <c r="N696" t="s">
        <v>31</v>
      </c>
      <c r="O696">
        <v>1020</v>
      </c>
      <c r="P696">
        <v>13.3</v>
      </c>
      <c r="Q696">
        <v>4</v>
      </c>
      <c r="R696" t="str">
        <f>IF(AllDataCorrected[[#This Row],[Nitrate (PPM)]]&gt;2, "4. Very high (&gt;2ppm)", IF(AllDataCorrected[[#This Row],[Nitrate (PPM)]]&gt;1, "3. High (1-2ppm)", IF(AllDataCorrected[[#This Row],[Nitrate (PPM)]]&gt;0.5, "2. Some evidence (0.5-1ppm)", IF(AllDataCorrected[[#This Row],[Nitrate (PPM)]]&gt;=0, "1. No evidence (&lt;0.5ppm)"))))</f>
        <v>4. Very high (&gt;2ppm)</v>
      </c>
      <c r="S696">
        <v>0.83</v>
      </c>
      <c r="T6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696">
        <v>0.45</v>
      </c>
    </row>
    <row r="697" spans="1:22" x14ac:dyDescent="0.35">
      <c r="A697" t="s">
        <v>1118</v>
      </c>
      <c r="B697" s="2">
        <v>45401</v>
      </c>
      <c r="C697" t="str" cm="1">
        <f t="array" ref="C6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7">
        <f>YEAR(AllDataCorrected[[#This Row],[Date]])</f>
        <v>2024</v>
      </c>
      <c r="F6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7" t="str">
        <f>_xlfn.XLOOKUP(AllDataCorrected[[#This Row],[Location Name]], Locations[Location Name],Locations[Group As])</f>
        <v>Site 1  :  Middle Street</v>
      </c>
      <c r="H697" t="e" vm="1">
        <f>_xlfn.XLOOKUP(AllDataCorrected[[#This Row],[Site Name]],LocationsKey[Site Name],LocationsKey[District])</f>
        <v>#VALUE!</v>
      </c>
      <c r="I697" t="e" vm="14">
        <f>_xlfn.XLOOKUP(AllDataCorrected[[#This Row],[Site Name]],LocationsKey[Site Name],LocationsKey[Town])</f>
        <v>#VALUE!</v>
      </c>
      <c r="J697" t="str">
        <f>_xlfn.XLOOKUP(AllDataCorrected[[#This Row],[Site Name]],LocationsKey[Site Name], LocationsKey[Waterway])</f>
        <v>Fosseway Brook</v>
      </c>
      <c r="K697" t="s">
        <v>667</v>
      </c>
      <c r="L697">
        <f>_xlfn.XLOOKUP(AllDataCorrected[[#This Row],[Site Name]],Tables!$B$12:$B$100, Tables!C$12:C$100)</f>
        <v>52.090081855670022</v>
      </c>
      <c r="M697">
        <f>_xlfn.XLOOKUP(AllDataCorrected[[#This Row],[Site Name]],Tables!$B$12:$B$100, Tables!D$12:D$100)</f>
        <v>-1.6925771134020597</v>
      </c>
      <c r="N697" t="s">
        <v>68</v>
      </c>
      <c r="O697">
        <v>571</v>
      </c>
      <c r="P697">
        <v>13</v>
      </c>
      <c r="Q697">
        <v>2</v>
      </c>
      <c r="R697" t="str">
        <f>IF(AllDataCorrected[[#This Row],[Nitrate (PPM)]]&gt;2, "4. Very high (&gt;2ppm)", IF(AllDataCorrected[[#This Row],[Nitrate (PPM)]]&gt;1, "3. High (1-2ppm)", IF(AllDataCorrected[[#This Row],[Nitrate (PPM)]]&gt;0.5, "2. Some evidence (0.5-1ppm)", IF(AllDataCorrected[[#This Row],[Nitrate (PPM)]]&gt;=0, "1. No evidence (&lt;0.5ppm)"))))</f>
        <v>3. High (1-2ppm)</v>
      </c>
      <c r="S697">
        <v>0.05</v>
      </c>
      <c r="T69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697">
        <v>0</v>
      </c>
      <c r="V697" t="s">
        <v>1119</v>
      </c>
    </row>
    <row r="698" spans="1:22" x14ac:dyDescent="0.35">
      <c r="A698" t="s">
        <v>1120</v>
      </c>
      <c r="B698" s="2">
        <v>45401</v>
      </c>
      <c r="C698" t="str" cm="1">
        <f t="array" ref="C6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8">
        <f>YEAR(AllDataCorrected[[#This Row],[Date]])</f>
        <v>2024</v>
      </c>
      <c r="F6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8" t="str">
        <f>_xlfn.XLOOKUP(AllDataCorrected[[#This Row],[Location Name]], Locations[Location Name],Locations[Group As])</f>
        <v>Site 1  :  Middle Street</v>
      </c>
      <c r="H698" t="e" vm="1">
        <f>_xlfn.XLOOKUP(AllDataCorrected[[#This Row],[Site Name]],LocationsKey[Site Name],LocationsKey[District])</f>
        <v>#VALUE!</v>
      </c>
      <c r="I698" t="e" vm="14">
        <f>_xlfn.XLOOKUP(AllDataCorrected[[#This Row],[Site Name]],LocationsKey[Site Name],LocationsKey[Town])</f>
        <v>#VALUE!</v>
      </c>
      <c r="J698" t="str">
        <f>_xlfn.XLOOKUP(AllDataCorrected[[#This Row],[Site Name]],LocationsKey[Site Name], LocationsKey[Waterway])</f>
        <v>Fosseway Brook</v>
      </c>
      <c r="K698" t="s">
        <v>670</v>
      </c>
      <c r="L698">
        <f>_xlfn.XLOOKUP(AllDataCorrected[[#This Row],[Site Name]],Tables!$B$12:$B$100, Tables!C$12:C$100)</f>
        <v>52.090081855670022</v>
      </c>
      <c r="M698">
        <f>_xlfn.XLOOKUP(AllDataCorrected[[#This Row],[Site Name]],Tables!$B$12:$B$100, Tables!D$12:D$100)</f>
        <v>-1.6925771134020597</v>
      </c>
      <c r="N698" t="s">
        <v>68</v>
      </c>
      <c r="O698">
        <v>571</v>
      </c>
      <c r="P698">
        <v>13</v>
      </c>
      <c r="Q698">
        <v>2</v>
      </c>
      <c r="R698" t="str">
        <f>IF(AllDataCorrected[[#This Row],[Nitrate (PPM)]]&gt;2, "4. Very high (&gt;2ppm)", IF(AllDataCorrected[[#This Row],[Nitrate (PPM)]]&gt;1, "3. High (1-2ppm)", IF(AllDataCorrected[[#This Row],[Nitrate (PPM)]]&gt;0.5, "2. Some evidence (0.5-1ppm)", IF(AllDataCorrected[[#This Row],[Nitrate (PPM)]]&gt;=0, "1. No evidence (&lt;0.5ppm)"))))</f>
        <v>3. High (1-2ppm)</v>
      </c>
      <c r="S698">
        <v>0.05</v>
      </c>
      <c r="T69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V698" t="s">
        <v>1121</v>
      </c>
    </row>
    <row r="699" spans="1:22" x14ac:dyDescent="0.35">
      <c r="A699" t="s">
        <v>1122</v>
      </c>
      <c r="B699" s="2">
        <v>45401</v>
      </c>
      <c r="C699" t="str" cm="1">
        <f t="array" ref="C6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699">
        <f>YEAR(AllDataCorrected[[#This Row],[Date]])</f>
        <v>2024</v>
      </c>
      <c r="F6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699" t="str">
        <f>_xlfn.XLOOKUP(AllDataCorrected[[#This Row],[Location Name]], Locations[Location Name],Locations[Group As])</f>
        <v>Site 2  :  Cross Leys culvert</v>
      </c>
      <c r="H699" t="e" vm="1">
        <f>_xlfn.XLOOKUP(AllDataCorrected[[#This Row],[Site Name]],LocationsKey[Site Name],LocationsKey[District])</f>
        <v>#VALUE!</v>
      </c>
      <c r="I699" t="e" vm="14">
        <f>_xlfn.XLOOKUP(AllDataCorrected[[#This Row],[Site Name]],LocationsKey[Site Name],LocationsKey[Town])</f>
        <v>#VALUE!</v>
      </c>
      <c r="J699" t="str">
        <f>_xlfn.XLOOKUP(AllDataCorrected[[#This Row],[Site Name]],LocationsKey[Site Name], LocationsKey[Waterway])</f>
        <v>Fosseway Brook</v>
      </c>
      <c r="K699" t="s">
        <v>623</v>
      </c>
      <c r="L699">
        <f>_xlfn.XLOOKUP(AllDataCorrected[[#This Row],[Site Name]],Tables!$B$12:$B$100, Tables!C$12:C$100)</f>
        <v>52.092997354838673</v>
      </c>
      <c r="M699">
        <f>_xlfn.XLOOKUP(AllDataCorrected[[#This Row],[Site Name]],Tables!$B$12:$B$100, Tables!D$12:D$100)</f>
        <v>-1.6862254516129045</v>
      </c>
      <c r="N699" t="s">
        <v>68</v>
      </c>
      <c r="O699">
        <v>606</v>
      </c>
      <c r="P699">
        <v>12.5</v>
      </c>
      <c r="Q699">
        <v>3</v>
      </c>
      <c r="R699" t="str">
        <f>IF(AllDataCorrected[[#This Row],[Nitrate (PPM)]]&gt;2, "4. Very high (&gt;2ppm)", IF(AllDataCorrected[[#This Row],[Nitrate (PPM)]]&gt;1, "3. High (1-2ppm)", IF(AllDataCorrected[[#This Row],[Nitrate (PPM)]]&gt;0.5, "2. Some evidence (0.5-1ppm)", IF(AllDataCorrected[[#This Row],[Nitrate (PPM)]]&gt;=0, "1. No evidence (&lt;0.5ppm)"))))</f>
        <v>4. Very high (&gt;2ppm)</v>
      </c>
      <c r="S699">
        <v>0.3</v>
      </c>
      <c r="T69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699">
        <v>0</v>
      </c>
      <c r="V699" t="s">
        <v>835</v>
      </c>
    </row>
    <row r="700" spans="1:22" x14ac:dyDescent="0.35">
      <c r="A700" t="s">
        <v>1123</v>
      </c>
      <c r="B700" s="2">
        <v>45401</v>
      </c>
      <c r="C700" t="str" cm="1">
        <f t="array" ref="C7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0">
        <f>YEAR(AllDataCorrected[[#This Row],[Date]])</f>
        <v>2024</v>
      </c>
      <c r="F7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0" t="str">
        <f>_xlfn.XLOOKUP(AllDataCorrected[[#This Row],[Location Name]], Locations[Location Name],Locations[Group As])</f>
        <v>Site 2  :  Cross Leys culvert</v>
      </c>
      <c r="H700" t="e" vm="1">
        <f>_xlfn.XLOOKUP(AllDataCorrected[[#This Row],[Site Name]],LocationsKey[Site Name],LocationsKey[District])</f>
        <v>#VALUE!</v>
      </c>
      <c r="I700" t="e" vm="14">
        <f>_xlfn.XLOOKUP(AllDataCorrected[[#This Row],[Site Name]],LocationsKey[Site Name],LocationsKey[Town])</f>
        <v>#VALUE!</v>
      </c>
      <c r="J700" t="str">
        <f>_xlfn.XLOOKUP(AllDataCorrected[[#This Row],[Site Name]],LocationsKey[Site Name], LocationsKey[Waterway])</f>
        <v>Fosseway Brook</v>
      </c>
      <c r="K700" t="s">
        <v>626</v>
      </c>
      <c r="L700">
        <f>_xlfn.XLOOKUP(AllDataCorrected[[#This Row],[Site Name]],Tables!$B$12:$B$100, Tables!C$12:C$100)</f>
        <v>52.092997354838673</v>
      </c>
      <c r="M700">
        <f>_xlfn.XLOOKUP(AllDataCorrected[[#This Row],[Site Name]],Tables!$B$12:$B$100, Tables!D$12:D$100)</f>
        <v>-1.6862254516129045</v>
      </c>
      <c r="N700" t="s">
        <v>68</v>
      </c>
      <c r="O700">
        <v>606</v>
      </c>
      <c r="P700">
        <v>12.5</v>
      </c>
      <c r="Q700">
        <v>3</v>
      </c>
      <c r="R700" t="str">
        <f>IF(AllDataCorrected[[#This Row],[Nitrate (PPM)]]&gt;2, "4. Very high (&gt;2ppm)", IF(AllDataCorrected[[#This Row],[Nitrate (PPM)]]&gt;1, "3. High (1-2ppm)", IF(AllDataCorrected[[#This Row],[Nitrate (PPM)]]&gt;0.5, "2. Some evidence (0.5-1ppm)", IF(AllDataCorrected[[#This Row],[Nitrate (PPM)]]&gt;=0, "1. No evidence (&lt;0.5ppm)"))))</f>
        <v>4. Very high (&gt;2ppm)</v>
      </c>
      <c r="S700">
        <v>0.3</v>
      </c>
      <c r="T70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01" spans="1:22" x14ac:dyDescent="0.35">
      <c r="A701" t="s">
        <v>1124</v>
      </c>
      <c r="B701" s="2">
        <v>45401</v>
      </c>
      <c r="C701" t="str" cm="1">
        <f t="array" ref="C7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1">
        <f>YEAR(AllDataCorrected[[#This Row],[Date]])</f>
        <v>2024</v>
      </c>
      <c r="F7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1" t="str">
        <f>_xlfn.XLOOKUP(AllDataCorrected[[#This Row],[Location Name]], Locations[Location Name],Locations[Group As])</f>
        <v>Site 3  :  Severn Trent Water processing plant outflow</v>
      </c>
      <c r="H701" t="e" vm="1">
        <f>_xlfn.XLOOKUP(AllDataCorrected[[#This Row],[Site Name]],LocationsKey[Site Name],LocationsKey[District])</f>
        <v>#VALUE!</v>
      </c>
      <c r="I701" t="e" vm="14">
        <f>_xlfn.XLOOKUP(AllDataCorrected[[#This Row],[Site Name]],LocationsKey[Site Name],LocationsKey[Town])</f>
        <v>#VALUE!</v>
      </c>
      <c r="J701" t="str">
        <f>_xlfn.XLOOKUP(AllDataCorrected[[#This Row],[Site Name]],LocationsKey[Site Name], LocationsKey[Waterway])</f>
        <v>Fosseway Brook</v>
      </c>
      <c r="K701" t="s">
        <v>673</v>
      </c>
      <c r="L701">
        <f>_xlfn.XLOOKUP(AllDataCorrected[[#This Row],[Site Name]],Tables!$B$12:$B$100, Tables!C$12:C$100)</f>
        <v>52.130499999999998</v>
      </c>
      <c r="M701">
        <f>_xlfn.XLOOKUP(AllDataCorrected[[#This Row],[Site Name]],Tables!$B$12:$B$100, Tables!D$12:D$100)</f>
        <v>-2.0787</v>
      </c>
      <c r="N701" t="s">
        <v>31</v>
      </c>
      <c r="O701">
        <v>801</v>
      </c>
      <c r="P701">
        <v>13</v>
      </c>
      <c r="Q701">
        <v>6</v>
      </c>
      <c r="R701" t="str">
        <f>IF(AllDataCorrected[[#This Row],[Nitrate (PPM)]]&gt;2, "4. Very high (&gt;2ppm)", IF(AllDataCorrected[[#This Row],[Nitrate (PPM)]]&gt;1, "3. High (1-2ppm)", IF(AllDataCorrected[[#This Row],[Nitrate (PPM)]]&gt;0.5, "2. Some evidence (0.5-1ppm)", IF(AllDataCorrected[[#This Row],[Nitrate (PPM)]]&gt;=0, "1. No evidence (&lt;0.5ppm)"))))</f>
        <v>4. Very high (&gt;2ppm)</v>
      </c>
      <c r="S701">
        <v>2.5</v>
      </c>
      <c r="T7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1">
        <v>0</v>
      </c>
      <c r="V701" t="s">
        <v>835</v>
      </c>
    </row>
    <row r="702" spans="1:22" x14ac:dyDescent="0.35">
      <c r="A702" t="s">
        <v>1125</v>
      </c>
      <c r="B702" s="2">
        <v>45401</v>
      </c>
      <c r="C702" t="str" cm="1">
        <f t="array" ref="C7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2">
        <f>YEAR(AllDataCorrected[[#This Row],[Date]])</f>
        <v>2024</v>
      </c>
      <c r="F70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02" t="str">
        <f>_xlfn.XLOOKUP(AllDataCorrected[[#This Row],[Location Name]], Locations[Location Name],Locations[Group As])</f>
        <v>Site 3  :  Severn Trent Water processing plant outflow</v>
      </c>
      <c r="H702" t="e" vm="1">
        <f>_xlfn.XLOOKUP(AllDataCorrected[[#This Row],[Site Name]],LocationsKey[Site Name],LocationsKey[District])</f>
        <v>#VALUE!</v>
      </c>
      <c r="I702" t="e" vm="14">
        <f>_xlfn.XLOOKUP(AllDataCorrected[[#This Row],[Site Name]],LocationsKey[Site Name],LocationsKey[Town])</f>
        <v>#VALUE!</v>
      </c>
      <c r="J702" t="str">
        <f>_xlfn.XLOOKUP(AllDataCorrected[[#This Row],[Site Name]],LocationsKey[Site Name], LocationsKey[Waterway])</f>
        <v>Fosseway Brook</v>
      </c>
      <c r="K702" t="s">
        <v>676</v>
      </c>
      <c r="L702">
        <f>_xlfn.XLOOKUP(AllDataCorrected[[#This Row],[Site Name]],Tables!$B$12:$B$100, Tables!C$12:C$100)</f>
        <v>52.130499999999998</v>
      </c>
      <c r="M702">
        <f>_xlfn.XLOOKUP(AllDataCorrected[[#This Row],[Site Name]],Tables!$B$12:$B$100, Tables!D$12:D$100)</f>
        <v>-2.0787</v>
      </c>
      <c r="N702" t="s">
        <v>31</v>
      </c>
      <c r="O702">
        <v>801</v>
      </c>
      <c r="P702">
        <v>13</v>
      </c>
      <c r="Q702">
        <v>6</v>
      </c>
      <c r="R702" t="str">
        <f>IF(AllDataCorrected[[#This Row],[Nitrate (PPM)]]&gt;2, "4. Very high (&gt;2ppm)", IF(AllDataCorrected[[#This Row],[Nitrate (PPM)]]&gt;1, "3. High (1-2ppm)", IF(AllDataCorrected[[#This Row],[Nitrate (PPM)]]&gt;0.5, "2. Some evidence (0.5-1ppm)", IF(AllDataCorrected[[#This Row],[Nitrate (PPM)]]&gt;=0, "1. No evidence (&lt;0.5ppm)"))))</f>
        <v>4. Very high (&gt;2ppm)</v>
      </c>
      <c r="S702">
        <v>2.5</v>
      </c>
      <c r="T7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03" spans="1:22" x14ac:dyDescent="0.35">
      <c r="A703" t="s">
        <v>1127</v>
      </c>
      <c r="B703" s="2">
        <v>45402</v>
      </c>
      <c r="C703" t="str" cm="1">
        <f t="array" ref="C7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3">
        <f>YEAR(AllDataCorrected[[#This Row],[Date]])</f>
        <v>2024</v>
      </c>
      <c r="E703" s="1">
        <v>0.47916666666666669</v>
      </c>
      <c r="F7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03" t="str">
        <f>_xlfn.XLOOKUP(AllDataCorrected[[#This Row],[Location Name]], Locations[Location Name],Locations[Group As])</f>
        <v>Piddle Brook Wyre Piddle Bridge</v>
      </c>
      <c r="H703" t="e" vm="6">
        <f>_xlfn.XLOOKUP(AllDataCorrected[[#This Row],[Site Name]],LocationsKey[Site Name],LocationsKey[District])</f>
        <v>#VALUE!</v>
      </c>
      <c r="I703" t="e" vm="13">
        <f>_xlfn.XLOOKUP(AllDataCorrected[[#This Row],[Site Name]],LocationsKey[Site Name],LocationsKey[Town])</f>
        <v>#VALUE!</v>
      </c>
      <c r="J703" t="str">
        <f>_xlfn.XLOOKUP(AllDataCorrected[[#This Row],[Site Name]],LocationsKey[Site Name], LocationsKey[Waterway])</f>
        <v>Piddle Brook</v>
      </c>
      <c r="K703" t="s">
        <v>787</v>
      </c>
      <c r="L703">
        <f>_xlfn.XLOOKUP(AllDataCorrected[[#This Row],[Site Name]],Tables!$B$12:$B$100, Tables!C$12:C$100)</f>
        <v>52.126394500000039</v>
      </c>
      <c r="M703">
        <f>_xlfn.XLOOKUP(AllDataCorrected[[#This Row],[Site Name]],Tables!$B$12:$B$100, Tables!D$12:D$100)</f>
        <v>-2.0564211206896545</v>
      </c>
      <c r="N703" t="s">
        <v>25</v>
      </c>
      <c r="O703">
        <v>1270</v>
      </c>
      <c r="P703">
        <v>10.3</v>
      </c>
      <c r="Q703">
        <v>7</v>
      </c>
      <c r="R703" t="str">
        <f>IF(AllDataCorrected[[#This Row],[Nitrate (PPM)]]&gt;2, "4. Very high (&gt;2ppm)", IF(AllDataCorrected[[#This Row],[Nitrate (PPM)]]&gt;1, "3. High (1-2ppm)", IF(AllDataCorrected[[#This Row],[Nitrate (PPM)]]&gt;0.5, "2. Some evidence (0.5-1ppm)", IF(AllDataCorrected[[#This Row],[Nitrate (PPM)]]&gt;=0, "1. No evidence (&lt;0.5ppm)"))))</f>
        <v>4. Very high (&gt;2ppm)</v>
      </c>
      <c r="S703">
        <v>0.67</v>
      </c>
      <c r="T7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3">
        <v>0.27</v>
      </c>
      <c r="V703" t="s">
        <v>1128</v>
      </c>
    </row>
    <row r="704" spans="1:22" x14ac:dyDescent="0.35">
      <c r="A704" t="s">
        <v>1129</v>
      </c>
      <c r="B704" s="2">
        <v>45402</v>
      </c>
      <c r="C704" t="str" cm="1">
        <f t="array" ref="C7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4">
        <f>YEAR(AllDataCorrected[[#This Row],[Date]])</f>
        <v>2024</v>
      </c>
      <c r="E704" s="1">
        <v>0.5</v>
      </c>
      <c r="F7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4" t="str">
        <f>_xlfn.XLOOKUP(AllDataCorrected[[#This Row],[Location Name]], Locations[Location Name],Locations[Group As])</f>
        <v>Carrant Bredon Rd</v>
      </c>
      <c r="H704" t="e" vm="4">
        <f>_xlfn.XLOOKUP(AllDataCorrected[[#This Row],[Site Name]],LocationsKey[Site Name],LocationsKey[District])</f>
        <v>#VALUE!</v>
      </c>
      <c r="I704" t="e" vm="4">
        <f>_xlfn.XLOOKUP(AllDataCorrected[[#This Row],[Site Name]],LocationsKey[Site Name],LocationsKey[Town])</f>
        <v>#VALUE!</v>
      </c>
      <c r="J704" t="str">
        <f>_xlfn.XLOOKUP(AllDataCorrected[[#This Row],[Site Name]],LocationsKey[Site Name], LocationsKey[Waterway])</f>
        <v>Carrant</v>
      </c>
      <c r="K704" t="s">
        <v>603</v>
      </c>
      <c r="L704">
        <f>_xlfn.XLOOKUP(AllDataCorrected[[#This Row],[Site Name]],Tables!$B$12:$B$100, Tables!C$12:C$100)</f>
        <v>51.996322536231894</v>
      </c>
      <c r="M704">
        <f>_xlfn.XLOOKUP(AllDataCorrected[[#This Row],[Site Name]],Tables!$B$12:$B$100, Tables!D$12:D$100)</f>
        <v>-2.1558410144927538</v>
      </c>
      <c r="N704" t="s">
        <v>25</v>
      </c>
      <c r="O704">
        <v>746</v>
      </c>
      <c r="P704">
        <v>11.5</v>
      </c>
      <c r="Q704">
        <v>7</v>
      </c>
      <c r="R704" t="str">
        <f>IF(AllDataCorrected[[#This Row],[Nitrate (PPM)]]&gt;2, "4. Very high (&gt;2ppm)", IF(AllDataCorrected[[#This Row],[Nitrate (PPM)]]&gt;1, "3. High (1-2ppm)", IF(AllDataCorrected[[#This Row],[Nitrate (PPM)]]&gt;0.5, "2. Some evidence (0.5-1ppm)", IF(AllDataCorrected[[#This Row],[Nitrate (PPM)]]&gt;=0, "1. No evidence (&lt;0.5ppm)"))))</f>
        <v>4. Very high (&gt;2ppm)</v>
      </c>
      <c r="S704">
        <v>0.22</v>
      </c>
      <c r="T7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4">
        <v>0.08</v>
      </c>
    </row>
    <row r="705" spans="1:22" x14ac:dyDescent="0.35">
      <c r="A705" t="s">
        <v>1130</v>
      </c>
      <c r="B705" s="2">
        <v>45402</v>
      </c>
      <c r="C705" t="str" cm="1">
        <f t="array" ref="C7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5">
        <f>YEAR(AllDataCorrected[[#This Row],[Date]])</f>
        <v>2024</v>
      </c>
      <c r="E705" s="1">
        <v>0.50694444444444442</v>
      </c>
      <c r="F70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5" t="str">
        <f>_xlfn.XLOOKUP(AllDataCorrected[[#This Row],[Location Name]], Locations[Location Name],Locations[Group As])</f>
        <v>Fell Mill Footbridge</v>
      </c>
      <c r="H705" t="e" vm="1">
        <f>_xlfn.XLOOKUP(AllDataCorrected[[#This Row],[Site Name]],LocationsKey[Site Name],LocationsKey[District])</f>
        <v>#VALUE!</v>
      </c>
      <c r="I705" t="e" vm="15">
        <f>_xlfn.XLOOKUP(AllDataCorrected[[#This Row],[Site Name]],LocationsKey[Site Name],LocationsKey[Town])</f>
        <v>#VALUE!</v>
      </c>
      <c r="J705" t="str">
        <f>_xlfn.XLOOKUP(AllDataCorrected[[#This Row],[Site Name]],LocationsKey[Site Name], LocationsKey[Waterway])</f>
        <v>Stour</v>
      </c>
      <c r="K705" t="s">
        <v>875</v>
      </c>
      <c r="L705">
        <f>_xlfn.XLOOKUP(AllDataCorrected[[#This Row],[Site Name]],Tables!$B$12:$B$100, Tables!C$12:C$100)</f>
        <v>52.069044372881365</v>
      </c>
      <c r="M705">
        <f>_xlfn.XLOOKUP(AllDataCorrected[[#This Row],[Site Name]],Tables!$B$12:$B$100, Tables!D$12:D$100)</f>
        <v>-1.6116270169491524</v>
      </c>
      <c r="N705" t="s">
        <v>31</v>
      </c>
      <c r="O705">
        <v>602</v>
      </c>
      <c r="P705">
        <v>11.5</v>
      </c>
      <c r="Q705">
        <v>10</v>
      </c>
      <c r="R705" t="str">
        <f>IF(AllDataCorrected[[#This Row],[Nitrate (PPM)]]&gt;2, "4. Very high (&gt;2ppm)", IF(AllDataCorrected[[#This Row],[Nitrate (PPM)]]&gt;1, "3. High (1-2ppm)", IF(AllDataCorrected[[#This Row],[Nitrate (PPM)]]&gt;0.5, "2. Some evidence (0.5-1ppm)", IF(AllDataCorrected[[#This Row],[Nitrate (PPM)]]&gt;=0, "1. No evidence (&lt;0.5ppm)"))))</f>
        <v>4. Very high (&gt;2ppm)</v>
      </c>
      <c r="S705">
        <v>0.18</v>
      </c>
      <c r="T7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5">
        <v>1.4</v>
      </c>
    </row>
    <row r="706" spans="1:22" x14ac:dyDescent="0.35">
      <c r="A706" t="s">
        <v>1131</v>
      </c>
      <c r="B706" s="2">
        <v>45402</v>
      </c>
      <c r="C706" t="str" cm="1">
        <f t="array" ref="C7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6">
        <f>YEAR(AllDataCorrected[[#This Row],[Date]])</f>
        <v>2024</v>
      </c>
      <c r="E706" s="1">
        <v>0.67361111111111116</v>
      </c>
      <c r="F7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6" t="str">
        <f>_xlfn.XLOOKUP(AllDataCorrected[[#This Row],[Location Name]], Locations[Location Name],Locations[Group As])</f>
        <v>Walcot Lane, Bow Brook Ford</v>
      </c>
      <c r="H706" t="e" vm="6">
        <f>_xlfn.XLOOKUP(AllDataCorrected[[#This Row],[Site Name]],LocationsKey[Site Name],LocationsKey[District])</f>
        <v>#VALUE!</v>
      </c>
      <c r="I706" t="e" vm="7">
        <f>_xlfn.XLOOKUP(AllDataCorrected[[#This Row],[Site Name]],LocationsKey[Site Name],LocationsKey[Town])</f>
        <v>#VALUE!</v>
      </c>
      <c r="J706" t="str">
        <f>_xlfn.XLOOKUP(AllDataCorrected[[#This Row],[Site Name]],LocationsKey[Site Name], LocationsKey[Waterway])</f>
        <v>Bow Brook</v>
      </c>
      <c r="K706" t="s">
        <v>775</v>
      </c>
      <c r="L706">
        <f>_xlfn.XLOOKUP(AllDataCorrected[[#This Row],[Site Name]],Tables!$B$12:$B$100, Tables!C$12:C$100)</f>
        <v>52.12810345454546</v>
      </c>
      <c r="M706">
        <f>_xlfn.XLOOKUP(AllDataCorrected[[#This Row],[Site Name]],Tables!$B$12:$B$100, Tables!D$12:D$100)</f>
        <v>-2.0789593939393938</v>
      </c>
      <c r="N706" t="s">
        <v>25</v>
      </c>
      <c r="O706">
        <v>1090</v>
      </c>
      <c r="P706">
        <v>14.5</v>
      </c>
      <c r="Q706">
        <v>5</v>
      </c>
      <c r="R706" t="str">
        <f>IF(AllDataCorrected[[#This Row],[Nitrate (PPM)]]&gt;2, "4. Very high (&gt;2ppm)", IF(AllDataCorrected[[#This Row],[Nitrate (PPM)]]&gt;1, "3. High (1-2ppm)", IF(AllDataCorrected[[#This Row],[Nitrate (PPM)]]&gt;0.5, "2. Some evidence (0.5-1ppm)", IF(AllDataCorrected[[#This Row],[Nitrate (PPM)]]&gt;=0, "1. No evidence (&lt;0.5ppm)"))))</f>
        <v>4. Very high (&gt;2ppm)</v>
      </c>
      <c r="S706">
        <v>0.8</v>
      </c>
      <c r="T7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6">
        <v>0.25</v>
      </c>
      <c r="V706" t="s">
        <v>1132</v>
      </c>
    </row>
    <row r="707" spans="1:22" x14ac:dyDescent="0.35">
      <c r="A707" t="s">
        <v>1133</v>
      </c>
      <c r="B707" s="2">
        <v>45402</v>
      </c>
      <c r="C707" t="str" cm="1">
        <f t="array" ref="C7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7">
        <f>YEAR(AllDataCorrected[[#This Row],[Date]])</f>
        <v>2024</v>
      </c>
      <c r="E707" s="1">
        <v>0.70138888888888884</v>
      </c>
      <c r="F7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7" t="str">
        <f>_xlfn.XLOOKUP(AllDataCorrected[[#This Row],[Location Name]], Locations[Location Name],Locations[Group As])</f>
        <v>Stour Whichford</v>
      </c>
      <c r="H707" t="e" vm="1">
        <f>_xlfn.XLOOKUP(AllDataCorrected[[#This Row],[Site Name]],LocationsKey[Site Name],LocationsKey[District])</f>
        <v>#VALUE!</v>
      </c>
      <c r="I707" t="e" vm="24">
        <f>_xlfn.XLOOKUP(AllDataCorrected[[#This Row],[Site Name]],LocationsKey[Site Name],LocationsKey[Town])</f>
        <v>#VALUE!</v>
      </c>
      <c r="J707" t="str">
        <f>_xlfn.XLOOKUP(AllDataCorrected[[#This Row],[Site Name]],LocationsKey[Site Name], LocationsKey[Waterway])</f>
        <v>Stour</v>
      </c>
      <c r="K707" t="s">
        <v>980</v>
      </c>
      <c r="L707">
        <f>_xlfn.XLOOKUP(AllDataCorrected[[#This Row],[Site Name]],Tables!$B$12:$B$100, Tables!C$12:C$100)</f>
        <v>52.017437000000001</v>
      </c>
      <c r="M707">
        <f>_xlfn.XLOOKUP(AllDataCorrected[[#This Row],[Site Name]],Tables!$B$12:$B$100, Tables!D$12:D$100)</f>
        <v>-1.544745</v>
      </c>
      <c r="N707" t="s">
        <v>31</v>
      </c>
      <c r="O707">
        <v>522</v>
      </c>
      <c r="P707">
        <v>12.1</v>
      </c>
      <c r="Q707">
        <v>4.5</v>
      </c>
      <c r="R707" t="str">
        <f>IF(AllDataCorrected[[#This Row],[Nitrate (PPM)]]&gt;2, "4. Very high (&gt;2ppm)", IF(AllDataCorrected[[#This Row],[Nitrate (PPM)]]&gt;1, "3. High (1-2ppm)", IF(AllDataCorrected[[#This Row],[Nitrate (PPM)]]&gt;0.5, "2. Some evidence (0.5-1ppm)", IF(AllDataCorrected[[#This Row],[Nitrate (PPM)]]&gt;=0, "1. No evidence (&lt;0.5ppm)"))))</f>
        <v>4. Very high (&gt;2ppm)</v>
      </c>
      <c r="S707">
        <v>0.34</v>
      </c>
      <c r="T7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7">
        <v>15</v>
      </c>
    </row>
    <row r="708" spans="1:22" x14ac:dyDescent="0.35">
      <c r="A708" t="s">
        <v>1134</v>
      </c>
      <c r="B708" s="2">
        <v>45402</v>
      </c>
      <c r="C708" t="str" cm="1">
        <f t="array" ref="C7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8">
        <f>YEAR(AllDataCorrected[[#This Row],[Date]])</f>
        <v>2024</v>
      </c>
      <c r="E708" s="1">
        <v>0.72916666666666663</v>
      </c>
      <c r="F7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08" t="str">
        <f>_xlfn.XLOOKUP(AllDataCorrected[[#This Row],[Location Name]], Locations[Location Name],Locations[Group As])</f>
        <v>Stour Ascott Village</v>
      </c>
      <c r="H708" t="e" vm="1">
        <f>_xlfn.XLOOKUP(AllDataCorrected[[#This Row],[Site Name]],LocationsKey[Site Name],LocationsKey[District])</f>
        <v>#VALUE!</v>
      </c>
      <c r="I708" t="e" vm="25">
        <f>_xlfn.XLOOKUP(AllDataCorrected[[#This Row],[Site Name]],LocationsKey[Site Name],LocationsKey[Town])</f>
        <v>#VALUE!</v>
      </c>
      <c r="J708" t="str">
        <f>_xlfn.XLOOKUP(AllDataCorrected[[#This Row],[Site Name]],LocationsKey[Site Name], LocationsKey[Waterway])</f>
        <v>Stour</v>
      </c>
      <c r="K708" t="s">
        <v>927</v>
      </c>
      <c r="L708">
        <f>_xlfn.XLOOKUP(AllDataCorrected[[#This Row],[Site Name]],Tables!$B$12:$B$100, Tables!C$12:C$100)</f>
        <v>52.013255999999998</v>
      </c>
      <c r="M708">
        <f>_xlfn.XLOOKUP(AllDataCorrected[[#This Row],[Site Name]],Tables!$B$12:$B$100, Tables!D$12:D$100)</f>
        <v>-1.5387710000000001</v>
      </c>
      <c r="N708" t="s">
        <v>68</v>
      </c>
      <c r="O708">
        <v>12.08</v>
      </c>
      <c r="P708">
        <v>12.1</v>
      </c>
      <c r="Q708">
        <v>3.5</v>
      </c>
      <c r="R708" t="str">
        <f>IF(AllDataCorrected[[#This Row],[Nitrate (PPM)]]&gt;2, "4. Very high (&gt;2ppm)", IF(AllDataCorrected[[#This Row],[Nitrate (PPM)]]&gt;1, "3. High (1-2ppm)", IF(AllDataCorrected[[#This Row],[Nitrate (PPM)]]&gt;0.5, "2. Some evidence (0.5-1ppm)", IF(AllDataCorrected[[#This Row],[Nitrate (PPM)]]&gt;=0, "1. No evidence (&lt;0.5ppm)"))))</f>
        <v>4. Very high (&gt;2ppm)</v>
      </c>
      <c r="S708">
        <v>0.23</v>
      </c>
      <c r="T7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08">
        <v>12</v>
      </c>
    </row>
    <row r="709" spans="1:22" x14ac:dyDescent="0.35">
      <c r="A709" t="s">
        <v>1137</v>
      </c>
      <c r="B709" s="2">
        <v>45403</v>
      </c>
      <c r="C709" t="str" cm="1">
        <f t="array" ref="C7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09">
        <f>YEAR(AllDataCorrected[[#This Row],[Date]])</f>
        <v>2024</v>
      </c>
      <c r="E709" s="1">
        <v>0.42708333333333331</v>
      </c>
      <c r="F7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09" t="str">
        <f>_xlfn.XLOOKUP(AllDataCorrected[[#This Row],[Location Name]], Locations[Location Name],Locations[Group As])</f>
        <v>Avon Smiths Meadow Wyre Piddle</v>
      </c>
      <c r="H709" t="e" vm="6">
        <f>_xlfn.XLOOKUP(AllDataCorrected[[#This Row],[Site Name]],LocationsKey[Site Name],LocationsKey[District])</f>
        <v>#VALUE!</v>
      </c>
      <c r="I709" t="e" vm="13">
        <f>_xlfn.XLOOKUP(AllDataCorrected[[#This Row],[Site Name]],LocationsKey[Site Name],LocationsKey[Town])</f>
        <v>#VALUE!</v>
      </c>
      <c r="J709" t="str">
        <f>_xlfn.XLOOKUP(AllDataCorrected[[#This Row],[Site Name]],LocationsKey[Site Name], LocationsKey[Waterway])</f>
        <v>Avon</v>
      </c>
      <c r="K709" t="s">
        <v>784</v>
      </c>
      <c r="L709">
        <f>_xlfn.XLOOKUP(AllDataCorrected[[#This Row],[Site Name]],Tables!$B$12:$B$100, Tables!C$12:C$100)</f>
        <v>52.123126101694929</v>
      </c>
      <c r="M709">
        <f>_xlfn.XLOOKUP(AllDataCorrected[[#This Row],[Site Name]],Tables!$B$12:$B$100, Tables!D$12:D$100)</f>
        <v>-2.0572511355932215</v>
      </c>
      <c r="N709" t="s">
        <v>25</v>
      </c>
      <c r="O709">
        <v>868</v>
      </c>
      <c r="P709">
        <v>11.6</v>
      </c>
      <c r="Q709">
        <v>5</v>
      </c>
      <c r="R709" t="str">
        <f>IF(AllDataCorrected[[#This Row],[Nitrate (PPM)]]&gt;2, "4. Very high (&gt;2ppm)", IF(AllDataCorrected[[#This Row],[Nitrate (PPM)]]&gt;1, "3. High (1-2ppm)", IF(AllDataCorrected[[#This Row],[Nitrate (PPM)]]&gt;0.5, "2. Some evidence (0.5-1ppm)", IF(AllDataCorrected[[#This Row],[Nitrate (PPM)]]&gt;=0, "1. No evidence (&lt;0.5ppm)"))))</f>
        <v>4. Very high (&gt;2ppm)</v>
      </c>
      <c r="S709">
        <v>0.56000000000000005</v>
      </c>
      <c r="T7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09">
        <v>0.68</v>
      </c>
      <c r="V709" t="s">
        <v>1138</v>
      </c>
    </row>
    <row r="710" spans="1:22" x14ac:dyDescent="0.35">
      <c r="A710" t="s">
        <v>1139</v>
      </c>
      <c r="B710" s="2">
        <v>45403</v>
      </c>
      <c r="C710" t="str" cm="1">
        <f t="array" ref="C7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0">
        <f>YEAR(AllDataCorrected[[#This Row],[Date]])</f>
        <v>2024</v>
      </c>
      <c r="E710" s="1">
        <v>0.44444444444444442</v>
      </c>
      <c r="F7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0" t="str">
        <f>_xlfn.XLOOKUP(AllDataCorrected[[#This Row],[Location Name]], Locations[Location Name],Locations[Group As])</f>
        <v>The Ford, Langley</v>
      </c>
      <c r="H710" t="e" vm="1">
        <f>_xlfn.XLOOKUP(AllDataCorrected[[#This Row],[Site Name]],LocationsKey[Site Name],LocationsKey[District])</f>
        <v>#VALUE!</v>
      </c>
      <c r="I710" t="str">
        <f>_xlfn.XLOOKUP(AllDataCorrected[[#This Row],[Site Name]],LocationsKey[Site Name],LocationsKey[Town])</f>
        <v>Langley</v>
      </c>
      <c r="J710" t="str">
        <f>_xlfn.XLOOKUP(AllDataCorrected[[#This Row],[Site Name]],LocationsKey[Site Name], LocationsKey[Waterway])</f>
        <v>Langley Ford</v>
      </c>
      <c r="K710" t="s">
        <v>561</v>
      </c>
      <c r="L710">
        <f>_xlfn.XLOOKUP(AllDataCorrected[[#This Row],[Site Name]],Tables!$B$12:$B$100, Tables!C$12:C$100)</f>
        <v>52.262666528301864</v>
      </c>
      <c r="M710">
        <f>_xlfn.XLOOKUP(AllDataCorrected[[#This Row],[Site Name]],Tables!$B$12:$B$100, Tables!D$12:D$100)</f>
        <v>-1.6545845283018858</v>
      </c>
      <c r="N710" t="s">
        <v>31</v>
      </c>
      <c r="O710">
        <v>734</v>
      </c>
      <c r="P710">
        <v>9.6999999999999993</v>
      </c>
      <c r="Q710">
        <v>5</v>
      </c>
      <c r="R710" t="str">
        <f>IF(AllDataCorrected[[#This Row],[Nitrate (PPM)]]&gt;2, "4. Very high (&gt;2ppm)", IF(AllDataCorrected[[#This Row],[Nitrate (PPM)]]&gt;1, "3. High (1-2ppm)", IF(AllDataCorrected[[#This Row],[Nitrate (PPM)]]&gt;0.5, "2. Some evidence (0.5-1ppm)", IF(AllDataCorrected[[#This Row],[Nitrate (PPM)]]&gt;=0, "1. No evidence (&lt;0.5ppm)"))))</f>
        <v>4. Very high (&gt;2ppm)</v>
      </c>
      <c r="S710">
        <v>0.47</v>
      </c>
      <c r="T7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0">
        <v>0.3</v>
      </c>
      <c r="V710" t="s">
        <v>814</v>
      </c>
    </row>
    <row r="711" spans="1:22" x14ac:dyDescent="0.35">
      <c r="A711" t="s">
        <v>1140</v>
      </c>
      <c r="B711" s="2">
        <v>45403</v>
      </c>
      <c r="C711" t="str" cm="1">
        <f t="array" ref="C7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1">
        <f>YEAR(AllDataCorrected[[#This Row],[Date]])</f>
        <v>2024</v>
      </c>
      <c r="E711" s="1">
        <v>0.47222222222222221</v>
      </c>
      <c r="F7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1" t="str">
        <f>_xlfn.XLOOKUP(AllDataCorrected[[#This Row],[Location Name]], Locations[Location Name],Locations[Group As])</f>
        <v>Lucy's Mill Bridge</v>
      </c>
      <c r="H711" t="e" vm="1">
        <f>_xlfn.XLOOKUP(AllDataCorrected[[#This Row],[Site Name]],LocationsKey[Site Name],LocationsKey[District])</f>
        <v>#VALUE!</v>
      </c>
      <c r="I711" t="e" vm="12">
        <f>_xlfn.XLOOKUP(AllDataCorrected[[#This Row],[Site Name]],LocationsKey[Site Name],LocationsKey[Town])</f>
        <v>#VALUE!</v>
      </c>
      <c r="J711" t="str">
        <f>_xlfn.XLOOKUP(AllDataCorrected[[#This Row],[Site Name]],LocationsKey[Site Name], LocationsKey[Waterway])</f>
        <v>Avon</v>
      </c>
      <c r="K711" t="s">
        <v>212</v>
      </c>
      <c r="L711">
        <f>_xlfn.XLOOKUP(AllDataCorrected[[#This Row],[Site Name]],Tables!$B$12:$B$100, Tables!C$12:C$100)</f>
        <v>52.183699000000011</v>
      </c>
      <c r="M711">
        <f>_xlfn.XLOOKUP(AllDataCorrected[[#This Row],[Site Name]],Tables!$B$12:$B$100, Tables!D$12:D$100)</f>
        <v>-1.7078160000000004</v>
      </c>
      <c r="N711" t="s">
        <v>31</v>
      </c>
      <c r="P711">
        <v>13</v>
      </c>
      <c r="Q711">
        <v>10</v>
      </c>
      <c r="R711" t="str">
        <f>IF(AllDataCorrected[[#This Row],[Nitrate (PPM)]]&gt;2, "4. Very high (&gt;2ppm)", IF(AllDataCorrected[[#This Row],[Nitrate (PPM)]]&gt;1, "3. High (1-2ppm)", IF(AllDataCorrected[[#This Row],[Nitrate (PPM)]]&gt;0.5, "2. Some evidence (0.5-1ppm)", IF(AllDataCorrected[[#This Row],[Nitrate (PPM)]]&gt;=0, "1. No evidence (&lt;0.5ppm)"))))</f>
        <v>4. Very high (&gt;2ppm)</v>
      </c>
      <c r="S711">
        <v>0.26</v>
      </c>
      <c r="T7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1">
        <v>0.7</v>
      </c>
    </row>
    <row r="712" spans="1:22" x14ac:dyDescent="0.35">
      <c r="A712" t="s">
        <v>1141</v>
      </c>
      <c r="B712" s="2">
        <v>45403</v>
      </c>
      <c r="C712" t="str" cm="1">
        <f t="array" ref="C7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2">
        <f>YEAR(AllDataCorrected[[#This Row],[Date]])</f>
        <v>2024</v>
      </c>
      <c r="E712" s="1">
        <v>0.57291666666666663</v>
      </c>
      <c r="F7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2" t="str">
        <f>_xlfn.XLOOKUP(AllDataCorrected[[#This Row],[Location Name]], Locations[Location Name],Locations[Group As])</f>
        <v>Clifford Chambers Mill Bridge</v>
      </c>
      <c r="H712" t="e" vm="1">
        <f>_xlfn.XLOOKUP(AllDataCorrected[[#This Row],[Site Name]],LocationsKey[Site Name],LocationsKey[District])</f>
        <v>#VALUE!</v>
      </c>
      <c r="I712" t="e" vm="22">
        <f>_xlfn.XLOOKUP(AllDataCorrected[[#This Row],[Site Name]],LocationsKey[Site Name],LocationsKey[Town])</f>
        <v>#VALUE!</v>
      </c>
      <c r="J712" t="str">
        <f>_xlfn.XLOOKUP(AllDataCorrected[[#This Row],[Site Name]],LocationsKey[Site Name], LocationsKey[Waterway])</f>
        <v>Stour</v>
      </c>
      <c r="K712" t="s">
        <v>266</v>
      </c>
      <c r="L712">
        <f>_xlfn.XLOOKUP(AllDataCorrected[[#This Row],[Site Name]],Tables!$B$12:$B$100, Tables!C$12:C$100)</f>
        <v>52.166363596153808</v>
      </c>
      <c r="M712">
        <f>_xlfn.XLOOKUP(AllDataCorrected[[#This Row],[Site Name]],Tables!$B$12:$B$100, Tables!D$12:D$100)</f>
        <v>-1.7080375384615398</v>
      </c>
      <c r="N712" t="s">
        <v>68</v>
      </c>
      <c r="O712">
        <v>659</v>
      </c>
      <c r="P712">
        <v>12.5</v>
      </c>
      <c r="Q712">
        <v>8</v>
      </c>
      <c r="R712" t="str">
        <f>IF(AllDataCorrected[[#This Row],[Nitrate (PPM)]]&gt;2, "4. Very high (&gt;2ppm)", IF(AllDataCorrected[[#This Row],[Nitrate (PPM)]]&gt;1, "3. High (1-2ppm)", IF(AllDataCorrected[[#This Row],[Nitrate (PPM)]]&gt;0.5, "2. Some evidence (0.5-1ppm)", IF(AllDataCorrected[[#This Row],[Nitrate (PPM)]]&gt;=0, "1. No evidence (&lt;0.5ppm)"))))</f>
        <v>4. Very high (&gt;2ppm)</v>
      </c>
      <c r="S712">
        <v>0.14000000000000001</v>
      </c>
      <c r="T7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2">
        <v>0.8</v>
      </c>
    </row>
    <row r="713" spans="1:22" x14ac:dyDescent="0.35">
      <c r="A713" t="s">
        <v>1142</v>
      </c>
      <c r="B713" s="2">
        <v>45403</v>
      </c>
      <c r="C713" t="str" cm="1">
        <f t="array" ref="C7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3">
        <f>YEAR(AllDataCorrected[[#This Row],[Date]])</f>
        <v>2024</v>
      </c>
      <c r="E713" s="1">
        <v>0.58472222222222225</v>
      </c>
      <c r="F71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3" t="str">
        <f>_xlfn.XLOOKUP(AllDataCorrected[[#This Row],[Location Name]], Locations[Location Name],Locations[Group As])</f>
        <v>Carrant Mitton Path</v>
      </c>
      <c r="H713" t="e" vm="4">
        <f>_xlfn.XLOOKUP(AllDataCorrected[[#This Row],[Site Name]],LocationsKey[Site Name],LocationsKey[District])</f>
        <v>#VALUE!</v>
      </c>
      <c r="I713" t="e" vm="4">
        <f>_xlfn.XLOOKUP(AllDataCorrected[[#This Row],[Site Name]],LocationsKey[Site Name],LocationsKey[Town])</f>
        <v>#VALUE!</v>
      </c>
      <c r="J713" t="str">
        <f>_xlfn.XLOOKUP(AllDataCorrected[[#This Row],[Site Name]],LocationsKey[Site Name], LocationsKey[Waterway])</f>
        <v>Carrant</v>
      </c>
      <c r="K713" t="s">
        <v>1064</v>
      </c>
      <c r="L713">
        <f>_xlfn.XLOOKUP(AllDataCorrected[[#This Row],[Site Name]],Tables!$B$12:$B$100, Tables!C$12:C$100)</f>
        <v>52.048665</v>
      </c>
      <c r="M713">
        <f>_xlfn.XLOOKUP(AllDataCorrected[[#This Row],[Site Name]],Tables!$B$12:$B$100, Tables!D$12:D$100)</f>
        <v>-1.7862663333333331</v>
      </c>
      <c r="N713" t="s">
        <v>25</v>
      </c>
      <c r="O713">
        <v>525</v>
      </c>
      <c r="P713">
        <v>12.3</v>
      </c>
      <c r="Q713">
        <v>9</v>
      </c>
      <c r="R713" t="str">
        <f>IF(AllDataCorrected[[#This Row],[Nitrate (PPM)]]&gt;2, "4. Very high (&gt;2ppm)", IF(AllDataCorrected[[#This Row],[Nitrate (PPM)]]&gt;1, "3. High (1-2ppm)", IF(AllDataCorrected[[#This Row],[Nitrate (PPM)]]&gt;0.5, "2. Some evidence (0.5-1ppm)", IF(AllDataCorrected[[#This Row],[Nitrate (PPM)]]&gt;=0, "1. No evidence (&lt;0.5ppm)"))))</f>
        <v>4. Very high (&gt;2ppm)</v>
      </c>
      <c r="S713">
        <v>0.28000000000000003</v>
      </c>
      <c r="T7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3">
        <v>0</v>
      </c>
    </row>
    <row r="714" spans="1:22" x14ac:dyDescent="0.35">
      <c r="A714" t="s">
        <v>1143</v>
      </c>
      <c r="B714" s="2">
        <v>45403</v>
      </c>
      <c r="C714" t="str" cm="1">
        <f t="array" ref="C7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4">
        <f>YEAR(AllDataCorrected[[#This Row],[Date]])</f>
        <v>2024</v>
      </c>
      <c r="E714" s="1">
        <v>0.59652777777777777</v>
      </c>
      <c r="F7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4" t="str">
        <f>_xlfn.XLOOKUP(AllDataCorrected[[#This Row],[Location Name]], Locations[Location Name],Locations[Group As])</f>
        <v>Carrant M5 Bridge</v>
      </c>
      <c r="H714" t="e" vm="4">
        <f>_xlfn.XLOOKUP(AllDataCorrected[[#This Row],[Site Name]],LocationsKey[Site Name],LocationsKey[District])</f>
        <v>#VALUE!</v>
      </c>
      <c r="I714" t="e" vm="4">
        <f>_xlfn.XLOOKUP(AllDataCorrected[[#This Row],[Site Name]],LocationsKey[Site Name],LocationsKey[Town])</f>
        <v>#VALUE!</v>
      </c>
      <c r="J714" t="str">
        <f>_xlfn.XLOOKUP(AllDataCorrected[[#This Row],[Site Name]],LocationsKey[Site Name], LocationsKey[Waterway])</f>
        <v>Carrant</v>
      </c>
      <c r="K714" t="s">
        <v>1144</v>
      </c>
      <c r="L714">
        <f>_xlfn.XLOOKUP(AllDataCorrected[[#This Row],[Site Name]],Tables!$B$12:$B$100, Tables!C$12:C$100)</f>
        <v>52.012994652173923</v>
      </c>
      <c r="M714">
        <f>_xlfn.XLOOKUP(AllDataCorrected[[#This Row],[Site Name]],Tables!$B$12:$B$100, Tables!D$12:D$100)</f>
        <v>-2.1224405652173912</v>
      </c>
      <c r="N714" t="s">
        <v>25</v>
      </c>
      <c r="O714">
        <v>747</v>
      </c>
      <c r="P714">
        <v>12.4</v>
      </c>
      <c r="Q714">
        <v>5</v>
      </c>
      <c r="R714" t="str">
        <f>IF(AllDataCorrected[[#This Row],[Nitrate (PPM)]]&gt;2, "4. Very high (&gt;2ppm)", IF(AllDataCorrected[[#This Row],[Nitrate (PPM)]]&gt;1, "3. High (1-2ppm)", IF(AllDataCorrected[[#This Row],[Nitrate (PPM)]]&gt;0.5, "2. Some evidence (0.5-1ppm)", IF(AllDataCorrected[[#This Row],[Nitrate (PPM)]]&gt;=0, "1. No evidence (&lt;0.5ppm)"))))</f>
        <v>4. Very high (&gt;2ppm)</v>
      </c>
      <c r="S714">
        <v>0.32</v>
      </c>
      <c r="T7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4">
        <v>0</v>
      </c>
    </row>
    <row r="715" spans="1:22" x14ac:dyDescent="0.35">
      <c r="A715" t="s">
        <v>1145</v>
      </c>
      <c r="B715" s="2">
        <v>45403</v>
      </c>
      <c r="C715" t="str" cm="1">
        <f t="array" ref="C7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5">
        <f>YEAR(AllDataCorrected[[#This Row],[Date]])</f>
        <v>2024</v>
      </c>
      <c r="E715" s="1">
        <v>0.61458333333333337</v>
      </c>
      <c r="F7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5" t="str">
        <f>_xlfn.XLOOKUP(AllDataCorrected[[#This Row],[Location Name]], Locations[Location Name],Locations[Group As])</f>
        <v>Sherbourne Brook 1</v>
      </c>
      <c r="H715" t="e" vm="1">
        <f>_xlfn.XLOOKUP(AllDataCorrected[[#This Row],[Site Name]],LocationsKey[Site Name],LocationsKey[District])</f>
        <v>#VALUE!</v>
      </c>
      <c r="I715" t="e" vm="23">
        <f>_xlfn.XLOOKUP(AllDataCorrected[[#This Row],[Site Name]],LocationsKey[Site Name],LocationsKey[Town])</f>
        <v>#VALUE!</v>
      </c>
      <c r="J715" t="str">
        <f>_xlfn.XLOOKUP(AllDataCorrected[[#This Row],[Site Name]],LocationsKey[Site Name], LocationsKey[Waterway])</f>
        <v>Sherbourne Brook</v>
      </c>
      <c r="K715" t="s">
        <v>541</v>
      </c>
      <c r="L715">
        <f>_xlfn.XLOOKUP(AllDataCorrected[[#This Row],[Site Name]],Tables!$B$12:$B$100, Tables!C$12:C$100)</f>
        <v>52.252500000000033</v>
      </c>
      <c r="M715">
        <f>_xlfn.XLOOKUP(AllDataCorrected[[#This Row],[Site Name]],Tables!$B$12:$B$100, Tables!D$12:D$100)</f>
        <v>-1.6685000000000012</v>
      </c>
      <c r="N715" t="s">
        <v>25</v>
      </c>
      <c r="O715">
        <v>1060</v>
      </c>
      <c r="P715">
        <v>11.1</v>
      </c>
      <c r="Q715">
        <v>6</v>
      </c>
      <c r="R715" t="str">
        <f>IF(AllDataCorrected[[#This Row],[Nitrate (PPM)]]&gt;2, "4. Very high (&gt;2ppm)", IF(AllDataCorrected[[#This Row],[Nitrate (PPM)]]&gt;1, "3. High (1-2ppm)", IF(AllDataCorrected[[#This Row],[Nitrate (PPM)]]&gt;0.5, "2. Some evidence (0.5-1ppm)", IF(AllDataCorrected[[#This Row],[Nitrate (PPM)]]&gt;=0, "1. No evidence (&lt;0.5ppm)"))))</f>
        <v>4. Very high (&gt;2ppm)</v>
      </c>
      <c r="S715">
        <v>0.56999999999999995</v>
      </c>
      <c r="T7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5">
        <v>0.2</v>
      </c>
    </row>
    <row r="716" spans="1:22" x14ac:dyDescent="0.35">
      <c r="A716" t="s">
        <v>1146</v>
      </c>
      <c r="B716" s="2">
        <v>45403</v>
      </c>
      <c r="C716" t="str" cm="1">
        <f t="array" ref="C7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6">
        <f>YEAR(AllDataCorrected[[#This Row],[Date]])</f>
        <v>2024</v>
      </c>
      <c r="E716" s="1">
        <v>0.625</v>
      </c>
      <c r="F7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6" t="str">
        <f>_xlfn.XLOOKUP(AllDataCorrected[[#This Row],[Location Name]], Locations[Location Name],Locations[Group As])</f>
        <v>Bell Brook 1</v>
      </c>
      <c r="H716" t="e" vm="1">
        <f>_xlfn.XLOOKUP(AllDataCorrected[[#This Row],[Site Name]],LocationsKey[Site Name],LocationsKey[District])</f>
        <v>#VALUE!</v>
      </c>
      <c r="I716" t="e" vm="19">
        <f>_xlfn.XLOOKUP(AllDataCorrected[[#This Row],[Site Name]],LocationsKey[Site Name],LocationsKey[Town])</f>
        <v>#VALUE!</v>
      </c>
      <c r="J716" t="str">
        <f>_xlfn.XLOOKUP(AllDataCorrected[[#This Row],[Site Name]],LocationsKey[Site Name], LocationsKey[Waterway])</f>
        <v>Bell Brook</v>
      </c>
      <c r="K716" t="s">
        <v>538</v>
      </c>
      <c r="L716">
        <f>_xlfn.XLOOKUP(AllDataCorrected[[#This Row],[Site Name]],Tables!$B$12:$B$100, Tables!C$12:C$100)</f>
        <v>52.24489999999998</v>
      </c>
      <c r="M716">
        <f>_xlfn.XLOOKUP(AllDataCorrected[[#This Row],[Site Name]],Tables!$B$12:$B$100, Tables!D$12:D$100)</f>
        <v>-1.6617000000000013</v>
      </c>
      <c r="N716" t="s">
        <v>25</v>
      </c>
      <c r="O716">
        <v>735</v>
      </c>
      <c r="P716">
        <v>13</v>
      </c>
      <c r="Q716">
        <v>5</v>
      </c>
      <c r="R716" t="str">
        <f>IF(AllDataCorrected[[#This Row],[Nitrate (PPM)]]&gt;2, "4. Very high (&gt;2ppm)", IF(AllDataCorrected[[#This Row],[Nitrate (PPM)]]&gt;1, "3. High (1-2ppm)", IF(AllDataCorrected[[#This Row],[Nitrate (PPM)]]&gt;0.5, "2. Some evidence (0.5-1ppm)", IF(AllDataCorrected[[#This Row],[Nitrate (PPM)]]&gt;=0, "1. No evidence (&lt;0.5ppm)"))))</f>
        <v>4. Very high (&gt;2ppm)</v>
      </c>
      <c r="S716">
        <v>0.43</v>
      </c>
      <c r="T7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6">
        <v>0.1</v>
      </c>
    </row>
    <row r="717" spans="1:22" x14ac:dyDescent="0.35">
      <c r="A717" t="s">
        <v>1147</v>
      </c>
      <c r="B717" s="2">
        <v>45403</v>
      </c>
      <c r="C717" t="str" cm="1">
        <f t="array" ref="C7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7">
        <f>YEAR(AllDataCorrected[[#This Row],[Date]])</f>
        <v>2024</v>
      </c>
      <c r="E717" s="1">
        <v>0.68125000000000002</v>
      </c>
      <c r="F7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7" t="str">
        <f>_xlfn.XLOOKUP(AllDataCorrected[[#This Row],[Location Name]], Locations[Location Name],Locations[Group As])</f>
        <v>Black Bear</v>
      </c>
      <c r="H717" t="e" vm="4">
        <f>_xlfn.XLOOKUP(AllDataCorrected[[#This Row],[Site Name]],LocationsKey[Site Name],LocationsKey[District])</f>
        <v>#VALUE!</v>
      </c>
      <c r="I717" t="e" vm="4">
        <f>_xlfn.XLOOKUP(AllDataCorrected[[#This Row],[Site Name]],LocationsKey[Site Name],LocationsKey[Town])</f>
        <v>#VALUE!</v>
      </c>
      <c r="J717" t="str">
        <f>_xlfn.XLOOKUP(AllDataCorrected[[#This Row],[Site Name]],LocationsKey[Site Name], LocationsKey[Waterway])</f>
        <v>Avon</v>
      </c>
      <c r="K717" t="s">
        <v>572</v>
      </c>
      <c r="L717">
        <f>_xlfn.XLOOKUP(AllDataCorrected[[#This Row],[Site Name]],Tables!$B$12:$B$100, Tables!C$12:C$100)</f>
        <v>51.997466254237274</v>
      </c>
      <c r="M717">
        <f>_xlfn.XLOOKUP(AllDataCorrected[[#This Row],[Site Name]],Tables!$B$12:$B$100, Tables!D$12:D$100)</f>
        <v>-2.1561788644067801</v>
      </c>
      <c r="N717" t="s">
        <v>25</v>
      </c>
      <c r="O717">
        <v>790</v>
      </c>
      <c r="P717">
        <v>15.4</v>
      </c>
      <c r="Q717">
        <v>10</v>
      </c>
      <c r="R717" t="str">
        <f>IF(AllDataCorrected[[#This Row],[Nitrate (PPM)]]&gt;2, "4. Very high (&gt;2ppm)", IF(AllDataCorrected[[#This Row],[Nitrate (PPM)]]&gt;1, "3. High (1-2ppm)", IF(AllDataCorrected[[#This Row],[Nitrate (PPM)]]&gt;0.5, "2. Some evidence (0.5-1ppm)", IF(AllDataCorrected[[#This Row],[Nitrate (PPM)]]&gt;=0, "1. No evidence (&lt;0.5ppm)"))))</f>
        <v>4. Very high (&gt;2ppm)</v>
      </c>
      <c r="S717">
        <v>0.45</v>
      </c>
      <c r="T7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7">
        <v>0</v>
      </c>
    </row>
    <row r="718" spans="1:22" x14ac:dyDescent="0.35">
      <c r="A718" t="s">
        <v>1148</v>
      </c>
      <c r="B718" s="2">
        <v>45403</v>
      </c>
      <c r="C718" t="str" cm="1">
        <f t="array" ref="C7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8">
        <f>YEAR(AllDataCorrected[[#This Row],[Date]])</f>
        <v>2024</v>
      </c>
      <c r="E718" s="1">
        <v>0.73055555555555551</v>
      </c>
      <c r="F7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18" t="str">
        <f>_xlfn.XLOOKUP(AllDataCorrected[[#This Row],[Location Name]], Locations[Location Name],Locations[Group As])</f>
        <v>Pershore Bridges</v>
      </c>
      <c r="H718" t="e" vm="6">
        <f>_xlfn.XLOOKUP(AllDataCorrected[[#This Row],[Site Name]],LocationsKey[Site Name],LocationsKey[District])</f>
        <v>#VALUE!</v>
      </c>
      <c r="I718" t="e" vm="7">
        <f>_xlfn.XLOOKUP(AllDataCorrected[[#This Row],[Site Name]],LocationsKey[Site Name],LocationsKey[Town])</f>
        <v>#VALUE!</v>
      </c>
      <c r="J718" t="str">
        <f>_xlfn.XLOOKUP(AllDataCorrected[[#This Row],[Site Name]],LocationsKey[Site Name], LocationsKey[Waterway])</f>
        <v>Avon</v>
      </c>
      <c r="K718" t="s">
        <v>584</v>
      </c>
      <c r="L718">
        <f>_xlfn.XLOOKUP(AllDataCorrected[[#This Row],[Site Name]],Tables!$B$12:$B$100, Tables!C$12:C$100)</f>
        <v>52.104196285714281</v>
      </c>
      <c r="M718">
        <f>_xlfn.XLOOKUP(AllDataCorrected[[#This Row],[Site Name]],Tables!$B$12:$B$100, Tables!D$12:D$100)</f>
        <v>-2.0709292857142851</v>
      </c>
      <c r="O718">
        <v>877</v>
      </c>
      <c r="P718">
        <v>13.2</v>
      </c>
      <c r="Q718">
        <v>5</v>
      </c>
      <c r="R718" t="str">
        <f>IF(AllDataCorrected[[#This Row],[Nitrate (PPM)]]&gt;2, "4. Very high (&gt;2ppm)", IF(AllDataCorrected[[#This Row],[Nitrate (PPM)]]&gt;1, "3. High (1-2ppm)", IF(AllDataCorrected[[#This Row],[Nitrate (PPM)]]&gt;0.5, "2. Some evidence (0.5-1ppm)", IF(AllDataCorrected[[#This Row],[Nitrate (PPM)]]&gt;=0, "1. No evidence (&lt;0.5ppm)"))))</f>
        <v>4. Very high (&gt;2ppm)</v>
      </c>
      <c r="S718">
        <v>0.46</v>
      </c>
      <c r="T7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18">
        <v>3.38</v>
      </c>
    </row>
    <row r="719" spans="1:22" x14ac:dyDescent="0.35">
      <c r="A719" t="s">
        <v>1149</v>
      </c>
      <c r="B719" s="2">
        <v>45404</v>
      </c>
      <c r="C719" t="str" cm="1">
        <f t="array" ref="C7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19">
        <f>YEAR(AllDataCorrected[[#This Row],[Date]])</f>
        <v>2024</v>
      </c>
      <c r="E719" s="1">
        <v>0.36875000000000002</v>
      </c>
      <c r="F7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19" t="str">
        <f>_xlfn.XLOOKUP(AllDataCorrected[[#This Row],[Location Name]], Locations[Location Name],Locations[Group As])</f>
        <v>Stour Stretton-on-Fosse Village</v>
      </c>
      <c r="H719" t="e" vm="1">
        <f>_xlfn.XLOOKUP(AllDataCorrected[[#This Row],[Site Name]],LocationsKey[Site Name],LocationsKey[District])</f>
        <v>#VALUE!</v>
      </c>
      <c r="I719" t="e" vm="30">
        <f>_xlfn.XLOOKUP(AllDataCorrected[[#This Row],[Site Name]],LocationsKey[Site Name],LocationsKey[Town])</f>
        <v>#VALUE!</v>
      </c>
      <c r="J719" t="str">
        <f>_xlfn.XLOOKUP(AllDataCorrected[[#This Row],[Site Name]],LocationsKey[Site Name], LocationsKey[Waterway])</f>
        <v>Stour</v>
      </c>
      <c r="K719" t="s">
        <v>548</v>
      </c>
      <c r="L719">
        <f>_xlfn.XLOOKUP(AllDataCorrected[[#This Row],[Site Name]],Tables!$B$12:$B$100, Tables!C$12:C$100)</f>
        <v>52.046517558823531</v>
      </c>
      <c r="M719">
        <f>_xlfn.XLOOKUP(AllDataCorrected[[#This Row],[Site Name]],Tables!$B$12:$B$100, Tables!D$12:D$100)</f>
        <v>-1.6734143529411762</v>
      </c>
      <c r="N719" t="s">
        <v>68</v>
      </c>
      <c r="O719">
        <v>732</v>
      </c>
      <c r="P719">
        <v>8.6</v>
      </c>
      <c r="Q719">
        <v>2</v>
      </c>
      <c r="R719" t="str">
        <f>IF(AllDataCorrected[[#This Row],[Nitrate (PPM)]]&gt;2, "4. Very high (&gt;2ppm)", IF(AllDataCorrected[[#This Row],[Nitrate (PPM)]]&gt;1, "3. High (1-2ppm)", IF(AllDataCorrected[[#This Row],[Nitrate (PPM)]]&gt;0.5, "2. Some evidence (0.5-1ppm)", IF(AllDataCorrected[[#This Row],[Nitrate (PPM)]]&gt;=0, "1. No evidence (&lt;0.5ppm)"))))</f>
        <v>3. High (1-2ppm)</v>
      </c>
      <c r="S719">
        <v>2.5</v>
      </c>
      <c r="T7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19">
        <v>0.2</v>
      </c>
    </row>
    <row r="720" spans="1:22" x14ac:dyDescent="0.35">
      <c r="A720" t="s">
        <v>1150</v>
      </c>
      <c r="B720" s="2">
        <v>45404</v>
      </c>
      <c r="C720" t="str" cm="1">
        <f t="array" ref="C7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0">
        <f>YEAR(AllDataCorrected[[#This Row],[Date]])</f>
        <v>2024</v>
      </c>
      <c r="E720" s="1">
        <v>0.375</v>
      </c>
      <c r="F7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0" t="str">
        <f>_xlfn.XLOOKUP(AllDataCorrected[[#This Row],[Location Name]], Locations[Location Name],Locations[Group As])</f>
        <v>Stour Stretton-on-Fosse Sewage Works</v>
      </c>
      <c r="H720" t="e" vm="1">
        <f>_xlfn.XLOOKUP(AllDataCorrected[[#This Row],[Site Name]],LocationsKey[Site Name],LocationsKey[District])</f>
        <v>#VALUE!</v>
      </c>
      <c r="I720" t="e" vm="30">
        <f>_xlfn.XLOOKUP(AllDataCorrected[[#This Row],[Site Name]],LocationsKey[Site Name],LocationsKey[Town])</f>
        <v>#VALUE!</v>
      </c>
      <c r="J720" t="str">
        <f>_xlfn.XLOOKUP(AllDataCorrected[[#This Row],[Site Name]],LocationsKey[Site Name], LocationsKey[Waterway])</f>
        <v>Stour</v>
      </c>
      <c r="K720" t="s">
        <v>337</v>
      </c>
      <c r="L720">
        <f>_xlfn.XLOOKUP(AllDataCorrected[[#This Row],[Site Name]],Tables!$B$12:$B$100, Tables!C$12:C$100)</f>
        <v>52.045653647058828</v>
      </c>
      <c r="M720">
        <f>_xlfn.XLOOKUP(AllDataCorrected[[#This Row],[Site Name]],Tables!$B$12:$B$100, Tables!D$12:D$100)</f>
        <v>-1.6719221470588239</v>
      </c>
      <c r="N720" t="s">
        <v>31</v>
      </c>
      <c r="O720">
        <v>798</v>
      </c>
      <c r="P720">
        <v>8.1999999999999993</v>
      </c>
      <c r="Q720">
        <v>2</v>
      </c>
      <c r="R720" t="str">
        <f>IF(AllDataCorrected[[#This Row],[Nitrate (PPM)]]&gt;2, "4. Very high (&gt;2ppm)", IF(AllDataCorrected[[#This Row],[Nitrate (PPM)]]&gt;1, "3. High (1-2ppm)", IF(AllDataCorrected[[#This Row],[Nitrate (PPM)]]&gt;0.5, "2. Some evidence (0.5-1ppm)", IF(AllDataCorrected[[#This Row],[Nitrate (PPM)]]&gt;=0, "1. No evidence (&lt;0.5ppm)"))))</f>
        <v>3. High (1-2ppm)</v>
      </c>
      <c r="S720">
        <v>2.5</v>
      </c>
      <c r="T7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0">
        <v>0.25</v>
      </c>
      <c r="V720" t="s">
        <v>1151</v>
      </c>
    </row>
    <row r="721" spans="1:22" x14ac:dyDescent="0.35">
      <c r="A721" t="s">
        <v>1152</v>
      </c>
      <c r="B721" s="2">
        <v>45404</v>
      </c>
      <c r="C721" t="str" cm="1">
        <f t="array" ref="C7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1">
        <f>YEAR(AllDataCorrected[[#This Row],[Date]])</f>
        <v>2024</v>
      </c>
      <c r="E721" s="1">
        <v>0.61805555555555558</v>
      </c>
      <c r="F7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1" t="str">
        <f>_xlfn.XLOOKUP(AllDataCorrected[[#This Row],[Location Name]], Locations[Location Name],Locations[Group As])</f>
        <v>Alveston Weir</v>
      </c>
      <c r="H721" t="e" vm="1">
        <f>_xlfn.XLOOKUP(AllDataCorrected[[#This Row],[Site Name]],LocationsKey[Site Name],LocationsKey[District])</f>
        <v>#VALUE!</v>
      </c>
      <c r="I721" t="e" vm="2">
        <f>_xlfn.XLOOKUP(AllDataCorrected[[#This Row],[Site Name]],LocationsKey[Site Name],LocationsKey[Town])</f>
        <v>#VALUE!</v>
      </c>
      <c r="J721" t="str">
        <f>_xlfn.XLOOKUP(AllDataCorrected[[#This Row],[Site Name]],LocationsKey[Site Name], LocationsKey[Waterway])</f>
        <v>Avon</v>
      </c>
      <c r="K721" t="s">
        <v>288</v>
      </c>
      <c r="L721">
        <f>_xlfn.XLOOKUP(AllDataCorrected[[#This Row],[Site Name]],Tables!$B$12:$B$100, Tables!C$12:C$100)</f>
        <v>52.21226301333337</v>
      </c>
      <c r="M721">
        <f>_xlfn.XLOOKUP(AllDataCorrected[[#This Row],[Site Name]],Tables!$B$12:$B$100, Tables!D$12:D$100)</f>
        <v>-1.6595226800000011</v>
      </c>
      <c r="N721" t="s">
        <v>31</v>
      </c>
      <c r="O721">
        <v>689</v>
      </c>
      <c r="P721">
        <v>12</v>
      </c>
      <c r="Q721">
        <v>10</v>
      </c>
      <c r="R721" t="str">
        <f>IF(AllDataCorrected[[#This Row],[Nitrate (PPM)]]&gt;2, "4. Very high (&gt;2ppm)", IF(AllDataCorrected[[#This Row],[Nitrate (PPM)]]&gt;1, "3. High (1-2ppm)", IF(AllDataCorrected[[#This Row],[Nitrate (PPM)]]&gt;0.5, "2. Some evidence (0.5-1ppm)", IF(AllDataCorrected[[#This Row],[Nitrate (PPM)]]&gt;=0, "1. No evidence (&lt;0.5ppm)"))))</f>
        <v>4. Very high (&gt;2ppm)</v>
      </c>
      <c r="S721">
        <v>0.17</v>
      </c>
      <c r="T72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1">
        <v>0</v>
      </c>
    </row>
    <row r="722" spans="1:22" x14ac:dyDescent="0.35">
      <c r="A722" t="s">
        <v>1153</v>
      </c>
      <c r="B722" s="2">
        <v>45404</v>
      </c>
      <c r="C722" t="str" cm="1">
        <f t="array" ref="C7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2">
        <f>YEAR(AllDataCorrected[[#This Row],[Date]])</f>
        <v>2024</v>
      </c>
      <c r="E722" s="1">
        <v>0.62152777777777779</v>
      </c>
      <c r="F7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2" t="str">
        <f>_xlfn.XLOOKUP(AllDataCorrected[[#This Row],[Location Name]], Locations[Location Name],Locations[Group As])</f>
        <v>Swiffen Bank</v>
      </c>
      <c r="H722" t="e" vm="1">
        <f>_xlfn.XLOOKUP(AllDataCorrected[[#This Row],[Site Name]],LocationsKey[Site Name],LocationsKey[District])</f>
        <v>#VALUE!</v>
      </c>
      <c r="I722" t="e" vm="2">
        <f>_xlfn.XLOOKUP(AllDataCorrected[[#This Row],[Site Name]],LocationsKey[Site Name],LocationsKey[Town])</f>
        <v>#VALUE!</v>
      </c>
      <c r="J722" t="str">
        <f>_xlfn.XLOOKUP(AllDataCorrected[[#This Row],[Site Name]],LocationsKey[Site Name], LocationsKey[Waterway])</f>
        <v>Avon</v>
      </c>
      <c r="K722" t="s">
        <v>286</v>
      </c>
      <c r="L722">
        <f>_xlfn.XLOOKUP(AllDataCorrected[[#This Row],[Site Name]],Tables!$B$12:$B$100, Tables!C$12:C$100)</f>
        <v>52.206649805555557</v>
      </c>
      <c r="M722">
        <f>_xlfn.XLOOKUP(AllDataCorrected[[#This Row],[Site Name]],Tables!$B$12:$B$100, Tables!D$12:D$100)</f>
        <v>-1.6541018611111094</v>
      </c>
      <c r="N722" t="s">
        <v>31</v>
      </c>
      <c r="O722">
        <v>685</v>
      </c>
      <c r="P722">
        <v>12</v>
      </c>
      <c r="Q722">
        <v>10</v>
      </c>
      <c r="R722" t="str">
        <f>IF(AllDataCorrected[[#This Row],[Nitrate (PPM)]]&gt;2, "4. Very high (&gt;2ppm)", IF(AllDataCorrected[[#This Row],[Nitrate (PPM)]]&gt;1, "3. High (1-2ppm)", IF(AllDataCorrected[[#This Row],[Nitrate (PPM)]]&gt;0.5, "2. Some evidence (0.5-1ppm)", IF(AllDataCorrected[[#This Row],[Nitrate (PPM)]]&gt;=0, "1. No evidence (&lt;0.5ppm)"))))</f>
        <v>4. Very high (&gt;2ppm)</v>
      </c>
      <c r="S722">
        <v>0.35</v>
      </c>
      <c r="T7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2">
        <v>0</v>
      </c>
      <c r="V722" t="s">
        <v>1154</v>
      </c>
    </row>
    <row r="723" spans="1:22" x14ac:dyDescent="0.35">
      <c r="A723" t="s">
        <v>1155</v>
      </c>
      <c r="B723" s="2">
        <v>45405</v>
      </c>
      <c r="C723" t="str" cm="1">
        <f t="array" ref="C7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3">
        <f>YEAR(AllDataCorrected[[#This Row],[Date]])</f>
        <v>2024</v>
      </c>
      <c r="E723" s="1">
        <v>0.45694444444444443</v>
      </c>
      <c r="F7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3" t="str">
        <f>_xlfn.XLOOKUP(AllDataCorrected[[#This Row],[Location Name]], Locations[Location Name],Locations[Group As])</f>
        <v>Carrant M5 Bridge</v>
      </c>
      <c r="H723" t="e" vm="4">
        <f>_xlfn.XLOOKUP(AllDataCorrected[[#This Row],[Site Name]],LocationsKey[Site Name],LocationsKey[District])</f>
        <v>#VALUE!</v>
      </c>
      <c r="I723" t="e" vm="4">
        <f>_xlfn.XLOOKUP(AllDataCorrected[[#This Row],[Site Name]],LocationsKey[Site Name],LocationsKey[Town])</f>
        <v>#VALUE!</v>
      </c>
      <c r="J723" t="str">
        <f>_xlfn.XLOOKUP(AllDataCorrected[[#This Row],[Site Name]],LocationsKey[Site Name], LocationsKey[Waterway])</f>
        <v>Carrant</v>
      </c>
      <c r="K723" t="s">
        <v>1144</v>
      </c>
      <c r="L723">
        <f>_xlfn.XLOOKUP(AllDataCorrected[[#This Row],[Site Name]],Tables!$B$12:$B$100, Tables!C$12:C$100)</f>
        <v>52.012994652173923</v>
      </c>
      <c r="M723">
        <f>_xlfn.XLOOKUP(AllDataCorrected[[#This Row],[Site Name]],Tables!$B$12:$B$100, Tables!D$12:D$100)</f>
        <v>-2.1224405652173912</v>
      </c>
      <c r="N723" t="s">
        <v>25</v>
      </c>
      <c r="O723">
        <v>771</v>
      </c>
      <c r="P723">
        <v>11.1</v>
      </c>
      <c r="Q723">
        <v>5</v>
      </c>
      <c r="R723" t="str">
        <f>IF(AllDataCorrected[[#This Row],[Nitrate (PPM)]]&gt;2, "4. Very high (&gt;2ppm)", IF(AllDataCorrected[[#This Row],[Nitrate (PPM)]]&gt;1, "3. High (1-2ppm)", IF(AllDataCorrected[[#This Row],[Nitrate (PPM)]]&gt;0.5, "2. Some evidence (0.5-1ppm)", IF(AllDataCorrected[[#This Row],[Nitrate (PPM)]]&gt;=0, "1. No evidence (&lt;0.5ppm)"))))</f>
        <v>4. Very high (&gt;2ppm)</v>
      </c>
      <c r="S723">
        <v>0.4</v>
      </c>
      <c r="T7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3">
        <v>0</v>
      </c>
    </row>
    <row r="724" spans="1:22" x14ac:dyDescent="0.35">
      <c r="A724" t="s">
        <v>1156</v>
      </c>
      <c r="B724" s="2">
        <v>45405</v>
      </c>
      <c r="C724" t="str" cm="1">
        <f t="array" ref="C7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4">
        <f>YEAR(AllDataCorrected[[#This Row],[Date]])</f>
        <v>2024</v>
      </c>
      <c r="E724" s="1">
        <v>0.61527777777777781</v>
      </c>
      <c r="F7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4" t="str">
        <f>_xlfn.XLOOKUP(AllDataCorrected[[#This Row],[Location Name]], Locations[Location Name],Locations[Group As])</f>
        <v>Abbey Mill</v>
      </c>
      <c r="H724" t="e" vm="4">
        <f>_xlfn.XLOOKUP(AllDataCorrected[[#This Row],[Site Name]],LocationsKey[Site Name],LocationsKey[District])</f>
        <v>#VALUE!</v>
      </c>
      <c r="I724" t="e" vm="4">
        <f>_xlfn.XLOOKUP(AllDataCorrected[[#This Row],[Site Name]],LocationsKey[Site Name],LocationsKey[Town])</f>
        <v>#VALUE!</v>
      </c>
      <c r="J724" t="str">
        <f>_xlfn.XLOOKUP(AllDataCorrected[[#This Row],[Site Name]],LocationsKey[Site Name], LocationsKey[Waterway])</f>
        <v>Avon</v>
      </c>
      <c r="K724" t="s">
        <v>27</v>
      </c>
      <c r="L724">
        <f>_xlfn.XLOOKUP(AllDataCorrected[[#This Row],[Site Name]],Tables!$B$12:$B$100, Tables!C$12:C$100)</f>
        <v>51.991313075757589</v>
      </c>
      <c r="M724">
        <f>_xlfn.XLOOKUP(AllDataCorrected[[#This Row],[Site Name]],Tables!$B$12:$B$100, Tables!D$12:D$100)</f>
        <v>-2.1621998181818181</v>
      </c>
      <c r="N724" t="s">
        <v>25</v>
      </c>
      <c r="O724">
        <v>882</v>
      </c>
      <c r="P724">
        <v>13.7</v>
      </c>
      <c r="Q724">
        <v>7</v>
      </c>
      <c r="R724" t="str">
        <f>IF(AllDataCorrected[[#This Row],[Nitrate (PPM)]]&gt;2, "4. Very high (&gt;2ppm)", IF(AllDataCorrected[[#This Row],[Nitrate (PPM)]]&gt;1, "3. High (1-2ppm)", IF(AllDataCorrected[[#This Row],[Nitrate (PPM)]]&gt;0.5, "2. Some evidence (0.5-1ppm)", IF(AllDataCorrected[[#This Row],[Nitrate (PPM)]]&gt;=0, "1. No evidence (&lt;0.5ppm)"))))</f>
        <v>4. Very high (&gt;2ppm)</v>
      </c>
      <c r="S724">
        <v>0.6</v>
      </c>
      <c r="T7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4">
        <v>0.6</v>
      </c>
      <c r="V724" t="s">
        <v>1157</v>
      </c>
    </row>
    <row r="725" spans="1:22" x14ac:dyDescent="0.35">
      <c r="A725" t="s">
        <v>1158</v>
      </c>
      <c r="B725" s="2">
        <v>45406</v>
      </c>
      <c r="C725" t="str" cm="1">
        <f t="array" ref="C7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5">
        <f>YEAR(AllDataCorrected[[#This Row],[Date]])</f>
        <v>2024</v>
      </c>
      <c r="E725" s="1">
        <v>0.625</v>
      </c>
      <c r="F7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5" t="str">
        <f>_xlfn.XLOOKUP(AllDataCorrected[[#This Row],[Location Name]], Locations[Location Name],Locations[Group As])</f>
        <v>Stour Newbold Mill</v>
      </c>
      <c r="H725" t="e" vm="1">
        <f>_xlfn.XLOOKUP(AllDataCorrected[[#This Row],[Site Name]],LocationsKey[Site Name],LocationsKey[District])</f>
        <v>#VALUE!</v>
      </c>
      <c r="I725" t="e" vm="27">
        <f>_xlfn.XLOOKUP(AllDataCorrected[[#This Row],[Site Name]],LocationsKey[Site Name],LocationsKey[Town])</f>
        <v>#VALUE!</v>
      </c>
      <c r="J725" t="str">
        <f>_xlfn.XLOOKUP(AllDataCorrected[[#This Row],[Site Name]],LocationsKey[Site Name], LocationsKey[Waterway])</f>
        <v>Stour</v>
      </c>
      <c r="K725" t="s">
        <v>141</v>
      </c>
      <c r="L725">
        <f>_xlfn.XLOOKUP(AllDataCorrected[[#This Row],[Site Name]],Tables!$B$12:$B$100, Tables!C$12:C$100)</f>
        <v>52.113052370370369</v>
      </c>
      <c r="M725">
        <f>_xlfn.XLOOKUP(AllDataCorrected[[#This Row],[Site Name]],Tables!$B$12:$B$100, Tables!D$12:D$100)</f>
        <v>-1.6333685185185181</v>
      </c>
      <c r="N725" t="s">
        <v>31</v>
      </c>
      <c r="O725">
        <v>592</v>
      </c>
      <c r="P725">
        <v>13.9</v>
      </c>
      <c r="Q725">
        <v>2</v>
      </c>
      <c r="R725" t="str">
        <f>IF(AllDataCorrected[[#This Row],[Nitrate (PPM)]]&gt;2, "4. Very high (&gt;2ppm)", IF(AllDataCorrected[[#This Row],[Nitrate (PPM)]]&gt;1, "3. High (1-2ppm)", IF(AllDataCorrected[[#This Row],[Nitrate (PPM)]]&gt;0.5, "2. Some evidence (0.5-1ppm)", IF(AllDataCorrected[[#This Row],[Nitrate (PPM)]]&gt;=0, "1. No evidence (&lt;0.5ppm)"))))</f>
        <v>3. High (1-2ppm)</v>
      </c>
      <c r="S725">
        <v>0.28999999999999998</v>
      </c>
      <c r="T7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5">
        <v>2.5</v>
      </c>
      <c r="V725" t="s">
        <v>533</v>
      </c>
    </row>
    <row r="726" spans="1:22" x14ac:dyDescent="0.35">
      <c r="A726" t="s">
        <v>1159</v>
      </c>
      <c r="B726" s="2">
        <v>45407</v>
      </c>
      <c r="C726" t="str" cm="1">
        <f t="array" ref="C7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6">
        <f>YEAR(AllDataCorrected[[#This Row],[Date]])</f>
        <v>2024</v>
      </c>
      <c r="E726" s="1">
        <v>0.4375</v>
      </c>
      <c r="F7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6" t="str">
        <f>_xlfn.XLOOKUP(AllDataCorrected[[#This Row],[Location Name]], Locations[Location Name],Locations[Group As])</f>
        <v>Stour Willington</v>
      </c>
      <c r="H726" t="e" vm="1">
        <f>_xlfn.XLOOKUP(AllDataCorrected[[#This Row],[Site Name]],LocationsKey[Site Name],LocationsKey[District])</f>
        <v>#VALUE!</v>
      </c>
      <c r="I726" t="str">
        <f>_xlfn.XLOOKUP(AllDataCorrected[[#This Row],[Site Name]],LocationsKey[Site Name],LocationsKey[Town])</f>
        <v>Willington</v>
      </c>
      <c r="J726" t="str">
        <f>_xlfn.XLOOKUP(AllDataCorrected[[#This Row],[Site Name]],LocationsKey[Site Name], LocationsKey[Waterway])</f>
        <v>Stour</v>
      </c>
      <c r="K726" t="s">
        <v>521</v>
      </c>
      <c r="L726">
        <f>_xlfn.XLOOKUP(AllDataCorrected[[#This Row],[Site Name]],Tables!$B$12:$B$100, Tables!C$12:C$100)</f>
        <v>52.053227523809518</v>
      </c>
      <c r="M726">
        <f>_xlfn.XLOOKUP(AllDataCorrected[[#This Row],[Site Name]],Tables!$B$12:$B$100, Tables!D$12:D$100)</f>
        <v>-1.6194739523809523</v>
      </c>
      <c r="N726" t="s">
        <v>25</v>
      </c>
      <c r="O726">
        <v>611</v>
      </c>
      <c r="P726">
        <v>10.1</v>
      </c>
      <c r="Q726">
        <v>5</v>
      </c>
      <c r="R726" t="str">
        <f>IF(AllDataCorrected[[#This Row],[Nitrate (PPM)]]&gt;2, "4. Very high (&gt;2ppm)", IF(AllDataCorrected[[#This Row],[Nitrate (PPM)]]&gt;1, "3. High (1-2ppm)", IF(AllDataCorrected[[#This Row],[Nitrate (PPM)]]&gt;0.5, "2. Some evidence (0.5-1ppm)", IF(AllDataCorrected[[#This Row],[Nitrate (PPM)]]&gt;=0, "1. No evidence (&lt;0.5ppm)"))))</f>
        <v>4. Very high (&gt;2ppm)</v>
      </c>
      <c r="S726">
        <v>0.13</v>
      </c>
      <c r="T7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6">
        <v>0.5</v>
      </c>
    </row>
    <row r="727" spans="1:22" x14ac:dyDescent="0.35">
      <c r="A727" t="s">
        <v>1160</v>
      </c>
      <c r="B727" s="2">
        <v>45407</v>
      </c>
      <c r="C727" t="str" cm="1">
        <f t="array" ref="C7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7">
        <f>YEAR(AllDataCorrected[[#This Row],[Date]])</f>
        <v>2024</v>
      </c>
      <c r="E727" s="1">
        <v>0.52083333333333337</v>
      </c>
      <c r="F7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7" t="str">
        <f>_xlfn.XLOOKUP(AllDataCorrected[[#This Row],[Location Name]], Locations[Location Name],Locations[Group As])</f>
        <v>Swilgate</v>
      </c>
      <c r="H727" t="e" vm="4">
        <f>_xlfn.XLOOKUP(AllDataCorrected[[#This Row],[Site Name]],LocationsKey[Site Name],LocationsKey[District])</f>
        <v>#VALUE!</v>
      </c>
      <c r="I727" t="e" vm="4">
        <f>_xlfn.XLOOKUP(AllDataCorrected[[#This Row],[Site Name]],LocationsKey[Site Name],LocationsKey[Town])</f>
        <v>#VALUE!</v>
      </c>
      <c r="J727" t="str">
        <f>_xlfn.XLOOKUP(AllDataCorrected[[#This Row],[Site Name]],LocationsKey[Site Name], LocationsKey[Waterway])</f>
        <v>Swilgate</v>
      </c>
      <c r="K727" t="s">
        <v>85</v>
      </c>
      <c r="L727">
        <f>_xlfn.XLOOKUP(AllDataCorrected[[#This Row],[Site Name]],Tables!$B$12:$B$100, Tables!C$12:C$100)</f>
        <v>51.988591500000005</v>
      </c>
      <c r="M727">
        <f>_xlfn.XLOOKUP(AllDataCorrected[[#This Row],[Site Name]],Tables!$B$12:$B$100, Tables!D$12:D$100)</f>
        <v>-2.163898333333333</v>
      </c>
      <c r="N727" t="s">
        <v>25</v>
      </c>
      <c r="O727">
        <v>954</v>
      </c>
      <c r="P727">
        <v>10.6</v>
      </c>
      <c r="Q727">
        <v>5</v>
      </c>
      <c r="R727" t="str">
        <f>IF(AllDataCorrected[[#This Row],[Nitrate (PPM)]]&gt;2, "4. Very high (&gt;2ppm)", IF(AllDataCorrected[[#This Row],[Nitrate (PPM)]]&gt;1, "3. High (1-2ppm)", IF(AllDataCorrected[[#This Row],[Nitrate (PPM)]]&gt;0.5, "2. Some evidence (0.5-1ppm)", IF(AllDataCorrected[[#This Row],[Nitrate (PPM)]]&gt;=0, "1. No evidence (&lt;0.5ppm)"))))</f>
        <v>4. Very high (&gt;2ppm)</v>
      </c>
      <c r="S727">
        <v>0.38</v>
      </c>
      <c r="T7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7">
        <v>0</v>
      </c>
    </row>
    <row r="728" spans="1:22" x14ac:dyDescent="0.35">
      <c r="A728" t="s">
        <v>1161</v>
      </c>
      <c r="B728" s="2">
        <v>45408</v>
      </c>
      <c r="C728" t="str" cm="1">
        <f t="array" ref="C7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8">
        <f>YEAR(AllDataCorrected[[#This Row],[Date]])</f>
        <v>2024</v>
      </c>
      <c r="E728" s="1">
        <v>0.47361111111111109</v>
      </c>
      <c r="F7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28" t="str">
        <f>_xlfn.XLOOKUP(AllDataCorrected[[#This Row],[Location Name]], Locations[Location Name],Locations[Group As])</f>
        <v>Preston-on-Stour River Bridge</v>
      </c>
      <c r="H728" t="e" vm="1">
        <f>_xlfn.XLOOKUP(AllDataCorrected[[#This Row],[Site Name]],LocationsKey[Site Name],LocationsKey[District])</f>
        <v>#VALUE!</v>
      </c>
      <c r="I728" t="e" vm="20">
        <f>_xlfn.XLOOKUP(AllDataCorrected[[#This Row],[Site Name]],LocationsKey[Site Name],LocationsKey[Town])</f>
        <v>#VALUE!</v>
      </c>
      <c r="J728" t="str">
        <f>_xlfn.XLOOKUP(AllDataCorrected[[#This Row],[Site Name]],LocationsKey[Site Name], LocationsKey[Waterway])</f>
        <v>Stour</v>
      </c>
      <c r="K728" t="s">
        <v>164</v>
      </c>
      <c r="L728">
        <f>_xlfn.XLOOKUP(AllDataCorrected[[#This Row],[Site Name]],Tables!$B$12:$B$100, Tables!C$12:C$100)</f>
        <v>52.146672352941174</v>
      </c>
      <c r="M728">
        <f>_xlfn.XLOOKUP(AllDataCorrected[[#This Row],[Site Name]],Tables!$B$12:$B$100, Tables!D$12:D$100)</f>
        <v>-1.6984533333333334</v>
      </c>
      <c r="N728" t="s">
        <v>31</v>
      </c>
      <c r="O728">
        <v>653</v>
      </c>
      <c r="P728">
        <v>10.9</v>
      </c>
      <c r="Q728">
        <v>7</v>
      </c>
      <c r="R728" t="str">
        <f>IF(AllDataCorrected[[#This Row],[Nitrate (PPM)]]&gt;2, "4. Very high (&gt;2ppm)", IF(AllDataCorrected[[#This Row],[Nitrate (PPM)]]&gt;1, "3. High (1-2ppm)", IF(AllDataCorrected[[#This Row],[Nitrate (PPM)]]&gt;0.5, "2. Some evidence (0.5-1ppm)", IF(AllDataCorrected[[#This Row],[Nitrate (PPM)]]&gt;=0, "1. No evidence (&lt;0.5ppm)"))))</f>
        <v>4. Very high (&gt;2ppm)</v>
      </c>
      <c r="S728">
        <v>0.16</v>
      </c>
      <c r="T7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28">
        <v>1.5</v>
      </c>
    </row>
    <row r="729" spans="1:22" x14ac:dyDescent="0.35">
      <c r="A729" t="s">
        <v>1162</v>
      </c>
      <c r="B729" s="2">
        <v>45408</v>
      </c>
      <c r="C729" t="str" cm="1">
        <f t="array" ref="C7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29">
        <f>YEAR(AllDataCorrected[[#This Row],[Date]])</f>
        <v>2024</v>
      </c>
      <c r="E729" s="1">
        <v>0.63888888888888884</v>
      </c>
      <c r="F7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29" t="str">
        <f>_xlfn.XLOOKUP(AllDataCorrected[[#This Row],[Location Name]], Locations[Location Name],Locations[Group As])</f>
        <v>Lower Lode</v>
      </c>
      <c r="H729" t="e" vm="4">
        <f>_xlfn.XLOOKUP(AllDataCorrected[[#This Row],[Site Name]],LocationsKey[Site Name],LocationsKey[District])</f>
        <v>#VALUE!</v>
      </c>
      <c r="I729" t="e" vm="4">
        <f>_xlfn.XLOOKUP(AllDataCorrected[[#This Row],[Site Name]],LocationsKey[Site Name],LocationsKey[Town])</f>
        <v>#VALUE!</v>
      </c>
      <c r="J729" t="str">
        <f>_xlfn.XLOOKUP(AllDataCorrected[[#This Row],[Site Name]],LocationsKey[Site Name], LocationsKey[Waterway])</f>
        <v>Avon</v>
      </c>
      <c r="K729" t="s">
        <v>595</v>
      </c>
      <c r="L729">
        <f>_xlfn.XLOOKUP(AllDataCorrected[[#This Row],[Site Name]],Tables!$B$12:$B$100, Tables!C$12:C$100)</f>
        <v>51.984916745098026</v>
      </c>
      <c r="M729">
        <f>_xlfn.XLOOKUP(AllDataCorrected[[#This Row],[Site Name]],Tables!$B$12:$B$100, Tables!D$12:D$100)</f>
        <v>-2.1745787647058821</v>
      </c>
      <c r="N729" t="s">
        <v>31</v>
      </c>
      <c r="O729">
        <v>8560</v>
      </c>
      <c r="P729">
        <v>13.1</v>
      </c>
      <c r="Q729">
        <v>10</v>
      </c>
      <c r="R729" t="str">
        <f>IF(AllDataCorrected[[#This Row],[Nitrate (PPM)]]&gt;2, "4. Very high (&gt;2ppm)", IF(AllDataCorrected[[#This Row],[Nitrate (PPM)]]&gt;1, "3. High (1-2ppm)", IF(AllDataCorrected[[#This Row],[Nitrate (PPM)]]&gt;0.5, "2. Some evidence (0.5-1ppm)", IF(AllDataCorrected[[#This Row],[Nitrate (PPM)]]&gt;=0, "1. No evidence (&lt;0.5ppm)"))))</f>
        <v>4. Very high (&gt;2ppm)</v>
      </c>
      <c r="S729">
        <v>0.82</v>
      </c>
      <c r="T7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29">
        <v>2</v>
      </c>
    </row>
    <row r="730" spans="1:22" x14ac:dyDescent="0.35">
      <c r="A730" t="s">
        <v>1163</v>
      </c>
      <c r="B730" s="2">
        <v>45408</v>
      </c>
      <c r="C730" t="str" cm="1">
        <f t="array" ref="C7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0">
        <f>YEAR(AllDataCorrected[[#This Row],[Date]])</f>
        <v>2024</v>
      </c>
      <c r="E730" s="1">
        <v>0.74722222222222223</v>
      </c>
      <c r="F7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0" t="str">
        <f>_xlfn.XLOOKUP(AllDataCorrected[[#This Row],[Location Name]], Locations[Location Name],Locations[Group As])</f>
        <v>Carrant Mitton Path</v>
      </c>
      <c r="H730" t="e" vm="4">
        <f>_xlfn.XLOOKUP(AllDataCorrected[[#This Row],[Site Name]],LocationsKey[Site Name],LocationsKey[District])</f>
        <v>#VALUE!</v>
      </c>
      <c r="I730" t="e" vm="4">
        <f>_xlfn.XLOOKUP(AllDataCorrected[[#This Row],[Site Name]],LocationsKey[Site Name],LocationsKey[Town])</f>
        <v>#VALUE!</v>
      </c>
      <c r="J730" t="str">
        <f>_xlfn.XLOOKUP(AllDataCorrected[[#This Row],[Site Name]],LocationsKey[Site Name], LocationsKey[Waterway])</f>
        <v>Carrant</v>
      </c>
      <c r="K730" t="s">
        <v>1064</v>
      </c>
      <c r="L730">
        <f>_xlfn.XLOOKUP(AllDataCorrected[[#This Row],[Site Name]],Tables!$B$12:$B$100, Tables!C$12:C$100)</f>
        <v>52.048665</v>
      </c>
      <c r="M730">
        <f>_xlfn.XLOOKUP(AllDataCorrected[[#This Row],[Site Name]],Tables!$B$12:$B$100, Tables!D$12:D$100)</f>
        <v>-1.7862663333333331</v>
      </c>
      <c r="N730" t="s">
        <v>25</v>
      </c>
      <c r="O730">
        <v>675</v>
      </c>
      <c r="P730">
        <v>14</v>
      </c>
      <c r="Q730">
        <v>5</v>
      </c>
      <c r="R730" t="str">
        <f>IF(AllDataCorrected[[#This Row],[Nitrate (PPM)]]&gt;2, "4. Very high (&gt;2ppm)", IF(AllDataCorrected[[#This Row],[Nitrate (PPM)]]&gt;1, "3. High (1-2ppm)", IF(AllDataCorrected[[#This Row],[Nitrate (PPM)]]&gt;0.5, "2. Some evidence (0.5-1ppm)", IF(AllDataCorrected[[#This Row],[Nitrate (PPM)]]&gt;=0, "1. No evidence (&lt;0.5ppm)"))))</f>
        <v>4. Very high (&gt;2ppm)</v>
      </c>
      <c r="S730">
        <v>0.27</v>
      </c>
      <c r="T7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0">
        <v>0</v>
      </c>
    </row>
    <row r="731" spans="1:22" x14ac:dyDescent="0.35">
      <c r="A731" t="s">
        <v>1166</v>
      </c>
      <c r="B731" s="2">
        <v>45409</v>
      </c>
      <c r="C731" t="str" cm="1">
        <f t="array" ref="C7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1">
        <f>YEAR(AllDataCorrected[[#This Row],[Date]])</f>
        <v>2024</v>
      </c>
      <c r="E731" s="1">
        <v>0.36319444444444443</v>
      </c>
      <c r="F73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31" t="str">
        <f>_xlfn.XLOOKUP(AllDataCorrected[[#This Row],[Location Name]], Locations[Location Name],Locations[Group As])</f>
        <v>Stour Whichford</v>
      </c>
      <c r="H731" t="e" vm="1">
        <f>_xlfn.XLOOKUP(AllDataCorrected[[#This Row],[Site Name]],LocationsKey[Site Name],LocationsKey[District])</f>
        <v>#VALUE!</v>
      </c>
      <c r="I731" t="e" vm="24">
        <f>_xlfn.XLOOKUP(AllDataCorrected[[#This Row],[Site Name]],LocationsKey[Site Name],LocationsKey[Town])</f>
        <v>#VALUE!</v>
      </c>
      <c r="J731" t="str">
        <f>_xlfn.XLOOKUP(AllDataCorrected[[#This Row],[Site Name]],LocationsKey[Site Name], LocationsKey[Waterway])</f>
        <v>Stour</v>
      </c>
      <c r="K731" t="s">
        <v>980</v>
      </c>
      <c r="L731">
        <f>_xlfn.XLOOKUP(AllDataCorrected[[#This Row],[Site Name]],Tables!$B$12:$B$100, Tables!C$12:C$100)</f>
        <v>52.017437000000001</v>
      </c>
      <c r="M731">
        <f>_xlfn.XLOOKUP(AllDataCorrected[[#This Row],[Site Name]],Tables!$B$12:$B$100, Tables!D$12:D$100)</f>
        <v>-1.544745</v>
      </c>
      <c r="N731" t="s">
        <v>31</v>
      </c>
      <c r="O731">
        <v>6.2</v>
      </c>
      <c r="P731">
        <v>9.1999999999999993</v>
      </c>
      <c r="Q731">
        <v>4.5</v>
      </c>
      <c r="R731" t="str">
        <f>IF(AllDataCorrected[[#This Row],[Nitrate (PPM)]]&gt;2, "4. Very high (&gt;2ppm)", IF(AllDataCorrected[[#This Row],[Nitrate (PPM)]]&gt;1, "3. High (1-2ppm)", IF(AllDataCorrected[[#This Row],[Nitrate (PPM)]]&gt;0.5, "2. Some evidence (0.5-1ppm)", IF(AllDataCorrected[[#This Row],[Nitrate (PPM)]]&gt;=0, "1. No evidence (&lt;0.5ppm)"))))</f>
        <v>4. Very high (&gt;2ppm)</v>
      </c>
      <c r="S731">
        <v>0.33</v>
      </c>
      <c r="T7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1">
        <v>15</v>
      </c>
    </row>
    <row r="732" spans="1:22" x14ac:dyDescent="0.35">
      <c r="A732" t="s">
        <v>1167</v>
      </c>
      <c r="B732" s="2">
        <v>45409</v>
      </c>
      <c r="C732" t="str" cm="1">
        <f t="array" ref="C7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2">
        <f>YEAR(AllDataCorrected[[#This Row],[Date]])</f>
        <v>2024</v>
      </c>
      <c r="E732" s="1">
        <v>0.38194444444444442</v>
      </c>
      <c r="F7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32" t="str">
        <f>_xlfn.XLOOKUP(AllDataCorrected[[#This Row],[Location Name]], Locations[Location Name],Locations[Group As])</f>
        <v>Stour Ascott Village</v>
      </c>
      <c r="H732" t="e" vm="1">
        <f>_xlfn.XLOOKUP(AllDataCorrected[[#This Row],[Site Name]],LocationsKey[Site Name],LocationsKey[District])</f>
        <v>#VALUE!</v>
      </c>
      <c r="I732" t="e" vm="25">
        <f>_xlfn.XLOOKUP(AllDataCorrected[[#This Row],[Site Name]],LocationsKey[Site Name],LocationsKey[Town])</f>
        <v>#VALUE!</v>
      </c>
      <c r="J732" t="str">
        <f>_xlfn.XLOOKUP(AllDataCorrected[[#This Row],[Site Name]],LocationsKey[Site Name], LocationsKey[Waterway])</f>
        <v>Stour</v>
      </c>
      <c r="K732" t="s">
        <v>927</v>
      </c>
      <c r="L732">
        <f>_xlfn.XLOOKUP(AllDataCorrected[[#This Row],[Site Name]],Tables!$B$12:$B$100, Tables!C$12:C$100)</f>
        <v>52.013255999999998</v>
      </c>
      <c r="M732">
        <f>_xlfn.XLOOKUP(AllDataCorrected[[#This Row],[Site Name]],Tables!$B$12:$B$100, Tables!D$12:D$100)</f>
        <v>-1.5387710000000001</v>
      </c>
      <c r="N732" t="s">
        <v>68</v>
      </c>
      <c r="O732">
        <v>56.7</v>
      </c>
      <c r="P732">
        <v>9.1</v>
      </c>
      <c r="Q732">
        <v>1.05</v>
      </c>
      <c r="R732" t="str">
        <f>IF(AllDataCorrected[[#This Row],[Nitrate (PPM)]]&gt;2, "4. Very high (&gt;2ppm)", IF(AllDataCorrected[[#This Row],[Nitrate (PPM)]]&gt;1, "3. High (1-2ppm)", IF(AllDataCorrected[[#This Row],[Nitrate (PPM)]]&gt;0.5, "2. Some evidence (0.5-1ppm)", IF(AllDataCorrected[[#This Row],[Nitrate (PPM)]]&gt;=0, "1. No evidence (&lt;0.5ppm)"))))</f>
        <v>3. High (1-2ppm)</v>
      </c>
      <c r="S732">
        <v>0.15</v>
      </c>
      <c r="T7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2">
        <v>12</v>
      </c>
      <c r="V732" t="s">
        <v>1168</v>
      </c>
    </row>
    <row r="733" spans="1:22" x14ac:dyDescent="0.35">
      <c r="A733" t="s">
        <v>1169</v>
      </c>
      <c r="B733" s="2">
        <v>45409</v>
      </c>
      <c r="C733" t="str" cm="1">
        <f t="array" ref="C7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3">
        <f>YEAR(AllDataCorrected[[#This Row],[Date]])</f>
        <v>2024</v>
      </c>
      <c r="E733" s="1">
        <v>0.51041666666666663</v>
      </c>
      <c r="F7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3" t="str">
        <f>_xlfn.XLOOKUP(AllDataCorrected[[#This Row],[Location Name]], Locations[Location Name],Locations[Group As])</f>
        <v>Carrant Bredon Rd</v>
      </c>
      <c r="H733" t="e" vm="4">
        <f>_xlfn.XLOOKUP(AllDataCorrected[[#This Row],[Site Name]],LocationsKey[Site Name],LocationsKey[District])</f>
        <v>#VALUE!</v>
      </c>
      <c r="I733" t="e" vm="4">
        <f>_xlfn.XLOOKUP(AllDataCorrected[[#This Row],[Site Name]],LocationsKey[Site Name],LocationsKey[Town])</f>
        <v>#VALUE!</v>
      </c>
      <c r="J733" t="str">
        <f>_xlfn.XLOOKUP(AllDataCorrected[[#This Row],[Site Name]],LocationsKey[Site Name], LocationsKey[Waterway])</f>
        <v>Carrant</v>
      </c>
      <c r="K733" t="s">
        <v>603</v>
      </c>
      <c r="L733">
        <f>_xlfn.XLOOKUP(AllDataCorrected[[#This Row],[Site Name]],Tables!$B$12:$B$100, Tables!C$12:C$100)</f>
        <v>51.996322536231894</v>
      </c>
      <c r="M733">
        <f>_xlfn.XLOOKUP(AllDataCorrected[[#This Row],[Site Name]],Tables!$B$12:$B$100, Tables!D$12:D$100)</f>
        <v>-2.1558410144927538</v>
      </c>
      <c r="N733" t="s">
        <v>25</v>
      </c>
      <c r="O733">
        <v>738</v>
      </c>
      <c r="P733">
        <v>10.7</v>
      </c>
      <c r="Q733">
        <v>6</v>
      </c>
      <c r="R733" t="str">
        <f>IF(AllDataCorrected[[#This Row],[Nitrate (PPM)]]&gt;2, "4. Very high (&gt;2ppm)", IF(AllDataCorrected[[#This Row],[Nitrate (PPM)]]&gt;1, "3. High (1-2ppm)", IF(AllDataCorrected[[#This Row],[Nitrate (PPM)]]&gt;0.5, "2. Some evidence (0.5-1ppm)", IF(AllDataCorrected[[#This Row],[Nitrate (PPM)]]&gt;=0, "1. No evidence (&lt;0.5ppm)"))))</f>
        <v>4. Very high (&gt;2ppm)</v>
      </c>
      <c r="S733">
        <v>0.3</v>
      </c>
      <c r="T7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3">
        <v>0.06</v>
      </c>
    </row>
    <row r="734" spans="1:22" x14ac:dyDescent="0.35">
      <c r="A734" t="s">
        <v>1170</v>
      </c>
      <c r="B734" s="2">
        <v>45409</v>
      </c>
      <c r="C734" t="str" cm="1">
        <f t="array" ref="C7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4">
        <f>YEAR(AllDataCorrected[[#This Row],[Date]])</f>
        <v>2024</v>
      </c>
      <c r="E734" s="1">
        <v>0.61458333333333337</v>
      </c>
      <c r="F73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4" t="str">
        <f>_xlfn.XLOOKUP(AllDataCorrected[[#This Row],[Location Name]], Locations[Location Name],Locations[Group As])</f>
        <v>Avon Smiths Meadow Wyre Piddle</v>
      </c>
      <c r="H734" t="e" vm="6">
        <f>_xlfn.XLOOKUP(AllDataCorrected[[#This Row],[Site Name]],LocationsKey[Site Name],LocationsKey[District])</f>
        <v>#VALUE!</v>
      </c>
      <c r="I734" t="e" vm="13">
        <f>_xlfn.XLOOKUP(AllDataCorrected[[#This Row],[Site Name]],LocationsKey[Site Name],LocationsKey[Town])</f>
        <v>#VALUE!</v>
      </c>
      <c r="J734" t="str">
        <f>_xlfn.XLOOKUP(AllDataCorrected[[#This Row],[Site Name]],LocationsKey[Site Name], LocationsKey[Waterway])</f>
        <v>Avon</v>
      </c>
      <c r="K734" t="s">
        <v>784</v>
      </c>
      <c r="L734">
        <f>_xlfn.XLOOKUP(AllDataCorrected[[#This Row],[Site Name]],Tables!$B$12:$B$100, Tables!C$12:C$100)</f>
        <v>52.123126101694929</v>
      </c>
      <c r="M734">
        <f>_xlfn.XLOOKUP(AllDataCorrected[[#This Row],[Site Name]],Tables!$B$12:$B$100, Tables!D$12:D$100)</f>
        <v>-2.0572511355932215</v>
      </c>
      <c r="N734" t="s">
        <v>25</v>
      </c>
      <c r="O734">
        <v>892</v>
      </c>
      <c r="P734">
        <v>11.7</v>
      </c>
      <c r="Q734">
        <v>6</v>
      </c>
      <c r="R734" t="str">
        <f>IF(AllDataCorrected[[#This Row],[Nitrate (PPM)]]&gt;2, "4. Very high (&gt;2ppm)", IF(AllDataCorrected[[#This Row],[Nitrate (PPM)]]&gt;1, "3. High (1-2ppm)", IF(AllDataCorrected[[#This Row],[Nitrate (PPM)]]&gt;0.5, "2. Some evidence (0.5-1ppm)", IF(AllDataCorrected[[#This Row],[Nitrate (PPM)]]&gt;=0, "1. No evidence (&lt;0.5ppm)"))))</f>
        <v>4. Very high (&gt;2ppm)</v>
      </c>
      <c r="S734">
        <v>0.37</v>
      </c>
      <c r="T7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4">
        <v>0.65</v>
      </c>
      <c r="V734" t="s">
        <v>1171</v>
      </c>
    </row>
    <row r="735" spans="1:22" x14ac:dyDescent="0.35">
      <c r="A735" t="s">
        <v>1172</v>
      </c>
      <c r="B735" s="2">
        <v>45409</v>
      </c>
      <c r="C735" t="str" cm="1">
        <f t="array" ref="C7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5">
        <f>YEAR(AllDataCorrected[[#This Row],[Date]])</f>
        <v>2024</v>
      </c>
      <c r="E735" s="1">
        <v>0.64583333333333337</v>
      </c>
      <c r="F7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5" t="str">
        <f>_xlfn.XLOOKUP(AllDataCorrected[[#This Row],[Location Name]], Locations[Location Name],Locations[Group As])</f>
        <v>Piddle Brook Wyre Piddle Bridge</v>
      </c>
      <c r="H735" t="e" vm="6">
        <f>_xlfn.XLOOKUP(AllDataCorrected[[#This Row],[Site Name]],LocationsKey[Site Name],LocationsKey[District])</f>
        <v>#VALUE!</v>
      </c>
      <c r="I735" t="e" vm="13">
        <f>_xlfn.XLOOKUP(AllDataCorrected[[#This Row],[Site Name]],LocationsKey[Site Name],LocationsKey[Town])</f>
        <v>#VALUE!</v>
      </c>
      <c r="J735" t="str">
        <f>_xlfn.XLOOKUP(AllDataCorrected[[#This Row],[Site Name]],LocationsKey[Site Name], LocationsKey[Waterway])</f>
        <v>Piddle Brook</v>
      </c>
      <c r="K735" t="s">
        <v>787</v>
      </c>
      <c r="L735">
        <f>_xlfn.XLOOKUP(AllDataCorrected[[#This Row],[Site Name]],Tables!$B$12:$B$100, Tables!C$12:C$100)</f>
        <v>52.126394500000039</v>
      </c>
      <c r="M735">
        <f>_xlfn.XLOOKUP(AllDataCorrected[[#This Row],[Site Name]],Tables!$B$12:$B$100, Tables!D$12:D$100)</f>
        <v>-2.0564211206896545</v>
      </c>
      <c r="N735" t="s">
        <v>25</v>
      </c>
      <c r="O735">
        <v>1420</v>
      </c>
      <c r="P735">
        <v>9</v>
      </c>
      <c r="Q735">
        <v>10</v>
      </c>
      <c r="R735" t="str">
        <f>IF(AllDataCorrected[[#This Row],[Nitrate (PPM)]]&gt;2, "4. Very high (&gt;2ppm)", IF(AllDataCorrected[[#This Row],[Nitrate (PPM)]]&gt;1, "3. High (1-2ppm)", IF(AllDataCorrected[[#This Row],[Nitrate (PPM)]]&gt;0.5, "2. Some evidence (0.5-1ppm)", IF(AllDataCorrected[[#This Row],[Nitrate (PPM)]]&gt;=0, "1. No evidence (&lt;0.5ppm)"))))</f>
        <v>4. Very high (&gt;2ppm)</v>
      </c>
      <c r="S735">
        <v>0.51</v>
      </c>
      <c r="T7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5">
        <v>0.22</v>
      </c>
      <c r="V735" t="s">
        <v>1173</v>
      </c>
    </row>
    <row r="736" spans="1:22" x14ac:dyDescent="0.35">
      <c r="A736" t="s">
        <v>1174</v>
      </c>
      <c r="B736" s="2">
        <v>45409</v>
      </c>
      <c r="C736" t="str" cm="1">
        <f t="array" ref="C7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6">
        <f>YEAR(AllDataCorrected[[#This Row],[Date]])</f>
        <v>2024</v>
      </c>
      <c r="E736" s="1">
        <v>0.68055555555555558</v>
      </c>
      <c r="F7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36" t="str">
        <f>_xlfn.XLOOKUP(AllDataCorrected[[#This Row],[Location Name]], Locations[Location Name],Locations[Group As])</f>
        <v>Black Bear</v>
      </c>
      <c r="H736" t="e" vm="4">
        <f>_xlfn.XLOOKUP(AllDataCorrected[[#This Row],[Site Name]],LocationsKey[Site Name],LocationsKey[District])</f>
        <v>#VALUE!</v>
      </c>
      <c r="I736" t="e" vm="4">
        <f>_xlfn.XLOOKUP(AllDataCorrected[[#This Row],[Site Name]],LocationsKey[Site Name],LocationsKey[Town])</f>
        <v>#VALUE!</v>
      </c>
      <c r="J736" t="str">
        <f>_xlfn.XLOOKUP(AllDataCorrected[[#This Row],[Site Name]],LocationsKey[Site Name], LocationsKey[Waterway])</f>
        <v>Avon</v>
      </c>
      <c r="K736" t="s">
        <v>1175</v>
      </c>
      <c r="L736">
        <f>_xlfn.XLOOKUP(AllDataCorrected[[#This Row],[Site Name]],Tables!$B$12:$B$100, Tables!C$12:C$100)</f>
        <v>51.997466254237274</v>
      </c>
      <c r="M736">
        <f>_xlfn.XLOOKUP(AllDataCorrected[[#This Row],[Site Name]],Tables!$B$12:$B$100, Tables!D$12:D$100)</f>
        <v>-2.1561788644067801</v>
      </c>
      <c r="N736" t="s">
        <v>25</v>
      </c>
      <c r="O736">
        <v>891</v>
      </c>
      <c r="P736">
        <v>22.6</v>
      </c>
      <c r="Q736">
        <v>5</v>
      </c>
      <c r="R736" t="str">
        <f>IF(AllDataCorrected[[#This Row],[Nitrate (PPM)]]&gt;2, "4. Very high (&gt;2ppm)", IF(AllDataCorrected[[#This Row],[Nitrate (PPM)]]&gt;1, "3. High (1-2ppm)", IF(AllDataCorrected[[#This Row],[Nitrate (PPM)]]&gt;0.5, "2. Some evidence (0.5-1ppm)", IF(AllDataCorrected[[#This Row],[Nitrate (PPM)]]&gt;=0, "1. No evidence (&lt;0.5ppm)"))))</f>
        <v>4. Very high (&gt;2ppm)</v>
      </c>
      <c r="S736">
        <v>0.59</v>
      </c>
      <c r="T7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36">
        <v>0</v>
      </c>
    </row>
    <row r="737" spans="1:22" x14ac:dyDescent="0.35">
      <c r="A737" t="s">
        <v>1176</v>
      </c>
      <c r="B737" s="2">
        <v>45409</v>
      </c>
      <c r="C737" t="str" cm="1">
        <f t="array" ref="C7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7">
        <f>YEAR(AllDataCorrected[[#This Row],[Date]])</f>
        <v>2024</v>
      </c>
      <c r="F73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7" t="str">
        <f>_xlfn.XLOOKUP(AllDataCorrected[[#This Row],[Location Name]], Locations[Location Name],Locations[Group As])</f>
        <v>Site 1  :  Middle Street</v>
      </c>
      <c r="H737" t="e" vm="1">
        <f>_xlfn.XLOOKUP(AllDataCorrected[[#This Row],[Site Name]],LocationsKey[Site Name],LocationsKey[District])</f>
        <v>#VALUE!</v>
      </c>
      <c r="I737" t="e" vm="14">
        <f>_xlfn.XLOOKUP(AllDataCorrected[[#This Row],[Site Name]],LocationsKey[Site Name],LocationsKey[Town])</f>
        <v>#VALUE!</v>
      </c>
      <c r="J737" t="str">
        <f>_xlfn.XLOOKUP(AllDataCorrected[[#This Row],[Site Name]],LocationsKey[Site Name], LocationsKey[Waterway])</f>
        <v>Fosseway Brook</v>
      </c>
      <c r="K737" t="s">
        <v>667</v>
      </c>
      <c r="L737">
        <f>_xlfn.XLOOKUP(AllDataCorrected[[#This Row],[Site Name]],Tables!$B$12:$B$100, Tables!C$12:C$100)</f>
        <v>52.090081855670022</v>
      </c>
      <c r="M737">
        <f>_xlfn.XLOOKUP(AllDataCorrected[[#This Row],[Site Name]],Tables!$B$12:$B$100, Tables!D$12:D$100)</f>
        <v>-1.6925771134020597</v>
      </c>
      <c r="N737" t="s">
        <v>68</v>
      </c>
      <c r="O737">
        <v>571</v>
      </c>
      <c r="P737">
        <v>11.6</v>
      </c>
      <c r="Q737">
        <v>5</v>
      </c>
      <c r="R737" t="str">
        <f>IF(AllDataCorrected[[#This Row],[Nitrate (PPM)]]&gt;2, "4. Very high (&gt;2ppm)", IF(AllDataCorrected[[#This Row],[Nitrate (PPM)]]&gt;1, "3. High (1-2ppm)", IF(AllDataCorrected[[#This Row],[Nitrate (PPM)]]&gt;0.5, "2. Some evidence (0.5-1ppm)", IF(AllDataCorrected[[#This Row],[Nitrate (PPM)]]&gt;=0, "1. No evidence (&lt;0.5ppm)"))))</f>
        <v>4. Very high (&gt;2ppm)</v>
      </c>
      <c r="S737">
        <v>0.15</v>
      </c>
      <c r="T7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7">
        <v>0</v>
      </c>
      <c r="V737" t="s">
        <v>835</v>
      </c>
    </row>
    <row r="738" spans="1:22" x14ac:dyDescent="0.35">
      <c r="A738" t="s">
        <v>1177</v>
      </c>
      <c r="B738" s="2">
        <v>45409</v>
      </c>
      <c r="C738" t="str" cm="1">
        <f t="array" ref="C7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8">
        <f>YEAR(AllDataCorrected[[#This Row],[Date]])</f>
        <v>2024</v>
      </c>
      <c r="F73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8" t="str">
        <f>_xlfn.XLOOKUP(AllDataCorrected[[#This Row],[Location Name]], Locations[Location Name],Locations[Group As])</f>
        <v>Site 1  :  Middle Street</v>
      </c>
      <c r="H738" t="e" vm="1">
        <f>_xlfn.XLOOKUP(AllDataCorrected[[#This Row],[Site Name]],LocationsKey[Site Name],LocationsKey[District])</f>
        <v>#VALUE!</v>
      </c>
      <c r="I738" t="e" vm="14">
        <f>_xlfn.XLOOKUP(AllDataCorrected[[#This Row],[Site Name]],LocationsKey[Site Name],LocationsKey[Town])</f>
        <v>#VALUE!</v>
      </c>
      <c r="J738" t="str">
        <f>_xlfn.XLOOKUP(AllDataCorrected[[#This Row],[Site Name]],LocationsKey[Site Name], LocationsKey[Waterway])</f>
        <v>Fosseway Brook</v>
      </c>
      <c r="K738" t="s">
        <v>670</v>
      </c>
      <c r="L738">
        <f>_xlfn.XLOOKUP(AllDataCorrected[[#This Row],[Site Name]],Tables!$B$12:$B$100, Tables!C$12:C$100)</f>
        <v>52.090081855670022</v>
      </c>
      <c r="M738">
        <f>_xlfn.XLOOKUP(AllDataCorrected[[#This Row],[Site Name]],Tables!$B$12:$B$100, Tables!D$12:D$100)</f>
        <v>-1.6925771134020597</v>
      </c>
      <c r="N738" t="s">
        <v>68</v>
      </c>
      <c r="O738">
        <v>571</v>
      </c>
      <c r="P738">
        <v>11.6</v>
      </c>
      <c r="Q738">
        <v>5</v>
      </c>
      <c r="R738" t="str">
        <f>IF(AllDataCorrected[[#This Row],[Nitrate (PPM)]]&gt;2, "4. Very high (&gt;2ppm)", IF(AllDataCorrected[[#This Row],[Nitrate (PPM)]]&gt;1, "3. High (1-2ppm)", IF(AllDataCorrected[[#This Row],[Nitrate (PPM)]]&gt;0.5, "2. Some evidence (0.5-1ppm)", IF(AllDataCorrected[[#This Row],[Nitrate (PPM)]]&gt;=0, "1. No evidence (&lt;0.5ppm)"))))</f>
        <v>4. Very high (&gt;2ppm)</v>
      </c>
      <c r="S738">
        <v>0.15</v>
      </c>
      <c r="T7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39" spans="1:22" x14ac:dyDescent="0.35">
      <c r="A739" t="s">
        <v>1178</v>
      </c>
      <c r="B739" s="2">
        <v>45409</v>
      </c>
      <c r="C739" t="str" cm="1">
        <f t="array" ref="C7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39">
        <f>YEAR(AllDataCorrected[[#This Row],[Date]])</f>
        <v>2024</v>
      </c>
      <c r="F7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39" t="str">
        <f>_xlfn.XLOOKUP(AllDataCorrected[[#This Row],[Location Name]], Locations[Location Name],Locations[Group As])</f>
        <v>Site 2  :  Cross Leys culvert</v>
      </c>
      <c r="H739" t="e" vm="1">
        <f>_xlfn.XLOOKUP(AllDataCorrected[[#This Row],[Site Name]],LocationsKey[Site Name],LocationsKey[District])</f>
        <v>#VALUE!</v>
      </c>
      <c r="I739" t="e" vm="14">
        <f>_xlfn.XLOOKUP(AllDataCorrected[[#This Row],[Site Name]],LocationsKey[Site Name],LocationsKey[Town])</f>
        <v>#VALUE!</v>
      </c>
      <c r="J739" t="str">
        <f>_xlfn.XLOOKUP(AllDataCorrected[[#This Row],[Site Name]],LocationsKey[Site Name], LocationsKey[Waterway])</f>
        <v>Fosseway Brook</v>
      </c>
      <c r="K739" t="s">
        <v>623</v>
      </c>
      <c r="L739">
        <f>_xlfn.XLOOKUP(AllDataCorrected[[#This Row],[Site Name]],Tables!$B$12:$B$100, Tables!C$12:C$100)</f>
        <v>52.092997354838673</v>
      </c>
      <c r="M739">
        <f>_xlfn.XLOOKUP(AllDataCorrected[[#This Row],[Site Name]],Tables!$B$12:$B$100, Tables!D$12:D$100)</f>
        <v>-1.6862254516129045</v>
      </c>
      <c r="N739" t="s">
        <v>68</v>
      </c>
      <c r="O739">
        <v>638</v>
      </c>
      <c r="P739">
        <v>12.4</v>
      </c>
      <c r="Q739">
        <v>2</v>
      </c>
      <c r="R739" t="str">
        <f>IF(AllDataCorrected[[#This Row],[Nitrate (PPM)]]&gt;2, "4. Very high (&gt;2ppm)", IF(AllDataCorrected[[#This Row],[Nitrate (PPM)]]&gt;1, "3. High (1-2ppm)", IF(AllDataCorrected[[#This Row],[Nitrate (PPM)]]&gt;0.5, "2. Some evidence (0.5-1ppm)", IF(AllDataCorrected[[#This Row],[Nitrate (PPM)]]&gt;=0, "1. No evidence (&lt;0.5ppm)"))))</f>
        <v>3. High (1-2ppm)</v>
      </c>
      <c r="S739">
        <v>0.17</v>
      </c>
      <c r="T7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39">
        <v>0</v>
      </c>
      <c r="V739" t="s">
        <v>835</v>
      </c>
    </row>
    <row r="740" spans="1:22" x14ac:dyDescent="0.35">
      <c r="A740" t="s">
        <v>1179</v>
      </c>
      <c r="B740" s="2">
        <v>45409</v>
      </c>
      <c r="C740" t="str" cm="1">
        <f t="array" ref="C7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0">
        <f>YEAR(AllDataCorrected[[#This Row],[Date]])</f>
        <v>2024</v>
      </c>
      <c r="F7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0" t="str">
        <f>_xlfn.XLOOKUP(AllDataCorrected[[#This Row],[Location Name]], Locations[Location Name],Locations[Group As])</f>
        <v>Site 2  :  Cross Leys culvert</v>
      </c>
      <c r="H740" t="e" vm="1">
        <f>_xlfn.XLOOKUP(AllDataCorrected[[#This Row],[Site Name]],LocationsKey[Site Name],LocationsKey[District])</f>
        <v>#VALUE!</v>
      </c>
      <c r="I740" t="e" vm="14">
        <f>_xlfn.XLOOKUP(AllDataCorrected[[#This Row],[Site Name]],LocationsKey[Site Name],LocationsKey[Town])</f>
        <v>#VALUE!</v>
      </c>
      <c r="J740" t="str">
        <f>_xlfn.XLOOKUP(AllDataCorrected[[#This Row],[Site Name]],LocationsKey[Site Name], LocationsKey[Waterway])</f>
        <v>Fosseway Brook</v>
      </c>
      <c r="K740" t="s">
        <v>626</v>
      </c>
      <c r="L740">
        <f>_xlfn.XLOOKUP(AllDataCorrected[[#This Row],[Site Name]],Tables!$B$12:$B$100, Tables!C$12:C$100)</f>
        <v>52.092997354838673</v>
      </c>
      <c r="M740">
        <f>_xlfn.XLOOKUP(AllDataCorrected[[#This Row],[Site Name]],Tables!$B$12:$B$100, Tables!D$12:D$100)</f>
        <v>-1.6862254516129045</v>
      </c>
      <c r="N740" t="s">
        <v>68</v>
      </c>
      <c r="O740">
        <v>638</v>
      </c>
      <c r="P740">
        <v>12.4</v>
      </c>
      <c r="Q740">
        <v>2</v>
      </c>
      <c r="R740" t="str">
        <f>IF(AllDataCorrected[[#This Row],[Nitrate (PPM)]]&gt;2, "4. Very high (&gt;2ppm)", IF(AllDataCorrected[[#This Row],[Nitrate (PPM)]]&gt;1, "3. High (1-2ppm)", IF(AllDataCorrected[[#This Row],[Nitrate (PPM)]]&gt;0.5, "2. Some evidence (0.5-1ppm)", IF(AllDataCorrected[[#This Row],[Nitrate (PPM)]]&gt;=0, "1. No evidence (&lt;0.5ppm)"))))</f>
        <v>3. High (1-2ppm)</v>
      </c>
      <c r="S740">
        <v>0.17</v>
      </c>
      <c r="T7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41" spans="1:22" x14ac:dyDescent="0.35">
      <c r="A741" t="s">
        <v>1180</v>
      </c>
      <c r="B741" s="2">
        <v>45409</v>
      </c>
      <c r="C741" t="str" cm="1">
        <f t="array" ref="C7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1">
        <f>YEAR(AllDataCorrected[[#This Row],[Date]])</f>
        <v>2024</v>
      </c>
      <c r="F74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1" t="str">
        <f>_xlfn.XLOOKUP(AllDataCorrected[[#This Row],[Location Name]], Locations[Location Name],Locations[Group As])</f>
        <v>Site 3  :  Severn Trent Water processing plant outflow</v>
      </c>
      <c r="H741" t="e" vm="1">
        <f>_xlfn.XLOOKUP(AllDataCorrected[[#This Row],[Site Name]],LocationsKey[Site Name],LocationsKey[District])</f>
        <v>#VALUE!</v>
      </c>
      <c r="I741" t="e" vm="14">
        <f>_xlfn.XLOOKUP(AllDataCorrected[[#This Row],[Site Name]],LocationsKey[Site Name],LocationsKey[Town])</f>
        <v>#VALUE!</v>
      </c>
      <c r="J741" t="str">
        <f>_xlfn.XLOOKUP(AllDataCorrected[[#This Row],[Site Name]],LocationsKey[Site Name], LocationsKey[Waterway])</f>
        <v>Fosseway Brook</v>
      </c>
      <c r="K741" t="s">
        <v>673</v>
      </c>
      <c r="L741">
        <f>_xlfn.XLOOKUP(AllDataCorrected[[#This Row],[Site Name]],Tables!$B$12:$B$100, Tables!C$12:C$100)</f>
        <v>52.130499999999998</v>
      </c>
      <c r="M741">
        <f>_xlfn.XLOOKUP(AllDataCorrected[[#This Row],[Site Name]],Tables!$B$12:$B$100, Tables!D$12:D$100)</f>
        <v>-2.0787</v>
      </c>
      <c r="N741" t="s">
        <v>31</v>
      </c>
      <c r="O741">
        <v>850</v>
      </c>
      <c r="P741">
        <v>13.1</v>
      </c>
      <c r="Q741">
        <v>10</v>
      </c>
      <c r="R741" t="str">
        <f>IF(AllDataCorrected[[#This Row],[Nitrate (PPM)]]&gt;2, "4. Very high (&gt;2ppm)", IF(AllDataCorrected[[#This Row],[Nitrate (PPM)]]&gt;1, "3. High (1-2ppm)", IF(AllDataCorrected[[#This Row],[Nitrate (PPM)]]&gt;0.5, "2. Some evidence (0.5-1ppm)", IF(AllDataCorrected[[#This Row],[Nitrate (PPM)]]&gt;=0, "1. No evidence (&lt;0.5ppm)"))))</f>
        <v>4. Very high (&gt;2ppm)</v>
      </c>
      <c r="S741">
        <v>2.5</v>
      </c>
      <c r="T7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1">
        <v>0</v>
      </c>
      <c r="V741" t="s">
        <v>840</v>
      </c>
    </row>
    <row r="742" spans="1:22" x14ac:dyDescent="0.35">
      <c r="A742" t="s">
        <v>1181</v>
      </c>
      <c r="B742" s="2">
        <v>45409</v>
      </c>
      <c r="C742" t="str" cm="1">
        <f t="array" ref="C7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2">
        <f>YEAR(AllDataCorrected[[#This Row],[Date]])</f>
        <v>2024</v>
      </c>
      <c r="F74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42" t="str">
        <f>_xlfn.XLOOKUP(AllDataCorrected[[#This Row],[Location Name]], Locations[Location Name],Locations[Group As])</f>
        <v>Site 3  :  Severn Trent Water processing plant outflow</v>
      </c>
      <c r="H742" t="e" vm="1">
        <f>_xlfn.XLOOKUP(AllDataCorrected[[#This Row],[Site Name]],LocationsKey[Site Name],LocationsKey[District])</f>
        <v>#VALUE!</v>
      </c>
      <c r="I742" t="e" vm="14">
        <f>_xlfn.XLOOKUP(AllDataCorrected[[#This Row],[Site Name]],LocationsKey[Site Name],LocationsKey[Town])</f>
        <v>#VALUE!</v>
      </c>
      <c r="J742" t="str">
        <f>_xlfn.XLOOKUP(AllDataCorrected[[#This Row],[Site Name]],LocationsKey[Site Name], LocationsKey[Waterway])</f>
        <v>Fosseway Brook</v>
      </c>
      <c r="K742" t="s">
        <v>676</v>
      </c>
      <c r="L742">
        <f>_xlfn.XLOOKUP(AllDataCorrected[[#This Row],[Site Name]],Tables!$B$12:$B$100, Tables!C$12:C$100)</f>
        <v>52.130499999999998</v>
      </c>
      <c r="M742">
        <f>_xlfn.XLOOKUP(AllDataCorrected[[#This Row],[Site Name]],Tables!$B$12:$B$100, Tables!D$12:D$100)</f>
        <v>-2.0787</v>
      </c>
      <c r="N742" t="s">
        <v>31</v>
      </c>
      <c r="O742">
        <v>850</v>
      </c>
      <c r="P742">
        <v>13.1</v>
      </c>
      <c r="Q742">
        <v>10</v>
      </c>
      <c r="R742" t="str">
        <f>IF(AllDataCorrected[[#This Row],[Nitrate (PPM)]]&gt;2, "4. Very high (&gt;2ppm)", IF(AllDataCorrected[[#This Row],[Nitrate (PPM)]]&gt;1, "3. High (1-2ppm)", IF(AllDataCorrected[[#This Row],[Nitrate (PPM)]]&gt;0.5, "2. Some evidence (0.5-1ppm)", IF(AllDataCorrected[[#This Row],[Nitrate (PPM)]]&gt;=0, "1. No evidence (&lt;0.5ppm)"))))</f>
        <v>4. Very high (&gt;2ppm)</v>
      </c>
      <c r="S742">
        <v>2.5</v>
      </c>
      <c r="T7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43" spans="1:22" x14ac:dyDescent="0.35">
      <c r="A743" t="s">
        <v>1183</v>
      </c>
      <c r="B743" s="2">
        <v>45410</v>
      </c>
      <c r="C743" t="str" cm="1">
        <f t="array" ref="C7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3">
        <f>YEAR(AllDataCorrected[[#This Row],[Date]])</f>
        <v>2024</v>
      </c>
      <c r="E743" s="1">
        <v>0.2048611111111111</v>
      </c>
      <c r="F7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3" t="str">
        <f>_xlfn.XLOOKUP(AllDataCorrected[[#This Row],[Location Name]], Locations[Location Name],Locations[Group As])</f>
        <v>Fell Mill Footbridge</v>
      </c>
      <c r="H743" t="e" vm="1">
        <f>_xlfn.XLOOKUP(AllDataCorrected[[#This Row],[Site Name]],LocationsKey[Site Name],LocationsKey[District])</f>
        <v>#VALUE!</v>
      </c>
      <c r="I743" t="e" vm="15">
        <f>_xlfn.XLOOKUP(AllDataCorrected[[#This Row],[Site Name]],LocationsKey[Site Name],LocationsKey[Town])</f>
        <v>#VALUE!</v>
      </c>
      <c r="J743" t="str">
        <f>_xlfn.XLOOKUP(AllDataCorrected[[#This Row],[Site Name]],LocationsKey[Site Name], LocationsKey[Waterway])</f>
        <v>Stour</v>
      </c>
      <c r="K743" t="s">
        <v>875</v>
      </c>
      <c r="L743">
        <f>_xlfn.XLOOKUP(AllDataCorrected[[#This Row],[Site Name]],Tables!$B$12:$B$100, Tables!C$12:C$100)</f>
        <v>52.069044372881365</v>
      </c>
      <c r="M743">
        <f>_xlfn.XLOOKUP(AllDataCorrected[[#This Row],[Site Name]],Tables!$B$12:$B$100, Tables!D$12:D$100)</f>
        <v>-1.6116270169491524</v>
      </c>
      <c r="N743" t="s">
        <v>31</v>
      </c>
      <c r="O743">
        <v>465</v>
      </c>
      <c r="P743">
        <v>10.4</v>
      </c>
      <c r="Q743">
        <v>5</v>
      </c>
      <c r="R743" t="str">
        <f>IF(AllDataCorrected[[#This Row],[Nitrate (PPM)]]&gt;2, "4. Very high (&gt;2ppm)", IF(AllDataCorrected[[#This Row],[Nitrate (PPM)]]&gt;1, "3. High (1-2ppm)", IF(AllDataCorrected[[#This Row],[Nitrate (PPM)]]&gt;0.5, "2. Some evidence (0.5-1ppm)", IF(AllDataCorrected[[#This Row],[Nitrate (PPM)]]&gt;=0, "1. No evidence (&lt;0.5ppm)"))))</f>
        <v>4. Very high (&gt;2ppm)</v>
      </c>
      <c r="S743">
        <v>1.02</v>
      </c>
      <c r="T7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3">
        <v>0.9</v>
      </c>
    </row>
    <row r="744" spans="1:22" x14ac:dyDescent="0.35">
      <c r="A744" t="s">
        <v>1184</v>
      </c>
      <c r="B744" s="2">
        <v>45410</v>
      </c>
      <c r="C744" t="str" cm="1">
        <f t="array" ref="C7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4">
        <f>YEAR(AllDataCorrected[[#This Row],[Date]])</f>
        <v>2024</v>
      </c>
      <c r="E744" s="1">
        <v>0.41666666666666669</v>
      </c>
      <c r="F7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4" t="str">
        <f>_xlfn.XLOOKUP(AllDataCorrected[[#This Row],[Location Name]], Locations[Location Name],Locations[Group As])</f>
        <v>Avonbank Drive</v>
      </c>
      <c r="H744" t="e" vm="1">
        <f>_xlfn.XLOOKUP(AllDataCorrected[[#This Row],[Site Name]],LocationsKey[Site Name],LocationsKey[District])</f>
        <v>#VALUE!</v>
      </c>
      <c r="I744" t="e" vm="12">
        <f>_xlfn.XLOOKUP(AllDataCorrected[[#This Row],[Site Name]],LocationsKey[Site Name],LocationsKey[Town])</f>
        <v>#VALUE!</v>
      </c>
      <c r="J744" t="str">
        <f>_xlfn.XLOOKUP(AllDataCorrected[[#This Row],[Site Name]],LocationsKey[Site Name], LocationsKey[Waterway])</f>
        <v>Avon</v>
      </c>
      <c r="K744" t="s">
        <v>104</v>
      </c>
      <c r="L744">
        <f>_xlfn.XLOOKUP(AllDataCorrected[[#This Row],[Site Name]],Tables!$B$12:$B$100, Tables!C$12:C$100)</f>
        <v>51.566927775862098</v>
      </c>
      <c r="M744">
        <f>_xlfn.XLOOKUP(AllDataCorrected[[#This Row],[Site Name]],Tables!$B$12:$B$100, Tables!D$12:D$100)</f>
        <v>-7.2113336724137929</v>
      </c>
      <c r="N744" t="s">
        <v>68</v>
      </c>
      <c r="O744">
        <v>890</v>
      </c>
      <c r="P744">
        <v>14.1</v>
      </c>
      <c r="Q744">
        <v>10</v>
      </c>
      <c r="R744" t="str">
        <f>IF(AllDataCorrected[[#This Row],[Nitrate (PPM)]]&gt;2, "4. Very high (&gt;2ppm)", IF(AllDataCorrected[[#This Row],[Nitrate (PPM)]]&gt;1, "3. High (1-2ppm)", IF(AllDataCorrected[[#This Row],[Nitrate (PPM)]]&gt;0.5, "2. Some evidence (0.5-1ppm)", IF(AllDataCorrected[[#This Row],[Nitrate (PPM)]]&gt;=0, "1. No evidence (&lt;0.5ppm)"))))</f>
        <v>4. Very high (&gt;2ppm)</v>
      </c>
      <c r="S744">
        <v>0.34</v>
      </c>
      <c r="T7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4">
        <v>1</v>
      </c>
    </row>
    <row r="745" spans="1:22" x14ac:dyDescent="0.35">
      <c r="A745" t="s">
        <v>1185</v>
      </c>
      <c r="B745" s="2">
        <v>45410</v>
      </c>
      <c r="C745" t="str" cm="1">
        <f t="array" ref="C7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5">
        <f>YEAR(AllDataCorrected[[#This Row],[Date]])</f>
        <v>2024</v>
      </c>
      <c r="E745" s="1">
        <v>0.41666666666666669</v>
      </c>
      <c r="F7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5" t="str">
        <f>_xlfn.XLOOKUP(AllDataCorrected[[#This Row],[Location Name]], Locations[Location Name],Locations[Group As])</f>
        <v>Pitch 16</v>
      </c>
      <c r="H745" t="e" vm="1">
        <f>_xlfn.XLOOKUP(AllDataCorrected[[#This Row],[Site Name]],LocationsKey[Site Name],LocationsKey[District])</f>
        <v>#VALUE!</v>
      </c>
      <c r="I745" t="e" vm="12">
        <f>_xlfn.XLOOKUP(AllDataCorrected[[#This Row],[Site Name]],LocationsKey[Site Name],LocationsKey[Town])</f>
        <v>#VALUE!</v>
      </c>
      <c r="J745" t="str">
        <f>_xlfn.XLOOKUP(AllDataCorrected[[#This Row],[Site Name]],LocationsKey[Site Name], LocationsKey[Waterway])</f>
        <v>Avon</v>
      </c>
      <c r="K745" t="s">
        <v>71</v>
      </c>
      <c r="L745">
        <f>_xlfn.XLOOKUP(AllDataCorrected[[#This Row],[Site Name]],Tables!$B$12:$B$100, Tables!C$12:C$100)</f>
        <v>51.289310076923087</v>
      </c>
      <c r="M745">
        <f>_xlfn.XLOOKUP(AllDataCorrected[[#This Row],[Site Name]],Tables!$B$12:$B$100, Tables!D$12:D$100)</f>
        <v>-0.10399761538461544</v>
      </c>
      <c r="N745" t="s">
        <v>1186</v>
      </c>
      <c r="O745">
        <v>861</v>
      </c>
      <c r="P745">
        <v>14.5</v>
      </c>
      <c r="Q745">
        <v>10</v>
      </c>
      <c r="R745" t="str">
        <f>IF(AllDataCorrected[[#This Row],[Nitrate (PPM)]]&gt;2, "4. Very high (&gt;2ppm)", IF(AllDataCorrected[[#This Row],[Nitrate (PPM)]]&gt;1, "3. High (1-2ppm)", IF(AllDataCorrected[[#This Row],[Nitrate (PPM)]]&gt;0.5, "2. Some evidence (0.5-1ppm)", IF(AllDataCorrected[[#This Row],[Nitrate (PPM)]]&gt;=0, "1. No evidence (&lt;0.5ppm)"))))</f>
        <v>4. Very high (&gt;2ppm)</v>
      </c>
      <c r="S745">
        <v>0.34</v>
      </c>
      <c r="T7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5">
        <v>1</v>
      </c>
    </row>
    <row r="746" spans="1:22" x14ac:dyDescent="0.35">
      <c r="A746" t="s">
        <v>1187</v>
      </c>
      <c r="B746" s="2">
        <v>45410</v>
      </c>
      <c r="C746" t="str" cm="1">
        <f t="array" ref="C7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6">
        <f>YEAR(AllDataCorrected[[#This Row],[Date]])</f>
        <v>2024</v>
      </c>
      <c r="E746" s="1">
        <v>0.48958333333333331</v>
      </c>
      <c r="F7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46" t="str">
        <f>_xlfn.XLOOKUP(AllDataCorrected[[#This Row],[Location Name]], Locations[Location Name],Locations[Group As])</f>
        <v>Lucy's Mill Bridge</v>
      </c>
      <c r="H746" t="e" vm="1">
        <f>_xlfn.XLOOKUP(AllDataCorrected[[#This Row],[Site Name]],LocationsKey[Site Name],LocationsKey[District])</f>
        <v>#VALUE!</v>
      </c>
      <c r="I746" t="e" vm="12">
        <f>_xlfn.XLOOKUP(AllDataCorrected[[#This Row],[Site Name]],LocationsKey[Site Name],LocationsKey[Town])</f>
        <v>#VALUE!</v>
      </c>
      <c r="J746" t="str">
        <f>_xlfn.XLOOKUP(AllDataCorrected[[#This Row],[Site Name]],LocationsKey[Site Name], LocationsKey[Waterway])</f>
        <v>Avon</v>
      </c>
      <c r="K746" t="s">
        <v>212</v>
      </c>
      <c r="L746">
        <f>_xlfn.XLOOKUP(AllDataCorrected[[#This Row],[Site Name]],Tables!$B$12:$B$100, Tables!C$12:C$100)</f>
        <v>52.183699000000011</v>
      </c>
      <c r="M746">
        <f>_xlfn.XLOOKUP(AllDataCorrected[[#This Row],[Site Name]],Tables!$B$12:$B$100, Tables!D$12:D$100)</f>
        <v>-1.7078160000000004</v>
      </c>
      <c r="N746" t="s">
        <v>31</v>
      </c>
      <c r="P746">
        <v>12</v>
      </c>
      <c r="Q746">
        <v>5</v>
      </c>
      <c r="R746" t="str">
        <f>IF(AllDataCorrected[[#This Row],[Nitrate (PPM)]]&gt;2, "4. Very high (&gt;2ppm)", IF(AllDataCorrected[[#This Row],[Nitrate (PPM)]]&gt;1, "3. High (1-2ppm)", IF(AllDataCorrected[[#This Row],[Nitrate (PPM)]]&gt;0.5, "2. Some evidence (0.5-1ppm)", IF(AllDataCorrected[[#This Row],[Nitrate (PPM)]]&gt;=0, "1. No evidence (&lt;0.5ppm)"))))</f>
        <v>4. Very high (&gt;2ppm)</v>
      </c>
      <c r="S746">
        <v>0.26</v>
      </c>
      <c r="T7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6">
        <v>0.7</v>
      </c>
    </row>
    <row r="747" spans="1:22" x14ac:dyDescent="0.35">
      <c r="A747" t="s">
        <v>1188</v>
      </c>
      <c r="B747" s="2">
        <v>45410</v>
      </c>
      <c r="C747" t="str" cm="1">
        <f t="array" ref="C7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7">
        <f>YEAR(AllDataCorrected[[#This Row],[Date]])</f>
        <v>2024</v>
      </c>
      <c r="E747" s="1">
        <v>0.5625</v>
      </c>
      <c r="F7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7" t="str">
        <f>_xlfn.XLOOKUP(AllDataCorrected[[#This Row],[Location Name]], Locations[Location Name],Locations[Group As])</f>
        <v>The Ford, Langley</v>
      </c>
      <c r="H747" t="e" vm="1">
        <f>_xlfn.XLOOKUP(AllDataCorrected[[#This Row],[Site Name]],LocationsKey[Site Name],LocationsKey[District])</f>
        <v>#VALUE!</v>
      </c>
      <c r="I747" t="str">
        <f>_xlfn.XLOOKUP(AllDataCorrected[[#This Row],[Site Name]],LocationsKey[Site Name],LocationsKey[Town])</f>
        <v>Langley</v>
      </c>
      <c r="J747" t="str">
        <f>_xlfn.XLOOKUP(AllDataCorrected[[#This Row],[Site Name]],LocationsKey[Site Name], LocationsKey[Waterway])</f>
        <v>Langley Ford</v>
      </c>
      <c r="K747" t="s">
        <v>530</v>
      </c>
      <c r="L747">
        <f>_xlfn.XLOOKUP(AllDataCorrected[[#This Row],[Site Name]],Tables!$B$12:$B$100, Tables!C$12:C$100)</f>
        <v>52.262666528301864</v>
      </c>
      <c r="M747">
        <f>_xlfn.XLOOKUP(AllDataCorrected[[#This Row],[Site Name]],Tables!$B$12:$B$100, Tables!D$12:D$100)</f>
        <v>-1.6545845283018858</v>
      </c>
      <c r="N747" t="s">
        <v>31</v>
      </c>
      <c r="O747">
        <v>295</v>
      </c>
      <c r="P747">
        <v>10.3</v>
      </c>
      <c r="Q747">
        <v>5</v>
      </c>
      <c r="R747" t="str">
        <f>IF(AllDataCorrected[[#This Row],[Nitrate (PPM)]]&gt;2, "4. Very high (&gt;2ppm)", IF(AllDataCorrected[[#This Row],[Nitrate (PPM)]]&gt;1, "3. High (1-2ppm)", IF(AllDataCorrected[[#This Row],[Nitrate (PPM)]]&gt;0.5, "2. Some evidence (0.5-1ppm)", IF(AllDataCorrected[[#This Row],[Nitrate (PPM)]]&gt;=0, "1. No evidence (&lt;0.5ppm)"))))</f>
        <v>4. Very high (&gt;2ppm)</v>
      </c>
      <c r="S747">
        <v>0.89</v>
      </c>
      <c r="T7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7">
        <v>0.65</v>
      </c>
    </row>
    <row r="748" spans="1:22" x14ac:dyDescent="0.35">
      <c r="A748" t="s">
        <v>1189</v>
      </c>
      <c r="B748" s="2">
        <v>45410</v>
      </c>
      <c r="C748" t="str" cm="1">
        <f t="array" ref="C7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8">
        <f>YEAR(AllDataCorrected[[#This Row],[Date]])</f>
        <v>2024</v>
      </c>
      <c r="E748" s="1">
        <v>0.58333333333333337</v>
      </c>
      <c r="F7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8" t="str">
        <f>_xlfn.XLOOKUP(AllDataCorrected[[#This Row],[Location Name]], Locations[Location Name],Locations[Group As])</f>
        <v>Clifford Chambers Mill Bridge</v>
      </c>
      <c r="H748" t="e" vm="1">
        <f>_xlfn.XLOOKUP(AllDataCorrected[[#This Row],[Site Name]],LocationsKey[Site Name],LocationsKey[District])</f>
        <v>#VALUE!</v>
      </c>
      <c r="I748" t="e" vm="22">
        <f>_xlfn.XLOOKUP(AllDataCorrected[[#This Row],[Site Name]],LocationsKey[Site Name],LocationsKey[Town])</f>
        <v>#VALUE!</v>
      </c>
      <c r="J748" t="str">
        <f>_xlfn.XLOOKUP(AllDataCorrected[[#This Row],[Site Name]],LocationsKey[Site Name], LocationsKey[Waterway])</f>
        <v>Stour</v>
      </c>
      <c r="K748" t="s">
        <v>266</v>
      </c>
      <c r="L748">
        <f>_xlfn.XLOOKUP(AllDataCorrected[[#This Row],[Site Name]],Tables!$B$12:$B$100, Tables!C$12:C$100)</f>
        <v>52.166363596153808</v>
      </c>
      <c r="M748">
        <f>_xlfn.XLOOKUP(AllDataCorrected[[#This Row],[Site Name]],Tables!$B$12:$B$100, Tables!D$12:D$100)</f>
        <v>-1.7080375384615398</v>
      </c>
      <c r="N748" t="s">
        <v>68</v>
      </c>
      <c r="O748">
        <v>647</v>
      </c>
      <c r="P748">
        <v>11.2</v>
      </c>
      <c r="Q748">
        <v>8</v>
      </c>
      <c r="R748" t="str">
        <f>IF(AllDataCorrected[[#This Row],[Nitrate (PPM)]]&gt;2, "4. Very high (&gt;2ppm)", IF(AllDataCorrected[[#This Row],[Nitrate (PPM)]]&gt;1, "3. High (1-2ppm)", IF(AllDataCorrected[[#This Row],[Nitrate (PPM)]]&gt;0.5, "2. Some evidence (0.5-1ppm)", IF(AllDataCorrected[[#This Row],[Nitrate (PPM)]]&gt;=0, "1. No evidence (&lt;0.5ppm)"))))</f>
        <v>4. Very high (&gt;2ppm)</v>
      </c>
      <c r="S748">
        <v>0.13</v>
      </c>
      <c r="T7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48">
        <v>1.2</v>
      </c>
    </row>
    <row r="749" spans="1:22" x14ac:dyDescent="0.35">
      <c r="A749" t="s">
        <v>1190</v>
      </c>
      <c r="B749" s="2">
        <v>45410</v>
      </c>
      <c r="C749" t="str" cm="1">
        <f t="array" ref="C7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49">
        <f>YEAR(AllDataCorrected[[#This Row],[Date]])</f>
        <v>2024</v>
      </c>
      <c r="E749" s="1">
        <v>0.625</v>
      </c>
      <c r="F7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49" t="str">
        <f>_xlfn.XLOOKUP(AllDataCorrected[[#This Row],[Location Name]], Locations[Location Name],Locations[Group As])</f>
        <v>Sherbourne Brook 1</v>
      </c>
      <c r="H749" t="e" vm="1">
        <f>_xlfn.XLOOKUP(AllDataCorrected[[#This Row],[Site Name]],LocationsKey[Site Name],LocationsKey[District])</f>
        <v>#VALUE!</v>
      </c>
      <c r="I749" t="e" vm="23">
        <f>_xlfn.XLOOKUP(AllDataCorrected[[#This Row],[Site Name]],LocationsKey[Site Name],LocationsKey[Town])</f>
        <v>#VALUE!</v>
      </c>
      <c r="J749" t="str">
        <f>_xlfn.XLOOKUP(AllDataCorrected[[#This Row],[Site Name]],LocationsKey[Site Name], LocationsKey[Waterway])</f>
        <v>Sherbourne Brook</v>
      </c>
      <c r="K749" t="s">
        <v>541</v>
      </c>
      <c r="L749">
        <f>_xlfn.XLOOKUP(AllDataCorrected[[#This Row],[Site Name]],Tables!$B$12:$B$100, Tables!C$12:C$100)</f>
        <v>52.252500000000033</v>
      </c>
      <c r="M749">
        <f>_xlfn.XLOOKUP(AllDataCorrected[[#This Row],[Site Name]],Tables!$B$12:$B$100, Tables!D$12:D$100)</f>
        <v>-1.6685000000000012</v>
      </c>
      <c r="N749" t="s">
        <v>25</v>
      </c>
      <c r="O749">
        <v>821</v>
      </c>
      <c r="P749">
        <v>9.6</v>
      </c>
      <c r="Q749">
        <v>8</v>
      </c>
      <c r="R749" t="str">
        <f>IF(AllDataCorrected[[#This Row],[Nitrate (PPM)]]&gt;2, "4. Very high (&gt;2ppm)", IF(AllDataCorrected[[#This Row],[Nitrate (PPM)]]&gt;1, "3. High (1-2ppm)", IF(AllDataCorrected[[#This Row],[Nitrate (PPM)]]&gt;0.5, "2. Some evidence (0.5-1ppm)", IF(AllDataCorrected[[#This Row],[Nitrate (PPM)]]&gt;=0, "1. No evidence (&lt;0.5ppm)"))))</f>
        <v>4. Very high (&gt;2ppm)</v>
      </c>
      <c r="S749">
        <v>0.72</v>
      </c>
      <c r="T7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49">
        <v>9.1999999999999993</v>
      </c>
    </row>
    <row r="750" spans="1:22" x14ac:dyDescent="0.35">
      <c r="A750" t="s">
        <v>1191</v>
      </c>
      <c r="B750" s="2">
        <v>45410</v>
      </c>
      <c r="C750" t="str" cm="1">
        <f t="array" ref="C7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0">
        <f>YEAR(AllDataCorrected[[#This Row],[Date]])</f>
        <v>2024</v>
      </c>
      <c r="E750" s="1">
        <v>0.63541666666666663</v>
      </c>
      <c r="F75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0" t="str">
        <f>_xlfn.XLOOKUP(AllDataCorrected[[#This Row],[Location Name]], Locations[Location Name],Locations[Group As])</f>
        <v>Bell Brook 1</v>
      </c>
      <c r="H750" t="e" vm="1">
        <f>_xlfn.XLOOKUP(AllDataCorrected[[#This Row],[Site Name]],LocationsKey[Site Name],LocationsKey[District])</f>
        <v>#VALUE!</v>
      </c>
      <c r="I750" t="e" vm="19">
        <f>_xlfn.XLOOKUP(AllDataCorrected[[#This Row],[Site Name]],LocationsKey[Site Name],LocationsKey[Town])</f>
        <v>#VALUE!</v>
      </c>
      <c r="J750" t="str">
        <f>_xlfn.XLOOKUP(AllDataCorrected[[#This Row],[Site Name]],LocationsKey[Site Name], LocationsKey[Waterway])</f>
        <v>Bell Brook</v>
      </c>
      <c r="K750" t="s">
        <v>538</v>
      </c>
      <c r="L750">
        <f>_xlfn.XLOOKUP(AllDataCorrected[[#This Row],[Site Name]],Tables!$B$12:$B$100, Tables!C$12:C$100)</f>
        <v>52.24489999999998</v>
      </c>
      <c r="M750">
        <f>_xlfn.XLOOKUP(AllDataCorrected[[#This Row],[Site Name]],Tables!$B$12:$B$100, Tables!D$12:D$100)</f>
        <v>-1.6617000000000013</v>
      </c>
      <c r="N750" t="s">
        <v>25</v>
      </c>
      <c r="O750">
        <v>684</v>
      </c>
      <c r="P750">
        <v>10.5</v>
      </c>
      <c r="Q750">
        <v>5</v>
      </c>
      <c r="R750" t="str">
        <f>IF(AllDataCorrected[[#This Row],[Nitrate (PPM)]]&gt;2, "4. Very high (&gt;2ppm)", IF(AllDataCorrected[[#This Row],[Nitrate (PPM)]]&gt;1, "3. High (1-2ppm)", IF(AllDataCorrected[[#This Row],[Nitrate (PPM)]]&gt;0.5, "2. Some evidence (0.5-1ppm)", IF(AllDataCorrected[[#This Row],[Nitrate (PPM)]]&gt;=0, "1. No evidence (&lt;0.5ppm)"))))</f>
        <v>4. Very high (&gt;2ppm)</v>
      </c>
      <c r="S750">
        <v>0.53</v>
      </c>
      <c r="T7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0">
        <v>0.2</v>
      </c>
    </row>
    <row r="751" spans="1:22" x14ac:dyDescent="0.35">
      <c r="A751" t="s">
        <v>1192</v>
      </c>
      <c r="B751" s="2">
        <v>45411</v>
      </c>
      <c r="C751" t="str" cm="1">
        <f t="array" ref="C7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1">
        <f>YEAR(AllDataCorrected[[#This Row],[Date]])</f>
        <v>2024</v>
      </c>
      <c r="E751" s="1">
        <v>0.375</v>
      </c>
      <c r="F7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1" t="str">
        <f>_xlfn.XLOOKUP(AllDataCorrected[[#This Row],[Location Name]], Locations[Location Name],Locations[Group As])</f>
        <v>Stour Stretton-on-Fosse Village</v>
      </c>
      <c r="H751" t="e" vm="1">
        <f>_xlfn.XLOOKUP(AllDataCorrected[[#This Row],[Site Name]],LocationsKey[Site Name],LocationsKey[District])</f>
        <v>#VALUE!</v>
      </c>
      <c r="I751" t="e" vm="30">
        <f>_xlfn.XLOOKUP(AllDataCorrected[[#This Row],[Site Name]],LocationsKey[Site Name],LocationsKey[Town])</f>
        <v>#VALUE!</v>
      </c>
      <c r="J751" t="str">
        <f>_xlfn.XLOOKUP(AllDataCorrected[[#This Row],[Site Name]],LocationsKey[Site Name], LocationsKey[Waterway])</f>
        <v>Stour</v>
      </c>
      <c r="K751" t="s">
        <v>548</v>
      </c>
      <c r="L751">
        <f>_xlfn.XLOOKUP(AllDataCorrected[[#This Row],[Site Name]],Tables!$B$12:$B$100, Tables!C$12:C$100)</f>
        <v>52.046517558823531</v>
      </c>
      <c r="M751">
        <f>_xlfn.XLOOKUP(AllDataCorrected[[#This Row],[Site Name]],Tables!$B$12:$B$100, Tables!D$12:D$100)</f>
        <v>-1.6734143529411762</v>
      </c>
      <c r="N751" t="s">
        <v>68</v>
      </c>
      <c r="O751">
        <v>564</v>
      </c>
      <c r="P751">
        <v>10.1</v>
      </c>
      <c r="Q751">
        <v>2</v>
      </c>
      <c r="R751" t="str">
        <f>IF(AllDataCorrected[[#This Row],[Nitrate (PPM)]]&gt;2, "4. Very high (&gt;2ppm)", IF(AllDataCorrected[[#This Row],[Nitrate (PPM)]]&gt;1, "3. High (1-2ppm)", IF(AllDataCorrected[[#This Row],[Nitrate (PPM)]]&gt;0.5, "2. Some evidence (0.5-1ppm)", IF(AllDataCorrected[[#This Row],[Nitrate (PPM)]]&gt;=0, "1. No evidence (&lt;0.5ppm)"))))</f>
        <v>3. High (1-2ppm)</v>
      </c>
      <c r="S751">
        <v>0.82</v>
      </c>
      <c r="T7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1">
        <v>0.2</v>
      </c>
    </row>
    <row r="752" spans="1:22" x14ac:dyDescent="0.35">
      <c r="A752" t="s">
        <v>1193</v>
      </c>
      <c r="B752" s="2">
        <v>45411</v>
      </c>
      <c r="C752" t="str" cm="1">
        <f t="array" ref="C7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2">
        <f>YEAR(AllDataCorrected[[#This Row],[Date]])</f>
        <v>2024</v>
      </c>
      <c r="E752" s="1">
        <v>0.3840277777777778</v>
      </c>
      <c r="F7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2" t="str">
        <f>_xlfn.XLOOKUP(AllDataCorrected[[#This Row],[Location Name]], Locations[Location Name],Locations[Group As])</f>
        <v>Stour Stretton-on-Fosse Sewage Works</v>
      </c>
      <c r="H752" t="e" vm="1">
        <f>_xlfn.XLOOKUP(AllDataCorrected[[#This Row],[Site Name]],LocationsKey[Site Name],LocationsKey[District])</f>
        <v>#VALUE!</v>
      </c>
      <c r="I752" t="e" vm="30">
        <f>_xlfn.XLOOKUP(AllDataCorrected[[#This Row],[Site Name]],LocationsKey[Site Name],LocationsKey[Town])</f>
        <v>#VALUE!</v>
      </c>
      <c r="J752" t="str">
        <f>_xlfn.XLOOKUP(AllDataCorrected[[#This Row],[Site Name]],LocationsKey[Site Name], LocationsKey[Waterway])</f>
        <v>Stour</v>
      </c>
      <c r="K752" t="s">
        <v>337</v>
      </c>
      <c r="L752">
        <f>_xlfn.XLOOKUP(AllDataCorrected[[#This Row],[Site Name]],Tables!$B$12:$B$100, Tables!C$12:C$100)</f>
        <v>52.045653647058828</v>
      </c>
      <c r="M752">
        <f>_xlfn.XLOOKUP(AllDataCorrected[[#This Row],[Site Name]],Tables!$B$12:$B$100, Tables!D$12:D$100)</f>
        <v>-1.6719221470588239</v>
      </c>
      <c r="N752" t="s">
        <v>31</v>
      </c>
      <c r="O752">
        <v>608</v>
      </c>
      <c r="P752">
        <v>9.4</v>
      </c>
      <c r="Q752">
        <v>5</v>
      </c>
      <c r="R752" t="str">
        <f>IF(AllDataCorrected[[#This Row],[Nitrate (PPM)]]&gt;2, "4. Very high (&gt;2ppm)", IF(AllDataCorrected[[#This Row],[Nitrate (PPM)]]&gt;1, "3. High (1-2ppm)", IF(AllDataCorrected[[#This Row],[Nitrate (PPM)]]&gt;0.5, "2. Some evidence (0.5-1ppm)", IF(AllDataCorrected[[#This Row],[Nitrate (PPM)]]&gt;=0, "1. No evidence (&lt;0.5ppm)"))))</f>
        <v>4. Very high (&gt;2ppm)</v>
      </c>
      <c r="S752">
        <v>1.48</v>
      </c>
      <c r="T7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2">
        <v>0.25</v>
      </c>
    </row>
    <row r="753" spans="1:22" x14ac:dyDescent="0.35">
      <c r="A753" t="s">
        <v>1194</v>
      </c>
      <c r="B753" s="2">
        <v>45411</v>
      </c>
      <c r="C753" t="str" cm="1">
        <f t="array" ref="C7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3">
        <f>YEAR(AllDataCorrected[[#This Row],[Date]])</f>
        <v>2024</v>
      </c>
      <c r="E753" s="1">
        <v>0.60972222222222228</v>
      </c>
      <c r="F75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3" t="str">
        <f>_xlfn.XLOOKUP(AllDataCorrected[[#This Row],[Location Name]], Locations[Location Name],Locations[Group As])</f>
        <v>Alveston Weir</v>
      </c>
      <c r="H753" t="e" vm="1">
        <f>_xlfn.XLOOKUP(AllDataCorrected[[#This Row],[Site Name]],LocationsKey[Site Name],LocationsKey[District])</f>
        <v>#VALUE!</v>
      </c>
      <c r="I753" t="e" vm="2">
        <f>_xlfn.XLOOKUP(AllDataCorrected[[#This Row],[Site Name]],LocationsKey[Site Name],LocationsKey[Town])</f>
        <v>#VALUE!</v>
      </c>
      <c r="J753" t="str">
        <f>_xlfn.XLOOKUP(AllDataCorrected[[#This Row],[Site Name]],LocationsKey[Site Name], LocationsKey[Waterway])</f>
        <v>Avon</v>
      </c>
      <c r="K753" t="s">
        <v>288</v>
      </c>
      <c r="L753">
        <f>_xlfn.XLOOKUP(AllDataCorrected[[#This Row],[Site Name]],Tables!$B$12:$B$100, Tables!C$12:C$100)</f>
        <v>52.21226301333337</v>
      </c>
      <c r="M753">
        <f>_xlfn.XLOOKUP(AllDataCorrected[[#This Row],[Site Name]],Tables!$B$12:$B$100, Tables!D$12:D$100)</f>
        <v>-1.6595226800000011</v>
      </c>
      <c r="N753" t="s">
        <v>31</v>
      </c>
      <c r="O753">
        <v>442</v>
      </c>
      <c r="P753">
        <v>12.1</v>
      </c>
      <c r="Q753">
        <v>5</v>
      </c>
      <c r="R753" t="str">
        <f>IF(AllDataCorrected[[#This Row],[Nitrate (PPM)]]&gt;2, "4. Very high (&gt;2ppm)", IF(AllDataCorrected[[#This Row],[Nitrate (PPM)]]&gt;1, "3. High (1-2ppm)", IF(AllDataCorrected[[#This Row],[Nitrate (PPM)]]&gt;0.5, "2. Some evidence (0.5-1ppm)", IF(AllDataCorrected[[#This Row],[Nitrate (PPM)]]&gt;=0, "1. No evidence (&lt;0.5ppm)"))))</f>
        <v>4. Very high (&gt;2ppm)</v>
      </c>
      <c r="S753">
        <v>0.3</v>
      </c>
      <c r="T7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3">
        <v>1.5</v>
      </c>
    </row>
    <row r="754" spans="1:22" x14ac:dyDescent="0.35">
      <c r="A754" t="s">
        <v>1195</v>
      </c>
      <c r="B754" s="2">
        <v>45411</v>
      </c>
      <c r="C754" t="str" cm="1">
        <f t="array" ref="C7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4">
        <f>YEAR(AllDataCorrected[[#This Row],[Date]])</f>
        <v>2024</v>
      </c>
      <c r="E754" s="1">
        <v>0.625</v>
      </c>
      <c r="F7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4" t="str">
        <f>_xlfn.XLOOKUP(AllDataCorrected[[#This Row],[Location Name]], Locations[Location Name],Locations[Group As])</f>
        <v>Swiffen Bank</v>
      </c>
      <c r="H754" t="e" vm="1">
        <f>_xlfn.XLOOKUP(AllDataCorrected[[#This Row],[Site Name]],LocationsKey[Site Name],LocationsKey[District])</f>
        <v>#VALUE!</v>
      </c>
      <c r="I754" t="e" vm="2">
        <f>_xlfn.XLOOKUP(AllDataCorrected[[#This Row],[Site Name]],LocationsKey[Site Name],LocationsKey[Town])</f>
        <v>#VALUE!</v>
      </c>
      <c r="J754" t="str">
        <f>_xlfn.XLOOKUP(AllDataCorrected[[#This Row],[Site Name]],LocationsKey[Site Name], LocationsKey[Waterway])</f>
        <v>Avon</v>
      </c>
      <c r="K754" t="s">
        <v>286</v>
      </c>
      <c r="L754">
        <f>_xlfn.XLOOKUP(AllDataCorrected[[#This Row],[Site Name]],Tables!$B$12:$B$100, Tables!C$12:C$100)</f>
        <v>52.206649805555557</v>
      </c>
      <c r="M754">
        <f>_xlfn.XLOOKUP(AllDataCorrected[[#This Row],[Site Name]],Tables!$B$12:$B$100, Tables!D$12:D$100)</f>
        <v>-1.6541018611111094</v>
      </c>
      <c r="N754" t="s">
        <v>31</v>
      </c>
      <c r="O754">
        <v>491</v>
      </c>
      <c r="P754">
        <v>14.2</v>
      </c>
      <c r="Q754">
        <v>5</v>
      </c>
      <c r="R754" t="str">
        <f>IF(AllDataCorrected[[#This Row],[Nitrate (PPM)]]&gt;2, "4. Very high (&gt;2ppm)", IF(AllDataCorrected[[#This Row],[Nitrate (PPM)]]&gt;1, "3. High (1-2ppm)", IF(AllDataCorrected[[#This Row],[Nitrate (PPM)]]&gt;0.5, "2. Some evidence (0.5-1ppm)", IF(AllDataCorrected[[#This Row],[Nitrate (PPM)]]&gt;=0, "1. No evidence (&lt;0.5ppm)"))))</f>
        <v>4. Very high (&gt;2ppm)</v>
      </c>
      <c r="S754">
        <v>0.53</v>
      </c>
      <c r="T7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4">
        <v>1.5</v>
      </c>
      <c r="V754" t="s">
        <v>1196</v>
      </c>
    </row>
    <row r="755" spans="1:22" x14ac:dyDescent="0.35">
      <c r="A755" t="s">
        <v>1197</v>
      </c>
      <c r="B755" s="2">
        <v>45412</v>
      </c>
      <c r="C755" t="str" cm="1">
        <f t="array" ref="C7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5">
        <f>YEAR(AllDataCorrected[[#This Row],[Date]])</f>
        <v>2024</v>
      </c>
      <c r="E755" s="1">
        <v>0.44166666666666665</v>
      </c>
      <c r="F7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5" t="str">
        <f>_xlfn.XLOOKUP(AllDataCorrected[[#This Row],[Location Name]], Locations[Location Name],Locations[Group As])</f>
        <v>Carrant Mitton Path</v>
      </c>
      <c r="H755" t="e" vm="4">
        <f>_xlfn.XLOOKUP(AllDataCorrected[[#This Row],[Site Name]],LocationsKey[Site Name],LocationsKey[District])</f>
        <v>#VALUE!</v>
      </c>
      <c r="I755" t="e" vm="4">
        <f>_xlfn.XLOOKUP(AllDataCorrected[[#This Row],[Site Name]],LocationsKey[Site Name],LocationsKey[Town])</f>
        <v>#VALUE!</v>
      </c>
      <c r="J755" t="str">
        <f>_xlfn.XLOOKUP(AllDataCorrected[[#This Row],[Site Name]],LocationsKey[Site Name], LocationsKey[Waterway])</f>
        <v>Carrant</v>
      </c>
      <c r="K755" t="s">
        <v>1198</v>
      </c>
      <c r="L755">
        <f>_xlfn.XLOOKUP(AllDataCorrected[[#This Row],[Site Name]],Tables!$B$12:$B$100, Tables!C$12:C$100)</f>
        <v>52.048665</v>
      </c>
      <c r="M755">
        <f>_xlfn.XLOOKUP(AllDataCorrected[[#This Row],[Site Name]],Tables!$B$12:$B$100, Tables!D$12:D$100)</f>
        <v>-1.7862663333333331</v>
      </c>
      <c r="N755" t="s">
        <v>25</v>
      </c>
      <c r="O755">
        <v>696</v>
      </c>
      <c r="P755">
        <v>13.2</v>
      </c>
      <c r="Q755">
        <v>10</v>
      </c>
      <c r="R755" t="str">
        <f>IF(AllDataCorrected[[#This Row],[Nitrate (PPM)]]&gt;2, "4. Very high (&gt;2ppm)", IF(AllDataCorrected[[#This Row],[Nitrate (PPM)]]&gt;1, "3. High (1-2ppm)", IF(AllDataCorrected[[#This Row],[Nitrate (PPM)]]&gt;0.5, "2. Some evidence (0.5-1ppm)", IF(AllDataCorrected[[#This Row],[Nitrate (PPM)]]&gt;=0, "1. No evidence (&lt;0.5ppm)"))))</f>
        <v>4. Very high (&gt;2ppm)</v>
      </c>
      <c r="S755">
        <v>0.27</v>
      </c>
      <c r="T7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5">
        <v>0</v>
      </c>
    </row>
    <row r="756" spans="1:22" x14ac:dyDescent="0.35">
      <c r="A756" t="s">
        <v>1199</v>
      </c>
      <c r="B756" s="2">
        <v>45412</v>
      </c>
      <c r="C756" t="str" cm="1">
        <f t="array" ref="C7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6">
        <f>YEAR(AllDataCorrected[[#This Row],[Date]])</f>
        <v>2024</v>
      </c>
      <c r="E756" s="1">
        <v>0.47013888888888888</v>
      </c>
      <c r="F7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6" t="str">
        <f>_xlfn.XLOOKUP(AllDataCorrected[[#This Row],[Location Name]], Locations[Location Name],Locations[Group As])</f>
        <v>Carrant M5 Bridge</v>
      </c>
      <c r="H756" t="e" vm="4">
        <f>_xlfn.XLOOKUP(AllDataCorrected[[#This Row],[Site Name]],LocationsKey[Site Name],LocationsKey[District])</f>
        <v>#VALUE!</v>
      </c>
      <c r="I756" t="e" vm="4">
        <f>_xlfn.XLOOKUP(AllDataCorrected[[#This Row],[Site Name]],LocationsKey[Site Name],LocationsKey[Town])</f>
        <v>#VALUE!</v>
      </c>
      <c r="J756" t="str">
        <f>_xlfn.XLOOKUP(AllDataCorrected[[#This Row],[Site Name]],LocationsKey[Site Name], LocationsKey[Waterway])</f>
        <v>Carrant</v>
      </c>
      <c r="K756" t="s">
        <v>1066</v>
      </c>
      <c r="L756">
        <f>_xlfn.XLOOKUP(AllDataCorrected[[#This Row],[Site Name]],Tables!$B$12:$B$100, Tables!C$12:C$100)</f>
        <v>52.012994652173923</v>
      </c>
      <c r="M756">
        <f>_xlfn.XLOOKUP(AllDataCorrected[[#This Row],[Site Name]],Tables!$B$12:$B$100, Tables!D$12:D$100)</f>
        <v>-2.1224405652173912</v>
      </c>
      <c r="N756" t="s">
        <v>25</v>
      </c>
      <c r="O756">
        <v>720</v>
      </c>
      <c r="P756">
        <v>14.8</v>
      </c>
      <c r="Q756">
        <v>8</v>
      </c>
      <c r="R756" t="str">
        <f>IF(AllDataCorrected[[#This Row],[Nitrate (PPM)]]&gt;2, "4. Very high (&gt;2ppm)", IF(AllDataCorrected[[#This Row],[Nitrate (PPM)]]&gt;1, "3. High (1-2ppm)", IF(AllDataCorrected[[#This Row],[Nitrate (PPM)]]&gt;0.5, "2. Some evidence (0.5-1ppm)", IF(AllDataCorrected[[#This Row],[Nitrate (PPM)]]&gt;=0, "1. No evidence (&lt;0.5ppm)"))))</f>
        <v>4. Very high (&gt;2ppm)</v>
      </c>
      <c r="S756">
        <v>0.13</v>
      </c>
      <c r="T7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6">
        <v>0</v>
      </c>
    </row>
    <row r="757" spans="1:22" x14ac:dyDescent="0.35">
      <c r="A757" t="s">
        <v>1200</v>
      </c>
      <c r="B757" s="2">
        <v>45412</v>
      </c>
      <c r="C757" t="str" cm="1">
        <f t="array" ref="C7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7">
        <f>YEAR(AllDataCorrected[[#This Row],[Date]])</f>
        <v>2024</v>
      </c>
      <c r="E757" s="1">
        <v>0.73958333333333337</v>
      </c>
      <c r="F7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7" t="str">
        <f>_xlfn.XLOOKUP(AllDataCorrected[[#This Row],[Location Name]], Locations[Location Name],Locations[Group As])</f>
        <v>Abbey Mill</v>
      </c>
      <c r="H757" t="e" vm="4">
        <f>_xlfn.XLOOKUP(AllDataCorrected[[#This Row],[Site Name]],LocationsKey[Site Name],LocationsKey[District])</f>
        <v>#VALUE!</v>
      </c>
      <c r="I757" t="e" vm="4">
        <f>_xlfn.XLOOKUP(AllDataCorrected[[#This Row],[Site Name]],LocationsKey[Site Name],LocationsKey[Town])</f>
        <v>#VALUE!</v>
      </c>
      <c r="J757" t="str">
        <f>_xlfn.XLOOKUP(AllDataCorrected[[#This Row],[Site Name]],LocationsKey[Site Name], LocationsKey[Waterway])</f>
        <v>Avon</v>
      </c>
      <c r="K757" t="s">
        <v>27</v>
      </c>
      <c r="L757">
        <f>_xlfn.XLOOKUP(AllDataCorrected[[#This Row],[Site Name]],Tables!$B$12:$B$100, Tables!C$12:C$100)</f>
        <v>51.991313075757589</v>
      </c>
      <c r="M757">
        <f>_xlfn.XLOOKUP(AllDataCorrected[[#This Row],[Site Name]],Tables!$B$12:$B$100, Tables!D$12:D$100)</f>
        <v>-2.1621998181818181</v>
      </c>
      <c r="N757" t="s">
        <v>25</v>
      </c>
      <c r="O757">
        <v>713</v>
      </c>
      <c r="P757">
        <v>12.4</v>
      </c>
      <c r="Q757">
        <v>5</v>
      </c>
      <c r="R757" t="str">
        <f>IF(AllDataCorrected[[#This Row],[Nitrate (PPM)]]&gt;2, "4. Very high (&gt;2ppm)", IF(AllDataCorrected[[#This Row],[Nitrate (PPM)]]&gt;1, "3. High (1-2ppm)", IF(AllDataCorrected[[#This Row],[Nitrate (PPM)]]&gt;0.5, "2. Some evidence (0.5-1ppm)", IF(AllDataCorrected[[#This Row],[Nitrate (PPM)]]&gt;=0, "1. No evidence (&lt;0.5ppm)"))))</f>
        <v>4. Very high (&gt;2ppm)</v>
      </c>
      <c r="S757">
        <v>0.51</v>
      </c>
      <c r="T7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7">
        <v>0.7</v>
      </c>
    </row>
    <row r="758" spans="1:22" x14ac:dyDescent="0.35">
      <c r="A758" t="s">
        <v>1201</v>
      </c>
      <c r="B758" s="2">
        <v>45413</v>
      </c>
      <c r="C758" t="str" cm="1">
        <f t="array" ref="C7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8">
        <f>YEAR(AllDataCorrected[[#This Row],[Date]])</f>
        <v>2024</v>
      </c>
      <c r="E758" s="1">
        <v>0.5180555555555556</v>
      </c>
      <c r="F75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58" t="str">
        <f>_xlfn.XLOOKUP(AllDataCorrected[[#This Row],[Location Name]], Locations[Location Name],Locations[Group As])</f>
        <v>Walcot Lane, Bow Brook Ford</v>
      </c>
      <c r="H758" t="e" vm="6">
        <f>_xlfn.XLOOKUP(AllDataCorrected[[#This Row],[Site Name]],LocationsKey[Site Name],LocationsKey[District])</f>
        <v>#VALUE!</v>
      </c>
      <c r="I758" t="e" vm="7">
        <f>_xlfn.XLOOKUP(AllDataCorrected[[#This Row],[Site Name]],LocationsKey[Site Name],LocationsKey[Town])</f>
        <v>#VALUE!</v>
      </c>
      <c r="J758" t="str">
        <f>_xlfn.XLOOKUP(AllDataCorrected[[#This Row],[Site Name]],LocationsKey[Site Name], LocationsKey[Waterway])</f>
        <v>Bow Brook</v>
      </c>
      <c r="K758" t="s">
        <v>775</v>
      </c>
      <c r="L758">
        <f>_xlfn.XLOOKUP(AllDataCorrected[[#This Row],[Site Name]],Tables!$B$12:$B$100, Tables!C$12:C$100)</f>
        <v>52.12810345454546</v>
      </c>
      <c r="M758">
        <f>_xlfn.XLOOKUP(AllDataCorrected[[#This Row],[Site Name]],Tables!$B$12:$B$100, Tables!D$12:D$100)</f>
        <v>-2.0789593939393938</v>
      </c>
      <c r="N758" t="s">
        <v>25</v>
      </c>
      <c r="O758">
        <v>945</v>
      </c>
      <c r="P758">
        <v>16</v>
      </c>
      <c r="Q758">
        <v>5</v>
      </c>
      <c r="R758" t="str">
        <f>IF(AllDataCorrected[[#This Row],[Nitrate (PPM)]]&gt;2, "4. Very high (&gt;2ppm)", IF(AllDataCorrected[[#This Row],[Nitrate (PPM)]]&gt;1, "3. High (1-2ppm)", IF(AllDataCorrected[[#This Row],[Nitrate (PPM)]]&gt;0.5, "2. Some evidence (0.5-1ppm)", IF(AllDataCorrected[[#This Row],[Nitrate (PPM)]]&gt;=0, "1. No evidence (&lt;0.5ppm)"))))</f>
        <v>4. Very high (&gt;2ppm)</v>
      </c>
      <c r="S758">
        <v>0.84</v>
      </c>
      <c r="T7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58">
        <v>0.3</v>
      </c>
      <c r="V758" t="s">
        <v>1132</v>
      </c>
    </row>
    <row r="759" spans="1:22" x14ac:dyDescent="0.35">
      <c r="A759" t="s">
        <v>1203</v>
      </c>
      <c r="B759" s="2">
        <v>45414</v>
      </c>
      <c r="C759" t="str" cm="1">
        <f t="array" ref="C7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59">
        <f>YEAR(AllDataCorrected[[#This Row],[Date]])</f>
        <v>2024</v>
      </c>
      <c r="E759" s="1">
        <v>0.45833333333333331</v>
      </c>
      <c r="F7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59" t="str">
        <f>_xlfn.XLOOKUP(AllDataCorrected[[#This Row],[Location Name]], Locations[Location Name],Locations[Group As])</f>
        <v>Stour Willington</v>
      </c>
      <c r="H759" t="e" vm="1">
        <f>_xlfn.XLOOKUP(AllDataCorrected[[#This Row],[Site Name]],LocationsKey[Site Name],LocationsKey[District])</f>
        <v>#VALUE!</v>
      </c>
      <c r="I759" t="str">
        <f>_xlfn.XLOOKUP(AllDataCorrected[[#This Row],[Site Name]],LocationsKey[Site Name],LocationsKey[Town])</f>
        <v>Willington</v>
      </c>
      <c r="J759" t="str">
        <f>_xlfn.XLOOKUP(AllDataCorrected[[#This Row],[Site Name]],LocationsKey[Site Name], LocationsKey[Waterway])</f>
        <v>Stour</v>
      </c>
      <c r="K759" t="s">
        <v>521</v>
      </c>
      <c r="L759">
        <f>_xlfn.XLOOKUP(AllDataCorrected[[#This Row],[Site Name]],Tables!$B$12:$B$100, Tables!C$12:C$100)</f>
        <v>52.053227523809518</v>
      </c>
      <c r="M759">
        <f>_xlfn.XLOOKUP(AllDataCorrected[[#This Row],[Site Name]],Tables!$B$12:$B$100, Tables!D$12:D$100)</f>
        <v>-1.6194739523809523</v>
      </c>
      <c r="N759" t="s">
        <v>25</v>
      </c>
      <c r="O759">
        <v>617</v>
      </c>
      <c r="P759">
        <v>13.7</v>
      </c>
      <c r="Q759">
        <v>2</v>
      </c>
      <c r="R759" t="str">
        <f>IF(AllDataCorrected[[#This Row],[Nitrate (PPM)]]&gt;2, "4. Very high (&gt;2ppm)", IF(AllDataCorrected[[#This Row],[Nitrate (PPM)]]&gt;1, "3. High (1-2ppm)", IF(AllDataCorrected[[#This Row],[Nitrate (PPM)]]&gt;0.5, "2. Some evidence (0.5-1ppm)", IF(AllDataCorrected[[#This Row],[Nitrate (PPM)]]&gt;=0, "1. No evidence (&lt;0.5ppm)"))))</f>
        <v>3. High (1-2ppm)</v>
      </c>
      <c r="S759">
        <v>0.32</v>
      </c>
      <c r="T7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59">
        <v>0.5</v>
      </c>
    </row>
    <row r="760" spans="1:22" x14ac:dyDescent="0.35">
      <c r="A760" t="s">
        <v>1204</v>
      </c>
      <c r="B760" s="2">
        <v>45414</v>
      </c>
      <c r="C760" t="str" cm="1">
        <f t="array" ref="C7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0">
        <f>YEAR(AllDataCorrected[[#This Row],[Date]])</f>
        <v>2024</v>
      </c>
      <c r="E760" s="1">
        <v>0.64583333333333337</v>
      </c>
      <c r="F76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0" t="str">
        <f>_xlfn.XLOOKUP(AllDataCorrected[[#This Row],[Location Name]], Locations[Location Name],Locations[Group As])</f>
        <v>Stour Newbold Mill</v>
      </c>
      <c r="H760" t="e" vm="1">
        <f>_xlfn.XLOOKUP(AllDataCorrected[[#This Row],[Site Name]],LocationsKey[Site Name],LocationsKey[District])</f>
        <v>#VALUE!</v>
      </c>
      <c r="I760" t="e" vm="27">
        <f>_xlfn.XLOOKUP(AllDataCorrected[[#This Row],[Site Name]],LocationsKey[Site Name],LocationsKey[Town])</f>
        <v>#VALUE!</v>
      </c>
      <c r="J760" t="str">
        <f>_xlfn.XLOOKUP(AllDataCorrected[[#This Row],[Site Name]],LocationsKey[Site Name], LocationsKey[Waterway])</f>
        <v>Stour</v>
      </c>
      <c r="K760" t="s">
        <v>141</v>
      </c>
      <c r="L760">
        <f>_xlfn.XLOOKUP(AllDataCorrected[[#This Row],[Site Name]],Tables!$B$12:$B$100, Tables!C$12:C$100)</f>
        <v>52.113052370370369</v>
      </c>
      <c r="M760">
        <f>_xlfn.XLOOKUP(AllDataCorrected[[#This Row],[Site Name]],Tables!$B$12:$B$100, Tables!D$12:D$100)</f>
        <v>-1.6333685185185181</v>
      </c>
      <c r="N760" t="s">
        <v>31</v>
      </c>
      <c r="O760">
        <v>680</v>
      </c>
      <c r="P760">
        <v>15.4</v>
      </c>
      <c r="Q760">
        <v>2</v>
      </c>
      <c r="R760" t="str">
        <f>IF(AllDataCorrected[[#This Row],[Nitrate (PPM)]]&gt;2, "4. Very high (&gt;2ppm)", IF(AllDataCorrected[[#This Row],[Nitrate (PPM)]]&gt;1, "3. High (1-2ppm)", IF(AllDataCorrected[[#This Row],[Nitrate (PPM)]]&gt;0.5, "2. Some evidence (0.5-1ppm)", IF(AllDataCorrected[[#This Row],[Nitrate (PPM)]]&gt;=0, "1. No evidence (&lt;0.5ppm)"))))</f>
        <v>3. High (1-2ppm)</v>
      </c>
      <c r="S760">
        <v>0.46</v>
      </c>
      <c r="T7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0">
        <v>2.5</v>
      </c>
      <c r="V760" t="s">
        <v>533</v>
      </c>
    </row>
    <row r="761" spans="1:22" x14ac:dyDescent="0.35">
      <c r="A761" t="s">
        <v>1205</v>
      </c>
      <c r="B761" s="2">
        <v>45415</v>
      </c>
      <c r="C761" t="str" cm="1">
        <f t="array" ref="C7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1">
        <f>YEAR(AllDataCorrected[[#This Row],[Date]])</f>
        <v>2024</v>
      </c>
      <c r="E761" s="1">
        <v>0.54513888888888884</v>
      </c>
      <c r="F7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1" t="str">
        <f>_xlfn.XLOOKUP(AllDataCorrected[[#This Row],[Location Name]], Locations[Location Name],Locations[Group As])</f>
        <v>Swilgate</v>
      </c>
      <c r="H761" t="e" vm="4">
        <f>_xlfn.XLOOKUP(AllDataCorrected[[#This Row],[Site Name]],LocationsKey[Site Name],LocationsKey[District])</f>
        <v>#VALUE!</v>
      </c>
      <c r="I761" t="e" vm="4">
        <f>_xlfn.XLOOKUP(AllDataCorrected[[#This Row],[Site Name]],LocationsKey[Site Name],LocationsKey[Town])</f>
        <v>#VALUE!</v>
      </c>
      <c r="J761" t="str">
        <f>_xlfn.XLOOKUP(AllDataCorrected[[#This Row],[Site Name]],LocationsKey[Site Name], LocationsKey[Waterway])</f>
        <v>Swilgate</v>
      </c>
      <c r="K761" t="s">
        <v>85</v>
      </c>
      <c r="L761">
        <f>_xlfn.XLOOKUP(AllDataCorrected[[#This Row],[Site Name]],Tables!$B$12:$B$100, Tables!C$12:C$100)</f>
        <v>51.988591500000005</v>
      </c>
      <c r="M761">
        <f>_xlfn.XLOOKUP(AllDataCorrected[[#This Row],[Site Name]],Tables!$B$12:$B$100, Tables!D$12:D$100)</f>
        <v>-2.163898333333333</v>
      </c>
      <c r="N761" t="s">
        <v>25</v>
      </c>
      <c r="O761">
        <v>589</v>
      </c>
      <c r="P761">
        <v>12.1</v>
      </c>
      <c r="Q761">
        <v>4</v>
      </c>
      <c r="R761" t="str">
        <f>IF(AllDataCorrected[[#This Row],[Nitrate (PPM)]]&gt;2, "4. Very high (&gt;2ppm)", IF(AllDataCorrected[[#This Row],[Nitrate (PPM)]]&gt;1, "3. High (1-2ppm)", IF(AllDataCorrected[[#This Row],[Nitrate (PPM)]]&gt;0.5, "2. Some evidence (0.5-1ppm)", IF(AllDataCorrected[[#This Row],[Nitrate (PPM)]]&gt;=0, "1. No evidence (&lt;0.5ppm)"))))</f>
        <v>4. Very high (&gt;2ppm)</v>
      </c>
      <c r="S761">
        <v>0.55000000000000004</v>
      </c>
      <c r="T7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1">
        <v>0</v>
      </c>
    </row>
    <row r="762" spans="1:22" x14ac:dyDescent="0.35">
      <c r="A762" t="s">
        <v>1206</v>
      </c>
      <c r="B762" s="2">
        <v>45415</v>
      </c>
      <c r="C762" t="str" cm="1">
        <f t="array" ref="C7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2">
        <f>YEAR(AllDataCorrected[[#This Row],[Date]])</f>
        <v>2024</v>
      </c>
      <c r="E762" s="1">
        <v>0.625</v>
      </c>
      <c r="F7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2" t="str">
        <f>_xlfn.XLOOKUP(AllDataCorrected[[#This Row],[Location Name]], Locations[Location Name],Locations[Group As])</f>
        <v>Preston-on-Stour River Bridge</v>
      </c>
      <c r="H762" t="e" vm="1">
        <f>_xlfn.XLOOKUP(AllDataCorrected[[#This Row],[Site Name]],LocationsKey[Site Name],LocationsKey[District])</f>
        <v>#VALUE!</v>
      </c>
      <c r="I762" t="e" vm="20">
        <f>_xlfn.XLOOKUP(AllDataCorrected[[#This Row],[Site Name]],LocationsKey[Site Name],LocationsKey[Town])</f>
        <v>#VALUE!</v>
      </c>
      <c r="J762" t="str">
        <f>_xlfn.XLOOKUP(AllDataCorrected[[#This Row],[Site Name]],LocationsKey[Site Name], LocationsKey[Waterway])</f>
        <v>Stour</v>
      </c>
      <c r="K762" t="s">
        <v>164</v>
      </c>
      <c r="L762">
        <f>_xlfn.XLOOKUP(AllDataCorrected[[#This Row],[Site Name]],Tables!$B$12:$B$100, Tables!C$12:C$100)</f>
        <v>52.146672352941174</v>
      </c>
      <c r="M762">
        <f>_xlfn.XLOOKUP(AllDataCorrected[[#This Row],[Site Name]],Tables!$B$12:$B$100, Tables!D$12:D$100)</f>
        <v>-1.6984533333333334</v>
      </c>
      <c r="N762" t="s">
        <v>31</v>
      </c>
      <c r="O762">
        <v>702</v>
      </c>
      <c r="P762">
        <v>12</v>
      </c>
      <c r="Q762">
        <v>5</v>
      </c>
      <c r="R762" t="str">
        <f>IF(AllDataCorrected[[#This Row],[Nitrate (PPM)]]&gt;2, "4. Very high (&gt;2ppm)", IF(AllDataCorrected[[#This Row],[Nitrate (PPM)]]&gt;1, "3. High (1-2ppm)", IF(AllDataCorrected[[#This Row],[Nitrate (PPM)]]&gt;0.5, "2. Some evidence (0.5-1ppm)", IF(AllDataCorrected[[#This Row],[Nitrate (PPM)]]&gt;=0, "1. No evidence (&lt;0.5ppm)"))))</f>
        <v>4. Very high (&gt;2ppm)</v>
      </c>
      <c r="S762">
        <v>0.22</v>
      </c>
      <c r="T7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2">
        <v>1.5</v>
      </c>
    </row>
    <row r="763" spans="1:22" x14ac:dyDescent="0.35">
      <c r="A763" t="s">
        <v>1209</v>
      </c>
      <c r="B763" s="2">
        <v>45416</v>
      </c>
      <c r="C763" t="str" cm="1">
        <f t="array" ref="C7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3">
        <f>YEAR(AllDataCorrected[[#This Row],[Date]])</f>
        <v>2024</v>
      </c>
      <c r="E763" s="1">
        <v>0.29444444444444445</v>
      </c>
      <c r="F7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3" t="str">
        <f>_xlfn.XLOOKUP(AllDataCorrected[[#This Row],[Location Name]], Locations[Location Name],Locations[Group As])</f>
        <v>Lower Lode</v>
      </c>
      <c r="H763" t="e" vm="4">
        <f>_xlfn.XLOOKUP(AllDataCorrected[[#This Row],[Site Name]],LocationsKey[Site Name],LocationsKey[District])</f>
        <v>#VALUE!</v>
      </c>
      <c r="I763" t="e" vm="4">
        <f>_xlfn.XLOOKUP(AllDataCorrected[[#This Row],[Site Name]],LocationsKey[Site Name],LocationsKey[Town])</f>
        <v>#VALUE!</v>
      </c>
      <c r="J763" t="str">
        <f>_xlfn.XLOOKUP(AllDataCorrected[[#This Row],[Site Name]],LocationsKey[Site Name], LocationsKey[Waterway])</f>
        <v>Avon</v>
      </c>
      <c r="K763" t="s">
        <v>595</v>
      </c>
      <c r="L763">
        <f>_xlfn.XLOOKUP(AllDataCorrected[[#This Row],[Site Name]],Tables!$B$12:$B$100, Tables!C$12:C$100)</f>
        <v>51.984916745098026</v>
      </c>
      <c r="M763">
        <f>_xlfn.XLOOKUP(AllDataCorrected[[#This Row],[Site Name]],Tables!$B$12:$B$100, Tables!D$12:D$100)</f>
        <v>-2.1745787647058821</v>
      </c>
      <c r="N763" t="s">
        <v>31</v>
      </c>
      <c r="O763">
        <v>7000</v>
      </c>
      <c r="P763">
        <v>12.7</v>
      </c>
      <c r="Q763">
        <v>10</v>
      </c>
      <c r="R763" t="str">
        <f>IF(AllDataCorrected[[#This Row],[Nitrate (PPM)]]&gt;2, "4. Very high (&gt;2ppm)", IF(AllDataCorrected[[#This Row],[Nitrate (PPM)]]&gt;1, "3. High (1-2ppm)", IF(AllDataCorrected[[#This Row],[Nitrate (PPM)]]&gt;0.5, "2. Some evidence (0.5-1ppm)", IF(AllDataCorrected[[#This Row],[Nitrate (PPM)]]&gt;=0, "1. No evidence (&lt;0.5ppm)"))))</f>
        <v>4. Very high (&gt;2ppm)</v>
      </c>
      <c r="S763">
        <v>0.56999999999999995</v>
      </c>
      <c r="T7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3">
        <v>1</v>
      </c>
    </row>
    <row r="764" spans="1:22" x14ac:dyDescent="0.35">
      <c r="A764" t="s">
        <v>1210</v>
      </c>
      <c r="B764" s="2">
        <v>45416</v>
      </c>
      <c r="C764" t="str" cm="1">
        <f t="array" ref="C7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4">
        <f>YEAR(AllDataCorrected[[#This Row],[Date]])</f>
        <v>2024</v>
      </c>
      <c r="E764" s="1">
        <v>0.4375</v>
      </c>
      <c r="F7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4" t="str">
        <f>_xlfn.XLOOKUP(AllDataCorrected[[#This Row],[Location Name]], Locations[Location Name],Locations[Group As])</f>
        <v>Avon Smiths Meadow Wyre Piddle</v>
      </c>
      <c r="H764" t="e" vm="6">
        <f>_xlfn.XLOOKUP(AllDataCorrected[[#This Row],[Site Name]],LocationsKey[Site Name],LocationsKey[District])</f>
        <v>#VALUE!</v>
      </c>
      <c r="I764" t="e" vm="13">
        <f>_xlfn.XLOOKUP(AllDataCorrected[[#This Row],[Site Name]],LocationsKey[Site Name],LocationsKey[Town])</f>
        <v>#VALUE!</v>
      </c>
      <c r="J764" t="str">
        <f>_xlfn.XLOOKUP(AllDataCorrected[[#This Row],[Site Name]],LocationsKey[Site Name], LocationsKey[Waterway])</f>
        <v>Avon</v>
      </c>
      <c r="K764" t="s">
        <v>784</v>
      </c>
      <c r="L764">
        <f>_xlfn.XLOOKUP(AllDataCorrected[[#This Row],[Site Name]],Tables!$B$12:$B$100, Tables!C$12:C$100)</f>
        <v>52.123126101694929</v>
      </c>
      <c r="M764">
        <f>_xlfn.XLOOKUP(AllDataCorrected[[#This Row],[Site Name]],Tables!$B$12:$B$100, Tables!D$12:D$100)</f>
        <v>-2.0572511355932215</v>
      </c>
      <c r="N764" t="s">
        <v>25</v>
      </c>
      <c r="O764">
        <v>723</v>
      </c>
      <c r="P764">
        <v>13.1</v>
      </c>
      <c r="Q764">
        <v>6</v>
      </c>
      <c r="R764" t="str">
        <f>IF(AllDataCorrected[[#This Row],[Nitrate (PPM)]]&gt;2, "4. Very high (&gt;2ppm)", IF(AllDataCorrected[[#This Row],[Nitrate (PPM)]]&gt;1, "3. High (1-2ppm)", IF(AllDataCorrected[[#This Row],[Nitrate (PPM)]]&gt;0.5, "2. Some evidence (0.5-1ppm)", IF(AllDataCorrected[[#This Row],[Nitrate (PPM)]]&gt;=0, "1. No evidence (&lt;0.5ppm)"))))</f>
        <v>4. Very high (&gt;2ppm)</v>
      </c>
      <c r="S764">
        <v>0.5</v>
      </c>
      <c r="T7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4">
        <v>0.89</v>
      </c>
      <c r="V764" t="s">
        <v>1211</v>
      </c>
    </row>
    <row r="765" spans="1:22" x14ac:dyDescent="0.35">
      <c r="A765" t="s">
        <v>1212</v>
      </c>
      <c r="B765" s="2">
        <v>45416</v>
      </c>
      <c r="C765" t="str" cm="1">
        <f t="array" ref="C7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5">
        <f>YEAR(AllDataCorrected[[#This Row],[Date]])</f>
        <v>2024</v>
      </c>
      <c r="E765" s="1">
        <v>0.46875</v>
      </c>
      <c r="F7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5" t="str">
        <f>_xlfn.XLOOKUP(AllDataCorrected[[#This Row],[Location Name]], Locations[Location Name],Locations[Group As])</f>
        <v>Piddle Brook Wyre Piddle Bridge</v>
      </c>
      <c r="H765" t="e" vm="6">
        <f>_xlfn.XLOOKUP(AllDataCorrected[[#This Row],[Site Name]],LocationsKey[Site Name],LocationsKey[District])</f>
        <v>#VALUE!</v>
      </c>
      <c r="I765" t="e" vm="13">
        <f>_xlfn.XLOOKUP(AllDataCorrected[[#This Row],[Site Name]],LocationsKey[Site Name],LocationsKey[Town])</f>
        <v>#VALUE!</v>
      </c>
      <c r="J765" t="str">
        <f>_xlfn.XLOOKUP(AllDataCorrected[[#This Row],[Site Name]],LocationsKey[Site Name], LocationsKey[Waterway])</f>
        <v>Piddle Brook</v>
      </c>
      <c r="K765" t="s">
        <v>787</v>
      </c>
      <c r="L765">
        <f>_xlfn.XLOOKUP(AllDataCorrected[[#This Row],[Site Name]],Tables!$B$12:$B$100, Tables!C$12:C$100)</f>
        <v>52.126394500000039</v>
      </c>
      <c r="M765">
        <f>_xlfn.XLOOKUP(AllDataCorrected[[#This Row],[Site Name]],Tables!$B$12:$B$100, Tables!D$12:D$100)</f>
        <v>-2.0564211206896545</v>
      </c>
      <c r="N765" t="s">
        <v>25</v>
      </c>
      <c r="O765">
        <v>1030</v>
      </c>
      <c r="P765">
        <v>12.8</v>
      </c>
      <c r="Q765">
        <v>5</v>
      </c>
      <c r="R765" t="str">
        <f>IF(AllDataCorrected[[#This Row],[Nitrate (PPM)]]&gt;2, "4. Very high (&gt;2ppm)", IF(AllDataCorrected[[#This Row],[Nitrate (PPM)]]&gt;1, "3. High (1-2ppm)", IF(AllDataCorrected[[#This Row],[Nitrate (PPM)]]&gt;0.5, "2. Some evidence (0.5-1ppm)", IF(AllDataCorrected[[#This Row],[Nitrate (PPM)]]&gt;=0, "1. No evidence (&lt;0.5ppm)"))))</f>
        <v>4. Very high (&gt;2ppm)</v>
      </c>
      <c r="S765">
        <v>0.72</v>
      </c>
      <c r="T7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65">
        <v>0.37</v>
      </c>
      <c r="V765" t="s">
        <v>1213</v>
      </c>
    </row>
    <row r="766" spans="1:22" x14ac:dyDescent="0.35">
      <c r="A766" t="s">
        <v>1214</v>
      </c>
      <c r="B766" s="2">
        <v>45417</v>
      </c>
      <c r="C766" t="str" cm="1">
        <f t="array" ref="C7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6">
        <f>YEAR(AllDataCorrected[[#This Row],[Date]])</f>
        <v>2024</v>
      </c>
      <c r="E766" s="1">
        <v>0.41111111111111109</v>
      </c>
      <c r="F7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6" t="str">
        <f>_xlfn.XLOOKUP(AllDataCorrected[[#This Row],[Location Name]], Locations[Location Name],Locations[Group As])</f>
        <v>Black Bear</v>
      </c>
      <c r="H766" t="e" vm="4">
        <f>_xlfn.XLOOKUP(AllDataCorrected[[#This Row],[Site Name]],LocationsKey[Site Name],LocationsKey[District])</f>
        <v>#VALUE!</v>
      </c>
      <c r="I766" t="e" vm="4">
        <f>_xlfn.XLOOKUP(AllDataCorrected[[#This Row],[Site Name]],LocationsKey[Site Name],LocationsKey[Town])</f>
        <v>#VALUE!</v>
      </c>
      <c r="J766" t="str">
        <f>_xlfn.XLOOKUP(AllDataCorrected[[#This Row],[Site Name]],LocationsKey[Site Name], LocationsKey[Waterway])</f>
        <v>Avon</v>
      </c>
      <c r="K766" t="s">
        <v>572</v>
      </c>
      <c r="L766">
        <f>_xlfn.XLOOKUP(AllDataCorrected[[#This Row],[Site Name]],Tables!$B$12:$B$100, Tables!C$12:C$100)</f>
        <v>51.997466254237274</v>
      </c>
      <c r="M766">
        <f>_xlfn.XLOOKUP(AllDataCorrected[[#This Row],[Site Name]],Tables!$B$12:$B$100, Tables!D$12:D$100)</f>
        <v>-2.1561788644067801</v>
      </c>
      <c r="N766" t="s">
        <v>25</v>
      </c>
      <c r="O766">
        <v>708</v>
      </c>
      <c r="P766">
        <v>15</v>
      </c>
      <c r="Q766">
        <v>3</v>
      </c>
      <c r="R766" t="str">
        <f>IF(AllDataCorrected[[#This Row],[Nitrate (PPM)]]&gt;2, "4. Very high (&gt;2ppm)", IF(AllDataCorrected[[#This Row],[Nitrate (PPM)]]&gt;1, "3. High (1-2ppm)", IF(AllDataCorrected[[#This Row],[Nitrate (PPM)]]&gt;0.5, "2. Some evidence (0.5-1ppm)", IF(AllDataCorrected[[#This Row],[Nitrate (PPM)]]&gt;=0, "1. No evidence (&lt;0.5ppm)"))))</f>
        <v>4. Very high (&gt;2ppm)</v>
      </c>
      <c r="S766">
        <v>0.49</v>
      </c>
      <c r="T7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6">
        <v>0</v>
      </c>
    </row>
    <row r="767" spans="1:22" x14ac:dyDescent="0.35">
      <c r="A767" t="s">
        <v>1215</v>
      </c>
      <c r="B767" s="2">
        <v>45417</v>
      </c>
      <c r="C767" t="str" cm="1">
        <f t="array" ref="C7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7">
        <f>YEAR(AllDataCorrected[[#This Row],[Date]])</f>
        <v>2024</v>
      </c>
      <c r="E767" s="1">
        <v>0.48958333333333331</v>
      </c>
      <c r="F7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7" t="str">
        <f>_xlfn.XLOOKUP(AllDataCorrected[[#This Row],[Location Name]], Locations[Location Name],Locations[Group As])</f>
        <v>Carrant Bredon Rd</v>
      </c>
      <c r="H767" t="e" vm="4">
        <f>_xlfn.XLOOKUP(AllDataCorrected[[#This Row],[Site Name]],LocationsKey[Site Name],LocationsKey[District])</f>
        <v>#VALUE!</v>
      </c>
      <c r="I767" t="e" vm="4">
        <f>_xlfn.XLOOKUP(AllDataCorrected[[#This Row],[Site Name]],LocationsKey[Site Name],LocationsKey[Town])</f>
        <v>#VALUE!</v>
      </c>
      <c r="J767" t="str">
        <f>_xlfn.XLOOKUP(AllDataCorrected[[#This Row],[Site Name]],LocationsKey[Site Name], LocationsKey[Waterway])</f>
        <v>Carrant</v>
      </c>
      <c r="K767" t="s">
        <v>603</v>
      </c>
      <c r="L767">
        <f>_xlfn.XLOOKUP(AllDataCorrected[[#This Row],[Site Name]],Tables!$B$12:$B$100, Tables!C$12:C$100)</f>
        <v>51.996322536231894</v>
      </c>
      <c r="M767">
        <f>_xlfn.XLOOKUP(AllDataCorrected[[#This Row],[Site Name]],Tables!$B$12:$B$100, Tables!D$12:D$100)</f>
        <v>-2.1558410144927538</v>
      </c>
      <c r="N767" t="s">
        <v>25</v>
      </c>
      <c r="O767">
        <v>714</v>
      </c>
      <c r="P767">
        <v>13.7</v>
      </c>
      <c r="Q767">
        <v>7</v>
      </c>
      <c r="R767" t="str">
        <f>IF(AllDataCorrected[[#This Row],[Nitrate (PPM)]]&gt;2, "4. Very high (&gt;2ppm)", IF(AllDataCorrected[[#This Row],[Nitrate (PPM)]]&gt;1, "3. High (1-2ppm)", IF(AllDataCorrected[[#This Row],[Nitrate (PPM)]]&gt;0.5, "2. Some evidence (0.5-1ppm)", IF(AllDataCorrected[[#This Row],[Nitrate (PPM)]]&gt;=0, "1. No evidence (&lt;0.5ppm)"))))</f>
        <v>4. Very high (&gt;2ppm)</v>
      </c>
      <c r="S767">
        <v>0.22</v>
      </c>
      <c r="T7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7">
        <v>0.1</v>
      </c>
      <c r="V767" t="s">
        <v>1216</v>
      </c>
    </row>
    <row r="768" spans="1:22" x14ac:dyDescent="0.35">
      <c r="A768" t="s">
        <v>1217</v>
      </c>
      <c r="B768" s="2">
        <v>45417</v>
      </c>
      <c r="C768" t="str" cm="1">
        <f t="array" ref="C7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8">
        <f>YEAR(AllDataCorrected[[#This Row],[Date]])</f>
        <v>2024</v>
      </c>
      <c r="E768" s="1">
        <v>0.48958333333333331</v>
      </c>
      <c r="F7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68" t="str">
        <f>_xlfn.XLOOKUP(AllDataCorrected[[#This Row],[Location Name]], Locations[Location Name],Locations[Group As])</f>
        <v>Lucy's Mill Bridge</v>
      </c>
      <c r="H768" t="e" vm="1">
        <f>_xlfn.XLOOKUP(AllDataCorrected[[#This Row],[Site Name]],LocationsKey[Site Name],LocationsKey[District])</f>
        <v>#VALUE!</v>
      </c>
      <c r="I768" t="e" vm="12">
        <f>_xlfn.XLOOKUP(AllDataCorrected[[#This Row],[Site Name]],LocationsKey[Site Name],LocationsKey[Town])</f>
        <v>#VALUE!</v>
      </c>
      <c r="J768" t="str">
        <f>_xlfn.XLOOKUP(AllDataCorrected[[#This Row],[Site Name]],LocationsKey[Site Name], LocationsKey[Waterway])</f>
        <v>Avon</v>
      </c>
      <c r="K768" t="s">
        <v>212</v>
      </c>
      <c r="L768">
        <f>_xlfn.XLOOKUP(AllDataCorrected[[#This Row],[Site Name]],Tables!$B$12:$B$100, Tables!C$12:C$100)</f>
        <v>52.183699000000011</v>
      </c>
      <c r="M768">
        <f>_xlfn.XLOOKUP(AllDataCorrected[[#This Row],[Site Name]],Tables!$B$12:$B$100, Tables!D$12:D$100)</f>
        <v>-1.7078160000000004</v>
      </c>
      <c r="N768" t="s">
        <v>31</v>
      </c>
      <c r="P768">
        <v>12</v>
      </c>
      <c r="Q768">
        <v>10</v>
      </c>
      <c r="R768" t="str">
        <f>IF(AllDataCorrected[[#This Row],[Nitrate (PPM)]]&gt;2, "4. Very high (&gt;2ppm)", IF(AllDataCorrected[[#This Row],[Nitrate (PPM)]]&gt;1, "3. High (1-2ppm)", IF(AllDataCorrected[[#This Row],[Nitrate (PPM)]]&gt;0.5, "2. Some evidence (0.5-1ppm)", IF(AllDataCorrected[[#This Row],[Nitrate (PPM)]]&gt;=0, "1. No evidence (&lt;0.5ppm)"))))</f>
        <v>4. Very high (&gt;2ppm)</v>
      </c>
      <c r="S768">
        <v>0.28000000000000003</v>
      </c>
      <c r="T76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8">
        <v>0.7</v>
      </c>
    </row>
    <row r="769" spans="1:22" x14ac:dyDescent="0.35">
      <c r="A769" t="s">
        <v>1218</v>
      </c>
      <c r="B769" s="2">
        <v>45417</v>
      </c>
      <c r="C769" t="str" cm="1">
        <f t="array" ref="C7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69">
        <f>YEAR(AllDataCorrected[[#This Row],[Date]])</f>
        <v>2024</v>
      </c>
      <c r="E769" s="1">
        <v>0.54166666666666663</v>
      </c>
      <c r="F76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69" t="str">
        <f>_xlfn.XLOOKUP(AllDataCorrected[[#This Row],[Location Name]], Locations[Location Name],Locations[Group As])</f>
        <v>Avonbank Drive</v>
      </c>
      <c r="H769" t="e" vm="1">
        <f>_xlfn.XLOOKUP(AllDataCorrected[[#This Row],[Site Name]],LocationsKey[Site Name],LocationsKey[District])</f>
        <v>#VALUE!</v>
      </c>
      <c r="I769" t="e" vm="12">
        <f>_xlfn.XLOOKUP(AllDataCorrected[[#This Row],[Site Name]],LocationsKey[Site Name],LocationsKey[Town])</f>
        <v>#VALUE!</v>
      </c>
      <c r="J769" t="str">
        <f>_xlfn.XLOOKUP(AllDataCorrected[[#This Row],[Site Name]],LocationsKey[Site Name], LocationsKey[Waterway])</f>
        <v>Avon</v>
      </c>
      <c r="K769" t="s">
        <v>104</v>
      </c>
      <c r="L769">
        <f>_xlfn.XLOOKUP(AllDataCorrected[[#This Row],[Site Name]],Tables!$B$12:$B$100, Tables!C$12:C$100)</f>
        <v>51.566927775862098</v>
      </c>
      <c r="M769">
        <f>_xlfn.XLOOKUP(AllDataCorrected[[#This Row],[Site Name]],Tables!$B$12:$B$100, Tables!D$12:D$100)</f>
        <v>-7.2113336724137929</v>
      </c>
      <c r="N769" t="s">
        <v>68</v>
      </c>
      <c r="O769">
        <v>873</v>
      </c>
      <c r="P769">
        <v>20.5</v>
      </c>
      <c r="Q769">
        <v>10</v>
      </c>
      <c r="R769" t="str">
        <f>IF(AllDataCorrected[[#This Row],[Nitrate (PPM)]]&gt;2, "4. Very high (&gt;2ppm)", IF(AllDataCorrected[[#This Row],[Nitrate (PPM)]]&gt;1, "3. High (1-2ppm)", IF(AllDataCorrected[[#This Row],[Nitrate (PPM)]]&gt;0.5, "2. Some evidence (0.5-1ppm)", IF(AllDataCorrected[[#This Row],[Nitrate (PPM)]]&gt;=0, "1. No evidence (&lt;0.5ppm)"))))</f>
        <v>4. Very high (&gt;2ppm)</v>
      </c>
      <c r="S769">
        <v>0.32</v>
      </c>
      <c r="T7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69">
        <v>0.76</v>
      </c>
    </row>
    <row r="770" spans="1:22" x14ac:dyDescent="0.35">
      <c r="A770" t="s">
        <v>1219</v>
      </c>
      <c r="B770" s="2">
        <v>45417</v>
      </c>
      <c r="C770" t="str" cm="1">
        <f t="array" ref="C7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0">
        <f>YEAR(AllDataCorrected[[#This Row],[Date]])</f>
        <v>2024</v>
      </c>
      <c r="E770" s="1">
        <v>0.54166666666666663</v>
      </c>
      <c r="F7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0" t="str">
        <f>_xlfn.XLOOKUP(AllDataCorrected[[#This Row],[Location Name]], Locations[Location Name],Locations[Group As])</f>
        <v>Pitch 16</v>
      </c>
      <c r="H770" t="e" vm="1">
        <f>_xlfn.XLOOKUP(AllDataCorrected[[#This Row],[Site Name]],LocationsKey[Site Name],LocationsKey[District])</f>
        <v>#VALUE!</v>
      </c>
      <c r="I770" t="e" vm="12">
        <f>_xlfn.XLOOKUP(AllDataCorrected[[#This Row],[Site Name]],LocationsKey[Site Name],LocationsKey[Town])</f>
        <v>#VALUE!</v>
      </c>
      <c r="J770" t="str">
        <f>_xlfn.XLOOKUP(AllDataCorrected[[#This Row],[Site Name]],LocationsKey[Site Name], LocationsKey[Waterway])</f>
        <v>Avon</v>
      </c>
      <c r="K770" t="s">
        <v>71</v>
      </c>
      <c r="L770">
        <f>_xlfn.XLOOKUP(AllDataCorrected[[#This Row],[Site Name]],Tables!$B$12:$B$100, Tables!C$12:C$100)</f>
        <v>51.289310076923087</v>
      </c>
      <c r="M770">
        <f>_xlfn.XLOOKUP(AllDataCorrected[[#This Row],[Site Name]],Tables!$B$12:$B$100, Tables!D$12:D$100)</f>
        <v>-0.10399761538461544</v>
      </c>
      <c r="N770" t="s">
        <v>31</v>
      </c>
      <c r="O770">
        <v>863</v>
      </c>
      <c r="P770">
        <v>20.6</v>
      </c>
      <c r="Q770">
        <v>10</v>
      </c>
      <c r="R770" t="str">
        <f>IF(AllDataCorrected[[#This Row],[Nitrate (PPM)]]&gt;2, "4. Very high (&gt;2ppm)", IF(AllDataCorrected[[#This Row],[Nitrate (PPM)]]&gt;1, "3. High (1-2ppm)", IF(AllDataCorrected[[#This Row],[Nitrate (PPM)]]&gt;0.5, "2. Some evidence (0.5-1ppm)", IF(AllDataCorrected[[#This Row],[Nitrate (PPM)]]&gt;=0, "1. No evidence (&lt;0.5ppm)"))))</f>
        <v>4. Very high (&gt;2ppm)</v>
      </c>
      <c r="S770">
        <v>0.17</v>
      </c>
      <c r="T7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0">
        <v>0.76</v>
      </c>
    </row>
    <row r="771" spans="1:22" x14ac:dyDescent="0.35">
      <c r="A771" t="s">
        <v>1220</v>
      </c>
      <c r="B771" s="2">
        <v>45417</v>
      </c>
      <c r="C771" t="str" cm="1">
        <f t="array" ref="C7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1">
        <f>YEAR(AllDataCorrected[[#This Row],[Date]])</f>
        <v>2024</v>
      </c>
      <c r="E771" s="1">
        <v>0.58333333333333337</v>
      </c>
      <c r="F7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1" t="str">
        <f>_xlfn.XLOOKUP(AllDataCorrected[[#This Row],[Location Name]], Locations[Location Name],Locations[Group As])</f>
        <v>Clifford Chambers Mill Bridge</v>
      </c>
      <c r="H771" t="e" vm="1">
        <f>_xlfn.XLOOKUP(AllDataCorrected[[#This Row],[Site Name]],LocationsKey[Site Name],LocationsKey[District])</f>
        <v>#VALUE!</v>
      </c>
      <c r="I771" t="e" vm="22">
        <f>_xlfn.XLOOKUP(AllDataCorrected[[#This Row],[Site Name]],LocationsKey[Site Name],LocationsKey[Town])</f>
        <v>#VALUE!</v>
      </c>
      <c r="J771" t="str">
        <f>_xlfn.XLOOKUP(AllDataCorrected[[#This Row],[Site Name]],LocationsKey[Site Name], LocationsKey[Waterway])</f>
        <v>Stour</v>
      </c>
      <c r="K771" t="s">
        <v>266</v>
      </c>
      <c r="L771">
        <f>_xlfn.XLOOKUP(AllDataCorrected[[#This Row],[Site Name]],Tables!$B$12:$B$100, Tables!C$12:C$100)</f>
        <v>52.166363596153808</v>
      </c>
      <c r="M771">
        <f>_xlfn.XLOOKUP(AllDataCorrected[[#This Row],[Site Name]],Tables!$B$12:$B$100, Tables!D$12:D$100)</f>
        <v>-1.7080375384615398</v>
      </c>
      <c r="N771" t="s">
        <v>68</v>
      </c>
      <c r="O771">
        <v>616</v>
      </c>
      <c r="P771">
        <v>16</v>
      </c>
      <c r="Q771">
        <v>9</v>
      </c>
      <c r="R771" t="str">
        <f>IF(AllDataCorrected[[#This Row],[Nitrate (PPM)]]&gt;2, "4. Very high (&gt;2ppm)", IF(AllDataCorrected[[#This Row],[Nitrate (PPM)]]&gt;1, "3. High (1-2ppm)", IF(AllDataCorrected[[#This Row],[Nitrate (PPM)]]&gt;0.5, "2. Some evidence (0.5-1ppm)", IF(AllDataCorrected[[#This Row],[Nitrate (PPM)]]&gt;=0, "1. No evidence (&lt;0.5ppm)"))))</f>
        <v>4. Very high (&gt;2ppm)</v>
      </c>
      <c r="S771">
        <v>0.2</v>
      </c>
      <c r="T7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1">
        <v>0.8</v>
      </c>
    </row>
    <row r="772" spans="1:22" x14ac:dyDescent="0.35">
      <c r="A772" t="s">
        <v>1221</v>
      </c>
      <c r="B772" s="2">
        <v>45417</v>
      </c>
      <c r="C772" t="str" cm="1">
        <f t="array" ref="C7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2">
        <f>YEAR(AllDataCorrected[[#This Row],[Date]])</f>
        <v>2024</v>
      </c>
      <c r="E772" s="1">
        <v>0.63541666666666663</v>
      </c>
      <c r="F7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2" t="str">
        <f>_xlfn.XLOOKUP(AllDataCorrected[[#This Row],[Location Name]], Locations[Location Name],Locations[Group As])</f>
        <v>Bell Brook 1</v>
      </c>
      <c r="H772" t="e" vm="1">
        <f>_xlfn.XLOOKUP(AllDataCorrected[[#This Row],[Site Name]],LocationsKey[Site Name],LocationsKey[District])</f>
        <v>#VALUE!</v>
      </c>
      <c r="I772" t="e" vm="19">
        <f>_xlfn.XLOOKUP(AllDataCorrected[[#This Row],[Site Name]],LocationsKey[Site Name],LocationsKey[Town])</f>
        <v>#VALUE!</v>
      </c>
      <c r="J772" t="str">
        <f>_xlfn.XLOOKUP(AllDataCorrected[[#This Row],[Site Name]],LocationsKey[Site Name], LocationsKey[Waterway])</f>
        <v>Bell Brook</v>
      </c>
      <c r="K772" t="s">
        <v>538</v>
      </c>
      <c r="L772">
        <f>_xlfn.XLOOKUP(AllDataCorrected[[#This Row],[Site Name]],Tables!$B$12:$B$100, Tables!C$12:C$100)</f>
        <v>52.24489999999998</v>
      </c>
      <c r="M772">
        <f>_xlfn.XLOOKUP(AllDataCorrected[[#This Row],[Site Name]],Tables!$B$12:$B$100, Tables!D$12:D$100)</f>
        <v>-1.6617000000000013</v>
      </c>
      <c r="N772" t="s">
        <v>25</v>
      </c>
      <c r="O772">
        <v>702</v>
      </c>
      <c r="P772">
        <v>14.6</v>
      </c>
      <c r="Q772">
        <v>6</v>
      </c>
      <c r="R772" t="str">
        <f>IF(AllDataCorrected[[#This Row],[Nitrate (PPM)]]&gt;2, "4. Very high (&gt;2ppm)", IF(AllDataCorrected[[#This Row],[Nitrate (PPM)]]&gt;1, "3. High (1-2ppm)", IF(AllDataCorrected[[#This Row],[Nitrate (PPM)]]&gt;0.5, "2. Some evidence (0.5-1ppm)", IF(AllDataCorrected[[#This Row],[Nitrate (PPM)]]&gt;=0, "1. No evidence (&lt;0.5ppm)"))))</f>
        <v>4. Very high (&gt;2ppm)</v>
      </c>
      <c r="S772">
        <v>0.79</v>
      </c>
      <c r="T7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2">
        <v>0.1</v>
      </c>
    </row>
    <row r="773" spans="1:22" x14ac:dyDescent="0.35">
      <c r="A773" t="s">
        <v>1222</v>
      </c>
      <c r="B773" s="2">
        <v>45417</v>
      </c>
      <c r="C773" t="str" cm="1">
        <f t="array" ref="C7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3">
        <f>YEAR(AllDataCorrected[[#This Row],[Date]])</f>
        <v>2024</v>
      </c>
      <c r="E773" s="1">
        <v>0.66388888888888886</v>
      </c>
      <c r="F7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3" t="str">
        <f>_xlfn.XLOOKUP(AllDataCorrected[[#This Row],[Location Name]], Locations[Location Name],Locations[Group As])</f>
        <v>Sherbourne Brook 1</v>
      </c>
      <c r="H773" t="e" vm="1">
        <f>_xlfn.XLOOKUP(AllDataCorrected[[#This Row],[Site Name]],LocationsKey[Site Name],LocationsKey[District])</f>
        <v>#VALUE!</v>
      </c>
      <c r="I773" t="e" vm="23">
        <f>_xlfn.XLOOKUP(AllDataCorrected[[#This Row],[Site Name]],LocationsKey[Site Name],LocationsKey[Town])</f>
        <v>#VALUE!</v>
      </c>
      <c r="J773" t="str">
        <f>_xlfn.XLOOKUP(AllDataCorrected[[#This Row],[Site Name]],LocationsKey[Site Name], LocationsKey[Waterway])</f>
        <v>Sherbourne Brook</v>
      </c>
      <c r="K773" t="s">
        <v>541</v>
      </c>
      <c r="L773">
        <f>_xlfn.XLOOKUP(AllDataCorrected[[#This Row],[Site Name]],Tables!$B$12:$B$100, Tables!C$12:C$100)</f>
        <v>52.252500000000033</v>
      </c>
      <c r="M773">
        <f>_xlfn.XLOOKUP(AllDataCorrected[[#This Row],[Site Name]],Tables!$B$12:$B$100, Tables!D$12:D$100)</f>
        <v>-1.6685000000000012</v>
      </c>
      <c r="N773" t="s">
        <v>25</v>
      </c>
      <c r="O773">
        <v>1060</v>
      </c>
      <c r="P773">
        <v>14</v>
      </c>
      <c r="Q773">
        <v>8</v>
      </c>
      <c r="R773" t="str">
        <f>IF(AllDataCorrected[[#This Row],[Nitrate (PPM)]]&gt;2, "4. Very high (&gt;2ppm)", IF(AllDataCorrected[[#This Row],[Nitrate (PPM)]]&gt;1, "3. High (1-2ppm)", IF(AllDataCorrected[[#This Row],[Nitrate (PPM)]]&gt;0.5, "2. Some evidence (0.5-1ppm)", IF(AllDataCorrected[[#This Row],[Nitrate (PPM)]]&gt;=0, "1. No evidence (&lt;0.5ppm)"))))</f>
        <v>4. Very high (&gt;2ppm)</v>
      </c>
      <c r="S773">
        <v>0.39</v>
      </c>
      <c r="T7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3">
        <v>0.1</v>
      </c>
    </row>
    <row r="774" spans="1:22" x14ac:dyDescent="0.35">
      <c r="A774" t="s">
        <v>1223</v>
      </c>
      <c r="B774" s="2">
        <v>45417</v>
      </c>
      <c r="C774" t="str" cm="1">
        <f t="array" ref="C7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4">
        <f>YEAR(AllDataCorrected[[#This Row],[Date]])</f>
        <v>2024</v>
      </c>
      <c r="E774" s="1">
        <v>0.70138888888888884</v>
      </c>
      <c r="F7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74" t="str">
        <f>_xlfn.XLOOKUP(AllDataCorrected[[#This Row],[Location Name]], Locations[Location Name],Locations[Group As])</f>
        <v>Fell Mill Footbridge</v>
      </c>
      <c r="H774" t="e" vm="1">
        <f>_xlfn.XLOOKUP(AllDataCorrected[[#This Row],[Site Name]],LocationsKey[Site Name],LocationsKey[District])</f>
        <v>#VALUE!</v>
      </c>
      <c r="I774" t="e" vm="15">
        <f>_xlfn.XLOOKUP(AllDataCorrected[[#This Row],[Site Name]],LocationsKey[Site Name],LocationsKey[Town])</f>
        <v>#VALUE!</v>
      </c>
      <c r="J774" t="str">
        <f>_xlfn.XLOOKUP(AllDataCorrected[[#This Row],[Site Name]],LocationsKey[Site Name], LocationsKey[Waterway])</f>
        <v>Stour</v>
      </c>
      <c r="K774" t="s">
        <v>875</v>
      </c>
      <c r="L774">
        <f>_xlfn.XLOOKUP(AllDataCorrected[[#This Row],[Site Name]],Tables!$B$12:$B$100, Tables!C$12:C$100)</f>
        <v>52.069044372881365</v>
      </c>
      <c r="M774">
        <f>_xlfn.XLOOKUP(AllDataCorrected[[#This Row],[Site Name]],Tables!$B$12:$B$100, Tables!D$12:D$100)</f>
        <v>-1.6116270169491524</v>
      </c>
      <c r="N774" t="s">
        <v>31</v>
      </c>
      <c r="O774">
        <v>632</v>
      </c>
      <c r="P774">
        <v>13.3</v>
      </c>
      <c r="Q774">
        <v>5</v>
      </c>
      <c r="R774" t="str">
        <f>IF(AllDataCorrected[[#This Row],[Nitrate (PPM)]]&gt;2, "4. Very high (&gt;2ppm)", IF(AllDataCorrected[[#This Row],[Nitrate (PPM)]]&gt;1, "3. High (1-2ppm)", IF(AllDataCorrected[[#This Row],[Nitrate (PPM)]]&gt;0.5, "2. Some evidence (0.5-1ppm)", IF(AllDataCorrected[[#This Row],[Nitrate (PPM)]]&gt;=0, "1. No evidence (&lt;0.5ppm)"))))</f>
        <v>4. Very high (&gt;2ppm)</v>
      </c>
      <c r="S774">
        <v>0.31</v>
      </c>
      <c r="T7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4">
        <v>1.49</v>
      </c>
      <c r="V774" t="s">
        <v>1224</v>
      </c>
    </row>
    <row r="775" spans="1:22" x14ac:dyDescent="0.35">
      <c r="A775" t="s">
        <v>1225</v>
      </c>
      <c r="B775" s="2">
        <v>45417</v>
      </c>
      <c r="C775" t="str" cm="1">
        <f t="array" ref="C7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5">
        <f>YEAR(AllDataCorrected[[#This Row],[Date]])</f>
        <v>2024</v>
      </c>
      <c r="F77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5" t="str">
        <f>_xlfn.XLOOKUP(AllDataCorrected[[#This Row],[Location Name]], Locations[Location Name],Locations[Group As])</f>
        <v>Site 1  :  Middle Street</v>
      </c>
      <c r="H775" t="e" vm="1">
        <f>_xlfn.XLOOKUP(AllDataCorrected[[#This Row],[Site Name]],LocationsKey[Site Name],LocationsKey[District])</f>
        <v>#VALUE!</v>
      </c>
      <c r="I775" t="e" vm="14">
        <f>_xlfn.XLOOKUP(AllDataCorrected[[#This Row],[Site Name]],LocationsKey[Site Name],LocationsKey[Town])</f>
        <v>#VALUE!</v>
      </c>
      <c r="J775" t="str">
        <f>_xlfn.XLOOKUP(AllDataCorrected[[#This Row],[Site Name]],LocationsKey[Site Name], LocationsKey[Waterway])</f>
        <v>Fosseway Brook</v>
      </c>
      <c r="K775" t="s">
        <v>667</v>
      </c>
      <c r="L775">
        <f>_xlfn.XLOOKUP(AllDataCorrected[[#This Row],[Site Name]],Tables!$B$12:$B$100, Tables!C$12:C$100)</f>
        <v>52.090081855670022</v>
      </c>
      <c r="M775">
        <f>_xlfn.XLOOKUP(AllDataCorrected[[#This Row],[Site Name]],Tables!$B$12:$B$100, Tables!D$12:D$100)</f>
        <v>-1.6925771134020597</v>
      </c>
      <c r="N775" t="s">
        <v>68</v>
      </c>
      <c r="O775">
        <v>603</v>
      </c>
      <c r="P775">
        <v>15.8</v>
      </c>
      <c r="Q775">
        <v>5</v>
      </c>
      <c r="R775" t="str">
        <f>IF(AllDataCorrected[[#This Row],[Nitrate (PPM)]]&gt;2, "4. Very high (&gt;2ppm)", IF(AllDataCorrected[[#This Row],[Nitrate (PPM)]]&gt;1, "3. High (1-2ppm)", IF(AllDataCorrected[[#This Row],[Nitrate (PPM)]]&gt;0.5, "2. Some evidence (0.5-1ppm)", IF(AllDataCorrected[[#This Row],[Nitrate (PPM)]]&gt;=0, "1. No evidence (&lt;0.5ppm)"))))</f>
        <v>4. Very high (&gt;2ppm)</v>
      </c>
      <c r="S775">
        <v>0.21</v>
      </c>
      <c r="T7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5">
        <v>0</v>
      </c>
      <c r="V775" t="s">
        <v>835</v>
      </c>
    </row>
    <row r="776" spans="1:22" x14ac:dyDescent="0.35">
      <c r="A776" t="s">
        <v>1226</v>
      </c>
      <c r="B776" s="2">
        <v>45417</v>
      </c>
      <c r="C776" t="str" cm="1">
        <f t="array" ref="C7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6">
        <f>YEAR(AllDataCorrected[[#This Row],[Date]])</f>
        <v>2024</v>
      </c>
      <c r="F77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6" t="str">
        <f>_xlfn.XLOOKUP(AllDataCorrected[[#This Row],[Location Name]], Locations[Location Name],Locations[Group As])</f>
        <v>Site 1  :  Middle Street</v>
      </c>
      <c r="H776" t="e" vm="1">
        <f>_xlfn.XLOOKUP(AllDataCorrected[[#This Row],[Site Name]],LocationsKey[Site Name],LocationsKey[District])</f>
        <v>#VALUE!</v>
      </c>
      <c r="I776" t="e" vm="14">
        <f>_xlfn.XLOOKUP(AllDataCorrected[[#This Row],[Site Name]],LocationsKey[Site Name],LocationsKey[Town])</f>
        <v>#VALUE!</v>
      </c>
      <c r="J776" t="str">
        <f>_xlfn.XLOOKUP(AllDataCorrected[[#This Row],[Site Name]],LocationsKey[Site Name], LocationsKey[Waterway])</f>
        <v>Fosseway Brook</v>
      </c>
      <c r="K776" t="s">
        <v>670</v>
      </c>
      <c r="L776">
        <f>_xlfn.XLOOKUP(AllDataCorrected[[#This Row],[Site Name]],Tables!$B$12:$B$100, Tables!C$12:C$100)</f>
        <v>52.090081855670022</v>
      </c>
      <c r="M776">
        <f>_xlfn.XLOOKUP(AllDataCorrected[[#This Row],[Site Name]],Tables!$B$12:$B$100, Tables!D$12:D$100)</f>
        <v>-1.6925771134020597</v>
      </c>
      <c r="N776" t="s">
        <v>68</v>
      </c>
      <c r="O776">
        <v>603</v>
      </c>
      <c r="P776">
        <v>15.8</v>
      </c>
      <c r="Q776">
        <v>5</v>
      </c>
      <c r="R776" t="str">
        <f>IF(AllDataCorrected[[#This Row],[Nitrate (PPM)]]&gt;2, "4. Very high (&gt;2ppm)", IF(AllDataCorrected[[#This Row],[Nitrate (PPM)]]&gt;1, "3. High (1-2ppm)", IF(AllDataCorrected[[#This Row],[Nitrate (PPM)]]&gt;0.5, "2. Some evidence (0.5-1ppm)", IF(AllDataCorrected[[#This Row],[Nitrate (PPM)]]&gt;=0, "1. No evidence (&lt;0.5ppm)"))))</f>
        <v>4. Very high (&gt;2ppm)</v>
      </c>
      <c r="S776">
        <v>0.21</v>
      </c>
      <c r="T7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77" spans="1:22" x14ac:dyDescent="0.35">
      <c r="A777" t="s">
        <v>1227</v>
      </c>
      <c r="B777" s="2">
        <v>45417</v>
      </c>
      <c r="C777" t="str" cm="1">
        <f t="array" ref="C7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7">
        <f>YEAR(AllDataCorrected[[#This Row],[Date]])</f>
        <v>2024</v>
      </c>
      <c r="F77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7" t="str">
        <f>_xlfn.XLOOKUP(AllDataCorrected[[#This Row],[Location Name]], Locations[Location Name],Locations[Group As])</f>
        <v>Site 2  :  Cross Leys culvert</v>
      </c>
      <c r="H777" t="e" vm="1">
        <f>_xlfn.XLOOKUP(AllDataCorrected[[#This Row],[Site Name]],LocationsKey[Site Name],LocationsKey[District])</f>
        <v>#VALUE!</v>
      </c>
      <c r="I777" t="e" vm="14">
        <f>_xlfn.XLOOKUP(AllDataCorrected[[#This Row],[Site Name]],LocationsKey[Site Name],LocationsKey[Town])</f>
        <v>#VALUE!</v>
      </c>
      <c r="J777" t="str">
        <f>_xlfn.XLOOKUP(AllDataCorrected[[#This Row],[Site Name]],LocationsKey[Site Name], LocationsKey[Waterway])</f>
        <v>Fosseway Brook</v>
      </c>
      <c r="K777" t="s">
        <v>623</v>
      </c>
      <c r="L777">
        <f>_xlfn.XLOOKUP(AllDataCorrected[[#This Row],[Site Name]],Tables!$B$12:$B$100, Tables!C$12:C$100)</f>
        <v>52.092997354838673</v>
      </c>
      <c r="M777">
        <f>_xlfn.XLOOKUP(AllDataCorrected[[#This Row],[Site Name]],Tables!$B$12:$B$100, Tables!D$12:D$100)</f>
        <v>-1.6862254516129045</v>
      </c>
      <c r="N777" t="s">
        <v>68</v>
      </c>
      <c r="O777">
        <v>662</v>
      </c>
      <c r="P777">
        <v>17.3</v>
      </c>
      <c r="Q777">
        <v>5</v>
      </c>
      <c r="R777" t="str">
        <f>IF(AllDataCorrected[[#This Row],[Nitrate (PPM)]]&gt;2, "4. Very high (&gt;2ppm)", IF(AllDataCorrected[[#This Row],[Nitrate (PPM)]]&gt;1, "3. High (1-2ppm)", IF(AllDataCorrected[[#This Row],[Nitrate (PPM)]]&gt;0.5, "2. Some evidence (0.5-1ppm)", IF(AllDataCorrected[[#This Row],[Nitrate (PPM)]]&gt;=0, "1. No evidence (&lt;0.5ppm)"))))</f>
        <v>4. Very high (&gt;2ppm)</v>
      </c>
      <c r="S777">
        <v>0.46</v>
      </c>
      <c r="T7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77">
        <v>0</v>
      </c>
      <c r="V777" t="s">
        <v>835</v>
      </c>
    </row>
    <row r="778" spans="1:22" x14ac:dyDescent="0.35">
      <c r="A778" t="s">
        <v>1228</v>
      </c>
      <c r="B778" s="2">
        <v>45417</v>
      </c>
      <c r="C778" t="str" cm="1">
        <f t="array" ref="C7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8">
        <f>YEAR(AllDataCorrected[[#This Row],[Date]])</f>
        <v>2024</v>
      </c>
      <c r="F7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8" t="str">
        <f>_xlfn.XLOOKUP(AllDataCorrected[[#This Row],[Location Name]], Locations[Location Name],Locations[Group As])</f>
        <v>Site 2  :  Cross Leys culvert</v>
      </c>
      <c r="H778" t="e" vm="1">
        <f>_xlfn.XLOOKUP(AllDataCorrected[[#This Row],[Site Name]],LocationsKey[Site Name],LocationsKey[District])</f>
        <v>#VALUE!</v>
      </c>
      <c r="I778" t="e" vm="14">
        <f>_xlfn.XLOOKUP(AllDataCorrected[[#This Row],[Site Name]],LocationsKey[Site Name],LocationsKey[Town])</f>
        <v>#VALUE!</v>
      </c>
      <c r="J778" t="str">
        <f>_xlfn.XLOOKUP(AllDataCorrected[[#This Row],[Site Name]],LocationsKey[Site Name], LocationsKey[Waterway])</f>
        <v>Fosseway Brook</v>
      </c>
      <c r="K778" t="s">
        <v>626</v>
      </c>
      <c r="L778">
        <f>_xlfn.XLOOKUP(AllDataCorrected[[#This Row],[Site Name]],Tables!$B$12:$B$100, Tables!C$12:C$100)</f>
        <v>52.092997354838673</v>
      </c>
      <c r="M778">
        <f>_xlfn.XLOOKUP(AllDataCorrected[[#This Row],[Site Name]],Tables!$B$12:$B$100, Tables!D$12:D$100)</f>
        <v>-1.6862254516129045</v>
      </c>
      <c r="N778" t="s">
        <v>68</v>
      </c>
      <c r="O778">
        <v>662</v>
      </c>
      <c r="P778">
        <v>17.3</v>
      </c>
      <c r="Q778">
        <v>5</v>
      </c>
      <c r="R778" t="str">
        <f>IF(AllDataCorrected[[#This Row],[Nitrate (PPM)]]&gt;2, "4. Very high (&gt;2ppm)", IF(AllDataCorrected[[#This Row],[Nitrate (PPM)]]&gt;1, "3. High (1-2ppm)", IF(AllDataCorrected[[#This Row],[Nitrate (PPM)]]&gt;0.5, "2. Some evidence (0.5-1ppm)", IF(AllDataCorrected[[#This Row],[Nitrate (PPM)]]&gt;=0, "1. No evidence (&lt;0.5ppm)"))))</f>
        <v>4. Very high (&gt;2ppm)</v>
      </c>
      <c r="S778">
        <v>0.46</v>
      </c>
      <c r="T77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779" spans="1:22" x14ac:dyDescent="0.35">
      <c r="A779" t="s">
        <v>1229</v>
      </c>
      <c r="B779" s="2">
        <v>45417</v>
      </c>
      <c r="C779" t="str" cm="1">
        <f t="array" ref="C7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79">
        <f>YEAR(AllDataCorrected[[#This Row],[Date]])</f>
        <v>2024</v>
      </c>
      <c r="F7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79" t="str">
        <f>_xlfn.XLOOKUP(AllDataCorrected[[#This Row],[Location Name]], Locations[Location Name],Locations[Group As])</f>
        <v>Site 3  :  Severn Trent Water processing plant outflow</v>
      </c>
      <c r="H779" t="e" vm="1">
        <f>_xlfn.XLOOKUP(AllDataCorrected[[#This Row],[Site Name]],LocationsKey[Site Name],LocationsKey[District])</f>
        <v>#VALUE!</v>
      </c>
      <c r="I779" t="e" vm="14">
        <f>_xlfn.XLOOKUP(AllDataCorrected[[#This Row],[Site Name]],LocationsKey[Site Name],LocationsKey[Town])</f>
        <v>#VALUE!</v>
      </c>
      <c r="J779" t="str">
        <f>_xlfn.XLOOKUP(AllDataCorrected[[#This Row],[Site Name]],LocationsKey[Site Name], LocationsKey[Waterway])</f>
        <v>Fosseway Brook</v>
      </c>
      <c r="K779" t="s">
        <v>673</v>
      </c>
      <c r="L779">
        <f>_xlfn.XLOOKUP(AllDataCorrected[[#This Row],[Site Name]],Tables!$B$12:$B$100, Tables!C$12:C$100)</f>
        <v>52.130499999999998</v>
      </c>
      <c r="M779">
        <f>_xlfn.XLOOKUP(AllDataCorrected[[#This Row],[Site Name]],Tables!$B$12:$B$100, Tables!D$12:D$100)</f>
        <v>-2.0787</v>
      </c>
      <c r="N779" t="s">
        <v>31</v>
      </c>
      <c r="O779">
        <v>830</v>
      </c>
      <c r="P779">
        <v>16.3</v>
      </c>
      <c r="Q779">
        <v>10</v>
      </c>
      <c r="R779" t="str">
        <f>IF(AllDataCorrected[[#This Row],[Nitrate (PPM)]]&gt;2, "4. Very high (&gt;2ppm)", IF(AllDataCorrected[[#This Row],[Nitrate (PPM)]]&gt;1, "3. High (1-2ppm)", IF(AllDataCorrected[[#This Row],[Nitrate (PPM)]]&gt;0.5, "2. Some evidence (0.5-1ppm)", IF(AllDataCorrected[[#This Row],[Nitrate (PPM)]]&gt;=0, "1. No evidence (&lt;0.5ppm)"))))</f>
        <v>4. Very high (&gt;2ppm)</v>
      </c>
      <c r="S779">
        <v>2.5</v>
      </c>
      <c r="T7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79">
        <v>0</v>
      </c>
      <c r="V779" t="s">
        <v>840</v>
      </c>
    </row>
    <row r="780" spans="1:22" x14ac:dyDescent="0.35">
      <c r="A780" t="s">
        <v>1230</v>
      </c>
      <c r="B780" s="2">
        <v>45417</v>
      </c>
      <c r="C780" t="str" cm="1">
        <f t="array" ref="C7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0">
        <f>YEAR(AllDataCorrected[[#This Row],[Date]])</f>
        <v>2024</v>
      </c>
      <c r="F7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80" t="str">
        <f>_xlfn.XLOOKUP(AllDataCorrected[[#This Row],[Location Name]], Locations[Location Name],Locations[Group As])</f>
        <v>Site 3  :  Severn Trent Water processing plant outflow</v>
      </c>
      <c r="H780" t="e" vm="1">
        <f>_xlfn.XLOOKUP(AllDataCorrected[[#This Row],[Site Name]],LocationsKey[Site Name],LocationsKey[District])</f>
        <v>#VALUE!</v>
      </c>
      <c r="I780" t="e" vm="14">
        <f>_xlfn.XLOOKUP(AllDataCorrected[[#This Row],[Site Name]],LocationsKey[Site Name],LocationsKey[Town])</f>
        <v>#VALUE!</v>
      </c>
      <c r="J780" t="str">
        <f>_xlfn.XLOOKUP(AllDataCorrected[[#This Row],[Site Name]],LocationsKey[Site Name], LocationsKey[Waterway])</f>
        <v>Fosseway Brook</v>
      </c>
      <c r="K780" t="s">
        <v>676</v>
      </c>
      <c r="L780">
        <f>_xlfn.XLOOKUP(AllDataCorrected[[#This Row],[Site Name]],Tables!$B$12:$B$100, Tables!C$12:C$100)</f>
        <v>52.130499999999998</v>
      </c>
      <c r="M780">
        <f>_xlfn.XLOOKUP(AllDataCorrected[[#This Row],[Site Name]],Tables!$B$12:$B$100, Tables!D$12:D$100)</f>
        <v>-2.0787</v>
      </c>
      <c r="N780" t="s">
        <v>31</v>
      </c>
      <c r="O780">
        <v>830</v>
      </c>
      <c r="P780">
        <v>16.3</v>
      </c>
      <c r="Q780">
        <v>10</v>
      </c>
      <c r="R780" t="str">
        <f>IF(AllDataCorrected[[#This Row],[Nitrate (PPM)]]&gt;2, "4. Very high (&gt;2ppm)", IF(AllDataCorrected[[#This Row],[Nitrate (PPM)]]&gt;1, "3. High (1-2ppm)", IF(AllDataCorrected[[#This Row],[Nitrate (PPM)]]&gt;0.5, "2. Some evidence (0.5-1ppm)", IF(AllDataCorrected[[#This Row],[Nitrate (PPM)]]&gt;=0, "1. No evidence (&lt;0.5ppm)"))))</f>
        <v>4. Very high (&gt;2ppm)</v>
      </c>
      <c r="S780">
        <v>2.5</v>
      </c>
      <c r="T7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781" spans="1:22" x14ac:dyDescent="0.35">
      <c r="A781" t="s">
        <v>1232</v>
      </c>
      <c r="B781" s="2">
        <v>45418</v>
      </c>
      <c r="C781" t="str" cm="1">
        <f t="array" ref="C7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1">
        <f>YEAR(AllDataCorrected[[#This Row],[Date]])</f>
        <v>2024</v>
      </c>
      <c r="E781" s="1">
        <v>6.3194444444444442E-2</v>
      </c>
      <c r="F7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81" t="str">
        <f>_xlfn.XLOOKUP(AllDataCorrected[[#This Row],[Location Name]], Locations[Location Name],Locations[Group As])</f>
        <v>The Ford, Langley</v>
      </c>
      <c r="H781" t="e" vm="1">
        <f>_xlfn.XLOOKUP(AllDataCorrected[[#This Row],[Site Name]],LocationsKey[Site Name],LocationsKey[District])</f>
        <v>#VALUE!</v>
      </c>
      <c r="I781" t="str">
        <f>_xlfn.XLOOKUP(AllDataCorrected[[#This Row],[Site Name]],LocationsKey[Site Name],LocationsKey[Town])</f>
        <v>Langley</v>
      </c>
      <c r="J781" t="str">
        <f>_xlfn.XLOOKUP(AllDataCorrected[[#This Row],[Site Name]],LocationsKey[Site Name], LocationsKey[Waterway])</f>
        <v>Langley Ford</v>
      </c>
      <c r="K781" t="s">
        <v>530</v>
      </c>
      <c r="L781">
        <f>_xlfn.XLOOKUP(AllDataCorrected[[#This Row],[Site Name]],Tables!$B$12:$B$100, Tables!C$12:C$100)</f>
        <v>52.262666528301864</v>
      </c>
      <c r="M781">
        <f>_xlfn.XLOOKUP(AllDataCorrected[[#This Row],[Site Name]],Tables!$B$12:$B$100, Tables!D$12:D$100)</f>
        <v>-1.6545845283018858</v>
      </c>
      <c r="N781" t="s">
        <v>31</v>
      </c>
      <c r="O781">
        <v>737</v>
      </c>
      <c r="P781">
        <v>13.3</v>
      </c>
      <c r="Q781">
        <v>5</v>
      </c>
      <c r="R781" t="str">
        <f>IF(AllDataCorrected[[#This Row],[Nitrate (PPM)]]&gt;2, "4. Very high (&gt;2ppm)", IF(AllDataCorrected[[#This Row],[Nitrate (PPM)]]&gt;1, "3. High (1-2ppm)", IF(AllDataCorrected[[#This Row],[Nitrate (PPM)]]&gt;0.5, "2. Some evidence (0.5-1ppm)", IF(AllDataCorrected[[#This Row],[Nitrate (PPM)]]&gt;=0, "1. No evidence (&lt;0.5ppm)"))))</f>
        <v>4. Very high (&gt;2ppm)</v>
      </c>
      <c r="S781">
        <v>0.62</v>
      </c>
      <c r="T7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1">
        <v>0.2</v>
      </c>
    </row>
    <row r="782" spans="1:22" x14ac:dyDescent="0.35">
      <c r="A782" t="s">
        <v>1233</v>
      </c>
      <c r="B782" s="2">
        <v>45418</v>
      </c>
      <c r="C782" t="str" cm="1">
        <f t="array" ref="C7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2">
        <f>YEAR(AllDataCorrected[[#This Row],[Date]])</f>
        <v>2024</v>
      </c>
      <c r="E782" s="1">
        <v>0.44583333333333336</v>
      </c>
      <c r="F7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2" t="str">
        <f>_xlfn.XLOOKUP(AllDataCorrected[[#This Row],[Location Name]], Locations[Location Name],Locations[Group As])</f>
        <v>Stour Stretton-on-Fosse Village</v>
      </c>
      <c r="H782" t="e" vm="1">
        <f>_xlfn.XLOOKUP(AllDataCorrected[[#This Row],[Site Name]],LocationsKey[Site Name],LocationsKey[District])</f>
        <v>#VALUE!</v>
      </c>
      <c r="I782" t="e" vm="30">
        <f>_xlfn.XLOOKUP(AllDataCorrected[[#This Row],[Site Name]],LocationsKey[Site Name],LocationsKey[Town])</f>
        <v>#VALUE!</v>
      </c>
      <c r="J782" t="str">
        <f>_xlfn.XLOOKUP(AllDataCorrected[[#This Row],[Site Name]],LocationsKey[Site Name], LocationsKey[Waterway])</f>
        <v>Stour</v>
      </c>
      <c r="K782" t="s">
        <v>548</v>
      </c>
      <c r="L782">
        <f>_xlfn.XLOOKUP(AllDataCorrected[[#This Row],[Site Name]],Tables!$B$12:$B$100, Tables!C$12:C$100)</f>
        <v>52.046517558823531</v>
      </c>
      <c r="M782">
        <f>_xlfn.XLOOKUP(AllDataCorrected[[#This Row],[Site Name]],Tables!$B$12:$B$100, Tables!D$12:D$100)</f>
        <v>-1.6734143529411762</v>
      </c>
      <c r="N782" t="s">
        <v>68</v>
      </c>
      <c r="O782">
        <v>744</v>
      </c>
      <c r="P782">
        <v>12.7</v>
      </c>
      <c r="Q782">
        <v>2</v>
      </c>
      <c r="R782" t="str">
        <f>IF(AllDataCorrected[[#This Row],[Nitrate (PPM)]]&gt;2, "4. Very high (&gt;2ppm)", IF(AllDataCorrected[[#This Row],[Nitrate (PPM)]]&gt;1, "3. High (1-2ppm)", IF(AllDataCorrected[[#This Row],[Nitrate (PPM)]]&gt;0.5, "2. Some evidence (0.5-1ppm)", IF(AllDataCorrected[[#This Row],[Nitrate (PPM)]]&gt;=0, "1. No evidence (&lt;0.5ppm)"))))</f>
        <v>3. High (1-2ppm)</v>
      </c>
      <c r="S782">
        <v>1.72</v>
      </c>
      <c r="T7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2">
        <v>0.2</v>
      </c>
    </row>
    <row r="783" spans="1:22" x14ac:dyDescent="0.35">
      <c r="A783" t="s">
        <v>1234</v>
      </c>
      <c r="B783" s="2">
        <v>45418</v>
      </c>
      <c r="C783" t="str" cm="1">
        <f t="array" ref="C7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3">
        <f>YEAR(AllDataCorrected[[#This Row],[Date]])</f>
        <v>2024</v>
      </c>
      <c r="E783" s="1">
        <v>0.45555555555555555</v>
      </c>
      <c r="F7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3" t="str">
        <f>_xlfn.XLOOKUP(AllDataCorrected[[#This Row],[Location Name]], Locations[Location Name],Locations[Group As])</f>
        <v>Stour Stretton-on-Fosse Sewage Works</v>
      </c>
      <c r="H783" t="e" vm="1">
        <f>_xlfn.XLOOKUP(AllDataCorrected[[#This Row],[Site Name]],LocationsKey[Site Name],LocationsKey[District])</f>
        <v>#VALUE!</v>
      </c>
      <c r="I783" t="e" vm="30">
        <f>_xlfn.XLOOKUP(AllDataCorrected[[#This Row],[Site Name]],LocationsKey[Site Name],LocationsKey[Town])</f>
        <v>#VALUE!</v>
      </c>
      <c r="J783" t="str">
        <f>_xlfn.XLOOKUP(AllDataCorrected[[#This Row],[Site Name]],LocationsKey[Site Name], LocationsKey[Waterway])</f>
        <v>Stour</v>
      </c>
      <c r="K783" t="s">
        <v>337</v>
      </c>
      <c r="L783">
        <f>_xlfn.XLOOKUP(AllDataCorrected[[#This Row],[Site Name]],Tables!$B$12:$B$100, Tables!C$12:C$100)</f>
        <v>52.045653647058828</v>
      </c>
      <c r="M783">
        <f>_xlfn.XLOOKUP(AllDataCorrected[[#This Row],[Site Name]],Tables!$B$12:$B$100, Tables!D$12:D$100)</f>
        <v>-1.6719221470588239</v>
      </c>
      <c r="N783" t="s">
        <v>31</v>
      </c>
      <c r="O783">
        <v>778</v>
      </c>
      <c r="P783">
        <v>12.6</v>
      </c>
      <c r="Q783">
        <v>5</v>
      </c>
      <c r="R783" t="str">
        <f>IF(AllDataCorrected[[#This Row],[Nitrate (PPM)]]&gt;2, "4. Very high (&gt;2ppm)", IF(AllDataCorrected[[#This Row],[Nitrate (PPM)]]&gt;1, "3. High (1-2ppm)", IF(AllDataCorrected[[#This Row],[Nitrate (PPM)]]&gt;0.5, "2. Some evidence (0.5-1ppm)", IF(AllDataCorrected[[#This Row],[Nitrate (PPM)]]&gt;=0, "1. No evidence (&lt;0.5ppm)"))))</f>
        <v>4. Very high (&gt;2ppm)</v>
      </c>
      <c r="S783">
        <v>2.5</v>
      </c>
      <c r="T7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3">
        <v>0.25</v>
      </c>
      <c r="V783" t="s">
        <v>1235</v>
      </c>
    </row>
    <row r="784" spans="1:22" x14ac:dyDescent="0.35">
      <c r="A784" t="s">
        <v>1236</v>
      </c>
      <c r="B784" s="2">
        <v>45418</v>
      </c>
      <c r="C784" t="str" cm="1">
        <f t="array" ref="C7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4">
        <f>YEAR(AllDataCorrected[[#This Row],[Date]])</f>
        <v>2024</v>
      </c>
      <c r="E784" s="1">
        <v>0.53125</v>
      </c>
      <c r="F78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4" t="str">
        <f>_xlfn.XLOOKUP(AllDataCorrected[[#This Row],[Location Name]], Locations[Location Name],Locations[Group As])</f>
        <v>Mill Bridge Peopleton</v>
      </c>
      <c r="H784" t="e" vm="6">
        <f>_xlfn.XLOOKUP(AllDataCorrected[[#This Row],[Site Name]],LocationsKey[Site Name],LocationsKey[District])</f>
        <v>#VALUE!</v>
      </c>
      <c r="I784" t="str">
        <f>_xlfn.XLOOKUP(AllDataCorrected[[#This Row],[Site Name]],LocationsKey[Site Name],LocationsKey[Town])</f>
        <v>Peopleton</v>
      </c>
      <c r="J784" t="str">
        <f>_xlfn.XLOOKUP(AllDataCorrected[[#This Row],[Site Name]],LocationsKey[Site Name], LocationsKey[Waterway])</f>
        <v>Bow Brook</v>
      </c>
      <c r="K784" t="s">
        <v>1015</v>
      </c>
      <c r="L784">
        <f>_xlfn.XLOOKUP(AllDataCorrected[[#This Row],[Site Name]],Tables!$B$12:$B$100, Tables!C$12:C$100)</f>
        <v>52.151811999999993</v>
      </c>
      <c r="M784">
        <f>_xlfn.XLOOKUP(AllDataCorrected[[#This Row],[Site Name]],Tables!$B$12:$B$100, Tables!D$12:D$100)</f>
        <v>-2.0958865161290317</v>
      </c>
      <c r="N784" t="s">
        <v>31</v>
      </c>
      <c r="O784">
        <v>940</v>
      </c>
      <c r="P784">
        <v>14.8</v>
      </c>
      <c r="Q784">
        <v>5</v>
      </c>
      <c r="R784" t="str">
        <f>IF(AllDataCorrected[[#This Row],[Nitrate (PPM)]]&gt;2, "4. Very high (&gt;2ppm)", IF(AllDataCorrected[[#This Row],[Nitrate (PPM)]]&gt;1, "3. High (1-2ppm)", IF(AllDataCorrected[[#This Row],[Nitrate (PPM)]]&gt;0.5, "2. Some evidence (0.5-1ppm)", IF(AllDataCorrected[[#This Row],[Nitrate (PPM)]]&gt;=0, "1. No evidence (&lt;0.5ppm)"))))</f>
        <v>4. Very high (&gt;2ppm)</v>
      </c>
      <c r="S784">
        <v>1.0900000000000001</v>
      </c>
      <c r="T7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4">
        <v>0.45</v>
      </c>
    </row>
    <row r="785" spans="1:22" x14ac:dyDescent="0.35">
      <c r="A785" t="s">
        <v>1237</v>
      </c>
      <c r="B785" s="2">
        <v>45418</v>
      </c>
      <c r="C785" t="str" cm="1">
        <f t="array" ref="C7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5">
        <f>YEAR(AllDataCorrected[[#This Row],[Date]])</f>
        <v>2024</v>
      </c>
      <c r="E785" s="1">
        <v>0.59722222222222221</v>
      </c>
      <c r="F7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5" t="str">
        <f>_xlfn.XLOOKUP(AllDataCorrected[[#This Row],[Location Name]], Locations[Location Name],Locations[Group As])</f>
        <v>Swiffen Bank</v>
      </c>
      <c r="H785" t="e" vm="1">
        <f>_xlfn.XLOOKUP(AllDataCorrected[[#This Row],[Site Name]],LocationsKey[Site Name],LocationsKey[District])</f>
        <v>#VALUE!</v>
      </c>
      <c r="I785" t="e" vm="2">
        <f>_xlfn.XLOOKUP(AllDataCorrected[[#This Row],[Site Name]],LocationsKey[Site Name],LocationsKey[Town])</f>
        <v>#VALUE!</v>
      </c>
      <c r="J785" t="str">
        <f>_xlfn.XLOOKUP(AllDataCorrected[[#This Row],[Site Name]],LocationsKey[Site Name], LocationsKey[Waterway])</f>
        <v>Avon</v>
      </c>
      <c r="K785" t="s">
        <v>286</v>
      </c>
      <c r="L785">
        <f>_xlfn.XLOOKUP(AllDataCorrected[[#This Row],[Site Name]],Tables!$B$12:$B$100, Tables!C$12:C$100)</f>
        <v>52.206649805555557</v>
      </c>
      <c r="M785">
        <f>_xlfn.XLOOKUP(AllDataCorrected[[#This Row],[Site Name]],Tables!$B$12:$B$100, Tables!D$12:D$100)</f>
        <v>-1.6541018611111094</v>
      </c>
      <c r="N785" t="s">
        <v>31</v>
      </c>
      <c r="O785">
        <v>656</v>
      </c>
      <c r="P785">
        <v>15.1</v>
      </c>
      <c r="Q785">
        <v>10</v>
      </c>
      <c r="R785" t="str">
        <f>IF(AllDataCorrected[[#This Row],[Nitrate (PPM)]]&gt;2, "4. Very high (&gt;2ppm)", IF(AllDataCorrected[[#This Row],[Nitrate (PPM)]]&gt;1, "3. High (1-2ppm)", IF(AllDataCorrected[[#This Row],[Nitrate (PPM)]]&gt;0.5, "2. Some evidence (0.5-1ppm)", IF(AllDataCorrected[[#This Row],[Nitrate (PPM)]]&gt;=0, "1. No evidence (&lt;0.5ppm)"))))</f>
        <v>4. Very high (&gt;2ppm)</v>
      </c>
      <c r="S785">
        <v>0.36</v>
      </c>
      <c r="T7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5">
        <v>0</v>
      </c>
      <c r="V785" t="s">
        <v>1238</v>
      </c>
    </row>
    <row r="786" spans="1:22" x14ac:dyDescent="0.35">
      <c r="A786" t="s">
        <v>1239</v>
      </c>
      <c r="B786" s="2">
        <v>45419</v>
      </c>
      <c r="C786" t="str" cm="1">
        <f t="array" ref="C7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6">
        <f>YEAR(AllDataCorrected[[#This Row],[Date]])</f>
        <v>2024</v>
      </c>
      <c r="E786" s="1">
        <v>0.61458333333333337</v>
      </c>
      <c r="F7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6" t="str">
        <f>_xlfn.XLOOKUP(AllDataCorrected[[#This Row],[Location Name]], Locations[Location Name],Locations[Group As])</f>
        <v>Abbey Mill</v>
      </c>
      <c r="H786" t="e" vm="4">
        <f>_xlfn.XLOOKUP(AllDataCorrected[[#This Row],[Site Name]],LocationsKey[Site Name],LocationsKey[District])</f>
        <v>#VALUE!</v>
      </c>
      <c r="I786" t="e" vm="4">
        <f>_xlfn.XLOOKUP(AllDataCorrected[[#This Row],[Site Name]],LocationsKey[Site Name],LocationsKey[Town])</f>
        <v>#VALUE!</v>
      </c>
      <c r="J786" t="str">
        <f>_xlfn.XLOOKUP(AllDataCorrected[[#This Row],[Site Name]],LocationsKey[Site Name], LocationsKey[Waterway])</f>
        <v>Avon</v>
      </c>
      <c r="K786" t="s">
        <v>27</v>
      </c>
      <c r="L786">
        <f>_xlfn.XLOOKUP(AllDataCorrected[[#This Row],[Site Name]],Tables!$B$12:$B$100, Tables!C$12:C$100)</f>
        <v>51.991313075757589</v>
      </c>
      <c r="M786">
        <f>_xlfn.XLOOKUP(AllDataCorrected[[#This Row],[Site Name]],Tables!$B$12:$B$100, Tables!D$12:D$100)</f>
        <v>-2.1621998181818181</v>
      </c>
      <c r="N786" t="s">
        <v>25</v>
      </c>
      <c r="O786">
        <v>742</v>
      </c>
      <c r="P786">
        <v>15.7</v>
      </c>
      <c r="Q786">
        <v>9</v>
      </c>
      <c r="R786" t="str">
        <f>IF(AllDataCorrected[[#This Row],[Nitrate (PPM)]]&gt;2, "4. Very high (&gt;2ppm)", IF(AllDataCorrected[[#This Row],[Nitrate (PPM)]]&gt;1, "3. High (1-2ppm)", IF(AllDataCorrected[[#This Row],[Nitrate (PPM)]]&gt;0.5, "2. Some evidence (0.5-1ppm)", IF(AllDataCorrected[[#This Row],[Nitrate (PPM)]]&gt;=0, "1. No evidence (&lt;0.5ppm)"))))</f>
        <v>4. Very high (&gt;2ppm)</v>
      </c>
      <c r="S786">
        <v>0.52</v>
      </c>
      <c r="T7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6">
        <v>0.8</v>
      </c>
      <c r="V786" t="s">
        <v>1240</v>
      </c>
    </row>
    <row r="787" spans="1:22" x14ac:dyDescent="0.35">
      <c r="A787" t="s">
        <v>1241</v>
      </c>
      <c r="B787" s="2">
        <v>45419</v>
      </c>
      <c r="C787" t="str" cm="1">
        <f t="array" ref="C7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7">
        <f>YEAR(AllDataCorrected[[#This Row],[Date]])</f>
        <v>2024</v>
      </c>
      <c r="E787" s="1">
        <v>0.62152777777777779</v>
      </c>
      <c r="F7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87" t="str">
        <f>_xlfn.XLOOKUP(AllDataCorrected[[#This Row],[Location Name]], Locations[Location Name],Locations[Group As])</f>
        <v>Alveston Weir</v>
      </c>
      <c r="H787" t="e" vm="1">
        <f>_xlfn.XLOOKUP(AllDataCorrected[[#This Row],[Site Name]],LocationsKey[Site Name],LocationsKey[District])</f>
        <v>#VALUE!</v>
      </c>
      <c r="I787" t="e" vm="2">
        <f>_xlfn.XLOOKUP(AllDataCorrected[[#This Row],[Site Name]],LocationsKey[Site Name],LocationsKey[Town])</f>
        <v>#VALUE!</v>
      </c>
      <c r="J787" t="str">
        <f>_xlfn.XLOOKUP(AllDataCorrected[[#This Row],[Site Name]],LocationsKey[Site Name], LocationsKey[Waterway])</f>
        <v>Avon</v>
      </c>
      <c r="K787" t="s">
        <v>288</v>
      </c>
      <c r="L787">
        <f>_xlfn.XLOOKUP(AllDataCorrected[[#This Row],[Site Name]],Tables!$B$12:$B$100, Tables!C$12:C$100)</f>
        <v>52.21226301333337</v>
      </c>
      <c r="M787">
        <f>_xlfn.XLOOKUP(AllDataCorrected[[#This Row],[Site Name]],Tables!$B$12:$B$100, Tables!D$12:D$100)</f>
        <v>-1.6595226800000011</v>
      </c>
      <c r="N787" t="s">
        <v>31</v>
      </c>
      <c r="O787">
        <v>630</v>
      </c>
      <c r="P787">
        <v>18.399999999999999</v>
      </c>
      <c r="Q787">
        <v>5</v>
      </c>
      <c r="R787" t="str">
        <f>IF(AllDataCorrected[[#This Row],[Nitrate (PPM)]]&gt;2, "4. Very high (&gt;2ppm)", IF(AllDataCorrected[[#This Row],[Nitrate (PPM)]]&gt;1, "3. High (1-2ppm)", IF(AllDataCorrected[[#This Row],[Nitrate (PPM)]]&gt;0.5, "2. Some evidence (0.5-1ppm)", IF(AllDataCorrected[[#This Row],[Nitrate (PPM)]]&gt;=0, "1. No evidence (&lt;0.5ppm)"))))</f>
        <v>4. Very high (&gt;2ppm)</v>
      </c>
      <c r="S787">
        <v>0.35</v>
      </c>
      <c r="T7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7">
        <v>0</v>
      </c>
      <c r="V787" t="s">
        <v>1242</v>
      </c>
    </row>
    <row r="788" spans="1:22" x14ac:dyDescent="0.35">
      <c r="A788" t="s">
        <v>1243</v>
      </c>
      <c r="B788" s="2">
        <v>45420</v>
      </c>
      <c r="C788" t="str" cm="1">
        <f t="array" ref="C7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8">
        <f>YEAR(AllDataCorrected[[#This Row],[Date]])</f>
        <v>2024</v>
      </c>
      <c r="E788" s="1">
        <v>0.37638888888888888</v>
      </c>
      <c r="F7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8" t="str">
        <f>_xlfn.XLOOKUP(AllDataCorrected[[#This Row],[Location Name]], Locations[Location Name],Locations[Group As])</f>
        <v>Carrant Mitton Path</v>
      </c>
      <c r="H788" t="e" vm="4">
        <f>_xlfn.XLOOKUP(AllDataCorrected[[#This Row],[Site Name]],LocationsKey[Site Name],LocationsKey[District])</f>
        <v>#VALUE!</v>
      </c>
      <c r="I788" t="e" vm="4">
        <f>_xlfn.XLOOKUP(AllDataCorrected[[#This Row],[Site Name]],LocationsKey[Site Name],LocationsKey[Town])</f>
        <v>#VALUE!</v>
      </c>
      <c r="J788" t="str">
        <f>_xlfn.XLOOKUP(AllDataCorrected[[#This Row],[Site Name]],LocationsKey[Site Name], LocationsKey[Waterway])</f>
        <v>Carrant</v>
      </c>
      <c r="K788" t="s">
        <v>1244</v>
      </c>
      <c r="L788">
        <f>_xlfn.XLOOKUP(AllDataCorrected[[#This Row],[Site Name]],Tables!$B$12:$B$100, Tables!C$12:C$100)</f>
        <v>52.048665</v>
      </c>
      <c r="M788">
        <f>_xlfn.XLOOKUP(AllDataCorrected[[#This Row],[Site Name]],Tables!$B$12:$B$100, Tables!D$12:D$100)</f>
        <v>-1.7862663333333331</v>
      </c>
      <c r="N788" t="s">
        <v>25</v>
      </c>
      <c r="O788">
        <v>580</v>
      </c>
      <c r="P788">
        <v>15.8</v>
      </c>
      <c r="Q788">
        <v>8</v>
      </c>
      <c r="R788" t="str">
        <f>IF(AllDataCorrected[[#This Row],[Nitrate (PPM)]]&gt;2, "4. Very high (&gt;2ppm)", IF(AllDataCorrected[[#This Row],[Nitrate (PPM)]]&gt;1, "3. High (1-2ppm)", IF(AllDataCorrected[[#This Row],[Nitrate (PPM)]]&gt;0.5, "2. Some evidence (0.5-1ppm)", IF(AllDataCorrected[[#This Row],[Nitrate (PPM)]]&gt;=0, "1. No evidence (&lt;0.5ppm)"))))</f>
        <v>4. Very high (&gt;2ppm)</v>
      </c>
      <c r="S788">
        <v>0.73</v>
      </c>
      <c r="T7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88">
        <v>1.5</v>
      </c>
    </row>
    <row r="789" spans="1:22" x14ac:dyDescent="0.35">
      <c r="A789" t="s">
        <v>1245</v>
      </c>
      <c r="B789" s="2">
        <v>45420</v>
      </c>
      <c r="C789" t="str" cm="1">
        <f t="array" ref="C7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89">
        <f>YEAR(AllDataCorrected[[#This Row],[Date]])</f>
        <v>2024</v>
      </c>
      <c r="E789" s="1">
        <v>0.39166666666666666</v>
      </c>
      <c r="F7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89" t="str">
        <f>_xlfn.XLOOKUP(AllDataCorrected[[#This Row],[Location Name]], Locations[Location Name],Locations[Group As])</f>
        <v>Carrant M5 Bridge</v>
      </c>
      <c r="H789" t="e" vm="4">
        <f>_xlfn.XLOOKUP(AllDataCorrected[[#This Row],[Site Name]],LocationsKey[Site Name],LocationsKey[District])</f>
        <v>#VALUE!</v>
      </c>
      <c r="I789" t="e" vm="4">
        <f>_xlfn.XLOOKUP(AllDataCorrected[[#This Row],[Site Name]],LocationsKey[Site Name],LocationsKey[Town])</f>
        <v>#VALUE!</v>
      </c>
      <c r="J789" t="str">
        <f>_xlfn.XLOOKUP(AllDataCorrected[[#This Row],[Site Name]],LocationsKey[Site Name], LocationsKey[Waterway])</f>
        <v>Carrant</v>
      </c>
      <c r="K789" t="s">
        <v>1066</v>
      </c>
      <c r="L789">
        <f>_xlfn.XLOOKUP(AllDataCorrected[[#This Row],[Site Name]],Tables!$B$12:$B$100, Tables!C$12:C$100)</f>
        <v>52.012994652173923</v>
      </c>
      <c r="M789">
        <f>_xlfn.XLOOKUP(AllDataCorrected[[#This Row],[Site Name]],Tables!$B$12:$B$100, Tables!D$12:D$100)</f>
        <v>-2.1224405652173912</v>
      </c>
      <c r="N789" t="s">
        <v>25</v>
      </c>
      <c r="O789">
        <v>648</v>
      </c>
      <c r="P789">
        <v>15</v>
      </c>
      <c r="Q789">
        <v>10</v>
      </c>
      <c r="R789" t="str">
        <f>IF(AllDataCorrected[[#This Row],[Nitrate (PPM)]]&gt;2, "4. Very high (&gt;2ppm)", IF(AllDataCorrected[[#This Row],[Nitrate (PPM)]]&gt;1, "3. High (1-2ppm)", IF(AllDataCorrected[[#This Row],[Nitrate (PPM)]]&gt;0.5, "2. Some evidence (0.5-1ppm)", IF(AllDataCorrected[[#This Row],[Nitrate (PPM)]]&gt;=0, "1. No evidence (&lt;0.5ppm)"))))</f>
        <v>4. Very high (&gt;2ppm)</v>
      </c>
      <c r="S789">
        <v>0.32</v>
      </c>
      <c r="T7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89">
        <v>1.5</v>
      </c>
    </row>
    <row r="790" spans="1:22" x14ac:dyDescent="0.35">
      <c r="A790" t="s">
        <v>1246</v>
      </c>
      <c r="B790" s="2">
        <v>45420</v>
      </c>
      <c r="C790" t="str" cm="1">
        <f t="array" ref="C7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0">
        <f>YEAR(AllDataCorrected[[#This Row],[Date]])</f>
        <v>2024</v>
      </c>
      <c r="E790" s="1">
        <v>0.51111111111111107</v>
      </c>
      <c r="F79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0" t="str">
        <f>_xlfn.XLOOKUP(AllDataCorrected[[#This Row],[Location Name]], Locations[Location Name],Locations[Group As])</f>
        <v>Twyning Fleet</v>
      </c>
      <c r="H790" t="e" vm="4">
        <f>_xlfn.XLOOKUP(AllDataCorrected[[#This Row],[Site Name]],LocationsKey[Site Name],LocationsKey[District])</f>
        <v>#VALUE!</v>
      </c>
      <c r="I790" t="str">
        <f>_xlfn.XLOOKUP(AllDataCorrected[[#This Row],[Site Name]],LocationsKey[Site Name],LocationsKey[Town])</f>
        <v>Twyning Green</v>
      </c>
      <c r="J790" t="str">
        <f>_xlfn.XLOOKUP(AllDataCorrected[[#This Row],[Site Name]],LocationsKey[Site Name], LocationsKey[Waterway])</f>
        <v>Avon</v>
      </c>
      <c r="K790" t="s">
        <v>56</v>
      </c>
      <c r="L790">
        <f>_xlfn.XLOOKUP(AllDataCorrected[[#This Row],[Site Name]],Tables!$B$12:$B$100, Tables!C$12:C$100)</f>
        <v>52.027216452380941</v>
      </c>
      <c r="M790">
        <f>_xlfn.XLOOKUP(AllDataCorrected[[#This Row],[Site Name]],Tables!$B$12:$B$100, Tables!D$12:D$100)</f>
        <v>-2.140853452380953</v>
      </c>
      <c r="N790" t="s">
        <v>31</v>
      </c>
      <c r="O790">
        <v>8270</v>
      </c>
      <c r="P790">
        <v>18.3</v>
      </c>
      <c r="Q790">
        <v>5</v>
      </c>
      <c r="R790" t="str">
        <f>IF(AllDataCorrected[[#This Row],[Nitrate (PPM)]]&gt;2, "4. Very high (&gt;2ppm)", IF(AllDataCorrected[[#This Row],[Nitrate (PPM)]]&gt;1, "3. High (1-2ppm)", IF(AllDataCorrected[[#This Row],[Nitrate (PPM)]]&gt;0.5, "2. Some evidence (0.5-1ppm)", IF(AllDataCorrected[[#This Row],[Nitrate (PPM)]]&gt;=0, "1. No evidence (&lt;0.5ppm)"))))</f>
        <v>4. Very high (&gt;2ppm)</v>
      </c>
      <c r="S790">
        <v>0.76</v>
      </c>
      <c r="T7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0">
        <v>0</v>
      </c>
    </row>
    <row r="791" spans="1:22" x14ac:dyDescent="0.35">
      <c r="A791" t="s">
        <v>1247</v>
      </c>
      <c r="B791" s="2">
        <v>45420</v>
      </c>
      <c r="C791" t="str" cm="1">
        <f t="array" ref="C7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1">
        <f>YEAR(AllDataCorrected[[#This Row],[Date]])</f>
        <v>2024</v>
      </c>
      <c r="E791" s="1">
        <v>0.66666666666666663</v>
      </c>
      <c r="F7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1" t="str">
        <f>_xlfn.XLOOKUP(AllDataCorrected[[#This Row],[Location Name]], Locations[Location Name],Locations[Group As])</f>
        <v>Stour Newbold Mill</v>
      </c>
      <c r="H791" t="e" vm="1">
        <f>_xlfn.XLOOKUP(AllDataCorrected[[#This Row],[Site Name]],LocationsKey[Site Name],LocationsKey[District])</f>
        <v>#VALUE!</v>
      </c>
      <c r="I791" t="e" vm="27">
        <f>_xlfn.XLOOKUP(AllDataCorrected[[#This Row],[Site Name]],LocationsKey[Site Name],LocationsKey[Town])</f>
        <v>#VALUE!</v>
      </c>
      <c r="J791" t="str">
        <f>_xlfn.XLOOKUP(AllDataCorrected[[#This Row],[Site Name]],LocationsKey[Site Name], LocationsKey[Waterway])</f>
        <v>Stour</v>
      </c>
      <c r="K791" t="s">
        <v>141</v>
      </c>
      <c r="L791">
        <f>_xlfn.XLOOKUP(AllDataCorrected[[#This Row],[Site Name]],Tables!$B$12:$B$100, Tables!C$12:C$100)</f>
        <v>52.113052370370369</v>
      </c>
      <c r="M791">
        <f>_xlfn.XLOOKUP(AllDataCorrected[[#This Row],[Site Name]],Tables!$B$12:$B$100, Tables!D$12:D$100)</f>
        <v>-1.6333685185185181</v>
      </c>
      <c r="N791" t="s">
        <v>31</v>
      </c>
      <c r="O791">
        <v>672</v>
      </c>
      <c r="P791">
        <v>16.5</v>
      </c>
      <c r="Q791">
        <v>2</v>
      </c>
      <c r="R791" t="str">
        <f>IF(AllDataCorrected[[#This Row],[Nitrate (PPM)]]&gt;2, "4. Very high (&gt;2ppm)", IF(AllDataCorrected[[#This Row],[Nitrate (PPM)]]&gt;1, "3. High (1-2ppm)", IF(AllDataCorrected[[#This Row],[Nitrate (PPM)]]&gt;0.5, "2. Some evidence (0.5-1ppm)", IF(AllDataCorrected[[#This Row],[Nitrate (PPM)]]&gt;=0, "1. No evidence (&lt;0.5ppm)"))))</f>
        <v>3. High (1-2ppm)</v>
      </c>
      <c r="S791">
        <v>0.25</v>
      </c>
      <c r="T79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1">
        <v>2</v>
      </c>
      <c r="V791" t="s">
        <v>1248</v>
      </c>
    </row>
    <row r="792" spans="1:22" x14ac:dyDescent="0.35">
      <c r="A792" t="s">
        <v>1249</v>
      </c>
      <c r="B792" s="2">
        <v>45421</v>
      </c>
      <c r="C792" t="str" cm="1">
        <f t="array" ref="C7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2">
        <f>YEAR(AllDataCorrected[[#This Row],[Date]])</f>
        <v>2024</v>
      </c>
      <c r="E792" s="1">
        <v>0.3923611111111111</v>
      </c>
      <c r="F7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2" t="str">
        <f>_xlfn.XLOOKUP(AllDataCorrected[[#This Row],[Location Name]], Locations[Location Name],Locations[Group As])</f>
        <v>Swilgate</v>
      </c>
      <c r="H792" t="e" vm="4">
        <f>_xlfn.XLOOKUP(AllDataCorrected[[#This Row],[Site Name]],LocationsKey[Site Name],LocationsKey[District])</f>
        <v>#VALUE!</v>
      </c>
      <c r="I792" t="e" vm="4">
        <f>_xlfn.XLOOKUP(AllDataCorrected[[#This Row],[Site Name]],LocationsKey[Site Name],LocationsKey[Town])</f>
        <v>#VALUE!</v>
      </c>
      <c r="J792" t="str">
        <f>_xlfn.XLOOKUP(AllDataCorrected[[#This Row],[Site Name]],LocationsKey[Site Name], LocationsKey[Waterway])</f>
        <v>Swilgate</v>
      </c>
      <c r="K792" t="s">
        <v>85</v>
      </c>
      <c r="L792">
        <f>_xlfn.XLOOKUP(AllDataCorrected[[#This Row],[Site Name]],Tables!$B$12:$B$100, Tables!C$12:C$100)</f>
        <v>51.988591500000005</v>
      </c>
      <c r="M792">
        <f>_xlfn.XLOOKUP(AllDataCorrected[[#This Row],[Site Name]],Tables!$B$12:$B$100, Tables!D$12:D$100)</f>
        <v>-2.163898333333333</v>
      </c>
      <c r="N792" t="s">
        <v>25</v>
      </c>
      <c r="O792">
        <v>831</v>
      </c>
      <c r="P792">
        <v>15.6</v>
      </c>
      <c r="Q792">
        <v>3</v>
      </c>
      <c r="R792" t="str">
        <f>IF(AllDataCorrected[[#This Row],[Nitrate (PPM)]]&gt;2, "4. Very high (&gt;2ppm)", IF(AllDataCorrected[[#This Row],[Nitrate (PPM)]]&gt;1, "3. High (1-2ppm)", IF(AllDataCorrected[[#This Row],[Nitrate (PPM)]]&gt;0.5, "2. Some evidence (0.5-1ppm)", IF(AllDataCorrected[[#This Row],[Nitrate (PPM)]]&gt;=0, "1. No evidence (&lt;0.5ppm)"))))</f>
        <v>4. Very high (&gt;2ppm)</v>
      </c>
      <c r="S792">
        <v>0.45</v>
      </c>
      <c r="T7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2">
        <v>0</v>
      </c>
    </row>
    <row r="793" spans="1:22" x14ac:dyDescent="0.35">
      <c r="A793" t="s">
        <v>1250</v>
      </c>
      <c r="B793" s="2">
        <v>45421</v>
      </c>
      <c r="C793" t="str" cm="1">
        <f t="array" ref="C7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3">
        <f>YEAR(AllDataCorrected[[#This Row],[Date]])</f>
        <v>2024</v>
      </c>
      <c r="E793" s="1">
        <v>0.45833333333333331</v>
      </c>
      <c r="F7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3" t="str">
        <f>_xlfn.XLOOKUP(AllDataCorrected[[#This Row],[Location Name]], Locations[Location Name],Locations[Group As])</f>
        <v>Stour Willington</v>
      </c>
      <c r="H793" t="e" vm="1">
        <f>_xlfn.XLOOKUP(AllDataCorrected[[#This Row],[Site Name]],LocationsKey[Site Name],LocationsKey[District])</f>
        <v>#VALUE!</v>
      </c>
      <c r="I793" t="str">
        <f>_xlfn.XLOOKUP(AllDataCorrected[[#This Row],[Site Name]],LocationsKey[Site Name],LocationsKey[Town])</f>
        <v>Willington</v>
      </c>
      <c r="J793" t="str">
        <f>_xlfn.XLOOKUP(AllDataCorrected[[#This Row],[Site Name]],LocationsKey[Site Name], LocationsKey[Waterway])</f>
        <v>Stour</v>
      </c>
      <c r="K793" t="s">
        <v>521</v>
      </c>
      <c r="L793">
        <f>_xlfn.XLOOKUP(AllDataCorrected[[#This Row],[Site Name]],Tables!$B$12:$B$100, Tables!C$12:C$100)</f>
        <v>52.053227523809518</v>
      </c>
      <c r="M793">
        <f>_xlfn.XLOOKUP(AllDataCorrected[[#This Row],[Site Name]],Tables!$B$12:$B$100, Tables!D$12:D$100)</f>
        <v>-1.6194739523809523</v>
      </c>
      <c r="N793" t="s">
        <v>25</v>
      </c>
      <c r="O793">
        <v>646</v>
      </c>
      <c r="P793">
        <v>16.100000000000001</v>
      </c>
      <c r="Q793">
        <v>5</v>
      </c>
      <c r="R793" t="str">
        <f>IF(AllDataCorrected[[#This Row],[Nitrate (PPM)]]&gt;2, "4. Very high (&gt;2ppm)", IF(AllDataCorrected[[#This Row],[Nitrate (PPM)]]&gt;1, "3. High (1-2ppm)", IF(AllDataCorrected[[#This Row],[Nitrate (PPM)]]&gt;0.5, "2. Some evidence (0.5-1ppm)", IF(AllDataCorrected[[#This Row],[Nitrate (PPM)]]&gt;=0, "1. No evidence (&lt;0.5ppm)"))))</f>
        <v>4. Very high (&gt;2ppm)</v>
      </c>
      <c r="S793">
        <v>0.22</v>
      </c>
      <c r="T7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3">
        <v>0.5</v>
      </c>
    </row>
    <row r="794" spans="1:22" x14ac:dyDescent="0.35">
      <c r="A794" t="s">
        <v>1251</v>
      </c>
      <c r="B794" s="2">
        <v>45421</v>
      </c>
      <c r="C794" t="str" cm="1">
        <f t="array" ref="C7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4">
        <f>YEAR(AllDataCorrected[[#This Row],[Date]])</f>
        <v>2024</v>
      </c>
      <c r="E794" s="1">
        <v>0.74652777777777779</v>
      </c>
      <c r="F7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794" t="str">
        <f>_xlfn.XLOOKUP(AllDataCorrected[[#This Row],[Location Name]], Locations[Location Name],Locations[Group As])</f>
        <v>Preston-on-Stour River Bridge</v>
      </c>
      <c r="H794" t="e" vm="1">
        <f>_xlfn.XLOOKUP(AllDataCorrected[[#This Row],[Site Name]],LocationsKey[Site Name],LocationsKey[District])</f>
        <v>#VALUE!</v>
      </c>
      <c r="I794" t="e" vm="20">
        <f>_xlfn.XLOOKUP(AllDataCorrected[[#This Row],[Site Name]],LocationsKey[Site Name],LocationsKey[Town])</f>
        <v>#VALUE!</v>
      </c>
      <c r="J794" t="str">
        <f>_xlfn.XLOOKUP(AllDataCorrected[[#This Row],[Site Name]],LocationsKey[Site Name], LocationsKey[Waterway])</f>
        <v>Stour</v>
      </c>
      <c r="K794" t="s">
        <v>164</v>
      </c>
      <c r="L794">
        <f>_xlfn.XLOOKUP(AllDataCorrected[[#This Row],[Site Name]],Tables!$B$12:$B$100, Tables!C$12:C$100)</f>
        <v>52.146672352941174</v>
      </c>
      <c r="M794">
        <f>_xlfn.XLOOKUP(AllDataCorrected[[#This Row],[Site Name]],Tables!$B$12:$B$100, Tables!D$12:D$100)</f>
        <v>-1.6984533333333334</v>
      </c>
      <c r="N794" t="s">
        <v>31</v>
      </c>
      <c r="O794">
        <v>706</v>
      </c>
      <c r="P794">
        <v>15.6</v>
      </c>
      <c r="Q794">
        <v>4</v>
      </c>
      <c r="R794" t="str">
        <f>IF(AllDataCorrected[[#This Row],[Nitrate (PPM)]]&gt;2, "4. Very high (&gt;2ppm)", IF(AllDataCorrected[[#This Row],[Nitrate (PPM)]]&gt;1, "3. High (1-2ppm)", IF(AllDataCorrected[[#This Row],[Nitrate (PPM)]]&gt;0.5, "2. Some evidence (0.5-1ppm)", IF(AllDataCorrected[[#This Row],[Nitrate (PPM)]]&gt;=0, "1. No evidence (&lt;0.5ppm)"))))</f>
        <v>4. Very high (&gt;2ppm)</v>
      </c>
      <c r="S794">
        <v>0.34</v>
      </c>
      <c r="T7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4">
        <v>1.5</v>
      </c>
      <c r="V794" t="s">
        <v>1252</v>
      </c>
    </row>
    <row r="795" spans="1:22" x14ac:dyDescent="0.35">
      <c r="A795" t="s">
        <v>1253</v>
      </c>
      <c r="B795" s="2">
        <v>45422</v>
      </c>
      <c r="C795" t="str" cm="1">
        <f t="array" ref="C7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5">
        <f>YEAR(AllDataCorrected[[#This Row],[Date]])</f>
        <v>2024</v>
      </c>
      <c r="E795" s="1">
        <v>0.34930555555555554</v>
      </c>
      <c r="F7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795" t="str">
        <f>_xlfn.XLOOKUP(AllDataCorrected[[#This Row],[Location Name]], Locations[Location Name],Locations[Group As])</f>
        <v>Lower Lode</v>
      </c>
      <c r="H795" t="e" vm="4">
        <f>_xlfn.XLOOKUP(AllDataCorrected[[#This Row],[Site Name]],LocationsKey[Site Name],LocationsKey[District])</f>
        <v>#VALUE!</v>
      </c>
      <c r="I795" t="e" vm="4">
        <f>_xlfn.XLOOKUP(AllDataCorrected[[#This Row],[Site Name]],LocationsKey[Site Name],LocationsKey[Town])</f>
        <v>#VALUE!</v>
      </c>
      <c r="J795" t="str">
        <f>_xlfn.XLOOKUP(AllDataCorrected[[#This Row],[Site Name]],LocationsKey[Site Name], LocationsKey[Waterway])</f>
        <v>Avon</v>
      </c>
      <c r="K795" t="s">
        <v>595</v>
      </c>
      <c r="L795">
        <f>_xlfn.XLOOKUP(AllDataCorrected[[#This Row],[Site Name]],Tables!$B$12:$B$100, Tables!C$12:C$100)</f>
        <v>51.984916745098026</v>
      </c>
      <c r="M795">
        <f>_xlfn.XLOOKUP(AllDataCorrected[[#This Row],[Site Name]],Tables!$B$12:$B$100, Tables!D$12:D$100)</f>
        <v>-2.1745787647058821</v>
      </c>
      <c r="N795" t="s">
        <v>31</v>
      </c>
      <c r="O795">
        <v>8750</v>
      </c>
      <c r="P795">
        <v>17.7</v>
      </c>
      <c r="Q795">
        <v>10</v>
      </c>
      <c r="R795" t="str">
        <f>IF(AllDataCorrected[[#This Row],[Nitrate (PPM)]]&gt;2, "4. Very high (&gt;2ppm)", IF(AllDataCorrected[[#This Row],[Nitrate (PPM)]]&gt;1, "3. High (1-2ppm)", IF(AllDataCorrected[[#This Row],[Nitrate (PPM)]]&gt;0.5, "2. Some evidence (0.5-1ppm)", IF(AllDataCorrected[[#This Row],[Nitrate (PPM)]]&gt;=0, "1. No evidence (&lt;0.5ppm)"))))</f>
        <v>4. Very high (&gt;2ppm)</v>
      </c>
      <c r="S795">
        <v>0.32</v>
      </c>
      <c r="T7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795">
        <v>1</v>
      </c>
    </row>
    <row r="796" spans="1:22" x14ac:dyDescent="0.35">
      <c r="A796" t="s">
        <v>1254</v>
      </c>
      <c r="B796" s="2">
        <v>45422</v>
      </c>
      <c r="C796" t="str" cm="1">
        <f t="array" ref="C7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6">
        <f>YEAR(AllDataCorrected[[#This Row],[Date]])</f>
        <v>2024</v>
      </c>
      <c r="F7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6" t="str">
        <f>_xlfn.XLOOKUP(AllDataCorrected[[#This Row],[Location Name]], Locations[Location Name],Locations[Group As])</f>
        <v>Site 1  :  Middle Street</v>
      </c>
      <c r="H796" t="e" vm="1">
        <f>_xlfn.XLOOKUP(AllDataCorrected[[#This Row],[Site Name]],LocationsKey[Site Name],LocationsKey[District])</f>
        <v>#VALUE!</v>
      </c>
      <c r="I796" t="e" vm="14">
        <f>_xlfn.XLOOKUP(AllDataCorrected[[#This Row],[Site Name]],LocationsKey[Site Name],LocationsKey[Town])</f>
        <v>#VALUE!</v>
      </c>
      <c r="J796" t="str">
        <f>_xlfn.XLOOKUP(AllDataCorrected[[#This Row],[Site Name]],LocationsKey[Site Name], LocationsKey[Waterway])</f>
        <v>Fosseway Brook</v>
      </c>
      <c r="K796" t="s">
        <v>667</v>
      </c>
      <c r="L796">
        <f>_xlfn.XLOOKUP(AllDataCorrected[[#This Row],[Site Name]],Tables!$B$12:$B$100, Tables!C$12:C$100)</f>
        <v>52.090081855670022</v>
      </c>
      <c r="M796">
        <f>_xlfn.XLOOKUP(AllDataCorrected[[#This Row],[Site Name]],Tables!$B$12:$B$100, Tables!D$12:D$100)</f>
        <v>-1.6925771134020597</v>
      </c>
      <c r="N796" t="s">
        <v>68</v>
      </c>
      <c r="O796">
        <v>576</v>
      </c>
      <c r="P796">
        <v>20.399999999999999</v>
      </c>
      <c r="Q796">
        <v>3.5</v>
      </c>
      <c r="R796" t="str">
        <f>IF(AllDataCorrected[[#This Row],[Nitrate (PPM)]]&gt;2, "4. Very high (&gt;2ppm)", IF(AllDataCorrected[[#This Row],[Nitrate (PPM)]]&gt;1, "3. High (1-2ppm)", IF(AllDataCorrected[[#This Row],[Nitrate (PPM)]]&gt;0.5, "2. Some evidence (0.5-1ppm)", IF(AllDataCorrected[[#This Row],[Nitrate (PPM)]]&gt;=0, "1. No evidence (&lt;0.5ppm)"))))</f>
        <v>4. Very high (&gt;2ppm)</v>
      </c>
      <c r="S796">
        <v>0.09</v>
      </c>
      <c r="T796"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796">
        <v>0</v>
      </c>
      <c r="V796" t="s">
        <v>835</v>
      </c>
    </row>
    <row r="797" spans="1:22" x14ac:dyDescent="0.35">
      <c r="A797" t="s">
        <v>1255</v>
      </c>
      <c r="B797" s="2">
        <v>45422</v>
      </c>
      <c r="C797" t="str" cm="1">
        <f t="array" ref="C7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7">
        <f>YEAR(AllDataCorrected[[#This Row],[Date]])</f>
        <v>2024</v>
      </c>
      <c r="F7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7" t="str">
        <f>_xlfn.XLOOKUP(AllDataCorrected[[#This Row],[Location Name]], Locations[Location Name],Locations[Group As])</f>
        <v>Site 1  :  Middle Street</v>
      </c>
      <c r="H797" t="e" vm="1">
        <f>_xlfn.XLOOKUP(AllDataCorrected[[#This Row],[Site Name]],LocationsKey[Site Name],LocationsKey[District])</f>
        <v>#VALUE!</v>
      </c>
      <c r="I797" t="e" vm="14">
        <f>_xlfn.XLOOKUP(AllDataCorrected[[#This Row],[Site Name]],LocationsKey[Site Name],LocationsKey[Town])</f>
        <v>#VALUE!</v>
      </c>
      <c r="J797" t="str">
        <f>_xlfn.XLOOKUP(AllDataCorrected[[#This Row],[Site Name]],LocationsKey[Site Name], LocationsKey[Waterway])</f>
        <v>Fosseway Brook</v>
      </c>
      <c r="K797" t="s">
        <v>670</v>
      </c>
      <c r="L797">
        <f>_xlfn.XLOOKUP(AllDataCorrected[[#This Row],[Site Name]],Tables!$B$12:$B$100, Tables!C$12:C$100)</f>
        <v>52.090081855670022</v>
      </c>
      <c r="M797">
        <f>_xlfn.XLOOKUP(AllDataCorrected[[#This Row],[Site Name]],Tables!$B$12:$B$100, Tables!D$12:D$100)</f>
        <v>-1.6925771134020597</v>
      </c>
      <c r="N797" t="s">
        <v>68</v>
      </c>
      <c r="O797">
        <v>576</v>
      </c>
      <c r="P797">
        <v>20.399999999999999</v>
      </c>
      <c r="Q797">
        <v>3.5</v>
      </c>
      <c r="R797" t="str">
        <f>IF(AllDataCorrected[[#This Row],[Nitrate (PPM)]]&gt;2, "4. Very high (&gt;2ppm)", IF(AllDataCorrected[[#This Row],[Nitrate (PPM)]]&gt;1, "3. High (1-2ppm)", IF(AllDataCorrected[[#This Row],[Nitrate (PPM)]]&gt;0.5, "2. Some evidence (0.5-1ppm)", IF(AllDataCorrected[[#This Row],[Nitrate (PPM)]]&gt;=0, "1. No evidence (&lt;0.5ppm)"))))</f>
        <v>4. Very high (&gt;2ppm)</v>
      </c>
      <c r="S797">
        <v>0.09</v>
      </c>
      <c r="T797"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798" spans="1:22" x14ac:dyDescent="0.35">
      <c r="A798" t="s">
        <v>1256</v>
      </c>
      <c r="B798" s="2">
        <v>45422</v>
      </c>
      <c r="C798" t="str" cm="1">
        <f t="array" ref="C7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8">
        <f>YEAR(AllDataCorrected[[#This Row],[Date]])</f>
        <v>2024</v>
      </c>
      <c r="F7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8" t="str">
        <f>_xlfn.XLOOKUP(AllDataCorrected[[#This Row],[Location Name]], Locations[Location Name],Locations[Group As])</f>
        <v>Site 2  :  Cross Leys culvert</v>
      </c>
      <c r="H798" t="e" vm="1">
        <f>_xlfn.XLOOKUP(AllDataCorrected[[#This Row],[Site Name]],LocationsKey[Site Name],LocationsKey[District])</f>
        <v>#VALUE!</v>
      </c>
      <c r="I798" t="e" vm="14">
        <f>_xlfn.XLOOKUP(AllDataCorrected[[#This Row],[Site Name]],LocationsKey[Site Name],LocationsKey[Town])</f>
        <v>#VALUE!</v>
      </c>
      <c r="J798" t="str">
        <f>_xlfn.XLOOKUP(AllDataCorrected[[#This Row],[Site Name]],LocationsKey[Site Name], LocationsKey[Waterway])</f>
        <v>Fosseway Brook</v>
      </c>
      <c r="K798" t="s">
        <v>623</v>
      </c>
      <c r="L798">
        <f>_xlfn.XLOOKUP(AllDataCorrected[[#This Row],[Site Name]],Tables!$B$12:$B$100, Tables!C$12:C$100)</f>
        <v>52.092997354838673</v>
      </c>
      <c r="M798">
        <f>_xlfn.XLOOKUP(AllDataCorrected[[#This Row],[Site Name]],Tables!$B$12:$B$100, Tables!D$12:D$100)</f>
        <v>-1.6862254516129045</v>
      </c>
      <c r="N798" t="s">
        <v>68</v>
      </c>
      <c r="O798">
        <v>616</v>
      </c>
      <c r="P798">
        <v>19.600000000000001</v>
      </c>
      <c r="Q798">
        <v>3.5</v>
      </c>
      <c r="R798" t="str">
        <f>IF(AllDataCorrected[[#This Row],[Nitrate (PPM)]]&gt;2, "4. Very high (&gt;2ppm)", IF(AllDataCorrected[[#This Row],[Nitrate (PPM)]]&gt;1, "3. High (1-2ppm)", IF(AllDataCorrected[[#This Row],[Nitrate (PPM)]]&gt;0.5, "2. Some evidence (0.5-1ppm)", IF(AllDataCorrected[[#This Row],[Nitrate (PPM)]]&gt;=0, "1. No evidence (&lt;0.5ppm)"))))</f>
        <v>4. Very high (&gt;2ppm)</v>
      </c>
      <c r="S798">
        <v>0.7</v>
      </c>
      <c r="T7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798">
        <v>0</v>
      </c>
      <c r="V798" t="s">
        <v>840</v>
      </c>
    </row>
    <row r="799" spans="1:22" x14ac:dyDescent="0.35">
      <c r="A799" t="s">
        <v>1257</v>
      </c>
      <c r="B799" s="2">
        <v>45422</v>
      </c>
      <c r="C799" t="str" cm="1">
        <f t="array" ref="C7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799">
        <f>YEAR(AllDataCorrected[[#This Row],[Date]])</f>
        <v>2024</v>
      </c>
      <c r="F7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799" t="str">
        <f>_xlfn.XLOOKUP(AllDataCorrected[[#This Row],[Location Name]], Locations[Location Name],Locations[Group As])</f>
        <v>Site 2  :  Cross Leys culvert</v>
      </c>
      <c r="H799" t="e" vm="1">
        <f>_xlfn.XLOOKUP(AllDataCorrected[[#This Row],[Site Name]],LocationsKey[Site Name],LocationsKey[District])</f>
        <v>#VALUE!</v>
      </c>
      <c r="I799" t="e" vm="14">
        <f>_xlfn.XLOOKUP(AllDataCorrected[[#This Row],[Site Name]],LocationsKey[Site Name],LocationsKey[Town])</f>
        <v>#VALUE!</v>
      </c>
      <c r="J799" t="str">
        <f>_xlfn.XLOOKUP(AllDataCorrected[[#This Row],[Site Name]],LocationsKey[Site Name], LocationsKey[Waterway])</f>
        <v>Fosseway Brook</v>
      </c>
      <c r="K799" t="s">
        <v>626</v>
      </c>
      <c r="L799">
        <f>_xlfn.XLOOKUP(AllDataCorrected[[#This Row],[Site Name]],Tables!$B$12:$B$100, Tables!C$12:C$100)</f>
        <v>52.092997354838673</v>
      </c>
      <c r="M799">
        <f>_xlfn.XLOOKUP(AllDataCorrected[[#This Row],[Site Name]],Tables!$B$12:$B$100, Tables!D$12:D$100)</f>
        <v>-1.6862254516129045</v>
      </c>
      <c r="N799" t="s">
        <v>68</v>
      </c>
      <c r="O799">
        <v>616</v>
      </c>
      <c r="P799">
        <v>19.600000000000001</v>
      </c>
      <c r="Q799">
        <v>3.5</v>
      </c>
      <c r="R799" t="str">
        <f>IF(AllDataCorrected[[#This Row],[Nitrate (PPM)]]&gt;2, "4. Very high (&gt;2ppm)", IF(AllDataCorrected[[#This Row],[Nitrate (PPM)]]&gt;1, "3. High (1-2ppm)", IF(AllDataCorrected[[#This Row],[Nitrate (PPM)]]&gt;0.5, "2. Some evidence (0.5-1ppm)", IF(AllDataCorrected[[#This Row],[Nitrate (PPM)]]&gt;=0, "1. No evidence (&lt;0.5ppm)"))))</f>
        <v>4. Very high (&gt;2ppm)</v>
      </c>
      <c r="S799">
        <v>0.7</v>
      </c>
      <c r="T7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00" spans="1:22" x14ac:dyDescent="0.35">
      <c r="A800" t="s">
        <v>1258</v>
      </c>
      <c r="B800" s="2">
        <v>45422</v>
      </c>
      <c r="C800" t="str" cm="1">
        <f t="array" ref="C8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0">
        <f>YEAR(AllDataCorrected[[#This Row],[Date]])</f>
        <v>2024</v>
      </c>
      <c r="F8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00" t="str">
        <f>_xlfn.XLOOKUP(AllDataCorrected[[#This Row],[Location Name]], Locations[Location Name],Locations[Group As])</f>
        <v>Site 3  :  Severn Trent Water processing plant outflow</v>
      </c>
      <c r="H800" t="e" vm="1">
        <f>_xlfn.XLOOKUP(AllDataCorrected[[#This Row],[Site Name]],LocationsKey[Site Name],LocationsKey[District])</f>
        <v>#VALUE!</v>
      </c>
      <c r="I800" t="e" vm="14">
        <f>_xlfn.XLOOKUP(AllDataCorrected[[#This Row],[Site Name]],LocationsKey[Site Name],LocationsKey[Town])</f>
        <v>#VALUE!</v>
      </c>
      <c r="J800" t="str">
        <f>_xlfn.XLOOKUP(AllDataCorrected[[#This Row],[Site Name]],LocationsKey[Site Name], LocationsKey[Waterway])</f>
        <v>Fosseway Brook</v>
      </c>
      <c r="K800" t="s">
        <v>673</v>
      </c>
      <c r="L800">
        <f>_xlfn.XLOOKUP(AllDataCorrected[[#This Row],[Site Name]],Tables!$B$12:$B$100, Tables!C$12:C$100)</f>
        <v>52.130499999999998</v>
      </c>
      <c r="M800">
        <f>_xlfn.XLOOKUP(AllDataCorrected[[#This Row],[Site Name]],Tables!$B$12:$B$100, Tables!D$12:D$100)</f>
        <v>-2.0787</v>
      </c>
      <c r="N800" t="s">
        <v>31</v>
      </c>
      <c r="O800">
        <v>829</v>
      </c>
      <c r="P800">
        <v>18.2</v>
      </c>
      <c r="Q800">
        <v>10</v>
      </c>
      <c r="R800" t="str">
        <f>IF(AllDataCorrected[[#This Row],[Nitrate (PPM)]]&gt;2, "4. Very high (&gt;2ppm)", IF(AllDataCorrected[[#This Row],[Nitrate (PPM)]]&gt;1, "3. High (1-2ppm)", IF(AllDataCorrected[[#This Row],[Nitrate (PPM)]]&gt;0.5, "2. Some evidence (0.5-1ppm)", IF(AllDataCorrected[[#This Row],[Nitrate (PPM)]]&gt;=0, "1. No evidence (&lt;0.5ppm)"))))</f>
        <v>4. Very high (&gt;2ppm)</v>
      </c>
      <c r="S800">
        <v>2.2999999999999998</v>
      </c>
      <c r="T8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0">
        <v>0</v>
      </c>
      <c r="V800" t="s">
        <v>1259</v>
      </c>
    </row>
    <row r="801" spans="1:22" x14ac:dyDescent="0.35">
      <c r="A801" t="s">
        <v>1260</v>
      </c>
      <c r="B801" s="2">
        <v>45422</v>
      </c>
      <c r="C801" t="str" cm="1">
        <f t="array" ref="C8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1">
        <f>YEAR(AllDataCorrected[[#This Row],[Date]])</f>
        <v>2024</v>
      </c>
      <c r="F8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01" t="str">
        <f>_xlfn.XLOOKUP(AllDataCorrected[[#This Row],[Location Name]], Locations[Location Name],Locations[Group As])</f>
        <v>Site 3  :  Severn Trent Water processing plant outflow</v>
      </c>
      <c r="H801" t="e" vm="1">
        <f>_xlfn.XLOOKUP(AllDataCorrected[[#This Row],[Site Name]],LocationsKey[Site Name],LocationsKey[District])</f>
        <v>#VALUE!</v>
      </c>
      <c r="I801" t="e" vm="14">
        <f>_xlfn.XLOOKUP(AllDataCorrected[[#This Row],[Site Name]],LocationsKey[Site Name],LocationsKey[Town])</f>
        <v>#VALUE!</v>
      </c>
      <c r="J801" t="str">
        <f>_xlfn.XLOOKUP(AllDataCorrected[[#This Row],[Site Name]],LocationsKey[Site Name], LocationsKey[Waterway])</f>
        <v>Fosseway Brook</v>
      </c>
      <c r="K801" t="s">
        <v>676</v>
      </c>
      <c r="L801">
        <f>_xlfn.XLOOKUP(AllDataCorrected[[#This Row],[Site Name]],Tables!$B$12:$B$100, Tables!C$12:C$100)</f>
        <v>52.130499999999998</v>
      </c>
      <c r="M801">
        <f>_xlfn.XLOOKUP(AllDataCorrected[[#This Row],[Site Name]],Tables!$B$12:$B$100, Tables!D$12:D$100)</f>
        <v>-2.0787</v>
      </c>
      <c r="N801" t="s">
        <v>31</v>
      </c>
      <c r="O801">
        <v>829</v>
      </c>
      <c r="P801">
        <v>18.2</v>
      </c>
      <c r="Q801">
        <v>10</v>
      </c>
      <c r="R801" t="str">
        <f>IF(AllDataCorrected[[#This Row],[Nitrate (PPM)]]&gt;2, "4. Very high (&gt;2ppm)", IF(AllDataCorrected[[#This Row],[Nitrate (PPM)]]&gt;1, "3. High (1-2ppm)", IF(AllDataCorrected[[#This Row],[Nitrate (PPM)]]&gt;0.5, "2. Some evidence (0.5-1ppm)", IF(AllDataCorrected[[#This Row],[Nitrate (PPM)]]&gt;=0, "1. No evidence (&lt;0.5ppm)"))))</f>
        <v>4. Very high (&gt;2ppm)</v>
      </c>
      <c r="S801">
        <v>2.2999999999999998</v>
      </c>
      <c r="T8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02" spans="1:22" x14ac:dyDescent="0.35">
      <c r="A802" t="s">
        <v>1261</v>
      </c>
      <c r="B802" s="2">
        <v>45423</v>
      </c>
      <c r="C802" t="str" cm="1">
        <f t="array" ref="C8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2">
        <f>YEAR(AllDataCorrected[[#This Row],[Date]])</f>
        <v>2024</v>
      </c>
      <c r="E802" s="1">
        <v>0.4513888888888889</v>
      </c>
      <c r="F8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2" t="str">
        <f>_xlfn.XLOOKUP(AllDataCorrected[[#This Row],[Location Name]], Locations[Location Name],Locations[Group As])</f>
        <v>Avon Smiths Meadow Wyre Piddle</v>
      </c>
      <c r="H802" t="e" vm="6">
        <f>_xlfn.XLOOKUP(AllDataCorrected[[#This Row],[Site Name]],LocationsKey[Site Name],LocationsKey[District])</f>
        <v>#VALUE!</v>
      </c>
      <c r="I802" t="e" vm="13">
        <f>_xlfn.XLOOKUP(AllDataCorrected[[#This Row],[Site Name]],LocationsKey[Site Name],LocationsKey[Town])</f>
        <v>#VALUE!</v>
      </c>
      <c r="J802" t="str">
        <f>_xlfn.XLOOKUP(AllDataCorrected[[#This Row],[Site Name]],LocationsKey[Site Name], LocationsKey[Waterway])</f>
        <v>Avon</v>
      </c>
      <c r="K802" t="s">
        <v>784</v>
      </c>
      <c r="L802">
        <f>_xlfn.XLOOKUP(AllDataCorrected[[#This Row],[Site Name]],Tables!$B$12:$B$100, Tables!C$12:C$100)</f>
        <v>52.123126101694929</v>
      </c>
      <c r="M802">
        <f>_xlfn.XLOOKUP(AllDataCorrected[[#This Row],[Site Name]],Tables!$B$12:$B$100, Tables!D$12:D$100)</f>
        <v>-2.0572511355932215</v>
      </c>
      <c r="N802" t="s">
        <v>25</v>
      </c>
      <c r="O802">
        <v>886</v>
      </c>
      <c r="P802">
        <v>17.899999999999999</v>
      </c>
      <c r="Q802">
        <v>10</v>
      </c>
      <c r="R802" t="str">
        <f>IF(AllDataCorrected[[#This Row],[Nitrate (PPM)]]&gt;2, "4. Very high (&gt;2ppm)", IF(AllDataCorrected[[#This Row],[Nitrate (PPM)]]&gt;1, "3. High (1-2ppm)", IF(AllDataCorrected[[#This Row],[Nitrate (PPM)]]&gt;0.5, "2. Some evidence (0.5-1ppm)", IF(AllDataCorrected[[#This Row],[Nitrate (PPM)]]&gt;=0, "1. No evidence (&lt;0.5ppm)"))))</f>
        <v>4. Very high (&gt;2ppm)</v>
      </c>
      <c r="S802">
        <v>0.68</v>
      </c>
      <c r="T8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2">
        <v>0.63</v>
      </c>
      <c r="V802" t="s">
        <v>1262</v>
      </c>
    </row>
    <row r="803" spans="1:22" x14ac:dyDescent="0.35">
      <c r="A803" t="s">
        <v>1263</v>
      </c>
      <c r="B803" s="2">
        <v>45423</v>
      </c>
      <c r="C803" t="str" cm="1">
        <f t="array" ref="C8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3">
        <f>YEAR(AllDataCorrected[[#This Row],[Date]])</f>
        <v>2024</v>
      </c>
      <c r="E803" s="1">
        <v>0.47916666666666669</v>
      </c>
      <c r="F8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3" t="str">
        <f>_xlfn.XLOOKUP(AllDataCorrected[[#This Row],[Location Name]], Locations[Location Name],Locations[Group As])</f>
        <v>Piddle Brook Wyre Piddle Bridge</v>
      </c>
      <c r="H803" t="e" vm="6">
        <f>_xlfn.XLOOKUP(AllDataCorrected[[#This Row],[Site Name]],LocationsKey[Site Name],LocationsKey[District])</f>
        <v>#VALUE!</v>
      </c>
      <c r="I803" t="e" vm="13">
        <f>_xlfn.XLOOKUP(AllDataCorrected[[#This Row],[Site Name]],LocationsKey[Site Name],LocationsKey[Town])</f>
        <v>#VALUE!</v>
      </c>
      <c r="J803" t="str">
        <f>_xlfn.XLOOKUP(AllDataCorrected[[#This Row],[Site Name]],LocationsKey[Site Name], LocationsKey[Waterway])</f>
        <v>Piddle Brook</v>
      </c>
      <c r="K803" t="s">
        <v>787</v>
      </c>
      <c r="L803">
        <f>_xlfn.XLOOKUP(AllDataCorrected[[#This Row],[Site Name]],Tables!$B$12:$B$100, Tables!C$12:C$100)</f>
        <v>52.126394500000039</v>
      </c>
      <c r="M803">
        <f>_xlfn.XLOOKUP(AllDataCorrected[[#This Row],[Site Name]],Tables!$B$12:$B$100, Tables!D$12:D$100)</f>
        <v>-2.0564211206896545</v>
      </c>
      <c r="N803" t="s">
        <v>25</v>
      </c>
      <c r="O803">
        <v>1290</v>
      </c>
      <c r="P803">
        <v>15.8</v>
      </c>
      <c r="Q803">
        <v>7</v>
      </c>
      <c r="R803" t="str">
        <f>IF(AllDataCorrected[[#This Row],[Nitrate (PPM)]]&gt;2, "4. Very high (&gt;2ppm)", IF(AllDataCorrected[[#This Row],[Nitrate (PPM)]]&gt;1, "3. High (1-2ppm)", IF(AllDataCorrected[[#This Row],[Nitrate (PPM)]]&gt;0.5, "2. Some evidence (0.5-1ppm)", IF(AllDataCorrected[[#This Row],[Nitrate (PPM)]]&gt;=0, "1. No evidence (&lt;0.5ppm)"))))</f>
        <v>4. Very high (&gt;2ppm)</v>
      </c>
      <c r="S803">
        <v>0.8</v>
      </c>
      <c r="T8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3">
        <v>0.22</v>
      </c>
      <c r="V803" t="s">
        <v>1264</v>
      </c>
    </row>
    <row r="804" spans="1:22" x14ac:dyDescent="0.35">
      <c r="A804" t="s">
        <v>1265</v>
      </c>
      <c r="B804" s="2">
        <v>45423</v>
      </c>
      <c r="C804" t="str" cm="1">
        <f t="array" ref="C8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4">
        <f>YEAR(AllDataCorrected[[#This Row],[Date]])</f>
        <v>2024</v>
      </c>
      <c r="E804" s="1">
        <v>0.86458333333333337</v>
      </c>
      <c r="F80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04" t="str">
        <f>_xlfn.XLOOKUP(AllDataCorrected[[#This Row],[Location Name]], Locations[Location Name],Locations[Group As])</f>
        <v>Fell Mill Footbridge</v>
      </c>
      <c r="H804" t="e" vm="1">
        <f>_xlfn.XLOOKUP(AllDataCorrected[[#This Row],[Site Name]],LocationsKey[Site Name],LocationsKey[District])</f>
        <v>#VALUE!</v>
      </c>
      <c r="I804" t="e" vm="15">
        <f>_xlfn.XLOOKUP(AllDataCorrected[[#This Row],[Site Name]],LocationsKey[Site Name],LocationsKey[Town])</f>
        <v>#VALUE!</v>
      </c>
      <c r="J804" t="str">
        <f>_xlfn.XLOOKUP(AllDataCorrected[[#This Row],[Site Name]],LocationsKey[Site Name], LocationsKey[Waterway])</f>
        <v>Stour</v>
      </c>
      <c r="K804" t="s">
        <v>875</v>
      </c>
      <c r="L804">
        <f>_xlfn.XLOOKUP(AllDataCorrected[[#This Row],[Site Name]],Tables!$B$12:$B$100, Tables!C$12:C$100)</f>
        <v>52.069044372881365</v>
      </c>
      <c r="M804">
        <f>_xlfn.XLOOKUP(AllDataCorrected[[#This Row],[Site Name]],Tables!$B$12:$B$100, Tables!D$12:D$100)</f>
        <v>-1.6116270169491524</v>
      </c>
      <c r="N804" t="s">
        <v>31</v>
      </c>
      <c r="O804">
        <v>675</v>
      </c>
      <c r="P804">
        <v>16</v>
      </c>
      <c r="Q804">
        <v>5</v>
      </c>
      <c r="R804" t="str">
        <f>IF(AllDataCorrected[[#This Row],[Nitrate (PPM)]]&gt;2, "4. Very high (&gt;2ppm)", IF(AllDataCorrected[[#This Row],[Nitrate (PPM)]]&gt;1, "3. High (1-2ppm)", IF(AllDataCorrected[[#This Row],[Nitrate (PPM)]]&gt;0.5, "2. Some evidence (0.5-1ppm)", IF(AllDataCorrected[[#This Row],[Nitrate (PPM)]]&gt;=0, "1. No evidence (&lt;0.5ppm)"))))</f>
        <v>4. Very high (&gt;2ppm)</v>
      </c>
      <c r="S804">
        <v>0.24</v>
      </c>
      <c r="T80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4">
        <v>1.3</v>
      </c>
      <c r="V804" t="s">
        <v>1266</v>
      </c>
    </row>
    <row r="805" spans="1:22" x14ac:dyDescent="0.35">
      <c r="A805" t="s">
        <v>1268</v>
      </c>
      <c r="B805" s="2">
        <v>45424</v>
      </c>
      <c r="C805" t="str" cm="1">
        <f t="array" ref="C8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5">
        <f>YEAR(AllDataCorrected[[#This Row],[Date]])</f>
        <v>2024</v>
      </c>
      <c r="E805" s="1">
        <v>0.47916666666666669</v>
      </c>
      <c r="F8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5" t="str">
        <f>_xlfn.XLOOKUP(AllDataCorrected[[#This Row],[Location Name]], Locations[Location Name],Locations[Group As])</f>
        <v>Carrant Bredon Rd</v>
      </c>
      <c r="H805" t="e" vm="4">
        <f>_xlfn.XLOOKUP(AllDataCorrected[[#This Row],[Site Name]],LocationsKey[Site Name],LocationsKey[District])</f>
        <v>#VALUE!</v>
      </c>
      <c r="I805" t="e" vm="4">
        <f>_xlfn.XLOOKUP(AllDataCorrected[[#This Row],[Site Name]],LocationsKey[Site Name],LocationsKey[Town])</f>
        <v>#VALUE!</v>
      </c>
      <c r="J805" t="str">
        <f>_xlfn.XLOOKUP(AllDataCorrected[[#This Row],[Site Name]],LocationsKey[Site Name], LocationsKey[Waterway])</f>
        <v>Carrant</v>
      </c>
      <c r="K805" t="s">
        <v>603</v>
      </c>
      <c r="L805">
        <f>_xlfn.XLOOKUP(AllDataCorrected[[#This Row],[Site Name]],Tables!$B$12:$B$100, Tables!C$12:C$100)</f>
        <v>51.996322536231894</v>
      </c>
      <c r="M805">
        <f>_xlfn.XLOOKUP(AllDataCorrected[[#This Row],[Site Name]],Tables!$B$12:$B$100, Tables!D$12:D$100)</f>
        <v>-2.1558410144927538</v>
      </c>
      <c r="N805" t="s">
        <v>25</v>
      </c>
      <c r="O805">
        <v>772</v>
      </c>
      <c r="P805">
        <v>16.600000000000001</v>
      </c>
      <c r="Q805">
        <v>8</v>
      </c>
      <c r="R805" t="str">
        <f>IF(AllDataCorrected[[#This Row],[Nitrate (PPM)]]&gt;2, "4. Very high (&gt;2ppm)", IF(AllDataCorrected[[#This Row],[Nitrate (PPM)]]&gt;1, "3. High (1-2ppm)", IF(AllDataCorrected[[#This Row],[Nitrate (PPM)]]&gt;0.5, "2. Some evidence (0.5-1ppm)", IF(AllDataCorrected[[#This Row],[Nitrate (PPM)]]&gt;=0, "1. No evidence (&lt;0.5ppm)"))))</f>
        <v>4. Very high (&gt;2ppm)</v>
      </c>
      <c r="S805">
        <v>0.32</v>
      </c>
      <c r="T80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5">
        <v>0.1</v>
      </c>
    </row>
    <row r="806" spans="1:22" x14ac:dyDescent="0.35">
      <c r="A806" t="s">
        <v>1269</v>
      </c>
      <c r="B806" s="2">
        <v>45424</v>
      </c>
      <c r="C806" t="str" cm="1">
        <f t="array" ref="C8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6">
        <f>YEAR(AllDataCorrected[[#This Row],[Date]])</f>
        <v>2024</v>
      </c>
      <c r="E806" s="1">
        <v>0.47916666666666669</v>
      </c>
      <c r="F8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6" t="str">
        <f>_xlfn.XLOOKUP(AllDataCorrected[[#This Row],[Location Name]], Locations[Location Name],Locations[Group As])</f>
        <v>The Ford, Langley</v>
      </c>
      <c r="H806" t="e" vm="1">
        <f>_xlfn.XLOOKUP(AllDataCorrected[[#This Row],[Site Name]],LocationsKey[Site Name],LocationsKey[District])</f>
        <v>#VALUE!</v>
      </c>
      <c r="I806" t="str">
        <f>_xlfn.XLOOKUP(AllDataCorrected[[#This Row],[Site Name]],LocationsKey[Site Name],LocationsKey[Town])</f>
        <v>Langley</v>
      </c>
      <c r="J806" t="str">
        <f>_xlfn.XLOOKUP(AllDataCorrected[[#This Row],[Site Name]],LocationsKey[Site Name], LocationsKey[Waterway])</f>
        <v>Langley Ford</v>
      </c>
      <c r="K806" t="s">
        <v>530</v>
      </c>
      <c r="L806">
        <f>_xlfn.XLOOKUP(AllDataCorrected[[#This Row],[Site Name]],Tables!$B$12:$B$100, Tables!C$12:C$100)</f>
        <v>52.262666528301864</v>
      </c>
      <c r="M806">
        <f>_xlfn.XLOOKUP(AllDataCorrected[[#This Row],[Site Name]],Tables!$B$12:$B$100, Tables!D$12:D$100)</f>
        <v>-1.6545845283018858</v>
      </c>
      <c r="N806" t="s">
        <v>31</v>
      </c>
      <c r="O806">
        <v>789</v>
      </c>
      <c r="P806">
        <v>14.5</v>
      </c>
      <c r="Q806">
        <v>5</v>
      </c>
      <c r="R806" t="str">
        <f>IF(AllDataCorrected[[#This Row],[Nitrate (PPM)]]&gt;2, "4. Very high (&gt;2ppm)", IF(AllDataCorrected[[#This Row],[Nitrate (PPM)]]&gt;1, "3. High (1-2ppm)", IF(AllDataCorrected[[#This Row],[Nitrate (PPM)]]&gt;0.5, "2. Some evidence (0.5-1ppm)", IF(AllDataCorrected[[#This Row],[Nitrate (PPM)]]&gt;=0, "1. No evidence (&lt;0.5ppm)"))))</f>
        <v>4. Very high (&gt;2ppm)</v>
      </c>
      <c r="S806">
        <v>0.83</v>
      </c>
      <c r="T8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6">
        <v>35</v>
      </c>
    </row>
    <row r="807" spans="1:22" x14ac:dyDescent="0.35">
      <c r="A807" t="s">
        <v>1270</v>
      </c>
      <c r="B807" s="2">
        <v>45424</v>
      </c>
      <c r="C807" t="str" cm="1">
        <f t="array" ref="C8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7">
        <f>YEAR(AllDataCorrected[[#This Row],[Date]])</f>
        <v>2024</v>
      </c>
      <c r="E807" s="1">
        <v>0.58333333333333337</v>
      </c>
      <c r="F8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7" t="str">
        <f>_xlfn.XLOOKUP(AllDataCorrected[[#This Row],[Location Name]], Locations[Location Name],Locations[Group As])</f>
        <v>Clifford Chambers Mill Bridge</v>
      </c>
      <c r="H807" t="e" vm="1">
        <f>_xlfn.XLOOKUP(AllDataCorrected[[#This Row],[Site Name]],LocationsKey[Site Name],LocationsKey[District])</f>
        <v>#VALUE!</v>
      </c>
      <c r="I807" t="e" vm="22">
        <f>_xlfn.XLOOKUP(AllDataCorrected[[#This Row],[Site Name]],LocationsKey[Site Name],LocationsKey[Town])</f>
        <v>#VALUE!</v>
      </c>
      <c r="J807" t="str">
        <f>_xlfn.XLOOKUP(AllDataCorrected[[#This Row],[Site Name]],LocationsKey[Site Name], LocationsKey[Waterway])</f>
        <v>Stour</v>
      </c>
      <c r="K807" t="s">
        <v>266</v>
      </c>
      <c r="L807">
        <f>_xlfn.XLOOKUP(AllDataCorrected[[#This Row],[Site Name]],Tables!$B$12:$B$100, Tables!C$12:C$100)</f>
        <v>52.166363596153808</v>
      </c>
      <c r="M807">
        <f>_xlfn.XLOOKUP(AllDataCorrected[[#This Row],[Site Name]],Tables!$B$12:$B$100, Tables!D$12:D$100)</f>
        <v>-1.7080375384615398</v>
      </c>
      <c r="N807" t="s">
        <v>68</v>
      </c>
      <c r="O807">
        <v>699</v>
      </c>
      <c r="P807">
        <v>20.3</v>
      </c>
      <c r="Q807">
        <v>8</v>
      </c>
      <c r="R807" t="str">
        <f>IF(AllDataCorrected[[#This Row],[Nitrate (PPM)]]&gt;2, "4. Very high (&gt;2ppm)", IF(AllDataCorrected[[#This Row],[Nitrate (PPM)]]&gt;1, "3. High (1-2ppm)", IF(AllDataCorrected[[#This Row],[Nitrate (PPM)]]&gt;0.5, "2. Some evidence (0.5-1ppm)", IF(AllDataCorrected[[#This Row],[Nitrate (PPM)]]&gt;=0, "1. No evidence (&lt;0.5ppm)"))))</f>
        <v>4. Very high (&gt;2ppm)</v>
      </c>
      <c r="S807">
        <v>0.24</v>
      </c>
      <c r="T8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7">
        <v>0.6</v>
      </c>
    </row>
    <row r="808" spans="1:22" x14ac:dyDescent="0.35">
      <c r="A808" t="s">
        <v>1271</v>
      </c>
      <c r="B808" s="2">
        <v>45424</v>
      </c>
      <c r="C808" t="str" cm="1">
        <f t="array" ref="C8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8">
        <f>YEAR(AllDataCorrected[[#This Row],[Date]])</f>
        <v>2024</v>
      </c>
      <c r="E808" s="1">
        <v>0.69027777777777777</v>
      </c>
      <c r="F8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08" t="str">
        <f>_xlfn.XLOOKUP(AllDataCorrected[[#This Row],[Location Name]], Locations[Location Name],Locations[Group As])</f>
        <v>Black Bear</v>
      </c>
      <c r="H808" t="e" vm="4">
        <f>_xlfn.XLOOKUP(AllDataCorrected[[#This Row],[Site Name]],LocationsKey[Site Name],LocationsKey[District])</f>
        <v>#VALUE!</v>
      </c>
      <c r="I808" t="e" vm="4">
        <f>_xlfn.XLOOKUP(AllDataCorrected[[#This Row],[Site Name]],LocationsKey[Site Name],LocationsKey[Town])</f>
        <v>#VALUE!</v>
      </c>
      <c r="J808" t="str">
        <f>_xlfn.XLOOKUP(AllDataCorrected[[#This Row],[Site Name]],LocationsKey[Site Name], LocationsKey[Waterway])</f>
        <v>Avon</v>
      </c>
      <c r="K808" t="s">
        <v>572</v>
      </c>
      <c r="L808">
        <f>_xlfn.XLOOKUP(AllDataCorrected[[#This Row],[Site Name]],Tables!$B$12:$B$100, Tables!C$12:C$100)</f>
        <v>51.997466254237274</v>
      </c>
      <c r="M808">
        <f>_xlfn.XLOOKUP(AllDataCorrected[[#This Row],[Site Name]],Tables!$B$12:$B$100, Tables!D$12:D$100)</f>
        <v>-2.1561788644067801</v>
      </c>
      <c r="N808" t="s">
        <v>25</v>
      </c>
      <c r="O808">
        <v>844</v>
      </c>
      <c r="P808">
        <v>20.7</v>
      </c>
      <c r="Q808">
        <v>10</v>
      </c>
      <c r="R808" t="str">
        <f>IF(AllDataCorrected[[#This Row],[Nitrate (PPM)]]&gt;2, "4. Very high (&gt;2ppm)", IF(AllDataCorrected[[#This Row],[Nitrate (PPM)]]&gt;1, "3. High (1-2ppm)", IF(AllDataCorrected[[#This Row],[Nitrate (PPM)]]&gt;0.5, "2. Some evidence (0.5-1ppm)", IF(AllDataCorrected[[#This Row],[Nitrate (PPM)]]&gt;=0, "1. No evidence (&lt;0.5ppm)"))))</f>
        <v>4. Very high (&gt;2ppm)</v>
      </c>
      <c r="S808">
        <v>0.32</v>
      </c>
      <c r="T8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08">
        <v>0</v>
      </c>
    </row>
    <row r="809" spans="1:22" x14ac:dyDescent="0.35">
      <c r="A809" t="s">
        <v>1272</v>
      </c>
      <c r="B809" s="2">
        <v>45425</v>
      </c>
      <c r="C809" t="str" cm="1">
        <f t="array" ref="C8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09">
        <f>YEAR(AllDataCorrected[[#This Row],[Date]])</f>
        <v>2024</v>
      </c>
      <c r="E809" s="1">
        <v>0.39791666666666664</v>
      </c>
      <c r="F8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09" t="str">
        <f>_xlfn.XLOOKUP(AllDataCorrected[[#This Row],[Location Name]], Locations[Location Name],Locations[Group As])</f>
        <v>Stour Stretton-on-Fosse Village</v>
      </c>
      <c r="H809" t="e" vm="1">
        <f>_xlfn.XLOOKUP(AllDataCorrected[[#This Row],[Site Name]],LocationsKey[Site Name],LocationsKey[District])</f>
        <v>#VALUE!</v>
      </c>
      <c r="I809" t="e" vm="30">
        <f>_xlfn.XLOOKUP(AllDataCorrected[[#This Row],[Site Name]],LocationsKey[Site Name],LocationsKey[Town])</f>
        <v>#VALUE!</v>
      </c>
      <c r="J809" t="str">
        <f>_xlfn.XLOOKUP(AllDataCorrected[[#This Row],[Site Name]],LocationsKey[Site Name], LocationsKey[Waterway])</f>
        <v>Stour</v>
      </c>
      <c r="K809" t="s">
        <v>548</v>
      </c>
      <c r="L809">
        <f>_xlfn.XLOOKUP(AllDataCorrected[[#This Row],[Site Name]],Tables!$B$12:$B$100, Tables!C$12:C$100)</f>
        <v>52.046517558823531</v>
      </c>
      <c r="M809">
        <f>_xlfn.XLOOKUP(AllDataCorrected[[#This Row],[Site Name]],Tables!$B$12:$B$100, Tables!D$12:D$100)</f>
        <v>-1.6734143529411762</v>
      </c>
      <c r="N809" t="s">
        <v>68</v>
      </c>
      <c r="O809">
        <v>760</v>
      </c>
      <c r="P809">
        <v>14.5</v>
      </c>
      <c r="Q809">
        <v>2</v>
      </c>
      <c r="R809" t="str">
        <f>IF(AllDataCorrected[[#This Row],[Nitrate (PPM)]]&gt;2, "4. Very high (&gt;2ppm)", IF(AllDataCorrected[[#This Row],[Nitrate (PPM)]]&gt;1, "3. High (1-2ppm)", IF(AllDataCorrected[[#This Row],[Nitrate (PPM)]]&gt;0.5, "2. Some evidence (0.5-1ppm)", IF(AllDataCorrected[[#This Row],[Nitrate (PPM)]]&gt;=0, "1. No evidence (&lt;0.5ppm)"))))</f>
        <v>3. High (1-2ppm)</v>
      </c>
      <c r="S809">
        <v>2.5</v>
      </c>
      <c r="T8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09">
        <v>0.2</v>
      </c>
    </row>
    <row r="810" spans="1:22" x14ac:dyDescent="0.35">
      <c r="A810" t="s">
        <v>1273</v>
      </c>
      <c r="B810" s="2">
        <v>45425</v>
      </c>
      <c r="C810" t="str" cm="1">
        <f t="array" ref="C8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0">
        <f>YEAR(AllDataCorrected[[#This Row],[Date]])</f>
        <v>2024</v>
      </c>
      <c r="E810" s="1">
        <v>0.40416666666666667</v>
      </c>
      <c r="F8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0" t="str">
        <f>_xlfn.XLOOKUP(AllDataCorrected[[#This Row],[Location Name]], Locations[Location Name],Locations[Group As])</f>
        <v>Stour Stretton-on-Fosse Sewage Works</v>
      </c>
      <c r="H810" t="e" vm="1">
        <f>_xlfn.XLOOKUP(AllDataCorrected[[#This Row],[Site Name]],LocationsKey[Site Name],LocationsKey[District])</f>
        <v>#VALUE!</v>
      </c>
      <c r="I810" t="e" vm="30">
        <f>_xlfn.XLOOKUP(AllDataCorrected[[#This Row],[Site Name]],LocationsKey[Site Name],LocationsKey[Town])</f>
        <v>#VALUE!</v>
      </c>
      <c r="J810" t="str">
        <f>_xlfn.XLOOKUP(AllDataCorrected[[#This Row],[Site Name]],LocationsKey[Site Name], LocationsKey[Waterway])</f>
        <v>Stour</v>
      </c>
      <c r="K810" t="s">
        <v>337</v>
      </c>
      <c r="L810">
        <f>_xlfn.XLOOKUP(AllDataCorrected[[#This Row],[Site Name]],Tables!$B$12:$B$100, Tables!C$12:C$100)</f>
        <v>52.045653647058828</v>
      </c>
      <c r="M810">
        <f>_xlfn.XLOOKUP(AllDataCorrected[[#This Row],[Site Name]],Tables!$B$12:$B$100, Tables!D$12:D$100)</f>
        <v>-1.6719221470588239</v>
      </c>
      <c r="N810" t="s">
        <v>31</v>
      </c>
      <c r="O810">
        <v>850</v>
      </c>
      <c r="P810">
        <v>14.3</v>
      </c>
      <c r="Q810">
        <v>3</v>
      </c>
      <c r="R810" t="str">
        <f>IF(AllDataCorrected[[#This Row],[Nitrate (PPM)]]&gt;2, "4. Very high (&gt;2ppm)", IF(AllDataCorrected[[#This Row],[Nitrate (PPM)]]&gt;1, "3. High (1-2ppm)", IF(AllDataCorrected[[#This Row],[Nitrate (PPM)]]&gt;0.5, "2. Some evidence (0.5-1ppm)", IF(AllDataCorrected[[#This Row],[Nitrate (PPM)]]&gt;=0, "1. No evidence (&lt;0.5ppm)"))))</f>
        <v>4. Very high (&gt;2ppm)</v>
      </c>
      <c r="S810">
        <v>2.5</v>
      </c>
      <c r="T8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10">
        <v>0.25</v>
      </c>
      <c r="V810" t="s">
        <v>1274</v>
      </c>
    </row>
    <row r="811" spans="1:22" x14ac:dyDescent="0.35">
      <c r="A811" t="s">
        <v>1275</v>
      </c>
      <c r="B811" s="2">
        <v>45425</v>
      </c>
      <c r="C811" t="str" cm="1">
        <f t="array" ref="C8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1">
        <f>YEAR(AllDataCorrected[[#This Row],[Date]])</f>
        <v>2024</v>
      </c>
      <c r="E811" s="1">
        <v>0.41666666666666669</v>
      </c>
      <c r="F8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1" t="str">
        <f>_xlfn.XLOOKUP(AllDataCorrected[[#This Row],[Location Name]], Locations[Location Name],Locations[Group As])</f>
        <v>Sherbourne Brook 1</v>
      </c>
      <c r="H811" t="e" vm="1">
        <f>_xlfn.XLOOKUP(AllDataCorrected[[#This Row],[Site Name]],LocationsKey[Site Name],LocationsKey[District])</f>
        <v>#VALUE!</v>
      </c>
      <c r="I811" t="e" vm="23">
        <f>_xlfn.XLOOKUP(AllDataCorrected[[#This Row],[Site Name]],LocationsKey[Site Name],LocationsKey[Town])</f>
        <v>#VALUE!</v>
      </c>
      <c r="J811" t="str">
        <f>_xlfn.XLOOKUP(AllDataCorrected[[#This Row],[Site Name]],LocationsKey[Site Name], LocationsKey[Waterway])</f>
        <v>Sherbourne Brook</v>
      </c>
      <c r="K811" t="s">
        <v>541</v>
      </c>
      <c r="L811">
        <f>_xlfn.XLOOKUP(AllDataCorrected[[#This Row],[Site Name]],Tables!$B$12:$B$100, Tables!C$12:C$100)</f>
        <v>52.252500000000033</v>
      </c>
      <c r="M811">
        <f>_xlfn.XLOOKUP(AllDataCorrected[[#This Row],[Site Name]],Tables!$B$12:$B$100, Tables!D$12:D$100)</f>
        <v>-1.6685000000000012</v>
      </c>
      <c r="N811" t="s">
        <v>25</v>
      </c>
      <c r="O811">
        <v>1070</v>
      </c>
      <c r="P811">
        <v>14.5</v>
      </c>
      <c r="Q811">
        <v>10</v>
      </c>
      <c r="R811" t="str">
        <f>IF(AllDataCorrected[[#This Row],[Nitrate (PPM)]]&gt;2, "4. Very high (&gt;2ppm)", IF(AllDataCorrected[[#This Row],[Nitrate (PPM)]]&gt;1, "3. High (1-2ppm)", IF(AllDataCorrected[[#This Row],[Nitrate (PPM)]]&gt;0.5, "2. Some evidence (0.5-1ppm)", IF(AllDataCorrected[[#This Row],[Nitrate (PPM)]]&gt;=0, "1. No evidence (&lt;0.5ppm)"))))</f>
        <v>4. Very high (&gt;2ppm)</v>
      </c>
      <c r="S811">
        <v>0.37</v>
      </c>
      <c r="T8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1">
        <v>0.15</v>
      </c>
    </row>
    <row r="812" spans="1:22" x14ac:dyDescent="0.35">
      <c r="A812" t="s">
        <v>1276</v>
      </c>
      <c r="B812" s="2">
        <v>45425</v>
      </c>
      <c r="C812" t="str" cm="1">
        <f t="array" ref="C8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2">
        <f>YEAR(AllDataCorrected[[#This Row],[Date]])</f>
        <v>2024</v>
      </c>
      <c r="E812" s="1">
        <v>0.42708333333333331</v>
      </c>
      <c r="F8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2" t="str">
        <f>_xlfn.XLOOKUP(AllDataCorrected[[#This Row],[Location Name]], Locations[Location Name],Locations[Group As])</f>
        <v>Bell Brook 1</v>
      </c>
      <c r="H812" t="e" vm="1">
        <f>_xlfn.XLOOKUP(AllDataCorrected[[#This Row],[Site Name]],LocationsKey[Site Name],LocationsKey[District])</f>
        <v>#VALUE!</v>
      </c>
      <c r="I812" t="e" vm="19">
        <f>_xlfn.XLOOKUP(AllDataCorrected[[#This Row],[Site Name]],LocationsKey[Site Name],LocationsKey[Town])</f>
        <v>#VALUE!</v>
      </c>
      <c r="J812" t="str">
        <f>_xlfn.XLOOKUP(AllDataCorrected[[#This Row],[Site Name]],LocationsKey[Site Name], LocationsKey[Waterway])</f>
        <v>Bell Brook</v>
      </c>
      <c r="K812" t="s">
        <v>538</v>
      </c>
      <c r="L812">
        <f>_xlfn.XLOOKUP(AllDataCorrected[[#This Row],[Site Name]],Tables!$B$12:$B$100, Tables!C$12:C$100)</f>
        <v>52.24489999999998</v>
      </c>
      <c r="M812">
        <f>_xlfn.XLOOKUP(AllDataCorrected[[#This Row],[Site Name]],Tables!$B$12:$B$100, Tables!D$12:D$100)</f>
        <v>-1.6617000000000013</v>
      </c>
      <c r="N812" t="s">
        <v>25</v>
      </c>
      <c r="O812">
        <v>813</v>
      </c>
      <c r="P812">
        <v>15.6</v>
      </c>
      <c r="Q812">
        <v>6</v>
      </c>
      <c r="R812" t="str">
        <f>IF(AllDataCorrected[[#This Row],[Nitrate (PPM)]]&gt;2, "4. Very high (&gt;2ppm)", IF(AllDataCorrected[[#This Row],[Nitrate (PPM)]]&gt;1, "3. High (1-2ppm)", IF(AllDataCorrected[[#This Row],[Nitrate (PPM)]]&gt;0.5, "2. Some evidence (0.5-1ppm)", IF(AllDataCorrected[[#This Row],[Nitrate (PPM)]]&gt;=0, "1. No evidence (&lt;0.5ppm)"))))</f>
        <v>4. Very high (&gt;2ppm)</v>
      </c>
      <c r="S812">
        <v>0.36</v>
      </c>
      <c r="T8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2">
        <v>0.1</v>
      </c>
    </row>
    <row r="813" spans="1:22" x14ac:dyDescent="0.35">
      <c r="A813" t="s">
        <v>1277</v>
      </c>
      <c r="B813" s="2">
        <v>45426</v>
      </c>
      <c r="C813" t="str" cm="1">
        <f t="array" ref="C8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3">
        <f>YEAR(AllDataCorrected[[#This Row],[Date]])</f>
        <v>2024</v>
      </c>
      <c r="E813" s="1">
        <v>0.43958333333333333</v>
      </c>
      <c r="F8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3" t="str">
        <f>_xlfn.XLOOKUP(AllDataCorrected[[#This Row],[Location Name]], Locations[Location Name],Locations[Group As])</f>
        <v>Carrant Mitton Path</v>
      </c>
      <c r="H813" t="e" vm="4">
        <f>_xlfn.XLOOKUP(AllDataCorrected[[#This Row],[Site Name]],LocationsKey[Site Name],LocationsKey[District])</f>
        <v>#VALUE!</v>
      </c>
      <c r="I813" t="e" vm="4">
        <f>_xlfn.XLOOKUP(AllDataCorrected[[#This Row],[Site Name]],LocationsKey[Site Name],LocationsKey[Town])</f>
        <v>#VALUE!</v>
      </c>
      <c r="J813" t="str">
        <f>_xlfn.XLOOKUP(AllDataCorrected[[#This Row],[Site Name]],LocationsKey[Site Name], LocationsKey[Waterway])</f>
        <v>Carrant</v>
      </c>
      <c r="K813" t="s">
        <v>1198</v>
      </c>
      <c r="L813">
        <f>_xlfn.XLOOKUP(AllDataCorrected[[#This Row],[Site Name]],Tables!$B$12:$B$100, Tables!C$12:C$100)</f>
        <v>52.048665</v>
      </c>
      <c r="M813">
        <f>_xlfn.XLOOKUP(AllDataCorrected[[#This Row],[Site Name]],Tables!$B$12:$B$100, Tables!D$12:D$100)</f>
        <v>-1.7862663333333331</v>
      </c>
      <c r="N813" t="s">
        <v>25</v>
      </c>
      <c r="O813">
        <v>692</v>
      </c>
      <c r="P813">
        <v>16</v>
      </c>
      <c r="Q813">
        <v>6</v>
      </c>
      <c r="R813" t="str">
        <f>IF(AllDataCorrected[[#This Row],[Nitrate (PPM)]]&gt;2, "4. Very high (&gt;2ppm)", IF(AllDataCorrected[[#This Row],[Nitrate (PPM)]]&gt;1, "3. High (1-2ppm)", IF(AllDataCorrected[[#This Row],[Nitrate (PPM)]]&gt;0.5, "2. Some evidence (0.5-1ppm)", IF(AllDataCorrected[[#This Row],[Nitrate (PPM)]]&gt;=0, "1. No evidence (&lt;0.5ppm)"))))</f>
        <v>4. Very high (&gt;2ppm)</v>
      </c>
      <c r="S813">
        <v>0.12</v>
      </c>
      <c r="T8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3">
        <v>0</v>
      </c>
    </row>
    <row r="814" spans="1:22" x14ac:dyDescent="0.35">
      <c r="A814" t="s">
        <v>1278</v>
      </c>
      <c r="B814" s="2">
        <v>45426</v>
      </c>
      <c r="C814" t="str" cm="1">
        <f t="array" ref="C8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4">
        <f>YEAR(AllDataCorrected[[#This Row],[Date]])</f>
        <v>2024</v>
      </c>
      <c r="E814" s="1">
        <v>0.45347222222222222</v>
      </c>
      <c r="F8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14" t="str">
        <f>_xlfn.XLOOKUP(AllDataCorrected[[#This Row],[Location Name]], Locations[Location Name],Locations[Group As])</f>
        <v>Carrant M5 Bridge</v>
      </c>
      <c r="H814" t="e" vm="4">
        <f>_xlfn.XLOOKUP(AllDataCorrected[[#This Row],[Site Name]],LocationsKey[Site Name],LocationsKey[District])</f>
        <v>#VALUE!</v>
      </c>
      <c r="I814" t="e" vm="4">
        <f>_xlfn.XLOOKUP(AllDataCorrected[[#This Row],[Site Name]],LocationsKey[Site Name],LocationsKey[Town])</f>
        <v>#VALUE!</v>
      </c>
      <c r="J814" t="str">
        <f>_xlfn.XLOOKUP(AllDataCorrected[[#This Row],[Site Name]],LocationsKey[Site Name], LocationsKey[Waterway])</f>
        <v>Carrant</v>
      </c>
      <c r="K814" t="s">
        <v>1066</v>
      </c>
      <c r="L814">
        <f>_xlfn.XLOOKUP(AllDataCorrected[[#This Row],[Site Name]],Tables!$B$12:$B$100, Tables!C$12:C$100)</f>
        <v>52.012994652173923</v>
      </c>
      <c r="M814">
        <f>_xlfn.XLOOKUP(AllDataCorrected[[#This Row],[Site Name]],Tables!$B$12:$B$100, Tables!D$12:D$100)</f>
        <v>-2.1224405652173912</v>
      </c>
      <c r="N814" t="s">
        <v>25</v>
      </c>
      <c r="O814">
        <v>758</v>
      </c>
      <c r="P814">
        <v>16.2</v>
      </c>
      <c r="Q814">
        <v>7</v>
      </c>
      <c r="R814" t="str">
        <f>IF(AllDataCorrected[[#This Row],[Nitrate (PPM)]]&gt;2, "4. Very high (&gt;2ppm)", IF(AllDataCorrected[[#This Row],[Nitrate (PPM)]]&gt;1, "3. High (1-2ppm)", IF(AllDataCorrected[[#This Row],[Nitrate (PPM)]]&gt;0.5, "2. Some evidence (0.5-1ppm)", IF(AllDataCorrected[[#This Row],[Nitrate (PPM)]]&gt;=0, "1. No evidence (&lt;0.5ppm)"))))</f>
        <v>4. Very high (&gt;2ppm)</v>
      </c>
      <c r="S814">
        <v>0.31</v>
      </c>
      <c r="T8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4">
        <v>0</v>
      </c>
    </row>
    <row r="815" spans="1:22" x14ac:dyDescent="0.35">
      <c r="A815" t="s">
        <v>1279</v>
      </c>
      <c r="B815" s="2">
        <v>45427</v>
      </c>
      <c r="C815" t="str" cm="1">
        <f t="array" ref="C8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5">
        <f>YEAR(AllDataCorrected[[#This Row],[Date]])</f>
        <v>2024</v>
      </c>
      <c r="E815" s="1">
        <v>0.57986111111111116</v>
      </c>
      <c r="F8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5" t="str">
        <f>_xlfn.XLOOKUP(AllDataCorrected[[#This Row],[Location Name]], Locations[Location Name],Locations[Group As])</f>
        <v>Alveston Weir</v>
      </c>
      <c r="H815" t="e" vm="1">
        <f>_xlfn.XLOOKUP(AllDataCorrected[[#This Row],[Site Name]],LocationsKey[Site Name],LocationsKey[District])</f>
        <v>#VALUE!</v>
      </c>
      <c r="I815" t="e" vm="2">
        <f>_xlfn.XLOOKUP(AllDataCorrected[[#This Row],[Site Name]],LocationsKey[Site Name],LocationsKey[Town])</f>
        <v>#VALUE!</v>
      </c>
      <c r="J815" t="str">
        <f>_xlfn.XLOOKUP(AllDataCorrected[[#This Row],[Site Name]],LocationsKey[Site Name], LocationsKey[Waterway])</f>
        <v>Avon</v>
      </c>
      <c r="K815" t="s">
        <v>288</v>
      </c>
      <c r="L815">
        <f>_xlfn.XLOOKUP(AllDataCorrected[[#This Row],[Site Name]],Tables!$B$12:$B$100, Tables!C$12:C$100)</f>
        <v>52.21226301333337</v>
      </c>
      <c r="M815">
        <f>_xlfn.XLOOKUP(AllDataCorrected[[#This Row],[Site Name]],Tables!$B$12:$B$100, Tables!D$12:D$100)</f>
        <v>-1.6595226800000011</v>
      </c>
      <c r="N815" t="s">
        <v>31</v>
      </c>
      <c r="O815">
        <v>901</v>
      </c>
      <c r="P815">
        <v>18.8</v>
      </c>
      <c r="Q815">
        <v>5</v>
      </c>
      <c r="R815" t="str">
        <f>IF(AllDataCorrected[[#This Row],[Nitrate (PPM)]]&gt;2, "4. Very high (&gt;2ppm)", IF(AllDataCorrected[[#This Row],[Nitrate (PPM)]]&gt;1, "3. High (1-2ppm)", IF(AllDataCorrected[[#This Row],[Nitrate (PPM)]]&gt;0.5, "2. Some evidence (0.5-1ppm)", IF(AllDataCorrected[[#This Row],[Nitrate (PPM)]]&gt;=0, "1. No evidence (&lt;0.5ppm)"))))</f>
        <v>4. Very high (&gt;2ppm)</v>
      </c>
      <c r="S815">
        <v>0.38</v>
      </c>
      <c r="T8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5">
        <v>0</v>
      </c>
      <c r="V815" t="s">
        <v>1280</v>
      </c>
    </row>
    <row r="816" spans="1:22" x14ac:dyDescent="0.35">
      <c r="A816" t="s">
        <v>1281</v>
      </c>
      <c r="B816" s="2">
        <v>45427</v>
      </c>
      <c r="C816" t="str" cm="1">
        <f t="array" ref="C8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6">
        <f>YEAR(AllDataCorrected[[#This Row],[Date]])</f>
        <v>2024</v>
      </c>
      <c r="E816" s="1">
        <v>0.58333333333333337</v>
      </c>
      <c r="F8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6" t="str">
        <f>_xlfn.XLOOKUP(AllDataCorrected[[#This Row],[Location Name]], Locations[Location Name],Locations[Group As])</f>
        <v>Swiffen Bank</v>
      </c>
      <c r="H816" t="e" vm="1">
        <f>_xlfn.XLOOKUP(AllDataCorrected[[#This Row],[Site Name]],LocationsKey[Site Name],LocationsKey[District])</f>
        <v>#VALUE!</v>
      </c>
      <c r="I816" t="e" vm="2">
        <f>_xlfn.XLOOKUP(AllDataCorrected[[#This Row],[Site Name]],LocationsKey[Site Name],LocationsKey[Town])</f>
        <v>#VALUE!</v>
      </c>
      <c r="J816" t="str">
        <f>_xlfn.XLOOKUP(AllDataCorrected[[#This Row],[Site Name]],LocationsKey[Site Name], LocationsKey[Waterway])</f>
        <v>Avon</v>
      </c>
      <c r="K816" t="s">
        <v>286</v>
      </c>
      <c r="L816">
        <f>_xlfn.XLOOKUP(AllDataCorrected[[#This Row],[Site Name]],Tables!$B$12:$B$100, Tables!C$12:C$100)</f>
        <v>52.206649805555557</v>
      </c>
      <c r="M816">
        <f>_xlfn.XLOOKUP(AllDataCorrected[[#This Row],[Site Name]],Tables!$B$12:$B$100, Tables!D$12:D$100)</f>
        <v>-1.6541018611111094</v>
      </c>
      <c r="N816" t="s">
        <v>31</v>
      </c>
      <c r="O816">
        <v>699</v>
      </c>
      <c r="P816">
        <v>19.8</v>
      </c>
      <c r="Q816">
        <v>10</v>
      </c>
      <c r="R816" t="str">
        <f>IF(AllDataCorrected[[#This Row],[Nitrate (PPM)]]&gt;2, "4. Very high (&gt;2ppm)", IF(AllDataCorrected[[#This Row],[Nitrate (PPM)]]&gt;1, "3. High (1-2ppm)", IF(AllDataCorrected[[#This Row],[Nitrate (PPM)]]&gt;0.5, "2. Some evidence (0.5-1ppm)", IF(AllDataCorrected[[#This Row],[Nitrate (PPM)]]&gt;=0, "1. No evidence (&lt;0.5ppm)"))))</f>
        <v>4. Very high (&gt;2ppm)</v>
      </c>
      <c r="S816">
        <v>0.44</v>
      </c>
      <c r="T8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6">
        <v>0</v>
      </c>
      <c r="V816" t="s">
        <v>1282</v>
      </c>
    </row>
    <row r="817" spans="1:22" x14ac:dyDescent="0.35">
      <c r="A817" t="s">
        <v>1283</v>
      </c>
      <c r="B817" s="2">
        <v>45427</v>
      </c>
      <c r="C817" t="str" cm="1">
        <f t="array" ref="C8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7">
        <f>YEAR(AllDataCorrected[[#This Row],[Date]])</f>
        <v>2024</v>
      </c>
      <c r="E817" s="1">
        <v>0.66666666666666663</v>
      </c>
      <c r="F8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7" t="str">
        <f>_xlfn.XLOOKUP(AllDataCorrected[[#This Row],[Location Name]], Locations[Location Name],Locations[Group As])</f>
        <v>Stour Newbold Mill</v>
      </c>
      <c r="H817" t="e" vm="1">
        <f>_xlfn.XLOOKUP(AllDataCorrected[[#This Row],[Site Name]],LocationsKey[Site Name],LocationsKey[District])</f>
        <v>#VALUE!</v>
      </c>
      <c r="I817" t="e" vm="27">
        <f>_xlfn.XLOOKUP(AllDataCorrected[[#This Row],[Site Name]],LocationsKey[Site Name],LocationsKey[Town])</f>
        <v>#VALUE!</v>
      </c>
      <c r="J817" t="str">
        <f>_xlfn.XLOOKUP(AllDataCorrected[[#This Row],[Site Name]],LocationsKey[Site Name], LocationsKey[Waterway])</f>
        <v>Stour</v>
      </c>
      <c r="K817" t="s">
        <v>141</v>
      </c>
      <c r="L817">
        <f>_xlfn.XLOOKUP(AllDataCorrected[[#This Row],[Site Name]],Tables!$B$12:$B$100, Tables!C$12:C$100)</f>
        <v>52.113052370370369</v>
      </c>
      <c r="M817">
        <f>_xlfn.XLOOKUP(AllDataCorrected[[#This Row],[Site Name]],Tables!$B$12:$B$100, Tables!D$12:D$100)</f>
        <v>-1.6333685185185181</v>
      </c>
      <c r="N817" t="s">
        <v>31</v>
      </c>
      <c r="O817">
        <v>681</v>
      </c>
      <c r="P817">
        <v>18.399999999999999</v>
      </c>
      <c r="Q817">
        <v>2</v>
      </c>
      <c r="R817" t="str">
        <f>IF(AllDataCorrected[[#This Row],[Nitrate (PPM)]]&gt;2, "4. Very high (&gt;2ppm)", IF(AllDataCorrected[[#This Row],[Nitrate (PPM)]]&gt;1, "3. High (1-2ppm)", IF(AllDataCorrected[[#This Row],[Nitrate (PPM)]]&gt;0.5, "2. Some evidence (0.5-1ppm)", IF(AllDataCorrected[[#This Row],[Nitrate (PPM)]]&gt;=0, "1. No evidence (&lt;0.5ppm)"))))</f>
        <v>3. High (1-2ppm)</v>
      </c>
      <c r="S817">
        <v>0.3</v>
      </c>
      <c r="T8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7">
        <v>2</v>
      </c>
      <c r="V817" t="s">
        <v>1248</v>
      </c>
    </row>
    <row r="818" spans="1:22" x14ac:dyDescent="0.35">
      <c r="A818" t="s">
        <v>1284</v>
      </c>
      <c r="B818" s="2">
        <v>45427</v>
      </c>
      <c r="C818" t="str" cm="1">
        <f t="array" ref="C8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8">
        <f>YEAR(AllDataCorrected[[#This Row],[Date]])</f>
        <v>2024</v>
      </c>
      <c r="E818" s="1">
        <v>0.84583333333333333</v>
      </c>
      <c r="F818"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18" t="str">
        <f>_xlfn.XLOOKUP(AllDataCorrected[[#This Row],[Location Name]], Locations[Location Name],Locations[Group As])</f>
        <v>Abbey Mill</v>
      </c>
      <c r="H818" t="e" vm="4">
        <f>_xlfn.XLOOKUP(AllDataCorrected[[#This Row],[Site Name]],LocationsKey[Site Name],LocationsKey[District])</f>
        <v>#VALUE!</v>
      </c>
      <c r="I818" t="e" vm="4">
        <f>_xlfn.XLOOKUP(AllDataCorrected[[#This Row],[Site Name]],LocationsKey[Site Name],LocationsKey[Town])</f>
        <v>#VALUE!</v>
      </c>
      <c r="J818" t="str">
        <f>_xlfn.XLOOKUP(AllDataCorrected[[#This Row],[Site Name]],LocationsKey[Site Name], LocationsKey[Waterway])</f>
        <v>Avon</v>
      </c>
      <c r="K818" t="s">
        <v>27</v>
      </c>
      <c r="L818">
        <f>_xlfn.XLOOKUP(AllDataCorrected[[#This Row],[Site Name]],Tables!$B$12:$B$100, Tables!C$12:C$100)</f>
        <v>51.991313075757589</v>
      </c>
      <c r="M818">
        <f>_xlfn.XLOOKUP(AllDataCorrected[[#This Row],[Site Name]],Tables!$B$12:$B$100, Tables!D$12:D$100)</f>
        <v>-2.1621998181818181</v>
      </c>
      <c r="N818" t="s">
        <v>25</v>
      </c>
      <c r="O818">
        <v>956</v>
      </c>
      <c r="P818">
        <v>18.5</v>
      </c>
      <c r="Q818">
        <v>10</v>
      </c>
      <c r="R818" t="str">
        <f>IF(AllDataCorrected[[#This Row],[Nitrate (PPM)]]&gt;2, "4. Very high (&gt;2ppm)", IF(AllDataCorrected[[#This Row],[Nitrate (PPM)]]&gt;1, "3. High (1-2ppm)", IF(AllDataCorrected[[#This Row],[Nitrate (PPM)]]&gt;0.5, "2. Some evidence (0.5-1ppm)", IF(AllDataCorrected[[#This Row],[Nitrate (PPM)]]&gt;=0, "1. No evidence (&lt;0.5ppm)"))))</f>
        <v>4. Very high (&gt;2ppm)</v>
      </c>
      <c r="S818">
        <v>0.64</v>
      </c>
      <c r="T8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18">
        <v>0.6</v>
      </c>
    </row>
    <row r="819" spans="1:22" x14ac:dyDescent="0.35">
      <c r="A819" t="s">
        <v>1285</v>
      </c>
      <c r="B819" s="2">
        <v>45428</v>
      </c>
      <c r="C819" t="str" cm="1">
        <f t="array" ref="C8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19">
        <f>YEAR(AllDataCorrected[[#This Row],[Date]])</f>
        <v>2024</v>
      </c>
      <c r="E819" s="1">
        <v>0.71875</v>
      </c>
      <c r="F81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19" t="str">
        <f>_xlfn.XLOOKUP(AllDataCorrected[[#This Row],[Location Name]], Locations[Location Name],Locations[Group As])</f>
        <v>Stour Willington</v>
      </c>
      <c r="H819" t="e" vm="1">
        <f>_xlfn.XLOOKUP(AllDataCorrected[[#This Row],[Site Name]],LocationsKey[Site Name],LocationsKey[District])</f>
        <v>#VALUE!</v>
      </c>
      <c r="I819" t="str">
        <f>_xlfn.XLOOKUP(AllDataCorrected[[#This Row],[Site Name]],LocationsKey[Site Name],LocationsKey[Town])</f>
        <v>Willington</v>
      </c>
      <c r="J819" t="str">
        <f>_xlfn.XLOOKUP(AllDataCorrected[[#This Row],[Site Name]],LocationsKey[Site Name], LocationsKey[Waterway])</f>
        <v>Stour</v>
      </c>
      <c r="K819" t="s">
        <v>521</v>
      </c>
      <c r="L819">
        <f>_xlfn.XLOOKUP(AllDataCorrected[[#This Row],[Site Name]],Tables!$B$12:$B$100, Tables!C$12:C$100)</f>
        <v>52.053227523809518</v>
      </c>
      <c r="M819">
        <f>_xlfn.XLOOKUP(AllDataCorrected[[#This Row],[Site Name]],Tables!$B$12:$B$100, Tables!D$12:D$100)</f>
        <v>-1.6194739523809523</v>
      </c>
      <c r="N819" t="s">
        <v>25</v>
      </c>
      <c r="O819">
        <v>661</v>
      </c>
      <c r="P819">
        <v>16.399999999999999</v>
      </c>
      <c r="Q819">
        <v>2</v>
      </c>
      <c r="R819" t="str">
        <f>IF(AllDataCorrected[[#This Row],[Nitrate (PPM)]]&gt;2, "4. Very high (&gt;2ppm)", IF(AllDataCorrected[[#This Row],[Nitrate (PPM)]]&gt;1, "3. High (1-2ppm)", IF(AllDataCorrected[[#This Row],[Nitrate (PPM)]]&gt;0.5, "2. Some evidence (0.5-1ppm)", IF(AllDataCorrected[[#This Row],[Nitrate (PPM)]]&gt;=0, "1. No evidence (&lt;0.5ppm)"))))</f>
        <v>3. High (1-2ppm)</v>
      </c>
      <c r="S819">
        <v>0.27</v>
      </c>
      <c r="T8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19">
        <v>0.5</v>
      </c>
    </row>
    <row r="820" spans="1:22" x14ac:dyDescent="0.35">
      <c r="A820" t="s">
        <v>1286</v>
      </c>
      <c r="B820" s="2">
        <v>45429</v>
      </c>
      <c r="C820" t="str" cm="1">
        <f t="array" ref="C8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0">
        <f>YEAR(AllDataCorrected[[#This Row],[Date]])</f>
        <v>2024</v>
      </c>
      <c r="E820" s="1">
        <v>0.38263888888888886</v>
      </c>
      <c r="F8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0" t="str">
        <f>_xlfn.XLOOKUP(AllDataCorrected[[#This Row],[Location Name]], Locations[Location Name],Locations[Group As])</f>
        <v>Lower Lode</v>
      </c>
      <c r="H820" t="e" vm="4">
        <f>_xlfn.XLOOKUP(AllDataCorrected[[#This Row],[Site Name]],LocationsKey[Site Name],LocationsKey[District])</f>
        <v>#VALUE!</v>
      </c>
      <c r="I820" t="e" vm="4">
        <f>_xlfn.XLOOKUP(AllDataCorrected[[#This Row],[Site Name]],LocationsKey[Site Name],LocationsKey[Town])</f>
        <v>#VALUE!</v>
      </c>
      <c r="J820" t="str">
        <f>_xlfn.XLOOKUP(AllDataCorrected[[#This Row],[Site Name]],LocationsKey[Site Name], LocationsKey[Waterway])</f>
        <v>Avon</v>
      </c>
      <c r="K820" t="s">
        <v>595</v>
      </c>
      <c r="L820">
        <f>_xlfn.XLOOKUP(AllDataCorrected[[#This Row],[Site Name]],Tables!$B$12:$B$100, Tables!C$12:C$100)</f>
        <v>51.984916745098026</v>
      </c>
      <c r="M820">
        <f>_xlfn.XLOOKUP(AllDataCorrected[[#This Row],[Site Name]],Tables!$B$12:$B$100, Tables!D$12:D$100)</f>
        <v>-2.1745787647058821</v>
      </c>
      <c r="N820" t="s">
        <v>31</v>
      </c>
      <c r="O820">
        <v>8440</v>
      </c>
      <c r="P820">
        <v>17.399999999999999</v>
      </c>
      <c r="Q820">
        <v>10</v>
      </c>
      <c r="R820" t="str">
        <f>IF(AllDataCorrected[[#This Row],[Nitrate (PPM)]]&gt;2, "4. Very high (&gt;2ppm)", IF(AllDataCorrected[[#This Row],[Nitrate (PPM)]]&gt;1, "3. High (1-2ppm)", IF(AllDataCorrected[[#This Row],[Nitrate (PPM)]]&gt;0.5, "2. Some evidence (0.5-1ppm)", IF(AllDataCorrected[[#This Row],[Nitrate (PPM)]]&gt;=0, "1. No evidence (&lt;0.5ppm)"))))</f>
        <v>4. Very high (&gt;2ppm)</v>
      </c>
      <c r="S820">
        <v>0.56000000000000005</v>
      </c>
      <c r="T8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0">
        <v>0</v>
      </c>
    </row>
    <row r="821" spans="1:22" x14ac:dyDescent="0.35">
      <c r="A821" t="s">
        <v>1287</v>
      </c>
      <c r="B821" s="2">
        <v>45429</v>
      </c>
      <c r="C821" t="str" cm="1">
        <f t="array" ref="C8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1">
        <f>YEAR(AllDataCorrected[[#This Row],[Date]])</f>
        <v>2024</v>
      </c>
      <c r="E821" s="1">
        <v>0.5</v>
      </c>
      <c r="F8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1" t="str">
        <f>_xlfn.XLOOKUP(AllDataCorrected[[#This Row],[Location Name]], Locations[Location Name],Locations[Group As])</f>
        <v>Mill Bridge Peopleton</v>
      </c>
      <c r="H821" t="e" vm="6">
        <f>_xlfn.XLOOKUP(AllDataCorrected[[#This Row],[Site Name]],LocationsKey[Site Name],LocationsKey[District])</f>
        <v>#VALUE!</v>
      </c>
      <c r="I821" t="str">
        <f>_xlfn.XLOOKUP(AllDataCorrected[[#This Row],[Site Name]],LocationsKey[Site Name],LocationsKey[Town])</f>
        <v>Peopleton</v>
      </c>
      <c r="J821" t="str">
        <f>_xlfn.XLOOKUP(AllDataCorrected[[#This Row],[Site Name]],LocationsKey[Site Name], LocationsKey[Waterway])</f>
        <v>Bow Brook</v>
      </c>
      <c r="K821" t="s">
        <v>1015</v>
      </c>
      <c r="L821">
        <f>_xlfn.XLOOKUP(AllDataCorrected[[#This Row],[Site Name]],Tables!$B$12:$B$100, Tables!C$12:C$100)</f>
        <v>52.151811999999993</v>
      </c>
      <c r="M821">
        <f>_xlfn.XLOOKUP(AllDataCorrected[[#This Row],[Site Name]],Tables!$B$12:$B$100, Tables!D$12:D$100)</f>
        <v>-2.0958865161290317</v>
      </c>
      <c r="N821" t="s">
        <v>31</v>
      </c>
      <c r="O821">
        <v>1120</v>
      </c>
      <c r="P821">
        <v>16.7</v>
      </c>
      <c r="Q821">
        <v>5</v>
      </c>
      <c r="R821" t="str">
        <f>IF(AllDataCorrected[[#This Row],[Nitrate (PPM)]]&gt;2, "4. Very high (&gt;2ppm)", IF(AllDataCorrected[[#This Row],[Nitrate (PPM)]]&gt;1, "3. High (1-2ppm)", IF(AllDataCorrected[[#This Row],[Nitrate (PPM)]]&gt;0.5, "2. Some evidence (0.5-1ppm)", IF(AllDataCorrected[[#This Row],[Nitrate (PPM)]]&gt;=0, "1. No evidence (&lt;0.5ppm)"))))</f>
        <v>4. Very high (&gt;2ppm)</v>
      </c>
      <c r="S821">
        <v>1.04</v>
      </c>
      <c r="T8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1">
        <v>0.45</v>
      </c>
    </row>
    <row r="822" spans="1:22" x14ac:dyDescent="0.35">
      <c r="A822" t="s">
        <v>1288</v>
      </c>
      <c r="B822" s="2">
        <v>45429</v>
      </c>
      <c r="C822" t="str" cm="1">
        <f t="array" ref="C8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2">
        <f>YEAR(AllDataCorrected[[#This Row],[Date]])</f>
        <v>2024</v>
      </c>
      <c r="E822" s="1">
        <v>0.54513888888888884</v>
      </c>
      <c r="F82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2" t="str">
        <f>_xlfn.XLOOKUP(AllDataCorrected[[#This Row],[Location Name]], Locations[Location Name],Locations[Group As])</f>
        <v>Swilgate</v>
      </c>
      <c r="H822" t="e" vm="4">
        <f>_xlfn.XLOOKUP(AllDataCorrected[[#This Row],[Site Name]],LocationsKey[Site Name],LocationsKey[District])</f>
        <v>#VALUE!</v>
      </c>
      <c r="I822" t="e" vm="4">
        <f>_xlfn.XLOOKUP(AllDataCorrected[[#This Row],[Site Name]],LocationsKey[Site Name],LocationsKey[Town])</f>
        <v>#VALUE!</v>
      </c>
      <c r="J822" t="str">
        <f>_xlfn.XLOOKUP(AllDataCorrected[[#This Row],[Site Name]],LocationsKey[Site Name], LocationsKey[Waterway])</f>
        <v>Swilgate</v>
      </c>
      <c r="K822" t="s">
        <v>486</v>
      </c>
      <c r="L822">
        <f>_xlfn.XLOOKUP(AllDataCorrected[[#This Row],[Site Name]],Tables!$B$12:$B$100, Tables!C$12:C$100)</f>
        <v>51.988591500000005</v>
      </c>
      <c r="M822">
        <f>_xlfn.XLOOKUP(AllDataCorrected[[#This Row],[Site Name]],Tables!$B$12:$B$100, Tables!D$12:D$100)</f>
        <v>-2.163898333333333</v>
      </c>
      <c r="N822" t="s">
        <v>25</v>
      </c>
      <c r="O822">
        <v>857</v>
      </c>
      <c r="P822">
        <v>16.600000000000001</v>
      </c>
      <c r="Q822">
        <v>5</v>
      </c>
      <c r="R822" t="str">
        <f>IF(AllDataCorrected[[#This Row],[Nitrate (PPM)]]&gt;2, "4. Very high (&gt;2ppm)", IF(AllDataCorrected[[#This Row],[Nitrate (PPM)]]&gt;1, "3. High (1-2ppm)", IF(AllDataCorrected[[#This Row],[Nitrate (PPM)]]&gt;0.5, "2. Some evidence (0.5-1ppm)", IF(AllDataCorrected[[#This Row],[Nitrate (PPM)]]&gt;=0, "1. No evidence (&lt;0.5ppm)"))))</f>
        <v>4. Very high (&gt;2ppm)</v>
      </c>
      <c r="S822">
        <v>0.13</v>
      </c>
      <c r="T8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2">
        <v>0</v>
      </c>
    </row>
    <row r="823" spans="1:22" x14ac:dyDescent="0.35">
      <c r="A823" t="s">
        <v>1289</v>
      </c>
      <c r="B823" s="2">
        <v>45430</v>
      </c>
      <c r="C823" t="str" cm="1">
        <f t="array" ref="C8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3">
        <f>YEAR(AllDataCorrected[[#This Row],[Date]])</f>
        <v>2024</v>
      </c>
      <c r="E823" s="1">
        <v>0.44791666666666669</v>
      </c>
      <c r="F8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3" t="str">
        <f>_xlfn.XLOOKUP(AllDataCorrected[[#This Row],[Location Name]], Locations[Location Name],Locations[Group As])</f>
        <v>Pitch 16</v>
      </c>
      <c r="H823" t="e" vm="1">
        <f>_xlfn.XLOOKUP(AllDataCorrected[[#This Row],[Site Name]],LocationsKey[Site Name],LocationsKey[District])</f>
        <v>#VALUE!</v>
      </c>
      <c r="I823" t="e" vm="12">
        <f>_xlfn.XLOOKUP(AllDataCorrected[[#This Row],[Site Name]],LocationsKey[Site Name],LocationsKey[Town])</f>
        <v>#VALUE!</v>
      </c>
      <c r="J823" t="str">
        <f>_xlfn.XLOOKUP(AllDataCorrected[[#This Row],[Site Name]],LocationsKey[Site Name], LocationsKey[Waterway])</f>
        <v>Avon</v>
      </c>
      <c r="K823" t="s">
        <v>71</v>
      </c>
      <c r="L823">
        <f>_xlfn.XLOOKUP(AllDataCorrected[[#This Row],[Site Name]],Tables!$B$12:$B$100, Tables!C$12:C$100)</f>
        <v>51.289310076923087</v>
      </c>
      <c r="M823">
        <f>_xlfn.XLOOKUP(AllDataCorrected[[#This Row],[Site Name]],Tables!$B$12:$B$100, Tables!D$12:D$100)</f>
        <v>-0.10399761538461544</v>
      </c>
      <c r="N823" t="s">
        <v>31</v>
      </c>
      <c r="O823">
        <v>904</v>
      </c>
      <c r="P823">
        <v>20.2</v>
      </c>
      <c r="Q823">
        <v>6</v>
      </c>
      <c r="R823" t="str">
        <f>IF(AllDataCorrected[[#This Row],[Nitrate (PPM)]]&gt;2, "4. Very high (&gt;2ppm)", IF(AllDataCorrected[[#This Row],[Nitrate (PPM)]]&gt;1, "3. High (1-2ppm)", IF(AllDataCorrected[[#This Row],[Nitrate (PPM)]]&gt;0.5, "2. Some evidence (0.5-1ppm)", IF(AllDataCorrected[[#This Row],[Nitrate (PPM)]]&gt;=0, "1. No evidence (&lt;0.5ppm)"))))</f>
        <v>4. Very high (&gt;2ppm)</v>
      </c>
      <c r="S823">
        <v>0.38</v>
      </c>
      <c r="T8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3">
        <v>0.5</v>
      </c>
    </row>
    <row r="824" spans="1:22" x14ac:dyDescent="0.35">
      <c r="A824" t="s">
        <v>1290</v>
      </c>
      <c r="B824" s="2">
        <v>45430</v>
      </c>
      <c r="C824" t="str" cm="1">
        <f t="array" ref="C8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4">
        <f>YEAR(AllDataCorrected[[#This Row],[Date]])</f>
        <v>2024</v>
      </c>
      <c r="E824" s="1">
        <v>0.44861111111111113</v>
      </c>
      <c r="F8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4" t="str">
        <f>_xlfn.XLOOKUP(AllDataCorrected[[#This Row],[Location Name]], Locations[Location Name],Locations[Group As])</f>
        <v>Avon Smiths Meadow Wyre Piddle</v>
      </c>
      <c r="H824" t="e" vm="6">
        <f>_xlfn.XLOOKUP(AllDataCorrected[[#This Row],[Site Name]],LocationsKey[Site Name],LocationsKey[District])</f>
        <v>#VALUE!</v>
      </c>
      <c r="I824" t="e" vm="13">
        <f>_xlfn.XLOOKUP(AllDataCorrected[[#This Row],[Site Name]],LocationsKey[Site Name],LocationsKey[Town])</f>
        <v>#VALUE!</v>
      </c>
      <c r="J824" t="str">
        <f>_xlfn.XLOOKUP(AllDataCorrected[[#This Row],[Site Name]],LocationsKey[Site Name], LocationsKey[Waterway])</f>
        <v>Avon</v>
      </c>
      <c r="K824" t="s">
        <v>784</v>
      </c>
      <c r="L824">
        <f>_xlfn.XLOOKUP(AllDataCorrected[[#This Row],[Site Name]],Tables!$B$12:$B$100, Tables!C$12:C$100)</f>
        <v>52.123126101694929</v>
      </c>
      <c r="M824">
        <f>_xlfn.XLOOKUP(AllDataCorrected[[#This Row],[Site Name]],Tables!$B$12:$B$100, Tables!D$12:D$100)</f>
        <v>-2.0572511355932215</v>
      </c>
      <c r="N824" t="s">
        <v>25</v>
      </c>
      <c r="O824">
        <v>929</v>
      </c>
      <c r="P824">
        <v>18</v>
      </c>
      <c r="Q824">
        <v>7</v>
      </c>
      <c r="R824" t="str">
        <f>IF(AllDataCorrected[[#This Row],[Nitrate (PPM)]]&gt;2, "4. Very high (&gt;2ppm)", IF(AllDataCorrected[[#This Row],[Nitrate (PPM)]]&gt;1, "3. High (1-2ppm)", IF(AllDataCorrected[[#This Row],[Nitrate (PPM)]]&gt;0.5, "2. Some evidence (0.5-1ppm)", IF(AllDataCorrected[[#This Row],[Nitrate (PPM)]]&gt;=0, "1. No evidence (&lt;0.5ppm)"))))</f>
        <v>4. Very high (&gt;2ppm)</v>
      </c>
      <c r="S824">
        <v>0.57999999999999996</v>
      </c>
      <c r="T8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4">
        <v>0.64</v>
      </c>
      <c r="V824" t="s">
        <v>1291</v>
      </c>
    </row>
    <row r="825" spans="1:22" x14ac:dyDescent="0.35">
      <c r="A825" t="s">
        <v>1292</v>
      </c>
      <c r="B825" s="2">
        <v>45430</v>
      </c>
      <c r="C825" t="str" cm="1">
        <f t="array" ref="C8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5">
        <f>YEAR(AllDataCorrected[[#This Row],[Date]])</f>
        <v>2024</v>
      </c>
      <c r="E825" s="1">
        <v>0.46388888888888891</v>
      </c>
      <c r="F8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5" t="str">
        <f>_xlfn.XLOOKUP(AllDataCorrected[[#This Row],[Location Name]], Locations[Location Name],Locations[Group As])</f>
        <v>Avonbank Drive</v>
      </c>
      <c r="H825" t="e" vm="1">
        <f>_xlfn.XLOOKUP(AllDataCorrected[[#This Row],[Site Name]],LocationsKey[Site Name],LocationsKey[District])</f>
        <v>#VALUE!</v>
      </c>
      <c r="I825" t="e" vm="12">
        <f>_xlfn.XLOOKUP(AllDataCorrected[[#This Row],[Site Name]],LocationsKey[Site Name],LocationsKey[Town])</f>
        <v>#VALUE!</v>
      </c>
      <c r="J825" t="str">
        <f>_xlfn.XLOOKUP(AllDataCorrected[[#This Row],[Site Name]],LocationsKey[Site Name], LocationsKey[Waterway])</f>
        <v>Avon</v>
      </c>
      <c r="K825" t="s">
        <v>328</v>
      </c>
      <c r="L825">
        <f>_xlfn.XLOOKUP(AllDataCorrected[[#This Row],[Site Name]],Tables!$B$12:$B$100, Tables!C$12:C$100)</f>
        <v>51.566927775862098</v>
      </c>
      <c r="M825">
        <f>_xlfn.XLOOKUP(AllDataCorrected[[#This Row],[Site Name]],Tables!$B$12:$B$100, Tables!D$12:D$100)</f>
        <v>-7.2113336724137929</v>
      </c>
      <c r="N825" t="s">
        <v>68</v>
      </c>
      <c r="O825">
        <v>908</v>
      </c>
      <c r="P825">
        <v>20.100000000000001</v>
      </c>
      <c r="Q825">
        <v>10</v>
      </c>
      <c r="R825" t="str">
        <f>IF(AllDataCorrected[[#This Row],[Nitrate (PPM)]]&gt;2, "4. Very high (&gt;2ppm)", IF(AllDataCorrected[[#This Row],[Nitrate (PPM)]]&gt;1, "3. High (1-2ppm)", IF(AllDataCorrected[[#This Row],[Nitrate (PPM)]]&gt;0.5, "2. Some evidence (0.5-1ppm)", IF(AllDataCorrected[[#This Row],[Nitrate (PPM)]]&gt;=0, "1. No evidence (&lt;0.5ppm)"))))</f>
        <v>4. Very high (&gt;2ppm)</v>
      </c>
      <c r="S825">
        <v>0.28999999999999998</v>
      </c>
      <c r="T8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5">
        <v>0.5</v>
      </c>
    </row>
    <row r="826" spans="1:22" x14ac:dyDescent="0.35">
      <c r="A826" t="s">
        <v>1293</v>
      </c>
      <c r="B826" s="2">
        <v>45430</v>
      </c>
      <c r="C826" t="str" cm="1">
        <f t="array" ref="C8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6">
        <f>YEAR(AllDataCorrected[[#This Row],[Date]])</f>
        <v>2024</v>
      </c>
      <c r="E826" s="1">
        <v>0.48125000000000001</v>
      </c>
      <c r="F8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6" t="str">
        <f>_xlfn.XLOOKUP(AllDataCorrected[[#This Row],[Location Name]], Locations[Location Name],Locations[Group As])</f>
        <v>Piddle Brook Wyre Piddle Bridge</v>
      </c>
      <c r="H826" t="e" vm="6">
        <f>_xlfn.XLOOKUP(AllDataCorrected[[#This Row],[Site Name]],LocationsKey[Site Name],LocationsKey[District])</f>
        <v>#VALUE!</v>
      </c>
      <c r="I826" t="e" vm="13">
        <f>_xlfn.XLOOKUP(AllDataCorrected[[#This Row],[Site Name]],LocationsKey[Site Name],LocationsKey[Town])</f>
        <v>#VALUE!</v>
      </c>
      <c r="J826" t="str">
        <f>_xlfn.XLOOKUP(AllDataCorrected[[#This Row],[Site Name]],LocationsKey[Site Name], LocationsKey[Waterway])</f>
        <v>Piddle Brook</v>
      </c>
      <c r="K826" t="s">
        <v>787</v>
      </c>
      <c r="L826">
        <f>_xlfn.XLOOKUP(AllDataCorrected[[#This Row],[Site Name]],Tables!$B$12:$B$100, Tables!C$12:C$100)</f>
        <v>52.126394500000039</v>
      </c>
      <c r="M826">
        <f>_xlfn.XLOOKUP(AllDataCorrected[[#This Row],[Site Name]],Tables!$B$12:$B$100, Tables!D$12:D$100)</f>
        <v>-2.0564211206896545</v>
      </c>
      <c r="N826" t="s">
        <v>25</v>
      </c>
      <c r="O826">
        <v>1310</v>
      </c>
      <c r="P826">
        <v>16.2</v>
      </c>
      <c r="Q826">
        <v>5</v>
      </c>
      <c r="R826" t="str">
        <f>IF(AllDataCorrected[[#This Row],[Nitrate (PPM)]]&gt;2, "4. Very high (&gt;2ppm)", IF(AllDataCorrected[[#This Row],[Nitrate (PPM)]]&gt;1, "3. High (1-2ppm)", IF(AllDataCorrected[[#This Row],[Nitrate (PPM)]]&gt;0.5, "2. Some evidence (0.5-1ppm)", IF(AllDataCorrected[[#This Row],[Nitrate (PPM)]]&gt;=0, "1. No evidence (&lt;0.5ppm)"))))</f>
        <v>4. Very high (&gt;2ppm)</v>
      </c>
      <c r="S826">
        <v>0.89</v>
      </c>
      <c r="T8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6">
        <v>0.22</v>
      </c>
      <c r="V826" t="s">
        <v>1294</v>
      </c>
    </row>
    <row r="827" spans="1:22" x14ac:dyDescent="0.35">
      <c r="A827" t="s">
        <v>1295</v>
      </c>
      <c r="B827" s="2">
        <v>45430</v>
      </c>
      <c r="C827" t="str" cm="1">
        <f t="array" ref="C8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7">
        <f>YEAR(AllDataCorrected[[#This Row],[Date]])</f>
        <v>2024</v>
      </c>
      <c r="E827" s="1">
        <v>0.49652777777777779</v>
      </c>
      <c r="F8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27" t="str">
        <f>_xlfn.XLOOKUP(AllDataCorrected[[#This Row],[Location Name]], Locations[Location Name],Locations[Group As])</f>
        <v>The Ford, Langley</v>
      </c>
      <c r="H827" t="e" vm="1">
        <f>_xlfn.XLOOKUP(AllDataCorrected[[#This Row],[Site Name]],LocationsKey[Site Name],LocationsKey[District])</f>
        <v>#VALUE!</v>
      </c>
      <c r="I827" t="str">
        <f>_xlfn.XLOOKUP(AllDataCorrected[[#This Row],[Site Name]],LocationsKey[Site Name],LocationsKey[Town])</f>
        <v>Langley</v>
      </c>
      <c r="J827" t="str">
        <f>_xlfn.XLOOKUP(AllDataCorrected[[#This Row],[Site Name]],LocationsKey[Site Name], LocationsKey[Waterway])</f>
        <v>Langley Ford</v>
      </c>
      <c r="K827" t="s">
        <v>530</v>
      </c>
      <c r="L827">
        <f>_xlfn.XLOOKUP(AllDataCorrected[[#This Row],[Site Name]],Tables!$B$12:$B$100, Tables!C$12:C$100)</f>
        <v>52.262666528301864</v>
      </c>
      <c r="M827">
        <f>_xlfn.XLOOKUP(AllDataCorrected[[#This Row],[Site Name]],Tables!$B$12:$B$100, Tables!D$12:D$100)</f>
        <v>-1.6545845283018858</v>
      </c>
      <c r="N827" t="s">
        <v>31</v>
      </c>
      <c r="O827">
        <v>810</v>
      </c>
      <c r="P827">
        <v>13.5</v>
      </c>
      <c r="Q827">
        <v>2</v>
      </c>
      <c r="R827" t="str">
        <f>IF(AllDataCorrected[[#This Row],[Nitrate (PPM)]]&gt;2, "4. Very high (&gt;2ppm)", IF(AllDataCorrected[[#This Row],[Nitrate (PPM)]]&gt;1, "3. High (1-2ppm)", IF(AllDataCorrected[[#This Row],[Nitrate (PPM)]]&gt;0.5, "2. Some evidence (0.5-1ppm)", IF(AllDataCorrected[[#This Row],[Nitrate (PPM)]]&gt;=0, "1. No evidence (&lt;0.5ppm)"))))</f>
        <v>3. High (1-2ppm)</v>
      </c>
      <c r="S827">
        <v>0.66</v>
      </c>
      <c r="T8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27">
        <v>25</v>
      </c>
    </row>
    <row r="828" spans="1:22" x14ac:dyDescent="0.35">
      <c r="A828" t="s">
        <v>1296</v>
      </c>
      <c r="B828" s="2">
        <v>45430</v>
      </c>
      <c r="C828" t="str" cm="1">
        <f t="array" ref="C8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8">
        <f>YEAR(AllDataCorrected[[#This Row],[Date]])</f>
        <v>2024</v>
      </c>
      <c r="E828" s="1">
        <v>0.52083333333333337</v>
      </c>
      <c r="F8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8" t="str">
        <f>_xlfn.XLOOKUP(AllDataCorrected[[#This Row],[Location Name]], Locations[Location Name],Locations[Group As])</f>
        <v>Fell Mill Footbridge</v>
      </c>
      <c r="H828" t="e" vm="1">
        <f>_xlfn.XLOOKUP(AllDataCorrected[[#This Row],[Site Name]],LocationsKey[Site Name],LocationsKey[District])</f>
        <v>#VALUE!</v>
      </c>
      <c r="I828" t="e" vm="15">
        <f>_xlfn.XLOOKUP(AllDataCorrected[[#This Row],[Site Name]],LocationsKey[Site Name],LocationsKey[Town])</f>
        <v>#VALUE!</v>
      </c>
      <c r="J828" t="str">
        <f>_xlfn.XLOOKUP(AllDataCorrected[[#This Row],[Site Name]],LocationsKey[Site Name], LocationsKey[Waterway])</f>
        <v>Stour</v>
      </c>
      <c r="K828" t="s">
        <v>875</v>
      </c>
      <c r="L828">
        <f>_xlfn.XLOOKUP(AllDataCorrected[[#This Row],[Site Name]],Tables!$B$12:$B$100, Tables!C$12:C$100)</f>
        <v>52.069044372881365</v>
      </c>
      <c r="M828">
        <f>_xlfn.XLOOKUP(AllDataCorrected[[#This Row],[Site Name]],Tables!$B$12:$B$100, Tables!D$12:D$100)</f>
        <v>-1.6116270169491524</v>
      </c>
      <c r="N828" t="s">
        <v>31</v>
      </c>
      <c r="O828">
        <v>632</v>
      </c>
      <c r="P828">
        <v>15.9</v>
      </c>
      <c r="Q828">
        <v>5</v>
      </c>
      <c r="R828" t="str">
        <f>IF(AllDataCorrected[[#This Row],[Nitrate (PPM)]]&gt;2, "4. Very high (&gt;2ppm)", IF(AllDataCorrected[[#This Row],[Nitrate (PPM)]]&gt;1, "3. High (1-2ppm)", IF(AllDataCorrected[[#This Row],[Nitrate (PPM)]]&gt;0.5, "2. Some evidence (0.5-1ppm)", IF(AllDataCorrected[[#This Row],[Nitrate (PPM)]]&gt;=0, "1. No evidence (&lt;0.5ppm)"))))</f>
        <v>4. Very high (&gt;2ppm)</v>
      </c>
      <c r="S828">
        <v>0.12</v>
      </c>
      <c r="T82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8">
        <v>1.23</v>
      </c>
      <c r="V828" t="s">
        <v>1297</v>
      </c>
    </row>
    <row r="829" spans="1:22" x14ac:dyDescent="0.35">
      <c r="A829" t="s">
        <v>1298</v>
      </c>
      <c r="B829" s="2">
        <v>45430</v>
      </c>
      <c r="C829" t="str" cm="1">
        <f t="array" ref="C8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29">
        <f>YEAR(AllDataCorrected[[#This Row],[Date]])</f>
        <v>2024</v>
      </c>
      <c r="E829" s="1">
        <v>0.63263888888888886</v>
      </c>
      <c r="F8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29" t="str">
        <f>_xlfn.XLOOKUP(AllDataCorrected[[#This Row],[Location Name]], Locations[Location Name],Locations[Group As])</f>
        <v>Preston-on-Stour River Bridge</v>
      </c>
      <c r="H829" t="e" vm="1">
        <f>_xlfn.XLOOKUP(AllDataCorrected[[#This Row],[Site Name]],LocationsKey[Site Name],LocationsKey[District])</f>
        <v>#VALUE!</v>
      </c>
      <c r="I829" t="e" vm="20">
        <f>_xlfn.XLOOKUP(AllDataCorrected[[#This Row],[Site Name]],LocationsKey[Site Name],LocationsKey[Town])</f>
        <v>#VALUE!</v>
      </c>
      <c r="J829" t="str">
        <f>_xlfn.XLOOKUP(AllDataCorrected[[#This Row],[Site Name]],LocationsKey[Site Name], LocationsKey[Waterway])</f>
        <v>Stour</v>
      </c>
      <c r="K829" t="s">
        <v>164</v>
      </c>
      <c r="L829">
        <f>_xlfn.XLOOKUP(AllDataCorrected[[#This Row],[Site Name]],Tables!$B$12:$B$100, Tables!C$12:C$100)</f>
        <v>52.146672352941174</v>
      </c>
      <c r="M829">
        <f>_xlfn.XLOOKUP(AllDataCorrected[[#This Row],[Site Name]],Tables!$B$12:$B$100, Tables!D$12:D$100)</f>
        <v>-1.6984533333333334</v>
      </c>
      <c r="N829" t="s">
        <v>31</v>
      </c>
      <c r="O829">
        <v>699</v>
      </c>
      <c r="P829">
        <v>17.100000000000001</v>
      </c>
      <c r="Q829">
        <v>5</v>
      </c>
      <c r="R829" t="str">
        <f>IF(AllDataCorrected[[#This Row],[Nitrate (PPM)]]&gt;2, "4. Very high (&gt;2ppm)", IF(AllDataCorrected[[#This Row],[Nitrate (PPM)]]&gt;1, "3. High (1-2ppm)", IF(AllDataCorrected[[#This Row],[Nitrate (PPM)]]&gt;0.5, "2. Some evidence (0.5-1ppm)", IF(AllDataCorrected[[#This Row],[Nitrate (PPM)]]&gt;=0, "1. No evidence (&lt;0.5ppm)"))))</f>
        <v>4. Very high (&gt;2ppm)</v>
      </c>
      <c r="S829">
        <v>0.28999999999999998</v>
      </c>
      <c r="T8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29">
        <v>1.25</v>
      </c>
    </row>
    <row r="830" spans="1:22" x14ac:dyDescent="0.35">
      <c r="A830" t="s">
        <v>1299</v>
      </c>
      <c r="B830" s="2">
        <v>45430</v>
      </c>
      <c r="C830" t="str" cm="1">
        <f t="array" ref="C8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0">
        <f>YEAR(AllDataCorrected[[#This Row],[Date]])</f>
        <v>2024</v>
      </c>
      <c r="E830" s="1">
        <v>0.73541666666666672</v>
      </c>
      <c r="F8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0" t="str">
        <f>_xlfn.XLOOKUP(AllDataCorrected[[#This Row],[Location Name]], Locations[Location Name],Locations[Group As])</f>
        <v>Black Bear</v>
      </c>
      <c r="H830" t="e" vm="4">
        <f>_xlfn.XLOOKUP(AllDataCorrected[[#This Row],[Site Name]],LocationsKey[Site Name],LocationsKey[District])</f>
        <v>#VALUE!</v>
      </c>
      <c r="I830" t="e" vm="4">
        <f>_xlfn.XLOOKUP(AllDataCorrected[[#This Row],[Site Name]],LocationsKey[Site Name],LocationsKey[Town])</f>
        <v>#VALUE!</v>
      </c>
      <c r="J830" t="str">
        <f>_xlfn.XLOOKUP(AllDataCorrected[[#This Row],[Site Name]],LocationsKey[Site Name], LocationsKey[Waterway])</f>
        <v>Avon</v>
      </c>
      <c r="K830" t="s">
        <v>572</v>
      </c>
      <c r="L830">
        <f>_xlfn.XLOOKUP(AllDataCorrected[[#This Row],[Site Name]],Tables!$B$12:$B$100, Tables!C$12:C$100)</f>
        <v>51.997466254237274</v>
      </c>
      <c r="M830">
        <f>_xlfn.XLOOKUP(AllDataCorrected[[#This Row],[Site Name]],Tables!$B$12:$B$100, Tables!D$12:D$100)</f>
        <v>-2.1561788644067801</v>
      </c>
      <c r="N830" t="s">
        <v>25</v>
      </c>
      <c r="O830">
        <v>917</v>
      </c>
      <c r="P830">
        <v>19.5</v>
      </c>
      <c r="Q830">
        <v>8</v>
      </c>
      <c r="R830" t="str">
        <f>IF(AllDataCorrected[[#This Row],[Nitrate (PPM)]]&gt;2, "4. Very high (&gt;2ppm)", IF(AllDataCorrected[[#This Row],[Nitrate (PPM)]]&gt;1, "3. High (1-2ppm)", IF(AllDataCorrected[[#This Row],[Nitrate (PPM)]]&gt;0.5, "2. Some evidence (0.5-1ppm)", IF(AllDataCorrected[[#This Row],[Nitrate (PPM)]]&gt;=0, "1. No evidence (&lt;0.5ppm)"))))</f>
        <v>4. Very high (&gt;2ppm)</v>
      </c>
      <c r="S830">
        <v>0.54</v>
      </c>
      <c r="T8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0">
        <v>0</v>
      </c>
    </row>
    <row r="831" spans="1:22" x14ac:dyDescent="0.35">
      <c r="A831" t="s">
        <v>1302</v>
      </c>
      <c r="B831" s="2">
        <v>45431</v>
      </c>
      <c r="C831" t="str" cm="1">
        <f t="array" ref="C8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1">
        <f>YEAR(AllDataCorrected[[#This Row],[Date]])</f>
        <v>2024</v>
      </c>
      <c r="E831" s="1">
        <v>0.5</v>
      </c>
      <c r="F8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1" t="str">
        <f>_xlfn.XLOOKUP(AllDataCorrected[[#This Row],[Location Name]], Locations[Location Name],Locations[Group As])</f>
        <v>Carrant Bredon Rd</v>
      </c>
      <c r="H831" t="e" vm="4">
        <f>_xlfn.XLOOKUP(AllDataCorrected[[#This Row],[Site Name]],LocationsKey[Site Name],LocationsKey[District])</f>
        <v>#VALUE!</v>
      </c>
      <c r="I831" t="e" vm="4">
        <f>_xlfn.XLOOKUP(AllDataCorrected[[#This Row],[Site Name]],LocationsKey[Site Name],LocationsKey[Town])</f>
        <v>#VALUE!</v>
      </c>
      <c r="J831" t="str">
        <f>_xlfn.XLOOKUP(AllDataCorrected[[#This Row],[Site Name]],LocationsKey[Site Name], LocationsKey[Waterway])</f>
        <v>Carrant</v>
      </c>
      <c r="K831" t="s">
        <v>603</v>
      </c>
      <c r="L831">
        <f>_xlfn.XLOOKUP(AllDataCorrected[[#This Row],[Site Name]],Tables!$B$12:$B$100, Tables!C$12:C$100)</f>
        <v>51.996322536231894</v>
      </c>
      <c r="M831">
        <f>_xlfn.XLOOKUP(AllDataCorrected[[#This Row],[Site Name]],Tables!$B$12:$B$100, Tables!D$12:D$100)</f>
        <v>-2.1558410144927538</v>
      </c>
      <c r="N831" t="s">
        <v>25</v>
      </c>
      <c r="O831">
        <v>741</v>
      </c>
      <c r="P831">
        <v>16.399999999999999</v>
      </c>
      <c r="Q831">
        <v>6</v>
      </c>
      <c r="R831" t="str">
        <f>IF(AllDataCorrected[[#This Row],[Nitrate (PPM)]]&gt;2, "4. Very high (&gt;2ppm)", IF(AllDataCorrected[[#This Row],[Nitrate (PPM)]]&gt;1, "3. High (1-2ppm)", IF(AllDataCorrected[[#This Row],[Nitrate (PPM)]]&gt;0.5, "2. Some evidence (0.5-1ppm)", IF(AllDataCorrected[[#This Row],[Nitrate (PPM)]]&gt;=0, "1. No evidence (&lt;0.5ppm)"))))</f>
        <v>4. Very high (&gt;2ppm)</v>
      </c>
      <c r="S831">
        <v>0.31</v>
      </c>
      <c r="T8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1">
        <v>0.05</v>
      </c>
    </row>
    <row r="832" spans="1:22" x14ac:dyDescent="0.35">
      <c r="A832" t="s">
        <v>1303</v>
      </c>
      <c r="B832" s="2">
        <v>45431</v>
      </c>
      <c r="C832" t="str" cm="1">
        <f t="array" ref="C8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2">
        <f>YEAR(AllDataCorrected[[#This Row],[Date]])</f>
        <v>2024</v>
      </c>
      <c r="E832" s="1">
        <v>0.58333333333333337</v>
      </c>
      <c r="F83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32" t="str">
        <f>_xlfn.XLOOKUP(AllDataCorrected[[#This Row],[Location Name]], Locations[Location Name],Locations[Group As])</f>
        <v>Clifford Chambers Mill Bridge</v>
      </c>
      <c r="H832" t="e" vm="1">
        <f>_xlfn.XLOOKUP(AllDataCorrected[[#This Row],[Site Name]],LocationsKey[Site Name],LocationsKey[District])</f>
        <v>#VALUE!</v>
      </c>
      <c r="I832" t="e" vm="22">
        <f>_xlfn.XLOOKUP(AllDataCorrected[[#This Row],[Site Name]],LocationsKey[Site Name],LocationsKey[Town])</f>
        <v>#VALUE!</v>
      </c>
      <c r="J832" t="str">
        <f>_xlfn.XLOOKUP(AllDataCorrected[[#This Row],[Site Name]],LocationsKey[Site Name], LocationsKey[Waterway])</f>
        <v>Stour</v>
      </c>
      <c r="K832" t="s">
        <v>266</v>
      </c>
      <c r="L832">
        <f>_xlfn.XLOOKUP(AllDataCorrected[[#This Row],[Site Name]],Tables!$B$12:$B$100, Tables!C$12:C$100)</f>
        <v>52.166363596153808</v>
      </c>
      <c r="M832">
        <f>_xlfn.XLOOKUP(AllDataCorrected[[#This Row],[Site Name]],Tables!$B$12:$B$100, Tables!D$12:D$100)</f>
        <v>-1.7080375384615398</v>
      </c>
      <c r="N832" t="s">
        <v>68</v>
      </c>
      <c r="O832">
        <v>693</v>
      </c>
      <c r="P832">
        <v>19.2</v>
      </c>
      <c r="Q832">
        <v>8</v>
      </c>
      <c r="R832" t="str">
        <f>IF(AllDataCorrected[[#This Row],[Nitrate (PPM)]]&gt;2, "4. Very high (&gt;2ppm)", IF(AllDataCorrected[[#This Row],[Nitrate (PPM)]]&gt;1, "3. High (1-2ppm)", IF(AllDataCorrected[[#This Row],[Nitrate (PPM)]]&gt;0.5, "2. Some evidence (0.5-1ppm)", IF(AllDataCorrected[[#This Row],[Nitrate (PPM)]]&gt;=0, "1. No evidence (&lt;0.5ppm)"))))</f>
        <v>4. Very high (&gt;2ppm)</v>
      </c>
      <c r="S832">
        <v>0.19</v>
      </c>
      <c r="T8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2">
        <v>0.6</v>
      </c>
    </row>
    <row r="833" spans="1:22" x14ac:dyDescent="0.35">
      <c r="A833" t="s">
        <v>1304</v>
      </c>
      <c r="B833" s="2">
        <v>45432</v>
      </c>
      <c r="C833" t="str" cm="1">
        <f t="array" ref="C8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3">
        <f>YEAR(AllDataCorrected[[#This Row],[Date]])</f>
        <v>2024</v>
      </c>
      <c r="E833" s="1">
        <v>0.38541666666666669</v>
      </c>
      <c r="F8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33" t="str">
        <f>_xlfn.XLOOKUP(AllDataCorrected[[#This Row],[Location Name]], Locations[Location Name],Locations[Group As])</f>
        <v>Sherbourne Brook 1</v>
      </c>
      <c r="H833" t="e" vm="1">
        <f>_xlfn.XLOOKUP(AllDataCorrected[[#This Row],[Site Name]],LocationsKey[Site Name],LocationsKey[District])</f>
        <v>#VALUE!</v>
      </c>
      <c r="I833" t="e" vm="23">
        <f>_xlfn.XLOOKUP(AllDataCorrected[[#This Row],[Site Name]],LocationsKey[Site Name],LocationsKey[Town])</f>
        <v>#VALUE!</v>
      </c>
      <c r="J833" t="str">
        <f>_xlfn.XLOOKUP(AllDataCorrected[[#This Row],[Site Name]],LocationsKey[Site Name], LocationsKey[Waterway])</f>
        <v>Sherbourne Brook</v>
      </c>
      <c r="K833" t="s">
        <v>541</v>
      </c>
      <c r="L833">
        <f>_xlfn.XLOOKUP(AllDataCorrected[[#This Row],[Site Name]],Tables!$B$12:$B$100, Tables!C$12:C$100)</f>
        <v>52.252500000000033</v>
      </c>
      <c r="M833">
        <f>_xlfn.XLOOKUP(AllDataCorrected[[#This Row],[Site Name]],Tables!$B$12:$B$100, Tables!D$12:D$100)</f>
        <v>-1.6685000000000012</v>
      </c>
      <c r="N833" t="s">
        <v>25</v>
      </c>
      <c r="O833">
        <v>1100</v>
      </c>
      <c r="P833">
        <v>13.2</v>
      </c>
      <c r="Q833">
        <v>10</v>
      </c>
      <c r="R833" t="str">
        <f>IF(AllDataCorrected[[#This Row],[Nitrate (PPM)]]&gt;2, "4. Very high (&gt;2ppm)", IF(AllDataCorrected[[#This Row],[Nitrate (PPM)]]&gt;1, "3. High (1-2ppm)", IF(AllDataCorrected[[#This Row],[Nitrate (PPM)]]&gt;0.5, "2. Some evidence (0.5-1ppm)", IF(AllDataCorrected[[#This Row],[Nitrate (PPM)]]&gt;=0, "1. No evidence (&lt;0.5ppm)"))))</f>
        <v>4. Very high (&gt;2ppm)</v>
      </c>
      <c r="S833">
        <v>0.52</v>
      </c>
      <c r="T8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3">
        <v>0.2</v>
      </c>
    </row>
    <row r="834" spans="1:22" x14ac:dyDescent="0.35">
      <c r="A834" t="s">
        <v>1305</v>
      </c>
      <c r="B834" s="2">
        <v>45432</v>
      </c>
      <c r="C834" t="str" cm="1">
        <f t="array" ref="C8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4">
        <f>YEAR(AllDataCorrected[[#This Row],[Date]])</f>
        <v>2024</v>
      </c>
      <c r="E834" s="1">
        <v>0.39583333333333331</v>
      </c>
      <c r="F8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34" t="str">
        <f>_xlfn.XLOOKUP(AllDataCorrected[[#This Row],[Location Name]], Locations[Location Name],Locations[Group As])</f>
        <v>Bell Brook 1</v>
      </c>
      <c r="H834" t="e" vm="1">
        <f>_xlfn.XLOOKUP(AllDataCorrected[[#This Row],[Site Name]],LocationsKey[Site Name],LocationsKey[District])</f>
        <v>#VALUE!</v>
      </c>
      <c r="I834" t="e" vm="19">
        <f>_xlfn.XLOOKUP(AllDataCorrected[[#This Row],[Site Name]],LocationsKey[Site Name],LocationsKey[Town])</f>
        <v>#VALUE!</v>
      </c>
      <c r="J834" t="str">
        <f>_xlfn.XLOOKUP(AllDataCorrected[[#This Row],[Site Name]],LocationsKey[Site Name], LocationsKey[Waterway])</f>
        <v>Bell Brook</v>
      </c>
      <c r="K834" t="s">
        <v>538</v>
      </c>
      <c r="L834">
        <f>_xlfn.XLOOKUP(AllDataCorrected[[#This Row],[Site Name]],Tables!$B$12:$B$100, Tables!C$12:C$100)</f>
        <v>52.24489999999998</v>
      </c>
      <c r="M834">
        <f>_xlfn.XLOOKUP(AllDataCorrected[[#This Row],[Site Name]],Tables!$B$12:$B$100, Tables!D$12:D$100)</f>
        <v>-1.6617000000000013</v>
      </c>
      <c r="N834" t="s">
        <v>25</v>
      </c>
      <c r="O834">
        <v>823</v>
      </c>
      <c r="P834">
        <v>14.4</v>
      </c>
      <c r="Q834">
        <v>6</v>
      </c>
      <c r="R834" t="str">
        <f>IF(AllDataCorrected[[#This Row],[Nitrate (PPM)]]&gt;2, "4. Very high (&gt;2ppm)", IF(AllDataCorrected[[#This Row],[Nitrate (PPM)]]&gt;1, "3. High (1-2ppm)", IF(AllDataCorrected[[#This Row],[Nitrate (PPM)]]&gt;0.5, "2. Some evidence (0.5-1ppm)", IF(AllDataCorrected[[#This Row],[Nitrate (PPM)]]&gt;=0, "1. No evidence (&lt;0.5ppm)"))))</f>
        <v>4. Very high (&gt;2ppm)</v>
      </c>
      <c r="S834">
        <v>0.41</v>
      </c>
      <c r="T83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4">
        <v>0.2</v>
      </c>
      <c r="V834" t="s">
        <v>1306</v>
      </c>
    </row>
    <row r="835" spans="1:22" x14ac:dyDescent="0.35">
      <c r="A835" t="s">
        <v>1307</v>
      </c>
      <c r="B835" s="2">
        <v>45432</v>
      </c>
      <c r="C835" t="str" cm="1">
        <f t="array" ref="C8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5">
        <f>YEAR(AllDataCorrected[[#This Row],[Date]])</f>
        <v>2024</v>
      </c>
      <c r="F83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5" t="str">
        <f>_xlfn.XLOOKUP(AllDataCorrected[[#This Row],[Location Name]], Locations[Location Name],Locations[Group As])</f>
        <v>Site 1  :  Middle Street</v>
      </c>
      <c r="H835" t="e" vm="1">
        <f>_xlfn.XLOOKUP(AllDataCorrected[[#This Row],[Site Name]],LocationsKey[Site Name],LocationsKey[District])</f>
        <v>#VALUE!</v>
      </c>
      <c r="I835" t="e" vm="14">
        <f>_xlfn.XLOOKUP(AllDataCorrected[[#This Row],[Site Name]],LocationsKey[Site Name],LocationsKey[Town])</f>
        <v>#VALUE!</v>
      </c>
      <c r="J835" t="str">
        <f>_xlfn.XLOOKUP(AllDataCorrected[[#This Row],[Site Name]],LocationsKey[Site Name], LocationsKey[Waterway])</f>
        <v>Fosseway Brook</v>
      </c>
      <c r="K835" t="s">
        <v>667</v>
      </c>
      <c r="L835">
        <f>_xlfn.XLOOKUP(AllDataCorrected[[#This Row],[Site Name]],Tables!$B$12:$B$100, Tables!C$12:C$100)</f>
        <v>52.090081855670022</v>
      </c>
      <c r="M835">
        <f>_xlfn.XLOOKUP(AllDataCorrected[[#This Row],[Site Name]],Tables!$B$12:$B$100, Tables!D$12:D$100)</f>
        <v>-1.6925771134020597</v>
      </c>
      <c r="N835" t="s">
        <v>68</v>
      </c>
      <c r="O835">
        <v>612</v>
      </c>
      <c r="P835">
        <v>20.3</v>
      </c>
      <c r="Q835">
        <v>2</v>
      </c>
      <c r="R835" t="str">
        <f>IF(AllDataCorrected[[#This Row],[Nitrate (PPM)]]&gt;2, "4. Very high (&gt;2ppm)", IF(AllDataCorrected[[#This Row],[Nitrate (PPM)]]&gt;1, "3. High (1-2ppm)", IF(AllDataCorrected[[#This Row],[Nitrate (PPM)]]&gt;0.5, "2. Some evidence (0.5-1ppm)", IF(AllDataCorrected[[#This Row],[Nitrate (PPM)]]&gt;=0, "1. No evidence (&lt;0.5ppm)"))))</f>
        <v>3. High (1-2ppm)</v>
      </c>
      <c r="S835">
        <v>0.35</v>
      </c>
      <c r="T8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35">
        <v>0</v>
      </c>
      <c r="V835" t="s">
        <v>1308</v>
      </c>
    </row>
    <row r="836" spans="1:22" x14ac:dyDescent="0.35">
      <c r="A836" t="s">
        <v>1309</v>
      </c>
      <c r="B836" s="2">
        <v>45432</v>
      </c>
      <c r="C836" t="str" cm="1">
        <f t="array" ref="C8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6">
        <f>YEAR(AllDataCorrected[[#This Row],[Date]])</f>
        <v>2024</v>
      </c>
      <c r="F83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6" t="str">
        <f>_xlfn.XLOOKUP(AllDataCorrected[[#This Row],[Location Name]], Locations[Location Name],Locations[Group As])</f>
        <v>Site 1  :  Middle Street</v>
      </c>
      <c r="H836" t="e" vm="1">
        <f>_xlfn.XLOOKUP(AllDataCorrected[[#This Row],[Site Name]],LocationsKey[Site Name],LocationsKey[District])</f>
        <v>#VALUE!</v>
      </c>
      <c r="I836" t="e" vm="14">
        <f>_xlfn.XLOOKUP(AllDataCorrected[[#This Row],[Site Name]],LocationsKey[Site Name],LocationsKey[Town])</f>
        <v>#VALUE!</v>
      </c>
      <c r="J836" t="str">
        <f>_xlfn.XLOOKUP(AllDataCorrected[[#This Row],[Site Name]],LocationsKey[Site Name], LocationsKey[Waterway])</f>
        <v>Fosseway Brook</v>
      </c>
      <c r="K836" t="s">
        <v>670</v>
      </c>
      <c r="L836">
        <f>_xlfn.XLOOKUP(AllDataCorrected[[#This Row],[Site Name]],Tables!$B$12:$B$100, Tables!C$12:C$100)</f>
        <v>52.090081855670022</v>
      </c>
      <c r="M836">
        <f>_xlfn.XLOOKUP(AllDataCorrected[[#This Row],[Site Name]],Tables!$B$12:$B$100, Tables!D$12:D$100)</f>
        <v>-1.6925771134020597</v>
      </c>
      <c r="N836" t="s">
        <v>68</v>
      </c>
      <c r="O836">
        <v>612</v>
      </c>
      <c r="P836">
        <v>20.3</v>
      </c>
      <c r="Q836">
        <v>2</v>
      </c>
      <c r="R836" t="str">
        <f>IF(AllDataCorrected[[#This Row],[Nitrate (PPM)]]&gt;2, "4. Very high (&gt;2ppm)", IF(AllDataCorrected[[#This Row],[Nitrate (PPM)]]&gt;1, "3. High (1-2ppm)", IF(AllDataCorrected[[#This Row],[Nitrate (PPM)]]&gt;0.5, "2. Some evidence (0.5-1ppm)", IF(AllDataCorrected[[#This Row],[Nitrate (PPM)]]&gt;=0, "1. No evidence (&lt;0.5ppm)"))))</f>
        <v>3. High (1-2ppm)</v>
      </c>
      <c r="S836">
        <v>0.35</v>
      </c>
      <c r="T8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836" t="s">
        <v>1310</v>
      </c>
    </row>
    <row r="837" spans="1:22" x14ac:dyDescent="0.35">
      <c r="A837" t="s">
        <v>1311</v>
      </c>
      <c r="B837" s="2">
        <v>45432</v>
      </c>
      <c r="C837" t="str" cm="1">
        <f t="array" ref="C8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7">
        <f>YEAR(AllDataCorrected[[#This Row],[Date]])</f>
        <v>2024</v>
      </c>
      <c r="F83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7" t="str">
        <f>_xlfn.XLOOKUP(AllDataCorrected[[#This Row],[Location Name]], Locations[Location Name],Locations[Group As])</f>
        <v>Site 2  :  Cross Leys culvert</v>
      </c>
      <c r="H837" t="e" vm="1">
        <f>_xlfn.XLOOKUP(AllDataCorrected[[#This Row],[Site Name]],LocationsKey[Site Name],LocationsKey[District])</f>
        <v>#VALUE!</v>
      </c>
      <c r="I837" t="e" vm="14">
        <f>_xlfn.XLOOKUP(AllDataCorrected[[#This Row],[Site Name]],LocationsKey[Site Name],LocationsKey[Town])</f>
        <v>#VALUE!</v>
      </c>
      <c r="J837" t="str">
        <f>_xlfn.XLOOKUP(AllDataCorrected[[#This Row],[Site Name]],LocationsKey[Site Name], LocationsKey[Waterway])</f>
        <v>Fosseway Brook</v>
      </c>
      <c r="K837" t="s">
        <v>623</v>
      </c>
      <c r="L837">
        <f>_xlfn.XLOOKUP(AllDataCorrected[[#This Row],[Site Name]],Tables!$B$12:$B$100, Tables!C$12:C$100)</f>
        <v>52.092997354838673</v>
      </c>
      <c r="M837">
        <f>_xlfn.XLOOKUP(AllDataCorrected[[#This Row],[Site Name]],Tables!$B$12:$B$100, Tables!D$12:D$100)</f>
        <v>-1.6862254516129045</v>
      </c>
      <c r="N837" t="s">
        <v>68</v>
      </c>
      <c r="O837">
        <v>698</v>
      </c>
      <c r="P837">
        <v>17.5</v>
      </c>
      <c r="Q837">
        <v>2</v>
      </c>
      <c r="R837" t="str">
        <f>IF(AllDataCorrected[[#This Row],[Nitrate (PPM)]]&gt;2, "4. Very high (&gt;2ppm)", IF(AllDataCorrected[[#This Row],[Nitrate (PPM)]]&gt;1, "3. High (1-2ppm)", IF(AllDataCorrected[[#This Row],[Nitrate (PPM)]]&gt;0.5, "2. Some evidence (0.5-1ppm)", IF(AllDataCorrected[[#This Row],[Nitrate (PPM)]]&gt;=0, "1. No evidence (&lt;0.5ppm)"))))</f>
        <v>3. High (1-2ppm)</v>
      </c>
      <c r="S837">
        <v>0.96</v>
      </c>
      <c r="T8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7">
        <v>0</v>
      </c>
      <c r="V837" t="s">
        <v>1312</v>
      </c>
    </row>
    <row r="838" spans="1:22" x14ac:dyDescent="0.35">
      <c r="A838" t="s">
        <v>1313</v>
      </c>
      <c r="B838" s="2">
        <v>45432</v>
      </c>
      <c r="C838" t="str" cm="1">
        <f t="array" ref="C8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8">
        <f>YEAR(AllDataCorrected[[#This Row],[Date]])</f>
        <v>2024</v>
      </c>
      <c r="F83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8" t="str">
        <f>_xlfn.XLOOKUP(AllDataCorrected[[#This Row],[Location Name]], Locations[Location Name],Locations[Group As])</f>
        <v>Site 2  :  Cross Leys culvert</v>
      </c>
      <c r="H838" t="e" vm="1">
        <f>_xlfn.XLOOKUP(AllDataCorrected[[#This Row],[Site Name]],LocationsKey[Site Name],LocationsKey[District])</f>
        <v>#VALUE!</v>
      </c>
      <c r="I838" t="e" vm="14">
        <f>_xlfn.XLOOKUP(AllDataCorrected[[#This Row],[Site Name]],LocationsKey[Site Name],LocationsKey[Town])</f>
        <v>#VALUE!</v>
      </c>
      <c r="J838" t="str">
        <f>_xlfn.XLOOKUP(AllDataCorrected[[#This Row],[Site Name]],LocationsKey[Site Name], LocationsKey[Waterway])</f>
        <v>Fosseway Brook</v>
      </c>
      <c r="K838" t="s">
        <v>626</v>
      </c>
      <c r="L838">
        <f>_xlfn.XLOOKUP(AllDataCorrected[[#This Row],[Site Name]],Tables!$B$12:$B$100, Tables!C$12:C$100)</f>
        <v>52.092997354838673</v>
      </c>
      <c r="M838">
        <f>_xlfn.XLOOKUP(AllDataCorrected[[#This Row],[Site Name]],Tables!$B$12:$B$100, Tables!D$12:D$100)</f>
        <v>-1.6862254516129045</v>
      </c>
      <c r="N838" t="s">
        <v>68</v>
      </c>
      <c r="O838">
        <v>698</v>
      </c>
      <c r="P838">
        <v>17.5</v>
      </c>
      <c r="Q838">
        <v>2</v>
      </c>
      <c r="R838" t="str">
        <f>IF(AllDataCorrected[[#This Row],[Nitrate (PPM)]]&gt;2, "4. Very high (&gt;2ppm)", IF(AllDataCorrected[[#This Row],[Nitrate (PPM)]]&gt;1, "3. High (1-2ppm)", IF(AllDataCorrected[[#This Row],[Nitrate (PPM)]]&gt;0.5, "2. Some evidence (0.5-1ppm)", IF(AllDataCorrected[[#This Row],[Nitrate (PPM)]]&gt;=0, "1. No evidence (&lt;0.5ppm)"))))</f>
        <v>3. High (1-2ppm)</v>
      </c>
      <c r="S838">
        <v>0.96</v>
      </c>
      <c r="T8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838" t="s">
        <v>1314</v>
      </c>
    </row>
    <row r="839" spans="1:22" x14ac:dyDescent="0.35">
      <c r="A839" t="s">
        <v>1315</v>
      </c>
      <c r="B839" s="2">
        <v>45432</v>
      </c>
      <c r="C839" t="str" cm="1">
        <f t="array" ref="C8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39">
        <f>YEAR(AllDataCorrected[[#This Row],[Date]])</f>
        <v>2024</v>
      </c>
      <c r="F83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39" t="str">
        <f>_xlfn.XLOOKUP(AllDataCorrected[[#This Row],[Location Name]], Locations[Location Name],Locations[Group As])</f>
        <v>Site 3  :  Severn Trent Water processing plant outflow</v>
      </c>
      <c r="H839" t="e" vm="1">
        <f>_xlfn.XLOOKUP(AllDataCorrected[[#This Row],[Site Name]],LocationsKey[Site Name],LocationsKey[District])</f>
        <v>#VALUE!</v>
      </c>
      <c r="I839" t="e" vm="14">
        <f>_xlfn.XLOOKUP(AllDataCorrected[[#This Row],[Site Name]],LocationsKey[Site Name],LocationsKey[Town])</f>
        <v>#VALUE!</v>
      </c>
      <c r="J839" t="str">
        <f>_xlfn.XLOOKUP(AllDataCorrected[[#This Row],[Site Name]],LocationsKey[Site Name], LocationsKey[Waterway])</f>
        <v>Fosseway Brook</v>
      </c>
      <c r="K839" t="s">
        <v>673</v>
      </c>
      <c r="L839">
        <f>_xlfn.XLOOKUP(AllDataCorrected[[#This Row],[Site Name]],Tables!$B$12:$B$100, Tables!C$12:C$100)</f>
        <v>52.130499999999998</v>
      </c>
      <c r="M839">
        <f>_xlfn.XLOOKUP(AllDataCorrected[[#This Row],[Site Name]],Tables!$B$12:$B$100, Tables!D$12:D$100)</f>
        <v>-2.0787</v>
      </c>
      <c r="N839" t="s">
        <v>31</v>
      </c>
      <c r="O839">
        <v>903</v>
      </c>
      <c r="P839">
        <v>16.5</v>
      </c>
      <c r="Q839">
        <v>5</v>
      </c>
      <c r="R839" t="str">
        <f>IF(AllDataCorrected[[#This Row],[Nitrate (PPM)]]&gt;2, "4. Very high (&gt;2ppm)", IF(AllDataCorrected[[#This Row],[Nitrate (PPM)]]&gt;1, "3. High (1-2ppm)", IF(AllDataCorrected[[#This Row],[Nitrate (PPM)]]&gt;0.5, "2. Some evidence (0.5-1ppm)", IF(AllDataCorrected[[#This Row],[Nitrate (PPM)]]&gt;=0, "1. No evidence (&lt;0.5ppm)"))))</f>
        <v>4. Very high (&gt;2ppm)</v>
      </c>
      <c r="S839">
        <v>2.5</v>
      </c>
      <c r="T8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39">
        <v>0</v>
      </c>
      <c r="V839" t="s">
        <v>1259</v>
      </c>
    </row>
    <row r="840" spans="1:22" x14ac:dyDescent="0.35">
      <c r="A840" t="s">
        <v>1316</v>
      </c>
      <c r="B840" s="2">
        <v>45432</v>
      </c>
      <c r="C840" t="str" cm="1">
        <f t="array" ref="C8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0">
        <f>YEAR(AllDataCorrected[[#This Row],[Date]])</f>
        <v>2024</v>
      </c>
      <c r="F84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40" t="str">
        <f>_xlfn.XLOOKUP(AllDataCorrected[[#This Row],[Location Name]], Locations[Location Name],Locations[Group As])</f>
        <v>Site 3  :  Severn Trent Water processing plant outflow</v>
      </c>
      <c r="H840" t="e" vm="1">
        <f>_xlfn.XLOOKUP(AllDataCorrected[[#This Row],[Site Name]],LocationsKey[Site Name],LocationsKey[District])</f>
        <v>#VALUE!</v>
      </c>
      <c r="I840" t="e" vm="14">
        <f>_xlfn.XLOOKUP(AllDataCorrected[[#This Row],[Site Name]],LocationsKey[Site Name],LocationsKey[Town])</f>
        <v>#VALUE!</v>
      </c>
      <c r="J840" t="str">
        <f>_xlfn.XLOOKUP(AllDataCorrected[[#This Row],[Site Name]],LocationsKey[Site Name], LocationsKey[Waterway])</f>
        <v>Fosseway Brook</v>
      </c>
      <c r="K840" t="s">
        <v>676</v>
      </c>
      <c r="L840">
        <f>_xlfn.XLOOKUP(AllDataCorrected[[#This Row],[Site Name]],Tables!$B$12:$B$100, Tables!C$12:C$100)</f>
        <v>52.130499999999998</v>
      </c>
      <c r="M840">
        <f>_xlfn.XLOOKUP(AllDataCorrected[[#This Row],[Site Name]],Tables!$B$12:$B$100, Tables!D$12:D$100)</f>
        <v>-2.0787</v>
      </c>
      <c r="N840" t="s">
        <v>31</v>
      </c>
      <c r="O840">
        <v>903</v>
      </c>
      <c r="P840">
        <v>16.5</v>
      </c>
      <c r="Q840">
        <v>5</v>
      </c>
      <c r="R840" t="str">
        <f>IF(AllDataCorrected[[#This Row],[Nitrate (PPM)]]&gt;2, "4. Very high (&gt;2ppm)", IF(AllDataCorrected[[#This Row],[Nitrate (PPM)]]&gt;1, "3. High (1-2ppm)", IF(AllDataCorrected[[#This Row],[Nitrate (PPM)]]&gt;0.5, "2. Some evidence (0.5-1ppm)", IF(AllDataCorrected[[#This Row],[Nitrate (PPM)]]&gt;=0, "1. No evidence (&lt;0.5ppm)"))))</f>
        <v>4. Very high (&gt;2ppm)</v>
      </c>
      <c r="S840">
        <v>2.5</v>
      </c>
      <c r="T8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41" spans="1:22" x14ac:dyDescent="0.35">
      <c r="A841" t="s">
        <v>1318</v>
      </c>
      <c r="B841" s="2">
        <v>45433</v>
      </c>
      <c r="C841" t="str" cm="1">
        <f t="array" ref="C8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1">
        <f>YEAR(AllDataCorrected[[#This Row],[Date]])</f>
        <v>2024</v>
      </c>
      <c r="E841" s="1">
        <v>0.60833333333333328</v>
      </c>
      <c r="F8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1" t="str">
        <f>_xlfn.XLOOKUP(AllDataCorrected[[#This Row],[Location Name]], Locations[Location Name],Locations[Group As])</f>
        <v>Abbey Mill</v>
      </c>
      <c r="H841" t="e" vm="4">
        <f>_xlfn.XLOOKUP(AllDataCorrected[[#This Row],[Site Name]],LocationsKey[Site Name],LocationsKey[District])</f>
        <v>#VALUE!</v>
      </c>
      <c r="I841" t="e" vm="4">
        <f>_xlfn.XLOOKUP(AllDataCorrected[[#This Row],[Site Name]],LocationsKey[Site Name],LocationsKey[Town])</f>
        <v>#VALUE!</v>
      </c>
      <c r="J841" t="str">
        <f>_xlfn.XLOOKUP(AllDataCorrected[[#This Row],[Site Name]],LocationsKey[Site Name], LocationsKey[Waterway])</f>
        <v>Avon</v>
      </c>
      <c r="K841" t="s">
        <v>27</v>
      </c>
      <c r="L841">
        <f>_xlfn.XLOOKUP(AllDataCorrected[[#This Row],[Site Name]],Tables!$B$12:$B$100, Tables!C$12:C$100)</f>
        <v>51.991313075757589</v>
      </c>
      <c r="M841">
        <f>_xlfn.XLOOKUP(AllDataCorrected[[#This Row],[Site Name]],Tables!$B$12:$B$100, Tables!D$12:D$100)</f>
        <v>-2.1621998181818181</v>
      </c>
      <c r="N841" t="s">
        <v>25</v>
      </c>
      <c r="O841">
        <v>977</v>
      </c>
      <c r="P841">
        <v>18.5</v>
      </c>
      <c r="Q841">
        <v>7</v>
      </c>
      <c r="R841" t="str">
        <f>IF(AllDataCorrected[[#This Row],[Nitrate (PPM)]]&gt;2, "4. Very high (&gt;2ppm)", IF(AllDataCorrected[[#This Row],[Nitrate (PPM)]]&gt;1, "3. High (1-2ppm)", IF(AllDataCorrected[[#This Row],[Nitrate (PPM)]]&gt;0.5, "2. Some evidence (0.5-1ppm)", IF(AllDataCorrected[[#This Row],[Nitrate (PPM)]]&gt;=0, "1. No evidence (&lt;0.5ppm)"))))</f>
        <v>4. Very high (&gt;2ppm)</v>
      </c>
      <c r="S841">
        <v>0.67</v>
      </c>
      <c r="T8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1">
        <v>0.6</v>
      </c>
    </row>
    <row r="842" spans="1:22" x14ac:dyDescent="0.35">
      <c r="A842" t="s">
        <v>1319</v>
      </c>
      <c r="B842" s="2">
        <v>45434</v>
      </c>
      <c r="C842" t="str" cm="1">
        <f t="array" ref="C8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2">
        <f>YEAR(AllDataCorrected[[#This Row],[Date]])</f>
        <v>2024</v>
      </c>
      <c r="E842" s="1">
        <v>0.68125000000000002</v>
      </c>
      <c r="F8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2" t="str">
        <f>_xlfn.XLOOKUP(AllDataCorrected[[#This Row],[Location Name]], Locations[Location Name],Locations[Group As])</f>
        <v>Alveston Weir</v>
      </c>
      <c r="H842" t="e" vm="1">
        <f>_xlfn.XLOOKUP(AllDataCorrected[[#This Row],[Site Name]],LocationsKey[Site Name],LocationsKey[District])</f>
        <v>#VALUE!</v>
      </c>
      <c r="I842" t="e" vm="2">
        <f>_xlfn.XLOOKUP(AllDataCorrected[[#This Row],[Site Name]],LocationsKey[Site Name],LocationsKey[Town])</f>
        <v>#VALUE!</v>
      </c>
      <c r="J842" t="str">
        <f>_xlfn.XLOOKUP(AllDataCorrected[[#This Row],[Site Name]],LocationsKey[Site Name], LocationsKey[Waterway])</f>
        <v>Avon</v>
      </c>
      <c r="K842" t="s">
        <v>288</v>
      </c>
      <c r="L842">
        <f>_xlfn.XLOOKUP(AllDataCorrected[[#This Row],[Site Name]],Tables!$B$12:$B$100, Tables!C$12:C$100)</f>
        <v>52.21226301333337</v>
      </c>
      <c r="M842">
        <f>_xlfn.XLOOKUP(AllDataCorrected[[#This Row],[Site Name]],Tables!$B$12:$B$100, Tables!D$12:D$100)</f>
        <v>-1.6595226800000011</v>
      </c>
      <c r="N842" t="s">
        <v>31</v>
      </c>
      <c r="O842">
        <v>571</v>
      </c>
      <c r="P842">
        <v>16</v>
      </c>
      <c r="Q842">
        <v>5</v>
      </c>
      <c r="R842" t="str">
        <f>IF(AllDataCorrected[[#This Row],[Nitrate (PPM)]]&gt;2, "4. Very high (&gt;2ppm)", IF(AllDataCorrected[[#This Row],[Nitrate (PPM)]]&gt;1, "3. High (1-2ppm)", IF(AllDataCorrected[[#This Row],[Nitrate (PPM)]]&gt;0.5, "2. Some evidence (0.5-1ppm)", IF(AllDataCorrected[[#This Row],[Nitrate (PPM)]]&gt;=0, "1. No evidence (&lt;0.5ppm)"))))</f>
        <v>4. Very high (&gt;2ppm)</v>
      </c>
      <c r="S842">
        <v>0.65</v>
      </c>
      <c r="T8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2">
        <v>1.75</v>
      </c>
      <c r="V842" t="s">
        <v>1320</v>
      </c>
    </row>
    <row r="843" spans="1:22" x14ac:dyDescent="0.35">
      <c r="A843" t="s">
        <v>1321</v>
      </c>
      <c r="B843" s="2">
        <v>45434</v>
      </c>
      <c r="C843" t="str" cm="1">
        <f t="array" ref="C8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3">
        <f>YEAR(AllDataCorrected[[#This Row],[Date]])</f>
        <v>2024</v>
      </c>
      <c r="E843" s="1">
        <v>0.6875</v>
      </c>
      <c r="F8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3" t="str">
        <f>_xlfn.XLOOKUP(AllDataCorrected[[#This Row],[Location Name]], Locations[Location Name],Locations[Group As])</f>
        <v>Stour Newbold Mill</v>
      </c>
      <c r="H843" t="e" vm="1">
        <f>_xlfn.XLOOKUP(AllDataCorrected[[#This Row],[Site Name]],LocationsKey[Site Name],LocationsKey[District])</f>
        <v>#VALUE!</v>
      </c>
      <c r="I843" t="e" vm="27">
        <f>_xlfn.XLOOKUP(AllDataCorrected[[#This Row],[Site Name]],LocationsKey[Site Name],LocationsKey[Town])</f>
        <v>#VALUE!</v>
      </c>
      <c r="J843" t="str">
        <f>_xlfn.XLOOKUP(AllDataCorrected[[#This Row],[Site Name]],LocationsKey[Site Name], LocationsKey[Waterway])</f>
        <v>Stour</v>
      </c>
      <c r="K843" t="s">
        <v>141</v>
      </c>
      <c r="L843">
        <f>_xlfn.XLOOKUP(AllDataCorrected[[#This Row],[Site Name]],Tables!$B$12:$B$100, Tables!C$12:C$100)</f>
        <v>52.113052370370369</v>
      </c>
      <c r="M843">
        <f>_xlfn.XLOOKUP(AllDataCorrected[[#This Row],[Site Name]],Tables!$B$12:$B$100, Tables!D$12:D$100)</f>
        <v>-1.6333685185185181</v>
      </c>
      <c r="N843" t="s">
        <v>68</v>
      </c>
      <c r="O843">
        <v>397</v>
      </c>
      <c r="P843">
        <v>20</v>
      </c>
      <c r="Q843">
        <v>2</v>
      </c>
      <c r="R843" t="str">
        <f>IF(AllDataCorrected[[#This Row],[Nitrate (PPM)]]&gt;2, "4. Very high (&gt;2ppm)", IF(AllDataCorrected[[#This Row],[Nitrate (PPM)]]&gt;1, "3. High (1-2ppm)", IF(AllDataCorrected[[#This Row],[Nitrate (PPM)]]&gt;0.5, "2. Some evidence (0.5-1ppm)", IF(AllDataCorrected[[#This Row],[Nitrate (PPM)]]&gt;=0, "1. No evidence (&lt;0.5ppm)"))))</f>
        <v>3. High (1-2ppm)</v>
      </c>
      <c r="S843">
        <v>0.64</v>
      </c>
      <c r="T8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3">
        <v>4</v>
      </c>
      <c r="V843" t="s">
        <v>1322</v>
      </c>
    </row>
    <row r="844" spans="1:22" x14ac:dyDescent="0.35">
      <c r="A844" t="s">
        <v>1323</v>
      </c>
      <c r="B844" s="2">
        <v>45435</v>
      </c>
      <c r="C844" t="str" cm="1">
        <f t="array" ref="C8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4">
        <f>YEAR(AllDataCorrected[[#This Row],[Date]])</f>
        <v>2024</v>
      </c>
      <c r="E844" s="1">
        <v>0.4375</v>
      </c>
      <c r="F84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4" t="str">
        <f>_xlfn.XLOOKUP(AllDataCorrected[[#This Row],[Location Name]], Locations[Location Name],Locations[Group As])</f>
        <v>Swilgate</v>
      </c>
      <c r="H844" t="e" vm="4">
        <f>_xlfn.XLOOKUP(AllDataCorrected[[#This Row],[Site Name]],LocationsKey[Site Name],LocationsKey[District])</f>
        <v>#VALUE!</v>
      </c>
      <c r="I844" t="e" vm="4">
        <f>_xlfn.XLOOKUP(AllDataCorrected[[#This Row],[Site Name]],LocationsKey[Site Name],LocationsKey[Town])</f>
        <v>#VALUE!</v>
      </c>
      <c r="J844" t="str">
        <f>_xlfn.XLOOKUP(AllDataCorrected[[#This Row],[Site Name]],LocationsKey[Site Name], LocationsKey[Waterway])</f>
        <v>Swilgate</v>
      </c>
      <c r="K844" t="s">
        <v>85</v>
      </c>
      <c r="L844">
        <f>_xlfn.XLOOKUP(AllDataCorrected[[#This Row],[Site Name]],Tables!$B$12:$B$100, Tables!C$12:C$100)</f>
        <v>51.988591500000005</v>
      </c>
      <c r="M844">
        <f>_xlfn.XLOOKUP(AllDataCorrected[[#This Row],[Site Name]],Tables!$B$12:$B$100, Tables!D$12:D$100)</f>
        <v>-2.163898333333333</v>
      </c>
      <c r="N844" t="s">
        <v>25</v>
      </c>
      <c r="O844">
        <v>607</v>
      </c>
      <c r="P844">
        <v>14.6</v>
      </c>
      <c r="Q844">
        <v>5</v>
      </c>
      <c r="R844" t="str">
        <f>IF(AllDataCorrected[[#This Row],[Nitrate (PPM)]]&gt;2, "4. Very high (&gt;2ppm)", IF(AllDataCorrected[[#This Row],[Nitrate (PPM)]]&gt;1, "3. High (1-2ppm)", IF(AllDataCorrected[[#This Row],[Nitrate (PPM)]]&gt;0.5, "2. Some evidence (0.5-1ppm)", IF(AllDataCorrected[[#This Row],[Nitrate (PPM)]]&gt;=0, "1. No evidence (&lt;0.5ppm)"))))</f>
        <v>4. Very high (&gt;2ppm)</v>
      </c>
      <c r="S844">
        <v>0.47</v>
      </c>
      <c r="T8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4">
        <v>0</v>
      </c>
    </row>
    <row r="845" spans="1:22" x14ac:dyDescent="0.35">
      <c r="A845" t="s">
        <v>1324</v>
      </c>
      <c r="B845" s="2">
        <v>45435</v>
      </c>
      <c r="C845" t="str" cm="1">
        <f t="array" ref="C8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5">
        <f>YEAR(AllDataCorrected[[#This Row],[Date]])</f>
        <v>2024</v>
      </c>
      <c r="E845" s="1">
        <v>0.45694444444444443</v>
      </c>
      <c r="F8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5" t="str">
        <f>_xlfn.XLOOKUP(AllDataCorrected[[#This Row],[Location Name]], Locations[Location Name],Locations[Group As])</f>
        <v>Preston-on-Stour River Bridge</v>
      </c>
      <c r="H845" t="e" vm="1">
        <f>_xlfn.XLOOKUP(AllDataCorrected[[#This Row],[Site Name]],LocationsKey[Site Name],LocationsKey[District])</f>
        <v>#VALUE!</v>
      </c>
      <c r="I845" t="e" vm="20">
        <f>_xlfn.XLOOKUP(AllDataCorrected[[#This Row],[Site Name]],LocationsKey[Site Name],LocationsKey[Town])</f>
        <v>#VALUE!</v>
      </c>
      <c r="J845" t="str">
        <f>_xlfn.XLOOKUP(AllDataCorrected[[#This Row],[Site Name]],LocationsKey[Site Name], LocationsKey[Waterway])</f>
        <v>Stour</v>
      </c>
      <c r="K845" t="s">
        <v>164</v>
      </c>
      <c r="L845">
        <f>_xlfn.XLOOKUP(AllDataCorrected[[#This Row],[Site Name]],Tables!$B$12:$B$100, Tables!C$12:C$100)</f>
        <v>52.146672352941174</v>
      </c>
      <c r="M845">
        <f>_xlfn.XLOOKUP(AllDataCorrected[[#This Row],[Site Name]],Tables!$B$12:$B$100, Tables!D$12:D$100)</f>
        <v>-1.6984533333333334</v>
      </c>
      <c r="N845" t="s">
        <v>31</v>
      </c>
      <c r="O845">
        <v>687</v>
      </c>
      <c r="P845">
        <v>15.9</v>
      </c>
      <c r="Q845">
        <v>6</v>
      </c>
      <c r="R845" t="str">
        <f>IF(AllDataCorrected[[#This Row],[Nitrate (PPM)]]&gt;2, "4. Very high (&gt;2ppm)", IF(AllDataCorrected[[#This Row],[Nitrate (PPM)]]&gt;1, "3. High (1-2ppm)", IF(AllDataCorrected[[#This Row],[Nitrate (PPM)]]&gt;0.5, "2. Some evidence (0.5-1ppm)", IF(AllDataCorrected[[#This Row],[Nitrate (PPM)]]&gt;=0, "1. No evidence (&lt;0.5ppm)"))))</f>
        <v>4. Very high (&gt;2ppm)</v>
      </c>
      <c r="S845">
        <v>0.35</v>
      </c>
      <c r="T84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5">
        <v>1.5</v>
      </c>
    </row>
    <row r="846" spans="1:22" x14ac:dyDescent="0.35">
      <c r="A846" t="s">
        <v>1325</v>
      </c>
      <c r="B846" s="2">
        <v>45435</v>
      </c>
      <c r="C846" t="str" cm="1">
        <f t="array" ref="C8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6">
        <f>YEAR(AllDataCorrected[[#This Row],[Date]])</f>
        <v>2024</v>
      </c>
      <c r="E846" s="1">
        <v>0.54166666666666663</v>
      </c>
      <c r="F84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6" t="str">
        <f>_xlfn.XLOOKUP(AllDataCorrected[[#This Row],[Location Name]], Locations[Location Name],Locations[Group As])</f>
        <v>Stour Willington</v>
      </c>
      <c r="H846" t="e" vm="1">
        <f>_xlfn.XLOOKUP(AllDataCorrected[[#This Row],[Site Name]],LocationsKey[Site Name],LocationsKey[District])</f>
        <v>#VALUE!</v>
      </c>
      <c r="I846" t="str">
        <f>_xlfn.XLOOKUP(AllDataCorrected[[#This Row],[Site Name]],LocationsKey[Site Name],LocationsKey[Town])</f>
        <v>Willington</v>
      </c>
      <c r="J846" t="str">
        <f>_xlfn.XLOOKUP(AllDataCorrected[[#This Row],[Site Name]],LocationsKey[Site Name], LocationsKey[Waterway])</f>
        <v>Stour</v>
      </c>
      <c r="K846" t="s">
        <v>521</v>
      </c>
      <c r="L846">
        <f>_xlfn.XLOOKUP(AllDataCorrected[[#This Row],[Site Name]],Tables!$B$12:$B$100, Tables!C$12:C$100)</f>
        <v>52.053227523809518</v>
      </c>
      <c r="M846">
        <f>_xlfn.XLOOKUP(AllDataCorrected[[#This Row],[Site Name]],Tables!$B$12:$B$100, Tables!D$12:D$100)</f>
        <v>-1.6194739523809523</v>
      </c>
      <c r="N846" t="s">
        <v>25</v>
      </c>
      <c r="O846">
        <v>534</v>
      </c>
      <c r="P846">
        <v>14.1</v>
      </c>
      <c r="Q846">
        <v>5</v>
      </c>
      <c r="R846" t="str">
        <f>IF(AllDataCorrected[[#This Row],[Nitrate (PPM)]]&gt;2, "4. Very high (&gt;2ppm)", IF(AllDataCorrected[[#This Row],[Nitrate (PPM)]]&gt;1, "3. High (1-2ppm)", IF(AllDataCorrected[[#This Row],[Nitrate (PPM)]]&gt;0.5, "2. Some evidence (0.5-1ppm)", IF(AllDataCorrected[[#This Row],[Nitrate (PPM)]]&gt;=0, "1. No evidence (&lt;0.5ppm)"))))</f>
        <v>4. Very high (&gt;2ppm)</v>
      </c>
      <c r="S846">
        <v>0.32</v>
      </c>
      <c r="T8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6">
        <v>0.5</v>
      </c>
      <c r="V846" t="s">
        <v>1326</v>
      </c>
    </row>
    <row r="847" spans="1:22" x14ac:dyDescent="0.35">
      <c r="A847" t="s">
        <v>1327</v>
      </c>
      <c r="B847" s="2">
        <v>45436</v>
      </c>
      <c r="C847" t="str" cm="1">
        <f t="array" ref="C8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7">
        <f>YEAR(AllDataCorrected[[#This Row],[Date]])</f>
        <v>2024</v>
      </c>
      <c r="E847" s="1">
        <v>0.59027777777777779</v>
      </c>
      <c r="F8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47" t="str">
        <f>_xlfn.XLOOKUP(AllDataCorrected[[#This Row],[Location Name]], Locations[Location Name],Locations[Group As])</f>
        <v>Swiffen Bank</v>
      </c>
      <c r="H847" t="e" vm="1">
        <f>_xlfn.XLOOKUP(AllDataCorrected[[#This Row],[Site Name]],LocationsKey[Site Name],LocationsKey[District])</f>
        <v>#VALUE!</v>
      </c>
      <c r="I847" t="e" vm="2">
        <f>_xlfn.XLOOKUP(AllDataCorrected[[#This Row],[Site Name]],LocationsKey[Site Name],LocationsKey[Town])</f>
        <v>#VALUE!</v>
      </c>
      <c r="J847" t="str">
        <f>_xlfn.XLOOKUP(AllDataCorrected[[#This Row],[Site Name]],LocationsKey[Site Name], LocationsKey[Waterway])</f>
        <v>Avon</v>
      </c>
      <c r="K847" t="s">
        <v>286</v>
      </c>
      <c r="L847">
        <f>_xlfn.XLOOKUP(AllDataCorrected[[#This Row],[Site Name]],Tables!$B$12:$B$100, Tables!C$12:C$100)</f>
        <v>52.206649805555557</v>
      </c>
      <c r="M847">
        <f>_xlfn.XLOOKUP(AllDataCorrected[[#This Row],[Site Name]],Tables!$B$12:$B$100, Tables!D$12:D$100)</f>
        <v>-1.6541018611111094</v>
      </c>
      <c r="N847" t="s">
        <v>31</v>
      </c>
      <c r="O847">
        <v>540</v>
      </c>
      <c r="P847">
        <v>17</v>
      </c>
      <c r="Q847">
        <v>10</v>
      </c>
      <c r="R847" t="str">
        <f>IF(AllDataCorrected[[#This Row],[Nitrate (PPM)]]&gt;2, "4. Very high (&gt;2ppm)", IF(AllDataCorrected[[#This Row],[Nitrate (PPM)]]&gt;1, "3. High (1-2ppm)", IF(AllDataCorrected[[#This Row],[Nitrate (PPM)]]&gt;0.5, "2. Some evidence (0.5-1ppm)", IF(AllDataCorrected[[#This Row],[Nitrate (PPM)]]&gt;=0, "1. No evidence (&lt;0.5ppm)"))))</f>
        <v>4. Very high (&gt;2ppm)</v>
      </c>
      <c r="S847">
        <v>0.64</v>
      </c>
      <c r="T8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7">
        <v>1</v>
      </c>
      <c r="V847" t="s">
        <v>1328</v>
      </c>
    </row>
    <row r="848" spans="1:22" x14ac:dyDescent="0.35">
      <c r="A848" t="s">
        <v>1329</v>
      </c>
      <c r="B848" s="2">
        <v>45437</v>
      </c>
      <c r="C848" t="str" cm="1">
        <f t="array" ref="C8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8">
        <f>YEAR(AllDataCorrected[[#This Row],[Date]])</f>
        <v>2024</v>
      </c>
      <c r="E848" s="1">
        <v>0.39652777777777776</v>
      </c>
      <c r="F8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8" t="str">
        <f>_xlfn.XLOOKUP(AllDataCorrected[[#This Row],[Location Name]], Locations[Location Name],Locations[Group As])</f>
        <v>Lower Lode</v>
      </c>
      <c r="H848" t="e" vm="4">
        <f>_xlfn.XLOOKUP(AllDataCorrected[[#This Row],[Site Name]],LocationsKey[Site Name],LocationsKey[District])</f>
        <v>#VALUE!</v>
      </c>
      <c r="I848" t="e" vm="4">
        <f>_xlfn.XLOOKUP(AllDataCorrected[[#This Row],[Site Name]],LocationsKey[Site Name],LocationsKey[Town])</f>
        <v>#VALUE!</v>
      </c>
      <c r="J848" t="str">
        <f>_xlfn.XLOOKUP(AllDataCorrected[[#This Row],[Site Name]],LocationsKey[Site Name], LocationsKey[Waterway])</f>
        <v>Avon</v>
      </c>
      <c r="K848" t="s">
        <v>595</v>
      </c>
      <c r="L848">
        <f>_xlfn.XLOOKUP(AllDataCorrected[[#This Row],[Site Name]],Tables!$B$12:$B$100, Tables!C$12:C$100)</f>
        <v>51.984916745098026</v>
      </c>
      <c r="M848">
        <f>_xlfn.XLOOKUP(AllDataCorrected[[#This Row],[Site Name]],Tables!$B$12:$B$100, Tables!D$12:D$100)</f>
        <v>-2.1745787647058821</v>
      </c>
      <c r="N848" t="s">
        <v>31</v>
      </c>
      <c r="O848">
        <v>6800</v>
      </c>
      <c r="P848">
        <v>16.100000000000001</v>
      </c>
      <c r="Q848">
        <v>10</v>
      </c>
      <c r="R848" t="str">
        <f>IF(AllDataCorrected[[#This Row],[Nitrate (PPM)]]&gt;2, "4. Very high (&gt;2ppm)", IF(AllDataCorrected[[#This Row],[Nitrate (PPM)]]&gt;1, "3. High (1-2ppm)", IF(AllDataCorrected[[#This Row],[Nitrate (PPM)]]&gt;0.5, "2. Some evidence (0.5-1ppm)", IF(AllDataCorrected[[#This Row],[Nitrate (PPM)]]&gt;=0, "1. No evidence (&lt;0.5ppm)"))))</f>
        <v>4. Very high (&gt;2ppm)</v>
      </c>
      <c r="S848">
        <v>0.48</v>
      </c>
      <c r="T84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48">
        <v>2</v>
      </c>
    </row>
    <row r="849" spans="1:22" x14ac:dyDescent="0.35">
      <c r="A849" t="s">
        <v>1330</v>
      </c>
      <c r="B849" s="2">
        <v>45437</v>
      </c>
      <c r="C849" t="str" cm="1">
        <f t="array" ref="C8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49">
        <f>YEAR(AllDataCorrected[[#This Row],[Date]])</f>
        <v>2024</v>
      </c>
      <c r="E849" s="1">
        <v>0.43541666666666667</v>
      </c>
      <c r="F8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49" t="str">
        <f>_xlfn.XLOOKUP(AllDataCorrected[[#This Row],[Location Name]], Locations[Location Name],Locations[Group As])</f>
        <v>Avon Smiths Meadow Wyre Piddle</v>
      </c>
      <c r="H849" t="e" vm="6">
        <f>_xlfn.XLOOKUP(AllDataCorrected[[#This Row],[Site Name]],LocationsKey[Site Name],LocationsKey[District])</f>
        <v>#VALUE!</v>
      </c>
      <c r="I849" t="e" vm="13">
        <f>_xlfn.XLOOKUP(AllDataCorrected[[#This Row],[Site Name]],LocationsKey[Site Name],LocationsKey[Town])</f>
        <v>#VALUE!</v>
      </c>
      <c r="J849" t="str">
        <f>_xlfn.XLOOKUP(AllDataCorrected[[#This Row],[Site Name]],LocationsKey[Site Name], LocationsKey[Waterway])</f>
        <v>Avon</v>
      </c>
      <c r="K849" t="s">
        <v>784</v>
      </c>
      <c r="L849">
        <f>_xlfn.XLOOKUP(AllDataCorrected[[#This Row],[Site Name]],Tables!$B$12:$B$100, Tables!C$12:C$100)</f>
        <v>52.123126101694929</v>
      </c>
      <c r="M849">
        <f>_xlfn.XLOOKUP(AllDataCorrected[[#This Row],[Site Name]],Tables!$B$12:$B$100, Tables!D$12:D$100)</f>
        <v>-2.0572511355932215</v>
      </c>
      <c r="N849" t="s">
        <v>25</v>
      </c>
      <c r="O849">
        <v>633</v>
      </c>
      <c r="P849">
        <v>16.2</v>
      </c>
      <c r="Q849">
        <v>6</v>
      </c>
      <c r="R849" t="str">
        <f>IF(AllDataCorrected[[#This Row],[Nitrate (PPM)]]&gt;2, "4. Very high (&gt;2ppm)", IF(AllDataCorrected[[#This Row],[Nitrate (PPM)]]&gt;1, "3. High (1-2ppm)", IF(AllDataCorrected[[#This Row],[Nitrate (PPM)]]&gt;0.5, "2. Some evidence (0.5-1ppm)", IF(AllDataCorrected[[#This Row],[Nitrate (PPM)]]&gt;=0, "1. No evidence (&lt;0.5ppm)"))))</f>
        <v>4. Very high (&gt;2ppm)</v>
      </c>
      <c r="S849">
        <v>0.56999999999999995</v>
      </c>
      <c r="T8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49">
        <v>0.9</v>
      </c>
      <c r="V849" t="s">
        <v>1331</v>
      </c>
    </row>
    <row r="850" spans="1:22" x14ac:dyDescent="0.35">
      <c r="A850" t="s">
        <v>1332</v>
      </c>
      <c r="B850" s="2">
        <v>45437</v>
      </c>
      <c r="C850" t="str" cm="1">
        <f t="array" ref="C8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0">
        <f>YEAR(AllDataCorrected[[#This Row],[Date]])</f>
        <v>2024</v>
      </c>
      <c r="E850" s="1">
        <v>0.46388888888888891</v>
      </c>
      <c r="F8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0" t="str">
        <f>_xlfn.XLOOKUP(AllDataCorrected[[#This Row],[Location Name]], Locations[Location Name],Locations[Group As])</f>
        <v>Piddle Brook Wyre Piddle Bridge</v>
      </c>
      <c r="H850" t="e" vm="6">
        <f>_xlfn.XLOOKUP(AllDataCorrected[[#This Row],[Site Name]],LocationsKey[Site Name],LocationsKey[District])</f>
        <v>#VALUE!</v>
      </c>
      <c r="I850" t="e" vm="13">
        <f>_xlfn.XLOOKUP(AllDataCorrected[[#This Row],[Site Name]],LocationsKey[Site Name],LocationsKey[Town])</f>
        <v>#VALUE!</v>
      </c>
      <c r="J850" t="str">
        <f>_xlfn.XLOOKUP(AllDataCorrected[[#This Row],[Site Name]],LocationsKey[Site Name], LocationsKey[Waterway])</f>
        <v>Piddle Brook</v>
      </c>
      <c r="K850" t="s">
        <v>787</v>
      </c>
      <c r="L850">
        <f>_xlfn.XLOOKUP(AllDataCorrected[[#This Row],[Site Name]],Tables!$B$12:$B$100, Tables!C$12:C$100)</f>
        <v>52.126394500000039</v>
      </c>
      <c r="M850">
        <f>_xlfn.XLOOKUP(AllDataCorrected[[#This Row],[Site Name]],Tables!$B$12:$B$100, Tables!D$12:D$100)</f>
        <v>-2.0564211206896545</v>
      </c>
      <c r="N850" t="s">
        <v>25</v>
      </c>
      <c r="O850">
        <v>1120</v>
      </c>
      <c r="P850">
        <v>14.2</v>
      </c>
      <c r="Q850">
        <v>10</v>
      </c>
      <c r="R850" t="str">
        <f>IF(AllDataCorrected[[#This Row],[Nitrate (PPM)]]&gt;2, "4. Very high (&gt;2ppm)", IF(AllDataCorrected[[#This Row],[Nitrate (PPM)]]&gt;1, "3. High (1-2ppm)", IF(AllDataCorrected[[#This Row],[Nitrate (PPM)]]&gt;0.5, "2. Some evidence (0.5-1ppm)", IF(AllDataCorrected[[#This Row],[Nitrate (PPM)]]&gt;=0, "1. No evidence (&lt;0.5ppm)"))))</f>
        <v>4. Very high (&gt;2ppm)</v>
      </c>
      <c r="S850">
        <v>0.64</v>
      </c>
      <c r="T8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0">
        <v>0.34</v>
      </c>
      <c r="V850" t="s">
        <v>1333</v>
      </c>
    </row>
    <row r="851" spans="1:22" x14ac:dyDescent="0.35">
      <c r="A851" t="s">
        <v>1334</v>
      </c>
      <c r="B851" s="2">
        <v>45437</v>
      </c>
      <c r="C851" t="str" cm="1">
        <f t="array" ref="C8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1">
        <f>YEAR(AllDataCorrected[[#This Row],[Date]])</f>
        <v>2024</v>
      </c>
      <c r="E851" s="1">
        <v>0.5</v>
      </c>
      <c r="F8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51" t="str">
        <f>_xlfn.XLOOKUP(AllDataCorrected[[#This Row],[Location Name]], Locations[Location Name],Locations[Group As])</f>
        <v>Carrant Bredon Rd</v>
      </c>
      <c r="H851" t="e" vm="4">
        <f>_xlfn.XLOOKUP(AllDataCorrected[[#This Row],[Site Name]],LocationsKey[Site Name],LocationsKey[District])</f>
        <v>#VALUE!</v>
      </c>
      <c r="I851" t="e" vm="4">
        <f>_xlfn.XLOOKUP(AllDataCorrected[[#This Row],[Site Name]],LocationsKey[Site Name],LocationsKey[Town])</f>
        <v>#VALUE!</v>
      </c>
      <c r="J851" t="str">
        <f>_xlfn.XLOOKUP(AllDataCorrected[[#This Row],[Site Name]],LocationsKey[Site Name], LocationsKey[Waterway])</f>
        <v>Carrant</v>
      </c>
      <c r="K851" t="s">
        <v>603</v>
      </c>
      <c r="L851">
        <f>_xlfn.XLOOKUP(AllDataCorrected[[#This Row],[Site Name]],Tables!$B$12:$B$100, Tables!C$12:C$100)</f>
        <v>51.996322536231894</v>
      </c>
      <c r="M851">
        <f>_xlfn.XLOOKUP(AllDataCorrected[[#This Row],[Site Name]],Tables!$B$12:$B$100, Tables!D$12:D$100)</f>
        <v>-2.1558410144927538</v>
      </c>
      <c r="N851" t="s">
        <v>25</v>
      </c>
      <c r="O851">
        <v>651</v>
      </c>
      <c r="P851">
        <v>14</v>
      </c>
      <c r="Q851">
        <v>5</v>
      </c>
      <c r="R851" t="str">
        <f>IF(AllDataCorrected[[#This Row],[Nitrate (PPM)]]&gt;2, "4. Very high (&gt;2ppm)", IF(AllDataCorrected[[#This Row],[Nitrate (PPM)]]&gt;1, "3. High (1-2ppm)", IF(AllDataCorrected[[#This Row],[Nitrate (PPM)]]&gt;0.5, "2. Some evidence (0.5-1ppm)", IF(AllDataCorrected[[#This Row],[Nitrate (PPM)]]&gt;=0, "1. No evidence (&lt;0.5ppm)"))))</f>
        <v>4. Very high (&gt;2ppm)</v>
      </c>
      <c r="S851">
        <v>0.33</v>
      </c>
      <c r="T8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51">
        <v>0</v>
      </c>
    </row>
    <row r="852" spans="1:22" x14ac:dyDescent="0.35">
      <c r="A852" t="s">
        <v>1337</v>
      </c>
      <c r="B852" s="2">
        <v>45438</v>
      </c>
      <c r="C852" t="str" cm="1">
        <f t="array" ref="C8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2">
        <f>YEAR(AllDataCorrected[[#This Row],[Date]])</f>
        <v>2024</v>
      </c>
      <c r="E852" s="1">
        <v>0.45833333333333331</v>
      </c>
      <c r="F8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2" t="str">
        <f>_xlfn.XLOOKUP(AllDataCorrected[[#This Row],[Location Name]], Locations[Location Name],Locations[Group As])</f>
        <v>Avonbank Drive</v>
      </c>
      <c r="H852" t="e" vm="1">
        <f>_xlfn.XLOOKUP(AllDataCorrected[[#This Row],[Site Name]],LocationsKey[Site Name],LocationsKey[District])</f>
        <v>#VALUE!</v>
      </c>
      <c r="I852" t="e" vm="12">
        <f>_xlfn.XLOOKUP(AllDataCorrected[[#This Row],[Site Name]],LocationsKey[Site Name],LocationsKey[Town])</f>
        <v>#VALUE!</v>
      </c>
      <c r="J852" t="str">
        <f>_xlfn.XLOOKUP(AllDataCorrected[[#This Row],[Site Name]],LocationsKey[Site Name], LocationsKey[Waterway])</f>
        <v>Avon</v>
      </c>
      <c r="K852" t="s">
        <v>104</v>
      </c>
      <c r="L852">
        <f>_xlfn.XLOOKUP(AllDataCorrected[[#This Row],[Site Name]],Tables!$B$12:$B$100, Tables!C$12:C$100)</f>
        <v>51.566927775862098</v>
      </c>
      <c r="M852">
        <f>_xlfn.XLOOKUP(AllDataCorrected[[#This Row],[Site Name]],Tables!$B$12:$B$100, Tables!D$12:D$100)</f>
        <v>-7.2113336724137929</v>
      </c>
      <c r="N852" t="s">
        <v>68</v>
      </c>
      <c r="O852">
        <v>802</v>
      </c>
      <c r="P852">
        <v>21.3</v>
      </c>
      <c r="Q852">
        <v>5</v>
      </c>
      <c r="R852" t="str">
        <f>IF(AllDataCorrected[[#This Row],[Nitrate (PPM)]]&gt;2, "4. Very high (&gt;2ppm)", IF(AllDataCorrected[[#This Row],[Nitrate (PPM)]]&gt;1, "3. High (1-2ppm)", IF(AllDataCorrected[[#This Row],[Nitrate (PPM)]]&gt;0.5, "2. Some evidence (0.5-1ppm)", IF(AllDataCorrected[[#This Row],[Nitrate (PPM)]]&gt;=0, "1. No evidence (&lt;0.5ppm)"))))</f>
        <v>4. Very high (&gt;2ppm)</v>
      </c>
      <c r="S852">
        <v>0.95</v>
      </c>
      <c r="T8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2">
        <v>0.8</v>
      </c>
      <c r="V852" t="s">
        <v>1338</v>
      </c>
    </row>
    <row r="853" spans="1:22" x14ac:dyDescent="0.35">
      <c r="A853" t="s">
        <v>1339</v>
      </c>
      <c r="B853" s="2">
        <v>45438</v>
      </c>
      <c r="C853" t="str" cm="1">
        <f t="array" ref="C8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3">
        <f>YEAR(AllDataCorrected[[#This Row],[Date]])</f>
        <v>2024</v>
      </c>
      <c r="E853" s="1">
        <v>0.45833333333333331</v>
      </c>
      <c r="F8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53" t="str">
        <f>_xlfn.XLOOKUP(AllDataCorrected[[#This Row],[Location Name]], Locations[Location Name],Locations[Group As])</f>
        <v>Pitch 16</v>
      </c>
      <c r="H853" t="e" vm="1">
        <f>_xlfn.XLOOKUP(AllDataCorrected[[#This Row],[Site Name]],LocationsKey[Site Name],LocationsKey[District])</f>
        <v>#VALUE!</v>
      </c>
      <c r="I853" t="e" vm="12">
        <f>_xlfn.XLOOKUP(AllDataCorrected[[#This Row],[Site Name]],LocationsKey[Site Name],LocationsKey[Town])</f>
        <v>#VALUE!</v>
      </c>
      <c r="J853" t="str">
        <f>_xlfn.XLOOKUP(AllDataCorrected[[#This Row],[Site Name]],LocationsKey[Site Name], LocationsKey[Waterway])</f>
        <v>Avon</v>
      </c>
      <c r="K853" t="s">
        <v>71</v>
      </c>
      <c r="L853">
        <f>_xlfn.XLOOKUP(AllDataCorrected[[#This Row],[Site Name]],Tables!$B$12:$B$100, Tables!C$12:C$100)</f>
        <v>51.289310076923087</v>
      </c>
      <c r="M853">
        <f>_xlfn.XLOOKUP(AllDataCorrected[[#This Row],[Site Name]],Tables!$B$12:$B$100, Tables!D$12:D$100)</f>
        <v>-0.10399761538461544</v>
      </c>
      <c r="N853" t="s">
        <v>31</v>
      </c>
      <c r="O853">
        <v>785</v>
      </c>
      <c r="P853">
        <v>22</v>
      </c>
      <c r="Q853">
        <v>5</v>
      </c>
      <c r="R853" t="str">
        <f>IF(AllDataCorrected[[#This Row],[Nitrate (PPM)]]&gt;2, "4. Very high (&gt;2ppm)", IF(AllDataCorrected[[#This Row],[Nitrate (PPM)]]&gt;1, "3. High (1-2ppm)", IF(AllDataCorrected[[#This Row],[Nitrate (PPM)]]&gt;0.5, "2. Some evidence (0.5-1ppm)", IF(AllDataCorrected[[#This Row],[Nitrate (PPM)]]&gt;=0, "1. No evidence (&lt;0.5ppm)"))))</f>
        <v>4. Very high (&gt;2ppm)</v>
      </c>
      <c r="S853">
        <v>0.53</v>
      </c>
      <c r="T8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3">
        <v>0.8</v>
      </c>
      <c r="V853" t="s">
        <v>1338</v>
      </c>
    </row>
    <row r="854" spans="1:22" x14ac:dyDescent="0.35">
      <c r="A854" t="s">
        <v>1340</v>
      </c>
      <c r="B854" s="2">
        <v>45438</v>
      </c>
      <c r="C854" t="str" cm="1">
        <f t="array" ref="C8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4">
        <f>YEAR(AllDataCorrected[[#This Row],[Date]])</f>
        <v>2024</v>
      </c>
      <c r="F85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4" t="str">
        <f>_xlfn.XLOOKUP(AllDataCorrected[[#This Row],[Location Name]], Locations[Location Name],Locations[Group As])</f>
        <v>Site 1  :  Middle Street</v>
      </c>
      <c r="H854" t="e" vm="1">
        <f>_xlfn.XLOOKUP(AllDataCorrected[[#This Row],[Site Name]],LocationsKey[Site Name],LocationsKey[District])</f>
        <v>#VALUE!</v>
      </c>
      <c r="I854" t="e" vm="14">
        <f>_xlfn.XLOOKUP(AllDataCorrected[[#This Row],[Site Name]],LocationsKey[Site Name],LocationsKey[Town])</f>
        <v>#VALUE!</v>
      </c>
      <c r="J854" t="str">
        <f>_xlfn.XLOOKUP(AllDataCorrected[[#This Row],[Site Name]],LocationsKey[Site Name], LocationsKey[Waterway])</f>
        <v>Fosseway Brook</v>
      </c>
      <c r="K854" t="s">
        <v>667</v>
      </c>
      <c r="L854">
        <f>_xlfn.XLOOKUP(AllDataCorrected[[#This Row],[Site Name]],Tables!$B$12:$B$100, Tables!C$12:C$100)</f>
        <v>52.090081855670022</v>
      </c>
      <c r="M854">
        <f>_xlfn.XLOOKUP(AllDataCorrected[[#This Row],[Site Name]],Tables!$B$12:$B$100, Tables!D$12:D$100)</f>
        <v>-1.6925771134020597</v>
      </c>
      <c r="N854" t="s">
        <v>68</v>
      </c>
      <c r="O854">
        <v>585</v>
      </c>
      <c r="P854">
        <v>19.100000000000001</v>
      </c>
      <c r="Q854">
        <v>2</v>
      </c>
      <c r="R854" t="str">
        <f>IF(AllDataCorrected[[#This Row],[Nitrate (PPM)]]&gt;2, "4. Very high (&gt;2ppm)", IF(AllDataCorrected[[#This Row],[Nitrate (PPM)]]&gt;1, "3. High (1-2ppm)", IF(AllDataCorrected[[#This Row],[Nitrate (PPM)]]&gt;0.5, "2. Some evidence (0.5-1ppm)", IF(AllDataCorrected[[#This Row],[Nitrate (PPM)]]&gt;=0, "1. No evidence (&lt;0.5ppm)"))))</f>
        <v>3. High (1-2ppm)</v>
      </c>
      <c r="S854">
        <v>0.1</v>
      </c>
      <c r="T85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854">
        <v>0</v>
      </c>
      <c r="V854" t="s">
        <v>835</v>
      </c>
    </row>
    <row r="855" spans="1:22" x14ac:dyDescent="0.35">
      <c r="A855" t="s">
        <v>1341</v>
      </c>
      <c r="B855" s="2">
        <v>45438</v>
      </c>
      <c r="C855" t="str" cm="1">
        <f t="array" ref="C8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5">
        <f>YEAR(AllDataCorrected[[#This Row],[Date]])</f>
        <v>2024</v>
      </c>
      <c r="F85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5" t="str">
        <f>_xlfn.XLOOKUP(AllDataCorrected[[#This Row],[Location Name]], Locations[Location Name],Locations[Group As])</f>
        <v>Site 1  :  Middle Street</v>
      </c>
      <c r="H855" t="e" vm="1">
        <f>_xlfn.XLOOKUP(AllDataCorrected[[#This Row],[Site Name]],LocationsKey[Site Name],LocationsKey[District])</f>
        <v>#VALUE!</v>
      </c>
      <c r="I855" t="e" vm="14">
        <f>_xlfn.XLOOKUP(AllDataCorrected[[#This Row],[Site Name]],LocationsKey[Site Name],LocationsKey[Town])</f>
        <v>#VALUE!</v>
      </c>
      <c r="J855" t="str">
        <f>_xlfn.XLOOKUP(AllDataCorrected[[#This Row],[Site Name]],LocationsKey[Site Name], LocationsKey[Waterway])</f>
        <v>Fosseway Brook</v>
      </c>
      <c r="K855" t="s">
        <v>670</v>
      </c>
      <c r="L855">
        <f>_xlfn.XLOOKUP(AllDataCorrected[[#This Row],[Site Name]],Tables!$B$12:$B$100, Tables!C$12:C$100)</f>
        <v>52.090081855670022</v>
      </c>
      <c r="M855">
        <f>_xlfn.XLOOKUP(AllDataCorrected[[#This Row],[Site Name]],Tables!$B$12:$B$100, Tables!D$12:D$100)</f>
        <v>-1.6925771134020597</v>
      </c>
      <c r="N855" t="s">
        <v>68</v>
      </c>
      <c r="O855">
        <v>585</v>
      </c>
      <c r="P855">
        <v>19.100000000000001</v>
      </c>
      <c r="Q855">
        <v>2</v>
      </c>
      <c r="R855" t="str">
        <f>IF(AllDataCorrected[[#This Row],[Nitrate (PPM)]]&gt;2, "4. Very high (&gt;2ppm)", IF(AllDataCorrected[[#This Row],[Nitrate (PPM)]]&gt;1, "3. High (1-2ppm)", IF(AllDataCorrected[[#This Row],[Nitrate (PPM)]]&gt;0.5, "2. Some evidence (0.5-1ppm)", IF(AllDataCorrected[[#This Row],[Nitrate (PPM)]]&gt;=0, "1. No evidence (&lt;0.5ppm)"))))</f>
        <v>3. High (1-2ppm)</v>
      </c>
      <c r="S855">
        <v>0.1</v>
      </c>
      <c r="T85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856" spans="1:22" x14ac:dyDescent="0.35">
      <c r="A856" t="s">
        <v>1342</v>
      </c>
      <c r="B856" s="2">
        <v>45438</v>
      </c>
      <c r="C856" t="str" cm="1">
        <f t="array" ref="C8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6">
        <f>YEAR(AllDataCorrected[[#This Row],[Date]])</f>
        <v>2024</v>
      </c>
      <c r="F85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6" t="str">
        <f>_xlfn.XLOOKUP(AllDataCorrected[[#This Row],[Location Name]], Locations[Location Name],Locations[Group As])</f>
        <v>Site 2  :  Cross Leys culvert</v>
      </c>
      <c r="H856" t="e" vm="1">
        <f>_xlfn.XLOOKUP(AllDataCorrected[[#This Row],[Site Name]],LocationsKey[Site Name],LocationsKey[District])</f>
        <v>#VALUE!</v>
      </c>
      <c r="I856" t="e" vm="14">
        <f>_xlfn.XLOOKUP(AllDataCorrected[[#This Row],[Site Name]],LocationsKey[Site Name],LocationsKey[Town])</f>
        <v>#VALUE!</v>
      </c>
      <c r="J856" t="str">
        <f>_xlfn.XLOOKUP(AllDataCorrected[[#This Row],[Site Name]],LocationsKey[Site Name], LocationsKey[Waterway])</f>
        <v>Fosseway Brook</v>
      </c>
      <c r="K856" t="s">
        <v>623</v>
      </c>
      <c r="L856">
        <f>_xlfn.XLOOKUP(AllDataCorrected[[#This Row],[Site Name]],Tables!$B$12:$B$100, Tables!C$12:C$100)</f>
        <v>52.092997354838673</v>
      </c>
      <c r="M856">
        <f>_xlfn.XLOOKUP(AllDataCorrected[[#This Row],[Site Name]],Tables!$B$12:$B$100, Tables!D$12:D$100)</f>
        <v>-1.6862254516129045</v>
      </c>
      <c r="N856" t="s">
        <v>68</v>
      </c>
      <c r="O856">
        <v>646</v>
      </c>
      <c r="P856">
        <v>18</v>
      </c>
      <c r="Q856">
        <v>2</v>
      </c>
      <c r="R856" t="str">
        <f>IF(AllDataCorrected[[#This Row],[Nitrate (PPM)]]&gt;2, "4. Very high (&gt;2ppm)", IF(AllDataCorrected[[#This Row],[Nitrate (PPM)]]&gt;1, "3. High (1-2ppm)", IF(AllDataCorrected[[#This Row],[Nitrate (PPM)]]&gt;0.5, "2. Some evidence (0.5-1ppm)", IF(AllDataCorrected[[#This Row],[Nitrate (PPM)]]&gt;=0, "1. No evidence (&lt;0.5ppm)"))))</f>
        <v>3. High (1-2ppm)</v>
      </c>
      <c r="S856">
        <v>0.3</v>
      </c>
      <c r="T8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56">
        <v>0</v>
      </c>
      <c r="V856" t="s">
        <v>835</v>
      </c>
    </row>
    <row r="857" spans="1:22" x14ac:dyDescent="0.35">
      <c r="A857" t="s">
        <v>1343</v>
      </c>
      <c r="B857" s="2">
        <v>45438</v>
      </c>
      <c r="C857" t="str" cm="1">
        <f t="array" ref="C8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7">
        <f>YEAR(AllDataCorrected[[#This Row],[Date]])</f>
        <v>2024</v>
      </c>
      <c r="F85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7" t="str">
        <f>_xlfn.XLOOKUP(AllDataCorrected[[#This Row],[Location Name]], Locations[Location Name],Locations[Group As])</f>
        <v>Site 2  :  Cross Leys culvert</v>
      </c>
      <c r="H857" t="e" vm="1">
        <f>_xlfn.XLOOKUP(AllDataCorrected[[#This Row],[Site Name]],LocationsKey[Site Name],LocationsKey[District])</f>
        <v>#VALUE!</v>
      </c>
      <c r="I857" t="e" vm="14">
        <f>_xlfn.XLOOKUP(AllDataCorrected[[#This Row],[Site Name]],LocationsKey[Site Name],LocationsKey[Town])</f>
        <v>#VALUE!</v>
      </c>
      <c r="J857" t="str">
        <f>_xlfn.XLOOKUP(AllDataCorrected[[#This Row],[Site Name]],LocationsKey[Site Name], LocationsKey[Waterway])</f>
        <v>Fosseway Brook</v>
      </c>
      <c r="K857" t="s">
        <v>626</v>
      </c>
      <c r="L857">
        <f>_xlfn.XLOOKUP(AllDataCorrected[[#This Row],[Site Name]],Tables!$B$12:$B$100, Tables!C$12:C$100)</f>
        <v>52.092997354838673</v>
      </c>
      <c r="M857">
        <f>_xlfn.XLOOKUP(AllDataCorrected[[#This Row],[Site Name]],Tables!$B$12:$B$100, Tables!D$12:D$100)</f>
        <v>-1.6862254516129045</v>
      </c>
      <c r="N857" t="s">
        <v>68</v>
      </c>
      <c r="O857">
        <v>646</v>
      </c>
      <c r="P857">
        <v>18</v>
      </c>
      <c r="Q857">
        <v>2</v>
      </c>
      <c r="R857" t="str">
        <f>IF(AllDataCorrected[[#This Row],[Nitrate (PPM)]]&gt;2, "4. Very high (&gt;2ppm)", IF(AllDataCorrected[[#This Row],[Nitrate (PPM)]]&gt;1, "3. High (1-2ppm)", IF(AllDataCorrected[[#This Row],[Nitrate (PPM)]]&gt;0.5, "2. Some evidence (0.5-1ppm)", IF(AllDataCorrected[[#This Row],[Nitrate (PPM)]]&gt;=0, "1. No evidence (&lt;0.5ppm)"))))</f>
        <v>3. High (1-2ppm)</v>
      </c>
      <c r="S857">
        <v>0.3</v>
      </c>
      <c r="T85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858" spans="1:22" x14ac:dyDescent="0.35">
      <c r="A858" t="s">
        <v>1344</v>
      </c>
      <c r="B858" s="2">
        <v>45438</v>
      </c>
      <c r="C858" t="str" cm="1">
        <f t="array" ref="C8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8">
        <f>YEAR(AllDataCorrected[[#This Row],[Date]])</f>
        <v>2024</v>
      </c>
      <c r="F85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8" t="str">
        <f>_xlfn.XLOOKUP(AllDataCorrected[[#This Row],[Location Name]], Locations[Location Name],Locations[Group As])</f>
        <v>Site 3  :  Severn Trent Water processing plant outflow</v>
      </c>
      <c r="H858" t="e" vm="1">
        <f>_xlfn.XLOOKUP(AllDataCorrected[[#This Row],[Site Name]],LocationsKey[Site Name],LocationsKey[District])</f>
        <v>#VALUE!</v>
      </c>
      <c r="I858" t="e" vm="14">
        <f>_xlfn.XLOOKUP(AllDataCorrected[[#This Row],[Site Name]],LocationsKey[Site Name],LocationsKey[Town])</f>
        <v>#VALUE!</v>
      </c>
      <c r="J858" t="str">
        <f>_xlfn.XLOOKUP(AllDataCorrected[[#This Row],[Site Name]],LocationsKey[Site Name], LocationsKey[Waterway])</f>
        <v>Fosseway Brook</v>
      </c>
      <c r="K858" t="s">
        <v>673</v>
      </c>
      <c r="L858">
        <f>_xlfn.XLOOKUP(AllDataCorrected[[#This Row],[Site Name]],Tables!$B$12:$B$100, Tables!C$12:C$100)</f>
        <v>52.130499999999998</v>
      </c>
      <c r="M858">
        <f>_xlfn.XLOOKUP(AllDataCorrected[[#This Row],[Site Name]],Tables!$B$12:$B$100, Tables!D$12:D$100)</f>
        <v>-2.0787</v>
      </c>
      <c r="N858" t="s">
        <v>31</v>
      </c>
      <c r="O858">
        <v>830</v>
      </c>
      <c r="P858">
        <v>18.3</v>
      </c>
      <c r="Q858">
        <v>10</v>
      </c>
      <c r="R858" t="str">
        <f>IF(AllDataCorrected[[#This Row],[Nitrate (PPM)]]&gt;2, "4. Very high (&gt;2ppm)", IF(AllDataCorrected[[#This Row],[Nitrate (PPM)]]&gt;1, "3. High (1-2ppm)", IF(AllDataCorrected[[#This Row],[Nitrate (PPM)]]&gt;0.5, "2. Some evidence (0.5-1ppm)", IF(AllDataCorrected[[#This Row],[Nitrate (PPM)]]&gt;=0, "1. No evidence (&lt;0.5ppm)"))))</f>
        <v>4. Very high (&gt;2ppm)</v>
      </c>
      <c r="S858">
        <v>2.09</v>
      </c>
      <c r="T8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58">
        <v>0</v>
      </c>
      <c r="V858" t="s">
        <v>840</v>
      </c>
    </row>
    <row r="859" spans="1:22" x14ac:dyDescent="0.35">
      <c r="A859" t="s">
        <v>1345</v>
      </c>
      <c r="B859" s="2">
        <v>45438</v>
      </c>
      <c r="C859" t="str" cm="1">
        <f t="array" ref="C8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59">
        <f>YEAR(AllDataCorrected[[#This Row],[Date]])</f>
        <v>2024</v>
      </c>
      <c r="F85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59" t="str">
        <f>_xlfn.XLOOKUP(AllDataCorrected[[#This Row],[Location Name]], Locations[Location Name],Locations[Group As])</f>
        <v>Site 3  :  Severn Trent Water processing plant outflow</v>
      </c>
      <c r="H859" t="e" vm="1">
        <f>_xlfn.XLOOKUP(AllDataCorrected[[#This Row],[Site Name]],LocationsKey[Site Name],LocationsKey[District])</f>
        <v>#VALUE!</v>
      </c>
      <c r="I859" t="e" vm="14">
        <f>_xlfn.XLOOKUP(AllDataCorrected[[#This Row],[Site Name]],LocationsKey[Site Name],LocationsKey[Town])</f>
        <v>#VALUE!</v>
      </c>
      <c r="J859" t="str">
        <f>_xlfn.XLOOKUP(AllDataCorrected[[#This Row],[Site Name]],LocationsKey[Site Name], LocationsKey[Waterway])</f>
        <v>Fosseway Brook</v>
      </c>
      <c r="K859" t="s">
        <v>676</v>
      </c>
      <c r="L859">
        <f>_xlfn.XLOOKUP(AllDataCorrected[[#This Row],[Site Name]],Tables!$B$12:$B$100, Tables!C$12:C$100)</f>
        <v>52.130499999999998</v>
      </c>
      <c r="M859">
        <f>_xlfn.XLOOKUP(AllDataCorrected[[#This Row],[Site Name]],Tables!$B$12:$B$100, Tables!D$12:D$100)</f>
        <v>-2.0787</v>
      </c>
      <c r="N859" t="s">
        <v>31</v>
      </c>
      <c r="O859">
        <v>830</v>
      </c>
      <c r="P859">
        <v>18.3</v>
      </c>
      <c r="Q859">
        <v>10</v>
      </c>
      <c r="R859" t="str">
        <f>IF(AllDataCorrected[[#This Row],[Nitrate (PPM)]]&gt;2, "4. Very high (&gt;2ppm)", IF(AllDataCorrected[[#This Row],[Nitrate (PPM)]]&gt;1, "3. High (1-2ppm)", IF(AllDataCorrected[[#This Row],[Nitrate (PPM)]]&gt;0.5, "2. Some evidence (0.5-1ppm)", IF(AllDataCorrected[[#This Row],[Nitrate (PPM)]]&gt;=0, "1. No evidence (&lt;0.5ppm)"))))</f>
        <v>4. Very high (&gt;2ppm)</v>
      </c>
      <c r="S859">
        <v>2.09</v>
      </c>
      <c r="T8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60" spans="1:22" x14ac:dyDescent="0.35">
      <c r="A860" t="s">
        <v>1347</v>
      </c>
      <c r="B860" s="2">
        <v>45439</v>
      </c>
      <c r="C860" t="str" cm="1">
        <f t="array" ref="C8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0">
        <f>YEAR(AllDataCorrected[[#This Row],[Date]])</f>
        <v>2024</v>
      </c>
      <c r="E860" s="1">
        <v>0.40486111111111112</v>
      </c>
      <c r="F8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0" t="str">
        <f>_xlfn.XLOOKUP(AllDataCorrected[[#This Row],[Location Name]], Locations[Location Name],Locations[Group As])</f>
        <v>Carrant Mitton Path</v>
      </c>
      <c r="H860" t="e" vm="4">
        <f>_xlfn.XLOOKUP(AllDataCorrected[[#This Row],[Site Name]],LocationsKey[Site Name],LocationsKey[District])</f>
        <v>#VALUE!</v>
      </c>
      <c r="I860" t="e" vm="4">
        <f>_xlfn.XLOOKUP(AllDataCorrected[[#This Row],[Site Name]],LocationsKey[Site Name],LocationsKey[Town])</f>
        <v>#VALUE!</v>
      </c>
      <c r="J860" t="str">
        <f>_xlfn.XLOOKUP(AllDataCorrected[[#This Row],[Site Name]],LocationsKey[Site Name], LocationsKey[Waterway])</f>
        <v>Carrant</v>
      </c>
      <c r="K860" t="s">
        <v>1064</v>
      </c>
      <c r="L860">
        <f>_xlfn.XLOOKUP(AllDataCorrected[[#This Row],[Site Name]],Tables!$B$12:$B$100, Tables!C$12:C$100)</f>
        <v>52.048665</v>
      </c>
      <c r="M860">
        <f>_xlfn.XLOOKUP(AllDataCorrected[[#This Row],[Site Name]],Tables!$B$12:$B$100, Tables!D$12:D$100)</f>
        <v>-1.7862663333333331</v>
      </c>
      <c r="N860" t="s">
        <v>25</v>
      </c>
      <c r="O860">
        <v>698</v>
      </c>
      <c r="P860">
        <v>15.3</v>
      </c>
      <c r="Q860">
        <v>9</v>
      </c>
      <c r="R860" t="str">
        <f>IF(AllDataCorrected[[#This Row],[Nitrate (PPM)]]&gt;2, "4. Very high (&gt;2ppm)", IF(AllDataCorrected[[#This Row],[Nitrate (PPM)]]&gt;1, "3. High (1-2ppm)", IF(AllDataCorrected[[#This Row],[Nitrate (PPM)]]&gt;0.5, "2. Some evidence (0.5-1ppm)", IF(AllDataCorrected[[#This Row],[Nitrate (PPM)]]&gt;=0, "1. No evidence (&lt;0.5ppm)"))))</f>
        <v>4. Very high (&gt;2ppm)</v>
      </c>
      <c r="S860">
        <v>0.22</v>
      </c>
      <c r="T86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0">
        <v>0</v>
      </c>
    </row>
    <row r="861" spans="1:22" x14ac:dyDescent="0.35">
      <c r="A861" t="s">
        <v>1348</v>
      </c>
      <c r="B861" s="2">
        <v>45439</v>
      </c>
      <c r="C861" t="str" cm="1">
        <f t="array" ref="C8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1">
        <f>YEAR(AllDataCorrected[[#This Row],[Date]])</f>
        <v>2024</v>
      </c>
      <c r="E861" s="1">
        <v>0.41666666666666669</v>
      </c>
      <c r="F8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1" t="str">
        <f>_xlfn.XLOOKUP(AllDataCorrected[[#This Row],[Location Name]], Locations[Location Name],Locations[Group As])</f>
        <v>Fell Mill Footbridge</v>
      </c>
      <c r="H861" t="e" vm="1">
        <f>_xlfn.XLOOKUP(AllDataCorrected[[#This Row],[Site Name]],LocationsKey[Site Name],LocationsKey[District])</f>
        <v>#VALUE!</v>
      </c>
      <c r="I861" t="e" vm="15">
        <f>_xlfn.XLOOKUP(AllDataCorrected[[#This Row],[Site Name]],LocationsKey[Site Name],LocationsKey[Town])</f>
        <v>#VALUE!</v>
      </c>
      <c r="J861" t="str">
        <f>_xlfn.XLOOKUP(AllDataCorrected[[#This Row],[Site Name]],LocationsKey[Site Name], LocationsKey[Waterway])</f>
        <v>Stour</v>
      </c>
      <c r="K861" t="s">
        <v>875</v>
      </c>
      <c r="L861">
        <f>_xlfn.XLOOKUP(AllDataCorrected[[#This Row],[Site Name]],Tables!$B$12:$B$100, Tables!C$12:C$100)</f>
        <v>52.069044372881365</v>
      </c>
      <c r="M861">
        <f>_xlfn.XLOOKUP(AllDataCorrected[[#This Row],[Site Name]],Tables!$B$12:$B$100, Tables!D$12:D$100)</f>
        <v>-1.6116270169491524</v>
      </c>
      <c r="N861" t="s">
        <v>31</v>
      </c>
      <c r="O861">
        <v>617</v>
      </c>
      <c r="P861">
        <v>14.3</v>
      </c>
      <c r="Q861">
        <v>10</v>
      </c>
      <c r="R861" t="str">
        <f>IF(AllDataCorrected[[#This Row],[Nitrate (PPM)]]&gt;2, "4. Very high (&gt;2ppm)", IF(AllDataCorrected[[#This Row],[Nitrate (PPM)]]&gt;1, "3. High (1-2ppm)", IF(AllDataCorrected[[#This Row],[Nitrate (PPM)]]&gt;0.5, "2. Some evidence (0.5-1ppm)", IF(AllDataCorrected[[#This Row],[Nitrate (PPM)]]&gt;=0, "1. No evidence (&lt;0.5ppm)"))))</f>
        <v>4. Very high (&gt;2ppm)</v>
      </c>
      <c r="S861">
        <v>0.56999999999999995</v>
      </c>
      <c r="T8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1">
        <v>1.4</v>
      </c>
    </row>
    <row r="862" spans="1:22" x14ac:dyDescent="0.35">
      <c r="A862" t="s">
        <v>1349</v>
      </c>
      <c r="B862" s="2">
        <v>45439</v>
      </c>
      <c r="C862" t="str" cm="1">
        <f t="array" ref="C8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2">
        <f>YEAR(AllDataCorrected[[#This Row],[Date]])</f>
        <v>2024</v>
      </c>
      <c r="E862" s="1">
        <v>0.41666666666666669</v>
      </c>
      <c r="F86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2" t="str">
        <f>_xlfn.XLOOKUP(AllDataCorrected[[#This Row],[Location Name]], Locations[Location Name],Locations[Group As])</f>
        <v>Sherbourne Brook 1</v>
      </c>
      <c r="H862" t="e" vm="1">
        <f>_xlfn.XLOOKUP(AllDataCorrected[[#This Row],[Site Name]],LocationsKey[Site Name],LocationsKey[District])</f>
        <v>#VALUE!</v>
      </c>
      <c r="I862" t="e" vm="23">
        <f>_xlfn.XLOOKUP(AllDataCorrected[[#This Row],[Site Name]],LocationsKey[Site Name],LocationsKey[Town])</f>
        <v>#VALUE!</v>
      </c>
      <c r="J862" t="str">
        <f>_xlfn.XLOOKUP(AllDataCorrected[[#This Row],[Site Name]],LocationsKey[Site Name], LocationsKey[Waterway])</f>
        <v>Sherbourne Brook</v>
      </c>
      <c r="K862" t="s">
        <v>541</v>
      </c>
      <c r="L862">
        <f>_xlfn.XLOOKUP(AllDataCorrected[[#This Row],[Site Name]],Tables!$B$12:$B$100, Tables!C$12:C$100)</f>
        <v>52.252500000000033</v>
      </c>
      <c r="M862">
        <f>_xlfn.XLOOKUP(AllDataCorrected[[#This Row],[Site Name]],Tables!$B$12:$B$100, Tables!D$12:D$100)</f>
        <v>-1.6685000000000012</v>
      </c>
      <c r="N862" t="s">
        <v>25</v>
      </c>
      <c r="O862">
        <v>1050</v>
      </c>
      <c r="P862">
        <v>13.7</v>
      </c>
      <c r="Q862">
        <v>10</v>
      </c>
      <c r="R862" t="str">
        <f>IF(AllDataCorrected[[#This Row],[Nitrate (PPM)]]&gt;2, "4. Very high (&gt;2ppm)", IF(AllDataCorrected[[#This Row],[Nitrate (PPM)]]&gt;1, "3. High (1-2ppm)", IF(AllDataCorrected[[#This Row],[Nitrate (PPM)]]&gt;0.5, "2. Some evidence (0.5-1ppm)", IF(AllDataCorrected[[#This Row],[Nitrate (PPM)]]&gt;=0, "1. No evidence (&lt;0.5ppm)"))))</f>
        <v>4. Very high (&gt;2ppm)</v>
      </c>
      <c r="S862">
        <v>0.22</v>
      </c>
      <c r="T8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2">
        <v>0.2</v>
      </c>
    </row>
    <row r="863" spans="1:22" x14ac:dyDescent="0.35">
      <c r="A863" t="s">
        <v>1350</v>
      </c>
      <c r="B863" s="2">
        <v>45439</v>
      </c>
      <c r="C863" t="str" cm="1">
        <f t="array" ref="C8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3">
        <f>YEAR(AllDataCorrected[[#This Row],[Date]])</f>
        <v>2024</v>
      </c>
      <c r="E863" s="1">
        <v>0.41805555555555557</v>
      </c>
      <c r="F86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3" t="str">
        <f>_xlfn.XLOOKUP(AllDataCorrected[[#This Row],[Location Name]], Locations[Location Name],Locations[Group As])</f>
        <v>Carrant M5 Bridge</v>
      </c>
      <c r="H863" t="e" vm="4">
        <f>_xlfn.XLOOKUP(AllDataCorrected[[#This Row],[Site Name]],LocationsKey[Site Name],LocationsKey[District])</f>
        <v>#VALUE!</v>
      </c>
      <c r="I863" t="e" vm="4">
        <f>_xlfn.XLOOKUP(AllDataCorrected[[#This Row],[Site Name]],LocationsKey[Site Name],LocationsKey[Town])</f>
        <v>#VALUE!</v>
      </c>
      <c r="J863" t="str">
        <f>_xlfn.XLOOKUP(AllDataCorrected[[#This Row],[Site Name]],LocationsKey[Site Name], LocationsKey[Waterway])</f>
        <v>Carrant</v>
      </c>
      <c r="K863" t="s">
        <v>1144</v>
      </c>
      <c r="L863">
        <f>_xlfn.XLOOKUP(AllDataCorrected[[#This Row],[Site Name]],Tables!$B$12:$B$100, Tables!C$12:C$100)</f>
        <v>52.012994652173923</v>
      </c>
      <c r="M863">
        <f>_xlfn.XLOOKUP(AllDataCorrected[[#This Row],[Site Name]],Tables!$B$12:$B$100, Tables!D$12:D$100)</f>
        <v>-2.1224405652173912</v>
      </c>
      <c r="N863" t="s">
        <v>25</v>
      </c>
      <c r="O863">
        <v>732</v>
      </c>
      <c r="P863">
        <v>15.2</v>
      </c>
      <c r="Q863">
        <v>7</v>
      </c>
      <c r="R863" t="str">
        <f>IF(AllDataCorrected[[#This Row],[Nitrate (PPM)]]&gt;2, "4. Very high (&gt;2ppm)", IF(AllDataCorrected[[#This Row],[Nitrate (PPM)]]&gt;1, "3. High (1-2ppm)", IF(AllDataCorrected[[#This Row],[Nitrate (PPM)]]&gt;0.5, "2. Some evidence (0.5-1ppm)", IF(AllDataCorrected[[#This Row],[Nitrate (PPM)]]&gt;=0, "1. No evidence (&lt;0.5ppm)"))))</f>
        <v>4. Very high (&gt;2ppm)</v>
      </c>
      <c r="S863">
        <v>0.45</v>
      </c>
      <c r="T86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3">
        <v>0</v>
      </c>
    </row>
    <row r="864" spans="1:22" x14ac:dyDescent="0.35">
      <c r="A864" t="s">
        <v>1351</v>
      </c>
      <c r="B864" s="2">
        <v>45439</v>
      </c>
      <c r="C864" t="str" cm="1">
        <f t="array" ref="C8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4">
        <f>YEAR(AllDataCorrected[[#This Row],[Date]])</f>
        <v>2024</v>
      </c>
      <c r="E864" s="1">
        <v>0.42708333333333331</v>
      </c>
      <c r="F8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4" t="str">
        <f>_xlfn.XLOOKUP(AllDataCorrected[[#This Row],[Location Name]], Locations[Location Name],Locations[Group As])</f>
        <v>Bell Brook 1</v>
      </c>
      <c r="H864" t="e" vm="1">
        <f>_xlfn.XLOOKUP(AllDataCorrected[[#This Row],[Site Name]],LocationsKey[Site Name],LocationsKey[District])</f>
        <v>#VALUE!</v>
      </c>
      <c r="I864" t="e" vm="19">
        <f>_xlfn.XLOOKUP(AllDataCorrected[[#This Row],[Site Name]],LocationsKey[Site Name],LocationsKey[Town])</f>
        <v>#VALUE!</v>
      </c>
      <c r="J864" t="str">
        <f>_xlfn.XLOOKUP(AllDataCorrected[[#This Row],[Site Name]],LocationsKey[Site Name], LocationsKey[Waterway])</f>
        <v>Bell Brook</v>
      </c>
      <c r="K864" t="s">
        <v>538</v>
      </c>
      <c r="L864">
        <f>_xlfn.XLOOKUP(AllDataCorrected[[#This Row],[Site Name]],Tables!$B$12:$B$100, Tables!C$12:C$100)</f>
        <v>52.24489999999998</v>
      </c>
      <c r="M864">
        <f>_xlfn.XLOOKUP(AllDataCorrected[[#This Row],[Site Name]],Tables!$B$12:$B$100, Tables!D$12:D$100)</f>
        <v>-1.6617000000000013</v>
      </c>
      <c r="N864" t="s">
        <v>25</v>
      </c>
      <c r="O864">
        <v>686</v>
      </c>
      <c r="P864">
        <v>14.5</v>
      </c>
      <c r="Q864">
        <v>5</v>
      </c>
      <c r="R864" t="str">
        <f>IF(AllDataCorrected[[#This Row],[Nitrate (PPM)]]&gt;2, "4. Very high (&gt;2ppm)", IF(AllDataCorrected[[#This Row],[Nitrate (PPM)]]&gt;1, "3. High (1-2ppm)", IF(AllDataCorrected[[#This Row],[Nitrate (PPM)]]&gt;0.5, "2. Some evidence (0.5-1ppm)", IF(AllDataCorrected[[#This Row],[Nitrate (PPM)]]&gt;=0, "1. No evidence (&lt;0.5ppm)"))))</f>
        <v>4. Very high (&gt;2ppm)</v>
      </c>
      <c r="S864">
        <v>0.46</v>
      </c>
      <c r="T8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4">
        <v>0.2</v>
      </c>
    </row>
    <row r="865" spans="1:22" x14ac:dyDescent="0.35">
      <c r="A865" t="s">
        <v>1352</v>
      </c>
      <c r="B865" s="2">
        <v>45439</v>
      </c>
      <c r="C865" t="str" cm="1">
        <f t="array" ref="C8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5">
        <f>YEAR(AllDataCorrected[[#This Row],[Date]])</f>
        <v>2024</v>
      </c>
      <c r="E865" s="1">
        <v>0.4375</v>
      </c>
      <c r="F8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5" t="str">
        <f>_xlfn.XLOOKUP(AllDataCorrected[[#This Row],[Location Name]], Locations[Location Name],Locations[Group As])</f>
        <v>Abbey Mill</v>
      </c>
      <c r="H865" t="e" vm="4">
        <f>_xlfn.XLOOKUP(AllDataCorrected[[#This Row],[Site Name]],LocationsKey[Site Name],LocationsKey[District])</f>
        <v>#VALUE!</v>
      </c>
      <c r="I865" t="e" vm="4">
        <f>_xlfn.XLOOKUP(AllDataCorrected[[#This Row],[Site Name]],LocationsKey[Site Name],LocationsKey[Town])</f>
        <v>#VALUE!</v>
      </c>
      <c r="J865" t="str">
        <f>_xlfn.XLOOKUP(AllDataCorrected[[#This Row],[Site Name]],LocationsKey[Site Name], LocationsKey[Waterway])</f>
        <v>Avon</v>
      </c>
      <c r="K865" t="s">
        <v>27</v>
      </c>
      <c r="L865">
        <f>_xlfn.XLOOKUP(AllDataCorrected[[#This Row],[Site Name]],Tables!$B$12:$B$100, Tables!C$12:C$100)</f>
        <v>51.991313075757589</v>
      </c>
      <c r="M865">
        <f>_xlfn.XLOOKUP(AllDataCorrected[[#This Row],[Site Name]],Tables!$B$12:$B$100, Tables!D$12:D$100)</f>
        <v>-2.1621998181818181</v>
      </c>
      <c r="N865" t="s">
        <v>25</v>
      </c>
      <c r="O865">
        <v>733</v>
      </c>
      <c r="P865">
        <v>16</v>
      </c>
      <c r="Q865">
        <v>5</v>
      </c>
      <c r="R865" t="str">
        <f>IF(AllDataCorrected[[#This Row],[Nitrate (PPM)]]&gt;2, "4. Very high (&gt;2ppm)", IF(AllDataCorrected[[#This Row],[Nitrate (PPM)]]&gt;1, "3. High (1-2ppm)", IF(AllDataCorrected[[#This Row],[Nitrate (PPM)]]&gt;0.5, "2. Some evidence (0.5-1ppm)", IF(AllDataCorrected[[#This Row],[Nitrate (PPM)]]&gt;=0, "1. No evidence (&lt;0.5ppm)"))))</f>
        <v>4. Very high (&gt;2ppm)</v>
      </c>
      <c r="S865">
        <v>0.64</v>
      </c>
      <c r="T8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5">
        <v>0</v>
      </c>
    </row>
    <row r="866" spans="1:22" x14ac:dyDescent="0.35">
      <c r="A866" t="s">
        <v>1353</v>
      </c>
      <c r="B866" s="2">
        <v>45439</v>
      </c>
      <c r="C866" t="str" cm="1">
        <f t="array" ref="C8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6">
        <f>YEAR(AllDataCorrected[[#This Row],[Date]])</f>
        <v>2024</v>
      </c>
      <c r="E866" s="1">
        <v>0.44166666666666665</v>
      </c>
      <c r="F8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6" t="str">
        <f>_xlfn.XLOOKUP(AllDataCorrected[[#This Row],[Location Name]], Locations[Location Name],Locations[Group As])</f>
        <v>Black Bear</v>
      </c>
      <c r="H866" t="e" vm="4">
        <f>_xlfn.XLOOKUP(AllDataCorrected[[#This Row],[Site Name]],LocationsKey[Site Name],LocationsKey[District])</f>
        <v>#VALUE!</v>
      </c>
      <c r="I866" t="e" vm="4">
        <f>_xlfn.XLOOKUP(AllDataCorrected[[#This Row],[Site Name]],LocationsKey[Site Name],LocationsKey[Town])</f>
        <v>#VALUE!</v>
      </c>
      <c r="J866" t="str">
        <f>_xlfn.XLOOKUP(AllDataCorrected[[#This Row],[Site Name]],LocationsKey[Site Name], LocationsKey[Waterway])</f>
        <v>Avon</v>
      </c>
      <c r="K866" t="s">
        <v>1175</v>
      </c>
      <c r="L866">
        <f>_xlfn.XLOOKUP(AllDataCorrected[[#This Row],[Site Name]],Tables!$B$12:$B$100, Tables!C$12:C$100)</f>
        <v>51.997466254237274</v>
      </c>
      <c r="M866">
        <f>_xlfn.XLOOKUP(AllDataCorrected[[#This Row],[Site Name]],Tables!$B$12:$B$100, Tables!D$12:D$100)</f>
        <v>-2.1561788644067801</v>
      </c>
      <c r="N866" t="s">
        <v>25</v>
      </c>
      <c r="O866">
        <v>694</v>
      </c>
      <c r="P866">
        <v>15.8</v>
      </c>
      <c r="Q866">
        <v>10</v>
      </c>
      <c r="R866" t="str">
        <f>IF(AllDataCorrected[[#This Row],[Nitrate (PPM)]]&gt;2, "4. Very high (&gt;2ppm)", IF(AllDataCorrected[[#This Row],[Nitrate (PPM)]]&gt;1, "3. High (1-2ppm)", IF(AllDataCorrected[[#This Row],[Nitrate (PPM)]]&gt;0.5, "2. Some evidence (0.5-1ppm)", IF(AllDataCorrected[[#This Row],[Nitrate (PPM)]]&gt;=0, "1. No evidence (&lt;0.5ppm)"))))</f>
        <v>4. Very high (&gt;2ppm)</v>
      </c>
      <c r="S866">
        <v>0.75</v>
      </c>
      <c r="T8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6">
        <v>0</v>
      </c>
    </row>
    <row r="867" spans="1:22" x14ac:dyDescent="0.35">
      <c r="A867" t="s">
        <v>1354</v>
      </c>
      <c r="B867" s="2">
        <v>45439</v>
      </c>
      <c r="C867" t="str" cm="1">
        <f t="array" ref="C8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7">
        <f>YEAR(AllDataCorrected[[#This Row],[Date]])</f>
        <v>2024</v>
      </c>
      <c r="E867" s="1">
        <v>0.44583333333333336</v>
      </c>
      <c r="F8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7" t="str">
        <f>_xlfn.XLOOKUP(AllDataCorrected[[#This Row],[Location Name]], Locations[Location Name],Locations[Group As])</f>
        <v>Stour Stretton-on-Fosse Village</v>
      </c>
      <c r="H867" t="e" vm="1">
        <f>_xlfn.XLOOKUP(AllDataCorrected[[#This Row],[Site Name]],LocationsKey[Site Name],LocationsKey[District])</f>
        <v>#VALUE!</v>
      </c>
      <c r="I867" t="e" vm="30">
        <f>_xlfn.XLOOKUP(AllDataCorrected[[#This Row],[Site Name]],LocationsKey[Site Name],LocationsKey[Town])</f>
        <v>#VALUE!</v>
      </c>
      <c r="J867" t="str">
        <f>_xlfn.XLOOKUP(AllDataCorrected[[#This Row],[Site Name]],LocationsKey[Site Name], LocationsKey[Waterway])</f>
        <v>Stour</v>
      </c>
      <c r="K867" t="s">
        <v>548</v>
      </c>
      <c r="L867">
        <f>_xlfn.XLOOKUP(AllDataCorrected[[#This Row],[Site Name]],Tables!$B$12:$B$100, Tables!C$12:C$100)</f>
        <v>52.046517558823531</v>
      </c>
      <c r="M867">
        <f>_xlfn.XLOOKUP(AllDataCorrected[[#This Row],[Site Name]],Tables!$B$12:$B$100, Tables!D$12:D$100)</f>
        <v>-1.6734143529411762</v>
      </c>
      <c r="N867" t="s">
        <v>68</v>
      </c>
      <c r="O867">
        <v>758</v>
      </c>
      <c r="P867">
        <v>13.2</v>
      </c>
      <c r="Q867">
        <v>1</v>
      </c>
      <c r="R86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867">
        <v>2.46</v>
      </c>
      <c r="T8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7">
        <v>0.15</v>
      </c>
    </row>
    <row r="868" spans="1:22" x14ac:dyDescent="0.35">
      <c r="A868" t="s">
        <v>1355</v>
      </c>
      <c r="B868" s="2">
        <v>45439</v>
      </c>
      <c r="C868" t="str" cm="1">
        <f t="array" ref="C8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8">
        <f>YEAR(AllDataCorrected[[#This Row],[Date]])</f>
        <v>2024</v>
      </c>
      <c r="E868" s="1">
        <v>0.45347222222222222</v>
      </c>
      <c r="F8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8" t="str">
        <f>_xlfn.XLOOKUP(AllDataCorrected[[#This Row],[Location Name]], Locations[Location Name],Locations[Group As])</f>
        <v>Stour Stretton-on-Fosse Sewage Works</v>
      </c>
      <c r="H868" t="e" vm="1">
        <f>_xlfn.XLOOKUP(AllDataCorrected[[#This Row],[Site Name]],LocationsKey[Site Name],LocationsKey[District])</f>
        <v>#VALUE!</v>
      </c>
      <c r="I868" t="e" vm="30">
        <f>_xlfn.XLOOKUP(AllDataCorrected[[#This Row],[Site Name]],LocationsKey[Site Name],LocationsKey[Town])</f>
        <v>#VALUE!</v>
      </c>
      <c r="J868" t="str">
        <f>_xlfn.XLOOKUP(AllDataCorrected[[#This Row],[Site Name]],LocationsKey[Site Name], LocationsKey[Waterway])</f>
        <v>Stour</v>
      </c>
      <c r="K868" t="s">
        <v>337</v>
      </c>
      <c r="L868">
        <f>_xlfn.XLOOKUP(AllDataCorrected[[#This Row],[Site Name]],Tables!$B$12:$B$100, Tables!C$12:C$100)</f>
        <v>52.045653647058828</v>
      </c>
      <c r="M868">
        <f>_xlfn.XLOOKUP(AllDataCorrected[[#This Row],[Site Name]],Tables!$B$12:$B$100, Tables!D$12:D$100)</f>
        <v>-1.6719221470588239</v>
      </c>
      <c r="N868" t="s">
        <v>31</v>
      </c>
      <c r="O868">
        <v>789</v>
      </c>
      <c r="P868">
        <v>13.8</v>
      </c>
      <c r="Q868">
        <v>1</v>
      </c>
      <c r="R868"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868">
        <v>2.5</v>
      </c>
      <c r="T8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68">
        <v>0.25</v>
      </c>
      <c r="V868" t="s">
        <v>1356</v>
      </c>
    </row>
    <row r="869" spans="1:22" x14ac:dyDescent="0.35">
      <c r="A869" t="s">
        <v>1357</v>
      </c>
      <c r="B869" s="2">
        <v>45440</v>
      </c>
      <c r="C869" t="str" cm="1">
        <f t="array" ref="C8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69">
        <f>YEAR(AllDataCorrected[[#This Row],[Date]])</f>
        <v>2024</v>
      </c>
      <c r="E869" s="1">
        <v>0.41666666666666669</v>
      </c>
      <c r="F8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69" t="str">
        <f>_xlfn.XLOOKUP(AllDataCorrected[[#This Row],[Location Name]], Locations[Location Name],Locations[Group As])</f>
        <v>The Ford, Langley</v>
      </c>
      <c r="H869" t="e" vm="1">
        <f>_xlfn.XLOOKUP(AllDataCorrected[[#This Row],[Site Name]],LocationsKey[Site Name],LocationsKey[District])</f>
        <v>#VALUE!</v>
      </c>
      <c r="I869" t="str">
        <f>_xlfn.XLOOKUP(AllDataCorrected[[#This Row],[Site Name]],LocationsKey[Site Name],LocationsKey[Town])</f>
        <v>Langley</v>
      </c>
      <c r="J869" t="str">
        <f>_xlfn.XLOOKUP(AllDataCorrected[[#This Row],[Site Name]],LocationsKey[Site Name], LocationsKey[Waterway])</f>
        <v>Langley Ford</v>
      </c>
      <c r="K869" t="s">
        <v>530</v>
      </c>
      <c r="L869">
        <f>_xlfn.XLOOKUP(AllDataCorrected[[#This Row],[Site Name]],Tables!$B$12:$B$100, Tables!C$12:C$100)</f>
        <v>52.262666528301864</v>
      </c>
      <c r="M869">
        <f>_xlfn.XLOOKUP(AllDataCorrected[[#This Row],[Site Name]],Tables!$B$12:$B$100, Tables!D$12:D$100)</f>
        <v>-1.6545845283018858</v>
      </c>
      <c r="N869" t="s">
        <v>31</v>
      </c>
      <c r="O869">
        <v>899</v>
      </c>
      <c r="P869">
        <v>16</v>
      </c>
      <c r="Q869">
        <v>5</v>
      </c>
      <c r="R869" t="str">
        <f>IF(AllDataCorrected[[#This Row],[Nitrate (PPM)]]&gt;2, "4. Very high (&gt;2ppm)", IF(AllDataCorrected[[#This Row],[Nitrate (PPM)]]&gt;1, "3. High (1-2ppm)", IF(AllDataCorrected[[#This Row],[Nitrate (PPM)]]&gt;0.5, "2. Some evidence (0.5-1ppm)", IF(AllDataCorrected[[#This Row],[Nitrate (PPM)]]&gt;=0, "1. No evidence (&lt;0.5ppm)"))))</f>
        <v>4. Very high (&gt;2ppm)</v>
      </c>
      <c r="S869">
        <v>0.44</v>
      </c>
      <c r="T8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69">
        <v>0.25</v>
      </c>
    </row>
    <row r="870" spans="1:22" x14ac:dyDescent="0.35">
      <c r="A870" t="s">
        <v>1358</v>
      </c>
      <c r="B870" s="2">
        <v>45441</v>
      </c>
      <c r="C870" t="str" cm="1">
        <f t="array" ref="C8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0">
        <f>YEAR(AllDataCorrected[[#This Row],[Date]])</f>
        <v>2024</v>
      </c>
      <c r="E870" s="1">
        <v>0.59791666666666665</v>
      </c>
      <c r="F8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0" t="str">
        <f>_xlfn.XLOOKUP(AllDataCorrected[[#This Row],[Location Name]], Locations[Location Name],Locations[Group As])</f>
        <v>Alveston Weir</v>
      </c>
      <c r="H870" t="e" vm="1">
        <f>_xlfn.XLOOKUP(AllDataCorrected[[#This Row],[Site Name]],LocationsKey[Site Name],LocationsKey[District])</f>
        <v>#VALUE!</v>
      </c>
      <c r="I870" t="e" vm="2">
        <f>_xlfn.XLOOKUP(AllDataCorrected[[#This Row],[Site Name]],LocationsKey[Site Name],LocationsKey[Town])</f>
        <v>#VALUE!</v>
      </c>
      <c r="J870" t="str">
        <f>_xlfn.XLOOKUP(AllDataCorrected[[#This Row],[Site Name]],LocationsKey[Site Name], LocationsKey[Waterway])</f>
        <v>Avon</v>
      </c>
      <c r="K870" t="s">
        <v>288</v>
      </c>
      <c r="L870">
        <f>_xlfn.XLOOKUP(AllDataCorrected[[#This Row],[Site Name]],Tables!$B$12:$B$100, Tables!C$12:C$100)</f>
        <v>52.21226301333337</v>
      </c>
      <c r="M870">
        <f>_xlfn.XLOOKUP(AllDataCorrected[[#This Row],[Site Name]],Tables!$B$12:$B$100, Tables!D$12:D$100)</f>
        <v>-1.6595226800000011</v>
      </c>
      <c r="N870" t="s">
        <v>31</v>
      </c>
      <c r="O870">
        <v>611</v>
      </c>
      <c r="P870">
        <v>17.100000000000001</v>
      </c>
      <c r="Q870">
        <v>5</v>
      </c>
      <c r="R870" t="str">
        <f>IF(AllDataCorrected[[#This Row],[Nitrate (PPM)]]&gt;2, "4. Very high (&gt;2ppm)", IF(AllDataCorrected[[#This Row],[Nitrate (PPM)]]&gt;1, "3. High (1-2ppm)", IF(AllDataCorrected[[#This Row],[Nitrate (PPM)]]&gt;0.5, "2. Some evidence (0.5-1ppm)", IF(AllDataCorrected[[#This Row],[Nitrate (PPM)]]&gt;=0, "1. No evidence (&lt;0.5ppm)"))))</f>
        <v>4. Very high (&gt;2ppm)</v>
      </c>
      <c r="S870">
        <v>0.48</v>
      </c>
      <c r="T87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0">
        <v>0.25</v>
      </c>
      <c r="V870" t="s">
        <v>1359</v>
      </c>
    </row>
    <row r="871" spans="1:22" x14ac:dyDescent="0.35">
      <c r="A871" t="s">
        <v>1360</v>
      </c>
      <c r="B871" s="2">
        <v>45441</v>
      </c>
      <c r="C871" t="str" cm="1">
        <f t="array" ref="C8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1">
        <f>YEAR(AllDataCorrected[[#This Row],[Date]])</f>
        <v>2024</v>
      </c>
      <c r="E871" s="1">
        <v>0.60277777777777775</v>
      </c>
      <c r="F8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1" t="str">
        <f>_xlfn.XLOOKUP(AllDataCorrected[[#This Row],[Location Name]], Locations[Location Name],Locations[Group As])</f>
        <v>Swiffen Bank</v>
      </c>
      <c r="H871" t="e" vm="1">
        <f>_xlfn.XLOOKUP(AllDataCorrected[[#This Row],[Site Name]],LocationsKey[Site Name],LocationsKey[District])</f>
        <v>#VALUE!</v>
      </c>
      <c r="I871" t="e" vm="2">
        <f>_xlfn.XLOOKUP(AllDataCorrected[[#This Row],[Site Name]],LocationsKey[Site Name],LocationsKey[Town])</f>
        <v>#VALUE!</v>
      </c>
      <c r="J871" t="str">
        <f>_xlfn.XLOOKUP(AllDataCorrected[[#This Row],[Site Name]],LocationsKey[Site Name], LocationsKey[Waterway])</f>
        <v>Avon</v>
      </c>
      <c r="K871" t="s">
        <v>286</v>
      </c>
      <c r="L871">
        <f>_xlfn.XLOOKUP(AllDataCorrected[[#This Row],[Site Name]],Tables!$B$12:$B$100, Tables!C$12:C$100)</f>
        <v>52.206649805555557</v>
      </c>
      <c r="M871">
        <f>_xlfn.XLOOKUP(AllDataCorrected[[#This Row],[Site Name]],Tables!$B$12:$B$100, Tables!D$12:D$100)</f>
        <v>-1.6541018611111094</v>
      </c>
      <c r="N871" t="s">
        <v>31</v>
      </c>
      <c r="O871">
        <v>631</v>
      </c>
      <c r="P871">
        <v>17.2</v>
      </c>
      <c r="Q871">
        <v>5</v>
      </c>
      <c r="R871" t="str">
        <f>IF(AllDataCorrected[[#This Row],[Nitrate (PPM)]]&gt;2, "4. Very high (&gt;2ppm)", IF(AllDataCorrected[[#This Row],[Nitrate (PPM)]]&gt;1, "3. High (1-2ppm)", IF(AllDataCorrected[[#This Row],[Nitrate (PPM)]]&gt;0.5, "2. Some evidence (0.5-1ppm)", IF(AllDataCorrected[[#This Row],[Nitrate (PPM)]]&gt;=0, "1. No evidence (&lt;0.5ppm)"))))</f>
        <v>4. Very high (&gt;2ppm)</v>
      </c>
      <c r="S871">
        <v>0.48</v>
      </c>
      <c r="T87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1">
        <v>0.25</v>
      </c>
    </row>
    <row r="872" spans="1:22" x14ac:dyDescent="0.35">
      <c r="A872" t="s">
        <v>1361</v>
      </c>
      <c r="B872" s="2">
        <v>45442</v>
      </c>
      <c r="C872" t="str" cm="1">
        <f t="array" ref="C8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2">
        <f>YEAR(AllDataCorrected[[#This Row],[Date]])</f>
        <v>2024</v>
      </c>
      <c r="E872" s="1">
        <v>0.37847222222222221</v>
      </c>
      <c r="F87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2" t="str">
        <f>_xlfn.XLOOKUP(AllDataCorrected[[#This Row],[Location Name]], Locations[Location Name],Locations[Group As])</f>
        <v>Swilgate</v>
      </c>
      <c r="H872" t="e" vm="4">
        <f>_xlfn.XLOOKUP(AllDataCorrected[[#This Row],[Site Name]],LocationsKey[Site Name],LocationsKey[District])</f>
        <v>#VALUE!</v>
      </c>
      <c r="I872" t="e" vm="4">
        <f>_xlfn.XLOOKUP(AllDataCorrected[[#This Row],[Site Name]],LocationsKey[Site Name],LocationsKey[Town])</f>
        <v>#VALUE!</v>
      </c>
      <c r="J872" t="str">
        <f>_xlfn.XLOOKUP(AllDataCorrected[[#This Row],[Site Name]],LocationsKey[Site Name], LocationsKey[Waterway])</f>
        <v>Swilgate</v>
      </c>
      <c r="K872" t="s">
        <v>85</v>
      </c>
      <c r="L872">
        <f>_xlfn.XLOOKUP(AllDataCorrected[[#This Row],[Site Name]],Tables!$B$12:$B$100, Tables!C$12:C$100)</f>
        <v>51.988591500000005</v>
      </c>
      <c r="M872">
        <f>_xlfn.XLOOKUP(AllDataCorrected[[#This Row],[Site Name]],Tables!$B$12:$B$100, Tables!D$12:D$100)</f>
        <v>-2.163898333333333</v>
      </c>
      <c r="N872" t="s">
        <v>25</v>
      </c>
      <c r="O872">
        <v>934</v>
      </c>
      <c r="P872">
        <v>15</v>
      </c>
      <c r="Q872">
        <v>4</v>
      </c>
      <c r="R872" t="str">
        <f>IF(AllDataCorrected[[#This Row],[Nitrate (PPM)]]&gt;2, "4. Very high (&gt;2ppm)", IF(AllDataCorrected[[#This Row],[Nitrate (PPM)]]&gt;1, "3. High (1-2ppm)", IF(AllDataCorrected[[#This Row],[Nitrate (PPM)]]&gt;0.5, "2. Some evidence (0.5-1ppm)", IF(AllDataCorrected[[#This Row],[Nitrate (PPM)]]&gt;=0, "1. No evidence (&lt;0.5ppm)"))))</f>
        <v>4. Very high (&gt;2ppm)</v>
      </c>
      <c r="S872">
        <v>0.48</v>
      </c>
      <c r="T87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2">
        <v>0</v>
      </c>
    </row>
    <row r="873" spans="1:22" x14ac:dyDescent="0.35">
      <c r="A873" t="s">
        <v>1362</v>
      </c>
      <c r="B873" s="2">
        <v>45442</v>
      </c>
      <c r="C873" t="str" cm="1">
        <f t="array" ref="C8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3">
        <f>YEAR(AllDataCorrected[[#This Row],[Date]])</f>
        <v>2024</v>
      </c>
      <c r="E873" s="1">
        <v>0.52083333333333337</v>
      </c>
      <c r="F8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3" t="str">
        <f>_xlfn.XLOOKUP(AllDataCorrected[[#This Row],[Location Name]], Locations[Location Name],Locations[Group As])</f>
        <v>Stour Willington</v>
      </c>
      <c r="H873" t="e" vm="1">
        <f>_xlfn.XLOOKUP(AllDataCorrected[[#This Row],[Site Name]],LocationsKey[Site Name],LocationsKey[District])</f>
        <v>#VALUE!</v>
      </c>
      <c r="I873" t="str">
        <f>_xlfn.XLOOKUP(AllDataCorrected[[#This Row],[Site Name]],LocationsKey[Site Name],LocationsKey[Town])</f>
        <v>Willington</v>
      </c>
      <c r="J873" t="str">
        <f>_xlfn.XLOOKUP(AllDataCorrected[[#This Row],[Site Name]],LocationsKey[Site Name], LocationsKey[Waterway])</f>
        <v>Stour</v>
      </c>
      <c r="K873" t="s">
        <v>521</v>
      </c>
      <c r="L873">
        <f>_xlfn.XLOOKUP(AllDataCorrected[[#This Row],[Site Name]],Tables!$B$12:$B$100, Tables!C$12:C$100)</f>
        <v>52.053227523809518</v>
      </c>
      <c r="M873">
        <f>_xlfn.XLOOKUP(AllDataCorrected[[#This Row],[Site Name]],Tables!$B$12:$B$100, Tables!D$12:D$100)</f>
        <v>-1.6194739523809523</v>
      </c>
      <c r="N873" t="s">
        <v>25</v>
      </c>
      <c r="O873">
        <v>624</v>
      </c>
      <c r="P873">
        <v>14.9</v>
      </c>
      <c r="Q873">
        <v>5</v>
      </c>
      <c r="R873" t="str">
        <f>IF(AllDataCorrected[[#This Row],[Nitrate (PPM)]]&gt;2, "4. Very high (&gt;2ppm)", IF(AllDataCorrected[[#This Row],[Nitrate (PPM)]]&gt;1, "3. High (1-2ppm)", IF(AllDataCorrected[[#This Row],[Nitrate (PPM)]]&gt;0.5, "2. Some evidence (0.5-1ppm)", IF(AllDataCorrected[[#This Row],[Nitrate (PPM)]]&gt;=0, "1. No evidence (&lt;0.5ppm)"))))</f>
        <v>4. Very high (&gt;2ppm)</v>
      </c>
      <c r="S873">
        <v>0.17</v>
      </c>
      <c r="T8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3">
        <v>0.5</v>
      </c>
    </row>
    <row r="874" spans="1:22" x14ac:dyDescent="0.35">
      <c r="A874" t="s">
        <v>1363</v>
      </c>
      <c r="B874" s="2">
        <v>45442</v>
      </c>
      <c r="C874" t="str" cm="1">
        <f t="array" ref="C8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4">
        <f>YEAR(AllDataCorrected[[#This Row],[Date]])</f>
        <v>2024</v>
      </c>
      <c r="E874" s="1">
        <v>0.78333333333333333</v>
      </c>
      <c r="F87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74" t="str">
        <f>_xlfn.XLOOKUP(AllDataCorrected[[#This Row],[Location Name]], Locations[Location Name],Locations[Group As])</f>
        <v>Preston-on-Stour River Bridge</v>
      </c>
      <c r="H874" t="e" vm="1">
        <f>_xlfn.XLOOKUP(AllDataCorrected[[#This Row],[Site Name]],LocationsKey[Site Name],LocationsKey[District])</f>
        <v>#VALUE!</v>
      </c>
      <c r="I874" t="e" vm="20">
        <f>_xlfn.XLOOKUP(AllDataCorrected[[#This Row],[Site Name]],LocationsKey[Site Name],LocationsKey[Town])</f>
        <v>#VALUE!</v>
      </c>
      <c r="J874" t="str">
        <f>_xlfn.XLOOKUP(AllDataCorrected[[#This Row],[Site Name]],LocationsKey[Site Name], LocationsKey[Waterway])</f>
        <v>Stour</v>
      </c>
      <c r="K874" t="s">
        <v>164</v>
      </c>
      <c r="L874">
        <f>_xlfn.XLOOKUP(AllDataCorrected[[#This Row],[Site Name]],Tables!$B$12:$B$100, Tables!C$12:C$100)</f>
        <v>52.146672352941174</v>
      </c>
      <c r="M874">
        <f>_xlfn.XLOOKUP(AllDataCorrected[[#This Row],[Site Name]],Tables!$B$12:$B$100, Tables!D$12:D$100)</f>
        <v>-1.6984533333333334</v>
      </c>
      <c r="N874" t="s">
        <v>31</v>
      </c>
      <c r="O874">
        <v>677</v>
      </c>
      <c r="P874">
        <v>15.1</v>
      </c>
      <c r="Q874">
        <v>7</v>
      </c>
      <c r="R874" t="str">
        <f>IF(AllDataCorrected[[#This Row],[Nitrate (PPM)]]&gt;2, "4. Very high (&gt;2ppm)", IF(AllDataCorrected[[#This Row],[Nitrate (PPM)]]&gt;1, "3. High (1-2ppm)", IF(AllDataCorrected[[#This Row],[Nitrate (PPM)]]&gt;0.5, "2. Some evidence (0.5-1ppm)", IF(AllDataCorrected[[#This Row],[Nitrate (PPM)]]&gt;=0, "1. No evidence (&lt;0.5ppm)"))))</f>
        <v>4. Very high (&gt;2ppm)</v>
      </c>
      <c r="S874">
        <v>0.22</v>
      </c>
      <c r="T8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4">
        <v>1</v>
      </c>
    </row>
    <row r="875" spans="1:22" x14ac:dyDescent="0.35">
      <c r="A875" t="s">
        <v>1364</v>
      </c>
      <c r="B875" s="2">
        <v>45443</v>
      </c>
      <c r="C875" t="str" cm="1">
        <f t="array" ref="C8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5">
        <f>YEAR(AllDataCorrected[[#This Row],[Date]])</f>
        <v>2024</v>
      </c>
      <c r="E875" s="1">
        <v>0.31944444444444442</v>
      </c>
      <c r="F8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5" t="str">
        <f>_xlfn.XLOOKUP(AllDataCorrected[[#This Row],[Location Name]], Locations[Location Name],Locations[Group As])</f>
        <v>Lower Lode</v>
      </c>
      <c r="H875" t="e" vm="4">
        <f>_xlfn.XLOOKUP(AllDataCorrected[[#This Row],[Site Name]],LocationsKey[Site Name],LocationsKey[District])</f>
        <v>#VALUE!</v>
      </c>
      <c r="I875" t="e" vm="4">
        <f>_xlfn.XLOOKUP(AllDataCorrected[[#This Row],[Site Name]],LocationsKey[Site Name],LocationsKey[Town])</f>
        <v>#VALUE!</v>
      </c>
      <c r="J875" t="str">
        <f>_xlfn.XLOOKUP(AllDataCorrected[[#This Row],[Site Name]],LocationsKey[Site Name], LocationsKey[Waterway])</f>
        <v>Avon</v>
      </c>
      <c r="K875" t="s">
        <v>595</v>
      </c>
      <c r="L875">
        <f>_xlfn.XLOOKUP(AllDataCorrected[[#This Row],[Site Name]],Tables!$B$12:$B$100, Tables!C$12:C$100)</f>
        <v>51.984916745098026</v>
      </c>
      <c r="M875">
        <f>_xlfn.XLOOKUP(AllDataCorrected[[#This Row],[Site Name]],Tables!$B$12:$B$100, Tables!D$12:D$100)</f>
        <v>-2.1745787647058821</v>
      </c>
      <c r="N875" t="s">
        <v>31</v>
      </c>
      <c r="O875">
        <v>1020</v>
      </c>
      <c r="P875">
        <v>16.8</v>
      </c>
      <c r="Q875">
        <v>10</v>
      </c>
      <c r="R875" t="str">
        <f>IF(AllDataCorrected[[#This Row],[Nitrate (PPM)]]&gt;2, "4. Very high (&gt;2ppm)", IF(AllDataCorrected[[#This Row],[Nitrate (PPM)]]&gt;1, "3. High (1-2ppm)", IF(AllDataCorrected[[#This Row],[Nitrate (PPM)]]&gt;0.5, "2. Some evidence (0.5-1ppm)", IF(AllDataCorrected[[#This Row],[Nitrate (PPM)]]&gt;=0, "1. No evidence (&lt;0.5ppm)"))))</f>
        <v>4. Very high (&gt;2ppm)</v>
      </c>
      <c r="S875">
        <v>0.5</v>
      </c>
      <c r="T8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5">
        <v>1</v>
      </c>
    </row>
    <row r="876" spans="1:22" x14ac:dyDescent="0.35">
      <c r="A876" t="s">
        <v>1365</v>
      </c>
      <c r="B876" s="2">
        <v>45443</v>
      </c>
      <c r="C876" t="str" cm="1">
        <f t="array" ref="C8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6">
        <f>YEAR(AllDataCorrected[[#This Row],[Date]])</f>
        <v>2024</v>
      </c>
      <c r="E876" s="1">
        <v>0.42638888888888887</v>
      </c>
      <c r="F8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6" t="str">
        <f>_xlfn.XLOOKUP(AllDataCorrected[[#This Row],[Location Name]], Locations[Location Name],Locations[Group As])</f>
        <v>Carrant Mitton Path</v>
      </c>
      <c r="H876" t="e" vm="4">
        <f>_xlfn.XLOOKUP(AllDataCorrected[[#This Row],[Site Name]],LocationsKey[Site Name],LocationsKey[District])</f>
        <v>#VALUE!</v>
      </c>
      <c r="I876" t="e" vm="4">
        <f>_xlfn.XLOOKUP(AllDataCorrected[[#This Row],[Site Name]],LocationsKey[Site Name],LocationsKey[Town])</f>
        <v>#VALUE!</v>
      </c>
      <c r="J876" t="str">
        <f>_xlfn.XLOOKUP(AllDataCorrected[[#This Row],[Site Name]],LocationsKey[Site Name], LocationsKey[Waterway])</f>
        <v>Carrant</v>
      </c>
      <c r="K876" t="s">
        <v>1064</v>
      </c>
      <c r="L876">
        <f>_xlfn.XLOOKUP(AllDataCorrected[[#This Row],[Site Name]],Tables!$B$12:$B$100, Tables!C$12:C$100)</f>
        <v>52.048665</v>
      </c>
      <c r="M876">
        <f>_xlfn.XLOOKUP(AllDataCorrected[[#This Row],[Site Name]],Tables!$B$12:$B$100, Tables!D$12:D$100)</f>
        <v>-1.7862663333333331</v>
      </c>
      <c r="N876" t="s">
        <v>25</v>
      </c>
      <c r="O876">
        <v>728</v>
      </c>
      <c r="P876">
        <v>14.6</v>
      </c>
      <c r="Q876">
        <v>5</v>
      </c>
      <c r="R876" t="str">
        <f>IF(AllDataCorrected[[#This Row],[Nitrate (PPM)]]&gt;2, "4. Very high (&gt;2ppm)", IF(AllDataCorrected[[#This Row],[Nitrate (PPM)]]&gt;1, "3. High (1-2ppm)", IF(AllDataCorrected[[#This Row],[Nitrate (PPM)]]&gt;0.5, "2. Some evidence (0.5-1ppm)", IF(AllDataCorrected[[#This Row],[Nitrate (PPM)]]&gt;=0, "1. No evidence (&lt;0.5ppm)"))))</f>
        <v>4. Very high (&gt;2ppm)</v>
      </c>
      <c r="S876">
        <v>1.27</v>
      </c>
      <c r="T8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6">
        <v>0</v>
      </c>
    </row>
    <row r="877" spans="1:22" x14ac:dyDescent="0.35">
      <c r="A877" t="s">
        <v>1366</v>
      </c>
      <c r="B877" s="2">
        <v>45443</v>
      </c>
      <c r="C877" t="str" cm="1">
        <f t="array" ref="C8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7">
        <f>YEAR(AllDataCorrected[[#This Row],[Date]])</f>
        <v>2024</v>
      </c>
      <c r="E877" s="1">
        <v>0.43958333333333333</v>
      </c>
      <c r="F8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7" t="str">
        <f>_xlfn.XLOOKUP(AllDataCorrected[[#This Row],[Location Name]], Locations[Location Name],Locations[Group As])</f>
        <v>Carrant M5 Bridge</v>
      </c>
      <c r="H877" t="e" vm="4">
        <f>_xlfn.XLOOKUP(AllDataCorrected[[#This Row],[Site Name]],LocationsKey[Site Name],LocationsKey[District])</f>
        <v>#VALUE!</v>
      </c>
      <c r="I877" t="e" vm="4">
        <f>_xlfn.XLOOKUP(AllDataCorrected[[#This Row],[Site Name]],LocationsKey[Site Name],LocationsKey[Town])</f>
        <v>#VALUE!</v>
      </c>
      <c r="J877" t="str">
        <f>_xlfn.XLOOKUP(AllDataCorrected[[#This Row],[Site Name]],LocationsKey[Site Name], LocationsKey[Waterway])</f>
        <v>Carrant</v>
      </c>
      <c r="K877" t="s">
        <v>1066</v>
      </c>
      <c r="L877">
        <f>_xlfn.XLOOKUP(AllDataCorrected[[#This Row],[Site Name]],Tables!$B$12:$B$100, Tables!C$12:C$100)</f>
        <v>52.012994652173923</v>
      </c>
      <c r="M877">
        <f>_xlfn.XLOOKUP(AllDataCorrected[[#This Row],[Site Name]],Tables!$B$12:$B$100, Tables!D$12:D$100)</f>
        <v>-2.1224405652173912</v>
      </c>
      <c r="N877" t="s">
        <v>25</v>
      </c>
      <c r="O877">
        <v>783</v>
      </c>
      <c r="P877">
        <v>14.8</v>
      </c>
      <c r="Q877">
        <v>5</v>
      </c>
      <c r="R877" t="str">
        <f>IF(AllDataCorrected[[#This Row],[Nitrate (PPM)]]&gt;2, "4. Very high (&gt;2ppm)", IF(AllDataCorrected[[#This Row],[Nitrate (PPM)]]&gt;1, "3. High (1-2ppm)", IF(AllDataCorrected[[#This Row],[Nitrate (PPM)]]&gt;0.5, "2. Some evidence (0.5-1ppm)", IF(AllDataCorrected[[#This Row],[Nitrate (PPM)]]&gt;=0, "1. No evidence (&lt;0.5ppm)"))))</f>
        <v>4. Very high (&gt;2ppm)</v>
      </c>
      <c r="S877">
        <v>0.5</v>
      </c>
      <c r="T8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77">
        <v>0</v>
      </c>
    </row>
    <row r="878" spans="1:22" x14ac:dyDescent="0.35">
      <c r="A878" t="s">
        <v>1367</v>
      </c>
      <c r="B878" s="2">
        <v>45443</v>
      </c>
      <c r="C878" t="str" cm="1">
        <f t="array" ref="C8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Spring</v>
      </c>
      <c r="D878">
        <f>YEAR(AllDataCorrected[[#This Row],[Date]])</f>
        <v>2024</v>
      </c>
      <c r="E878" s="1">
        <v>0.625</v>
      </c>
      <c r="F87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78" t="str">
        <f>_xlfn.XLOOKUP(AllDataCorrected[[#This Row],[Location Name]], Locations[Location Name],Locations[Group As])</f>
        <v>Mill Bridge Peopleton</v>
      </c>
      <c r="H878" t="e" vm="6">
        <f>_xlfn.XLOOKUP(AllDataCorrected[[#This Row],[Site Name]],LocationsKey[Site Name],LocationsKey[District])</f>
        <v>#VALUE!</v>
      </c>
      <c r="I878" t="str">
        <f>_xlfn.XLOOKUP(AllDataCorrected[[#This Row],[Site Name]],LocationsKey[Site Name],LocationsKey[Town])</f>
        <v>Peopleton</v>
      </c>
      <c r="J878" t="str">
        <f>_xlfn.XLOOKUP(AllDataCorrected[[#This Row],[Site Name]],LocationsKey[Site Name], LocationsKey[Waterway])</f>
        <v>Bow Brook</v>
      </c>
      <c r="K878" t="s">
        <v>915</v>
      </c>
      <c r="L878">
        <f>_xlfn.XLOOKUP(AllDataCorrected[[#This Row],[Site Name]],Tables!$B$12:$B$100, Tables!C$12:C$100)</f>
        <v>52.151811999999993</v>
      </c>
      <c r="M878">
        <f>_xlfn.XLOOKUP(AllDataCorrected[[#This Row],[Site Name]],Tables!$B$12:$B$100, Tables!D$12:D$100)</f>
        <v>-2.0958865161290317</v>
      </c>
      <c r="N878" t="s">
        <v>31</v>
      </c>
      <c r="O878">
        <v>989</v>
      </c>
      <c r="P878">
        <v>16</v>
      </c>
      <c r="Q878">
        <v>5</v>
      </c>
      <c r="R878" t="str">
        <f>IF(AllDataCorrected[[#This Row],[Nitrate (PPM)]]&gt;2, "4. Very high (&gt;2ppm)", IF(AllDataCorrected[[#This Row],[Nitrate (PPM)]]&gt;1, "3. High (1-2ppm)", IF(AllDataCorrected[[#This Row],[Nitrate (PPM)]]&gt;0.5, "2. Some evidence (0.5-1ppm)", IF(AllDataCorrected[[#This Row],[Nitrate (PPM)]]&gt;=0, "1. No evidence (&lt;0.5ppm)"))))</f>
        <v>4. Very high (&gt;2ppm)</v>
      </c>
      <c r="S878">
        <v>1.93</v>
      </c>
      <c r="T8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8">
        <v>0.6</v>
      </c>
    </row>
    <row r="879" spans="1:22" x14ac:dyDescent="0.35">
      <c r="A879" t="s">
        <v>1368</v>
      </c>
      <c r="B879" s="2">
        <v>45444</v>
      </c>
      <c r="C879" t="str" cm="1">
        <f t="array" ref="C8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79">
        <f>YEAR(AllDataCorrected[[#This Row],[Date]])</f>
        <v>2024</v>
      </c>
      <c r="E879" s="1">
        <v>0.43055555555555558</v>
      </c>
      <c r="F8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79" t="str">
        <f>_xlfn.XLOOKUP(AllDataCorrected[[#This Row],[Location Name]], Locations[Location Name],Locations[Group As])</f>
        <v>Avon Smiths Meadow Wyre Piddle</v>
      </c>
      <c r="H879" t="e" vm="6">
        <f>_xlfn.XLOOKUP(AllDataCorrected[[#This Row],[Site Name]],LocationsKey[Site Name],LocationsKey[District])</f>
        <v>#VALUE!</v>
      </c>
      <c r="I879" t="e" vm="13">
        <f>_xlfn.XLOOKUP(AllDataCorrected[[#This Row],[Site Name]],LocationsKey[Site Name],LocationsKey[Town])</f>
        <v>#VALUE!</v>
      </c>
      <c r="J879" t="str">
        <f>_xlfn.XLOOKUP(AllDataCorrected[[#This Row],[Site Name]],LocationsKey[Site Name], LocationsKey[Waterway])</f>
        <v>Avon</v>
      </c>
      <c r="K879" t="s">
        <v>784</v>
      </c>
      <c r="L879">
        <f>_xlfn.XLOOKUP(AllDataCorrected[[#This Row],[Site Name]],Tables!$B$12:$B$100, Tables!C$12:C$100)</f>
        <v>52.123126101694929</v>
      </c>
      <c r="M879">
        <f>_xlfn.XLOOKUP(AllDataCorrected[[#This Row],[Site Name]],Tables!$B$12:$B$100, Tables!D$12:D$100)</f>
        <v>-2.0572511355932215</v>
      </c>
      <c r="N879" t="s">
        <v>25</v>
      </c>
      <c r="O879">
        <v>835</v>
      </c>
      <c r="P879">
        <v>15.6</v>
      </c>
      <c r="Q879">
        <v>5</v>
      </c>
      <c r="R879" t="str">
        <f>IF(AllDataCorrected[[#This Row],[Nitrate (PPM)]]&gt;2, "4. Very high (&gt;2ppm)", IF(AllDataCorrected[[#This Row],[Nitrate (PPM)]]&gt;1, "3. High (1-2ppm)", IF(AllDataCorrected[[#This Row],[Nitrate (PPM)]]&gt;0.5, "2. Some evidence (0.5-1ppm)", IF(AllDataCorrected[[#This Row],[Nitrate (PPM)]]&gt;=0, "1. No evidence (&lt;0.5ppm)"))))</f>
        <v>4. Very high (&gt;2ppm)</v>
      </c>
      <c r="S879">
        <v>0.61</v>
      </c>
      <c r="T8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79">
        <v>0.65</v>
      </c>
      <c r="V879" t="s">
        <v>1369</v>
      </c>
    </row>
    <row r="880" spans="1:22" x14ac:dyDescent="0.35">
      <c r="A880" t="s">
        <v>1370</v>
      </c>
      <c r="B880" s="2">
        <v>45444</v>
      </c>
      <c r="C880" t="str" cm="1">
        <f t="array" ref="C8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0">
        <f>YEAR(AllDataCorrected[[#This Row],[Date]])</f>
        <v>2024</v>
      </c>
      <c r="E880" s="1">
        <v>0.45833333333333331</v>
      </c>
      <c r="F8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0" t="str">
        <f>_xlfn.XLOOKUP(AllDataCorrected[[#This Row],[Location Name]], Locations[Location Name],Locations[Group As])</f>
        <v>Piddle Brook Wyre Piddle Bridge</v>
      </c>
      <c r="H880" t="e" vm="6">
        <f>_xlfn.XLOOKUP(AllDataCorrected[[#This Row],[Site Name]],LocationsKey[Site Name],LocationsKey[District])</f>
        <v>#VALUE!</v>
      </c>
      <c r="I880" t="e" vm="13">
        <f>_xlfn.XLOOKUP(AllDataCorrected[[#This Row],[Site Name]],LocationsKey[Site Name],LocationsKey[Town])</f>
        <v>#VALUE!</v>
      </c>
      <c r="J880" t="str">
        <f>_xlfn.XLOOKUP(AllDataCorrected[[#This Row],[Site Name]],LocationsKey[Site Name], LocationsKey[Waterway])</f>
        <v>Piddle Brook</v>
      </c>
      <c r="K880" t="s">
        <v>787</v>
      </c>
      <c r="L880">
        <f>_xlfn.XLOOKUP(AllDataCorrected[[#This Row],[Site Name]],Tables!$B$12:$B$100, Tables!C$12:C$100)</f>
        <v>52.126394500000039</v>
      </c>
      <c r="M880">
        <f>_xlfn.XLOOKUP(AllDataCorrected[[#This Row],[Site Name]],Tables!$B$12:$B$100, Tables!D$12:D$100)</f>
        <v>-2.0564211206896545</v>
      </c>
      <c r="N880" t="s">
        <v>25</v>
      </c>
      <c r="O880">
        <v>1310</v>
      </c>
      <c r="P880">
        <v>13.8</v>
      </c>
      <c r="Q880">
        <v>5</v>
      </c>
      <c r="R880" t="str">
        <f>IF(AllDataCorrected[[#This Row],[Nitrate (PPM)]]&gt;2, "4. Very high (&gt;2ppm)", IF(AllDataCorrected[[#This Row],[Nitrate (PPM)]]&gt;1, "3. High (1-2ppm)", IF(AllDataCorrected[[#This Row],[Nitrate (PPM)]]&gt;0.5, "2. Some evidence (0.5-1ppm)", IF(AllDataCorrected[[#This Row],[Nitrate (PPM)]]&gt;=0, "1. No evidence (&lt;0.5ppm)"))))</f>
        <v>4. Very high (&gt;2ppm)</v>
      </c>
      <c r="S880">
        <v>0.78</v>
      </c>
      <c r="T8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0">
        <v>0.21</v>
      </c>
      <c r="V880" t="s">
        <v>1371</v>
      </c>
    </row>
    <row r="881" spans="1:22" x14ac:dyDescent="0.35">
      <c r="A881" t="s">
        <v>1372</v>
      </c>
      <c r="B881" s="2">
        <v>45444</v>
      </c>
      <c r="C881" t="str" cm="1">
        <f t="array" ref="C8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1">
        <f>YEAR(AllDataCorrected[[#This Row],[Date]])</f>
        <v>2024</v>
      </c>
      <c r="F8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1" t="str">
        <f>_xlfn.XLOOKUP(AllDataCorrected[[#This Row],[Location Name]], Locations[Location Name],Locations[Group As])</f>
        <v>Site 1  :  Middle Street</v>
      </c>
      <c r="H881" t="e" vm="1">
        <f>_xlfn.XLOOKUP(AllDataCorrected[[#This Row],[Site Name]],LocationsKey[Site Name],LocationsKey[District])</f>
        <v>#VALUE!</v>
      </c>
      <c r="I881" t="e" vm="14">
        <f>_xlfn.XLOOKUP(AllDataCorrected[[#This Row],[Site Name]],LocationsKey[Site Name],LocationsKey[Town])</f>
        <v>#VALUE!</v>
      </c>
      <c r="J881" t="str">
        <f>_xlfn.XLOOKUP(AllDataCorrected[[#This Row],[Site Name]],LocationsKey[Site Name], LocationsKey[Waterway])</f>
        <v>Fosseway Brook</v>
      </c>
      <c r="K881" t="s">
        <v>667</v>
      </c>
      <c r="L881">
        <f>_xlfn.XLOOKUP(AllDataCorrected[[#This Row],[Site Name]],Tables!$B$12:$B$100, Tables!C$12:C$100)</f>
        <v>52.090081855670022</v>
      </c>
      <c r="M881">
        <f>_xlfn.XLOOKUP(AllDataCorrected[[#This Row],[Site Name]],Tables!$B$12:$B$100, Tables!D$12:D$100)</f>
        <v>-1.6925771134020597</v>
      </c>
      <c r="N881" t="s">
        <v>68</v>
      </c>
      <c r="O881">
        <v>585</v>
      </c>
      <c r="P881">
        <v>15.4</v>
      </c>
      <c r="Q881">
        <v>2</v>
      </c>
      <c r="R881" t="str">
        <f>IF(AllDataCorrected[[#This Row],[Nitrate (PPM)]]&gt;2, "4. Very high (&gt;2ppm)", IF(AllDataCorrected[[#This Row],[Nitrate (PPM)]]&gt;1, "3. High (1-2ppm)", IF(AllDataCorrected[[#This Row],[Nitrate (PPM)]]&gt;0.5, "2. Some evidence (0.5-1ppm)", IF(AllDataCorrected[[#This Row],[Nitrate (PPM)]]&gt;=0, "1. No evidence (&lt;0.5ppm)"))))</f>
        <v>3. High (1-2ppm)</v>
      </c>
      <c r="S881">
        <v>0.41</v>
      </c>
      <c r="T8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1">
        <v>0</v>
      </c>
      <c r="V881" t="s">
        <v>1373</v>
      </c>
    </row>
    <row r="882" spans="1:22" x14ac:dyDescent="0.35">
      <c r="A882" t="s">
        <v>1374</v>
      </c>
      <c r="B882" s="2">
        <v>45444</v>
      </c>
      <c r="C882" t="str" cm="1">
        <f t="array" ref="C8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2">
        <f>YEAR(AllDataCorrected[[#This Row],[Date]])</f>
        <v>2024</v>
      </c>
      <c r="F88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2" t="str">
        <f>_xlfn.XLOOKUP(AllDataCorrected[[#This Row],[Location Name]], Locations[Location Name],Locations[Group As])</f>
        <v>Site 1  :  Middle Street</v>
      </c>
      <c r="H882" t="e" vm="1">
        <f>_xlfn.XLOOKUP(AllDataCorrected[[#This Row],[Site Name]],LocationsKey[Site Name],LocationsKey[District])</f>
        <v>#VALUE!</v>
      </c>
      <c r="I882" t="e" vm="14">
        <f>_xlfn.XLOOKUP(AllDataCorrected[[#This Row],[Site Name]],LocationsKey[Site Name],LocationsKey[Town])</f>
        <v>#VALUE!</v>
      </c>
      <c r="J882" t="str">
        <f>_xlfn.XLOOKUP(AllDataCorrected[[#This Row],[Site Name]],LocationsKey[Site Name], LocationsKey[Waterway])</f>
        <v>Fosseway Brook</v>
      </c>
      <c r="K882" t="s">
        <v>670</v>
      </c>
      <c r="L882">
        <f>_xlfn.XLOOKUP(AllDataCorrected[[#This Row],[Site Name]],Tables!$B$12:$B$100, Tables!C$12:C$100)</f>
        <v>52.090081855670022</v>
      </c>
      <c r="M882">
        <f>_xlfn.XLOOKUP(AllDataCorrected[[#This Row],[Site Name]],Tables!$B$12:$B$100, Tables!D$12:D$100)</f>
        <v>-1.6925771134020597</v>
      </c>
      <c r="N882" t="s">
        <v>68</v>
      </c>
      <c r="O882">
        <v>585</v>
      </c>
      <c r="P882">
        <v>15.4</v>
      </c>
      <c r="Q882">
        <v>2</v>
      </c>
      <c r="R882" t="str">
        <f>IF(AllDataCorrected[[#This Row],[Nitrate (PPM)]]&gt;2, "4. Very high (&gt;2ppm)", IF(AllDataCorrected[[#This Row],[Nitrate (PPM)]]&gt;1, "3. High (1-2ppm)", IF(AllDataCorrected[[#This Row],[Nitrate (PPM)]]&gt;0.5, "2. Some evidence (0.5-1ppm)", IF(AllDataCorrected[[#This Row],[Nitrate (PPM)]]&gt;=0, "1. No evidence (&lt;0.5ppm)"))))</f>
        <v>3. High (1-2ppm)</v>
      </c>
      <c r="S882">
        <v>0.41</v>
      </c>
      <c r="T88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882" t="s">
        <v>1375</v>
      </c>
    </row>
    <row r="883" spans="1:22" x14ac:dyDescent="0.35">
      <c r="A883" t="s">
        <v>1376</v>
      </c>
      <c r="B883" s="2">
        <v>45444</v>
      </c>
      <c r="C883" t="str" cm="1">
        <f t="array" ref="C8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3">
        <f>YEAR(AllDataCorrected[[#This Row],[Date]])</f>
        <v>2024</v>
      </c>
      <c r="F88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3" t="str">
        <f>_xlfn.XLOOKUP(AllDataCorrected[[#This Row],[Location Name]], Locations[Location Name],Locations[Group As])</f>
        <v>Site 2  :  Cross Leys culvert</v>
      </c>
      <c r="H883" t="e" vm="1">
        <f>_xlfn.XLOOKUP(AllDataCorrected[[#This Row],[Site Name]],LocationsKey[Site Name],LocationsKey[District])</f>
        <v>#VALUE!</v>
      </c>
      <c r="I883" t="e" vm="14">
        <f>_xlfn.XLOOKUP(AllDataCorrected[[#This Row],[Site Name]],LocationsKey[Site Name],LocationsKey[Town])</f>
        <v>#VALUE!</v>
      </c>
      <c r="J883" t="str">
        <f>_xlfn.XLOOKUP(AllDataCorrected[[#This Row],[Site Name]],LocationsKey[Site Name], LocationsKey[Waterway])</f>
        <v>Fosseway Brook</v>
      </c>
      <c r="K883" t="s">
        <v>623</v>
      </c>
      <c r="L883">
        <f>_xlfn.XLOOKUP(AllDataCorrected[[#This Row],[Site Name]],Tables!$B$12:$B$100, Tables!C$12:C$100)</f>
        <v>52.092997354838673</v>
      </c>
      <c r="M883">
        <f>_xlfn.XLOOKUP(AllDataCorrected[[#This Row],[Site Name]],Tables!$B$12:$B$100, Tables!D$12:D$100)</f>
        <v>-1.6862254516129045</v>
      </c>
      <c r="N883" t="s">
        <v>68</v>
      </c>
      <c r="O883">
        <v>627</v>
      </c>
      <c r="P883">
        <v>14.6</v>
      </c>
      <c r="Q883">
        <v>2</v>
      </c>
      <c r="R883" t="str">
        <f>IF(AllDataCorrected[[#This Row],[Nitrate (PPM)]]&gt;2, "4. Very high (&gt;2ppm)", IF(AllDataCorrected[[#This Row],[Nitrate (PPM)]]&gt;1, "3. High (1-2ppm)", IF(AllDataCorrected[[#This Row],[Nitrate (PPM)]]&gt;0.5, "2. Some evidence (0.5-1ppm)", IF(AllDataCorrected[[#This Row],[Nitrate (PPM)]]&gt;=0, "1. No evidence (&lt;0.5ppm)"))))</f>
        <v>3. High (1-2ppm)</v>
      </c>
      <c r="S883">
        <v>0.38</v>
      </c>
      <c r="T88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3">
        <v>0</v>
      </c>
      <c r="V883" t="s">
        <v>1377</v>
      </c>
    </row>
    <row r="884" spans="1:22" x14ac:dyDescent="0.35">
      <c r="A884" t="s">
        <v>1378</v>
      </c>
      <c r="B884" s="2">
        <v>45444</v>
      </c>
      <c r="C884" t="str" cm="1">
        <f t="array" ref="C8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4">
        <f>YEAR(AllDataCorrected[[#This Row],[Date]])</f>
        <v>2024</v>
      </c>
      <c r="F88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4" t="str">
        <f>_xlfn.XLOOKUP(AllDataCorrected[[#This Row],[Location Name]], Locations[Location Name],Locations[Group As])</f>
        <v>Site 2  :  Cross Leys culvert</v>
      </c>
      <c r="H884" t="e" vm="1">
        <f>_xlfn.XLOOKUP(AllDataCorrected[[#This Row],[Site Name]],LocationsKey[Site Name],LocationsKey[District])</f>
        <v>#VALUE!</v>
      </c>
      <c r="I884" t="e" vm="14">
        <f>_xlfn.XLOOKUP(AllDataCorrected[[#This Row],[Site Name]],LocationsKey[Site Name],LocationsKey[Town])</f>
        <v>#VALUE!</v>
      </c>
      <c r="J884" t="str">
        <f>_xlfn.XLOOKUP(AllDataCorrected[[#This Row],[Site Name]],LocationsKey[Site Name], LocationsKey[Waterway])</f>
        <v>Fosseway Brook</v>
      </c>
      <c r="K884" t="s">
        <v>626</v>
      </c>
      <c r="L884">
        <f>_xlfn.XLOOKUP(AllDataCorrected[[#This Row],[Site Name]],Tables!$B$12:$B$100, Tables!C$12:C$100)</f>
        <v>52.092997354838673</v>
      </c>
      <c r="M884">
        <f>_xlfn.XLOOKUP(AllDataCorrected[[#This Row],[Site Name]],Tables!$B$12:$B$100, Tables!D$12:D$100)</f>
        <v>-1.6862254516129045</v>
      </c>
      <c r="N884" t="s">
        <v>68</v>
      </c>
      <c r="O884">
        <v>627</v>
      </c>
      <c r="P884">
        <v>14.6</v>
      </c>
      <c r="Q884">
        <v>2</v>
      </c>
      <c r="R884" t="str">
        <f>IF(AllDataCorrected[[#This Row],[Nitrate (PPM)]]&gt;2, "4. Very high (&gt;2ppm)", IF(AllDataCorrected[[#This Row],[Nitrate (PPM)]]&gt;1, "3. High (1-2ppm)", IF(AllDataCorrected[[#This Row],[Nitrate (PPM)]]&gt;0.5, "2. Some evidence (0.5-1ppm)", IF(AllDataCorrected[[#This Row],[Nitrate (PPM)]]&gt;=0, "1. No evidence (&lt;0.5ppm)"))))</f>
        <v>3. High (1-2ppm)</v>
      </c>
      <c r="S884">
        <v>0.38</v>
      </c>
      <c r="T88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885" spans="1:22" x14ac:dyDescent="0.35">
      <c r="A885" t="s">
        <v>1379</v>
      </c>
      <c r="B885" s="2">
        <v>45444</v>
      </c>
      <c r="C885" t="str" cm="1">
        <f t="array" ref="C8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5">
        <f>YEAR(AllDataCorrected[[#This Row],[Date]])</f>
        <v>2024</v>
      </c>
      <c r="F88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5" t="str">
        <f>_xlfn.XLOOKUP(AllDataCorrected[[#This Row],[Location Name]], Locations[Location Name],Locations[Group As])</f>
        <v>Site 3  :  Severn Trent Water processing plant outflow</v>
      </c>
      <c r="H885" t="e" vm="1">
        <f>_xlfn.XLOOKUP(AllDataCorrected[[#This Row],[Site Name]],LocationsKey[Site Name],LocationsKey[District])</f>
        <v>#VALUE!</v>
      </c>
      <c r="I885" t="e" vm="14">
        <f>_xlfn.XLOOKUP(AllDataCorrected[[#This Row],[Site Name]],LocationsKey[Site Name],LocationsKey[Town])</f>
        <v>#VALUE!</v>
      </c>
      <c r="J885" t="str">
        <f>_xlfn.XLOOKUP(AllDataCorrected[[#This Row],[Site Name]],LocationsKey[Site Name], LocationsKey[Waterway])</f>
        <v>Fosseway Brook</v>
      </c>
      <c r="K885" t="s">
        <v>673</v>
      </c>
      <c r="L885">
        <f>_xlfn.XLOOKUP(AllDataCorrected[[#This Row],[Site Name]],Tables!$B$12:$B$100, Tables!C$12:C$100)</f>
        <v>52.130499999999998</v>
      </c>
      <c r="M885">
        <f>_xlfn.XLOOKUP(AllDataCorrected[[#This Row],[Site Name]],Tables!$B$12:$B$100, Tables!D$12:D$100)</f>
        <v>-2.0787</v>
      </c>
      <c r="N885" t="s">
        <v>31</v>
      </c>
      <c r="O885">
        <v>839</v>
      </c>
      <c r="P885">
        <v>15</v>
      </c>
      <c r="Q885">
        <v>8</v>
      </c>
      <c r="R885" t="str">
        <f>IF(AllDataCorrected[[#This Row],[Nitrate (PPM)]]&gt;2, "4. Very high (&gt;2ppm)", IF(AllDataCorrected[[#This Row],[Nitrate (PPM)]]&gt;1, "3. High (1-2ppm)", IF(AllDataCorrected[[#This Row],[Nitrate (PPM)]]&gt;0.5, "2. Some evidence (0.5-1ppm)", IF(AllDataCorrected[[#This Row],[Nitrate (PPM)]]&gt;=0, "1. No evidence (&lt;0.5ppm)"))))</f>
        <v>4. Very high (&gt;2ppm)</v>
      </c>
      <c r="S885">
        <v>2.5</v>
      </c>
      <c r="T8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85">
        <v>0</v>
      </c>
      <c r="V885" t="s">
        <v>1380</v>
      </c>
    </row>
    <row r="886" spans="1:22" x14ac:dyDescent="0.35">
      <c r="A886" t="s">
        <v>1381</v>
      </c>
      <c r="B886" s="2">
        <v>45444</v>
      </c>
      <c r="C886" t="str" cm="1">
        <f t="array" ref="C8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6">
        <f>YEAR(AllDataCorrected[[#This Row],[Date]])</f>
        <v>2024</v>
      </c>
      <c r="F88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886" t="str">
        <f>_xlfn.XLOOKUP(AllDataCorrected[[#This Row],[Location Name]], Locations[Location Name],Locations[Group As])</f>
        <v>Site 3  :  Severn Trent Water processing plant outflow</v>
      </c>
      <c r="H886" t="e" vm="1">
        <f>_xlfn.XLOOKUP(AllDataCorrected[[#This Row],[Site Name]],LocationsKey[Site Name],LocationsKey[District])</f>
        <v>#VALUE!</v>
      </c>
      <c r="I886" t="e" vm="14">
        <f>_xlfn.XLOOKUP(AllDataCorrected[[#This Row],[Site Name]],LocationsKey[Site Name],LocationsKey[Town])</f>
        <v>#VALUE!</v>
      </c>
      <c r="J886" t="str">
        <f>_xlfn.XLOOKUP(AllDataCorrected[[#This Row],[Site Name]],LocationsKey[Site Name], LocationsKey[Waterway])</f>
        <v>Fosseway Brook</v>
      </c>
      <c r="K886" t="s">
        <v>676</v>
      </c>
      <c r="L886">
        <f>_xlfn.XLOOKUP(AllDataCorrected[[#This Row],[Site Name]],Tables!$B$12:$B$100, Tables!C$12:C$100)</f>
        <v>52.130499999999998</v>
      </c>
      <c r="M886">
        <f>_xlfn.XLOOKUP(AllDataCorrected[[#This Row],[Site Name]],Tables!$B$12:$B$100, Tables!D$12:D$100)</f>
        <v>-2.0787</v>
      </c>
      <c r="N886" t="s">
        <v>31</v>
      </c>
      <c r="O886">
        <v>839</v>
      </c>
      <c r="P886">
        <v>15</v>
      </c>
      <c r="Q886">
        <v>8</v>
      </c>
      <c r="R886" t="str">
        <f>IF(AllDataCorrected[[#This Row],[Nitrate (PPM)]]&gt;2, "4. Very high (&gt;2ppm)", IF(AllDataCorrected[[#This Row],[Nitrate (PPM)]]&gt;1, "3. High (1-2ppm)", IF(AllDataCorrected[[#This Row],[Nitrate (PPM)]]&gt;0.5, "2. Some evidence (0.5-1ppm)", IF(AllDataCorrected[[#This Row],[Nitrate (PPM)]]&gt;=0, "1. No evidence (&lt;0.5ppm)"))))</f>
        <v>4. Very high (&gt;2ppm)</v>
      </c>
      <c r="S886">
        <v>2.5</v>
      </c>
      <c r="T8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887" spans="1:22" x14ac:dyDescent="0.35">
      <c r="A887" t="s">
        <v>1384</v>
      </c>
      <c r="B887" s="2">
        <v>45445</v>
      </c>
      <c r="C887" t="str" cm="1">
        <f t="array" ref="C8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7">
        <f>YEAR(AllDataCorrected[[#This Row],[Date]])</f>
        <v>2024</v>
      </c>
      <c r="E887" s="1">
        <v>0.39583333333333331</v>
      </c>
      <c r="F8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7" t="str">
        <f>_xlfn.XLOOKUP(AllDataCorrected[[#This Row],[Location Name]], Locations[Location Name],Locations[Group As])</f>
        <v>Sherbourne Brook 1</v>
      </c>
      <c r="H887" t="e" vm="1">
        <f>_xlfn.XLOOKUP(AllDataCorrected[[#This Row],[Site Name]],LocationsKey[Site Name],LocationsKey[District])</f>
        <v>#VALUE!</v>
      </c>
      <c r="I887" t="e" vm="23">
        <f>_xlfn.XLOOKUP(AllDataCorrected[[#This Row],[Site Name]],LocationsKey[Site Name],LocationsKey[Town])</f>
        <v>#VALUE!</v>
      </c>
      <c r="J887" t="str">
        <f>_xlfn.XLOOKUP(AllDataCorrected[[#This Row],[Site Name]],LocationsKey[Site Name], LocationsKey[Waterway])</f>
        <v>Sherbourne Brook</v>
      </c>
      <c r="K887" t="s">
        <v>541</v>
      </c>
      <c r="L887">
        <f>_xlfn.XLOOKUP(AllDataCorrected[[#This Row],[Site Name]],Tables!$B$12:$B$100, Tables!C$12:C$100)</f>
        <v>52.252500000000033</v>
      </c>
      <c r="M887">
        <f>_xlfn.XLOOKUP(AllDataCorrected[[#This Row],[Site Name]],Tables!$B$12:$B$100, Tables!D$12:D$100)</f>
        <v>-1.6685000000000012</v>
      </c>
      <c r="N887" t="s">
        <v>25</v>
      </c>
      <c r="O887">
        <v>1090</v>
      </c>
      <c r="P887">
        <v>13.6</v>
      </c>
      <c r="Q887">
        <v>10</v>
      </c>
      <c r="R887" t="str">
        <f>IF(AllDataCorrected[[#This Row],[Nitrate (PPM)]]&gt;2, "4. Very high (&gt;2ppm)", IF(AllDataCorrected[[#This Row],[Nitrate (PPM)]]&gt;1, "3. High (1-2ppm)", IF(AllDataCorrected[[#This Row],[Nitrate (PPM)]]&gt;0.5, "2. Some evidence (0.5-1ppm)", IF(AllDataCorrected[[#This Row],[Nitrate (PPM)]]&gt;=0, "1. No evidence (&lt;0.5ppm)"))))</f>
        <v>4. Very high (&gt;2ppm)</v>
      </c>
      <c r="S887">
        <v>0.28999999999999998</v>
      </c>
      <c r="T88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7">
        <v>0.2</v>
      </c>
    </row>
    <row r="888" spans="1:22" x14ac:dyDescent="0.35">
      <c r="A888" t="s">
        <v>1385</v>
      </c>
      <c r="B888" s="2">
        <v>45445</v>
      </c>
      <c r="C888" t="str" cm="1">
        <f t="array" ref="C8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8">
        <f>YEAR(AllDataCorrected[[#This Row],[Date]])</f>
        <v>2024</v>
      </c>
      <c r="E888" s="1">
        <v>0.40625</v>
      </c>
      <c r="F8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8" t="str">
        <f>_xlfn.XLOOKUP(AllDataCorrected[[#This Row],[Location Name]], Locations[Location Name],Locations[Group As])</f>
        <v>Bell Brook 1</v>
      </c>
      <c r="H888" t="e" vm="1">
        <f>_xlfn.XLOOKUP(AllDataCorrected[[#This Row],[Site Name]],LocationsKey[Site Name],LocationsKey[District])</f>
        <v>#VALUE!</v>
      </c>
      <c r="I888" t="e" vm="19">
        <f>_xlfn.XLOOKUP(AllDataCorrected[[#This Row],[Site Name]],LocationsKey[Site Name],LocationsKey[Town])</f>
        <v>#VALUE!</v>
      </c>
      <c r="J888" t="str">
        <f>_xlfn.XLOOKUP(AllDataCorrected[[#This Row],[Site Name]],LocationsKey[Site Name], LocationsKey[Waterway])</f>
        <v>Bell Brook</v>
      </c>
      <c r="K888" t="s">
        <v>538</v>
      </c>
      <c r="L888">
        <f>_xlfn.XLOOKUP(AllDataCorrected[[#This Row],[Site Name]],Tables!$B$12:$B$100, Tables!C$12:C$100)</f>
        <v>52.24489999999998</v>
      </c>
      <c r="M888">
        <f>_xlfn.XLOOKUP(AllDataCorrected[[#This Row],[Site Name]],Tables!$B$12:$B$100, Tables!D$12:D$100)</f>
        <v>-1.6617000000000013</v>
      </c>
      <c r="N888" t="s">
        <v>25</v>
      </c>
      <c r="O888">
        <v>762</v>
      </c>
      <c r="P888">
        <v>15.4</v>
      </c>
      <c r="Q888">
        <v>4</v>
      </c>
      <c r="R888" t="str">
        <f>IF(AllDataCorrected[[#This Row],[Nitrate (PPM)]]&gt;2, "4. Very high (&gt;2ppm)", IF(AllDataCorrected[[#This Row],[Nitrate (PPM)]]&gt;1, "3. High (1-2ppm)", IF(AllDataCorrected[[#This Row],[Nitrate (PPM)]]&gt;0.5, "2. Some evidence (0.5-1ppm)", IF(AllDataCorrected[[#This Row],[Nitrate (PPM)]]&gt;=0, "1. No evidence (&lt;0.5ppm)"))))</f>
        <v>4. Very high (&gt;2ppm)</v>
      </c>
      <c r="S888">
        <v>0.48</v>
      </c>
      <c r="T8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8">
        <v>0.2</v>
      </c>
    </row>
    <row r="889" spans="1:22" x14ac:dyDescent="0.35">
      <c r="A889" t="s">
        <v>1386</v>
      </c>
      <c r="B889" s="2">
        <v>45445</v>
      </c>
      <c r="C889" t="str" cm="1">
        <f t="array" ref="C8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89">
        <f>YEAR(AllDataCorrected[[#This Row],[Date]])</f>
        <v>2024</v>
      </c>
      <c r="E889" s="1">
        <v>0.47916666666666669</v>
      </c>
      <c r="F8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89" t="str">
        <f>_xlfn.XLOOKUP(AllDataCorrected[[#This Row],[Location Name]], Locations[Location Name],Locations[Group As])</f>
        <v>Fell Mill Footbridge</v>
      </c>
      <c r="H889" t="e" vm="1">
        <f>_xlfn.XLOOKUP(AllDataCorrected[[#This Row],[Site Name]],LocationsKey[Site Name],LocationsKey[District])</f>
        <v>#VALUE!</v>
      </c>
      <c r="I889" t="e" vm="15">
        <f>_xlfn.XLOOKUP(AllDataCorrected[[#This Row],[Site Name]],LocationsKey[Site Name],LocationsKey[Town])</f>
        <v>#VALUE!</v>
      </c>
      <c r="J889" t="str">
        <f>_xlfn.XLOOKUP(AllDataCorrected[[#This Row],[Site Name]],LocationsKey[Site Name], LocationsKey[Waterway])</f>
        <v>Stour</v>
      </c>
      <c r="K889" t="s">
        <v>875</v>
      </c>
      <c r="L889">
        <f>_xlfn.XLOOKUP(AllDataCorrected[[#This Row],[Site Name]],Tables!$B$12:$B$100, Tables!C$12:C$100)</f>
        <v>52.069044372881365</v>
      </c>
      <c r="M889">
        <f>_xlfn.XLOOKUP(AllDataCorrected[[#This Row],[Site Name]],Tables!$B$12:$B$100, Tables!D$12:D$100)</f>
        <v>-1.6116270169491524</v>
      </c>
      <c r="N889" t="s">
        <v>31</v>
      </c>
      <c r="O889">
        <v>63.5</v>
      </c>
      <c r="P889">
        <v>13.8</v>
      </c>
      <c r="Q889">
        <v>10</v>
      </c>
      <c r="R889" t="str">
        <f>IF(AllDataCorrected[[#This Row],[Nitrate (PPM)]]&gt;2, "4. Very high (&gt;2ppm)", IF(AllDataCorrected[[#This Row],[Nitrate (PPM)]]&gt;1, "3. High (1-2ppm)", IF(AllDataCorrected[[#This Row],[Nitrate (PPM)]]&gt;0.5, "2. Some evidence (0.5-1ppm)", IF(AllDataCorrected[[#This Row],[Nitrate (PPM)]]&gt;=0, "1. No evidence (&lt;0.5ppm)"))))</f>
        <v>4. Very high (&gt;2ppm)</v>
      </c>
      <c r="S889">
        <v>0.37</v>
      </c>
      <c r="T8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89">
        <v>1.22</v>
      </c>
    </row>
    <row r="890" spans="1:22" x14ac:dyDescent="0.35">
      <c r="A890" t="s">
        <v>1387</v>
      </c>
      <c r="B890" s="2">
        <v>45445</v>
      </c>
      <c r="C890" t="str" cm="1">
        <f t="array" ref="C8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0">
        <f>YEAR(AllDataCorrected[[#This Row],[Date]])</f>
        <v>2024</v>
      </c>
      <c r="E890" s="1">
        <v>0.82638888888888884</v>
      </c>
      <c r="F89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90" t="str">
        <f>_xlfn.XLOOKUP(AllDataCorrected[[#This Row],[Location Name]], Locations[Location Name],Locations[Group As])</f>
        <v>Black Bear</v>
      </c>
      <c r="H890" t="e" vm="4">
        <f>_xlfn.XLOOKUP(AllDataCorrected[[#This Row],[Site Name]],LocationsKey[Site Name],LocationsKey[District])</f>
        <v>#VALUE!</v>
      </c>
      <c r="I890" t="e" vm="4">
        <f>_xlfn.XLOOKUP(AllDataCorrected[[#This Row],[Site Name]],LocationsKey[Site Name],LocationsKey[Town])</f>
        <v>#VALUE!</v>
      </c>
      <c r="J890" t="str">
        <f>_xlfn.XLOOKUP(AllDataCorrected[[#This Row],[Site Name]],LocationsKey[Site Name], LocationsKey[Waterway])</f>
        <v>Avon</v>
      </c>
      <c r="K890" t="s">
        <v>1175</v>
      </c>
      <c r="L890">
        <f>_xlfn.XLOOKUP(AllDataCorrected[[#This Row],[Site Name]],Tables!$B$12:$B$100, Tables!C$12:C$100)</f>
        <v>51.997466254237274</v>
      </c>
      <c r="M890">
        <f>_xlfn.XLOOKUP(AllDataCorrected[[#This Row],[Site Name]],Tables!$B$12:$B$100, Tables!D$12:D$100)</f>
        <v>-2.1561788644067801</v>
      </c>
      <c r="N890" t="s">
        <v>25</v>
      </c>
      <c r="O890">
        <v>904</v>
      </c>
      <c r="P890">
        <v>18</v>
      </c>
      <c r="Q890">
        <v>10</v>
      </c>
      <c r="R890" t="str">
        <f>IF(AllDataCorrected[[#This Row],[Nitrate (PPM)]]&gt;2, "4. Very high (&gt;2ppm)", IF(AllDataCorrected[[#This Row],[Nitrate (PPM)]]&gt;1, "3. High (1-2ppm)", IF(AllDataCorrected[[#This Row],[Nitrate (PPM)]]&gt;0.5, "2. Some evidence (0.5-1ppm)", IF(AllDataCorrected[[#This Row],[Nitrate (PPM)]]&gt;=0, "1. No evidence (&lt;0.5ppm)"))))</f>
        <v>4. Very high (&gt;2ppm)</v>
      </c>
      <c r="S890">
        <v>2.4900000000000002</v>
      </c>
      <c r="T8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0">
        <v>0</v>
      </c>
    </row>
    <row r="891" spans="1:22" x14ac:dyDescent="0.35">
      <c r="A891" t="s">
        <v>1388</v>
      </c>
      <c r="B891" s="2">
        <v>45446</v>
      </c>
      <c r="C891" t="str" cm="1">
        <f t="array" ref="C8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1">
        <f>YEAR(AllDataCorrected[[#This Row],[Date]])</f>
        <v>2024</v>
      </c>
      <c r="E891" s="1">
        <v>0.3923611111111111</v>
      </c>
      <c r="F8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1" t="str">
        <f>_xlfn.XLOOKUP(AllDataCorrected[[#This Row],[Location Name]], Locations[Location Name],Locations[Group As])</f>
        <v>Stour Stretton-on-Fosse Village</v>
      </c>
      <c r="H891" t="e" vm="1">
        <f>_xlfn.XLOOKUP(AllDataCorrected[[#This Row],[Site Name]],LocationsKey[Site Name],LocationsKey[District])</f>
        <v>#VALUE!</v>
      </c>
      <c r="I891" t="e" vm="30">
        <f>_xlfn.XLOOKUP(AllDataCorrected[[#This Row],[Site Name]],LocationsKey[Site Name],LocationsKey[Town])</f>
        <v>#VALUE!</v>
      </c>
      <c r="J891" t="str">
        <f>_xlfn.XLOOKUP(AllDataCorrected[[#This Row],[Site Name]],LocationsKey[Site Name], LocationsKey[Waterway])</f>
        <v>Stour</v>
      </c>
      <c r="K891" t="s">
        <v>548</v>
      </c>
      <c r="L891">
        <f>_xlfn.XLOOKUP(AllDataCorrected[[#This Row],[Site Name]],Tables!$B$12:$B$100, Tables!C$12:C$100)</f>
        <v>52.046517558823531</v>
      </c>
      <c r="M891">
        <f>_xlfn.XLOOKUP(AllDataCorrected[[#This Row],[Site Name]],Tables!$B$12:$B$100, Tables!D$12:D$100)</f>
        <v>-1.6734143529411762</v>
      </c>
      <c r="N891" t="s">
        <v>68</v>
      </c>
      <c r="O891">
        <v>702</v>
      </c>
      <c r="P891">
        <v>14.2</v>
      </c>
      <c r="Q891">
        <v>0.5</v>
      </c>
      <c r="R89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891">
        <v>2.5</v>
      </c>
      <c r="T8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1">
        <v>0.15</v>
      </c>
      <c r="V891" t="s">
        <v>1389</v>
      </c>
    </row>
    <row r="892" spans="1:22" x14ac:dyDescent="0.35">
      <c r="A892" t="s">
        <v>1390</v>
      </c>
      <c r="B892" s="2">
        <v>45446</v>
      </c>
      <c r="C892" t="str" cm="1">
        <f t="array" ref="C8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2">
        <f>YEAR(AllDataCorrected[[#This Row],[Date]])</f>
        <v>2024</v>
      </c>
      <c r="E892" s="1">
        <v>0.40416666666666667</v>
      </c>
      <c r="F8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2" t="str">
        <f>_xlfn.XLOOKUP(AllDataCorrected[[#This Row],[Location Name]], Locations[Location Name],Locations[Group As])</f>
        <v>Stour Stretton-on-Fosse Sewage Works</v>
      </c>
      <c r="H892" t="e" vm="1">
        <f>_xlfn.XLOOKUP(AllDataCorrected[[#This Row],[Site Name]],LocationsKey[Site Name],LocationsKey[District])</f>
        <v>#VALUE!</v>
      </c>
      <c r="I892" t="e" vm="30">
        <f>_xlfn.XLOOKUP(AllDataCorrected[[#This Row],[Site Name]],LocationsKey[Site Name],LocationsKey[Town])</f>
        <v>#VALUE!</v>
      </c>
      <c r="J892" t="str">
        <f>_xlfn.XLOOKUP(AllDataCorrected[[#This Row],[Site Name]],LocationsKey[Site Name], LocationsKey[Waterway])</f>
        <v>Stour</v>
      </c>
      <c r="K892" t="s">
        <v>337</v>
      </c>
      <c r="L892">
        <f>_xlfn.XLOOKUP(AllDataCorrected[[#This Row],[Site Name]],Tables!$B$12:$B$100, Tables!C$12:C$100)</f>
        <v>52.045653647058828</v>
      </c>
      <c r="M892">
        <f>_xlfn.XLOOKUP(AllDataCorrected[[#This Row],[Site Name]],Tables!$B$12:$B$100, Tables!D$12:D$100)</f>
        <v>-1.6719221470588239</v>
      </c>
      <c r="N892" t="s">
        <v>31</v>
      </c>
      <c r="O892">
        <v>806</v>
      </c>
      <c r="P892">
        <v>14.9</v>
      </c>
      <c r="Q892">
        <v>2</v>
      </c>
      <c r="R892" t="str">
        <f>IF(AllDataCorrected[[#This Row],[Nitrate (PPM)]]&gt;2, "4. Very high (&gt;2ppm)", IF(AllDataCorrected[[#This Row],[Nitrate (PPM)]]&gt;1, "3. High (1-2ppm)", IF(AllDataCorrected[[#This Row],[Nitrate (PPM)]]&gt;0.5, "2. Some evidence (0.5-1ppm)", IF(AllDataCorrected[[#This Row],[Nitrate (PPM)]]&gt;=0, "1. No evidence (&lt;0.5ppm)"))))</f>
        <v>3. High (1-2ppm)</v>
      </c>
      <c r="S892">
        <v>2.5</v>
      </c>
      <c r="T8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2">
        <v>0.25</v>
      </c>
      <c r="V892" t="s">
        <v>1391</v>
      </c>
    </row>
    <row r="893" spans="1:22" x14ac:dyDescent="0.35">
      <c r="A893" t="s">
        <v>1392</v>
      </c>
      <c r="B893" s="2">
        <v>45446</v>
      </c>
      <c r="C893" t="str" cm="1">
        <f t="array" ref="C8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3">
        <f>YEAR(AllDataCorrected[[#This Row],[Date]])</f>
        <v>2024</v>
      </c>
      <c r="E893" s="1">
        <v>0.5</v>
      </c>
      <c r="F8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3" t="str">
        <f>_xlfn.XLOOKUP(AllDataCorrected[[#This Row],[Location Name]], Locations[Location Name],Locations[Group As])</f>
        <v>Carrant Bredon Rd</v>
      </c>
      <c r="H893" t="e" vm="4">
        <f>_xlfn.XLOOKUP(AllDataCorrected[[#This Row],[Site Name]],LocationsKey[Site Name],LocationsKey[District])</f>
        <v>#VALUE!</v>
      </c>
      <c r="I893" t="e" vm="4">
        <f>_xlfn.XLOOKUP(AllDataCorrected[[#This Row],[Site Name]],LocationsKey[Site Name],LocationsKey[Town])</f>
        <v>#VALUE!</v>
      </c>
      <c r="J893" t="str">
        <f>_xlfn.XLOOKUP(AllDataCorrected[[#This Row],[Site Name]],LocationsKey[Site Name], LocationsKey[Waterway])</f>
        <v>Carrant</v>
      </c>
      <c r="K893" t="s">
        <v>603</v>
      </c>
      <c r="L893">
        <f>_xlfn.XLOOKUP(AllDataCorrected[[#This Row],[Site Name]],Tables!$B$12:$B$100, Tables!C$12:C$100)</f>
        <v>51.996322536231894</v>
      </c>
      <c r="M893">
        <f>_xlfn.XLOOKUP(AllDataCorrected[[#This Row],[Site Name]],Tables!$B$12:$B$100, Tables!D$12:D$100)</f>
        <v>-2.1558410144927538</v>
      </c>
      <c r="N893" t="s">
        <v>25</v>
      </c>
      <c r="O893">
        <v>747</v>
      </c>
      <c r="P893">
        <v>17</v>
      </c>
      <c r="Q893">
        <v>7</v>
      </c>
      <c r="R893" t="str">
        <f>IF(AllDataCorrected[[#This Row],[Nitrate (PPM)]]&gt;2, "4. Very high (&gt;2ppm)", IF(AllDataCorrected[[#This Row],[Nitrate (PPM)]]&gt;1, "3. High (1-2ppm)", IF(AllDataCorrected[[#This Row],[Nitrate (PPM)]]&gt;0.5, "2. Some evidence (0.5-1ppm)", IF(AllDataCorrected[[#This Row],[Nitrate (PPM)]]&gt;=0, "1. No evidence (&lt;0.5ppm)"))))</f>
        <v>4. Very high (&gt;2ppm)</v>
      </c>
      <c r="S893">
        <v>0.31</v>
      </c>
      <c r="T89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3">
        <v>0.1</v>
      </c>
    </row>
    <row r="894" spans="1:22" x14ac:dyDescent="0.35">
      <c r="A894" t="s">
        <v>1393</v>
      </c>
      <c r="B894" s="2">
        <v>45447</v>
      </c>
      <c r="C894" t="str" cm="1">
        <f t="array" ref="C8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4">
        <f>YEAR(AllDataCorrected[[#This Row],[Date]])</f>
        <v>2024</v>
      </c>
      <c r="E894" s="1">
        <v>0.44861111111111113</v>
      </c>
      <c r="F8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4" t="str">
        <f>_xlfn.XLOOKUP(AllDataCorrected[[#This Row],[Location Name]], Locations[Location Name],Locations[Group As])</f>
        <v>Carrant Mitton Bridge</v>
      </c>
      <c r="H894" t="e" vm="4">
        <f>_xlfn.XLOOKUP(AllDataCorrected[[#This Row],[Site Name]],LocationsKey[Site Name],LocationsKey[District])</f>
        <v>#VALUE!</v>
      </c>
      <c r="I894" t="e" vm="4">
        <f>_xlfn.XLOOKUP(AllDataCorrected[[#This Row],[Site Name]],LocationsKey[Site Name],LocationsKey[Town])</f>
        <v>#VALUE!</v>
      </c>
      <c r="J894" t="str">
        <f>_xlfn.XLOOKUP(AllDataCorrected[[#This Row],[Site Name]],LocationsKey[Site Name], LocationsKey[Waterway])</f>
        <v>Carrant</v>
      </c>
      <c r="K894" t="s">
        <v>1394</v>
      </c>
      <c r="L894">
        <f>_xlfn.XLOOKUP(AllDataCorrected[[#This Row],[Site Name]],Tables!$B$12:$B$100, Tables!C$12:C$100)</f>
        <v>51.999974666666667</v>
      </c>
      <c r="M894">
        <f>_xlfn.XLOOKUP(AllDataCorrected[[#This Row],[Site Name]],Tables!$B$12:$B$100, Tables!D$12:D$100)</f>
        <v>-2.141273</v>
      </c>
      <c r="N894" t="s">
        <v>25</v>
      </c>
      <c r="O894">
        <v>721</v>
      </c>
      <c r="P894">
        <v>16.399999999999999</v>
      </c>
      <c r="Q894">
        <v>7</v>
      </c>
      <c r="R894" t="str">
        <f>IF(AllDataCorrected[[#This Row],[Nitrate (PPM)]]&gt;2, "4. Very high (&gt;2ppm)", IF(AllDataCorrected[[#This Row],[Nitrate (PPM)]]&gt;1, "3. High (1-2ppm)", IF(AllDataCorrected[[#This Row],[Nitrate (PPM)]]&gt;0.5, "2. Some evidence (0.5-1ppm)", IF(AllDataCorrected[[#This Row],[Nitrate (PPM)]]&gt;=0, "1. No evidence (&lt;0.5ppm)"))))</f>
        <v>4. Very high (&gt;2ppm)</v>
      </c>
      <c r="S894">
        <v>0.45</v>
      </c>
      <c r="T8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4">
        <v>0</v>
      </c>
    </row>
    <row r="895" spans="1:22" x14ac:dyDescent="0.35">
      <c r="A895" t="s">
        <v>1395</v>
      </c>
      <c r="B895" s="2">
        <v>45447</v>
      </c>
      <c r="C895" t="str" cm="1">
        <f t="array" ref="C8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5">
        <f>YEAR(AllDataCorrected[[#This Row],[Date]])</f>
        <v>2024</v>
      </c>
      <c r="E895" s="1">
        <v>0.46041666666666664</v>
      </c>
      <c r="F89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895" t="str">
        <f>_xlfn.XLOOKUP(AllDataCorrected[[#This Row],[Location Name]], Locations[Location Name],Locations[Group As])</f>
        <v>Carrant M5 Bridge</v>
      </c>
      <c r="H895" t="e" vm="4">
        <f>_xlfn.XLOOKUP(AllDataCorrected[[#This Row],[Site Name]],LocationsKey[Site Name],LocationsKey[District])</f>
        <v>#VALUE!</v>
      </c>
      <c r="I895" t="e" vm="4">
        <f>_xlfn.XLOOKUP(AllDataCorrected[[#This Row],[Site Name]],LocationsKey[Site Name],LocationsKey[Town])</f>
        <v>#VALUE!</v>
      </c>
      <c r="J895" t="str">
        <f>_xlfn.XLOOKUP(AllDataCorrected[[#This Row],[Site Name]],LocationsKey[Site Name], LocationsKey[Waterway])</f>
        <v>Carrant</v>
      </c>
      <c r="K895" t="s">
        <v>1066</v>
      </c>
      <c r="L895">
        <f>_xlfn.XLOOKUP(AllDataCorrected[[#This Row],[Site Name]],Tables!$B$12:$B$100, Tables!C$12:C$100)</f>
        <v>52.012994652173923</v>
      </c>
      <c r="M895">
        <f>_xlfn.XLOOKUP(AllDataCorrected[[#This Row],[Site Name]],Tables!$B$12:$B$100, Tables!D$12:D$100)</f>
        <v>-2.1224405652173912</v>
      </c>
      <c r="N895" t="s">
        <v>25</v>
      </c>
      <c r="O895">
        <v>774</v>
      </c>
      <c r="P895">
        <v>16</v>
      </c>
      <c r="Q895">
        <v>7</v>
      </c>
      <c r="R895" t="str">
        <f>IF(AllDataCorrected[[#This Row],[Nitrate (PPM)]]&gt;2, "4. Very high (&gt;2ppm)", IF(AllDataCorrected[[#This Row],[Nitrate (PPM)]]&gt;1, "3. High (1-2ppm)", IF(AllDataCorrected[[#This Row],[Nitrate (PPM)]]&gt;0.5, "2. Some evidence (0.5-1ppm)", IF(AllDataCorrected[[#This Row],[Nitrate (PPM)]]&gt;=0, "1. No evidence (&lt;0.5ppm)"))))</f>
        <v>4. Very high (&gt;2ppm)</v>
      </c>
      <c r="S895">
        <v>0.19</v>
      </c>
      <c r="T89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895">
        <v>0</v>
      </c>
    </row>
    <row r="896" spans="1:22" x14ac:dyDescent="0.35">
      <c r="A896" t="s">
        <v>1396</v>
      </c>
      <c r="B896" s="2">
        <v>45447</v>
      </c>
      <c r="C896" t="str" cm="1">
        <f t="array" ref="C8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6">
        <f>YEAR(AllDataCorrected[[#This Row],[Date]])</f>
        <v>2024</v>
      </c>
      <c r="E896" s="1">
        <v>0.62291666666666667</v>
      </c>
      <c r="F8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6" t="str">
        <f>_xlfn.XLOOKUP(AllDataCorrected[[#This Row],[Location Name]], Locations[Location Name],Locations[Group As])</f>
        <v>Abbey Mill</v>
      </c>
      <c r="H896" t="e" vm="4">
        <f>_xlfn.XLOOKUP(AllDataCorrected[[#This Row],[Site Name]],LocationsKey[Site Name],LocationsKey[District])</f>
        <v>#VALUE!</v>
      </c>
      <c r="I896" t="e" vm="4">
        <f>_xlfn.XLOOKUP(AllDataCorrected[[#This Row],[Site Name]],LocationsKey[Site Name],LocationsKey[Town])</f>
        <v>#VALUE!</v>
      </c>
      <c r="J896" t="str">
        <f>_xlfn.XLOOKUP(AllDataCorrected[[#This Row],[Site Name]],LocationsKey[Site Name], LocationsKey[Waterway])</f>
        <v>Avon</v>
      </c>
      <c r="K896" t="s">
        <v>27</v>
      </c>
      <c r="L896">
        <f>_xlfn.XLOOKUP(AllDataCorrected[[#This Row],[Site Name]],Tables!$B$12:$B$100, Tables!C$12:C$100)</f>
        <v>51.991313075757589</v>
      </c>
      <c r="M896">
        <f>_xlfn.XLOOKUP(AllDataCorrected[[#This Row],[Site Name]],Tables!$B$12:$B$100, Tables!D$12:D$100)</f>
        <v>-2.1621998181818181</v>
      </c>
      <c r="N896" t="s">
        <v>25</v>
      </c>
      <c r="O896">
        <v>871</v>
      </c>
      <c r="P896">
        <v>17.600000000000001</v>
      </c>
      <c r="Q896">
        <v>6</v>
      </c>
      <c r="R896" t="str">
        <f>IF(AllDataCorrected[[#This Row],[Nitrate (PPM)]]&gt;2, "4. Very high (&gt;2ppm)", IF(AllDataCorrected[[#This Row],[Nitrate (PPM)]]&gt;1, "3. High (1-2ppm)", IF(AllDataCorrected[[#This Row],[Nitrate (PPM)]]&gt;0.5, "2. Some evidence (0.5-1ppm)", IF(AllDataCorrected[[#This Row],[Nitrate (PPM)]]&gt;=0, "1. No evidence (&lt;0.5ppm)"))))</f>
        <v>4. Very high (&gt;2ppm)</v>
      </c>
      <c r="S896">
        <v>0.71</v>
      </c>
      <c r="T8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6">
        <v>0.6</v>
      </c>
      <c r="V896" t="s">
        <v>1397</v>
      </c>
    </row>
    <row r="897" spans="1:22" x14ac:dyDescent="0.35">
      <c r="A897" t="s">
        <v>1398</v>
      </c>
      <c r="B897" s="2">
        <v>45447</v>
      </c>
      <c r="C897" t="str" cm="1">
        <f t="array" ref="C8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7">
        <f>YEAR(AllDataCorrected[[#This Row],[Date]])</f>
        <v>2024</v>
      </c>
      <c r="E897" s="1">
        <v>0.75</v>
      </c>
      <c r="F89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897" t="str">
        <f>_xlfn.XLOOKUP(AllDataCorrected[[#This Row],[Location Name]], Locations[Location Name],Locations[Group As])</f>
        <v>Lucy's Mill Bridge</v>
      </c>
      <c r="H897" t="e" vm="1">
        <f>_xlfn.XLOOKUP(AllDataCorrected[[#This Row],[Site Name]],LocationsKey[Site Name],LocationsKey[District])</f>
        <v>#VALUE!</v>
      </c>
      <c r="I897" t="e" vm="12">
        <f>_xlfn.XLOOKUP(AllDataCorrected[[#This Row],[Site Name]],LocationsKey[Site Name],LocationsKey[Town])</f>
        <v>#VALUE!</v>
      </c>
      <c r="J897" t="str">
        <f>_xlfn.XLOOKUP(AllDataCorrected[[#This Row],[Site Name]],LocationsKey[Site Name], LocationsKey[Waterway])</f>
        <v>Avon</v>
      </c>
      <c r="K897" t="s">
        <v>212</v>
      </c>
      <c r="L897">
        <f>_xlfn.XLOOKUP(AllDataCorrected[[#This Row],[Site Name]],Tables!$B$12:$B$100, Tables!C$12:C$100)</f>
        <v>52.183699000000011</v>
      </c>
      <c r="M897">
        <f>_xlfn.XLOOKUP(AllDataCorrected[[#This Row],[Site Name]],Tables!$B$12:$B$100, Tables!D$12:D$100)</f>
        <v>-1.7078160000000004</v>
      </c>
      <c r="N897" t="s">
        <v>31</v>
      </c>
      <c r="P897">
        <v>17.3</v>
      </c>
      <c r="Q897">
        <v>5</v>
      </c>
      <c r="R897" t="str">
        <f>IF(AllDataCorrected[[#This Row],[Nitrate (PPM)]]&gt;2, "4. Very high (&gt;2ppm)", IF(AllDataCorrected[[#This Row],[Nitrate (PPM)]]&gt;1, "3. High (1-2ppm)", IF(AllDataCorrected[[#This Row],[Nitrate (PPM)]]&gt;0.5, "2. Some evidence (0.5-1ppm)", IF(AllDataCorrected[[#This Row],[Nitrate (PPM)]]&gt;=0, "1. No evidence (&lt;0.5ppm)"))))</f>
        <v>4. Very high (&gt;2ppm)</v>
      </c>
      <c r="S897">
        <v>0.51</v>
      </c>
      <c r="T8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7">
        <v>0.7</v>
      </c>
    </row>
    <row r="898" spans="1:22" x14ac:dyDescent="0.35">
      <c r="A898" t="s">
        <v>1399</v>
      </c>
      <c r="B898" s="2">
        <v>45448</v>
      </c>
      <c r="C898" t="str" cm="1">
        <f t="array" ref="C8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8">
        <f>YEAR(AllDataCorrected[[#This Row],[Date]])</f>
        <v>2024</v>
      </c>
      <c r="E898" s="1">
        <v>0.50277777777777777</v>
      </c>
      <c r="F8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8" t="str">
        <f>_xlfn.XLOOKUP(AllDataCorrected[[#This Row],[Location Name]], Locations[Location Name],Locations[Group As])</f>
        <v>Twyning Fleet</v>
      </c>
      <c r="H898" t="e" vm="4">
        <f>_xlfn.XLOOKUP(AllDataCorrected[[#This Row],[Site Name]],LocationsKey[Site Name],LocationsKey[District])</f>
        <v>#VALUE!</v>
      </c>
      <c r="I898" t="str">
        <f>_xlfn.XLOOKUP(AllDataCorrected[[#This Row],[Site Name]],LocationsKey[Site Name],LocationsKey[Town])</f>
        <v>Twyning Green</v>
      </c>
      <c r="J898" t="str">
        <f>_xlfn.XLOOKUP(AllDataCorrected[[#This Row],[Site Name]],LocationsKey[Site Name], LocationsKey[Waterway])</f>
        <v>Avon</v>
      </c>
      <c r="K898" t="s">
        <v>56</v>
      </c>
      <c r="L898">
        <f>_xlfn.XLOOKUP(AllDataCorrected[[#This Row],[Site Name]],Tables!$B$12:$B$100, Tables!C$12:C$100)</f>
        <v>52.027216452380941</v>
      </c>
      <c r="M898">
        <f>_xlfn.XLOOKUP(AllDataCorrected[[#This Row],[Site Name]],Tables!$B$12:$B$100, Tables!D$12:D$100)</f>
        <v>-2.140853452380953</v>
      </c>
      <c r="N898" t="s">
        <v>31</v>
      </c>
      <c r="O898">
        <v>9120</v>
      </c>
      <c r="P898">
        <v>17.8</v>
      </c>
      <c r="Q898">
        <v>7</v>
      </c>
      <c r="R898" t="str">
        <f>IF(AllDataCorrected[[#This Row],[Nitrate (PPM)]]&gt;2, "4. Very high (&gt;2ppm)", IF(AllDataCorrected[[#This Row],[Nitrate (PPM)]]&gt;1, "3. High (1-2ppm)", IF(AllDataCorrected[[#This Row],[Nitrate (PPM)]]&gt;0.5, "2. Some evidence (0.5-1ppm)", IF(AllDataCorrected[[#This Row],[Nitrate (PPM)]]&gt;=0, "1. No evidence (&lt;0.5ppm)"))))</f>
        <v>4. Very high (&gt;2ppm)</v>
      </c>
      <c r="S898">
        <v>0.67</v>
      </c>
      <c r="T8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8">
        <v>0</v>
      </c>
    </row>
    <row r="899" spans="1:22" x14ac:dyDescent="0.35">
      <c r="A899" t="s">
        <v>1400</v>
      </c>
      <c r="B899" s="2">
        <v>45448</v>
      </c>
      <c r="C899" t="str" cm="1">
        <f t="array" ref="C8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899">
        <f>YEAR(AllDataCorrected[[#This Row],[Date]])</f>
        <v>2024</v>
      </c>
      <c r="E899" s="1">
        <v>0.59375</v>
      </c>
      <c r="F8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899" t="str">
        <f>_xlfn.XLOOKUP(AllDataCorrected[[#This Row],[Location Name]], Locations[Location Name],Locations[Group As])</f>
        <v>Alveston Weir</v>
      </c>
      <c r="H899" t="e" vm="1">
        <f>_xlfn.XLOOKUP(AllDataCorrected[[#This Row],[Site Name]],LocationsKey[Site Name],LocationsKey[District])</f>
        <v>#VALUE!</v>
      </c>
      <c r="I899" t="e" vm="2">
        <f>_xlfn.XLOOKUP(AllDataCorrected[[#This Row],[Site Name]],LocationsKey[Site Name],LocationsKey[Town])</f>
        <v>#VALUE!</v>
      </c>
      <c r="J899" t="str">
        <f>_xlfn.XLOOKUP(AllDataCorrected[[#This Row],[Site Name]],LocationsKey[Site Name], LocationsKey[Waterway])</f>
        <v>Avon</v>
      </c>
      <c r="K899" t="s">
        <v>288</v>
      </c>
      <c r="L899">
        <f>_xlfn.XLOOKUP(AllDataCorrected[[#This Row],[Site Name]],Tables!$B$12:$B$100, Tables!C$12:C$100)</f>
        <v>52.21226301333337</v>
      </c>
      <c r="M899">
        <f>_xlfn.XLOOKUP(AllDataCorrected[[#This Row],[Site Name]],Tables!$B$12:$B$100, Tables!D$12:D$100)</f>
        <v>-1.6595226800000011</v>
      </c>
      <c r="N899" t="s">
        <v>31</v>
      </c>
      <c r="O899">
        <v>826</v>
      </c>
      <c r="P899">
        <v>16.3</v>
      </c>
      <c r="Q899">
        <v>0</v>
      </c>
      <c r="R89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899">
        <v>0.8</v>
      </c>
      <c r="T8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899">
        <v>0</v>
      </c>
      <c r="V899" t="s">
        <v>1401</v>
      </c>
    </row>
    <row r="900" spans="1:22" x14ac:dyDescent="0.35">
      <c r="A900" t="s">
        <v>1402</v>
      </c>
      <c r="B900" s="2">
        <v>45448</v>
      </c>
      <c r="C900" t="str" cm="1">
        <f t="array" ref="C9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0">
        <f>YEAR(AllDataCorrected[[#This Row],[Date]])</f>
        <v>2024</v>
      </c>
      <c r="E900" s="1">
        <v>0.60138888888888886</v>
      </c>
      <c r="F9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0" t="str">
        <f>_xlfn.XLOOKUP(AllDataCorrected[[#This Row],[Location Name]], Locations[Location Name],Locations[Group As])</f>
        <v>Swiffen Bank</v>
      </c>
      <c r="H900" t="e" vm="1">
        <f>_xlfn.XLOOKUP(AllDataCorrected[[#This Row],[Site Name]],LocationsKey[Site Name],LocationsKey[District])</f>
        <v>#VALUE!</v>
      </c>
      <c r="I900" t="e" vm="2">
        <f>_xlfn.XLOOKUP(AllDataCorrected[[#This Row],[Site Name]],LocationsKey[Site Name],LocationsKey[Town])</f>
        <v>#VALUE!</v>
      </c>
      <c r="J900" t="str">
        <f>_xlfn.XLOOKUP(AllDataCorrected[[#This Row],[Site Name]],LocationsKey[Site Name], LocationsKey[Waterway])</f>
        <v>Avon</v>
      </c>
      <c r="K900" t="s">
        <v>286</v>
      </c>
      <c r="L900">
        <f>_xlfn.XLOOKUP(AllDataCorrected[[#This Row],[Site Name]],Tables!$B$12:$B$100, Tables!C$12:C$100)</f>
        <v>52.206649805555557</v>
      </c>
      <c r="M900">
        <f>_xlfn.XLOOKUP(AllDataCorrected[[#This Row],[Site Name]],Tables!$B$12:$B$100, Tables!D$12:D$100)</f>
        <v>-1.6541018611111094</v>
      </c>
      <c r="N900" t="s">
        <v>31</v>
      </c>
      <c r="O900">
        <v>826</v>
      </c>
      <c r="P900">
        <v>16.3</v>
      </c>
      <c r="Q900">
        <v>5</v>
      </c>
      <c r="R900" t="str">
        <f>IF(AllDataCorrected[[#This Row],[Nitrate (PPM)]]&gt;2, "4. Very high (&gt;2ppm)", IF(AllDataCorrected[[#This Row],[Nitrate (PPM)]]&gt;1, "3. High (1-2ppm)", IF(AllDataCorrected[[#This Row],[Nitrate (PPM)]]&gt;0.5, "2. Some evidence (0.5-1ppm)", IF(AllDataCorrected[[#This Row],[Nitrate (PPM)]]&gt;=0, "1. No evidence (&lt;0.5ppm)"))))</f>
        <v>4. Very high (&gt;2ppm)</v>
      </c>
      <c r="S900">
        <v>0.8</v>
      </c>
      <c r="T9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0">
        <v>0</v>
      </c>
    </row>
    <row r="901" spans="1:22" x14ac:dyDescent="0.35">
      <c r="A901" t="s">
        <v>1403</v>
      </c>
      <c r="B901" s="2">
        <v>45448</v>
      </c>
      <c r="C901" t="str" cm="1">
        <f t="array" ref="C9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1">
        <f>YEAR(AllDataCorrected[[#This Row],[Date]])</f>
        <v>2024</v>
      </c>
      <c r="E901" s="1">
        <v>0.72916666666666663</v>
      </c>
      <c r="F9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1" t="str">
        <f>_xlfn.XLOOKUP(AllDataCorrected[[#This Row],[Location Name]], Locations[Location Name],Locations[Group As])</f>
        <v>Stour Newbold Mill</v>
      </c>
      <c r="H901" t="e" vm="1">
        <f>_xlfn.XLOOKUP(AllDataCorrected[[#This Row],[Site Name]],LocationsKey[Site Name],LocationsKey[District])</f>
        <v>#VALUE!</v>
      </c>
      <c r="I901" t="e" vm="27">
        <f>_xlfn.XLOOKUP(AllDataCorrected[[#This Row],[Site Name]],LocationsKey[Site Name],LocationsKey[Town])</f>
        <v>#VALUE!</v>
      </c>
      <c r="J901" t="str">
        <f>_xlfn.XLOOKUP(AllDataCorrected[[#This Row],[Site Name]],LocationsKey[Site Name], LocationsKey[Waterway])</f>
        <v>Stour</v>
      </c>
      <c r="K901" t="s">
        <v>141</v>
      </c>
      <c r="L901">
        <f>_xlfn.XLOOKUP(AllDataCorrected[[#This Row],[Site Name]],Tables!$B$12:$B$100, Tables!C$12:C$100)</f>
        <v>52.113052370370369</v>
      </c>
      <c r="M901">
        <f>_xlfn.XLOOKUP(AllDataCorrected[[#This Row],[Site Name]],Tables!$B$12:$B$100, Tables!D$12:D$100)</f>
        <v>-1.6333685185185181</v>
      </c>
      <c r="N901" t="s">
        <v>31</v>
      </c>
      <c r="O901">
        <v>645</v>
      </c>
      <c r="P901">
        <v>17.8</v>
      </c>
      <c r="Q901">
        <v>2</v>
      </c>
      <c r="R901" t="str">
        <f>IF(AllDataCorrected[[#This Row],[Nitrate (PPM)]]&gt;2, "4. Very high (&gt;2ppm)", IF(AllDataCorrected[[#This Row],[Nitrate (PPM)]]&gt;1, "3. High (1-2ppm)", IF(AllDataCorrected[[#This Row],[Nitrate (PPM)]]&gt;0.5, "2. Some evidence (0.5-1ppm)", IF(AllDataCorrected[[#This Row],[Nitrate (PPM)]]&gt;=0, "1. No evidence (&lt;0.5ppm)"))))</f>
        <v>3. High (1-2ppm)</v>
      </c>
      <c r="S901">
        <v>0.45</v>
      </c>
      <c r="T9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1">
        <v>2.5</v>
      </c>
      <c r="V901" t="s">
        <v>1404</v>
      </c>
    </row>
    <row r="902" spans="1:22" x14ac:dyDescent="0.35">
      <c r="A902" t="s">
        <v>1405</v>
      </c>
      <c r="B902" s="2">
        <v>45449</v>
      </c>
      <c r="C902" t="str" cm="1">
        <f t="array" ref="C9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2">
        <f>YEAR(AllDataCorrected[[#This Row],[Date]])</f>
        <v>2024</v>
      </c>
      <c r="E902" s="1">
        <v>0.34722222222222221</v>
      </c>
      <c r="F90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2" t="str">
        <f>_xlfn.XLOOKUP(AllDataCorrected[[#This Row],[Location Name]], Locations[Location Name],Locations[Group As])</f>
        <v>Swilgate</v>
      </c>
      <c r="H902" t="e" vm="4">
        <f>_xlfn.XLOOKUP(AllDataCorrected[[#This Row],[Site Name]],LocationsKey[Site Name],LocationsKey[District])</f>
        <v>#VALUE!</v>
      </c>
      <c r="I902" t="e" vm="4">
        <f>_xlfn.XLOOKUP(AllDataCorrected[[#This Row],[Site Name]],LocationsKey[Site Name],LocationsKey[Town])</f>
        <v>#VALUE!</v>
      </c>
      <c r="J902" t="str">
        <f>_xlfn.XLOOKUP(AllDataCorrected[[#This Row],[Site Name]],LocationsKey[Site Name], LocationsKey[Waterway])</f>
        <v>Swilgate</v>
      </c>
      <c r="K902" t="s">
        <v>85</v>
      </c>
      <c r="L902">
        <f>_xlfn.XLOOKUP(AllDataCorrected[[#This Row],[Site Name]],Tables!$B$12:$B$100, Tables!C$12:C$100)</f>
        <v>51.988591500000005</v>
      </c>
      <c r="M902">
        <f>_xlfn.XLOOKUP(AllDataCorrected[[#This Row],[Site Name]],Tables!$B$12:$B$100, Tables!D$12:D$100)</f>
        <v>-2.163898333333333</v>
      </c>
      <c r="N902" t="s">
        <v>25</v>
      </c>
      <c r="O902">
        <v>918</v>
      </c>
      <c r="P902">
        <v>14</v>
      </c>
      <c r="Q902">
        <v>4</v>
      </c>
      <c r="R902" t="str">
        <f>IF(AllDataCorrected[[#This Row],[Nitrate (PPM)]]&gt;2, "4. Very high (&gt;2ppm)", IF(AllDataCorrected[[#This Row],[Nitrate (PPM)]]&gt;1, "3. High (1-2ppm)", IF(AllDataCorrected[[#This Row],[Nitrate (PPM)]]&gt;0.5, "2. Some evidence (0.5-1ppm)", IF(AllDataCorrected[[#This Row],[Nitrate (PPM)]]&gt;=0, "1. No evidence (&lt;0.5ppm)"))))</f>
        <v>4. Very high (&gt;2ppm)</v>
      </c>
      <c r="S902">
        <v>0.68</v>
      </c>
      <c r="T9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2">
        <v>0</v>
      </c>
    </row>
    <row r="903" spans="1:22" x14ac:dyDescent="0.35">
      <c r="A903" t="s">
        <v>1406</v>
      </c>
      <c r="B903" s="2">
        <v>45449</v>
      </c>
      <c r="C903" t="str" cm="1">
        <f t="array" ref="C9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3">
        <f>YEAR(AllDataCorrected[[#This Row],[Date]])</f>
        <v>2024</v>
      </c>
      <c r="E903" s="1">
        <v>0.78472222222222221</v>
      </c>
      <c r="F9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03" t="str">
        <f>_xlfn.XLOOKUP(AllDataCorrected[[#This Row],[Location Name]], Locations[Location Name],Locations[Group As])</f>
        <v>Preston-on-Stour River Bridge</v>
      </c>
      <c r="H903" t="e" vm="1">
        <f>_xlfn.XLOOKUP(AllDataCorrected[[#This Row],[Site Name]],LocationsKey[Site Name],LocationsKey[District])</f>
        <v>#VALUE!</v>
      </c>
      <c r="I903" t="e" vm="20">
        <f>_xlfn.XLOOKUP(AllDataCorrected[[#This Row],[Site Name]],LocationsKey[Site Name],LocationsKey[Town])</f>
        <v>#VALUE!</v>
      </c>
      <c r="J903" t="str">
        <f>_xlfn.XLOOKUP(AllDataCorrected[[#This Row],[Site Name]],LocationsKey[Site Name], LocationsKey[Waterway])</f>
        <v>Stour</v>
      </c>
      <c r="K903" t="s">
        <v>164</v>
      </c>
      <c r="L903">
        <f>_xlfn.XLOOKUP(AllDataCorrected[[#This Row],[Site Name]],Tables!$B$12:$B$100, Tables!C$12:C$100)</f>
        <v>52.146672352941174</v>
      </c>
      <c r="M903">
        <f>_xlfn.XLOOKUP(AllDataCorrected[[#This Row],[Site Name]],Tables!$B$12:$B$100, Tables!D$12:D$100)</f>
        <v>-1.6984533333333334</v>
      </c>
      <c r="N903" t="s">
        <v>31</v>
      </c>
      <c r="O903">
        <v>644</v>
      </c>
      <c r="P903">
        <v>15.6</v>
      </c>
      <c r="Q903">
        <v>6</v>
      </c>
      <c r="R903" t="str">
        <f>IF(AllDataCorrected[[#This Row],[Nitrate (PPM)]]&gt;2, "4. Very high (&gt;2ppm)", IF(AllDataCorrected[[#This Row],[Nitrate (PPM)]]&gt;1, "3. High (1-2ppm)", IF(AllDataCorrected[[#This Row],[Nitrate (PPM)]]&gt;0.5, "2. Some evidence (0.5-1ppm)", IF(AllDataCorrected[[#This Row],[Nitrate (PPM)]]&gt;=0, "1. No evidence (&lt;0.5ppm)"))))</f>
        <v>4. Very high (&gt;2ppm)</v>
      </c>
      <c r="S903">
        <v>0.27</v>
      </c>
      <c r="T9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3">
        <v>1</v>
      </c>
    </row>
    <row r="904" spans="1:22" x14ac:dyDescent="0.35">
      <c r="A904" t="s">
        <v>1407</v>
      </c>
      <c r="B904" s="2">
        <v>45450</v>
      </c>
      <c r="C904" t="str" cm="1">
        <f t="array" ref="C9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4">
        <f>YEAR(AllDataCorrected[[#This Row],[Date]])</f>
        <v>2024</v>
      </c>
      <c r="E904" s="1">
        <v>0.33888888888888891</v>
      </c>
      <c r="F9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4" t="str">
        <f>_xlfn.XLOOKUP(AllDataCorrected[[#This Row],[Location Name]], Locations[Location Name],Locations[Group As])</f>
        <v>Lower Lode</v>
      </c>
      <c r="H904" t="e" vm="4">
        <f>_xlfn.XLOOKUP(AllDataCorrected[[#This Row],[Site Name]],LocationsKey[Site Name],LocationsKey[District])</f>
        <v>#VALUE!</v>
      </c>
      <c r="I904" t="e" vm="4">
        <f>_xlfn.XLOOKUP(AllDataCorrected[[#This Row],[Site Name]],LocationsKey[Site Name],LocationsKey[Town])</f>
        <v>#VALUE!</v>
      </c>
      <c r="J904" t="str">
        <f>_xlfn.XLOOKUP(AllDataCorrected[[#This Row],[Site Name]],LocationsKey[Site Name], LocationsKey[Waterway])</f>
        <v>Avon</v>
      </c>
      <c r="K904" t="s">
        <v>595</v>
      </c>
      <c r="L904">
        <f>_xlfn.XLOOKUP(AllDataCorrected[[#This Row],[Site Name]],Tables!$B$12:$B$100, Tables!C$12:C$100)</f>
        <v>51.984916745098026</v>
      </c>
      <c r="M904">
        <f>_xlfn.XLOOKUP(AllDataCorrected[[#This Row],[Site Name]],Tables!$B$12:$B$100, Tables!D$12:D$100)</f>
        <v>-2.1745787647058821</v>
      </c>
      <c r="N904" t="s">
        <v>31</v>
      </c>
      <c r="O904">
        <v>8150</v>
      </c>
      <c r="P904">
        <v>16.8</v>
      </c>
      <c r="Q904">
        <v>10</v>
      </c>
      <c r="R904" t="str">
        <f>IF(AllDataCorrected[[#This Row],[Nitrate (PPM)]]&gt;2, "4. Very high (&gt;2ppm)", IF(AllDataCorrected[[#This Row],[Nitrate (PPM)]]&gt;1, "3. High (1-2ppm)", IF(AllDataCorrected[[#This Row],[Nitrate (PPM)]]&gt;0.5, "2. Some evidence (0.5-1ppm)", IF(AllDataCorrected[[#This Row],[Nitrate (PPM)]]&gt;=0, "1. No evidence (&lt;0.5ppm)"))))</f>
        <v>4. Very high (&gt;2ppm)</v>
      </c>
      <c r="S904">
        <v>0.6</v>
      </c>
      <c r="T9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4">
        <v>-1</v>
      </c>
    </row>
    <row r="905" spans="1:22" x14ac:dyDescent="0.35">
      <c r="A905" t="s">
        <v>1408</v>
      </c>
      <c r="B905" s="2">
        <v>45450</v>
      </c>
      <c r="C905" t="str" cm="1">
        <f t="array" ref="C9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5">
        <f>YEAR(AllDataCorrected[[#This Row],[Date]])</f>
        <v>2024</v>
      </c>
      <c r="E905" s="1">
        <v>0.4375</v>
      </c>
      <c r="F9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5" t="str">
        <f>_xlfn.XLOOKUP(AllDataCorrected[[#This Row],[Location Name]], Locations[Location Name],Locations[Group As])</f>
        <v>Swillgate TNR 2nd bridge</v>
      </c>
      <c r="H905" t="e" vm="4">
        <f>_xlfn.XLOOKUP(AllDataCorrected[[#This Row],[Site Name]],LocationsKey[Site Name],LocationsKey[District])</f>
        <v>#VALUE!</v>
      </c>
      <c r="I905" t="e" vm="4">
        <f>_xlfn.XLOOKUP(AllDataCorrected[[#This Row],[Site Name]],LocationsKey[Site Name],LocationsKey[Town])</f>
        <v>#VALUE!</v>
      </c>
      <c r="J905" t="str">
        <f>_xlfn.XLOOKUP(AllDataCorrected[[#This Row],[Site Name]],LocationsKey[Site Name], LocationsKey[Waterway])</f>
        <v>Swilgate</v>
      </c>
      <c r="K905" t="s">
        <v>1409</v>
      </c>
      <c r="L905">
        <f>_xlfn.XLOOKUP(AllDataCorrected[[#This Row],[Site Name]],Tables!$B$12:$B$100, Tables!C$12:C$100)</f>
        <v>51.980561000000002</v>
      </c>
      <c r="M905">
        <f>_xlfn.XLOOKUP(AllDataCorrected[[#This Row],[Site Name]],Tables!$B$12:$B$100, Tables!D$12:D$100)</f>
        <v>-2.150067</v>
      </c>
      <c r="N905" t="s">
        <v>25</v>
      </c>
      <c r="O905">
        <v>851</v>
      </c>
      <c r="P905">
        <v>15.3</v>
      </c>
      <c r="Q905">
        <v>8</v>
      </c>
      <c r="R905" t="str">
        <f>IF(AllDataCorrected[[#This Row],[Nitrate (PPM)]]&gt;2, "4. Very high (&gt;2ppm)", IF(AllDataCorrected[[#This Row],[Nitrate (PPM)]]&gt;1, "3. High (1-2ppm)", IF(AllDataCorrected[[#This Row],[Nitrate (PPM)]]&gt;0.5, "2. Some evidence (0.5-1ppm)", IF(AllDataCorrected[[#This Row],[Nitrate (PPM)]]&gt;=0, "1. No evidence (&lt;0.5ppm)"))))</f>
        <v>4. Very high (&gt;2ppm)</v>
      </c>
      <c r="S905">
        <v>0.7</v>
      </c>
      <c r="T9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5">
        <v>0</v>
      </c>
    </row>
    <row r="906" spans="1:22" x14ac:dyDescent="0.35">
      <c r="A906" t="s">
        <v>1410</v>
      </c>
      <c r="B906" s="2">
        <v>45450</v>
      </c>
      <c r="C906" t="str" cm="1">
        <f t="array" ref="C9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6">
        <f>YEAR(AllDataCorrected[[#This Row],[Date]])</f>
        <v>2024</v>
      </c>
      <c r="E906" s="1">
        <v>0.50416666666666665</v>
      </c>
      <c r="F9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6" t="str">
        <f>_xlfn.XLOOKUP(AllDataCorrected[[#This Row],[Location Name]], Locations[Location Name],Locations[Group As])</f>
        <v>Walcot Lane, Bow Brook Ford</v>
      </c>
      <c r="H906" t="e" vm="6">
        <f>_xlfn.XLOOKUP(AllDataCorrected[[#This Row],[Site Name]],LocationsKey[Site Name],LocationsKey[District])</f>
        <v>#VALUE!</v>
      </c>
      <c r="I906" t="e" vm="7">
        <f>_xlfn.XLOOKUP(AllDataCorrected[[#This Row],[Site Name]],LocationsKey[Site Name],LocationsKey[Town])</f>
        <v>#VALUE!</v>
      </c>
      <c r="J906" t="str">
        <f>_xlfn.XLOOKUP(AllDataCorrected[[#This Row],[Site Name]],LocationsKey[Site Name], LocationsKey[Waterway])</f>
        <v>Bow Brook</v>
      </c>
      <c r="K906" t="s">
        <v>775</v>
      </c>
      <c r="L906">
        <f>_xlfn.XLOOKUP(AllDataCorrected[[#This Row],[Site Name]],Tables!$B$12:$B$100, Tables!C$12:C$100)</f>
        <v>52.12810345454546</v>
      </c>
      <c r="M906">
        <f>_xlfn.XLOOKUP(AllDataCorrected[[#This Row],[Site Name]],Tables!$B$12:$B$100, Tables!D$12:D$100)</f>
        <v>-2.0789593939393938</v>
      </c>
      <c r="N906" t="s">
        <v>25</v>
      </c>
      <c r="O906">
        <v>119</v>
      </c>
      <c r="P906">
        <v>15.6</v>
      </c>
      <c r="Q906">
        <v>5</v>
      </c>
      <c r="R906" t="str">
        <f>IF(AllDataCorrected[[#This Row],[Nitrate (PPM)]]&gt;2, "4. Very high (&gt;2ppm)", IF(AllDataCorrected[[#This Row],[Nitrate (PPM)]]&gt;1, "3. High (1-2ppm)", IF(AllDataCorrected[[#This Row],[Nitrate (PPM)]]&gt;0.5, "2. Some evidence (0.5-1ppm)", IF(AllDataCorrected[[#This Row],[Nitrate (PPM)]]&gt;=0, "1. No evidence (&lt;0.5ppm)"))))</f>
        <v>4. Very high (&gt;2ppm)</v>
      </c>
      <c r="S906">
        <v>1.26</v>
      </c>
      <c r="T9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6">
        <v>0.2</v>
      </c>
      <c r="V906" t="s">
        <v>1411</v>
      </c>
    </row>
    <row r="907" spans="1:22" x14ac:dyDescent="0.35">
      <c r="A907" t="s">
        <v>1412</v>
      </c>
      <c r="B907" s="2">
        <v>45450</v>
      </c>
      <c r="C907" t="str" cm="1">
        <f t="array" ref="C9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7">
        <f>YEAR(AllDataCorrected[[#This Row],[Date]])</f>
        <v>2024</v>
      </c>
      <c r="E907" s="1">
        <v>0.57708333333333328</v>
      </c>
      <c r="F9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7" t="str">
        <f>_xlfn.XLOOKUP(AllDataCorrected[[#This Row],[Location Name]], Locations[Location Name],Locations[Group As])</f>
        <v>Black Bear</v>
      </c>
      <c r="H907" t="e" vm="4">
        <f>_xlfn.XLOOKUP(AllDataCorrected[[#This Row],[Site Name]],LocationsKey[Site Name],LocationsKey[District])</f>
        <v>#VALUE!</v>
      </c>
      <c r="I907" t="e" vm="4">
        <f>_xlfn.XLOOKUP(AllDataCorrected[[#This Row],[Site Name]],LocationsKey[Site Name],LocationsKey[Town])</f>
        <v>#VALUE!</v>
      </c>
      <c r="J907" t="str">
        <f>_xlfn.XLOOKUP(AllDataCorrected[[#This Row],[Site Name]],LocationsKey[Site Name], LocationsKey[Waterway])</f>
        <v>Avon</v>
      </c>
      <c r="K907" t="s">
        <v>1175</v>
      </c>
      <c r="L907">
        <f>_xlfn.XLOOKUP(AllDataCorrected[[#This Row],[Site Name]],Tables!$B$12:$B$100, Tables!C$12:C$100)</f>
        <v>51.997466254237274</v>
      </c>
      <c r="M907">
        <f>_xlfn.XLOOKUP(AllDataCorrected[[#This Row],[Site Name]],Tables!$B$12:$B$100, Tables!D$12:D$100)</f>
        <v>-2.1561788644067801</v>
      </c>
      <c r="N907" t="s">
        <v>25</v>
      </c>
      <c r="O907">
        <v>922</v>
      </c>
      <c r="P907">
        <v>18</v>
      </c>
      <c r="Q907">
        <v>9</v>
      </c>
      <c r="R907" t="str">
        <f>IF(AllDataCorrected[[#This Row],[Nitrate (PPM)]]&gt;2, "4. Very high (&gt;2ppm)", IF(AllDataCorrected[[#This Row],[Nitrate (PPM)]]&gt;1, "3. High (1-2ppm)", IF(AllDataCorrected[[#This Row],[Nitrate (PPM)]]&gt;0.5, "2. Some evidence (0.5-1ppm)", IF(AllDataCorrected[[#This Row],[Nitrate (PPM)]]&gt;=0, "1. No evidence (&lt;0.5ppm)"))))</f>
        <v>4. Very high (&gt;2ppm)</v>
      </c>
      <c r="S907">
        <v>1.81</v>
      </c>
      <c r="T9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7">
        <v>0</v>
      </c>
    </row>
    <row r="908" spans="1:22" x14ac:dyDescent="0.35">
      <c r="A908" t="s">
        <v>1413</v>
      </c>
      <c r="B908" s="2">
        <v>45450</v>
      </c>
      <c r="C908" t="str" cm="1">
        <f t="array" ref="C9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8">
        <f>YEAR(AllDataCorrected[[#This Row],[Date]])</f>
        <v>2024</v>
      </c>
      <c r="E908" s="1">
        <v>0.70833333333333337</v>
      </c>
      <c r="F9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08" t="str">
        <f>_xlfn.XLOOKUP(AllDataCorrected[[#This Row],[Location Name]], Locations[Location Name],Locations[Group As])</f>
        <v>Stour Willington</v>
      </c>
      <c r="H908" t="e" vm="1">
        <f>_xlfn.XLOOKUP(AllDataCorrected[[#This Row],[Site Name]],LocationsKey[Site Name],LocationsKey[District])</f>
        <v>#VALUE!</v>
      </c>
      <c r="I908" t="str">
        <f>_xlfn.XLOOKUP(AllDataCorrected[[#This Row],[Site Name]],LocationsKey[Site Name],LocationsKey[Town])</f>
        <v>Willington</v>
      </c>
      <c r="J908" t="str">
        <f>_xlfn.XLOOKUP(AllDataCorrected[[#This Row],[Site Name]],LocationsKey[Site Name], LocationsKey[Waterway])</f>
        <v>Stour</v>
      </c>
      <c r="K908" t="s">
        <v>521</v>
      </c>
      <c r="L908">
        <f>_xlfn.XLOOKUP(AllDataCorrected[[#This Row],[Site Name]],Tables!$B$12:$B$100, Tables!C$12:C$100)</f>
        <v>52.053227523809518</v>
      </c>
      <c r="M908">
        <f>_xlfn.XLOOKUP(AllDataCorrected[[#This Row],[Site Name]],Tables!$B$12:$B$100, Tables!D$12:D$100)</f>
        <v>-1.6194739523809523</v>
      </c>
      <c r="N908" t="s">
        <v>25</v>
      </c>
      <c r="O908">
        <v>614</v>
      </c>
      <c r="P908">
        <v>15.7</v>
      </c>
      <c r="Q908">
        <v>2</v>
      </c>
      <c r="R908" t="str">
        <f>IF(AllDataCorrected[[#This Row],[Nitrate (PPM)]]&gt;2, "4. Very high (&gt;2ppm)", IF(AllDataCorrected[[#This Row],[Nitrate (PPM)]]&gt;1, "3. High (1-2ppm)", IF(AllDataCorrected[[#This Row],[Nitrate (PPM)]]&gt;0.5, "2. Some evidence (0.5-1ppm)", IF(AllDataCorrected[[#This Row],[Nitrate (PPM)]]&gt;=0, "1. No evidence (&lt;0.5ppm)"))))</f>
        <v>3. High (1-2ppm)</v>
      </c>
      <c r="S908">
        <v>0.33</v>
      </c>
      <c r="T9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08">
        <v>0.5</v>
      </c>
    </row>
    <row r="909" spans="1:22" x14ac:dyDescent="0.35">
      <c r="A909" t="s">
        <v>1415</v>
      </c>
      <c r="B909" s="2">
        <v>45451</v>
      </c>
      <c r="C909" t="str" cm="1">
        <f t="array" ref="C9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09">
        <f>YEAR(AllDataCorrected[[#This Row],[Date]])</f>
        <v>2024</v>
      </c>
      <c r="E909" s="1">
        <v>0.39583333333333331</v>
      </c>
      <c r="F9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09" t="str">
        <f>_xlfn.XLOOKUP(AllDataCorrected[[#This Row],[Location Name]], Locations[Location Name],Locations[Group As])</f>
        <v>Stratford RSC</v>
      </c>
      <c r="H909" t="e" vm="1">
        <f>_xlfn.XLOOKUP(AllDataCorrected[[#This Row],[Site Name]],LocationsKey[Site Name],LocationsKey[District])</f>
        <v>#VALUE!</v>
      </c>
      <c r="I909" t="e" vm="12">
        <f>_xlfn.XLOOKUP(AllDataCorrected[[#This Row],[Site Name]],LocationsKey[Site Name],LocationsKey[Town])</f>
        <v>#VALUE!</v>
      </c>
      <c r="J909" t="str">
        <f>_xlfn.XLOOKUP(AllDataCorrected[[#This Row],[Site Name]],LocationsKey[Site Name], LocationsKey[Waterway])</f>
        <v>Avon</v>
      </c>
      <c r="K909" t="s">
        <v>1416</v>
      </c>
      <c r="L909">
        <f>_xlfn.XLOOKUP(AllDataCorrected[[#This Row],[Site Name]],Tables!$B$12:$B$100, Tables!C$12:C$100)</f>
        <v>0</v>
      </c>
      <c r="M909">
        <f>_xlfn.XLOOKUP(AllDataCorrected[[#This Row],[Site Name]],Tables!$B$12:$B$100, Tables!D$12:D$100)</f>
        <v>0</v>
      </c>
      <c r="N909" t="s">
        <v>3234</v>
      </c>
      <c r="O909">
        <v>726</v>
      </c>
      <c r="P909">
        <v>17.600000000000001</v>
      </c>
      <c r="Q909">
        <v>20</v>
      </c>
      <c r="R909" t="str">
        <f>IF(AllDataCorrected[[#This Row],[Nitrate (PPM)]]&gt;2, "4. Very high (&gt;2ppm)", IF(AllDataCorrected[[#This Row],[Nitrate (PPM)]]&gt;1, "3. High (1-2ppm)", IF(AllDataCorrected[[#This Row],[Nitrate (PPM)]]&gt;0.5, "2. Some evidence (0.5-1ppm)", IF(AllDataCorrected[[#This Row],[Nitrate (PPM)]]&gt;=0, "1. No evidence (&lt;0.5ppm)"))))</f>
        <v>4. Very high (&gt;2ppm)</v>
      </c>
      <c r="S909">
        <v>0.51</v>
      </c>
      <c r="T9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09">
        <v>0</v>
      </c>
      <c r="V909" t="s">
        <v>1417</v>
      </c>
    </row>
    <row r="910" spans="1:22" x14ac:dyDescent="0.35">
      <c r="A910" t="s">
        <v>1418</v>
      </c>
      <c r="B910" s="2">
        <v>45451</v>
      </c>
      <c r="C910" t="str" cm="1">
        <f t="array" ref="C9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0">
        <f>YEAR(AllDataCorrected[[#This Row],[Date]])</f>
        <v>2024</v>
      </c>
      <c r="E910" s="1">
        <v>0.4236111111111111</v>
      </c>
      <c r="F9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0" t="str">
        <f>_xlfn.XLOOKUP(AllDataCorrected[[#This Row],[Location Name]], Locations[Location Name],Locations[Group As])</f>
        <v>Piddle Brook Wyre Piddle Bridge</v>
      </c>
      <c r="H910" t="e" vm="6">
        <f>_xlfn.XLOOKUP(AllDataCorrected[[#This Row],[Site Name]],LocationsKey[Site Name],LocationsKey[District])</f>
        <v>#VALUE!</v>
      </c>
      <c r="I910" t="e" vm="13">
        <f>_xlfn.XLOOKUP(AllDataCorrected[[#This Row],[Site Name]],LocationsKey[Site Name],LocationsKey[Town])</f>
        <v>#VALUE!</v>
      </c>
      <c r="J910" t="str">
        <f>_xlfn.XLOOKUP(AllDataCorrected[[#This Row],[Site Name]],LocationsKey[Site Name], LocationsKey[Waterway])</f>
        <v>Piddle Brook</v>
      </c>
      <c r="K910" t="s">
        <v>787</v>
      </c>
      <c r="L910">
        <f>_xlfn.XLOOKUP(AllDataCorrected[[#This Row],[Site Name]],Tables!$B$12:$B$100, Tables!C$12:C$100)</f>
        <v>52.126394500000039</v>
      </c>
      <c r="M910">
        <f>_xlfn.XLOOKUP(AllDataCorrected[[#This Row],[Site Name]],Tables!$B$12:$B$100, Tables!D$12:D$100)</f>
        <v>-2.0564211206896545</v>
      </c>
      <c r="N910" t="s">
        <v>25</v>
      </c>
      <c r="O910">
        <v>1530</v>
      </c>
      <c r="P910">
        <v>13.8</v>
      </c>
      <c r="Q910">
        <v>10</v>
      </c>
      <c r="R910" t="str">
        <f>IF(AllDataCorrected[[#This Row],[Nitrate (PPM)]]&gt;2, "4. Very high (&gt;2ppm)", IF(AllDataCorrected[[#This Row],[Nitrate (PPM)]]&gt;1, "3. High (1-2ppm)", IF(AllDataCorrected[[#This Row],[Nitrate (PPM)]]&gt;0.5, "2. Some evidence (0.5-1ppm)", IF(AllDataCorrected[[#This Row],[Nitrate (PPM)]]&gt;=0, "1. No evidence (&lt;0.5ppm)"))))</f>
        <v>4. Very high (&gt;2ppm)</v>
      </c>
      <c r="S910">
        <v>0.75</v>
      </c>
      <c r="T9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0">
        <v>0.18</v>
      </c>
      <c r="V910" t="s">
        <v>1419</v>
      </c>
    </row>
    <row r="911" spans="1:22" x14ac:dyDescent="0.35">
      <c r="A911" t="s">
        <v>1420</v>
      </c>
      <c r="B911" s="2">
        <v>45451</v>
      </c>
      <c r="C911" t="str" cm="1">
        <f t="array" ref="C9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1">
        <f>YEAR(AllDataCorrected[[#This Row],[Date]])</f>
        <v>2024</v>
      </c>
      <c r="E911" s="1">
        <v>0.4513888888888889</v>
      </c>
      <c r="F9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1" t="str">
        <f>_xlfn.XLOOKUP(AllDataCorrected[[#This Row],[Location Name]], Locations[Location Name],Locations[Group As])</f>
        <v>Pitch 16</v>
      </c>
      <c r="H911" t="e" vm="1">
        <f>_xlfn.XLOOKUP(AllDataCorrected[[#This Row],[Site Name]],LocationsKey[Site Name],LocationsKey[District])</f>
        <v>#VALUE!</v>
      </c>
      <c r="I911" t="e" vm="12">
        <f>_xlfn.XLOOKUP(AllDataCorrected[[#This Row],[Site Name]],LocationsKey[Site Name],LocationsKey[Town])</f>
        <v>#VALUE!</v>
      </c>
      <c r="J911" t="str">
        <f>_xlfn.XLOOKUP(AllDataCorrected[[#This Row],[Site Name]],LocationsKey[Site Name], LocationsKey[Waterway])</f>
        <v>Avon</v>
      </c>
      <c r="K911" t="s">
        <v>71</v>
      </c>
      <c r="L911">
        <f>_xlfn.XLOOKUP(AllDataCorrected[[#This Row],[Site Name]],Tables!$B$12:$B$100, Tables!C$12:C$100)</f>
        <v>51.289310076923087</v>
      </c>
      <c r="M911">
        <f>_xlfn.XLOOKUP(AllDataCorrected[[#This Row],[Site Name]],Tables!$B$12:$B$100, Tables!D$12:D$100)</f>
        <v>-0.10399761538461544</v>
      </c>
      <c r="N911" t="s">
        <v>31</v>
      </c>
      <c r="O911">
        <v>939</v>
      </c>
      <c r="P911">
        <v>17.399999999999999</v>
      </c>
      <c r="Q911">
        <v>9</v>
      </c>
      <c r="R911" t="str">
        <f>IF(AllDataCorrected[[#This Row],[Nitrate (PPM)]]&gt;2, "4. Very high (&gt;2ppm)", IF(AllDataCorrected[[#This Row],[Nitrate (PPM)]]&gt;1, "3. High (1-2ppm)", IF(AllDataCorrected[[#This Row],[Nitrate (PPM)]]&gt;0.5, "2. Some evidence (0.5-1ppm)", IF(AllDataCorrected[[#This Row],[Nitrate (PPM)]]&gt;=0, "1. No evidence (&lt;0.5ppm)"))))</f>
        <v>4. Very high (&gt;2ppm)</v>
      </c>
      <c r="S911">
        <v>0.59</v>
      </c>
      <c r="T9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1">
        <v>0.68</v>
      </c>
    </row>
    <row r="912" spans="1:22" x14ac:dyDescent="0.35">
      <c r="A912" t="s">
        <v>1421</v>
      </c>
      <c r="B912" s="2">
        <v>45451</v>
      </c>
      <c r="C912" t="str" cm="1">
        <f t="array" ref="C9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2">
        <f>YEAR(AllDataCorrected[[#This Row],[Date]])</f>
        <v>2024</v>
      </c>
      <c r="E912" s="1">
        <v>0.45833333333333331</v>
      </c>
      <c r="F9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2" t="str">
        <f>_xlfn.XLOOKUP(AllDataCorrected[[#This Row],[Location Name]], Locations[Location Name],Locations[Group As])</f>
        <v>Avon Smiths Meadow Wyre Piddle</v>
      </c>
      <c r="H912" t="e" vm="6">
        <f>_xlfn.XLOOKUP(AllDataCorrected[[#This Row],[Site Name]],LocationsKey[Site Name],LocationsKey[District])</f>
        <v>#VALUE!</v>
      </c>
      <c r="I912" t="e" vm="13">
        <f>_xlfn.XLOOKUP(AllDataCorrected[[#This Row],[Site Name]],LocationsKey[Site Name],LocationsKey[Town])</f>
        <v>#VALUE!</v>
      </c>
      <c r="J912" t="str">
        <f>_xlfn.XLOOKUP(AllDataCorrected[[#This Row],[Site Name]],LocationsKey[Site Name], LocationsKey[Waterway])</f>
        <v>Avon</v>
      </c>
      <c r="K912" t="s">
        <v>784</v>
      </c>
      <c r="L912">
        <f>_xlfn.XLOOKUP(AllDataCorrected[[#This Row],[Site Name]],Tables!$B$12:$B$100, Tables!C$12:C$100)</f>
        <v>52.123126101694929</v>
      </c>
      <c r="M912">
        <f>_xlfn.XLOOKUP(AllDataCorrected[[#This Row],[Site Name]],Tables!$B$12:$B$100, Tables!D$12:D$100)</f>
        <v>-2.0572511355932215</v>
      </c>
      <c r="N912" t="s">
        <v>25</v>
      </c>
      <c r="O912">
        <v>936</v>
      </c>
      <c r="P912">
        <v>15.8</v>
      </c>
      <c r="Q912">
        <v>10</v>
      </c>
      <c r="R912" t="str">
        <f>IF(AllDataCorrected[[#This Row],[Nitrate (PPM)]]&gt;2, "4. Very high (&gt;2ppm)", IF(AllDataCorrected[[#This Row],[Nitrate (PPM)]]&gt;1, "3. High (1-2ppm)", IF(AllDataCorrected[[#This Row],[Nitrate (PPM)]]&gt;0.5, "2. Some evidence (0.5-1ppm)", IF(AllDataCorrected[[#This Row],[Nitrate (PPM)]]&gt;=0, "1. No evidence (&lt;0.5ppm)"))))</f>
        <v>4. Very high (&gt;2ppm)</v>
      </c>
      <c r="S912">
        <v>0.78</v>
      </c>
      <c r="T91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2">
        <v>0.59</v>
      </c>
      <c r="V912" t="s">
        <v>1422</v>
      </c>
    </row>
    <row r="913" spans="1:22" x14ac:dyDescent="0.35">
      <c r="A913" t="s">
        <v>1423</v>
      </c>
      <c r="B913" s="2">
        <v>45451</v>
      </c>
      <c r="C913" t="str" cm="1">
        <f t="array" ref="C9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3">
        <f>YEAR(AllDataCorrected[[#This Row],[Date]])</f>
        <v>2024</v>
      </c>
      <c r="E913" s="1">
        <v>0.47638888888888886</v>
      </c>
      <c r="F9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13" t="str">
        <f>_xlfn.XLOOKUP(AllDataCorrected[[#This Row],[Location Name]], Locations[Location Name],Locations[Group As])</f>
        <v>Avonbank Drive</v>
      </c>
      <c r="H913" t="e" vm="1">
        <f>_xlfn.XLOOKUP(AllDataCorrected[[#This Row],[Site Name]],LocationsKey[Site Name],LocationsKey[District])</f>
        <v>#VALUE!</v>
      </c>
      <c r="I913" t="e" vm="12">
        <f>_xlfn.XLOOKUP(AllDataCorrected[[#This Row],[Site Name]],LocationsKey[Site Name],LocationsKey[Town])</f>
        <v>#VALUE!</v>
      </c>
      <c r="J913" t="str">
        <f>_xlfn.XLOOKUP(AllDataCorrected[[#This Row],[Site Name]],LocationsKey[Site Name], LocationsKey[Waterway])</f>
        <v>Avon</v>
      </c>
      <c r="K913" t="s">
        <v>328</v>
      </c>
      <c r="L913">
        <f>_xlfn.XLOOKUP(AllDataCorrected[[#This Row],[Site Name]],Tables!$B$12:$B$100, Tables!C$12:C$100)</f>
        <v>51.566927775862098</v>
      </c>
      <c r="M913">
        <f>_xlfn.XLOOKUP(AllDataCorrected[[#This Row],[Site Name]],Tables!$B$12:$B$100, Tables!D$12:D$100)</f>
        <v>-7.2113336724137929</v>
      </c>
      <c r="N913" t="s">
        <v>68</v>
      </c>
      <c r="O913">
        <v>943</v>
      </c>
      <c r="P913">
        <v>17.2</v>
      </c>
      <c r="Q913">
        <v>10</v>
      </c>
      <c r="R913" t="str">
        <f>IF(AllDataCorrected[[#This Row],[Nitrate (PPM)]]&gt;2, "4. Very high (&gt;2ppm)", IF(AllDataCorrected[[#This Row],[Nitrate (PPM)]]&gt;1, "3. High (1-2ppm)", IF(AllDataCorrected[[#This Row],[Nitrate (PPM)]]&gt;0.5, "2. Some evidence (0.5-1ppm)", IF(AllDataCorrected[[#This Row],[Nitrate (PPM)]]&gt;=0, "1. No evidence (&lt;0.5ppm)"))))</f>
        <v>4. Very high (&gt;2ppm)</v>
      </c>
      <c r="S913">
        <v>0.67</v>
      </c>
      <c r="T9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3">
        <v>0.68</v>
      </c>
    </row>
    <row r="914" spans="1:22" x14ac:dyDescent="0.35">
      <c r="A914" t="s">
        <v>1424</v>
      </c>
      <c r="B914" s="2">
        <v>45451</v>
      </c>
      <c r="C914" t="str" cm="1">
        <f t="array" ref="C9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4">
        <f>YEAR(AllDataCorrected[[#This Row],[Date]])</f>
        <v>2024</v>
      </c>
      <c r="E914" s="1">
        <v>0.6875</v>
      </c>
      <c r="F91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4" t="str">
        <f>_xlfn.XLOOKUP(AllDataCorrected[[#This Row],[Location Name]], Locations[Location Name],Locations[Group As])</f>
        <v>Carrant Bredon Rd</v>
      </c>
      <c r="H914" t="e" vm="4">
        <f>_xlfn.XLOOKUP(AllDataCorrected[[#This Row],[Site Name]],LocationsKey[Site Name],LocationsKey[District])</f>
        <v>#VALUE!</v>
      </c>
      <c r="I914" t="e" vm="4">
        <f>_xlfn.XLOOKUP(AllDataCorrected[[#This Row],[Site Name]],LocationsKey[Site Name],LocationsKey[Town])</f>
        <v>#VALUE!</v>
      </c>
      <c r="J914" t="str">
        <f>_xlfn.XLOOKUP(AllDataCorrected[[#This Row],[Site Name]],LocationsKey[Site Name], LocationsKey[Waterway])</f>
        <v>Carrant</v>
      </c>
      <c r="K914" t="s">
        <v>603</v>
      </c>
      <c r="L914">
        <f>_xlfn.XLOOKUP(AllDataCorrected[[#This Row],[Site Name]],Tables!$B$12:$B$100, Tables!C$12:C$100)</f>
        <v>51.996322536231894</v>
      </c>
      <c r="M914">
        <f>_xlfn.XLOOKUP(AllDataCorrected[[#This Row],[Site Name]],Tables!$B$12:$B$100, Tables!D$12:D$100)</f>
        <v>-2.1558410144927538</v>
      </c>
      <c r="N914" t="s">
        <v>25</v>
      </c>
      <c r="O914">
        <v>749</v>
      </c>
      <c r="P914">
        <v>15.5</v>
      </c>
      <c r="Q914">
        <v>5</v>
      </c>
      <c r="R914" t="str">
        <f>IF(AllDataCorrected[[#This Row],[Nitrate (PPM)]]&gt;2, "4. Very high (&gt;2ppm)", IF(AllDataCorrected[[#This Row],[Nitrate (PPM)]]&gt;1, "3. High (1-2ppm)", IF(AllDataCorrected[[#This Row],[Nitrate (PPM)]]&gt;0.5, "2. Some evidence (0.5-1ppm)", IF(AllDataCorrected[[#This Row],[Nitrate (PPM)]]&gt;=0, "1. No evidence (&lt;0.5ppm)"))))</f>
        <v>4. Very high (&gt;2ppm)</v>
      </c>
      <c r="S914">
        <v>0.36</v>
      </c>
      <c r="T9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4">
        <v>0</v>
      </c>
    </row>
    <row r="915" spans="1:22" x14ac:dyDescent="0.35">
      <c r="A915" t="s">
        <v>1425</v>
      </c>
      <c r="B915" s="2">
        <v>45451</v>
      </c>
      <c r="C915" t="str" cm="1">
        <f t="array" ref="C9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5">
        <f>YEAR(AllDataCorrected[[#This Row],[Date]])</f>
        <v>2024</v>
      </c>
      <c r="E915" s="1">
        <v>0.72916666666666663</v>
      </c>
      <c r="F91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5" t="str">
        <f>_xlfn.XLOOKUP(AllDataCorrected[[#This Row],[Location Name]], Locations[Location Name],Locations[Group As])</f>
        <v>Sherbourne Brook 1</v>
      </c>
      <c r="H915" t="e" vm="1">
        <f>_xlfn.XLOOKUP(AllDataCorrected[[#This Row],[Site Name]],LocationsKey[Site Name],LocationsKey[District])</f>
        <v>#VALUE!</v>
      </c>
      <c r="I915" t="e" vm="23">
        <f>_xlfn.XLOOKUP(AllDataCorrected[[#This Row],[Site Name]],LocationsKey[Site Name],LocationsKey[Town])</f>
        <v>#VALUE!</v>
      </c>
      <c r="J915" t="str">
        <f>_xlfn.XLOOKUP(AllDataCorrected[[#This Row],[Site Name]],LocationsKey[Site Name], LocationsKey[Waterway])</f>
        <v>Sherbourne Brook</v>
      </c>
      <c r="K915" t="s">
        <v>541</v>
      </c>
      <c r="L915">
        <f>_xlfn.XLOOKUP(AllDataCorrected[[#This Row],[Site Name]],Tables!$B$12:$B$100, Tables!C$12:C$100)</f>
        <v>52.252500000000033</v>
      </c>
      <c r="M915">
        <f>_xlfn.XLOOKUP(AllDataCorrected[[#This Row],[Site Name]],Tables!$B$12:$B$100, Tables!D$12:D$100)</f>
        <v>-1.6685000000000012</v>
      </c>
      <c r="N915" t="s">
        <v>25</v>
      </c>
      <c r="O915">
        <v>1070</v>
      </c>
      <c r="P915">
        <v>14.3</v>
      </c>
      <c r="Q915">
        <v>10</v>
      </c>
      <c r="R915" t="str">
        <f>IF(AllDataCorrected[[#This Row],[Nitrate (PPM)]]&gt;2, "4. Very high (&gt;2ppm)", IF(AllDataCorrected[[#This Row],[Nitrate (PPM)]]&gt;1, "3. High (1-2ppm)", IF(AllDataCorrected[[#This Row],[Nitrate (PPM)]]&gt;0.5, "2. Some evidence (0.5-1ppm)", IF(AllDataCorrected[[#This Row],[Nitrate (PPM)]]&gt;=0, "1. No evidence (&lt;0.5ppm)"))))</f>
        <v>4. Very high (&gt;2ppm)</v>
      </c>
      <c r="S915">
        <v>0.37</v>
      </c>
      <c r="T91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5">
        <v>0.2</v>
      </c>
    </row>
    <row r="916" spans="1:22" x14ac:dyDescent="0.35">
      <c r="A916" t="s">
        <v>1426</v>
      </c>
      <c r="B916" s="2">
        <v>45451</v>
      </c>
      <c r="C916" t="str" cm="1">
        <f t="array" ref="C9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6">
        <f>YEAR(AllDataCorrected[[#This Row],[Date]])</f>
        <v>2024</v>
      </c>
      <c r="E916" s="1">
        <v>0.73958333333333337</v>
      </c>
      <c r="F9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16" t="str">
        <f>_xlfn.XLOOKUP(AllDataCorrected[[#This Row],[Location Name]], Locations[Location Name],Locations[Group As])</f>
        <v>Bell Brook 1</v>
      </c>
      <c r="H916" t="e" vm="1">
        <f>_xlfn.XLOOKUP(AllDataCorrected[[#This Row],[Site Name]],LocationsKey[Site Name],LocationsKey[District])</f>
        <v>#VALUE!</v>
      </c>
      <c r="I916" t="e" vm="19">
        <f>_xlfn.XLOOKUP(AllDataCorrected[[#This Row],[Site Name]],LocationsKey[Site Name],LocationsKey[Town])</f>
        <v>#VALUE!</v>
      </c>
      <c r="J916" t="str">
        <f>_xlfn.XLOOKUP(AllDataCorrected[[#This Row],[Site Name]],LocationsKey[Site Name], LocationsKey[Waterway])</f>
        <v>Bell Brook</v>
      </c>
      <c r="K916" t="s">
        <v>538</v>
      </c>
      <c r="L916">
        <f>_xlfn.XLOOKUP(AllDataCorrected[[#This Row],[Site Name]],Tables!$B$12:$B$100, Tables!C$12:C$100)</f>
        <v>52.24489999999998</v>
      </c>
      <c r="M916">
        <f>_xlfn.XLOOKUP(AllDataCorrected[[#This Row],[Site Name]],Tables!$B$12:$B$100, Tables!D$12:D$100)</f>
        <v>-1.6617000000000013</v>
      </c>
      <c r="N916" t="s">
        <v>25</v>
      </c>
      <c r="O916">
        <v>821</v>
      </c>
      <c r="P916">
        <v>15.8</v>
      </c>
      <c r="Q916">
        <v>5</v>
      </c>
      <c r="R916" t="str">
        <f>IF(AllDataCorrected[[#This Row],[Nitrate (PPM)]]&gt;2, "4. Very high (&gt;2ppm)", IF(AllDataCorrected[[#This Row],[Nitrate (PPM)]]&gt;1, "3. High (1-2ppm)", IF(AllDataCorrected[[#This Row],[Nitrate (PPM)]]&gt;0.5, "2. Some evidence (0.5-1ppm)", IF(AllDataCorrected[[#This Row],[Nitrate (PPM)]]&gt;=0, "1. No evidence (&lt;0.5ppm)"))))</f>
        <v>4. Very high (&gt;2ppm)</v>
      </c>
      <c r="S916">
        <v>0.48</v>
      </c>
      <c r="T9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6">
        <v>0.2</v>
      </c>
    </row>
    <row r="917" spans="1:22" x14ac:dyDescent="0.35">
      <c r="A917" t="s">
        <v>1427</v>
      </c>
      <c r="B917" s="2">
        <v>45452</v>
      </c>
      <c r="C917" t="str" cm="1">
        <f t="array" ref="C9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7">
        <f>YEAR(AllDataCorrected[[#This Row],[Date]])</f>
        <v>2024</v>
      </c>
      <c r="E917" s="1">
        <v>0.82777777777777772</v>
      </c>
      <c r="F91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17" t="str">
        <f>_xlfn.XLOOKUP(AllDataCorrected[[#This Row],[Location Name]], Locations[Location Name],Locations[Group As])</f>
        <v>The Ford, Langley</v>
      </c>
      <c r="H917" t="e" vm="1">
        <f>_xlfn.XLOOKUP(AllDataCorrected[[#This Row],[Site Name]],LocationsKey[Site Name],LocationsKey[District])</f>
        <v>#VALUE!</v>
      </c>
      <c r="I917" t="str">
        <f>_xlfn.XLOOKUP(AllDataCorrected[[#This Row],[Site Name]],LocationsKey[Site Name],LocationsKey[Town])</f>
        <v>Langley</v>
      </c>
      <c r="J917" t="str">
        <f>_xlfn.XLOOKUP(AllDataCorrected[[#This Row],[Site Name]],LocationsKey[Site Name], LocationsKey[Waterway])</f>
        <v>Langley Ford</v>
      </c>
      <c r="K917" t="s">
        <v>561</v>
      </c>
      <c r="L917">
        <f>_xlfn.XLOOKUP(AllDataCorrected[[#This Row],[Site Name]],Tables!$B$12:$B$100, Tables!C$12:C$100)</f>
        <v>52.262666528301864</v>
      </c>
      <c r="M917">
        <f>_xlfn.XLOOKUP(AllDataCorrected[[#This Row],[Site Name]],Tables!$B$12:$B$100, Tables!D$12:D$100)</f>
        <v>-1.6545845283018858</v>
      </c>
      <c r="N917" t="s">
        <v>31</v>
      </c>
      <c r="O917">
        <v>811</v>
      </c>
      <c r="P917">
        <v>12.5</v>
      </c>
      <c r="Q917">
        <v>5</v>
      </c>
      <c r="R917" t="str">
        <f>IF(AllDataCorrected[[#This Row],[Nitrate (PPM)]]&gt;2, "4. Very high (&gt;2ppm)", IF(AllDataCorrected[[#This Row],[Nitrate (PPM)]]&gt;1, "3. High (1-2ppm)", IF(AllDataCorrected[[#This Row],[Nitrate (PPM)]]&gt;0.5, "2. Some evidence (0.5-1ppm)", IF(AllDataCorrected[[#This Row],[Nitrate (PPM)]]&gt;=0, "1. No evidence (&lt;0.5ppm)"))))</f>
        <v>4. Very high (&gt;2ppm)</v>
      </c>
      <c r="S917">
        <v>0.56000000000000005</v>
      </c>
      <c r="T9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17">
        <v>0.15</v>
      </c>
    </row>
    <row r="918" spans="1:22" x14ac:dyDescent="0.35">
      <c r="A918" t="s">
        <v>1428</v>
      </c>
      <c r="B918" s="2">
        <v>45452</v>
      </c>
      <c r="C918" t="str" cm="1">
        <f t="array" ref="C9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8">
        <f>YEAR(AllDataCorrected[[#This Row],[Date]])</f>
        <v>2024</v>
      </c>
      <c r="F91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18" t="str">
        <f>_xlfn.XLOOKUP(AllDataCorrected[[#This Row],[Location Name]], Locations[Location Name],Locations[Group As])</f>
        <v>Site 1  :  Middle Street</v>
      </c>
      <c r="H918" t="e" vm="1">
        <f>_xlfn.XLOOKUP(AllDataCorrected[[#This Row],[Site Name]],LocationsKey[Site Name],LocationsKey[District])</f>
        <v>#VALUE!</v>
      </c>
      <c r="I918" t="e" vm="14">
        <f>_xlfn.XLOOKUP(AllDataCorrected[[#This Row],[Site Name]],LocationsKey[Site Name],LocationsKey[Town])</f>
        <v>#VALUE!</v>
      </c>
      <c r="J918" t="str">
        <f>_xlfn.XLOOKUP(AllDataCorrected[[#This Row],[Site Name]],LocationsKey[Site Name], LocationsKey[Waterway])</f>
        <v>Fosseway Brook</v>
      </c>
      <c r="K918" t="s">
        <v>667</v>
      </c>
      <c r="L918">
        <f>_xlfn.XLOOKUP(AllDataCorrected[[#This Row],[Site Name]],Tables!$B$12:$B$100, Tables!C$12:C$100)</f>
        <v>52.090081855670022</v>
      </c>
      <c r="M918">
        <f>_xlfn.XLOOKUP(AllDataCorrected[[#This Row],[Site Name]],Tables!$B$12:$B$100, Tables!D$12:D$100)</f>
        <v>-1.6925771134020597</v>
      </c>
      <c r="N918" t="s">
        <v>68</v>
      </c>
      <c r="O918">
        <v>640</v>
      </c>
      <c r="P918">
        <v>17.2</v>
      </c>
      <c r="Q918">
        <v>2</v>
      </c>
      <c r="R918" t="str">
        <f>IF(AllDataCorrected[[#This Row],[Nitrate (PPM)]]&gt;2, "4. Very high (&gt;2ppm)", IF(AllDataCorrected[[#This Row],[Nitrate (PPM)]]&gt;1, "3. High (1-2ppm)", IF(AllDataCorrected[[#This Row],[Nitrate (PPM)]]&gt;0.5, "2. Some evidence (0.5-1ppm)", IF(AllDataCorrected[[#This Row],[Nitrate (PPM)]]&gt;=0, "1. No evidence (&lt;0.5ppm)"))))</f>
        <v>3. High (1-2ppm)</v>
      </c>
      <c r="S918">
        <v>0.13</v>
      </c>
      <c r="T91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18">
        <v>0</v>
      </c>
      <c r="V918" t="s">
        <v>1429</v>
      </c>
    </row>
    <row r="919" spans="1:22" x14ac:dyDescent="0.35">
      <c r="A919" t="s">
        <v>1430</v>
      </c>
      <c r="B919" s="2">
        <v>45452</v>
      </c>
      <c r="C919" t="str" cm="1">
        <f t="array" ref="C9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19">
        <f>YEAR(AllDataCorrected[[#This Row],[Date]])</f>
        <v>2024</v>
      </c>
      <c r="F91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19" t="str">
        <f>_xlfn.XLOOKUP(AllDataCorrected[[#This Row],[Location Name]], Locations[Location Name],Locations[Group As])</f>
        <v>Site 1  :  Middle Street</v>
      </c>
      <c r="H919" t="e" vm="1">
        <f>_xlfn.XLOOKUP(AllDataCorrected[[#This Row],[Site Name]],LocationsKey[Site Name],LocationsKey[District])</f>
        <v>#VALUE!</v>
      </c>
      <c r="I919" t="e" vm="14">
        <f>_xlfn.XLOOKUP(AllDataCorrected[[#This Row],[Site Name]],LocationsKey[Site Name],LocationsKey[Town])</f>
        <v>#VALUE!</v>
      </c>
      <c r="J919" t="str">
        <f>_xlfn.XLOOKUP(AllDataCorrected[[#This Row],[Site Name]],LocationsKey[Site Name], LocationsKey[Waterway])</f>
        <v>Fosseway Brook</v>
      </c>
      <c r="K919" t="s">
        <v>670</v>
      </c>
      <c r="L919">
        <f>_xlfn.XLOOKUP(AllDataCorrected[[#This Row],[Site Name]],Tables!$B$12:$B$100, Tables!C$12:C$100)</f>
        <v>52.090081855670022</v>
      </c>
      <c r="M919">
        <f>_xlfn.XLOOKUP(AllDataCorrected[[#This Row],[Site Name]],Tables!$B$12:$B$100, Tables!D$12:D$100)</f>
        <v>-1.6925771134020597</v>
      </c>
      <c r="N919" t="s">
        <v>68</v>
      </c>
      <c r="O919">
        <v>640</v>
      </c>
      <c r="P919">
        <v>17.2</v>
      </c>
      <c r="Q919">
        <v>2</v>
      </c>
      <c r="R919" t="str">
        <f>IF(AllDataCorrected[[#This Row],[Nitrate (PPM)]]&gt;2, "4. Very high (&gt;2ppm)", IF(AllDataCorrected[[#This Row],[Nitrate (PPM)]]&gt;1, "3. High (1-2ppm)", IF(AllDataCorrected[[#This Row],[Nitrate (PPM)]]&gt;0.5, "2. Some evidence (0.5-1ppm)", IF(AllDataCorrected[[#This Row],[Nitrate (PPM)]]&gt;=0, "1. No evidence (&lt;0.5ppm)"))))</f>
        <v>3. High (1-2ppm)</v>
      </c>
      <c r="S919">
        <v>0.13</v>
      </c>
      <c r="T9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919" t="s">
        <v>1431</v>
      </c>
    </row>
    <row r="920" spans="1:22" x14ac:dyDescent="0.35">
      <c r="A920" t="s">
        <v>1432</v>
      </c>
      <c r="B920" s="2">
        <v>45452</v>
      </c>
      <c r="C920" t="str" cm="1">
        <f t="array" ref="C9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0">
        <f>YEAR(AllDataCorrected[[#This Row],[Date]])</f>
        <v>2024</v>
      </c>
      <c r="F92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0" t="str">
        <f>_xlfn.XLOOKUP(AllDataCorrected[[#This Row],[Location Name]], Locations[Location Name],Locations[Group As])</f>
        <v>Site 2  :  Cross Leys culvert</v>
      </c>
      <c r="H920" t="e" vm="1">
        <f>_xlfn.XLOOKUP(AllDataCorrected[[#This Row],[Site Name]],LocationsKey[Site Name],LocationsKey[District])</f>
        <v>#VALUE!</v>
      </c>
      <c r="I920" t="e" vm="14">
        <f>_xlfn.XLOOKUP(AllDataCorrected[[#This Row],[Site Name]],LocationsKey[Site Name],LocationsKey[Town])</f>
        <v>#VALUE!</v>
      </c>
      <c r="J920" t="str">
        <f>_xlfn.XLOOKUP(AllDataCorrected[[#This Row],[Site Name]],LocationsKey[Site Name], LocationsKey[Waterway])</f>
        <v>Fosseway Brook</v>
      </c>
      <c r="K920" t="s">
        <v>623</v>
      </c>
      <c r="L920">
        <f>_xlfn.XLOOKUP(AllDataCorrected[[#This Row],[Site Name]],Tables!$B$12:$B$100, Tables!C$12:C$100)</f>
        <v>52.092997354838673</v>
      </c>
      <c r="M920">
        <f>_xlfn.XLOOKUP(AllDataCorrected[[#This Row],[Site Name]],Tables!$B$12:$B$100, Tables!D$12:D$100)</f>
        <v>-1.6862254516129045</v>
      </c>
      <c r="N920" t="s">
        <v>68</v>
      </c>
      <c r="O920">
        <v>742</v>
      </c>
      <c r="P920">
        <v>13.3</v>
      </c>
      <c r="Q920">
        <v>2</v>
      </c>
      <c r="R920" t="str">
        <f>IF(AllDataCorrected[[#This Row],[Nitrate (PPM)]]&gt;2, "4. Very high (&gt;2ppm)", IF(AllDataCorrected[[#This Row],[Nitrate (PPM)]]&gt;1, "3. High (1-2ppm)", IF(AllDataCorrected[[#This Row],[Nitrate (PPM)]]&gt;0.5, "2. Some evidence (0.5-1ppm)", IF(AllDataCorrected[[#This Row],[Nitrate (PPM)]]&gt;=0, "1. No evidence (&lt;0.5ppm)"))))</f>
        <v>3. High (1-2ppm)</v>
      </c>
      <c r="S920">
        <v>0.59</v>
      </c>
      <c r="T9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0">
        <v>0</v>
      </c>
      <c r="V920" t="s">
        <v>835</v>
      </c>
    </row>
    <row r="921" spans="1:22" x14ac:dyDescent="0.35">
      <c r="A921" t="s">
        <v>1433</v>
      </c>
      <c r="B921" s="2">
        <v>45452</v>
      </c>
      <c r="C921" t="str" cm="1">
        <f t="array" ref="C9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1">
        <f>YEAR(AllDataCorrected[[#This Row],[Date]])</f>
        <v>2024</v>
      </c>
      <c r="F92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1" t="str">
        <f>_xlfn.XLOOKUP(AllDataCorrected[[#This Row],[Location Name]], Locations[Location Name],Locations[Group As])</f>
        <v>Site 2  :  Cross Leys culvert</v>
      </c>
      <c r="H921" t="e" vm="1">
        <f>_xlfn.XLOOKUP(AllDataCorrected[[#This Row],[Site Name]],LocationsKey[Site Name],LocationsKey[District])</f>
        <v>#VALUE!</v>
      </c>
      <c r="I921" t="e" vm="14">
        <f>_xlfn.XLOOKUP(AllDataCorrected[[#This Row],[Site Name]],LocationsKey[Site Name],LocationsKey[Town])</f>
        <v>#VALUE!</v>
      </c>
      <c r="J921" t="str">
        <f>_xlfn.XLOOKUP(AllDataCorrected[[#This Row],[Site Name]],LocationsKey[Site Name], LocationsKey[Waterway])</f>
        <v>Fosseway Brook</v>
      </c>
      <c r="K921" t="s">
        <v>626</v>
      </c>
      <c r="L921">
        <f>_xlfn.XLOOKUP(AllDataCorrected[[#This Row],[Site Name]],Tables!$B$12:$B$100, Tables!C$12:C$100)</f>
        <v>52.092997354838673</v>
      </c>
      <c r="M921">
        <f>_xlfn.XLOOKUP(AllDataCorrected[[#This Row],[Site Name]],Tables!$B$12:$B$100, Tables!D$12:D$100)</f>
        <v>-1.6862254516129045</v>
      </c>
      <c r="N921" t="s">
        <v>68</v>
      </c>
      <c r="O921">
        <v>742</v>
      </c>
      <c r="P921">
        <v>13.3</v>
      </c>
      <c r="Q921">
        <v>2</v>
      </c>
      <c r="R921" t="str">
        <f>IF(AllDataCorrected[[#This Row],[Nitrate (PPM)]]&gt;2, "4. Very high (&gt;2ppm)", IF(AllDataCorrected[[#This Row],[Nitrate (PPM)]]&gt;1, "3. High (1-2ppm)", IF(AllDataCorrected[[#This Row],[Nitrate (PPM)]]&gt;0.5, "2. Some evidence (0.5-1ppm)", IF(AllDataCorrected[[#This Row],[Nitrate (PPM)]]&gt;=0, "1. No evidence (&lt;0.5ppm)"))))</f>
        <v>3. High (1-2ppm)</v>
      </c>
      <c r="S921">
        <v>0.59</v>
      </c>
      <c r="T9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22" spans="1:22" x14ac:dyDescent="0.35">
      <c r="A922" t="s">
        <v>1434</v>
      </c>
      <c r="B922" s="2">
        <v>45452</v>
      </c>
      <c r="C922" t="str" cm="1">
        <f t="array" ref="C9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2">
        <f>YEAR(AllDataCorrected[[#This Row],[Date]])</f>
        <v>2024</v>
      </c>
      <c r="F92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2" t="str">
        <f>_xlfn.XLOOKUP(AllDataCorrected[[#This Row],[Location Name]], Locations[Location Name],Locations[Group As])</f>
        <v>Site 3  :  Severn Trent Water processing plant outflow</v>
      </c>
      <c r="H922" t="e" vm="1">
        <f>_xlfn.XLOOKUP(AllDataCorrected[[#This Row],[Site Name]],LocationsKey[Site Name],LocationsKey[District])</f>
        <v>#VALUE!</v>
      </c>
      <c r="I922" t="e" vm="14">
        <f>_xlfn.XLOOKUP(AllDataCorrected[[#This Row],[Site Name]],LocationsKey[Site Name],LocationsKey[Town])</f>
        <v>#VALUE!</v>
      </c>
      <c r="J922" t="str">
        <f>_xlfn.XLOOKUP(AllDataCorrected[[#This Row],[Site Name]],LocationsKey[Site Name], LocationsKey[Waterway])</f>
        <v>Fosseway Brook</v>
      </c>
      <c r="K922" t="s">
        <v>673</v>
      </c>
      <c r="L922">
        <f>_xlfn.XLOOKUP(AllDataCorrected[[#This Row],[Site Name]],Tables!$B$12:$B$100, Tables!C$12:C$100)</f>
        <v>52.130499999999998</v>
      </c>
      <c r="M922">
        <f>_xlfn.XLOOKUP(AllDataCorrected[[#This Row],[Site Name]],Tables!$B$12:$B$100, Tables!D$12:D$100)</f>
        <v>-2.0787</v>
      </c>
      <c r="N922" t="s">
        <v>31</v>
      </c>
      <c r="O922">
        <v>923</v>
      </c>
      <c r="P922">
        <v>15.7</v>
      </c>
      <c r="Q922">
        <v>10</v>
      </c>
      <c r="R922" t="str">
        <f>IF(AllDataCorrected[[#This Row],[Nitrate (PPM)]]&gt;2, "4. Very high (&gt;2ppm)", IF(AllDataCorrected[[#This Row],[Nitrate (PPM)]]&gt;1, "3. High (1-2ppm)", IF(AllDataCorrected[[#This Row],[Nitrate (PPM)]]&gt;0.5, "2. Some evidence (0.5-1ppm)", IF(AllDataCorrected[[#This Row],[Nitrate (PPM)]]&gt;=0, "1. No evidence (&lt;0.5ppm)"))))</f>
        <v>4. Very high (&gt;2ppm)</v>
      </c>
      <c r="S922">
        <v>2.5</v>
      </c>
      <c r="T9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2">
        <v>0</v>
      </c>
      <c r="V922" t="s">
        <v>840</v>
      </c>
    </row>
    <row r="923" spans="1:22" x14ac:dyDescent="0.35">
      <c r="A923" t="s">
        <v>1435</v>
      </c>
      <c r="B923" s="2">
        <v>45452</v>
      </c>
      <c r="C923" t="str" cm="1">
        <f t="array" ref="C9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3">
        <f>YEAR(AllDataCorrected[[#This Row],[Date]])</f>
        <v>2024</v>
      </c>
      <c r="F9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23" t="str">
        <f>_xlfn.XLOOKUP(AllDataCorrected[[#This Row],[Location Name]], Locations[Location Name],Locations[Group As])</f>
        <v>Site 3  :  Severn Trent Water processing plant outflow</v>
      </c>
      <c r="H923" t="e" vm="1">
        <f>_xlfn.XLOOKUP(AllDataCorrected[[#This Row],[Site Name]],LocationsKey[Site Name],LocationsKey[District])</f>
        <v>#VALUE!</v>
      </c>
      <c r="I923" t="e" vm="14">
        <f>_xlfn.XLOOKUP(AllDataCorrected[[#This Row],[Site Name]],LocationsKey[Site Name],LocationsKey[Town])</f>
        <v>#VALUE!</v>
      </c>
      <c r="J923" t="str">
        <f>_xlfn.XLOOKUP(AllDataCorrected[[#This Row],[Site Name]],LocationsKey[Site Name], LocationsKey[Waterway])</f>
        <v>Fosseway Brook</v>
      </c>
      <c r="K923" t="s">
        <v>676</v>
      </c>
      <c r="L923">
        <f>_xlfn.XLOOKUP(AllDataCorrected[[#This Row],[Site Name]],Tables!$B$12:$B$100, Tables!C$12:C$100)</f>
        <v>52.130499999999998</v>
      </c>
      <c r="M923">
        <f>_xlfn.XLOOKUP(AllDataCorrected[[#This Row],[Site Name]],Tables!$B$12:$B$100, Tables!D$12:D$100)</f>
        <v>-2.0787</v>
      </c>
      <c r="N923" t="s">
        <v>31</v>
      </c>
      <c r="O923">
        <v>923</v>
      </c>
      <c r="P923">
        <v>15.7</v>
      </c>
      <c r="Q923">
        <v>10</v>
      </c>
      <c r="R923" t="str">
        <f>IF(AllDataCorrected[[#This Row],[Nitrate (PPM)]]&gt;2, "4. Very high (&gt;2ppm)", IF(AllDataCorrected[[#This Row],[Nitrate (PPM)]]&gt;1, "3. High (1-2ppm)", IF(AllDataCorrected[[#This Row],[Nitrate (PPM)]]&gt;0.5, "2. Some evidence (0.5-1ppm)", IF(AllDataCorrected[[#This Row],[Nitrate (PPM)]]&gt;=0, "1. No evidence (&lt;0.5ppm)"))))</f>
        <v>4. Very high (&gt;2ppm)</v>
      </c>
      <c r="S923">
        <v>2.5</v>
      </c>
      <c r="T92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24" spans="1:22" x14ac:dyDescent="0.35">
      <c r="A924" t="s">
        <v>1437</v>
      </c>
      <c r="B924" s="2">
        <v>45453</v>
      </c>
      <c r="C924" t="str" cm="1">
        <f t="array" ref="C9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4">
        <f>YEAR(AllDataCorrected[[#This Row],[Date]])</f>
        <v>2024</v>
      </c>
      <c r="E924" s="1">
        <v>0.73333333333333328</v>
      </c>
      <c r="F92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4" t="str">
        <f>_xlfn.XLOOKUP(AllDataCorrected[[#This Row],[Location Name]], Locations[Location Name],Locations[Group As])</f>
        <v>Stour Stretton-on-Fosse Village</v>
      </c>
      <c r="H924" t="e" vm="1">
        <f>_xlfn.XLOOKUP(AllDataCorrected[[#This Row],[Site Name]],LocationsKey[Site Name],LocationsKey[District])</f>
        <v>#VALUE!</v>
      </c>
      <c r="I924" t="e" vm="30">
        <f>_xlfn.XLOOKUP(AllDataCorrected[[#This Row],[Site Name]],LocationsKey[Site Name],LocationsKey[Town])</f>
        <v>#VALUE!</v>
      </c>
      <c r="J924" t="str">
        <f>_xlfn.XLOOKUP(AllDataCorrected[[#This Row],[Site Name]],LocationsKey[Site Name], LocationsKey[Waterway])</f>
        <v>Stour</v>
      </c>
      <c r="K924" t="s">
        <v>548</v>
      </c>
      <c r="L924">
        <f>_xlfn.XLOOKUP(AllDataCorrected[[#This Row],[Site Name]],Tables!$B$12:$B$100, Tables!C$12:C$100)</f>
        <v>52.046517558823531</v>
      </c>
      <c r="M924">
        <f>_xlfn.XLOOKUP(AllDataCorrected[[#This Row],[Site Name]],Tables!$B$12:$B$100, Tables!D$12:D$100)</f>
        <v>-1.6734143529411762</v>
      </c>
      <c r="N924" t="s">
        <v>68</v>
      </c>
      <c r="O924">
        <v>700</v>
      </c>
      <c r="P924">
        <v>12.7</v>
      </c>
      <c r="Q924">
        <v>2</v>
      </c>
      <c r="R924" t="str">
        <f>IF(AllDataCorrected[[#This Row],[Nitrate (PPM)]]&gt;2, "4. Very high (&gt;2ppm)", IF(AllDataCorrected[[#This Row],[Nitrate (PPM)]]&gt;1, "3. High (1-2ppm)", IF(AllDataCorrected[[#This Row],[Nitrate (PPM)]]&gt;0.5, "2. Some evidence (0.5-1ppm)", IF(AllDataCorrected[[#This Row],[Nitrate (PPM)]]&gt;=0, "1. No evidence (&lt;0.5ppm)"))))</f>
        <v>3. High (1-2ppm)</v>
      </c>
      <c r="S924">
        <v>2.5</v>
      </c>
      <c r="T9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4">
        <v>0.2</v>
      </c>
      <c r="V924" t="s">
        <v>1438</v>
      </c>
    </row>
    <row r="925" spans="1:22" x14ac:dyDescent="0.35">
      <c r="A925" t="s">
        <v>1439</v>
      </c>
      <c r="B925" s="2">
        <v>45453</v>
      </c>
      <c r="C925" t="str" cm="1">
        <f t="array" ref="C9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5">
        <f>YEAR(AllDataCorrected[[#This Row],[Date]])</f>
        <v>2024</v>
      </c>
      <c r="E925" s="1">
        <v>0.74513888888888891</v>
      </c>
      <c r="F92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5" t="str">
        <f>_xlfn.XLOOKUP(AllDataCorrected[[#This Row],[Location Name]], Locations[Location Name],Locations[Group As])</f>
        <v>Stour Stretton-on-Fosse Sewage Works</v>
      </c>
      <c r="H925" t="e" vm="1">
        <f>_xlfn.XLOOKUP(AllDataCorrected[[#This Row],[Site Name]],LocationsKey[Site Name],LocationsKey[District])</f>
        <v>#VALUE!</v>
      </c>
      <c r="I925" t="e" vm="30">
        <f>_xlfn.XLOOKUP(AllDataCorrected[[#This Row],[Site Name]],LocationsKey[Site Name],LocationsKey[Town])</f>
        <v>#VALUE!</v>
      </c>
      <c r="J925" t="str">
        <f>_xlfn.XLOOKUP(AllDataCorrected[[#This Row],[Site Name]],LocationsKey[Site Name], LocationsKey[Waterway])</f>
        <v>Stour</v>
      </c>
      <c r="K925" t="s">
        <v>337</v>
      </c>
      <c r="L925">
        <f>_xlfn.XLOOKUP(AllDataCorrected[[#This Row],[Site Name]],Tables!$B$12:$B$100, Tables!C$12:C$100)</f>
        <v>52.045653647058828</v>
      </c>
      <c r="M925">
        <f>_xlfn.XLOOKUP(AllDataCorrected[[#This Row],[Site Name]],Tables!$B$12:$B$100, Tables!D$12:D$100)</f>
        <v>-1.6719221470588239</v>
      </c>
      <c r="N925" t="s">
        <v>31</v>
      </c>
      <c r="O925">
        <v>823</v>
      </c>
      <c r="P925">
        <v>14.1</v>
      </c>
      <c r="Q925">
        <v>5</v>
      </c>
      <c r="R925" t="str">
        <f>IF(AllDataCorrected[[#This Row],[Nitrate (PPM)]]&gt;2, "4. Very high (&gt;2ppm)", IF(AllDataCorrected[[#This Row],[Nitrate (PPM)]]&gt;1, "3. High (1-2ppm)", IF(AllDataCorrected[[#This Row],[Nitrate (PPM)]]&gt;0.5, "2. Some evidence (0.5-1ppm)", IF(AllDataCorrected[[#This Row],[Nitrate (PPM)]]&gt;=0, "1. No evidence (&lt;0.5ppm)"))))</f>
        <v>4. Very high (&gt;2ppm)</v>
      </c>
      <c r="S925">
        <v>2.5</v>
      </c>
      <c r="T9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5">
        <v>0.3</v>
      </c>
      <c r="V925" t="s">
        <v>1438</v>
      </c>
    </row>
    <row r="926" spans="1:22" x14ac:dyDescent="0.35">
      <c r="A926" t="s">
        <v>1442</v>
      </c>
      <c r="B926" s="2">
        <v>45454</v>
      </c>
      <c r="C926" t="str" cm="1">
        <f t="array" ref="C9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6">
        <f>YEAR(AllDataCorrected[[#This Row],[Date]])</f>
        <v>2024</v>
      </c>
      <c r="E926" s="1">
        <v>0.44513888888888886</v>
      </c>
      <c r="F9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26" t="str">
        <f>_xlfn.XLOOKUP(AllDataCorrected[[#This Row],[Location Name]], Locations[Location Name],Locations[Group As])</f>
        <v>Carrant Mitton Path</v>
      </c>
      <c r="H926" t="e" vm="4">
        <f>_xlfn.XLOOKUP(AllDataCorrected[[#This Row],[Site Name]],LocationsKey[Site Name],LocationsKey[District])</f>
        <v>#VALUE!</v>
      </c>
      <c r="I926" t="e" vm="4">
        <f>_xlfn.XLOOKUP(AllDataCorrected[[#This Row],[Site Name]],LocationsKey[Site Name],LocationsKey[Town])</f>
        <v>#VALUE!</v>
      </c>
      <c r="J926" t="str">
        <f>_xlfn.XLOOKUP(AllDataCorrected[[#This Row],[Site Name]],LocationsKey[Site Name], LocationsKey[Waterway])</f>
        <v>Carrant</v>
      </c>
      <c r="K926" t="s">
        <v>1064</v>
      </c>
      <c r="L926">
        <f>_xlfn.XLOOKUP(AllDataCorrected[[#This Row],[Site Name]],Tables!$B$12:$B$100, Tables!C$12:C$100)</f>
        <v>52.048665</v>
      </c>
      <c r="M926">
        <f>_xlfn.XLOOKUP(AllDataCorrected[[#This Row],[Site Name]],Tables!$B$12:$B$100, Tables!D$12:D$100)</f>
        <v>-1.7862663333333331</v>
      </c>
      <c r="N926" t="s">
        <v>25</v>
      </c>
      <c r="O926">
        <v>707</v>
      </c>
      <c r="P926">
        <v>14.5</v>
      </c>
      <c r="Q926">
        <v>6</v>
      </c>
      <c r="R926" t="str">
        <f>IF(AllDataCorrected[[#This Row],[Nitrate (PPM)]]&gt;2, "4. Very high (&gt;2ppm)", IF(AllDataCorrected[[#This Row],[Nitrate (PPM)]]&gt;1, "3. High (1-2ppm)", IF(AllDataCorrected[[#This Row],[Nitrate (PPM)]]&gt;0.5, "2. Some evidence (0.5-1ppm)", IF(AllDataCorrected[[#This Row],[Nitrate (PPM)]]&gt;=0, "1. No evidence (&lt;0.5ppm)"))))</f>
        <v>4. Very high (&gt;2ppm)</v>
      </c>
      <c r="S926">
        <v>0.56000000000000005</v>
      </c>
      <c r="T92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6">
        <v>0</v>
      </c>
    </row>
    <row r="927" spans="1:22" x14ac:dyDescent="0.35">
      <c r="A927" t="s">
        <v>1443</v>
      </c>
      <c r="B927" s="2">
        <v>45454</v>
      </c>
      <c r="C927" t="str" cm="1">
        <f t="array" ref="C9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7">
        <f>YEAR(AllDataCorrected[[#This Row],[Date]])</f>
        <v>2024</v>
      </c>
      <c r="E927" s="1">
        <v>0.4597222222222222</v>
      </c>
      <c r="F9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27" t="str">
        <f>_xlfn.XLOOKUP(AllDataCorrected[[#This Row],[Location Name]], Locations[Location Name],Locations[Group As])</f>
        <v>Carrant M5 Bridge</v>
      </c>
      <c r="H927" t="e" vm="4">
        <f>_xlfn.XLOOKUP(AllDataCorrected[[#This Row],[Site Name]],LocationsKey[Site Name],LocationsKey[District])</f>
        <v>#VALUE!</v>
      </c>
      <c r="I927" t="e" vm="4">
        <f>_xlfn.XLOOKUP(AllDataCorrected[[#This Row],[Site Name]],LocationsKey[Site Name],LocationsKey[Town])</f>
        <v>#VALUE!</v>
      </c>
      <c r="J927" t="str">
        <f>_xlfn.XLOOKUP(AllDataCorrected[[#This Row],[Site Name]],LocationsKey[Site Name], LocationsKey[Waterway])</f>
        <v>Carrant</v>
      </c>
      <c r="K927" t="s">
        <v>1066</v>
      </c>
      <c r="L927">
        <f>_xlfn.XLOOKUP(AllDataCorrected[[#This Row],[Site Name]],Tables!$B$12:$B$100, Tables!C$12:C$100)</f>
        <v>52.012994652173923</v>
      </c>
      <c r="M927">
        <f>_xlfn.XLOOKUP(AllDataCorrected[[#This Row],[Site Name]],Tables!$B$12:$B$100, Tables!D$12:D$100)</f>
        <v>-2.1224405652173912</v>
      </c>
      <c r="N927" t="s">
        <v>25</v>
      </c>
      <c r="O927">
        <v>779</v>
      </c>
      <c r="P927">
        <v>13.7</v>
      </c>
      <c r="Q927">
        <v>5</v>
      </c>
      <c r="R927" t="str">
        <f>IF(AllDataCorrected[[#This Row],[Nitrate (PPM)]]&gt;2, "4. Very high (&gt;2ppm)", IF(AllDataCorrected[[#This Row],[Nitrate (PPM)]]&gt;1, "3. High (1-2ppm)", IF(AllDataCorrected[[#This Row],[Nitrate (PPM)]]&gt;0.5, "2. Some evidence (0.5-1ppm)", IF(AllDataCorrected[[#This Row],[Nitrate (PPM)]]&gt;=0, "1. No evidence (&lt;0.5ppm)"))))</f>
        <v>4. Very high (&gt;2ppm)</v>
      </c>
      <c r="S927">
        <v>0.4</v>
      </c>
      <c r="T9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27">
        <v>0</v>
      </c>
    </row>
    <row r="928" spans="1:22" x14ac:dyDescent="0.35">
      <c r="A928" t="s">
        <v>1444</v>
      </c>
      <c r="B928" s="2">
        <v>45454</v>
      </c>
      <c r="C928" t="str" cm="1">
        <f t="array" ref="C9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8">
        <f>YEAR(AllDataCorrected[[#This Row],[Date]])</f>
        <v>2024</v>
      </c>
      <c r="E928" s="1">
        <v>0.61250000000000004</v>
      </c>
      <c r="F92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8" t="str">
        <f>_xlfn.XLOOKUP(AllDataCorrected[[#This Row],[Location Name]], Locations[Location Name],Locations[Group As])</f>
        <v>Abbey Mill</v>
      </c>
      <c r="H928" t="e" vm="4">
        <f>_xlfn.XLOOKUP(AllDataCorrected[[#This Row],[Site Name]],LocationsKey[Site Name],LocationsKey[District])</f>
        <v>#VALUE!</v>
      </c>
      <c r="I928" t="e" vm="4">
        <f>_xlfn.XLOOKUP(AllDataCorrected[[#This Row],[Site Name]],LocationsKey[Site Name],LocationsKey[Town])</f>
        <v>#VALUE!</v>
      </c>
      <c r="J928" t="str">
        <f>_xlfn.XLOOKUP(AllDataCorrected[[#This Row],[Site Name]],LocationsKey[Site Name], LocationsKey[Waterway])</f>
        <v>Avon</v>
      </c>
      <c r="K928" t="s">
        <v>27</v>
      </c>
      <c r="L928">
        <f>_xlfn.XLOOKUP(AllDataCorrected[[#This Row],[Site Name]],Tables!$B$12:$B$100, Tables!C$12:C$100)</f>
        <v>51.991313075757589</v>
      </c>
      <c r="M928">
        <f>_xlfn.XLOOKUP(AllDataCorrected[[#This Row],[Site Name]],Tables!$B$12:$B$100, Tables!D$12:D$100)</f>
        <v>-2.1621998181818181</v>
      </c>
      <c r="N928" t="s">
        <v>25</v>
      </c>
      <c r="O928">
        <v>979</v>
      </c>
      <c r="P928">
        <v>16.5</v>
      </c>
      <c r="Q928">
        <v>10</v>
      </c>
      <c r="R928" t="str">
        <f>IF(AllDataCorrected[[#This Row],[Nitrate (PPM)]]&gt;2, "4. Very high (&gt;2ppm)", IF(AllDataCorrected[[#This Row],[Nitrate (PPM)]]&gt;1, "3. High (1-2ppm)", IF(AllDataCorrected[[#This Row],[Nitrate (PPM)]]&gt;0.5, "2. Some evidence (0.5-1ppm)", IF(AllDataCorrected[[#This Row],[Nitrate (PPM)]]&gt;=0, "1. No evidence (&lt;0.5ppm)"))))</f>
        <v>4. Very high (&gt;2ppm)</v>
      </c>
      <c r="S928">
        <v>0.77</v>
      </c>
      <c r="T9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28">
        <v>0.6</v>
      </c>
    </row>
    <row r="929" spans="1:22" x14ac:dyDescent="0.35">
      <c r="A929" t="s">
        <v>1445</v>
      </c>
      <c r="B929" s="2">
        <v>45455</v>
      </c>
      <c r="C929" t="str" cm="1">
        <f t="array" ref="C9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29">
        <f>YEAR(AllDataCorrected[[#This Row],[Date]])</f>
        <v>2024</v>
      </c>
      <c r="E929" s="1">
        <v>0.59444444444444444</v>
      </c>
      <c r="F9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29" t="str">
        <f>_xlfn.XLOOKUP(AllDataCorrected[[#This Row],[Location Name]], Locations[Location Name],Locations[Group As])</f>
        <v>Alveston Weir</v>
      </c>
      <c r="H929" t="e" vm="1">
        <f>_xlfn.XLOOKUP(AllDataCorrected[[#This Row],[Site Name]],LocationsKey[Site Name],LocationsKey[District])</f>
        <v>#VALUE!</v>
      </c>
      <c r="I929" t="e" vm="2">
        <f>_xlfn.XLOOKUP(AllDataCorrected[[#This Row],[Site Name]],LocationsKey[Site Name],LocationsKey[Town])</f>
        <v>#VALUE!</v>
      </c>
      <c r="J929" t="str">
        <f>_xlfn.XLOOKUP(AllDataCorrected[[#This Row],[Site Name]],LocationsKey[Site Name], LocationsKey[Waterway])</f>
        <v>Avon</v>
      </c>
      <c r="K929" t="s">
        <v>288</v>
      </c>
      <c r="L929">
        <f>_xlfn.XLOOKUP(AllDataCorrected[[#This Row],[Site Name]],Tables!$B$12:$B$100, Tables!C$12:C$100)</f>
        <v>52.21226301333337</v>
      </c>
      <c r="M929">
        <f>_xlfn.XLOOKUP(AllDataCorrected[[#This Row],[Site Name]],Tables!$B$12:$B$100, Tables!D$12:D$100)</f>
        <v>-1.6595226800000011</v>
      </c>
      <c r="N929" t="s">
        <v>31</v>
      </c>
      <c r="O929">
        <v>858</v>
      </c>
      <c r="P929">
        <v>15.7</v>
      </c>
      <c r="Q929">
        <v>10</v>
      </c>
      <c r="R929" t="str">
        <f>IF(AllDataCorrected[[#This Row],[Nitrate (PPM)]]&gt;2, "4. Very high (&gt;2ppm)", IF(AllDataCorrected[[#This Row],[Nitrate (PPM)]]&gt;1, "3. High (1-2ppm)", IF(AllDataCorrected[[#This Row],[Nitrate (PPM)]]&gt;0.5, "2. Some evidence (0.5-1ppm)", IF(AllDataCorrected[[#This Row],[Nitrate (PPM)]]&gt;=0, "1. No evidence (&lt;0.5ppm)"))))</f>
        <v>4. Very high (&gt;2ppm)</v>
      </c>
      <c r="S929">
        <v>0.31</v>
      </c>
      <c r="T9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29">
        <v>0</v>
      </c>
      <c r="V929" t="s">
        <v>1446</v>
      </c>
    </row>
    <row r="930" spans="1:22" x14ac:dyDescent="0.35">
      <c r="A930" t="s">
        <v>1447</v>
      </c>
      <c r="B930" s="2">
        <v>45455</v>
      </c>
      <c r="C930" t="str" cm="1">
        <f t="array" ref="C9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0">
        <f>YEAR(AllDataCorrected[[#This Row],[Date]])</f>
        <v>2024</v>
      </c>
      <c r="E930" s="1">
        <v>0.60416666666666663</v>
      </c>
      <c r="F9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0" t="str">
        <f>_xlfn.XLOOKUP(AllDataCorrected[[#This Row],[Location Name]], Locations[Location Name],Locations[Group As])</f>
        <v>Swiffen Bank</v>
      </c>
      <c r="H930" t="e" vm="1">
        <f>_xlfn.XLOOKUP(AllDataCorrected[[#This Row],[Site Name]],LocationsKey[Site Name],LocationsKey[District])</f>
        <v>#VALUE!</v>
      </c>
      <c r="I930" t="e" vm="2">
        <f>_xlfn.XLOOKUP(AllDataCorrected[[#This Row],[Site Name]],LocationsKey[Site Name],LocationsKey[Town])</f>
        <v>#VALUE!</v>
      </c>
      <c r="J930" t="str">
        <f>_xlfn.XLOOKUP(AllDataCorrected[[#This Row],[Site Name]],LocationsKey[Site Name], LocationsKey[Waterway])</f>
        <v>Avon</v>
      </c>
      <c r="K930" t="s">
        <v>1448</v>
      </c>
      <c r="L930">
        <f>_xlfn.XLOOKUP(AllDataCorrected[[#This Row],[Site Name]],Tables!$B$12:$B$100, Tables!C$12:C$100)</f>
        <v>52.206649805555557</v>
      </c>
      <c r="M930">
        <f>_xlfn.XLOOKUP(AllDataCorrected[[#This Row],[Site Name]],Tables!$B$12:$B$100, Tables!D$12:D$100)</f>
        <v>-1.6541018611111094</v>
      </c>
      <c r="N930" t="s">
        <v>31</v>
      </c>
      <c r="O930">
        <v>729</v>
      </c>
      <c r="P930">
        <v>16.7</v>
      </c>
      <c r="Q930">
        <v>10</v>
      </c>
      <c r="R930" t="str">
        <f>IF(AllDataCorrected[[#This Row],[Nitrate (PPM)]]&gt;2, "4. Very high (&gt;2ppm)", IF(AllDataCorrected[[#This Row],[Nitrate (PPM)]]&gt;1, "3. High (1-2ppm)", IF(AllDataCorrected[[#This Row],[Nitrate (PPM)]]&gt;0.5, "2. Some evidence (0.5-1ppm)", IF(AllDataCorrected[[#This Row],[Nitrate (PPM)]]&gt;=0, "1. No evidence (&lt;0.5ppm)"))))</f>
        <v>4. Very high (&gt;2ppm)</v>
      </c>
      <c r="S930">
        <v>0.43</v>
      </c>
      <c r="T93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0">
        <v>0</v>
      </c>
      <c r="V930" t="s">
        <v>1449</v>
      </c>
    </row>
    <row r="931" spans="1:22" x14ac:dyDescent="0.35">
      <c r="A931" t="s">
        <v>1450</v>
      </c>
      <c r="B931" s="2">
        <v>45455</v>
      </c>
      <c r="C931" t="str" cm="1">
        <f t="array" ref="C9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1">
        <f>YEAR(AllDataCorrected[[#This Row],[Date]])</f>
        <v>2024</v>
      </c>
      <c r="E931" s="1">
        <v>0.66666666666666663</v>
      </c>
      <c r="F9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1" t="str">
        <f>_xlfn.XLOOKUP(AllDataCorrected[[#This Row],[Location Name]], Locations[Location Name],Locations[Group As])</f>
        <v>Stour Newbold Mill</v>
      </c>
      <c r="H931" t="e" vm="1">
        <f>_xlfn.XLOOKUP(AllDataCorrected[[#This Row],[Site Name]],LocationsKey[Site Name],LocationsKey[District])</f>
        <v>#VALUE!</v>
      </c>
      <c r="I931" t="e" vm="27">
        <f>_xlfn.XLOOKUP(AllDataCorrected[[#This Row],[Site Name]],LocationsKey[Site Name],LocationsKey[Town])</f>
        <v>#VALUE!</v>
      </c>
      <c r="J931" t="str">
        <f>_xlfn.XLOOKUP(AllDataCorrected[[#This Row],[Site Name]],LocationsKey[Site Name], LocationsKey[Waterway])</f>
        <v>Stour</v>
      </c>
      <c r="K931" t="s">
        <v>141</v>
      </c>
      <c r="L931">
        <f>_xlfn.XLOOKUP(AllDataCorrected[[#This Row],[Site Name]],Tables!$B$12:$B$100, Tables!C$12:C$100)</f>
        <v>52.113052370370369</v>
      </c>
      <c r="M931">
        <f>_xlfn.XLOOKUP(AllDataCorrected[[#This Row],[Site Name]],Tables!$B$12:$B$100, Tables!D$12:D$100)</f>
        <v>-1.6333685185185181</v>
      </c>
      <c r="N931" t="s">
        <v>31</v>
      </c>
      <c r="O931">
        <v>656</v>
      </c>
      <c r="P931">
        <v>16</v>
      </c>
      <c r="Q931">
        <v>2</v>
      </c>
      <c r="R931" t="str">
        <f>IF(AllDataCorrected[[#This Row],[Nitrate (PPM)]]&gt;2, "4. Very high (&gt;2ppm)", IF(AllDataCorrected[[#This Row],[Nitrate (PPM)]]&gt;1, "3. High (1-2ppm)", IF(AllDataCorrected[[#This Row],[Nitrate (PPM)]]&gt;0.5, "2. Some evidence (0.5-1ppm)", IF(AllDataCorrected[[#This Row],[Nitrate (PPM)]]&gt;=0, "1. No evidence (&lt;0.5ppm)"))))</f>
        <v>3. High (1-2ppm)</v>
      </c>
      <c r="S931">
        <v>0.22</v>
      </c>
      <c r="T93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1">
        <v>2</v>
      </c>
      <c r="V931" t="s">
        <v>533</v>
      </c>
    </row>
    <row r="932" spans="1:22" x14ac:dyDescent="0.35">
      <c r="A932" t="s">
        <v>1451</v>
      </c>
      <c r="B932" s="2">
        <v>45457</v>
      </c>
      <c r="C932" t="str" cm="1">
        <f t="array" ref="C9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2">
        <f>YEAR(AllDataCorrected[[#This Row],[Date]])</f>
        <v>2024</v>
      </c>
      <c r="E932" s="1">
        <v>0.39583333333333331</v>
      </c>
      <c r="F9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2" t="str">
        <f>_xlfn.XLOOKUP(AllDataCorrected[[#This Row],[Location Name]], Locations[Location Name],Locations[Group As])</f>
        <v>Sherbourne Brook 1</v>
      </c>
      <c r="H932" t="e" vm="1">
        <f>_xlfn.XLOOKUP(AllDataCorrected[[#This Row],[Site Name]],LocationsKey[Site Name],LocationsKey[District])</f>
        <v>#VALUE!</v>
      </c>
      <c r="I932" t="e" vm="23">
        <f>_xlfn.XLOOKUP(AllDataCorrected[[#This Row],[Site Name]],LocationsKey[Site Name],LocationsKey[Town])</f>
        <v>#VALUE!</v>
      </c>
      <c r="J932" t="str">
        <f>_xlfn.XLOOKUP(AllDataCorrected[[#This Row],[Site Name]],LocationsKey[Site Name], LocationsKey[Waterway])</f>
        <v>Sherbourne Brook</v>
      </c>
      <c r="K932" t="s">
        <v>541</v>
      </c>
      <c r="L932">
        <f>_xlfn.XLOOKUP(AllDataCorrected[[#This Row],[Site Name]],Tables!$B$12:$B$100, Tables!C$12:C$100)</f>
        <v>52.252500000000033</v>
      </c>
      <c r="M932">
        <f>_xlfn.XLOOKUP(AllDataCorrected[[#This Row],[Site Name]],Tables!$B$12:$B$100, Tables!D$12:D$100)</f>
        <v>-1.6685000000000012</v>
      </c>
      <c r="N932" t="s">
        <v>25</v>
      </c>
      <c r="O932">
        <v>1090</v>
      </c>
      <c r="P932">
        <v>13.6</v>
      </c>
      <c r="Q932">
        <v>15</v>
      </c>
      <c r="R932" t="str">
        <f>IF(AllDataCorrected[[#This Row],[Nitrate (PPM)]]&gt;2, "4. Very high (&gt;2ppm)", IF(AllDataCorrected[[#This Row],[Nitrate (PPM)]]&gt;1, "3. High (1-2ppm)", IF(AllDataCorrected[[#This Row],[Nitrate (PPM)]]&gt;0.5, "2. Some evidence (0.5-1ppm)", IF(AllDataCorrected[[#This Row],[Nitrate (PPM)]]&gt;=0, "1. No evidence (&lt;0.5ppm)"))))</f>
        <v>4. Very high (&gt;2ppm)</v>
      </c>
      <c r="S932">
        <v>0.26</v>
      </c>
      <c r="T9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2">
        <v>0.2</v>
      </c>
    </row>
    <row r="933" spans="1:22" x14ac:dyDescent="0.35">
      <c r="A933" t="s">
        <v>1452</v>
      </c>
      <c r="B933" s="2">
        <v>45457</v>
      </c>
      <c r="C933" t="str" cm="1">
        <f t="array" ref="C9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3">
        <f>YEAR(AllDataCorrected[[#This Row],[Date]])</f>
        <v>2024</v>
      </c>
      <c r="E933" s="1">
        <v>0.40625</v>
      </c>
      <c r="F9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3" t="str">
        <f>_xlfn.XLOOKUP(AllDataCorrected[[#This Row],[Location Name]], Locations[Location Name],Locations[Group As])</f>
        <v>Bell Brook 1</v>
      </c>
      <c r="H933" t="e" vm="1">
        <f>_xlfn.XLOOKUP(AllDataCorrected[[#This Row],[Site Name]],LocationsKey[Site Name],LocationsKey[District])</f>
        <v>#VALUE!</v>
      </c>
      <c r="I933" t="e" vm="19">
        <f>_xlfn.XLOOKUP(AllDataCorrected[[#This Row],[Site Name]],LocationsKey[Site Name],LocationsKey[Town])</f>
        <v>#VALUE!</v>
      </c>
      <c r="J933" t="str">
        <f>_xlfn.XLOOKUP(AllDataCorrected[[#This Row],[Site Name]],LocationsKey[Site Name], LocationsKey[Waterway])</f>
        <v>Bell Brook</v>
      </c>
      <c r="K933" t="s">
        <v>538</v>
      </c>
      <c r="L933">
        <f>_xlfn.XLOOKUP(AllDataCorrected[[#This Row],[Site Name]],Tables!$B$12:$B$100, Tables!C$12:C$100)</f>
        <v>52.24489999999998</v>
      </c>
      <c r="M933">
        <f>_xlfn.XLOOKUP(AllDataCorrected[[#This Row],[Site Name]],Tables!$B$12:$B$100, Tables!D$12:D$100)</f>
        <v>-1.6617000000000013</v>
      </c>
      <c r="N933" t="s">
        <v>25</v>
      </c>
      <c r="O933">
        <v>822</v>
      </c>
      <c r="P933">
        <v>14.6</v>
      </c>
      <c r="Q933">
        <v>5</v>
      </c>
      <c r="R933" t="str">
        <f>IF(AllDataCorrected[[#This Row],[Nitrate (PPM)]]&gt;2, "4. Very high (&gt;2ppm)", IF(AllDataCorrected[[#This Row],[Nitrate (PPM)]]&gt;1, "3. High (1-2ppm)", IF(AllDataCorrected[[#This Row],[Nitrate (PPM)]]&gt;0.5, "2. Some evidence (0.5-1ppm)", IF(AllDataCorrected[[#This Row],[Nitrate (PPM)]]&gt;=0, "1. No evidence (&lt;0.5ppm)"))))</f>
        <v>4. Very high (&gt;2ppm)</v>
      </c>
      <c r="S933">
        <v>0.65</v>
      </c>
      <c r="T9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3">
        <v>0.2</v>
      </c>
    </row>
    <row r="934" spans="1:22" x14ac:dyDescent="0.35">
      <c r="A934" t="s">
        <v>1453</v>
      </c>
      <c r="B934" s="2">
        <v>45457</v>
      </c>
      <c r="C934" t="str" cm="1">
        <f t="array" ref="C9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4">
        <f>YEAR(AllDataCorrected[[#This Row],[Date]])</f>
        <v>2024</v>
      </c>
      <c r="E934" s="1">
        <v>0.45763888888888887</v>
      </c>
      <c r="F9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4" t="str">
        <f>_xlfn.XLOOKUP(AllDataCorrected[[#This Row],[Location Name]], Locations[Location Name],Locations[Group As])</f>
        <v>Mill Bridge Peopleton</v>
      </c>
      <c r="H934" t="e" vm="6">
        <f>_xlfn.XLOOKUP(AllDataCorrected[[#This Row],[Site Name]],LocationsKey[Site Name],LocationsKey[District])</f>
        <v>#VALUE!</v>
      </c>
      <c r="I934" t="str">
        <f>_xlfn.XLOOKUP(AllDataCorrected[[#This Row],[Site Name]],LocationsKey[Site Name],LocationsKey[Town])</f>
        <v>Peopleton</v>
      </c>
      <c r="J934" t="str">
        <f>_xlfn.XLOOKUP(AllDataCorrected[[#This Row],[Site Name]],LocationsKey[Site Name], LocationsKey[Waterway])</f>
        <v>Bow Brook</v>
      </c>
      <c r="K934" t="s">
        <v>1454</v>
      </c>
      <c r="L934">
        <f>_xlfn.XLOOKUP(AllDataCorrected[[#This Row],[Site Name]],Tables!$B$12:$B$100, Tables!C$12:C$100)</f>
        <v>52.151811999999993</v>
      </c>
      <c r="M934">
        <f>_xlfn.XLOOKUP(AllDataCorrected[[#This Row],[Site Name]],Tables!$B$12:$B$100, Tables!D$12:D$100)</f>
        <v>-2.0958865161290317</v>
      </c>
      <c r="N934" t="s">
        <v>31</v>
      </c>
      <c r="O934">
        <v>119</v>
      </c>
      <c r="P934">
        <v>16</v>
      </c>
      <c r="Q934">
        <v>2</v>
      </c>
      <c r="R934" t="str">
        <f>IF(AllDataCorrected[[#This Row],[Nitrate (PPM)]]&gt;2, "4. Very high (&gt;2ppm)", IF(AllDataCorrected[[#This Row],[Nitrate (PPM)]]&gt;1, "3. High (1-2ppm)", IF(AllDataCorrected[[#This Row],[Nitrate (PPM)]]&gt;0.5, "2. Some evidence (0.5-1ppm)", IF(AllDataCorrected[[#This Row],[Nitrate (PPM)]]&gt;=0, "1. No evidence (&lt;0.5ppm)"))))</f>
        <v>3. High (1-2ppm)</v>
      </c>
      <c r="S934">
        <v>1.43</v>
      </c>
      <c r="T9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4">
        <v>0.3</v>
      </c>
    </row>
    <row r="935" spans="1:22" x14ac:dyDescent="0.35">
      <c r="A935" t="s">
        <v>1455</v>
      </c>
      <c r="B935" s="2">
        <v>45457</v>
      </c>
      <c r="C935" t="str" cm="1">
        <f t="array" ref="C9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5">
        <f>YEAR(AllDataCorrected[[#This Row],[Date]])</f>
        <v>2024</v>
      </c>
      <c r="E935" s="1">
        <v>0.59583333333333333</v>
      </c>
      <c r="F9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5" t="str">
        <f>_xlfn.XLOOKUP(AllDataCorrected[[#This Row],[Location Name]], Locations[Location Name],Locations[Group As])</f>
        <v>The Ford, Langley</v>
      </c>
      <c r="H935" t="e" vm="1">
        <f>_xlfn.XLOOKUP(AllDataCorrected[[#This Row],[Site Name]],LocationsKey[Site Name],LocationsKey[District])</f>
        <v>#VALUE!</v>
      </c>
      <c r="I935" t="str">
        <f>_xlfn.XLOOKUP(AllDataCorrected[[#This Row],[Site Name]],LocationsKey[Site Name],LocationsKey[Town])</f>
        <v>Langley</v>
      </c>
      <c r="J935" t="str">
        <f>_xlfn.XLOOKUP(AllDataCorrected[[#This Row],[Site Name]],LocationsKey[Site Name], LocationsKey[Waterway])</f>
        <v>Langley Ford</v>
      </c>
      <c r="K935" t="s">
        <v>561</v>
      </c>
      <c r="L935">
        <f>_xlfn.XLOOKUP(AllDataCorrected[[#This Row],[Site Name]],Tables!$B$12:$B$100, Tables!C$12:C$100)</f>
        <v>52.262666528301864</v>
      </c>
      <c r="M935">
        <f>_xlfn.XLOOKUP(AllDataCorrected[[#This Row],[Site Name]],Tables!$B$12:$B$100, Tables!D$12:D$100)</f>
        <v>-1.6545845283018858</v>
      </c>
      <c r="N935" t="s">
        <v>31</v>
      </c>
      <c r="O935">
        <v>846</v>
      </c>
      <c r="P935">
        <v>13.6</v>
      </c>
      <c r="Q935">
        <v>5</v>
      </c>
      <c r="R935" t="str">
        <f>IF(AllDataCorrected[[#This Row],[Nitrate (PPM)]]&gt;2, "4. Very high (&gt;2ppm)", IF(AllDataCorrected[[#This Row],[Nitrate (PPM)]]&gt;1, "3. High (1-2ppm)", IF(AllDataCorrected[[#This Row],[Nitrate (PPM)]]&gt;0.5, "2. Some evidence (0.5-1ppm)", IF(AllDataCorrected[[#This Row],[Nitrate (PPM)]]&gt;=0, "1. No evidence (&lt;0.5ppm)"))))</f>
        <v>4. Very high (&gt;2ppm)</v>
      </c>
      <c r="S935">
        <v>0.6</v>
      </c>
      <c r="T9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5">
        <v>0.15</v>
      </c>
      <c r="V935" t="s">
        <v>1456</v>
      </c>
    </row>
    <row r="936" spans="1:22" x14ac:dyDescent="0.35">
      <c r="A936" t="s">
        <v>1457</v>
      </c>
      <c r="B936" s="2">
        <v>45457</v>
      </c>
      <c r="C936" t="str" cm="1">
        <f t="array" ref="C9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6">
        <f>YEAR(AllDataCorrected[[#This Row],[Date]])</f>
        <v>2024</v>
      </c>
      <c r="E936" s="1">
        <v>0.60416666666666663</v>
      </c>
      <c r="F93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6" t="str">
        <f>_xlfn.XLOOKUP(AllDataCorrected[[#This Row],[Location Name]], Locations[Location Name],Locations[Group As])</f>
        <v>Swilgate</v>
      </c>
      <c r="H936" t="e" vm="4">
        <f>_xlfn.XLOOKUP(AllDataCorrected[[#This Row],[Site Name]],LocationsKey[Site Name],LocationsKey[District])</f>
        <v>#VALUE!</v>
      </c>
      <c r="I936" t="e" vm="4">
        <f>_xlfn.XLOOKUP(AllDataCorrected[[#This Row],[Site Name]],LocationsKey[Site Name],LocationsKey[Town])</f>
        <v>#VALUE!</v>
      </c>
      <c r="J936" t="str">
        <f>_xlfn.XLOOKUP(AllDataCorrected[[#This Row],[Site Name]],LocationsKey[Site Name], LocationsKey[Waterway])</f>
        <v>Swilgate</v>
      </c>
      <c r="K936" t="s">
        <v>85</v>
      </c>
      <c r="L936">
        <f>_xlfn.XLOOKUP(AllDataCorrected[[#This Row],[Site Name]],Tables!$B$12:$B$100, Tables!C$12:C$100)</f>
        <v>51.988591500000005</v>
      </c>
      <c r="M936">
        <f>_xlfn.XLOOKUP(AllDataCorrected[[#This Row],[Site Name]],Tables!$B$12:$B$100, Tables!D$12:D$100)</f>
        <v>-2.163898333333333</v>
      </c>
      <c r="N936" t="s">
        <v>25</v>
      </c>
      <c r="O936">
        <v>875</v>
      </c>
      <c r="P936">
        <v>16.100000000000001</v>
      </c>
      <c r="Q936">
        <v>7</v>
      </c>
      <c r="R936" t="str">
        <f>IF(AllDataCorrected[[#This Row],[Nitrate (PPM)]]&gt;2, "4. Very high (&gt;2ppm)", IF(AllDataCorrected[[#This Row],[Nitrate (PPM)]]&gt;1, "3. High (1-2ppm)", IF(AllDataCorrected[[#This Row],[Nitrate (PPM)]]&gt;0.5, "2. Some evidence (0.5-1ppm)", IF(AllDataCorrected[[#This Row],[Nitrate (PPM)]]&gt;=0, "1. No evidence (&lt;0.5ppm)"))))</f>
        <v>4. Very high (&gt;2ppm)</v>
      </c>
      <c r="S936">
        <v>1.25</v>
      </c>
      <c r="T9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6">
        <v>0</v>
      </c>
    </row>
    <row r="937" spans="1:22" x14ac:dyDescent="0.35">
      <c r="A937" t="s">
        <v>1462</v>
      </c>
      <c r="B937" s="2">
        <v>45458</v>
      </c>
      <c r="C937" t="str" cm="1">
        <f t="array" ref="C9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7">
        <f>YEAR(AllDataCorrected[[#This Row],[Date]])</f>
        <v>2024</v>
      </c>
      <c r="E937" s="1">
        <v>0.30208333333333331</v>
      </c>
      <c r="F9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7" t="str">
        <f>_xlfn.XLOOKUP(AllDataCorrected[[#This Row],[Location Name]], Locations[Location Name],Locations[Group As])</f>
        <v>Avon Smiths Meadow Wyre Piddle</v>
      </c>
      <c r="H937" t="e" vm="6">
        <f>_xlfn.XLOOKUP(AllDataCorrected[[#This Row],[Site Name]],LocationsKey[Site Name],LocationsKey[District])</f>
        <v>#VALUE!</v>
      </c>
      <c r="I937" t="e" vm="13">
        <f>_xlfn.XLOOKUP(AllDataCorrected[[#This Row],[Site Name]],LocationsKey[Site Name],LocationsKey[Town])</f>
        <v>#VALUE!</v>
      </c>
      <c r="J937" t="str">
        <f>_xlfn.XLOOKUP(AllDataCorrected[[#This Row],[Site Name]],LocationsKey[Site Name], LocationsKey[Waterway])</f>
        <v>Avon</v>
      </c>
      <c r="K937" t="s">
        <v>784</v>
      </c>
      <c r="L937">
        <f>_xlfn.XLOOKUP(AllDataCorrected[[#This Row],[Site Name]],Tables!$B$12:$B$100, Tables!C$12:C$100)</f>
        <v>52.123126101694929</v>
      </c>
      <c r="M937">
        <f>_xlfn.XLOOKUP(AllDataCorrected[[#This Row],[Site Name]],Tables!$B$12:$B$100, Tables!D$12:D$100)</f>
        <v>-2.0572511355932215</v>
      </c>
      <c r="N937" t="s">
        <v>25</v>
      </c>
      <c r="O937">
        <v>864</v>
      </c>
      <c r="P937">
        <v>15.9</v>
      </c>
      <c r="Q937">
        <v>10</v>
      </c>
      <c r="R937" t="str">
        <f>IF(AllDataCorrected[[#This Row],[Nitrate (PPM)]]&gt;2, "4. Very high (&gt;2ppm)", IF(AllDataCorrected[[#This Row],[Nitrate (PPM)]]&gt;1, "3. High (1-2ppm)", IF(AllDataCorrected[[#This Row],[Nitrate (PPM)]]&gt;0.5, "2. Some evidence (0.5-1ppm)", IF(AllDataCorrected[[#This Row],[Nitrate (PPM)]]&gt;=0, "1. No evidence (&lt;0.5ppm)"))))</f>
        <v>4. Very high (&gt;2ppm)</v>
      </c>
      <c r="S937">
        <v>0.73</v>
      </c>
      <c r="T93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7">
        <v>0.59</v>
      </c>
      <c r="V937" t="s">
        <v>1463</v>
      </c>
    </row>
    <row r="938" spans="1:22" x14ac:dyDescent="0.35">
      <c r="A938" t="s">
        <v>1464</v>
      </c>
      <c r="B938" s="2">
        <v>45458</v>
      </c>
      <c r="C938" t="str" cm="1">
        <f t="array" ref="C9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8">
        <f>YEAR(AllDataCorrected[[#This Row],[Date]])</f>
        <v>2024</v>
      </c>
      <c r="E938" s="1">
        <v>0.33333333333333331</v>
      </c>
      <c r="F9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38" t="str">
        <f>_xlfn.XLOOKUP(AllDataCorrected[[#This Row],[Location Name]], Locations[Location Name],Locations[Group As])</f>
        <v>Piddle Brook Wyre Piddle Bridge</v>
      </c>
      <c r="H938" t="e" vm="6">
        <f>_xlfn.XLOOKUP(AllDataCorrected[[#This Row],[Site Name]],LocationsKey[Site Name],LocationsKey[District])</f>
        <v>#VALUE!</v>
      </c>
      <c r="I938" t="e" vm="13">
        <f>_xlfn.XLOOKUP(AllDataCorrected[[#This Row],[Site Name]],LocationsKey[Site Name],LocationsKey[Town])</f>
        <v>#VALUE!</v>
      </c>
      <c r="J938" t="str">
        <f>_xlfn.XLOOKUP(AllDataCorrected[[#This Row],[Site Name]],LocationsKey[Site Name], LocationsKey[Waterway])</f>
        <v>Piddle Brook</v>
      </c>
      <c r="K938" t="s">
        <v>787</v>
      </c>
      <c r="L938">
        <f>_xlfn.XLOOKUP(AllDataCorrected[[#This Row],[Site Name]],Tables!$B$12:$B$100, Tables!C$12:C$100)</f>
        <v>52.126394500000039</v>
      </c>
      <c r="M938">
        <f>_xlfn.XLOOKUP(AllDataCorrected[[#This Row],[Site Name]],Tables!$B$12:$B$100, Tables!D$12:D$100)</f>
        <v>-2.0564211206896545</v>
      </c>
      <c r="N938" t="s">
        <v>25</v>
      </c>
      <c r="O938">
        <v>836</v>
      </c>
      <c r="P938">
        <v>13.1</v>
      </c>
      <c r="Q938">
        <v>8</v>
      </c>
      <c r="R938" t="str">
        <f>IF(AllDataCorrected[[#This Row],[Nitrate (PPM)]]&gt;2, "4. Very high (&gt;2ppm)", IF(AllDataCorrected[[#This Row],[Nitrate (PPM)]]&gt;1, "3. High (1-2ppm)", IF(AllDataCorrected[[#This Row],[Nitrate (PPM)]]&gt;0.5, "2. Some evidence (0.5-1ppm)", IF(AllDataCorrected[[#This Row],[Nitrate (PPM)]]&gt;=0, "1. No evidence (&lt;0.5ppm)"))))</f>
        <v>4. Very high (&gt;2ppm)</v>
      </c>
      <c r="S938">
        <v>1.03</v>
      </c>
      <c r="T9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38">
        <v>0.18</v>
      </c>
      <c r="V938" t="s">
        <v>1465</v>
      </c>
    </row>
    <row r="939" spans="1:22" x14ac:dyDescent="0.35">
      <c r="A939" t="s">
        <v>1466</v>
      </c>
      <c r="B939" s="2">
        <v>45458</v>
      </c>
      <c r="C939" t="str" cm="1">
        <f t="array" ref="C9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39">
        <f>YEAR(AllDataCorrected[[#This Row],[Date]])</f>
        <v>2024</v>
      </c>
      <c r="E939" s="1">
        <v>0.5</v>
      </c>
      <c r="F93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39" t="str">
        <f>_xlfn.XLOOKUP(AllDataCorrected[[#This Row],[Location Name]], Locations[Location Name],Locations[Group As])</f>
        <v>Carrant Bredon Rd</v>
      </c>
      <c r="H939" t="e" vm="4">
        <f>_xlfn.XLOOKUP(AllDataCorrected[[#This Row],[Site Name]],LocationsKey[Site Name],LocationsKey[District])</f>
        <v>#VALUE!</v>
      </c>
      <c r="I939" t="e" vm="4">
        <f>_xlfn.XLOOKUP(AllDataCorrected[[#This Row],[Site Name]],LocationsKey[Site Name],LocationsKey[Town])</f>
        <v>#VALUE!</v>
      </c>
      <c r="J939" t="str">
        <f>_xlfn.XLOOKUP(AllDataCorrected[[#This Row],[Site Name]],LocationsKey[Site Name], LocationsKey[Waterway])</f>
        <v>Carrant</v>
      </c>
      <c r="K939" t="s">
        <v>603</v>
      </c>
      <c r="L939">
        <f>_xlfn.XLOOKUP(AllDataCorrected[[#This Row],[Site Name]],Tables!$B$12:$B$100, Tables!C$12:C$100)</f>
        <v>51.996322536231894</v>
      </c>
      <c r="M939">
        <f>_xlfn.XLOOKUP(AllDataCorrected[[#This Row],[Site Name]],Tables!$B$12:$B$100, Tables!D$12:D$100)</f>
        <v>-2.1558410144927538</v>
      </c>
      <c r="N939" t="s">
        <v>25</v>
      </c>
      <c r="O939">
        <v>733</v>
      </c>
      <c r="P939">
        <v>14.5</v>
      </c>
      <c r="Q939">
        <v>5</v>
      </c>
      <c r="R939" t="str">
        <f>IF(AllDataCorrected[[#This Row],[Nitrate (PPM)]]&gt;2, "4. Very high (&gt;2ppm)", IF(AllDataCorrected[[#This Row],[Nitrate (PPM)]]&gt;1, "3. High (1-2ppm)", IF(AllDataCorrected[[#This Row],[Nitrate (PPM)]]&gt;0.5, "2. Some evidence (0.5-1ppm)", IF(AllDataCorrected[[#This Row],[Nitrate (PPM)]]&gt;=0, "1. No evidence (&lt;0.5ppm)"))))</f>
        <v>4. Very high (&gt;2ppm)</v>
      </c>
      <c r="S939">
        <v>0.33</v>
      </c>
      <c r="T93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39">
        <v>0.04</v>
      </c>
    </row>
    <row r="940" spans="1:22" x14ac:dyDescent="0.35">
      <c r="A940" t="s">
        <v>1467</v>
      </c>
      <c r="B940" s="2">
        <v>45458</v>
      </c>
      <c r="C940" t="str" cm="1">
        <f t="array" ref="C9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0">
        <f>YEAR(AllDataCorrected[[#This Row],[Date]])</f>
        <v>2024</v>
      </c>
      <c r="E940" s="1">
        <v>0.58333333333333337</v>
      </c>
      <c r="F9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0" t="str">
        <f>_xlfn.XLOOKUP(AllDataCorrected[[#This Row],[Location Name]], Locations[Location Name],Locations[Group As])</f>
        <v>Stour Willington</v>
      </c>
      <c r="H940" t="e" vm="1">
        <f>_xlfn.XLOOKUP(AllDataCorrected[[#This Row],[Site Name]],LocationsKey[Site Name],LocationsKey[District])</f>
        <v>#VALUE!</v>
      </c>
      <c r="I940" t="str">
        <f>_xlfn.XLOOKUP(AllDataCorrected[[#This Row],[Site Name]],LocationsKey[Site Name],LocationsKey[Town])</f>
        <v>Willington</v>
      </c>
      <c r="J940" t="str">
        <f>_xlfn.XLOOKUP(AllDataCorrected[[#This Row],[Site Name]],LocationsKey[Site Name], LocationsKey[Waterway])</f>
        <v>Stour</v>
      </c>
      <c r="K940" t="s">
        <v>521</v>
      </c>
      <c r="L940">
        <f>_xlfn.XLOOKUP(AllDataCorrected[[#This Row],[Site Name]],Tables!$B$12:$B$100, Tables!C$12:C$100)</f>
        <v>52.053227523809518</v>
      </c>
      <c r="M940">
        <f>_xlfn.XLOOKUP(AllDataCorrected[[#This Row],[Site Name]],Tables!$B$12:$B$100, Tables!D$12:D$100)</f>
        <v>-1.6194739523809523</v>
      </c>
      <c r="N940" t="s">
        <v>25</v>
      </c>
      <c r="O940">
        <v>605</v>
      </c>
      <c r="P940">
        <v>15.3</v>
      </c>
      <c r="Q940">
        <v>2</v>
      </c>
      <c r="R940" t="str">
        <f>IF(AllDataCorrected[[#This Row],[Nitrate (PPM)]]&gt;2, "4. Very high (&gt;2ppm)", IF(AllDataCorrected[[#This Row],[Nitrate (PPM)]]&gt;1, "3. High (1-2ppm)", IF(AllDataCorrected[[#This Row],[Nitrate (PPM)]]&gt;0.5, "2. Some evidence (0.5-1ppm)", IF(AllDataCorrected[[#This Row],[Nitrate (PPM)]]&gt;=0, "1. No evidence (&lt;0.5ppm)"))))</f>
        <v>3. High (1-2ppm)</v>
      </c>
      <c r="S940">
        <v>0.48</v>
      </c>
      <c r="T9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0">
        <v>0.5</v>
      </c>
    </row>
    <row r="941" spans="1:22" x14ac:dyDescent="0.35">
      <c r="A941" t="s">
        <v>1468</v>
      </c>
      <c r="B941" s="2">
        <v>45459</v>
      </c>
      <c r="C941" t="str" cm="1">
        <f t="array" ref="C9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1">
        <f>YEAR(AllDataCorrected[[#This Row],[Date]])</f>
        <v>2024</v>
      </c>
      <c r="E941" s="1">
        <v>0.37361111111111112</v>
      </c>
      <c r="F94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41" t="str">
        <f>_xlfn.XLOOKUP(AllDataCorrected[[#This Row],[Location Name]], Locations[Location Name],Locations[Group As])</f>
        <v>Lower Lode</v>
      </c>
      <c r="H941" t="e" vm="4">
        <f>_xlfn.XLOOKUP(AllDataCorrected[[#This Row],[Site Name]],LocationsKey[Site Name],LocationsKey[District])</f>
        <v>#VALUE!</v>
      </c>
      <c r="I941" t="e" vm="4">
        <f>_xlfn.XLOOKUP(AllDataCorrected[[#This Row],[Site Name]],LocationsKey[Site Name],LocationsKey[Town])</f>
        <v>#VALUE!</v>
      </c>
      <c r="J941" t="str">
        <f>_xlfn.XLOOKUP(AllDataCorrected[[#This Row],[Site Name]],LocationsKey[Site Name], LocationsKey[Waterway])</f>
        <v>Avon</v>
      </c>
      <c r="K941" t="s">
        <v>595</v>
      </c>
      <c r="L941">
        <f>_xlfn.XLOOKUP(AllDataCorrected[[#This Row],[Site Name]],Tables!$B$12:$B$100, Tables!C$12:C$100)</f>
        <v>51.984916745098026</v>
      </c>
      <c r="M941">
        <f>_xlfn.XLOOKUP(AllDataCorrected[[#This Row],[Site Name]],Tables!$B$12:$B$100, Tables!D$12:D$100)</f>
        <v>-2.1745787647058821</v>
      </c>
      <c r="N941" t="s">
        <v>31</v>
      </c>
      <c r="O941">
        <v>8400</v>
      </c>
      <c r="P941">
        <v>16.7</v>
      </c>
      <c r="Q941">
        <v>10</v>
      </c>
      <c r="R941" t="str">
        <f>IF(AllDataCorrected[[#This Row],[Nitrate (PPM)]]&gt;2, "4. Very high (&gt;2ppm)", IF(AllDataCorrected[[#This Row],[Nitrate (PPM)]]&gt;1, "3. High (1-2ppm)", IF(AllDataCorrected[[#This Row],[Nitrate (PPM)]]&gt;0.5, "2. Some evidence (0.5-1ppm)", IF(AllDataCorrected[[#This Row],[Nitrate (PPM)]]&gt;=0, "1. No evidence (&lt;0.5ppm)"))))</f>
        <v>4. Very high (&gt;2ppm)</v>
      </c>
      <c r="S941">
        <v>0.82</v>
      </c>
      <c r="T9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1">
        <v>1</v>
      </c>
    </row>
    <row r="942" spans="1:22" x14ac:dyDescent="0.35">
      <c r="A942" t="s">
        <v>1469</v>
      </c>
      <c r="B942" s="2">
        <v>45459</v>
      </c>
      <c r="C942" t="str" cm="1">
        <f t="array" ref="C9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2">
        <f>YEAR(AllDataCorrected[[#This Row],[Date]])</f>
        <v>2024</v>
      </c>
      <c r="E942" s="1">
        <v>0.61805555555555558</v>
      </c>
      <c r="F9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42" t="str">
        <f>_xlfn.XLOOKUP(AllDataCorrected[[#This Row],[Location Name]], Locations[Location Name],Locations[Group As])</f>
        <v>Fell Mill Footbridge</v>
      </c>
      <c r="H942" t="e" vm="1">
        <f>_xlfn.XLOOKUP(AllDataCorrected[[#This Row],[Site Name]],LocationsKey[Site Name],LocationsKey[District])</f>
        <v>#VALUE!</v>
      </c>
      <c r="I942" t="e" vm="15">
        <f>_xlfn.XLOOKUP(AllDataCorrected[[#This Row],[Site Name]],LocationsKey[Site Name],LocationsKey[Town])</f>
        <v>#VALUE!</v>
      </c>
      <c r="J942" t="str">
        <f>_xlfn.XLOOKUP(AllDataCorrected[[#This Row],[Site Name]],LocationsKey[Site Name], LocationsKey[Waterway])</f>
        <v>Stour</v>
      </c>
      <c r="K942" t="s">
        <v>875</v>
      </c>
      <c r="L942">
        <f>_xlfn.XLOOKUP(AllDataCorrected[[#This Row],[Site Name]],Tables!$B$12:$B$100, Tables!C$12:C$100)</f>
        <v>52.069044372881365</v>
      </c>
      <c r="M942">
        <f>_xlfn.XLOOKUP(AllDataCorrected[[#This Row],[Site Name]],Tables!$B$12:$B$100, Tables!D$12:D$100)</f>
        <v>-1.6116270169491524</v>
      </c>
      <c r="N942" t="s">
        <v>31</v>
      </c>
      <c r="O942">
        <v>614</v>
      </c>
      <c r="P942">
        <v>16.100000000000001</v>
      </c>
      <c r="Q942">
        <v>5</v>
      </c>
      <c r="R942" t="str">
        <f>IF(AllDataCorrected[[#This Row],[Nitrate (PPM)]]&gt;2, "4. Very high (&gt;2ppm)", IF(AllDataCorrected[[#This Row],[Nitrate (PPM)]]&gt;1, "3. High (1-2ppm)", IF(AllDataCorrected[[#This Row],[Nitrate (PPM)]]&gt;0.5, "2. Some evidence (0.5-1ppm)", IF(AllDataCorrected[[#This Row],[Nitrate (PPM)]]&gt;=0, "1. No evidence (&lt;0.5ppm)"))))</f>
        <v>4. Very high (&gt;2ppm)</v>
      </c>
      <c r="S942">
        <v>0.48</v>
      </c>
      <c r="T94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2">
        <v>2.1</v>
      </c>
    </row>
    <row r="943" spans="1:22" x14ac:dyDescent="0.35">
      <c r="A943" t="s">
        <v>1470</v>
      </c>
      <c r="B943" s="2">
        <v>45459</v>
      </c>
      <c r="C943" t="str" cm="1">
        <f t="array" ref="C9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3">
        <f>YEAR(AllDataCorrected[[#This Row],[Date]])</f>
        <v>2024</v>
      </c>
      <c r="E943" s="1">
        <v>0.77986111111111112</v>
      </c>
      <c r="F94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43" t="str">
        <f>_xlfn.XLOOKUP(AllDataCorrected[[#This Row],[Location Name]], Locations[Location Name],Locations[Group As])</f>
        <v>Black Bear</v>
      </c>
      <c r="H943" t="e" vm="4">
        <f>_xlfn.XLOOKUP(AllDataCorrected[[#This Row],[Site Name]],LocationsKey[Site Name],LocationsKey[District])</f>
        <v>#VALUE!</v>
      </c>
      <c r="I943" t="e" vm="4">
        <f>_xlfn.XLOOKUP(AllDataCorrected[[#This Row],[Site Name]],LocationsKey[Site Name],LocationsKey[Town])</f>
        <v>#VALUE!</v>
      </c>
      <c r="J943" t="str">
        <f>_xlfn.XLOOKUP(AllDataCorrected[[#This Row],[Site Name]],LocationsKey[Site Name], LocationsKey[Waterway])</f>
        <v>Avon</v>
      </c>
      <c r="K943" t="s">
        <v>1175</v>
      </c>
      <c r="L943">
        <f>_xlfn.XLOOKUP(AllDataCorrected[[#This Row],[Site Name]],Tables!$B$12:$B$100, Tables!C$12:C$100)</f>
        <v>51.997466254237274</v>
      </c>
      <c r="M943">
        <f>_xlfn.XLOOKUP(AllDataCorrected[[#This Row],[Site Name]],Tables!$B$12:$B$100, Tables!D$12:D$100)</f>
        <v>-2.1561788644067801</v>
      </c>
      <c r="N943" t="s">
        <v>25</v>
      </c>
      <c r="O943">
        <v>950</v>
      </c>
      <c r="P943">
        <v>17.600000000000001</v>
      </c>
      <c r="Q943">
        <v>9</v>
      </c>
      <c r="R943" t="str">
        <f>IF(AllDataCorrected[[#This Row],[Nitrate (PPM)]]&gt;2, "4. Very high (&gt;2ppm)", IF(AllDataCorrected[[#This Row],[Nitrate (PPM)]]&gt;1, "3. High (1-2ppm)", IF(AllDataCorrected[[#This Row],[Nitrate (PPM)]]&gt;0.5, "2. Some evidence (0.5-1ppm)", IF(AllDataCorrected[[#This Row],[Nitrate (PPM)]]&gt;=0, "1. No evidence (&lt;0.5ppm)"))))</f>
        <v>4. Very high (&gt;2ppm)</v>
      </c>
      <c r="S943">
        <v>0.65</v>
      </c>
      <c r="T9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3">
        <v>0</v>
      </c>
    </row>
    <row r="944" spans="1:22" x14ac:dyDescent="0.35">
      <c r="A944" t="s">
        <v>1471</v>
      </c>
      <c r="B944" s="2">
        <v>45459</v>
      </c>
      <c r="C944" t="str" cm="1">
        <f t="array" ref="C9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4">
        <f>YEAR(AllDataCorrected[[#This Row],[Date]])</f>
        <v>2024</v>
      </c>
      <c r="F94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4" t="str">
        <f>_xlfn.XLOOKUP(AllDataCorrected[[#This Row],[Location Name]], Locations[Location Name],Locations[Group As])</f>
        <v>Site 1  :  Middle Street</v>
      </c>
      <c r="H944" t="e" vm="1">
        <f>_xlfn.XLOOKUP(AllDataCorrected[[#This Row],[Site Name]],LocationsKey[Site Name],LocationsKey[District])</f>
        <v>#VALUE!</v>
      </c>
      <c r="I944" t="e" vm="14">
        <f>_xlfn.XLOOKUP(AllDataCorrected[[#This Row],[Site Name]],LocationsKey[Site Name],LocationsKey[Town])</f>
        <v>#VALUE!</v>
      </c>
      <c r="J944" t="str">
        <f>_xlfn.XLOOKUP(AllDataCorrected[[#This Row],[Site Name]],LocationsKey[Site Name], LocationsKey[Waterway])</f>
        <v>Fosseway Brook</v>
      </c>
      <c r="K944" t="s">
        <v>667</v>
      </c>
      <c r="L944">
        <f>_xlfn.XLOOKUP(AllDataCorrected[[#This Row],[Site Name]],Tables!$B$12:$B$100, Tables!C$12:C$100)</f>
        <v>52.090081855670022</v>
      </c>
      <c r="M944">
        <f>_xlfn.XLOOKUP(AllDataCorrected[[#This Row],[Site Name]],Tables!$B$12:$B$100, Tables!D$12:D$100)</f>
        <v>-1.6925771134020597</v>
      </c>
      <c r="N944" t="s">
        <v>68</v>
      </c>
      <c r="O944">
        <v>630</v>
      </c>
      <c r="P944">
        <v>19.3</v>
      </c>
      <c r="Q944">
        <v>2</v>
      </c>
      <c r="R944" t="str">
        <f>IF(AllDataCorrected[[#This Row],[Nitrate (PPM)]]&gt;2, "4. Very high (&gt;2ppm)", IF(AllDataCorrected[[#This Row],[Nitrate (PPM)]]&gt;1, "3. High (1-2ppm)", IF(AllDataCorrected[[#This Row],[Nitrate (PPM)]]&gt;0.5, "2. Some evidence (0.5-1ppm)", IF(AllDataCorrected[[#This Row],[Nitrate (PPM)]]&gt;=0, "1. No evidence (&lt;0.5ppm)"))))</f>
        <v>3. High (1-2ppm)</v>
      </c>
      <c r="S944">
        <v>0.1</v>
      </c>
      <c r="T944"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944">
        <v>0</v>
      </c>
      <c r="V944" t="s">
        <v>835</v>
      </c>
    </row>
    <row r="945" spans="1:22" x14ac:dyDescent="0.35">
      <c r="A945" t="s">
        <v>1472</v>
      </c>
      <c r="B945" s="2">
        <v>45459</v>
      </c>
      <c r="C945" t="str" cm="1">
        <f t="array" ref="C9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5">
        <f>YEAR(AllDataCorrected[[#This Row],[Date]])</f>
        <v>2024</v>
      </c>
      <c r="F94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5" t="str">
        <f>_xlfn.XLOOKUP(AllDataCorrected[[#This Row],[Location Name]], Locations[Location Name],Locations[Group As])</f>
        <v>Site 1  :  Middle Street</v>
      </c>
      <c r="H945" t="e" vm="1">
        <f>_xlfn.XLOOKUP(AllDataCorrected[[#This Row],[Site Name]],LocationsKey[Site Name],LocationsKey[District])</f>
        <v>#VALUE!</v>
      </c>
      <c r="I945" t="e" vm="14">
        <f>_xlfn.XLOOKUP(AllDataCorrected[[#This Row],[Site Name]],LocationsKey[Site Name],LocationsKey[Town])</f>
        <v>#VALUE!</v>
      </c>
      <c r="J945" t="str">
        <f>_xlfn.XLOOKUP(AllDataCorrected[[#This Row],[Site Name]],LocationsKey[Site Name], LocationsKey[Waterway])</f>
        <v>Fosseway Brook</v>
      </c>
      <c r="K945" t="s">
        <v>670</v>
      </c>
      <c r="L945">
        <f>_xlfn.XLOOKUP(AllDataCorrected[[#This Row],[Site Name]],Tables!$B$12:$B$100, Tables!C$12:C$100)</f>
        <v>52.090081855670022</v>
      </c>
      <c r="M945">
        <f>_xlfn.XLOOKUP(AllDataCorrected[[#This Row],[Site Name]],Tables!$B$12:$B$100, Tables!D$12:D$100)</f>
        <v>-1.6925771134020597</v>
      </c>
      <c r="N945" t="s">
        <v>68</v>
      </c>
      <c r="O945">
        <v>630</v>
      </c>
      <c r="P945">
        <v>19.3</v>
      </c>
      <c r="Q945">
        <v>2</v>
      </c>
      <c r="R945" t="str">
        <f>IF(AllDataCorrected[[#This Row],[Nitrate (PPM)]]&gt;2, "4. Very high (&gt;2ppm)", IF(AllDataCorrected[[#This Row],[Nitrate (PPM)]]&gt;1, "3. High (1-2ppm)", IF(AllDataCorrected[[#This Row],[Nitrate (PPM)]]&gt;0.5, "2. Some evidence (0.5-1ppm)", IF(AllDataCorrected[[#This Row],[Nitrate (PPM)]]&gt;=0, "1. No evidence (&lt;0.5ppm)"))))</f>
        <v>3. High (1-2ppm)</v>
      </c>
      <c r="S945">
        <v>0.1</v>
      </c>
      <c r="T94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row>
    <row r="946" spans="1:22" x14ac:dyDescent="0.35">
      <c r="A946" t="s">
        <v>1473</v>
      </c>
      <c r="B946" s="2">
        <v>45459</v>
      </c>
      <c r="C946" t="str" cm="1">
        <f t="array" ref="C9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6">
        <f>YEAR(AllDataCorrected[[#This Row],[Date]])</f>
        <v>2024</v>
      </c>
      <c r="F94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6" t="str">
        <f>_xlfn.XLOOKUP(AllDataCorrected[[#This Row],[Location Name]], Locations[Location Name],Locations[Group As])</f>
        <v>Site 2  :  Cross Leys culvert</v>
      </c>
      <c r="H946" t="e" vm="1">
        <f>_xlfn.XLOOKUP(AllDataCorrected[[#This Row],[Site Name]],LocationsKey[Site Name],LocationsKey[District])</f>
        <v>#VALUE!</v>
      </c>
      <c r="I946" t="e" vm="14">
        <f>_xlfn.XLOOKUP(AllDataCorrected[[#This Row],[Site Name]],LocationsKey[Site Name],LocationsKey[Town])</f>
        <v>#VALUE!</v>
      </c>
      <c r="J946" t="str">
        <f>_xlfn.XLOOKUP(AllDataCorrected[[#This Row],[Site Name]],LocationsKey[Site Name], LocationsKey[Waterway])</f>
        <v>Fosseway Brook</v>
      </c>
      <c r="K946" t="s">
        <v>623</v>
      </c>
      <c r="L946">
        <f>_xlfn.XLOOKUP(AllDataCorrected[[#This Row],[Site Name]],Tables!$B$12:$B$100, Tables!C$12:C$100)</f>
        <v>52.092997354838673</v>
      </c>
      <c r="M946">
        <f>_xlfn.XLOOKUP(AllDataCorrected[[#This Row],[Site Name]],Tables!$B$12:$B$100, Tables!D$12:D$100)</f>
        <v>-1.6862254516129045</v>
      </c>
      <c r="N946" t="s">
        <v>68</v>
      </c>
      <c r="O946">
        <v>723</v>
      </c>
      <c r="P946">
        <v>17</v>
      </c>
      <c r="Q946">
        <v>2</v>
      </c>
      <c r="R946" t="str">
        <f>IF(AllDataCorrected[[#This Row],[Nitrate (PPM)]]&gt;2, "4. Very high (&gt;2ppm)", IF(AllDataCorrected[[#This Row],[Nitrate (PPM)]]&gt;1, "3. High (1-2ppm)", IF(AllDataCorrected[[#This Row],[Nitrate (PPM)]]&gt;0.5, "2. Some evidence (0.5-1ppm)", IF(AllDataCorrected[[#This Row],[Nitrate (PPM)]]&gt;=0, "1. No evidence (&lt;0.5ppm)"))))</f>
        <v>3. High (1-2ppm)</v>
      </c>
      <c r="S946">
        <v>0.41</v>
      </c>
      <c r="T94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46">
        <v>0</v>
      </c>
      <c r="V946" t="s">
        <v>835</v>
      </c>
    </row>
    <row r="947" spans="1:22" x14ac:dyDescent="0.35">
      <c r="A947" t="s">
        <v>1474</v>
      </c>
      <c r="B947" s="2">
        <v>45459</v>
      </c>
      <c r="C947" t="str" cm="1">
        <f t="array" ref="C9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7">
        <f>YEAR(AllDataCorrected[[#This Row],[Date]])</f>
        <v>2024</v>
      </c>
      <c r="F94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7" t="str">
        <f>_xlfn.XLOOKUP(AllDataCorrected[[#This Row],[Location Name]], Locations[Location Name],Locations[Group As])</f>
        <v>Site 2  :  Cross Leys culvert</v>
      </c>
      <c r="H947" t="e" vm="1">
        <f>_xlfn.XLOOKUP(AllDataCorrected[[#This Row],[Site Name]],LocationsKey[Site Name],LocationsKey[District])</f>
        <v>#VALUE!</v>
      </c>
      <c r="I947" t="e" vm="14">
        <f>_xlfn.XLOOKUP(AllDataCorrected[[#This Row],[Site Name]],LocationsKey[Site Name],LocationsKey[Town])</f>
        <v>#VALUE!</v>
      </c>
      <c r="J947" t="str">
        <f>_xlfn.XLOOKUP(AllDataCorrected[[#This Row],[Site Name]],LocationsKey[Site Name], LocationsKey[Waterway])</f>
        <v>Fosseway Brook</v>
      </c>
      <c r="K947" t="s">
        <v>626</v>
      </c>
      <c r="L947">
        <f>_xlfn.XLOOKUP(AllDataCorrected[[#This Row],[Site Name]],Tables!$B$12:$B$100, Tables!C$12:C$100)</f>
        <v>52.092997354838673</v>
      </c>
      <c r="M947">
        <f>_xlfn.XLOOKUP(AllDataCorrected[[#This Row],[Site Name]],Tables!$B$12:$B$100, Tables!D$12:D$100)</f>
        <v>-1.6862254516129045</v>
      </c>
      <c r="N947" t="s">
        <v>68</v>
      </c>
      <c r="O947">
        <v>723</v>
      </c>
      <c r="P947">
        <v>17</v>
      </c>
      <c r="Q947">
        <v>2</v>
      </c>
      <c r="R947" t="str">
        <f>IF(AllDataCorrected[[#This Row],[Nitrate (PPM)]]&gt;2, "4. Very high (&gt;2ppm)", IF(AllDataCorrected[[#This Row],[Nitrate (PPM)]]&gt;1, "3. High (1-2ppm)", IF(AllDataCorrected[[#This Row],[Nitrate (PPM)]]&gt;0.5, "2. Some evidence (0.5-1ppm)", IF(AllDataCorrected[[#This Row],[Nitrate (PPM)]]&gt;=0, "1. No evidence (&lt;0.5ppm)"))))</f>
        <v>3. High (1-2ppm)</v>
      </c>
      <c r="S947">
        <v>0.41</v>
      </c>
      <c r="T94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948" spans="1:22" x14ac:dyDescent="0.35">
      <c r="A948" t="s">
        <v>1475</v>
      </c>
      <c r="B948" s="2">
        <v>45459</v>
      </c>
      <c r="C948" t="str" cm="1">
        <f t="array" ref="C9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8">
        <f>YEAR(AllDataCorrected[[#This Row],[Date]])</f>
        <v>2024</v>
      </c>
      <c r="F94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8" t="str">
        <f>_xlfn.XLOOKUP(AllDataCorrected[[#This Row],[Location Name]], Locations[Location Name],Locations[Group As])</f>
        <v>Site 3  :  Severn Trent Water processing plant outflow</v>
      </c>
      <c r="H948" t="e" vm="1">
        <f>_xlfn.XLOOKUP(AllDataCorrected[[#This Row],[Site Name]],LocationsKey[Site Name],LocationsKey[District])</f>
        <v>#VALUE!</v>
      </c>
      <c r="I948" t="e" vm="14">
        <f>_xlfn.XLOOKUP(AllDataCorrected[[#This Row],[Site Name]],LocationsKey[Site Name],LocationsKey[Town])</f>
        <v>#VALUE!</v>
      </c>
      <c r="J948" t="str">
        <f>_xlfn.XLOOKUP(AllDataCorrected[[#This Row],[Site Name]],LocationsKey[Site Name], LocationsKey[Waterway])</f>
        <v>Fosseway Brook</v>
      </c>
      <c r="K948" t="s">
        <v>673</v>
      </c>
      <c r="L948">
        <f>_xlfn.XLOOKUP(AllDataCorrected[[#This Row],[Site Name]],Tables!$B$12:$B$100, Tables!C$12:C$100)</f>
        <v>52.130499999999998</v>
      </c>
      <c r="M948">
        <f>_xlfn.XLOOKUP(AllDataCorrected[[#This Row],[Site Name]],Tables!$B$12:$B$100, Tables!D$12:D$100)</f>
        <v>-2.0787</v>
      </c>
      <c r="N948" t="s">
        <v>31</v>
      </c>
      <c r="O948">
        <v>935</v>
      </c>
      <c r="P948">
        <v>18</v>
      </c>
      <c r="Q948">
        <v>10</v>
      </c>
      <c r="R948" t="str">
        <f>IF(AllDataCorrected[[#This Row],[Nitrate (PPM)]]&gt;2, "4. Very high (&gt;2ppm)", IF(AllDataCorrected[[#This Row],[Nitrate (PPM)]]&gt;1, "3. High (1-2ppm)", IF(AllDataCorrected[[#This Row],[Nitrate (PPM)]]&gt;0.5, "2. Some evidence (0.5-1ppm)", IF(AllDataCorrected[[#This Row],[Nitrate (PPM)]]&gt;=0, "1. No evidence (&lt;0.5ppm)"))))</f>
        <v>4. Very high (&gt;2ppm)</v>
      </c>
      <c r="S948">
        <v>2.5</v>
      </c>
      <c r="T9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48">
        <v>0</v>
      </c>
      <c r="V948" t="s">
        <v>840</v>
      </c>
    </row>
    <row r="949" spans="1:22" x14ac:dyDescent="0.35">
      <c r="A949" t="s">
        <v>1476</v>
      </c>
      <c r="B949" s="2">
        <v>45459</v>
      </c>
      <c r="C949" t="str" cm="1">
        <f t="array" ref="C9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49">
        <f>YEAR(AllDataCorrected[[#This Row],[Date]])</f>
        <v>2024</v>
      </c>
      <c r="F94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49" t="str">
        <f>_xlfn.XLOOKUP(AllDataCorrected[[#This Row],[Location Name]], Locations[Location Name],Locations[Group As])</f>
        <v>Site 3  :  Severn Trent Water processing plant outflow</v>
      </c>
      <c r="H949" t="e" vm="1">
        <f>_xlfn.XLOOKUP(AllDataCorrected[[#This Row],[Site Name]],LocationsKey[Site Name],LocationsKey[District])</f>
        <v>#VALUE!</v>
      </c>
      <c r="I949" t="e" vm="14">
        <f>_xlfn.XLOOKUP(AllDataCorrected[[#This Row],[Site Name]],LocationsKey[Site Name],LocationsKey[Town])</f>
        <v>#VALUE!</v>
      </c>
      <c r="J949" t="str">
        <f>_xlfn.XLOOKUP(AllDataCorrected[[#This Row],[Site Name]],LocationsKey[Site Name], LocationsKey[Waterway])</f>
        <v>Fosseway Brook</v>
      </c>
      <c r="K949" t="s">
        <v>676</v>
      </c>
      <c r="L949">
        <f>_xlfn.XLOOKUP(AllDataCorrected[[#This Row],[Site Name]],Tables!$B$12:$B$100, Tables!C$12:C$100)</f>
        <v>52.130499999999998</v>
      </c>
      <c r="M949">
        <f>_xlfn.XLOOKUP(AllDataCorrected[[#This Row],[Site Name]],Tables!$B$12:$B$100, Tables!D$12:D$100)</f>
        <v>-2.0787</v>
      </c>
      <c r="N949" t="s">
        <v>31</v>
      </c>
      <c r="O949">
        <v>935</v>
      </c>
      <c r="P949">
        <v>18</v>
      </c>
      <c r="Q949">
        <v>10</v>
      </c>
      <c r="R949" t="str">
        <f>IF(AllDataCorrected[[#This Row],[Nitrate (PPM)]]&gt;2, "4. Very high (&gt;2ppm)", IF(AllDataCorrected[[#This Row],[Nitrate (PPM)]]&gt;1, "3. High (1-2ppm)", IF(AllDataCorrected[[#This Row],[Nitrate (PPM)]]&gt;0.5, "2. Some evidence (0.5-1ppm)", IF(AllDataCorrected[[#This Row],[Nitrate (PPM)]]&gt;=0, "1. No evidence (&lt;0.5ppm)"))))</f>
        <v>4. Very high (&gt;2ppm)</v>
      </c>
      <c r="S949">
        <v>2.5</v>
      </c>
      <c r="T94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950" spans="1:22" x14ac:dyDescent="0.35">
      <c r="A950" t="s">
        <v>1478</v>
      </c>
      <c r="B950" s="2">
        <v>45460</v>
      </c>
      <c r="C950" t="str" cm="1">
        <f t="array" ref="C9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0">
        <f>YEAR(AllDataCorrected[[#This Row],[Date]])</f>
        <v>2024</v>
      </c>
      <c r="E950" s="1">
        <v>0.41458333333333336</v>
      </c>
      <c r="F9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0" t="str">
        <f>_xlfn.XLOOKUP(AllDataCorrected[[#This Row],[Location Name]], Locations[Location Name],Locations[Group As])</f>
        <v>Stour Stretton-on-Fosse Village</v>
      </c>
      <c r="H950" t="e" vm="1">
        <f>_xlfn.XLOOKUP(AllDataCorrected[[#This Row],[Site Name]],LocationsKey[Site Name],LocationsKey[District])</f>
        <v>#VALUE!</v>
      </c>
      <c r="I950" t="e" vm="30">
        <f>_xlfn.XLOOKUP(AllDataCorrected[[#This Row],[Site Name]],LocationsKey[Site Name],LocationsKey[Town])</f>
        <v>#VALUE!</v>
      </c>
      <c r="J950" t="str">
        <f>_xlfn.XLOOKUP(AllDataCorrected[[#This Row],[Site Name]],LocationsKey[Site Name], LocationsKey[Waterway])</f>
        <v>Stour</v>
      </c>
      <c r="K950" t="s">
        <v>548</v>
      </c>
      <c r="L950">
        <f>_xlfn.XLOOKUP(AllDataCorrected[[#This Row],[Site Name]],Tables!$B$12:$B$100, Tables!C$12:C$100)</f>
        <v>52.046517558823531</v>
      </c>
      <c r="M950">
        <f>_xlfn.XLOOKUP(AllDataCorrected[[#This Row],[Site Name]],Tables!$B$12:$B$100, Tables!D$12:D$100)</f>
        <v>-1.6734143529411762</v>
      </c>
      <c r="N950" t="s">
        <v>68</v>
      </c>
      <c r="O950">
        <v>690</v>
      </c>
      <c r="P950">
        <v>12.6</v>
      </c>
      <c r="Q950">
        <v>0.5</v>
      </c>
      <c r="R95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50">
        <v>2.5</v>
      </c>
      <c r="T9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0">
        <v>0.2</v>
      </c>
      <c r="V950" t="s">
        <v>1479</v>
      </c>
    </row>
    <row r="951" spans="1:22" x14ac:dyDescent="0.35">
      <c r="A951" t="s">
        <v>1480</v>
      </c>
      <c r="B951" s="2">
        <v>45460</v>
      </c>
      <c r="C951" t="str" cm="1">
        <f t="array" ref="C9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1">
        <f>YEAR(AllDataCorrected[[#This Row],[Date]])</f>
        <v>2024</v>
      </c>
      <c r="E951" s="1">
        <v>0.42222222222222222</v>
      </c>
      <c r="F9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1" t="str">
        <f>_xlfn.XLOOKUP(AllDataCorrected[[#This Row],[Location Name]], Locations[Location Name],Locations[Group As])</f>
        <v>Stour Stretton-on-Fosse Sewage Works</v>
      </c>
      <c r="H951" t="e" vm="1">
        <f>_xlfn.XLOOKUP(AllDataCorrected[[#This Row],[Site Name]],LocationsKey[Site Name],LocationsKey[District])</f>
        <v>#VALUE!</v>
      </c>
      <c r="I951" t="e" vm="30">
        <f>_xlfn.XLOOKUP(AllDataCorrected[[#This Row],[Site Name]],LocationsKey[Site Name],LocationsKey[Town])</f>
        <v>#VALUE!</v>
      </c>
      <c r="J951" t="str">
        <f>_xlfn.XLOOKUP(AllDataCorrected[[#This Row],[Site Name]],LocationsKey[Site Name], LocationsKey[Waterway])</f>
        <v>Stour</v>
      </c>
      <c r="K951" t="s">
        <v>337</v>
      </c>
      <c r="L951">
        <f>_xlfn.XLOOKUP(AllDataCorrected[[#This Row],[Site Name]],Tables!$B$12:$B$100, Tables!C$12:C$100)</f>
        <v>52.045653647058828</v>
      </c>
      <c r="M951">
        <f>_xlfn.XLOOKUP(AllDataCorrected[[#This Row],[Site Name]],Tables!$B$12:$B$100, Tables!D$12:D$100)</f>
        <v>-1.6719221470588239</v>
      </c>
      <c r="N951" t="s">
        <v>31</v>
      </c>
      <c r="O951">
        <v>818</v>
      </c>
      <c r="P951">
        <v>14.4</v>
      </c>
      <c r="Q951">
        <v>2</v>
      </c>
      <c r="R951" t="str">
        <f>IF(AllDataCorrected[[#This Row],[Nitrate (PPM)]]&gt;2, "4. Very high (&gt;2ppm)", IF(AllDataCorrected[[#This Row],[Nitrate (PPM)]]&gt;1, "3. High (1-2ppm)", IF(AllDataCorrected[[#This Row],[Nitrate (PPM)]]&gt;0.5, "2. Some evidence (0.5-1ppm)", IF(AllDataCorrected[[#This Row],[Nitrate (PPM)]]&gt;=0, "1. No evidence (&lt;0.5ppm)"))))</f>
        <v>3. High (1-2ppm)</v>
      </c>
      <c r="S951">
        <v>2.5</v>
      </c>
      <c r="T9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1">
        <v>0.3</v>
      </c>
      <c r="V951" t="s">
        <v>1391</v>
      </c>
    </row>
    <row r="952" spans="1:22" x14ac:dyDescent="0.35">
      <c r="A952" t="s">
        <v>1481</v>
      </c>
      <c r="B952" s="2">
        <v>45461</v>
      </c>
      <c r="C952" t="str" cm="1">
        <f t="array" ref="C9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2">
        <f>YEAR(AllDataCorrected[[#This Row],[Date]])</f>
        <v>2024</v>
      </c>
      <c r="E952" s="1">
        <v>0.4513888888888889</v>
      </c>
      <c r="F9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2" t="str">
        <f>_xlfn.XLOOKUP(AllDataCorrected[[#This Row],[Location Name]], Locations[Location Name],Locations[Group As])</f>
        <v>Carrant Mitton Path</v>
      </c>
      <c r="H952" t="e" vm="4">
        <f>_xlfn.XLOOKUP(AllDataCorrected[[#This Row],[Site Name]],LocationsKey[Site Name],LocationsKey[District])</f>
        <v>#VALUE!</v>
      </c>
      <c r="I952" t="e" vm="4">
        <f>_xlfn.XLOOKUP(AllDataCorrected[[#This Row],[Site Name]],LocationsKey[Site Name],LocationsKey[Town])</f>
        <v>#VALUE!</v>
      </c>
      <c r="J952" t="str">
        <f>_xlfn.XLOOKUP(AllDataCorrected[[#This Row],[Site Name]],LocationsKey[Site Name], LocationsKey[Waterway])</f>
        <v>Carrant</v>
      </c>
      <c r="K952" t="s">
        <v>1064</v>
      </c>
      <c r="L952">
        <f>_xlfn.XLOOKUP(AllDataCorrected[[#This Row],[Site Name]],Tables!$B$12:$B$100, Tables!C$12:C$100)</f>
        <v>52.048665</v>
      </c>
      <c r="M952">
        <f>_xlfn.XLOOKUP(AllDataCorrected[[#This Row],[Site Name]],Tables!$B$12:$B$100, Tables!D$12:D$100)</f>
        <v>-1.7862663333333331</v>
      </c>
      <c r="N952" t="s">
        <v>25</v>
      </c>
      <c r="O952">
        <v>688</v>
      </c>
      <c r="P952">
        <v>16</v>
      </c>
      <c r="Q952">
        <v>4</v>
      </c>
      <c r="R952" t="str">
        <f>IF(AllDataCorrected[[#This Row],[Nitrate (PPM)]]&gt;2, "4. Very high (&gt;2ppm)", IF(AllDataCorrected[[#This Row],[Nitrate (PPM)]]&gt;1, "3. High (1-2ppm)", IF(AllDataCorrected[[#This Row],[Nitrate (PPM)]]&gt;0.5, "2. Some evidence (0.5-1ppm)", IF(AllDataCorrected[[#This Row],[Nitrate (PPM)]]&gt;=0, "1. No evidence (&lt;0.5ppm)"))))</f>
        <v>4. Very high (&gt;2ppm)</v>
      </c>
      <c r="S952">
        <v>0.56000000000000005</v>
      </c>
      <c r="T9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2">
        <v>0</v>
      </c>
    </row>
    <row r="953" spans="1:22" x14ac:dyDescent="0.35">
      <c r="A953" t="s">
        <v>1482</v>
      </c>
      <c r="B953" s="2">
        <v>45461</v>
      </c>
      <c r="C953" t="str" cm="1">
        <f t="array" ref="C9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3">
        <f>YEAR(AllDataCorrected[[#This Row],[Date]])</f>
        <v>2024</v>
      </c>
      <c r="E953" s="1">
        <v>0.46736111111111112</v>
      </c>
      <c r="F9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3" t="str">
        <f>_xlfn.XLOOKUP(AllDataCorrected[[#This Row],[Location Name]], Locations[Location Name],Locations[Group As])</f>
        <v>Carrant M5 Bridge</v>
      </c>
      <c r="H953" t="e" vm="4">
        <f>_xlfn.XLOOKUP(AllDataCorrected[[#This Row],[Site Name]],LocationsKey[Site Name],LocationsKey[District])</f>
        <v>#VALUE!</v>
      </c>
      <c r="I953" t="e" vm="4">
        <f>_xlfn.XLOOKUP(AllDataCorrected[[#This Row],[Site Name]],LocationsKey[Site Name],LocationsKey[Town])</f>
        <v>#VALUE!</v>
      </c>
      <c r="J953" t="str">
        <f>_xlfn.XLOOKUP(AllDataCorrected[[#This Row],[Site Name]],LocationsKey[Site Name], LocationsKey[Waterway])</f>
        <v>Carrant</v>
      </c>
      <c r="K953" t="s">
        <v>1066</v>
      </c>
      <c r="L953">
        <f>_xlfn.XLOOKUP(AllDataCorrected[[#This Row],[Site Name]],Tables!$B$12:$B$100, Tables!C$12:C$100)</f>
        <v>52.012994652173923</v>
      </c>
      <c r="M953">
        <f>_xlfn.XLOOKUP(AllDataCorrected[[#This Row],[Site Name]],Tables!$B$12:$B$100, Tables!D$12:D$100)</f>
        <v>-2.1224405652173912</v>
      </c>
      <c r="N953" t="s">
        <v>25</v>
      </c>
      <c r="O953">
        <v>742</v>
      </c>
      <c r="P953">
        <v>16.100000000000001</v>
      </c>
      <c r="Q953">
        <v>5</v>
      </c>
      <c r="R953" t="str">
        <f>IF(AllDataCorrected[[#This Row],[Nitrate (PPM)]]&gt;2, "4. Very high (&gt;2ppm)", IF(AllDataCorrected[[#This Row],[Nitrate (PPM)]]&gt;1, "3. High (1-2ppm)", IF(AllDataCorrected[[#This Row],[Nitrate (PPM)]]&gt;0.5, "2. Some evidence (0.5-1ppm)", IF(AllDataCorrected[[#This Row],[Nitrate (PPM)]]&gt;=0, "1. No evidence (&lt;0.5ppm)"))))</f>
        <v>4. Very high (&gt;2ppm)</v>
      </c>
      <c r="S953">
        <v>0.48</v>
      </c>
      <c r="T95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3">
        <v>0</v>
      </c>
    </row>
    <row r="954" spans="1:22" x14ac:dyDescent="0.35">
      <c r="A954" t="s">
        <v>1483</v>
      </c>
      <c r="B954" s="2">
        <v>45461</v>
      </c>
      <c r="C954" t="str" cm="1">
        <f t="array" ref="C9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4">
        <f>YEAR(AllDataCorrected[[#This Row],[Date]])</f>
        <v>2024</v>
      </c>
      <c r="E954" s="1">
        <v>0.61736111111111114</v>
      </c>
      <c r="F9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4" t="str">
        <f>_xlfn.XLOOKUP(AllDataCorrected[[#This Row],[Location Name]], Locations[Location Name],Locations[Group As])</f>
        <v>Abbey Mill</v>
      </c>
      <c r="H954" t="e" vm="4">
        <f>_xlfn.XLOOKUP(AllDataCorrected[[#This Row],[Site Name]],LocationsKey[Site Name],LocationsKey[District])</f>
        <v>#VALUE!</v>
      </c>
      <c r="I954" t="e" vm="4">
        <f>_xlfn.XLOOKUP(AllDataCorrected[[#This Row],[Site Name]],LocationsKey[Site Name],LocationsKey[Town])</f>
        <v>#VALUE!</v>
      </c>
      <c r="J954" t="str">
        <f>_xlfn.XLOOKUP(AllDataCorrected[[#This Row],[Site Name]],LocationsKey[Site Name], LocationsKey[Waterway])</f>
        <v>Avon</v>
      </c>
      <c r="K954" t="s">
        <v>27</v>
      </c>
      <c r="L954">
        <f>_xlfn.XLOOKUP(AllDataCorrected[[#This Row],[Site Name]],Tables!$B$12:$B$100, Tables!C$12:C$100)</f>
        <v>51.991313075757589</v>
      </c>
      <c r="M954">
        <f>_xlfn.XLOOKUP(AllDataCorrected[[#This Row],[Site Name]],Tables!$B$12:$B$100, Tables!D$12:D$100)</f>
        <v>-2.1621998181818181</v>
      </c>
      <c r="N954" t="s">
        <v>25</v>
      </c>
      <c r="O954">
        <v>1010</v>
      </c>
      <c r="P954">
        <v>17.100000000000001</v>
      </c>
      <c r="Q954">
        <v>10</v>
      </c>
      <c r="R954" t="str">
        <f>IF(AllDataCorrected[[#This Row],[Nitrate (PPM)]]&gt;2, "4. Very high (&gt;2ppm)", IF(AllDataCorrected[[#This Row],[Nitrate (PPM)]]&gt;1, "3. High (1-2ppm)", IF(AllDataCorrected[[#This Row],[Nitrate (PPM)]]&gt;0.5, "2. Some evidence (0.5-1ppm)", IF(AllDataCorrected[[#This Row],[Nitrate (PPM)]]&gt;=0, "1. No evidence (&lt;0.5ppm)"))))</f>
        <v>4. Very high (&gt;2ppm)</v>
      </c>
      <c r="S954">
        <v>0.65</v>
      </c>
      <c r="T9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4">
        <v>0.5</v>
      </c>
    </row>
    <row r="955" spans="1:22" x14ac:dyDescent="0.35">
      <c r="A955" t="s">
        <v>1485</v>
      </c>
      <c r="B955" s="2">
        <v>45462</v>
      </c>
      <c r="C955" t="str" cm="1">
        <f t="array" ref="C9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5">
        <f>YEAR(AllDataCorrected[[#This Row],[Date]])</f>
        <v>2024</v>
      </c>
      <c r="E955" s="1">
        <v>0.52638888888888891</v>
      </c>
      <c r="F95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5" t="str">
        <f>_xlfn.XLOOKUP(AllDataCorrected[[#This Row],[Location Name]], Locations[Location Name],Locations[Group As])</f>
        <v>Swiffen Bank</v>
      </c>
      <c r="H955" t="e" vm="1">
        <f>_xlfn.XLOOKUP(AllDataCorrected[[#This Row],[Site Name]],LocationsKey[Site Name],LocationsKey[District])</f>
        <v>#VALUE!</v>
      </c>
      <c r="I955" t="e" vm="2">
        <f>_xlfn.XLOOKUP(AllDataCorrected[[#This Row],[Site Name]],LocationsKey[Site Name],LocationsKey[Town])</f>
        <v>#VALUE!</v>
      </c>
      <c r="J955" t="str">
        <f>_xlfn.XLOOKUP(AllDataCorrected[[#This Row],[Site Name]],LocationsKey[Site Name], LocationsKey[Waterway])</f>
        <v>Avon</v>
      </c>
      <c r="K955" t="s">
        <v>286</v>
      </c>
      <c r="L955">
        <f>_xlfn.XLOOKUP(AllDataCorrected[[#This Row],[Site Name]],Tables!$B$12:$B$100, Tables!C$12:C$100)</f>
        <v>52.206649805555557</v>
      </c>
      <c r="M955">
        <f>_xlfn.XLOOKUP(AllDataCorrected[[#This Row],[Site Name]],Tables!$B$12:$B$100, Tables!D$12:D$100)</f>
        <v>-1.6541018611111094</v>
      </c>
      <c r="N955" t="s">
        <v>31</v>
      </c>
      <c r="O955">
        <v>685</v>
      </c>
      <c r="P955">
        <v>17.7</v>
      </c>
      <c r="Q955">
        <v>10</v>
      </c>
      <c r="R955" t="str">
        <f>IF(AllDataCorrected[[#This Row],[Nitrate (PPM)]]&gt;2, "4. Very high (&gt;2ppm)", IF(AllDataCorrected[[#This Row],[Nitrate (PPM)]]&gt;1, "3. High (1-2ppm)", IF(AllDataCorrected[[#This Row],[Nitrate (PPM)]]&gt;0.5, "2. Some evidence (0.5-1ppm)", IF(AllDataCorrected[[#This Row],[Nitrate (PPM)]]&gt;=0, "1. No evidence (&lt;0.5ppm)"))))</f>
        <v>4. Very high (&gt;2ppm)</v>
      </c>
      <c r="S955">
        <v>0.15</v>
      </c>
      <c r="T95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5">
        <v>0</v>
      </c>
      <c r="V955" t="s">
        <v>1486</v>
      </c>
    </row>
    <row r="956" spans="1:22" x14ac:dyDescent="0.35">
      <c r="A956" t="s">
        <v>1487</v>
      </c>
      <c r="B956" s="2">
        <v>45462</v>
      </c>
      <c r="C956" t="str" cm="1">
        <f t="array" ref="C9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6">
        <f>YEAR(AllDataCorrected[[#This Row],[Date]])</f>
        <v>2024</v>
      </c>
      <c r="E956" s="1">
        <v>0.55000000000000004</v>
      </c>
      <c r="F9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6" t="str">
        <f>_xlfn.XLOOKUP(AllDataCorrected[[#This Row],[Location Name]], Locations[Location Name],Locations[Group As])</f>
        <v>Alveston Weir</v>
      </c>
      <c r="H956" t="e" vm="1">
        <f>_xlfn.XLOOKUP(AllDataCorrected[[#This Row],[Site Name]],LocationsKey[Site Name],LocationsKey[District])</f>
        <v>#VALUE!</v>
      </c>
      <c r="I956" t="e" vm="2">
        <f>_xlfn.XLOOKUP(AllDataCorrected[[#This Row],[Site Name]],LocationsKey[Site Name],LocationsKey[Town])</f>
        <v>#VALUE!</v>
      </c>
      <c r="J956" t="str">
        <f>_xlfn.XLOOKUP(AllDataCorrected[[#This Row],[Site Name]],LocationsKey[Site Name], LocationsKey[Waterway])</f>
        <v>Avon</v>
      </c>
      <c r="K956" t="s">
        <v>288</v>
      </c>
      <c r="L956">
        <f>_xlfn.XLOOKUP(AllDataCorrected[[#This Row],[Site Name]],Tables!$B$12:$B$100, Tables!C$12:C$100)</f>
        <v>52.21226301333337</v>
      </c>
      <c r="M956">
        <f>_xlfn.XLOOKUP(AllDataCorrected[[#This Row],[Site Name]],Tables!$B$12:$B$100, Tables!D$12:D$100)</f>
        <v>-1.6595226800000011</v>
      </c>
      <c r="N956" t="s">
        <v>31</v>
      </c>
      <c r="O956">
        <v>777</v>
      </c>
      <c r="P956">
        <v>19.100000000000001</v>
      </c>
      <c r="Q956">
        <v>5</v>
      </c>
      <c r="R956" t="str">
        <f>IF(AllDataCorrected[[#This Row],[Nitrate (PPM)]]&gt;2, "4. Very high (&gt;2ppm)", IF(AllDataCorrected[[#This Row],[Nitrate (PPM)]]&gt;1, "3. High (1-2ppm)", IF(AllDataCorrected[[#This Row],[Nitrate (PPM)]]&gt;0.5, "2. Some evidence (0.5-1ppm)", IF(AllDataCorrected[[#This Row],[Nitrate (PPM)]]&gt;=0, "1. No evidence (&lt;0.5ppm)"))))</f>
        <v>4. Very high (&gt;2ppm)</v>
      </c>
      <c r="S956">
        <v>0.41</v>
      </c>
      <c r="T9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6">
        <v>0</v>
      </c>
    </row>
    <row r="957" spans="1:22" x14ac:dyDescent="0.35">
      <c r="A957" t="s">
        <v>1488</v>
      </c>
      <c r="B957" s="2">
        <v>45463</v>
      </c>
      <c r="C957" t="str" cm="1">
        <f t="array" ref="C9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7">
        <f>YEAR(AllDataCorrected[[#This Row],[Date]])</f>
        <v>2024</v>
      </c>
      <c r="E957" s="1">
        <v>0.67708333333333337</v>
      </c>
      <c r="F95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57" t="str">
        <f>_xlfn.XLOOKUP(AllDataCorrected[[#This Row],[Location Name]], Locations[Location Name],Locations[Group As])</f>
        <v>The Ford, Langley</v>
      </c>
      <c r="H957" t="e" vm="1">
        <f>_xlfn.XLOOKUP(AllDataCorrected[[#This Row],[Site Name]],LocationsKey[Site Name],LocationsKey[District])</f>
        <v>#VALUE!</v>
      </c>
      <c r="I957" t="str">
        <f>_xlfn.XLOOKUP(AllDataCorrected[[#This Row],[Site Name]],LocationsKey[Site Name],LocationsKey[Town])</f>
        <v>Langley</v>
      </c>
      <c r="J957" t="str">
        <f>_xlfn.XLOOKUP(AllDataCorrected[[#This Row],[Site Name]],LocationsKey[Site Name], LocationsKey[Waterway])</f>
        <v>Langley Ford</v>
      </c>
      <c r="K957" t="s">
        <v>561</v>
      </c>
      <c r="L957">
        <f>_xlfn.XLOOKUP(AllDataCorrected[[#This Row],[Site Name]],Tables!$B$12:$B$100, Tables!C$12:C$100)</f>
        <v>52.262666528301864</v>
      </c>
      <c r="M957">
        <f>_xlfn.XLOOKUP(AllDataCorrected[[#This Row],[Site Name]],Tables!$B$12:$B$100, Tables!D$12:D$100)</f>
        <v>-1.6545845283018858</v>
      </c>
      <c r="N957" t="s">
        <v>31</v>
      </c>
      <c r="O957">
        <v>861</v>
      </c>
      <c r="P957">
        <v>15.1</v>
      </c>
      <c r="Q957">
        <v>5</v>
      </c>
      <c r="R957" t="str">
        <f>IF(AllDataCorrected[[#This Row],[Nitrate (PPM)]]&gt;2, "4. Very high (&gt;2ppm)", IF(AllDataCorrected[[#This Row],[Nitrate (PPM)]]&gt;1, "3. High (1-2ppm)", IF(AllDataCorrected[[#This Row],[Nitrate (PPM)]]&gt;0.5, "2. Some evidence (0.5-1ppm)", IF(AllDataCorrected[[#This Row],[Nitrate (PPM)]]&gt;=0, "1. No evidence (&lt;0.5ppm)"))))</f>
        <v>4. Very high (&gt;2ppm)</v>
      </c>
      <c r="S957">
        <v>0.7</v>
      </c>
      <c r="T9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7">
        <v>0.1</v>
      </c>
    </row>
    <row r="958" spans="1:22" x14ac:dyDescent="0.35">
      <c r="A958" t="s">
        <v>1489</v>
      </c>
      <c r="B958" s="2">
        <v>45464</v>
      </c>
      <c r="C958" t="str" cm="1">
        <f t="array" ref="C9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8">
        <f>YEAR(AllDataCorrected[[#This Row],[Date]])</f>
        <v>2024</v>
      </c>
      <c r="E958" s="1">
        <v>0.35416666666666669</v>
      </c>
      <c r="F9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8" t="str">
        <f>_xlfn.XLOOKUP(AllDataCorrected[[#This Row],[Location Name]], Locations[Location Name],Locations[Group As])</f>
        <v>Swilgate</v>
      </c>
      <c r="H958" t="e" vm="4">
        <f>_xlfn.XLOOKUP(AllDataCorrected[[#This Row],[Site Name]],LocationsKey[Site Name],LocationsKey[District])</f>
        <v>#VALUE!</v>
      </c>
      <c r="I958" t="e" vm="4">
        <f>_xlfn.XLOOKUP(AllDataCorrected[[#This Row],[Site Name]],LocationsKey[Site Name],LocationsKey[Town])</f>
        <v>#VALUE!</v>
      </c>
      <c r="J958" t="str">
        <f>_xlfn.XLOOKUP(AllDataCorrected[[#This Row],[Site Name]],LocationsKey[Site Name], LocationsKey[Waterway])</f>
        <v>Swilgate</v>
      </c>
      <c r="K958" t="s">
        <v>85</v>
      </c>
      <c r="L958">
        <f>_xlfn.XLOOKUP(AllDataCorrected[[#This Row],[Site Name]],Tables!$B$12:$B$100, Tables!C$12:C$100)</f>
        <v>51.988591500000005</v>
      </c>
      <c r="M958">
        <f>_xlfn.XLOOKUP(AllDataCorrected[[#This Row],[Site Name]],Tables!$B$12:$B$100, Tables!D$12:D$100)</f>
        <v>-2.163898333333333</v>
      </c>
      <c r="N958" t="s">
        <v>25</v>
      </c>
      <c r="O958">
        <v>965</v>
      </c>
      <c r="P958">
        <v>17.100000000000001</v>
      </c>
      <c r="Q958">
        <v>4</v>
      </c>
      <c r="R958" t="str">
        <f>IF(AllDataCorrected[[#This Row],[Nitrate (PPM)]]&gt;2, "4. Very high (&gt;2ppm)", IF(AllDataCorrected[[#This Row],[Nitrate (PPM)]]&gt;1, "3. High (1-2ppm)", IF(AllDataCorrected[[#This Row],[Nitrate (PPM)]]&gt;0.5, "2. Some evidence (0.5-1ppm)", IF(AllDataCorrected[[#This Row],[Nitrate (PPM)]]&gt;=0, "1. No evidence (&lt;0.5ppm)"))))</f>
        <v>4. Very high (&gt;2ppm)</v>
      </c>
      <c r="S958">
        <v>1.28</v>
      </c>
      <c r="T9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58">
        <v>0</v>
      </c>
    </row>
    <row r="959" spans="1:22" x14ac:dyDescent="0.35">
      <c r="A959" t="s">
        <v>1490</v>
      </c>
      <c r="B959" s="2">
        <v>45464</v>
      </c>
      <c r="C959" t="str" cm="1">
        <f t="array" ref="C9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59">
        <f>YEAR(AllDataCorrected[[#This Row],[Date]])</f>
        <v>2024</v>
      </c>
      <c r="E959" s="1">
        <v>0.47916666666666669</v>
      </c>
      <c r="F95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59" t="str">
        <f>_xlfn.XLOOKUP(AllDataCorrected[[#This Row],[Location Name]], Locations[Location Name],Locations[Group As])</f>
        <v>Stour Willington</v>
      </c>
      <c r="H959" t="e" vm="1">
        <f>_xlfn.XLOOKUP(AllDataCorrected[[#This Row],[Site Name]],LocationsKey[Site Name],LocationsKey[District])</f>
        <v>#VALUE!</v>
      </c>
      <c r="I959" t="str">
        <f>_xlfn.XLOOKUP(AllDataCorrected[[#This Row],[Site Name]],LocationsKey[Site Name],LocationsKey[Town])</f>
        <v>Willington</v>
      </c>
      <c r="J959" t="str">
        <f>_xlfn.XLOOKUP(AllDataCorrected[[#This Row],[Site Name]],LocationsKey[Site Name], LocationsKey[Waterway])</f>
        <v>Stour</v>
      </c>
      <c r="K959" t="s">
        <v>521</v>
      </c>
      <c r="L959">
        <f>_xlfn.XLOOKUP(AllDataCorrected[[#This Row],[Site Name]],Tables!$B$12:$B$100, Tables!C$12:C$100)</f>
        <v>52.053227523809518</v>
      </c>
      <c r="M959">
        <f>_xlfn.XLOOKUP(AllDataCorrected[[#This Row],[Site Name]],Tables!$B$12:$B$100, Tables!D$12:D$100)</f>
        <v>-1.6194739523809523</v>
      </c>
      <c r="N959" t="s">
        <v>25</v>
      </c>
      <c r="O959">
        <v>619</v>
      </c>
      <c r="P959">
        <v>15.7</v>
      </c>
      <c r="Q959">
        <v>5</v>
      </c>
      <c r="R959" t="str">
        <f>IF(AllDataCorrected[[#This Row],[Nitrate (PPM)]]&gt;2, "4. Very high (&gt;2ppm)", IF(AllDataCorrected[[#This Row],[Nitrate (PPM)]]&gt;1, "3. High (1-2ppm)", IF(AllDataCorrected[[#This Row],[Nitrate (PPM)]]&gt;0.5, "2. Some evidence (0.5-1ppm)", IF(AllDataCorrected[[#This Row],[Nitrate (PPM)]]&gt;=0, "1. No evidence (&lt;0.5ppm)"))))</f>
        <v>4. Very high (&gt;2ppm)</v>
      </c>
      <c r="S959">
        <v>0.49</v>
      </c>
      <c r="T95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59">
        <v>0.5</v>
      </c>
    </row>
    <row r="960" spans="1:22" x14ac:dyDescent="0.35">
      <c r="A960" t="s">
        <v>1491</v>
      </c>
      <c r="B960" s="2">
        <v>45465</v>
      </c>
      <c r="C960" t="str" cm="1">
        <f t="array" ref="C9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0">
        <f>YEAR(AllDataCorrected[[#This Row],[Date]])</f>
        <v>2024</v>
      </c>
      <c r="E960" s="1">
        <v>0.41736111111111113</v>
      </c>
      <c r="F9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0" t="str">
        <f>_xlfn.XLOOKUP(AllDataCorrected[[#This Row],[Location Name]], Locations[Location Name],Locations[Group As])</f>
        <v>Avon Smiths Meadow Wyre Piddle</v>
      </c>
      <c r="H960" t="e" vm="6">
        <f>_xlfn.XLOOKUP(AllDataCorrected[[#This Row],[Site Name]],LocationsKey[Site Name],LocationsKey[District])</f>
        <v>#VALUE!</v>
      </c>
      <c r="I960" t="e" vm="13">
        <f>_xlfn.XLOOKUP(AllDataCorrected[[#This Row],[Site Name]],LocationsKey[Site Name],LocationsKey[Town])</f>
        <v>#VALUE!</v>
      </c>
      <c r="J960" t="str">
        <f>_xlfn.XLOOKUP(AllDataCorrected[[#This Row],[Site Name]],LocationsKey[Site Name], LocationsKey[Waterway])</f>
        <v>Avon</v>
      </c>
      <c r="K960" t="s">
        <v>784</v>
      </c>
      <c r="L960">
        <f>_xlfn.XLOOKUP(AllDataCorrected[[#This Row],[Site Name]],Tables!$B$12:$B$100, Tables!C$12:C$100)</f>
        <v>52.123126101694929</v>
      </c>
      <c r="M960">
        <f>_xlfn.XLOOKUP(AllDataCorrected[[#This Row],[Site Name]],Tables!$B$12:$B$100, Tables!D$12:D$100)</f>
        <v>-2.0572511355932215</v>
      </c>
      <c r="N960" t="s">
        <v>25</v>
      </c>
      <c r="O960">
        <v>991</v>
      </c>
      <c r="P960">
        <v>19</v>
      </c>
      <c r="Q960">
        <v>15</v>
      </c>
      <c r="R960" t="str">
        <f>IF(AllDataCorrected[[#This Row],[Nitrate (PPM)]]&gt;2, "4. Very high (&gt;2ppm)", IF(AllDataCorrected[[#This Row],[Nitrate (PPM)]]&gt;1, "3. High (1-2ppm)", IF(AllDataCorrected[[#This Row],[Nitrate (PPM)]]&gt;0.5, "2. Some evidence (0.5-1ppm)", IF(AllDataCorrected[[#This Row],[Nitrate (PPM)]]&gt;=0, "1. No evidence (&lt;0.5ppm)"))))</f>
        <v>4. Very high (&gt;2ppm)</v>
      </c>
      <c r="S960">
        <v>0.62</v>
      </c>
      <c r="T9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0">
        <v>0.66</v>
      </c>
      <c r="V960" t="s">
        <v>1492</v>
      </c>
    </row>
    <row r="961" spans="1:22" x14ac:dyDescent="0.35">
      <c r="A961" t="s">
        <v>1493</v>
      </c>
      <c r="B961" s="2">
        <v>45465</v>
      </c>
      <c r="C961" t="str" cm="1">
        <f t="array" ref="C9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1">
        <f>YEAR(AllDataCorrected[[#This Row],[Date]])</f>
        <v>2024</v>
      </c>
      <c r="E961" s="1">
        <v>0.4375</v>
      </c>
      <c r="F9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1" t="str">
        <f>_xlfn.XLOOKUP(AllDataCorrected[[#This Row],[Location Name]], Locations[Location Name],Locations[Group As])</f>
        <v>Piddle Brook Wyre Piddle Bridge</v>
      </c>
      <c r="H961" t="e" vm="6">
        <f>_xlfn.XLOOKUP(AllDataCorrected[[#This Row],[Site Name]],LocationsKey[Site Name],LocationsKey[District])</f>
        <v>#VALUE!</v>
      </c>
      <c r="I961" t="e" vm="13">
        <f>_xlfn.XLOOKUP(AllDataCorrected[[#This Row],[Site Name]],LocationsKey[Site Name],LocationsKey[Town])</f>
        <v>#VALUE!</v>
      </c>
      <c r="J961" t="str">
        <f>_xlfn.XLOOKUP(AllDataCorrected[[#This Row],[Site Name]],LocationsKey[Site Name], LocationsKey[Waterway])</f>
        <v>Piddle Brook</v>
      </c>
      <c r="K961" t="s">
        <v>787</v>
      </c>
      <c r="L961">
        <f>_xlfn.XLOOKUP(AllDataCorrected[[#This Row],[Site Name]],Tables!$B$12:$B$100, Tables!C$12:C$100)</f>
        <v>52.126394500000039</v>
      </c>
      <c r="M961">
        <f>_xlfn.XLOOKUP(AllDataCorrected[[#This Row],[Site Name]],Tables!$B$12:$B$100, Tables!D$12:D$100)</f>
        <v>-2.0564211206896545</v>
      </c>
      <c r="N961" t="s">
        <v>25</v>
      </c>
      <c r="O961">
        <v>1650</v>
      </c>
      <c r="P961">
        <v>17.100000000000001</v>
      </c>
      <c r="Q961">
        <v>10</v>
      </c>
      <c r="R961" t="str">
        <f>IF(AllDataCorrected[[#This Row],[Nitrate (PPM)]]&gt;2, "4. Very high (&gt;2ppm)", IF(AllDataCorrected[[#This Row],[Nitrate (PPM)]]&gt;1, "3. High (1-2ppm)", IF(AllDataCorrected[[#This Row],[Nitrate (PPM)]]&gt;0.5, "2. Some evidence (0.5-1ppm)", IF(AllDataCorrected[[#This Row],[Nitrate (PPM)]]&gt;=0, "1. No evidence (&lt;0.5ppm)"))))</f>
        <v>4. Very high (&gt;2ppm)</v>
      </c>
      <c r="S961">
        <v>1.1000000000000001</v>
      </c>
      <c r="T9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1">
        <v>0.17</v>
      </c>
      <c r="V961" t="s">
        <v>1494</v>
      </c>
    </row>
    <row r="962" spans="1:22" x14ac:dyDescent="0.35">
      <c r="A962" t="s">
        <v>1495</v>
      </c>
      <c r="B962" s="2">
        <v>45465</v>
      </c>
      <c r="C962" t="str" cm="1">
        <f t="array" ref="C9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2">
        <f>YEAR(AllDataCorrected[[#This Row],[Date]])</f>
        <v>2024</v>
      </c>
      <c r="E962" s="1">
        <v>0.52083333333333337</v>
      </c>
      <c r="F9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2" t="str">
        <f>_xlfn.XLOOKUP(AllDataCorrected[[#This Row],[Location Name]], Locations[Location Name],Locations[Group As])</f>
        <v>Carrant Bredon Rd</v>
      </c>
      <c r="H962" t="e" vm="4">
        <f>_xlfn.XLOOKUP(AllDataCorrected[[#This Row],[Site Name]],LocationsKey[Site Name],LocationsKey[District])</f>
        <v>#VALUE!</v>
      </c>
      <c r="I962" t="e" vm="4">
        <f>_xlfn.XLOOKUP(AllDataCorrected[[#This Row],[Site Name]],LocationsKey[Site Name],LocationsKey[Town])</f>
        <v>#VALUE!</v>
      </c>
      <c r="J962" t="str">
        <f>_xlfn.XLOOKUP(AllDataCorrected[[#This Row],[Site Name]],LocationsKey[Site Name], LocationsKey[Waterway])</f>
        <v>Carrant</v>
      </c>
      <c r="K962" t="s">
        <v>603</v>
      </c>
      <c r="L962">
        <f>_xlfn.XLOOKUP(AllDataCorrected[[#This Row],[Site Name]],Tables!$B$12:$B$100, Tables!C$12:C$100)</f>
        <v>51.996322536231894</v>
      </c>
      <c r="M962">
        <f>_xlfn.XLOOKUP(AllDataCorrected[[#This Row],[Site Name]],Tables!$B$12:$B$100, Tables!D$12:D$100)</f>
        <v>-2.1558410144927538</v>
      </c>
      <c r="N962" t="s">
        <v>25</v>
      </c>
      <c r="O962">
        <v>733</v>
      </c>
      <c r="P962">
        <v>17.3</v>
      </c>
      <c r="Q962">
        <v>5</v>
      </c>
      <c r="R962" t="str">
        <f>IF(AllDataCorrected[[#This Row],[Nitrate (PPM)]]&gt;2, "4. Very high (&gt;2ppm)", IF(AllDataCorrected[[#This Row],[Nitrate (PPM)]]&gt;1, "3. High (1-2ppm)", IF(AllDataCorrected[[#This Row],[Nitrate (PPM)]]&gt;0.5, "2. Some evidence (0.5-1ppm)", IF(AllDataCorrected[[#This Row],[Nitrate (PPM)]]&gt;=0, "1. No evidence (&lt;0.5ppm)"))))</f>
        <v>4. Very high (&gt;2ppm)</v>
      </c>
      <c r="S962">
        <v>0.41</v>
      </c>
      <c r="T96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2">
        <v>0</v>
      </c>
    </row>
    <row r="963" spans="1:22" x14ac:dyDescent="0.35">
      <c r="A963" t="s">
        <v>1496</v>
      </c>
      <c r="B963" s="2">
        <v>45465</v>
      </c>
      <c r="C963" t="str" cm="1">
        <f t="array" ref="C9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3">
        <f>YEAR(AllDataCorrected[[#This Row],[Date]])</f>
        <v>2024</v>
      </c>
      <c r="E963" s="1">
        <v>0.7055555555555556</v>
      </c>
      <c r="F96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3" t="str">
        <f>_xlfn.XLOOKUP(AllDataCorrected[[#This Row],[Location Name]], Locations[Location Name],Locations[Group As])</f>
        <v>Black Bear</v>
      </c>
      <c r="H963" t="e" vm="4">
        <f>_xlfn.XLOOKUP(AllDataCorrected[[#This Row],[Site Name]],LocationsKey[Site Name],LocationsKey[District])</f>
        <v>#VALUE!</v>
      </c>
      <c r="I963" t="e" vm="4">
        <f>_xlfn.XLOOKUP(AllDataCorrected[[#This Row],[Site Name]],LocationsKey[Site Name],LocationsKey[Town])</f>
        <v>#VALUE!</v>
      </c>
      <c r="J963" t="str">
        <f>_xlfn.XLOOKUP(AllDataCorrected[[#This Row],[Site Name]],LocationsKey[Site Name], LocationsKey[Waterway])</f>
        <v>Avon</v>
      </c>
      <c r="K963" t="s">
        <v>1175</v>
      </c>
      <c r="L963">
        <f>_xlfn.XLOOKUP(AllDataCorrected[[#This Row],[Site Name]],Tables!$B$12:$B$100, Tables!C$12:C$100)</f>
        <v>51.997466254237274</v>
      </c>
      <c r="M963">
        <f>_xlfn.XLOOKUP(AllDataCorrected[[#This Row],[Site Name]],Tables!$B$12:$B$100, Tables!D$12:D$100)</f>
        <v>-2.1561788644067801</v>
      </c>
      <c r="N963" t="s">
        <v>25</v>
      </c>
      <c r="O963">
        <v>885</v>
      </c>
      <c r="P963">
        <v>22.6</v>
      </c>
      <c r="Q963">
        <v>10</v>
      </c>
      <c r="R963" t="str">
        <f>IF(AllDataCorrected[[#This Row],[Nitrate (PPM)]]&gt;2, "4. Very high (&gt;2ppm)", IF(AllDataCorrected[[#This Row],[Nitrate (PPM)]]&gt;1, "3. High (1-2ppm)", IF(AllDataCorrected[[#This Row],[Nitrate (PPM)]]&gt;0.5, "2. Some evidence (0.5-1ppm)", IF(AllDataCorrected[[#This Row],[Nitrate (PPM)]]&gt;=0, "1. No evidence (&lt;0.5ppm)"))))</f>
        <v>4. Very high (&gt;2ppm)</v>
      </c>
      <c r="S963">
        <v>0.56999999999999995</v>
      </c>
      <c r="T9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3">
        <v>0</v>
      </c>
    </row>
    <row r="964" spans="1:22" x14ac:dyDescent="0.35">
      <c r="A964" t="s">
        <v>1501</v>
      </c>
      <c r="B964" s="2">
        <v>45466</v>
      </c>
      <c r="C964" t="str" cm="1">
        <f t="array" ref="C9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4">
        <f>YEAR(AllDataCorrected[[#This Row],[Date]])</f>
        <v>2024</v>
      </c>
      <c r="E964" s="1">
        <v>0.47222222222222221</v>
      </c>
      <c r="F9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64" t="str">
        <f>_xlfn.XLOOKUP(AllDataCorrected[[#This Row],[Location Name]], Locations[Location Name],Locations[Group As])</f>
        <v>Fell Mill Footbridge</v>
      </c>
      <c r="H964" t="e" vm="1">
        <f>_xlfn.XLOOKUP(AllDataCorrected[[#This Row],[Site Name]],LocationsKey[Site Name],LocationsKey[District])</f>
        <v>#VALUE!</v>
      </c>
      <c r="I964" t="e" vm="15">
        <f>_xlfn.XLOOKUP(AllDataCorrected[[#This Row],[Site Name]],LocationsKey[Site Name],LocationsKey[Town])</f>
        <v>#VALUE!</v>
      </c>
      <c r="J964" t="str">
        <f>_xlfn.XLOOKUP(AllDataCorrected[[#This Row],[Site Name]],LocationsKey[Site Name], LocationsKey[Waterway])</f>
        <v>Stour</v>
      </c>
      <c r="K964" t="s">
        <v>875</v>
      </c>
      <c r="L964">
        <f>_xlfn.XLOOKUP(AllDataCorrected[[#This Row],[Site Name]],Tables!$B$12:$B$100, Tables!C$12:C$100)</f>
        <v>52.069044372881365</v>
      </c>
      <c r="M964">
        <f>_xlfn.XLOOKUP(AllDataCorrected[[#This Row],[Site Name]],Tables!$B$12:$B$100, Tables!D$12:D$100)</f>
        <v>-1.6116270169491524</v>
      </c>
      <c r="N964" t="s">
        <v>31</v>
      </c>
      <c r="O964">
        <v>637</v>
      </c>
      <c r="P964">
        <v>17.8</v>
      </c>
      <c r="Q964">
        <v>10</v>
      </c>
      <c r="R964" t="str">
        <f>IF(AllDataCorrected[[#This Row],[Nitrate (PPM)]]&gt;2, "4. Very high (&gt;2ppm)", IF(AllDataCorrected[[#This Row],[Nitrate (PPM)]]&gt;1, "3. High (1-2ppm)", IF(AllDataCorrected[[#This Row],[Nitrate (PPM)]]&gt;0.5, "2. Some evidence (0.5-1ppm)", IF(AllDataCorrected[[#This Row],[Nitrate (PPM)]]&gt;=0, "1. No evidence (&lt;0.5ppm)"))))</f>
        <v>4. Very high (&gt;2ppm)</v>
      </c>
      <c r="S964">
        <v>0.43</v>
      </c>
      <c r="T96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4">
        <v>1.1000000000000001</v>
      </c>
      <c r="V964" t="s">
        <v>1502</v>
      </c>
    </row>
    <row r="965" spans="1:22" x14ac:dyDescent="0.35">
      <c r="A965" t="s">
        <v>1503</v>
      </c>
      <c r="B965" s="2">
        <v>45466</v>
      </c>
      <c r="C965" t="str" cm="1">
        <f t="array" ref="C9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5">
        <f>YEAR(AllDataCorrected[[#This Row],[Date]])</f>
        <v>2024</v>
      </c>
      <c r="E965" s="1">
        <v>0.61458333333333337</v>
      </c>
      <c r="F96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5" t="str">
        <f>_xlfn.XLOOKUP(AllDataCorrected[[#This Row],[Location Name]], Locations[Location Name],Locations[Group As])</f>
        <v>Sherbourne Brook 1</v>
      </c>
      <c r="H965" t="e" vm="1">
        <f>_xlfn.XLOOKUP(AllDataCorrected[[#This Row],[Site Name]],LocationsKey[Site Name],LocationsKey[District])</f>
        <v>#VALUE!</v>
      </c>
      <c r="I965" t="e" vm="23">
        <f>_xlfn.XLOOKUP(AllDataCorrected[[#This Row],[Site Name]],LocationsKey[Site Name],LocationsKey[Town])</f>
        <v>#VALUE!</v>
      </c>
      <c r="J965" t="str">
        <f>_xlfn.XLOOKUP(AllDataCorrected[[#This Row],[Site Name]],LocationsKey[Site Name], LocationsKey[Waterway])</f>
        <v>Sherbourne Brook</v>
      </c>
      <c r="K965" t="s">
        <v>541</v>
      </c>
      <c r="L965">
        <f>_xlfn.XLOOKUP(AllDataCorrected[[#This Row],[Site Name]],Tables!$B$12:$B$100, Tables!C$12:C$100)</f>
        <v>52.252500000000033</v>
      </c>
      <c r="M965">
        <f>_xlfn.XLOOKUP(AllDataCorrected[[#This Row],[Site Name]],Tables!$B$12:$B$100, Tables!D$12:D$100)</f>
        <v>-1.6685000000000012</v>
      </c>
      <c r="N965" t="s">
        <v>25</v>
      </c>
      <c r="O965">
        <v>1080</v>
      </c>
      <c r="P965">
        <v>17.3</v>
      </c>
      <c r="Q965">
        <v>12</v>
      </c>
      <c r="R965" t="str">
        <f>IF(AllDataCorrected[[#This Row],[Nitrate (PPM)]]&gt;2, "4. Very high (&gt;2ppm)", IF(AllDataCorrected[[#This Row],[Nitrate (PPM)]]&gt;1, "3. High (1-2ppm)", IF(AllDataCorrected[[#This Row],[Nitrate (PPM)]]&gt;0.5, "2. Some evidence (0.5-1ppm)", IF(AllDataCorrected[[#This Row],[Nitrate (PPM)]]&gt;=0, "1. No evidence (&lt;0.5ppm)"))))</f>
        <v>4. Very high (&gt;2ppm)</v>
      </c>
      <c r="S965">
        <v>0.22</v>
      </c>
      <c r="T96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5">
        <v>0.1</v>
      </c>
    </row>
    <row r="966" spans="1:22" x14ac:dyDescent="0.35">
      <c r="A966" t="s">
        <v>1504</v>
      </c>
      <c r="B966" s="2">
        <v>45466</v>
      </c>
      <c r="C966" t="str" cm="1">
        <f t="array" ref="C9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6">
        <f>YEAR(AllDataCorrected[[#This Row],[Date]])</f>
        <v>2024</v>
      </c>
      <c r="E966" s="1">
        <v>0.625</v>
      </c>
      <c r="F96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66" t="str">
        <f>_xlfn.XLOOKUP(AllDataCorrected[[#This Row],[Location Name]], Locations[Location Name],Locations[Group As])</f>
        <v>Bell Brook 1</v>
      </c>
      <c r="H966" t="e" vm="1">
        <f>_xlfn.XLOOKUP(AllDataCorrected[[#This Row],[Site Name]],LocationsKey[Site Name],LocationsKey[District])</f>
        <v>#VALUE!</v>
      </c>
      <c r="I966" t="e" vm="19">
        <f>_xlfn.XLOOKUP(AllDataCorrected[[#This Row],[Site Name]],LocationsKey[Site Name],LocationsKey[Town])</f>
        <v>#VALUE!</v>
      </c>
      <c r="J966" t="str">
        <f>_xlfn.XLOOKUP(AllDataCorrected[[#This Row],[Site Name]],LocationsKey[Site Name], LocationsKey[Waterway])</f>
        <v>Bell Brook</v>
      </c>
      <c r="K966" t="s">
        <v>538</v>
      </c>
      <c r="L966">
        <f>_xlfn.XLOOKUP(AllDataCorrected[[#This Row],[Site Name]],Tables!$B$12:$B$100, Tables!C$12:C$100)</f>
        <v>52.24489999999998</v>
      </c>
      <c r="M966">
        <f>_xlfn.XLOOKUP(AllDataCorrected[[#This Row],[Site Name]],Tables!$B$12:$B$100, Tables!D$12:D$100)</f>
        <v>-1.6617000000000013</v>
      </c>
      <c r="N966" t="s">
        <v>25</v>
      </c>
      <c r="O966">
        <v>788</v>
      </c>
      <c r="P966">
        <v>21.1</v>
      </c>
      <c r="Q966">
        <v>10</v>
      </c>
      <c r="R966" t="str">
        <f>IF(AllDataCorrected[[#This Row],[Nitrate (PPM)]]&gt;2, "4. Very high (&gt;2ppm)", IF(AllDataCorrected[[#This Row],[Nitrate (PPM)]]&gt;1, "3. High (1-2ppm)", IF(AllDataCorrected[[#This Row],[Nitrate (PPM)]]&gt;0.5, "2. Some evidence (0.5-1ppm)", IF(AllDataCorrected[[#This Row],[Nitrate (PPM)]]&gt;=0, "1. No evidence (&lt;0.5ppm)"))))</f>
        <v>4. Very high (&gt;2ppm)</v>
      </c>
      <c r="S966">
        <v>0.37</v>
      </c>
      <c r="T9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66">
        <v>0.1</v>
      </c>
    </row>
    <row r="967" spans="1:22" x14ac:dyDescent="0.35">
      <c r="A967" t="s">
        <v>1505</v>
      </c>
      <c r="B967" s="2">
        <v>45466</v>
      </c>
      <c r="C967" t="str" cm="1">
        <f t="array" ref="C9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7">
        <f>YEAR(AllDataCorrected[[#This Row],[Date]])</f>
        <v>2024</v>
      </c>
      <c r="F96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7" t="str">
        <f>_xlfn.XLOOKUP(AllDataCorrected[[#This Row],[Location Name]], Locations[Location Name],Locations[Group As])</f>
        <v>Site 1  :  Middle Street</v>
      </c>
      <c r="H967" t="e" vm="1">
        <f>_xlfn.XLOOKUP(AllDataCorrected[[#This Row],[Site Name]],LocationsKey[Site Name],LocationsKey[District])</f>
        <v>#VALUE!</v>
      </c>
      <c r="I967" t="e" vm="14">
        <f>_xlfn.XLOOKUP(AllDataCorrected[[#This Row],[Site Name]],LocationsKey[Site Name],LocationsKey[Town])</f>
        <v>#VALUE!</v>
      </c>
      <c r="J967" t="str">
        <f>_xlfn.XLOOKUP(AllDataCorrected[[#This Row],[Site Name]],LocationsKey[Site Name], LocationsKey[Waterway])</f>
        <v>Fosseway Brook</v>
      </c>
      <c r="K967" t="s">
        <v>667</v>
      </c>
      <c r="L967">
        <f>_xlfn.XLOOKUP(AllDataCorrected[[#This Row],[Site Name]],Tables!$B$12:$B$100, Tables!C$12:C$100)</f>
        <v>52.090081855670022</v>
      </c>
      <c r="M967">
        <f>_xlfn.XLOOKUP(AllDataCorrected[[#This Row],[Site Name]],Tables!$B$12:$B$100, Tables!D$12:D$100)</f>
        <v>-1.6925771134020597</v>
      </c>
      <c r="N967" t="s">
        <v>68</v>
      </c>
      <c r="O967">
        <v>656</v>
      </c>
      <c r="P967">
        <v>18.600000000000001</v>
      </c>
      <c r="Q967">
        <v>2</v>
      </c>
      <c r="R967" t="str">
        <f>IF(AllDataCorrected[[#This Row],[Nitrate (PPM)]]&gt;2, "4. Very high (&gt;2ppm)", IF(AllDataCorrected[[#This Row],[Nitrate (PPM)]]&gt;1, "3. High (1-2ppm)", IF(AllDataCorrected[[#This Row],[Nitrate (PPM)]]&gt;0.5, "2. Some evidence (0.5-1ppm)", IF(AllDataCorrected[[#This Row],[Nitrate (PPM)]]&gt;=0, "1. No evidence (&lt;0.5ppm)"))))</f>
        <v>3. High (1-2ppm)</v>
      </c>
      <c r="S967">
        <v>0.54</v>
      </c>
      <c r="T9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7">
        <v>0</v>
      </c>
      <c r="V967" t="s">
        <v>1506</v>
      </c>
    </row>
    <row r="968" spans="1:22" x14ac:dyDescent="0.35">
      <c r="A968" t="s">
        <v>1507</v>
      </c>
      <c r="B968" s="2">
        <v>45466</v>
      </c>
      <c r="C968" t="str" cm="1">
        <f t="array" ref="C9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8">
        <f>YEAR(AllDataCorrected[[#This Row],[Date]])</f>
        <v>2024</v>
      </c>
      <c r="F96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8" t="str">
        <f>_xlfn.XLOOKUP(AllDataCorrected[[#This Row],[Location Name]], Locations[Location Name],Locations[Group As])</f>
        <v>Site 1  :  Middle Street</v>
      </c>
      <c r="H968" t="e" vm="1">
        <f>_xlfn.XLOOKUP(AllDataCorrected[[#This Row],[Site Name]],LocationsKey[Site Name],LocationsKey[District])</f>
        <v>#VALUE!</v>
      </c>
      <c r="I968" t="e" vm="14">
        <f>_xlfn.XLOOKUP(AllDataCorrected[[#This Row],[Site Name]],LocationsKey[Site Name],LocationsKey[Town])</f>
        <v>#VALUE!</v>
      </c>
      <c r="J968" t="str">
        <f>_xlfn.XLOOKUP(AllDataCorrected[[#This Row],[Site Name]],LocationsKey[Site Name], LocationsKey[Waterway])</f>
        <v>Fosseway Brook</v>
      </c>
      <c r="K968" t="s">
        <v>670</v>
      </c>
      <c r="L968">
        <f>_xlfn.XLOOKUP(AllDataCorrected[[#This Row],[Site Name]],Tables!$B$12:$B$100, Tables!C$12:C$100)</f>
        <v>52.090081855670022</v>
      </c>
      <c r="M968">
        <f>_xlfn.XLOOKUP(AllDataCorrected[[#This Row],[Site Name]],Tables!$B$12:$B$100, Tables!D$12:D$100)</f>
        <v>-1.6925771134020597</v>
      </c>
      <c r="N968" t="s">
        <v>68</v>
      </c>
      <c r="O968">
        <v>656</v>
      </c>
      <c r="P968">
        <v>18.600000000000001</v>
      </c>
      <c r="Q968">
        <v>2</v>
      </c>
      <c r="R968" t="str">
        <f>IF(AllDataCorrected[[#This Row],[Nitrate (PPM)]]&gt;2, "4. Very high (&gt;2ppm)", IF(AllDataCorrected[[#This Row],[Nitrate (PPM)]]&gt;1, "3. High (1-2ppm)", IF(AllDataCorrected[[#This Row],[Nitrate (PPM)]]&gt;0.5, "2. Some evidence (0.5-1ppm)", IF(AllDataCorrected[[#This Row],[Nitrate (PPM)]]&gt;=0, "1. No evidence (&lt;0.5ppm)"))))</f>
        <v>3. High (1-2ppm)</v>
      </c>
      <c r="S968">
        <v>0.54</v>
      </c>
      <c r="T9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68" t="s">
        <v>1508</v>
      </c>
    </row>
    <row r="969" spans="1:22" x14ac:dyDescent="0.35">
      <c r="A969" t="s">
        <v>1509</v>
      </c>
      <c r="B969" s="2">
        <v>45466</v>
      </c>
      <c r="C969" t="str" cm="1">
        <f t="array" ref="C9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69">
        <f>YEAR(AllDataCorrected[[#This Row],[Date]])</f>
        <v>2024</v>
      </c>
      <c r="F96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69" t="str">
        <f>_xlfn.XLOOKUP(AllDataCorrected[[#This Row],[Location Name]], Locations[Location Name],Locations[Group As])</f>
        <v>Site 2  :  Cross Leys culvert</v>
      </c>
      <c r="H969" t="e" vm="1">
        <f>_xlfn.XLOOKUP(AllDataCorrected[[#This Row],[Site Name]],LocationsKey[Site Name],LocationsKey[District])</f>
        <v>#VALUE!</v>
      </c>
      <c r="I969" t="e" vm="14">
        <f>_xlfn.XLOOKUP(AllDataCorrected[[#This Row],[Site Name]],LocationsKey[Site Name],LocationsKey[Town])</f>
        <v>#VALUE!</v>
      </c>
      <c r="J969" t="str">
        <f>_xlfn.XLOOKUP(AllDataCorrected[[#This Row],[Site Name]],LocationsKey[Site Name], LocationsKey[Waterway])</f>
        <v>Fosseway Brook</v>
      </c>
      <c r="K969" t="s">
        <v>623</v>
      </c>
      <c r="L969">
        <f>_xlfn.XLOOKUP(AllDataCorrected[[#This Row],[Site Name]],Tables!$B$12:$B$100, Tables!C$12:C$100)</f>
        <v>52.092997354838673</v>
      </c>
      <c r="M969">
        <f>_xlfn.XLOOKUP(AllDataCorrected[[#This Row],[Site Name]],Tables!$B$12:$B$100, Tables!D$12:D$100)</f>
        <v>-1.6862254516129045</v>
      </c>
      <c r="N969" t="s">
        <v>68</v>
      </c>
      <c r="O969">
        <v>968</v>
      </c>
      <c r="P969">
        <v>15.1</v>
      </c>
      <c r="Q969">
        <v>1</v>
      </c>
      <c r="R969"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969">
        <v>1.1299999999999999</v>
      </c>
      <c r="T9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69">
        <v>0</v>
      </c>
      <c r="V969" t="s">
        <v>1510</v>
      </c>
    </row>
    <row r="970" spans="1:22" x14ac:dyDescent="0.35">
      <c r="A970" t="s">
        <v>1511</v>
      </c>
      <c r="B970" s="2">
        <v>45466</v>
      </c>
      <c r="C970" t="str" cm="1">
        <f t="array" ref="C9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0">
        <f>YEAR(AllDataCorrected[[#This Row],[Date]])</f>
        <v>2024</v>
      </c>
      <c r="F97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0" t="str">
        <f>_xlfn.XLOOKUP(AllDataCorrected[[#This Row],[Location Name]], Locations[Location Name],Locations[Group As])</f>
        <v>Site 2  :  Cross Leys culvert</v>
      </c>
      <c r="H970" t="e" vm="1">
        <f>_xlfn.XLOOKUP(AllDataCorrected[[#This Row],[Site Name]],LocationsKey[Site Name],LocationsKey[District])</f>
        <v>#VALUE!</v>
      </c>
      <c r="I970" t="e" vm="14">
        <f>_xlfn.XLOOKUP(AllDataCorrected[[#This Row],[Site Name]],LocationsKey[Site Name],LocationsKey[Town])</f>
        <v>#VALUE!</v>
      </c>
      <c r="J970" t="str">
        <f>_xlfn.XLOOKUP(AllDataCorrected[[#This Row],[Site Name]],LocationsKey[Site Name], LocationsKey[Waterway])</f>
        <v>Fosseway Brook</v>
      </c>
      <c r="K970" t="s">
        <v>626</v>
      </c>
      <c r="L970">
        <f>_xlfn.XLOOKUP(AllDataCorrected[[#This Row],[Site Name]],Tables!$B$12:$B$100, Tables!C$12:C$100)</f>
        <v>52.092997354838673</v>
      </c>
      <c r="M970">
        <f>_xlfn.XLOOKUP(AllDataCorrected[[#This Row],[Site Name]],Tables!$B$12:$B$100, Tables!D$12:D$100)</f>
        <v>-1.6862254516129045</v>
      </c>
      <c r="N970" t="s">
        <v>68</v>
      </c>
      <c r="O970">
        <v>968</v>
      </c>
      <c r="P970">
        <v>15.1</v>
      </c>
      <c r="Q970">
        <v>1</v>
      </c>
      <c r="R970"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970">
        <v>1.1299999999999999</v>
      </c>
      <c r="T9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70" t="s">
        <v>1512</v>
      </c>
    </row>
    <row r="971" spans="1:22" x14ac:dyDescent="0.35">
      <c r="A971" t="s">
        <v>1513</v>
      </c>
      <c r="B971" s="2">
        <v>45466</v>
      </c>
      <c r="C971" t="str" cm="1">
        <f t="array" ref="C9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1">
        <f>YEAR(AllDataCorrected[[#This Row],[Date]])</f>
        <v>2024</v>
      </c>
      <c r="F97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1" t="str">
        <f>_xlfn.XLOOKUP(AllDataCorrected[[#This Row],[Location Name]], Locations[Location Name],Locations[Group As])</f>
        <v>Site 3  :  Severn Trent Water processing plant outflow</v>
      </c>
      <c r="H971" t="e" vm="1">
        <f>_xlfn.XLOOKUP(AllDataCorrected[[#This Row],[Site Name]],LocationsKey[Site Name],LocationsKey[District])</f>
        <v>#VALUE!</v>
      </c>
      <c r="I971" t="e" vm="14">
        <f>_xlfn.XLOOKUP(AllDataCorrected[[#This Row],[Site Name]],LocationsKey[Site Name],LocationsKey[Town])</f>
        <v>#VALUE!</v>
      </c>
      <c r="J971" t="str">
        <f>_xlfn.XLOOKUP(AllDataCorrected[[#This Row],[Site Name]],LocationsKey[Site Name], LocationsKey[Waterway])</f>
        <v>Fosseway Brook</v>
      </c>
      <c r="K971" t="s">
        <v>673</v>
      </c>
      <c r="L971">
        <f>_xlfn.XLOOKUP(AllDataCorrected[[#This Row],[Site Name]],Tables!$B$12:$B$100, Tables!C$12:C$100)</f>
        <v>52.130499999999998</v>
      </c>
      <c r="M971">
        <f>_xlfn.XLOOKUP(AllDataCorrected[[#This Row],[Site Name]],Tables!$B$12:$B$100, Tables!D$12:D$100)</f>
        <v>-2.0787</v>
      </c>
      <c r="N971" t="s">
        <v>31</v>
      </c>
      <c r="O971">
        <v>938</v>
      </c>
      <c r="P971">
        <v>16.600000000000001</v>
      </c>
      <c r="Q971">
        <v>5</v>
      </c>
      <c r="R971" t="str">
        <f>IF(AllDataCorrected[[#This Row],[Nitrate (PPM)]]&gt;2, "4. Very high (&gt;2ppm)", IF(AllDataCorrected[[#This Row],[Nitrate (PPM)]]&gt;1, "3. High (1-2ppm)", IF(AllDataCorrected[[#This Row],[Nitrate (PPM)]]&gt;0.5, "2. Some evidence (0.5-1ppm)", IF(AllDataCorrected[[#This Row],[Nitrate (PPM)]]&gt;=0, "1. No evidence (&lt;0.5ppm)"))))</f>
        <v>4. Very high (&gt;2ppm)</v>
      </c>
      <c r="S971">
        <v>2.5</v>
      </c>
      <c r="T9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1">
        <v>0</v>
      </c>
      <c r="V971" t="s">
        <v>1514</v>
      </c>
    </row>
    <row r="972" spans="1:22" x14ac:dyDescent="0.35">
      <c r="A972" t="s">
        <v>1515</v>
      </c>
      <c r="B972" s="2">
        <v>45466</v>
      </c>
      <c r="C972" t="str" cm="1">
        <f t="array" ref="C9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2">
        <f>YEAR(AllDataCorrected[[#This Row],[Date]])</f>
        <v>2024</v>
      </c>
      <c r="F972"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72" t="str">
        <f>_xlfn.XLOOKUP(AllDataCorrected[[#This Row],[Location Name]], Locations[Location Name],Locations[Group As])</f>
        <v>Site 3  :  Severn Trent Water processing plant outflow</v>
      </c>
      <c r="H972" t="e" vm="1">
        <f>_xlfn.XLOOKUP(AllDataCorrected[[#This Row],[Site Name]],LocationsKey[Site Name],LocationsKey[District])</f>
        <v>#VALUE!</v>
      </c>
      <c r="I972" t="e" vm="14">
        <f>_xlfn.XLOOKUP(AllDataCorrected[[#This Row],[Site Name]],LocationsKey[Site Name],LocationsKey[Town])</f>
        <v>#VALUE!</v>
      </c>
      <c r="J972" t="str">
        <f>_xlfn.XLOOKUP(AllDataCorrected[[#This Row],[Site Name]],LocationsKey[Site Name], LocationsKey[Waterway])</f>
        <v>Fosseway Brook</v>
      </c>
      <c r="K972" t="s">
        <v>676</v>
      </c>
      <c r="L972">
        <f>_xlfn.XLOOKUP(AllDataCorrected[[#This Row],[Site Name]],Tables!$B$12:$B$100, Tables!C$12:C$100)</f>
        <v>52.130499999999998</v>
      </c>
      <c r="M972">
        <f>_xlfn.XLOOKUP(AllDataCorrected[[#This Row],[Site Name]],Tables!$B$12:$B$100, Tables!D$12:D$100)</f>
        <v>-2.0787</v>
      </c>
      <c r="N972" t="s">
        <v>31</v>
      </c>
      <c r="O972">
        <v>938</v>
      </c>
      <c r="P972">
        <v>16.600000000000001</v>
      </c>
      <c r="Q972">
        <v>5</v>
      </c>
      <c r="R972" t="str">
        <f>IF(AllDataCorrected[[#This Row],[Nitrate (PPM)]]&gt;2, "4. Very high (&gt;2ppm)", IF(AllDataCorrected[[#This Row],[Nitrate (PPM)]]&gt;1, "3. High (1-2ppm)", IF(AllDataCorrected[[#This Row],[Nitrate (PPM)]]&gt;0.5, "2. Some evidence (0.5-1ppm)", IF(AllDataCorrected[[#This Row],[Nitrate (PPM)]]&gt;=0, "1. No evidence (&lt;0.5ppm)"))))</f>
        <v>4. Very high (&gt;2ppm)</v>
      </c>
      <c r="S972">
        <v>2.5</v>
      </c>
      <c r="T9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72" t="s">
        <v>1516</v>
      </c>
    </row>
    <row r="973" spans="1:22" x14ac:dyDescent="0.35">
      <c r="A973" t="s">
        <v>1518</v>
      </c>
      <c r="B973" s="2">
        <v>45468</v>
      </c>
      <c r="C973" t="str" cm="1">
        <f t="array" ref="C9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3">
        <f>YEAR(AllDataCorrected[[#This Row],[Date]])</f>
        <v>2024</v>
      </c>
      <c r="E973" s="1">
        <v>0.59375</v>
      </c>
      <c r="F9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3" t="str">
        <f>_xlfn.XLOOKUP(AllDataCorrected[[#This Row],[Location Name]], Locations[Location Name],Locations[Group As])</f>
        <v>Alveston Weir</v>
      </c>
      <c r="H973" t="e" vm="1">
        <f>_xlfn.XLOOKUP(AllDataCorrected[[#This Row],[Site Name]],LocationsKey[Site Name],LocationsKey[District])</f>
        <v>#VALUE!</v>
      </c>
      <c r="I973" t="e" vm="2">
        <f>_xlfn.XLOOKUP(AllDataCorrected[[#This Row],[Site Name]],LocationsKey[Site Name],LocationsKey[Town])</f>
        <v>#VALUE!</v>
      </c>
      <c r="J973" t="str">
        <f>_xlfn.XLOOKUP(AllDataCorrected[[#This Row],[Site Name]],LocationsKey[Site Name], LocationsKey[Waterway])</f>
        <v>Avon</v>
      </c>
      <c r="K973" t="s">
        <v>288</v>
      </c>
      <c r="L973">
        <f>_xlfn.XLOOKUP(AllDataCorrected[[#This Row],[Site Name]],Tables!$B$12:$B$100, Tables!C$12:C$100)</f>
        <v>52.21226301333337</v>
      </c>
      <c r="M973">
        <f>_xlfn.XLOOKUP(AllDataCorrected[[#This Row],[Site Name]],Tables!$B$12:$B$100, Tables!D$12:D$100)</f>
        <v>-1.6595226800000011</v>
      </c>
      <c r="N973" t="s">
        <v>31</v>
      </c>
      <c r="O973">
        <v>836</v>
      </c>
      <c r="P973">
        <v>26</v>
      </c>
      <c r="Q973">
        <v>10</v>
      </c>
      <c r="R973" t="str">
        <f>IF(AllDataCorrected[[#This Row],[Nitrate (PPM)]]&gt;2, "4. Very high (&gt;2ppm)", IF(AllDataCorrected[[#This Row],[Nitrate (PPM)]]&gt;1, "3. High (1-2ppm)", IF(AllDataCorrected[[#This Row],[Nitrate (PPM)]]&gt;0.5, "2. Some evidence (0.5-1ppm)", IF(AllDataCorrected[[#This Row],[Nitrate (PPM)]]&gt;=0, "1. No evidence (&lt;0.5ppm)"))))</f>
        <v>4. Very high (&gt;2ppm)</v>
      </c>
      <c r="S973">
        <v>0.35</v>
      </c>
      <c r="T97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3">
        <v>-1</v>
      </c>
      <c r="V973" t="s">
        <v>1519</v>
      </c>
    </row>
    <row r="974" spans="1:22" x14ac:dyDescent="0.35">
      <c r="A974" t="s">
        <v>1520</v>
      </c>
      <c r="B974" s="2">
        <v>45468</v>
      </c>
      <c r="C974" t="str" cm="1">
        <f t="array" ref="C9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4">
        <f>YEAR(AllDataCorrected[[#This Row],[Date]])</f>
        <v>2024</v>
      </c>
      <c r="E974" s="1">
        <v>0.6069444444444444</v>
      </c>
      <c r="F9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74" t="str">
        <f>_xlfn.XLOOKUP(AllDataCorrected[[#This Row],[Location Name]], Locations[Location Name],Locations[Group As])</f>
        <v>Swiffen Bank</v>
      </c>
      <c r="H974" t="e" vm="1">
        <f>_xlfn.XLOOKUP(AllDataCorrected[[#This Row],[Site Name]],LocationsKey[Site Name],LocationsKey[District])</f>
        <v>#VALUE!</v>
      </c>
      <c r="I974" t="e" vm="2">
        <f>_xlfn.XLOOKUP(AllDataCorrected[[#This Row],[Site Name]],LocationsKey[Site Name],LocationsKey[Town])</f>
        <v>#VALUE!</v>
      </c>
      <c r="J974" t="str">
        <f>_xlfn.XLOOKUP(AllDataCorrected[[#This Row],[Site Name]],LocationsKey[Site Name], LocationsKey[Waterway])</f>
        <v>Avon</v>
      </c>
      <c r="K974" t="s">
        <v>445</v>
      </c>
      <c r="L974">
        <f>_xlfn.XLOOKUP(AllDataCorrected[[#This Row],[Site Name]],Tables!$B$12:$B$100, Tables!C$12:C$100)</f>
        <v>52.206649805555557</v>
      </c>
      <c r="M974">
        <f>_xlfn.XLOOKUP(AllDataCorrected[[#This Row],[Site Name]],Tables!$B$12:$B$100, Tables!D$12:D$100)</f>
        <v>-1.6541018611111094</v>
      </c>
      <c r="N974" t="s">
        <v>31</v>
      </c>
      <c r="O974">
        <v>735</v>
      </c>
      <c r="P974">
        <v>22.1</v>
      </c>
      <c r="Q974">
        <v>10</v>
      </c>
      <c r="R974" t="str">
        <f>IF(AllDataCorrected[[#This Row],[Nitrate (PPM)]]&gt;2, "4. Very high (&gt;2ppm)", IF(AllDataCorrected[[#This Row],[Nitrate (PPM)]]&gt;1, "3. High (1-2ppm)", IF(AllDataCorrected[[#This Row],[Nitrate (PPM)]]&gt;0.5, "2. Some evidence (0.5-1ppm)", IF(AllDataCorrected[[#This Row],[Nitrate (PPM)]]&gt;=0, "1. No evidence (&lt;0.5ppm)"))))</f>
        <v>4. Very high (&gt;2ppm)</v>
      </c>
      <c r="S974">
        <v>0.44</v>
      </c>
      <c r="T97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4">
        <v>0</v>
      </c>
      <c r="V974" t="s">
        <v>1521</v>
      </c>
    </row>
    <row r="975" spans="1:22" x14ac:dyDescent="0.35">
      <c r="A975" t="s">
        <v>1524</v>
      </c>
      <c r="B975" s="2">
        <v>45469</v>
      </c>
      <c r="C975" t="str" cm="1">
        <f t="array" ref="C9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5">
        <f>YEAR(AllDataCorrected[[#This Row],[Date]])</f>
        <v>2024</v>
      </c>
      <c r="E975" s="1">
        <v>0.47083333333333333</v>
      </c>
      <c r="F97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5" t="str">
        <f>_xlfn.XLOOKUP(AllDataCorrected[[#This Row],[Location Name]], Locations[Location Name],Locations[Group As])</f>
        <v>Carrant Mitton Path</v>
      </c>
      <c r="H975" t="e" vm="4">
        <f>_xlfn.XLOOKUP(AllDataCorrected[[#This Row],[Site Name]],LocationsKey[Site Name],LocationsKey[District])</f>
        <v>#VALUE!</v>
      </c>
      <c r="I975" t="e" vm="4">
        <f>_xlfn.XLOOKUP(AllDataCorrected[[#This Row],[Site Name]],LocationsKey[Site Name],LocationsKey[Town])</f>
        <v>#VALUE!</v>
      </c>
      <c r="J975" t="str">
        <f>_xlfn.XLOOKUP(AllDataCorrected[[#This Row],[Site Name]],LocationsKey[Site Name], LocationsKey[Waterway])</f>
        <v>Carrant</v>
      </c>
      <c r="K975" t="s">
        <v>1064</v>
      </c>
      <c r="L975">
        <f>_xlfn.XLOOKUP(AllDataCorrected[[#This Row],[Site Name]],Tables!$B$12:$B$100, Tables!C$12:C$100)</f>
        <v>52.048665</v>
      </c>
      <c r="M975">
        <f>_xlfn.XLOOKUP(AllDataCorrected[[#This Row],[Site Name]],Tables!$B$12:$B$100, Tables!D$12:D$100)</f>
        <v>-1.7862663333333331</v>
      </c>
      <c r="N975" t="s">
        <v>25</v>
      </c>
      <c r="O975">
        <v>671</v>
      </c>
      <c r="P975">
        <v>20.399999999999999</v>
      </c>
      <c r="Q975">
        <v>10</v>
      </c>
      <c r="R975" t="str">
        <f>IF(AllDataCorrected[[#This Row],[Nitrate (PPM)]]&gt;2, "4. Very high (&gt;2ppm)", IF(AllDataCorrected[[#This Row],[Nitrate (PPM)]]&gt;1, "3. High (1-2ppm)", IF(AllDataCorrected[[#This Row],[Nitrate (PPM)]]&gt;0.5, "2. Some evidence (0.5-1ppm)", IF(AllDataCorrected[[#This Row],[Nitrate (PPM)]]&gt;=0, "1. No evidence (&lt;0.5ppm)"))))</f>
        <v>4. Very high (&gt;2ppm)</v>
      </c>
      <c r="S975">
        <v>0.22</v>
      </c>
      <c r="T97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5">
        <v>0</v>
      </c>
    </row>
    <row r="976" spans="1:22" x14ac:dyDescent="0.35">
      <c r="A976" t="s">
        <v>1525</v>
      </c>
      <c r="B976" s="2">
        <v>45469</v>
      </c>
      <c r="C976" t="str" cm="1">
        <f t="array" ref="C9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6">
        <f>YEAR(AllDataCorrected[[#This Row],[Date]])</f>
        <v>2024</v>
      </c>
      <c r="E976" s="1">
        <v>0.48333333333333334</v>
      </c>
      <c r="F97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6" t="str">
        <f>_xlfn.XLOOKUP(AllDataCorrected[[#This Row],[Location Name]], Locations[Location Name],Locations[Group As])</f>
        <v>Carrant M5 Bridge</v>
      </c>
      <c r="H976" t="e" vm="4">
        <f>_xlfn.XLOOKUP(AllDataCorrected[[#This Row],[Site Name]],LocationsKey[Site Name],LocationsKey[District])</f>
        <v>#VALUE!</v>
      </c>
      <c r="I976" t="e" vm="4">
        <f>_xlfn.XLOOKUP(AllDataCorrected[[#This Row],[Site Name]],LocationsKey[Site Name],LocationsKey[Town])</f>
        <v>#VALUE!</v>
      </c>
      <c r="J976" t="str">
        <f>_xlfn.XLOOKUP(AllDataCorrected[[#This Row],[Site Name]],LocationsKey[Site Name], LocationsKey[Waterway])</f>
        <v>Carrant</v>
      </c>
      <c r="K976" t="s">
        <v>1144</v>
      </c>
      <c r="L976">
        <f>_xlfn.XLOOKUP(AllDataCorrected[[#This Row],[Site Name]],Tables!$B$12:$B$100, Tables!C$12:C$100)</f>
        <v>52.012994652173923</v>
      </c>
      <c r="M976">
        <f>_xlfn.XLOOKUP(AllDataCorrected[[#This Row],[Site Name]],Tables!$B$12:$B$100, Tables!D$12:D$100)</f>
        <v>-2.1224405652173912</v>
      </c>
      <c r="N976" t="s">
        <v>25</v>
      </c>
      <c r="O976">
        <v>761</v>
      </c>
      <c r="P976">
        <v>20.8</v>
      </c>
      <c r="Q976">
        <v>7</v>
      </c>
      <c r="R976" t="str">
        <f>IF(AllDataCorrected[[#This Row],[Nitrate (PPM)]]&gt;2, "4. Very high (&gt;2ppm)", IF(AllDataCorrected[[#This Row],[Nitrate (PPM)]]&gt;1, "3. High (1-2ppm)", IF(AllDataCorrected[[#This Row],[Nitrate (PPM)]]&gt;0.5, "2. Some evidence (0.5-1ppm)", IF(AllDataCorrected[[#This Row],[Nitrate (PPM)]]&gt;=0, "1. No evidence (&lt;0.5ppm)"))))</f>
        <v>4. Very high (&gt;2ppm)</v>
      </c>
      <c r="S976">
        <v>0.31</v>
      </c>
      <c r="T9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6">
        <v>0</v>
      </c>
    </row>
    <row r="977" spans="1:22" x14ac:dyDescent="0.35">
      <c r="A977" t="s">
        <v>1526</v>
      </c>
      <c r="B977" s="2">
        <v>45469</v>
      </c>
      <c r="C977" t="str" cm="1">
        <f t="array" ref="C9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7">
        <f>YEAR(AllDataCorrected[[#This Row],[Date]])</f>
        <v>2024</v>
      </c>
      <c r="E977" s="1">
        <v>0.75</v>
      </c>
      <c r="F97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977" t="str">
        <f>_xlfn.XLOOKUP(AllDataCorrected[[#This Row],[Location Name]], Locations[Location Name],Locations[Group As])</f>
        <v>Stour Newbold Mill</v>
      </c>
      <c r="H977" t="e" vm="1">
        <f>_xlfn.XLOOKUP(AllDataCorrected[[#This Row],[Site Name]],LocationsKey[Site Name],LocationsKey[District])</f>
        <v>#VALUE!</v>
      </c>
      <c r="I977" t="e" vm="27">
        <f>_xlfn.XLOOKUP(AllDataCorrected[[#This Row],[Site Name]],LocationsKey[Site Name],LocationsKey[Town])</f>
        <v>#VALUE!</v>
      </c>
      <c r="J977" t="str">
        <f>_xlfn.XLOOKUP(AllDataCorrected[[#This Row],[Site Name]],LocationsKey[Site Name], LocationsKey[Waterway])</f>
        <v>Stour</v>
      </c>
      <c r="K977" t="s">
        <v>141</v>
      </c>
      <c r="L977">
        <f>_xlfn.XLOOKUP(AllDataCorrected[[#This Row],[Site Name]],Tables!$B$12:$B$100, Tables!C$12:C$100)</f>
        <v>52.113052370370369</v>
      </c>
      <c r="M977">
        <f>_xlfn.XLOOKUP(AllDataCorrected[[#This Row],[Site Name]],Tables!$B$12:$B$100, Tables!D$12:D$100)</f>
        <v>-1.6333685185185181</v>
      </c>
      <c r="N977" t="s">
        <v>31</v>
      </c>
      <c r="O977">
        <v>667</v>
      </c>
      <c r="P977">
        <v>21</v>
      </c>
      <c r="Q977">
        <v>2</v>
      </c>
      <c r="R977" t="str">
        <f>IF(AllDataCorrected[[#This Row],[Nitrate (PPM)]]&gt;2, "4. Very high (&gt;2ppm)", IF(AllDataCorrected[[#This Row],[Nitrate (PPM)]]&gt;1, "3. High (1-2ppm)", IF(AllDataCorrected[[#This Row],[Nitrate (PPM)]]&gt;0.5, "2. Some evidence (0.5-1ppm)", IF(AllDataCorrected[[#This Row],[Nitrate (PPM)]]&gt;=0, "1. No evidence (&lt;0.5ppm)"))))</f>
        <v>3. High (1-2ppm)</v>
      </c>
      <c r="S977">
        <v>0.34</v>
      </c>
      <c r="T9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7">
        <v>2</v>
      </c>
      <c r="V977" t="s">
        <v>1527</v>
      </c>
    </row>
    <row r="978" spans="1:22" x14ac:dyDescent="0.35">
      <c r="A978" t="s">
        <v>1528</v>
      </c>
      <c r="B978" s="2">
        <v>45470</v>
      </c>
      <c r="C978" t="str" cm="1">
        <f t="array" ref="C9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8">
        <f>YEAR(AllDataCorrected[[#This Row],[Date]])</f>
        <v>2024</v>
      </c>
      <c r="E978" s="1">
        <v>0.4236111111111111</v>
      </c>
      <c r="F9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8" t="str">
        <f>_xlfn.XLOOKUP(AllDataCorrected[[#This Row],[Location Name]], Locations[Location Name],Locations[Group As])</f>
        <v>Swilgate</v>
      </c>
      <c r="H978" t="e" vm="4">
        <f>_xlfn.XLOOKUP(AllDataCorrected[[#This Row],[Site Name]],LocationsKey[Site Name],LocationsKey[District])</f>
        <v>#VALUE!</v>
      </c>
      <c r="I978" t="e" vm="4">
        <f>_xlfn.XLOOKUP(AllDataCorrected[[#This Row],[Site Name]],LocationsKey[Site Name],LocationsKey[Town])</f>
        <v>#VALUE!</v>
      </c>
      <c r="J978" t="str">
        <f>_xlfn.XLOOKUP(AllDataCorrected[[#This Row],[Site Name]],LocationsKey[Site Name], LocationsKey[Waterway])</f>
        <v>Swilgate</v>
      </c>
      <c r="K978" t="s">
        <v>85</v>
      </c>
      <c r="L978">
        <f>_xlfn.XLOOKUP(AllDataCorrected[[#This Row],[Site Name]],Tables!$B$12:$B$100, Tables!C$12:C$100)</f>
        <v>51.988591500000005</v>
      </c>
      <c r="M978">
        <f>_xlfn.XLOOKUP(AllDataCorrected[[#This Row],[Site Name]],Tables!$B$12:$B$100, Tables!D$12:D$100)</f>
        <v>-2.163898333333333</v>
      </c>
      <c r="N978" t="s">
        <v>25</v>
      </c>
      <c r="O978">
        <v>102</v>
      </c>
      <c r="P978">
        <v>19.600000000000001</v>
      </c>
      <c r="Q978">
        <v>4</v>
      </c>
      <c r="R978" t="str">
        <f>IF(AllDataCorrected[[#This Row],[Nitrate (PPM)]]&gt;2, "4. Very high (&gt;2ppm)", IF(AllDataCorrected[[#This Row],[Nitrate (PPM)]]&gt;1, "3. High (1-2ppm)", IF(AllDataCorrected[[#This Row],[Nitrate (PPM)]]&gt;0.5, "2. Some evidence (0.5-1ppm)", IF(AllDataCorrected[[#This Row],[Nitrate (PPM)]]&gt;=0, "1. No evidence (&lt;0.5ppm)"))))</f>
        <v>4. Very high (&gt;2ppm)</v>
      </c>
      <c r="S978">
        <v>0.73</v>
      </c>
      <c r="T9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78">
        <v>0</v>
      </c>
    </row>
    <row r="979" spans="1:22" x14ac:dyDescent="0.35">
      <c r="A979" t="s">
        <v>1529</v>
      </c>
      <c r="B979" s="2">
        <v>45470</v>
      </c>
      <c r="C979" t="str" cm="1">
        <f t="array" ref="C9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79">
        <f>YEAR(AllDataCorrected[[#This Row],[Date]])</f>
        <v>2024</v>
      </c>
      <c r="E979" s="1">
        <v>0.45833333333333331</v>
      </c>
      <c r="F9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79" t="str">
        <f>_xlfn.XLOOKUP(AllDataCorrected[[#This Row],[Location Name]], Locations[Location Name],Locations[Group As])</f>
        <v>Stour Willington</v>
      </c>
      <c r="H979" t="e" vm="1">
        <f>_xlfn.XLOOKUP(AllDataCorrected[[#This Row],[Site Name]],LocationsKey[Site Name],LocationsKey[District])</f>
        <v>#VALUE!</v>
      </c>
      <c r="I979" t="str">
        <f>_xlfn.XLOOKUP(AllDataCorrected[[#This Row],[Site Name]],LocationsKey[Site Name],LocationsKey[Town])</f>
        <v>Willington</v>
      </c>
      <c r="J979" t="str">
        <f>_xlfn.XLOOKUP(AllDataCorrected[[#This Row],[Site Name]],LocationsKey[Site Name], LocationsKey[Waterway])</f>
        <v>Stour</v>
      </c>
      <c r="K979" t="s">
        <v>521</v>
      </c>
      <c r="L979">
        <f>_xlfn.XLOOKUP(AllDataCorrected[[#This Row],[Site Name]],Tables!$B$12:$B$100, Tables!C$12:C$100)</f>
        <v>52.053227523809518</v>
      </c>
      <c r="M979">
        <f>_xlfn.XLOOKUP(AllDataCorrected[[#This Row],[Site Name]],Tables!$B$12:$B$100, Tables!D$12:D$100)</f>
        <v>-1.6194739523809523</v>
      </c>
      <c r="N979" t="s">
        <v>25</v>
      </c>
      <c r="O979">
        <v>607</v>
      </c>
      <c r="P979">
        <v>15.5</v>
      </c>
      <c r="Q979">
        <v>2</v>
      </c>
      <c r="R979" t="str">
        <f>IF(AllDataCorrected[[#This Row],[Nitrate (PPM)]]&gt;2, "4. Very high (&gt;2ppm)", IF(AllDataCorrected[[#This Row],[Nitrate (PPM)]]&gt;1, "3. High (1-2ppm)", IF(AllDataCorrected[[#This Row],[Nitrate (PPM)]]&gt;0.5, "2. Some evidence (0.5-1ppm)", IF(AllDataCorrected[[#This Row],[Nitrate (PPM)]]&gt;=0, "1. No evidence (&lt;0.5ppm)"))))</f>
        <v>3. High (1-2ppm)</v>
      </c>
      <c r="S979">
        <v>0.39</v>
      </c>
      <c r="T97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79">
        <v>0.5</v>
      </c>
    </row>
    <row r="980" spans="1:22" x14ac:dyDescent="0.35">
      <c r="A980" t="s">
        <v>1530</v>
      </c>
      <c r="B980" s="2">
        <v>45470</v>
      </c>
      <c r="C980" t="str" cm="1">
        <f t="array" ref="C9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0">
        <f>YEAR(AllDataCorrected[[#This Row],[Date]])</f>
        <v>2024</v>
      </c>
      <c r="E980" s="1">
        <v>0.50694444444444442</v>
      </c>
      <c r="F98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0" t="str">
        <f>_xlfn.XLOOKUP(AllDataCorrected[[#This Row],[Location Name]], Locations[Location Name],Locations[Group As])</f>
        <v>Twyning Fleet</v>
      </c>
      <c r="H980" t="e" vm="4">
        <f>_xlfn.XLOOKUP(AllDataCorrected[[#This Row],[Site Name]],LocationsKey[Site Name],LocationsKey[District])</f>
        <v>#VALUE!</v>
      </c>
      <c r="I980" t="str">
        <f>_xlfn.XLOOKUP(AllDataCorrected[[#This Row],[Site Name]],LocationsKey[Site Name],LocationsKey[Town])</f>
        <v>Twyning Green</v>
      </c>
      <c r="J980" t="str">
        <f>_xlfn.XLOOKUP(AllDataCorrected[[#This Row],[Site Name]],LocationsKey[Site Name], LocationsKey[Waterway])</f>
        <v>Avon</v>
      </c>
      <c r="K980" t="s">
        <v>56</v>
      </c>
      <c r="L980">
        <f>_xlfn.XLOOKUP(AllDataCorrected[[#This Row],[Site Name]],Tables!$B$12:$B$100, Tables!C$12:C$100)</f>
        <v>52.027216452380941</v>
      </c>
      <c r="M980">
        <f>_xlfn.XLOOKUP(AllDataCorrected[[#This Row],[Site Name]],Tables!$B$12:$B$100, Tables!D$12:D$100)</f>
        <v>-2.140853452380953</v>
      </c>
      <c r="N980" t="s">
        <v>31</v>
      </c>
      <c r="O980">
        <v>1000</v>
      </c>
      <c r="P980">
        <v>23.3</v>
      </c>
      <c r="Q980">
        <v>9</v>
      </c>
      <c r="R980" t="str">
        <f>IF(AllDataCorrected[[#This Row],[Nitrate (PPM)]]&gt;2, "4. Very high (&gt;2ppm)", IF(AllDataCorrected[[#This Row],[Nitrate (PPM)]]&gt;1, "3. High (1-2ppm)", IF(AllDataCorrected[[#This Row],[Nitrate (PPM)]]&gt;0.5, "2. Some evidence (0.5-1ppm)", IF(AllDataCorrected[[#This Row],[Nitrate (PPM)]]&gt;=0, "1. No evidence (&lt;0.5ppm)"))))</f>
        <v>4. Very high (&gt;2ppm)</v>
      </c>
      <c r="S980">
        <v>0.86</v>
      </c>
      <c r="T9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0">
        <v>0</v>
      </c>
      <c r="V980" t="s">
        <v>1531</v>
      </c>
    </row>
    <row r="981" spans="1:22" x14ac:dyDescent="0.35">
      <c r="A981" t="s">
        <v>1533</v>
      </c>
      <c r="B981" s="2">
        <v>45471</v>
      </c>
      <c r="C981" t="str" cm="1">
        <f t="array" ref="C9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1">
        <f>YEAR(AllDataCorrected[[#This Row],[Date]])</f>
        <v>2024</v>
      </c>
      <c r="E981" s="1">
        <v>0.34513888888888888</v>
      </c>
      <c r="F98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1" t="str">
        <f>_xlfn.XLOOKUP(AllDataCorrected[[#This Row],[Location Name]], Locations[Location Name],Locations[Group As])</f>
        <v>Lower Lode</v>
      </c>
      <c r="H981" t="e" vm="4">
        <f>_xlfn.XLOOKUP(AllDataCorrected[[#This Row],[Site Name]],LocationsKey[Site Name],LocationsKey[District])</f>
        <v>#VALUE!</v>
      </c>
      <c r="I981" t="e" vm="4">
        <f>_xlfn.XLOOKUP(AllDataCorrected[[#This Row],[Site Name]],LocationsKey[Site Name],LocationsKey[Town])</f>
        <v>#VALUE!</v>
      </c>
      <c r="J981" t="str">
        <f>_xlfn.XLOOKUP(AllDataCorrected[[#This Row],[Site Name]],LocationsKey[Site Name], LocationsKey[Waterway])</f>
        <v>Avon</v>
      </c>
      <c r="K981" t="s">
        <v>595</v>
      </c>
      <c r="L981">
        <f>_xlfn.XLOOKUP(AllDataCorrected[[#This Row],[Site Name]],Tables!$B$12:$B$100, Tables!C$12:C$100)</f>
        <v>51.984916745098026</v>
      </c>
      <c r="M981">
        <f>_xlfn.XLOOKUP(AllDataCorrected[[#This Row],[Site Name]],Tables!$B$12:$B$100, Tables!D$12:D$100)</f>
        <v>-2.1745787647058821</v>
      </c>
      <c r="N981" t="s">
        <v>31</v>
      </c>
      <c r="O981">
        <v>1200</v>
      </c>
      <c r="P981">
        <v>18.3</v>
      </c>
      <c r="Q981">
        <v>10</v>
      </c>
      <c r="R981" t="str">
        <f>IF(AllDataCorrected[[#This Row],[Nitrate (PPM)]]&gt;2, "4. Very high (&gt;2ppm)", IF(AllDataCorrected[[#This Row],[Nitrate (PPM)]]&gt;1, "3. High (1-2ppm)", IF(AllDataCorrected[[#This Row],[Nitrate (PPM)]]&gt;0.5, "2. Some evidence (0.5-1ppm)", IF(AllDataCorrected[[#This Row],[Nitrate (PPM)]]&gt;=0, "1. No evidence (&lt;0.5ppm)"))))</f>
        <v>4. Very high (&gt;2ppm)</v>
      </c>
      <c r="S981">
        <v>0.44</v>
      </c>
      <c r="T9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81">
        <v>1</v>
      </c>
    </row>
    <row r="982" spans="1:22" x14ac:dyDescent="0.35">
      <c r="A982" t="s">
        <v>1534</v>
      </c>
      <c r="B982" s="2">
        <v>45471</v>
      </c>
      <c r="C982" t="str" cm="1">
        <f t="array" ref="C9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2">
        <f>YEAR(AllDataCorrected[[#This Row],[Date]])</f>
        <v>2024</v>
      </c>
      <c r="E982" s="1">
        <v>0.38680555555555557</v>
      </c>
      <c r="F9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2" t="str">
        <f>_xlfn.XLOOKUP(AllDataCorrected[[#This Row],[Location Name]], Locations[Location Name],Locations[Group As])</f>
        <v>Carrant Back Lane Beckford</v>
      </c>
      <c r="H982" t="e" vm="4">
        <f>_xlfn.XLOOKUP(AllDataCorrected[[#This Row],[Site Name]],LocationsKey[Site Name],LocationsKey[District])</f>
        <v>#VALUE!</v>
      </c>
      <c r="I982" t="str">
        <f>_xlfn.XLOOKUP(AllDataCorrected[[#This Row],[Site Name]],LocationsKey[Site Name],LocationsKey[Town])</f>
        <v>Beckford</v>
      </c>
      <c r="J982" t="str">
        <f>_xlfn.XLOOKUP(AllDataCorrected[[#This Row],[Site Name]],LocationsKey[Site Name], LocationsKey[Waterway])</f>
        <v>Carrant</v>
      </c>
      <c r="K982" t="s">
        <v>1535</v>
      </c>
      <c r="L982">
        <f>_xlfn.XLOOKUP(AllDataCorrected[[#This Row],[Site Name]],Tables!$B$12:$B$100, Tables!C$12:C$100)</f>
        <v>52.018128913043483</v>
      </c>
      <c r="M982">
        <f>_xlfn.XLOOKUP(AllDataCorrected[[#This Row],[Site Name]],Tables!$B$12:$B$100, Tables!D$12:D$100)</f>
        <v>-2.0388751739130435</v>
      </c>
      <c r="N982" t="s">
        <v>68</v>
      </c>
      <c r="O982">
        <v>790</v>
      </c>
      <c r="P982">
        <v>15.7</v>
      </c>
      <c r="Q982">
        <v>5</v>
      </c>
      <c r="R982" t="str">
        <f>IF(AllDataCorrected[[#This Row],[Nitrate (PPM)]]&gt;2, "4. Very high (&gt;2ppm)", IF(AllDataCorrected[[#This Row],[Nitrate (PPM)]]&gt;1, "3. High (1-2ppm)", IF(AllDataCorrected[[#This Row],[Nitrate (PPM)]]&gt;0.5, "2. Some evidence (0.5-1ppm)", IF(AllDataCorrected[[#This Row],[Nitrate (PPM)]]&gt;=0, "1. No evidence (&lt;0.5ppm)"))))</f>
        <v>4. Very high (&gt;2ppm)</v>
      </c>
      <c r="S982">
        <v>1.4</v>
      </c>
      <c r="T9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2">
        <v>0</v>
      </c>
    </row>
    <row r="983" spans="1:22" x14ac:dyDescent="0.35">
      <c r="A983" t="s">
        <v>1536</v>
      </c>
      <c r="B983" s="2">
        <v>45471</v>
      </c>
      <c r="C983" t="str" cm="1">
        <f t="array" ref="C9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3">
        <f>YEAR(AllDataCorrected[[#This Row],[Date]])</f>
        <v>2024</v>
      </c>
      <c r="E983" s="1">
        <v>0.41180555555555554</v>
      </c>
      <c r="F9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3" t="str">
        <f>_xlfn.XLOOKUP(AllDataCorrected[[#This Row],[Location Name]], Locations[Location Name],Locations[Group As])</f>
        <v>Carrant Beckford Sewage Works</v>
      </c>
      <c r="H983" t="e" vm="4">
        <f>_xlfn.XLOOKUP(AllDataCorrected[[#This Row],[Site Name]],LocationsKey[Site Name],LocationsKey[District])</f>
        <v>#VALUE!</v>
      </c>
      <c r="I983" t="str">
        <f>_xlfn.XLOOKUP(AllDataCorrected[[#This Row],[Site Name]],LocationsKey[Site Name],LocationsKey[Town])</f>
        <v>Beckford</v>
      </c>
      <c r="J983" t="str">
        <f>_xlfn.XLOOKUP(AllDataCorrected[[#This Row],[Site Name]],LocationsKey[Site Name], LocationsKey[Waterway])</f>
        <v>Carrant</v>
      </c>
      <c r="K983" t="s">
        <v>1537</v>
      </c>
      <c r="L983">
        <f>_xlfn.XLOOKUP(AllDataCorrected[[#This Row],[Site Name]],Tables!$B$12:$B$100, Tables!C$12:C$100)</f>
        <v>52.015557999999999</v>
      </c>
      <c r="M983">
        <f>_xlfn.XLOOKUP(AllDataCorrected[[#This Row],[Site Name]],Tables!$B$12:$B$100, Tables!D$12:D$100)</f>
        <v>-2.0442779999999998</v>
      </c>
      <c r="N983" t="s">
        <v>31</v>
      </c>
      <c r="O983">
        <v>800</v>
      </c>
      <c r="P983">
        <v>15.7</v>
      </c>
      <c r="Q983">
        <v>6</v>
      </c>
      <c r="R983" t="str">
        <f>IF(AllDataCorrected[[#This Row],[Nitrate (PPM)]]&gt;2, "4. Very high (&gt;2ppm)", IF(AllDataCorrected[[#This Row],[Nitrate (PPM)]]&gt;1, "3. High (1-2ppm)", IF(AllDataCorrected[[#This Row],[Nitrate (PPM)]]&gt;0.5, "2. Some evidence (0.5-1ppm)", IF(AllDataCorrected[[#This Row],[Nitrate (PPM)]]&gt;=0, "1. No evidence (&lt;0.5ppm)"))))</f>
        <v>4. Very high (&gt;2ppm)</v>
      </c>
      <c r="S983">
        <v>0.82</v>
      </c>
      <c r="T9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3">
        <v>0</v>
      </c>
    </row>
    <row r="984" spans="1:22" x14ac:dyDescent="0.35">
      <c r="A984" t="s">
        <v>1538</v>
      </c>
      <c r="B984" s="2">
        <v>45471</v>
      </c>
      <c r="C984" t="str" cm="1">
        <f t="array" ref="C9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4">
        <f>YEAR(AllDataCorrected[[#This Row],[Date]])</f>
        <v>2024</v>
      </c>
      <c r="E984" s="1">
        <v>0.45416666666666666</v>
      </c>
      <c r="F9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4" t="str">
        <f>_xlfn.XLOOKUP(AllDataCorrected[[#This Row],[Location Name]], Locations[Location Name],Locations[Group As])</f>
        <v>Mill Bridge Peopleton</v>
      </c>
      <c r="H984" t="e" vm="6">
        <f>_xlfn.XLOOKUP(AllDataCorrected[[#This Row],[Site Name]],LocationsKey[Site Name],LocationsKey[District])</f>
        <v>#VALUE!</v>
      </c>
      <c r="I984" t="str">
        <f>_xlfn.XLOOKUP(AllDataCorrected[[#This Row],[Site Name]],LocationsKey[Site Name],LocationsKey[Town])</f>
        <v>Peopleton</v>
      </c>
      <c r="J984" t="str">
        <f>_xlfn.XLOOKUP(AllDataCorrected[[#This Row],[Site Name]],LocationsKey[Site Name], LocationsKey[Waterway])</f>
        <v>Bow Brook</v>
      </c>
      <c r="K984" t="s">
        <v>1539</v>
      </c>
      <c r="L984">
        <f>_xlfn.XLOOKUP(AllDataCorrected[[#This Row],[Site Name]],Tables!$B$12:$B$100, Tables!C$12:C$100)</f>
        <v>52.151811999999993</v>
      </c>
      <c r="M984">
        <f>_xlfn.XLOOKUP(AllDataCorrected[[#This Row],[Site Name]],Tables!$B$12:$B$100, Tables!D$12:D$100)</f>
        <v>-2.0958865161290317</v>
      </c>
      <c r="N984" t="s">
        <v>31</v>
      </c>
      <c r="O984">
        <v>130</v>
      </c>
      <c r="P984">
        <v>18.8</v>
      </c>
      <c r="Q984">
        <v>5</v>
      </c>
      <c r="R984" t="str">
        <f>IF(AllDataCorrected[[#This Row],[Nitrate (PPM)]]&gt;2, "4. Very high (&gt;2ppm)", IF(AllDataCorrected[[#This Row],[Nitrate (PPM)]]&gt;1, "3. High (1-2ppm)", IF(AllDataCorrected[[#This Row],[Nitrate (PPM)]]&gt;0.5, "2. Some evidence (0.5-1ppm)", IF(AllDataCorrected[[#This Row],[Nitrate (PPM)]]&gt;=0, "1. No evidence (&lt;0.5ppm)"))))</f>
        <v>4. Very high (&gt;2ppm)</v>
      </c>
      <c r="S984">
        <v>0.04</v>
      </c>
      <c r="T984"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984">
        <v>0.25</v>
      </c>
      <c r="V984" t="s">
        <v>1540</v>
      </c>
    </row>
    <row r="985" spans="1:22" x14ac:dyDescent="0.35">
      <c r="A985" t="s">
        <v>1542</v>
      </c>
      <c r="B985" s="2">
        <v>45472</v>
      </c>
      <c r="C985" t="str" cm="1">
        <f t="array" ref="C9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5">
        <f>YEAR(AllDataCorrected[[#This Row],[Date]])</f>
        <v>2024</v>
      </c>
      <c r="E985" s="1">
        <v>0.39583333333333331</v>
      </c>
      <c r="F9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5" t="str">
        <f>_xlfn.XLOOKUP(AllDataCorrected[[#This Row],[Location Name]], Locations[Location Name],Locations[Group As])</f>
        <v>Avon Smiths Meadow Wyre Piddle</v>
      </c>
      <c r="H985" t="e" vm="6">
        <f>_xlfn.XLOOKUP(AllDataCorrected[[#This Row],[Site Name]],LocationsKey[Site Name],LocationsKey[District])</f>
        <v>#VALUE!</v>
      </c>
      <c r="I985" t="e" vm="13">
        <f>_xlfn.XLOOKUP(AllDataCorrected[[#This Row],[Site Name]],LocationsKey[Site Name],LocationsKey[Town])</f>
        <v>#VALUE!</v>
      </c>
      <c r="J985" t="str">
        <f>_xlfn.XLOOKUP(AllDataCorrected[[#This Row],[Site Name]],LocationsKey[Site Name], LocationsKey[Waterway])</f>
        <v>Avon</v>
      </c>
      <c r="K985" t="s">
        <v>784</v>
      </c>
      <c r="L985">
        <f>_xlfn.XLOOKUP(AllDataCorrected[[#This Row],[Site Name]],Tables!$B$12:$B$100, Tables!C$12:C$100)</f>
        <v>52.123126101694929</v>
      </c>
      <c r="M985">
        <f>_xlfn.XLOOKUP(AllDataCorrected[[#This Row],[Site Name]],Tables!$B$12:$B$100, Tables!D$12:D$100)</f>
        <v>-2.0572511355932215</v>
      </c>
      <c r="N985" t="s">
        <v>25</v>
      </c>
      <c r="O985">
        <v>1030</v>
      </c>
      <c r="P985">
        <v>20.2</v>
      </c>
      <c r="Q985">
        <v>10</v>
      </c>
      <c r="R985" t="str">
        <f>IF(AllDataCorrected[[#This Row],[Nitrate (PPM)]]&gt;2, "4. Very high (&gt;2ppm)", IF(AllDataCorrected[[#This Row],[Nitrate (PPM)]]&gt;1, "3. High (1-2ppm)", IF(AllDataCorrected[[#This Row],[Nitrate (PPM)]]&gt;0.5, "2. Some evidence (0.5-1ppm)", IF(AllDataCorrected[[#This Row],[Nitrate (PPM)]]&gt;=0, "1. No evidence (&lt;0.5ppm)"))))</f>
        <v>4. Very high (&gt;2ppm)</v>
      </c>
      <c r="S985">
        <v>0.76</v>
      </c>
      <c r="T9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5">
        <v>0.53</v>
      </c>
      <c r="V985" t="s">
        <v>1543</v>
      </c>
    </row>
    <row r="986" spans="1:22" x14ac:dyDescent="0.35">
      <c r="A986" t="s">
        <v>1544</v>
      </c>
      <c r="B986" s="2">
        <v>45472</v>
      </c>
      <c r="C986" t="str" cm="1">
        <f t="array" ref="C9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6">
        <f>YEAR(AllDataCorrected[[#This Row],[Date]])</f>
        <v>2024</v>
      </c>
      <c r="E986" s="1">
        <v>0.41666666666666669</v>
      </c>
      <c r="F9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6" t="str">
        <f>_xlfn.XLOOKUP(AllDataCorrected[[#This Row],[Location Name]], Locations[Location Name],Locations[Group As])</f>
        <v>Piddle Brook Wyre Piddle Bridge</v>
      </c>
      <c r="H986" t="e" vm="6">
        <f>_xlfn.XLOOKUP(AllDataCorrected[[#This Row],[Site Name]],LocationsKey[Site Name],LocationsKey[District])</f>
        <v>#VALUE!</v>
      </c>
      <c r="I986" t="e" vm="13">
        <f>_xlfn.XLOOKUP(AllDataCorrected[[#This Row],[Site Name]],LocationsKey[Site Name],LocationsKey[Town])</f>
        <v>#VALUE!</v>
      </c>
      <c r="J986" t="str">
        <f>_xlfn.XLOOKUP(AllDataCorrected[[#This Row],[Site Name]],LocationsKey[Site Name], LocationsKey[Waterway])</f>
        <v>Piddle Brook</v>
      </c>
      <c r="K986" t="s">
        <v>787</v>
      </c>
      <c r="L986">
        <f>_xlfn.XLOOKUP(AllDataCorrected[[#This Row],[Site Name]],Tables!$B$12:$B$100, Tables!C$12:C$100)</f>
        <v>52.126394500000039</v>
      </c>
      <c r="M986">
        <f>_xlfn.XLOOKUP(AllDataCorrected[[#This Row],[Site Name]],Tables!$B$12:$B$100, Tables!D$12:D$100)</f>
        <v>-2.0564211206896545</v>
      </c>
      <c r="N986" t="s">
        <v>25</v>
      </c>
      <c r="O986">
        <v>1710</v>
      </c>
      <c r="P986">
        <v>15.8</v>
      </c>
      <c r="Q986">
        <v>10</v>
      </c>
      <c r="R986" t="str">
        <f>IF(AllDataCorrected[[#This Row],[Nitrate (PPM)]]&gt;2, "4. Very high (&gt;2ppm)", IF(AllDataCorrected[[#This Row],[Nitrate (PPM)]]&gt;1, "3. High (1-2ppm)", IF(AllDataCorrected[[#This Row],[Nitrate (PPM)]]&gt;0.5, "2. Some evidence (0.5-1ppm)", IF(AllDataCorrected[[#This Row],[Nitrate (PPM)]]&gt;=0, "1. No evidence (&lt;0.5ppm)"))))</f>
        <v>4. Very high (&gt;2ppm)</v>
      </c>
      <c r="S986">
        <v>1.1000000000000001</v>
      </c>
      <c r="T9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6">
        <v>0.16</v>
      </c>
      <c r="V986" t="s">
        <v>1545</v>
      </c>
    </row>
    <row r="987" spans="1:22" x14ac:dyDescent="0.35">
      <c r="A987" t="s">
        <v>1546</v>
      </c>
      <c r="B987" s="2">
        <v>45472</v>
      </c>
      <c r="C987" t="str" cm="1">
        <f t="array" ref="C9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7">
        <f>YEAR(AllDataCorrected[[#This Row],[Date]])</f>
        <v>2024</v>
      </c>
      <c r="E987" s="1">
        <v>0.43263888888888891</v>
      </c>
      <c r="F9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7" t="str">
        <f>_xlfn.XLOOKUP(AllDataCorrected[[#This Row],[Location Name]], Locations[Location Name],Locations[Group As])</f>
        <v>Pitch 16</v>
      </c>
      <c r="H987" t="e" vm="1">
        <f>_xlfn.XLOOKUP(AllDataCorrected[[#This Row],[Site Name]],LocationsKey[Site Name],LocationsKey[District])</f>
        <v>#VALUE!</v>
      </c>
      <c r="I987" t="e" vm="12">
        <f>_xlfn.XLOOKUP(AllDataCorrected[[#This Row],[Site Name]],LocationsKey[Site Name],LocationsKey[Town])</f>
        <v>#VALUE!</v>
      </c>
      <c r="J987" t="str">
        <f>_xlfn.XLOOKUP(AllDataCorrected[[#This Row],[Site Name]],LocationsKey[Site Name], LocationsKey[Waterway])</f>
        <v>Avon</v>
      </c>
      <c r="K987" t="s">
        <v>71</v>
      </c>
      <c r="L987">
        <f>_xlfn.XLOOKUP(AllDataCorrected[[#This Row],[Site Name]],Tables!$B$12:$B$100, Tables!C$12:C$100)</f>
        <v>51.289310076923087</v>
      </c>
      <c r="M987">
        <f>_xlfn.XLOOKUP(AllDataCorrected[[#This Row],[Site Name]],Tables!$B$12:$B$100, Tables!D$12:D$100)</f>
        <v>-0.10399761538461544</v>
      </c>
      <c r="N987" t="s">
        <v>31</v>
      </c>
      <c r="O987">
        <v>1010</v>
      </c>
      <c r="P987">
        <v>20.5</v>
      </c>
      <c r="Q987">
        <v>8</v>
      </c>
      <c r="R987" t="str">
        <f>IF(AllDataCorrected[[#This Row],[Nitrate (PPM)]]&gt;2, "4. Very high (&gt;2ppm)", IF(AllDataCorrected[[#This Row],[Nitrate (PPM)]]&gt;1, "3. High (1-2ppm)", IF(AllDataCorrected[[#This Row],[Nitrate (PPM)]]&gt;0.5, "2. Some evidence (0.5-1ppm)", IF(AllDataCorrected[[#This Row],[Nitrate (PPM)]]&gt;=0, "1. No evidence (&lt;0.5ppm)"))))</f>
        <v>4. Very high (&gt;2ppm)</v>
      </c>
      <c r="S987">
        <v>0.57999999999999996</v>
      </c>
      <c r="T9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7">
        <v>0.6</v>
      </c>
    </row>
    <row r="988" spans="1:22" x14ac:dyDescent="0.35">
      <c r="A988" t="s">
        <v>1547</v>
      </c>
      <c r="B988" s="2">
        <v>45472</v>
      </c>
      <c r="C988" t="str" cm="1">
        <f t="array" ref="C9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8">
        <f>YEAR(AllDataCorrected[[#This Row],[Date]])</f>
        <v>2024</v>
      </c>
      <c r="E988" s="1">
        <v>0.44930555555555557</v>
      </c>
      <c r="F9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88" t="str">
        <f>_xlfn.XLOOKUP(AllDataCorrected[[#This Row],[Location Name]], Locations[Location Name],Locations[Group As])</f>
        <v>Avonbank Drive</v>
      </c>
      <c r="H988" t="e" vm="1">
        <f>_xlfn.XLOOKUP(AllDataCorrected[[#This Row],[Site Name]],LocationsKey[Site Name],LocationsKey[District])</f>
        <v>#VALUE!</v>
      </c>
      <c r="I988" t="e" vm="12">
        <f>_xlfn.XLOOKUP(AllDataCorrected[[#This Row],[Site Name]],LocationsKey[Site Name],LocationsKey[Town])</f>
        <v>#VALUE!</v>
      </c>
      <c r="J988" t="str">
        <f>_xlfn.XLOOKUP(AllDataCorrected[[#This Row],[Site Name]],LocationsKey[Site Name], LocationsKey[Waterway])</f>
        <v>Avon</v>
      </c>
      <c r="K988" t="s">
        <v>328</v>
      </c>
      <c r="L988">
        <f>_xlfn.XLOOKUP(AllDataCorrected[[#This Row],[Site Name]],Tables!$B$12:$B$100, Tables!C$12:C$100)</f>
        <v>51.566927775862098</v>
      </c>
      <c r="M988">
        <f>_xlfn.XLOOKUP(AllDataCorrected[[#This Row],[Site Name]],Tables!$B$12:$B$100, Tables!D$12:D$100)</f>
        <v>-7.2113336724137929</v>
      </c>
      <c r="N988" t="s">
        <v>68</v>
      </c>
      <c r="O988">
        <v>1010</v>
      </c>
      <c r="P988">
        <v>20.6</v>
      </c>
      <c r="Q988">
        <v>10</v>
      </c>
      <c r="R988" t="str">
        <f>IF(AllDataCorrected[[#This Row],[Nitrate (PPM)]]&gt;2, "4. Very high (&gt;2ppm)", IF(AllDataCorrected[[#This Row],[Nitrate (PPM)]]&gt;1, "3. High (1-2ppm)", IF(AllDataCorrected[[#This Row],[Nitrate (PPM)]]&gt;0.5, "2. Some evidence (0.5-1ppm)", IF(AllDataCorrected[[#This Row],[Nitrate (PPM)]]&gt;=0, "1. No evidence (&lt;0.5ppm)"))))</f>
        <v>4. Very high (&gt;2ppm)</v>
      </c>
      <c r="S988">
        <v>0.43</v>
      </c>
      <c r="T98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88">
        <v>0.6</v>
      </c>
    </row>
    <row r="989" spans="1:22" x14ac:dyDescent="0.35">
      <c r="A989" t="s">
        <v>1548</v>
      </c>
      <c r="B989" s="2">
        <v>45472</v>
      </c>
      <c r="C989" t="str" cm="1">
        <f t="array" ref="C9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89">
        <f>YEAR(AllDataCorrected[[#This Row],[Date]])</f>
        <v>2024</v>
      </c>
      <c r="E989" s="1">
        <v>0.5</v>
      </c>
      <c r="F98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89" t="str">
        <f>_xlfn.XLOOKUP(AllDataCorrected[[#This Row],[Location Name]], Locations[Location Name],Locations[Group As])</f>
        <v>Carrant Bredon Rd</v>
      </c>
      <c r="H989" t="e" vm="4">
        <f>_xlfn.XLOOKUP(AllDataCorrected[[#This Row],[Site Name]],LocationsKey[Site Name],LocationsKey[District])</f>
        <v>#VALUE!</v>
      </c>
      <c r="I989" t="e" vm="4">
        <f>_xlfn.XLOOKUP(AllDataCorrected[[#This Row],[Site Name]],LocationsKey[Site Name],LocationsKey[Town])</f>
        <v>#VALUE!</v>
      </c>
      <c r="J989" t="str">
        <f>_xlfn.XLOOKUP(AllDataCorrected[[#This Row],[Site Name]],LocationsKey[Site Name], LocationsKey[Waterway])</f>
        <v>Carrant</v>
      </c>
      <c r="K989" t="s">
        <v>603</v>
      </c>
      <c r="L989">
        <f>_xlfn.XLOOKUP(AllDataCorrected[[#This Row],[Site Name]],Tables!$B$12:$B$100, Tables!C$12:C$100)</f>
        <v>51.996322536231894</v>
      </c>
      <c r="M989">
        <f>_xlfn.XLOOKUP(AllDataCorrected[[#This Row],[Site Name]],Tables!$B$12:$B$100, Tables!D$12:D$100)</f>
        <v>-2.1558410144927538</v>
      </c>
      <c r="N989" t="s">
        <v>25</v>
      </c>
      <c r="O989">
        <v>732</v>
      </c>
      <c r="P989">
        <v>16.5</v>
      </c>
      <c r="Q989">
        <v>4</v>
      </c>
      <c r="R989" t="str">
        <f>IF(AllDataCorrected[[#This Row],[Nitrate (PPM)]]&gt;2, "4. Very high (&gt;2ppm)", IF(AllDataCorrected[[#This Row],[Nitrate (PPM)]]&gt;1, "3. High (1-2ppm)", IF(AllDataCorrected[[#This Row],[Nitrate (PPM)]]&gt;0.5, "2. Some evidence (0.5-1ppm)", IF(AllDataCorrected[[#This Row],[Nitrate (PPM)]]&gt;=0, "1. No evidence (&lt;0.5ppm)"))))</f>
        <v>4. Very high (&gt;2ppm)</v>
      </c>
      <c r="S989">
        <v>0.51</v>
      </c>
      <c r="T9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89">
        <v>0</v>
      </c>
    </row>
    <row r="990" spans="1:22" x14ac:dyDescent="0.35">
      <c r="A990" t="s">
        <v>1549</v>
      </c>
      <c r="B990" s="2">
        <v>45473</v>
      </c>
      <c r="C990" t="str" cm="1">
        <f t="array" ref="C9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0">
        <f>YEAR(AllDataCorrected[[#This Row],[Date]])</f>
        <v>2024</v>
      </c>
      <c r="E990" s="1">
        <v>0.40625</v>
      </c>
      <c r="F9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0" t="str">
        <f>_xlfn.XLOOKUP(AllDataCorrected[[#This Row],[Location Name]], Locations[Location Name],Locations[Group As])</f>
        <v>Sherbourne Brook 1</v>
      </c>
      <c r="H990" t="e" vm="1">
        <f>_xlfn.XLOOKUP(AllDataCorrected[[#This Row],[Site Name]],LocationsKey[Site Name],LocationsKey[District])</f>
        <v>#VALUE!</v>
      </c>
      <c r="I990" t="e" vm="23">
        <f>_xlfn.XLOOKUP(AllDataCorrected[[#This Row],[Site Name]],LocationsKey[Site Name],LocationsKey[Town])</f>
        <v>#VALUE!</v>
      </c>
      <c r="J990" t="str">
        <f>_xlfn.XLOOKUP(AllDataCorrected[[#This Row],[Site Name]],LocationsKey[Site Name], LocationsKey[Waterway])</f>
        <v>Sherbourne Brook</v>
      </c>
      <c r="K990" t="s">
        <v>541</v>
      </c>
      <c r="L990">
        <f>_xlfn.XLOOKUP(AllDataCorrected[[#This Row],[Site Name]],Tables!$B$12:$B$100, Tables!C$12:C$100)</f>
        <v>52.252500000000033</v>
      </c>
      <c r="M990">
        <f>_xlfn.XLOOKUP(AllDataCorrected[[#This Row],[Site Name]],Tables!$B$12:$B$100, Tables!D$12:D$100)</f>
        <v>-1.6685000000000012</v>
      </c>
      <c r="N990" t="s">
        <v>25</v>
      </c>
      <c r="O990">
        <v>1120</v>
      </c>
      <c r="P990">
        <v>13.9</v>
      </c>
      <c r="Q990">
        <v>8</v>
      </c>
      <c r="R990" t="str">
        <f>IF(AllDataCorrected[[#This Row],[Nitrate (PPM)]]&gt;2, "4. Very high (&gt;2ppm)", IF(AllDataCorrected[[#This Row],[Nitrate (PPM)]]&gt;1, "3. High (1-2ppm)", IF(AllDataCorrected[[#This Row],[Nitrate (PPM)]]&gt;0.5, "2. Some evidence (0.5-1ppm)", IF(AllDataCorrected[[#This Row],[Nitrate (PPM)]]&gt;=0, "1. No evidence (&lt;0.5ppm)"))))</f>
        <v>4. Very high (&gt;2ppm)</v>
      </c>
      <c r="S990">
        <v>0.4</v>
      </c>
      <c r="T9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90">
        <v>0.1</v>
      </c>
    </row>
    <row r="991" spans="1:22" x14ac:dyDescent="0.35">
      <c r="A991" t="s">
        <v>1550</v>
      </c>
      <c r="B991" s="2">
        <v>45473</v>
      </c>
      <c r="C991" t="str" cm="1">
        <f t="array" ref="C9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1">
        <f>YEAR(AllDataCorrected[[#This Row],[Date]])</f>
        <v>2024</v>
      </c>
      <c r="E991" s="1">
        <v>0.41666666666666669</v>
      </c>
      <c r="F9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991" t="str">
        <f>_xlfn.XLOOKUP(AllDataCorrected[[#This Row],[Location Name]], Locations[Location Name],Locations[Group As])</f>
        <v>Bell Brook 1</v>
      </c>
      <c r="H991" t="e" vm="1">
        <f>_xlfn.XLOOKUP(AllDataCorrected[[#This Row],[Site Name]],LocationsKey[Site Name],LocationsKey[District])</f>
        <v>#VALUE!</v>
      </c>
      <c r="I991" t="e" vm="19">
        <f>_xlfn.XLOOKUP(AllDataCorrected[[#This Row],[Site Name]],LocationsKey[Site Name],LocationsKey[Town])</f>
        <v>#VALUE!</v>
      </c>
      <c r="J991" t="str">
        <f>_xlfn.XLOOKUP(AllDataCorrected[[#This Row],[Site Name]],LocationsKey[Site Name], LocationsKey[Waterway])</f>
        <v>Bell Brook</v>
      </c>
      <c r="K991" t="s">
        <v>538</v>
      </c>
      <c r="L991">
        <f>_xlfn.XLOOKUP(AllDataCorrected[[#This Row],[Site Name]],Tables!$B$12:$B$100, Tables!C$12:C$100)</f>
        <v>52.24489999999998</v>
      </c>
      <c r="M991">
        <f>_xlfn.XLOOKUP(AllDataCorrected[[#This Row],[Site Name]],Tables!$B$12:$B$100, Tables!D$12:D$100)</f>
        <v>-1.6617000000000013</v>
      </c>
      <c r="N991" t="s">
        <v>25</v>
      </c>
      <c r="O991">
        <v>879</v>
      </c>
      <c r="P991">
        <v>15.4</v>
      </c>
      <c r="Q991">
        <v>12</v>
      </c>
      <c r="R991" t="str">
        <f>IF(AllDataCorrected[[#This Row],[Nitrate (PPM)]]&gt;2, "4. Very high (&gt;2ppm)", IF(AllDataCorrected[[#This Row],[Nitrate (PPM)]]&gt;1, "3. High (1-2ppm)", IF(AllDataCorrected[[#This Row],[Nitrate (PPM)]]&gt;0.5, "2. Some evidence (0.5-1ppm)", IF(AllDataCorrected[[#This Row],[Nitrate (PPM)]]&gt;=0, "1. No evidence (&lt;0.5ppm)"))))</f>
        <v>4. Very high (&gt;2ppm)</v>
      </c>
      <c r="S991">
        <v>0.62</v>
      </c>
      <c r="T9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1">
        <v>0.1</v>
      </c>
    </row>
    <row r="992" spans="1:22" x14ac:dyDescent="0.35">
      <c r="A992" t="s">
        <v>1551</v>
      </c>
      <c r="B992" s="2">
        <v>45473</v>
      </c>
      <c r="C992" t="str" cm="1">
        <f t="array" ref="C9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2">
        <f>YEAR(AllDataCorrected[[#This Row],[Date]])</f>
        <v>2024</v>
      </c>
      <c r="E992" s="1">
        <v>0.52986111111111112</v>
      </c>
      <c r="F99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2" t="str">
        <f>_xlfn.XLOOKUP(AllDataCorrected[[#This Row],[Location Name]], Locations[Location Name],Locations[Group As])</f>
        <v>Fell Mill Footbridge</v>
      </c>
      <c r="H992" t="e" vm="1">
        <f>_xlfn.XLOOKUP(AllDataCorrected[[#This Row],[Site Name]],LocationsKey[Site Name],LocationsKey[District])</f>
        <v>#VALUE!</v>
      </c>
      <c r="I992" t="e" vm="15">
        <f>_xlfn.XLOOKUP(AllDataCorrected[[#This Row],[Site Name]],LocationsKey[Site Name],LocationsKey[Town])</f>
        <v>#VALUE!</v>
      </c>
      <c r="J992" t="str">
        <f>_xlfn.XLOOKUP(AllDataCorrected[[#This Row],[Site Name]],LocationsKey[Site Name], LocationsKey[Waterway])</f>
        <v>Stour</v>
      </c>
      <c r="K992" t="s">
        <v>1552</v>
      </c>
      <c r="L992">
        <f>_xlfn.XLOOKUP(AllDataCorrected[[#This Row],[Site Name]],Tables!$B$12:$B$100, Tables!C$12:C$100)</f>
        <v>52.069044372881365</v>
      </c>
      <c r="M992">
        <f>_xlfn.XLOOKUP(AllDataCorrected[[#This Row],[Site Name]],Tables!$B$12:$B$100, Tables!D$12:D$100)</f>
        <v>-1.6116270169491524</v>
      </c>
      <c r="N992" t="s">
        <v>31</v>
      </c>
      <c r="O992">
        <v>635</v>
      </c>
      <c r="P992">
        <v>16.8</v>
      </c>
      <c r="Q992">
        <v>5</v>
      </c>
      <c r="R992" t="str">
        <f>IF(AllDataCorrected[[#This Row],[Nitrate (PPM)]]&gt;2, "4. Very high (&gt;2ppm)", IF(AllDataCorrected[[#This Row],[Nitrate (PPM)]]&gt;1, "3. High (1-2ppm)", IF(AllDataCorrected[[#This Row],[Nitrate (PPM)]]&gt;0.5, "2. Some evidence (0.5-1ppm)", IF(AllDataCorrected[[#This Row],[Nitrate (PPM)]]&gt;=0, "1. No evidence (&lt;0.5ppm)"))))</f>
        <v>4. Very high (&gt;2ppm)</v>
      </c>
      <c r="S992">
        <v>0.45</v>
      </c>
      <c r="T9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992">
        <v>2.2999999999999998</v>
      </c>
    </row>
    <row r="993" spans="1:22" x14ac:dyDescent="0.35">
      <c r="A993" t="s">
        <v>1553</v>
      </c>
      <c r="B993" s="2">
        <v>45473</v>
      </c>
      <c r="C993" t="str" cm="1">
        <f t="array" ref="C9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3">
        <f>YEAR(AllDataCorrected[[#This Row],[Date]])</f>
        <v>2024</v>
      </c>
      <c r="E993" s="1">
        <v>0.68472222222222223</v>
      </c>
      <c r="F9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3" t="str">
        <f>_xlfn.XLOOKUP(AllDataCorrected[[#This Row],[Location Name]], Locations[Location Name],Locations[Group As])</f>
        <v>Black Bear</v>
      </c>
      <c r="H993" t="e" vm="4">
        <f>_xlfn.XLOOKUP(AllDataCorrected[[#This Row],[Site Name]],LocationsKey[Site Name],LocationsKey[District])</f>
        <v>#VALUE!</v>
      </c>
      <c r="I993" t="e" vm="4">
        <f>_xlfn.XLOOKUP(AllDataCorrected[[#This Row],[Site Name]],LocationsKey[Site Name],LocationsKey[Town])</f>
        <v>#VALUE!</v>
      </c>
      <c r="J993" t="str">
        <f>_xlfn.XLOOKUP(AllDataCorrected[[#This Row],[Site Name]],LocationsKey[Site Name], LocationsKey[Waterway])</f>
        <v>Avon</v>
      </c>
      <c r="K993" t="s">
        <v>1175</v>
      </c>
      <c r="L993">
        <f>_xlfn.XLOOKUP(AllDataCorrected[[#This Row],[Site Name]],Tables!$B$12:$B$100, Tables!C$12:C$100)</f>
        <v>51.997466254237274</v>
      </c>
      <c r="M993">
        <f>_xlfn.XLOOKUP(AllDataCorrected[[#This Row],[Site Name]],Tables!$B$12:$B$100, Tables!D$12:D$100)</f>
        <v>-2.1561788644067801</v>
      </c>
      <c r="N993" t="s">
        <v>25</v>
      </c>
      <c r="O993">
        <v>980</v>
      </c>
      <c r="P993">
        <v>20.399999999999999</v>
      </c>
      <c r="Q993">
        <v>12</v>
      </c>
      <c r="R993" t="str">
        <f>IF(AllDataCorrected[[#This Row],[Nitrate (PPM)]]&gt;2, "4. Very high (&gt;2ppm)", IF(AllDataCorrected[[#This Row],[Nitrate (PPM)]]&gt;1, "3. High (1-2ppm)", IF(AllDataCorrected[[#This Row],[Nitrate (PPM)]]&gt;0.5, "2. Some evidence (0.5-1ppm)", IF(AllDataCorrected[[#This Row],[Nitrate (PPM)]]&gt;=0, "1. No evidence (&lt;0.5ppm)"))))</f>
        <v>4. Very high (&gt;2ppm)</v>
      </c>
      <c r="S993">
        <v>1.0900000000000001</v>
      </c>
      <c r="T9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3">
        <v>0</v>
      </c>
    </row>
    <row r="994" spans="1:22" x14ac:dyDescent="0.35">
      <c r="A994" t="s">
        <v>1554</v>
      </c>
      <c r="B994" s="2">
        <v>45473</v>
      </c>
      <c r="C994" t="str" cm="1">
        <f t="array" ref="C9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4">
        <f>YEAR(AllDataCorrected[[#This Row],[Date]])</f>
        <v>2024</v>
      </c>
      <c r="E994" s="1">
        <v>0.70763888888888893</v>
      </c>
      <c r="F9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4" t="str">
        <f>_xlfn.XLOOKUP(AllDataCorrected[[#This Row],[Location Name]], Locations[Location Name],Locations[Group As])</f>
        <v>Stour Stretton-on-Fosse Village</v>
      </c>
      <c r="H994" t="e" vm="1">
        <f>_xlfn.XLOOKUP(AllDataCorrected[[#This Row],[Site Name]],LocationsKey[Site Name],LocationsKey[District])</f>
        <v>#VALUE!</v>
      </c>
      <c r="I994" t="e" vm="30">
        <f>_xlfn.XLOOKUP(AllDataCorrected[[#This Row],[Site Name]],LocationsKey[Site Name],LocationsKey[Town])</f>
        <v>#VALUE!</v>
      </c>
      <c r="J994" t="str">
        <f>_xlfn.XLOOKUP(AllDataCorrected[[#This Row],[Site Name]],LocationsKey[Site Name], LocationsKey[Waterway])</f>
        <v>Stour</v>
      </c>
      <c r="K994" t="s">
        <v>548</v>
      </c>
      <c r="L994">
        <f>_xlfn.XLOOKUP(AllDataCorrected[[#This Row],[Site Name]],Tables!$B$12:$B$100, Tables!C$12:C$100)</f>
        <v>52.046517558823531</v>
      </c>
      <c r="M994">
        <f>_xlfn.XLOOKUP(AllDataCorrected[[#This Row],[Site Name]],Tables!$B$12:$B$100, Tables!D$12:D$100)</f>
        <v>-1.6734143529411762</v>
      </c>
      <c r="N994" t="s">
        <v>68</v>
      </c>
      <c r="O994">
        <v>717</v>
      </c>
      <c r="P994">
        <v>14.1</v>
      </c>
      <c r="Q994">
        <v>2</v>
      </c>
      <c r="R994" t="str">
        <f>IF(AllDataCorrected[[#This Row],[Nitrate (PPM)]]&gt;2, "4. Very high (&gt;2ppm)", IF(AllDataCorrected[[#This Row],[Nitrate (PPM)]]&gt;1, "3. High (1-2ppm)", IF(AllDataCorrected[[#This Row],[Nitrate (PPM)]]&gt;0.5, "2. Some evidence (0.5-1ppm)", IF(AllDataCorrected[[#This Row],[Nitrate (PPM)]]&gt;=0, "1. No evidence (&lt;0.5ppm)"))))</f>
        <v>3. High (1-2ppm)</v>
      </c>
      <c r="S994">
        <v>2.5</v>
      </c>
      <c r="T9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4">
        <v>0.2</v>
      </c>
      <c r="V994" t="s">
        <v>1356</v>
      </c>
    </row>
    <row r="995" spans="1:22" x14ac:dyDescent="0.35">
      <c r="A995" t="s">
        <v>1555</v>
      </c>
      <c r="B995" s="2">
        <v>45473</v>
      </c>
      <c r="C995" t="str" cm="1">
        <f t="array" ref="C9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5">
        <f>YEAR(AllDataCorrected[[#This Row],[Date]])</f>
        <v>2024</v>
      </c>
      <c r="E995" s="1">
        <v>0.72847222222222219</v>
      </c>
      <c r="F9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995" t="str">
        <f>_xlfn.XLOOKUP(AllDataCorrected[[#This Row],[Location Name]], Locations[Location Name],Locations[Group As])</f>
        <v>Stour Stretton-on-Fosse Sewage Works</v>
      </c>
      <c r="H995" t="e" vm="1">
        <f>_xlfn.XLOOKUP(AllDataCorrected[[#This Row],[Site Name]],LocationsKey[Site Name],LocationsKey[District])</f>
        <v>#VALUE!</v>
      </c>
      <c r="I995" t="e" vm="30">
        <f>_xlfn.XLOOKUP(AllDataCorrected[[#This Row],[Site Name]],LocationsKey[Site Name],LocationsKey[Town])</f>
        <v>#VALUE!</v>
      </c>
      <c r="J995" t="str">
        <f>_xlfn.XLOOKUP(AllDataCorrected[[#This Row],[Site Name]],LocationsKey[Site Name], LocationsKey[Waterway])</f>
        <v>Stour</v>
      </c>
      <c r="K995" t="s">
        <v>337</v>
      </c>
      <c r="L995">
        <f>_xlfn.XLOOKUP(AllDataCorrected[[#This Row],[Site Name]],Tables!$B$12:$B$100, Tables!C$12:C$100)</f>
        <v>52.045653647058828</v>
      </c>
      <c r="M995">
        <f>_xlfn.XLOOKUP(AllDataCorrected[[#This Row],[Site Name]],Tables!$B$12:$B$100, Tables!D$12:D$100)</f>
        <v>-1.6719221470588239</v>
      </c>
      <c r="N995" t="s">
        <v>31</v>
      </c>
      <c r="O995">
        <v>932</v>
      </c>
      <c r="P995">
        <v>16.399999999999999</v>
      </c>
      <c r="Q995">
        <v>5</v>
      </c>
      <c r="R995" t="str">
        <f>IF(AllDataCorrected[[#This Row],[Nitrate (PPM)]]&gt;2, "4. Very high (&gt;2ppm)", IF(AllDataCorrected[[#This Row],[Nitrate (PPM)]]&gt;1, "3. High (1-2ppm)", IF(AllDataCorrected[[#This Row],[Nitrate (PPM)]]&gt;0.5, "2. Some evidence (0.5-1ppm)", IF(AllDataCorrected[[#This Row],[Nitrate (PPM)]]&gt;=0, "1. No evidence (&lt;0.5ppm)"))))</f>
        <v>4. Very high (&gt;2ppm)</v>
      </c>
      <c r="S995">
        <v>2.5</v>
      </c>
      <c r="T9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5">
        <v>0.3</v>
      </c>
      <c r="V995" t="s">
        <v>1391</v>
      </c>
    </row>
    <row r="996" spans="1:22" x14ac:dyDescent="0.35">
      <c r="A996" t="s">
        <v>1556</v>
      </c>
      <c r="B996" s="2">
        <v>45473</v>
      </c>
      <c r="C996" t="str" cm="1">
        <f t="array" ref="C9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6">
        <f>YEAR(AllDataCorrected[[#This Row],[Date]])</f>
        <v>2024</v>
      </c>
      <c r="F99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6" t="str">
        <f>_xlfn.XLOOKUP(AllDataCorrected[[#This Row],[Location Name]], Locations[Location Name],Locations[Group As])</f>
        <v>Site 1  :  Middle Street</v>
      </c>
      <c r="H996" t="e" vm="1">
        <f>_xlfn.XLOOKUP(AllDataCorrected[[#This Row],[Site Name]],LocationsKey[Site Name],LocationsKey[District])</f>
        <v>#VALUE!</v>
      </c>
      <c r="I996" t="e" vm="14">
        <f>_xlfn.XLOOKUP(AllDataCorrected[[#This Row],[Site Name]],LocationsKey[Site Name],LocationsKey[Town])</f>
        <v>#VALUE!</v>
      </c>
      <c r="J996" t="str">
        <f>_xlfn.XLOOKUP(AllDataCorrected[[#This Row],[Site Name]],LocationsKey[Site Name], LocationsKey[Waterway])</f>
        <v>Fosseway Brook</v>
      </c>
      <c r="K996" t="s">
        <v>667</v>
      </c>
      <c r="L996">
        <f>_xlfn.XLOOKUP(AllDataCorrected[[#This Row],[Site Name]],Tables!$B$12:$B$100, Tables!C$12:C$100)</f>
        <v>52.090081855670022</v>
      </c>
      <c r="M996">
        <f>_xlfn.XLOOKUP(AllDataCorrected[[#This Row],[Site Name]],Tables!$B$12:$B$100, Tables!D$12:D$100)</f>
        <v>-1.6925771134020597</v>
      </c>
      <c r="N996" t="s">
        <v>68</v>
      </c>
      <c r="O996">
        <v>684</v>
      </c>
      <c r="P996">
        <v>17.399999999999999</v>
      </c>
      <c r="Q996">
        <v>2</v>
      </c>
      <c r="R996" t="str">
        <f>IF(AllDataCorrected[[#This Row],[Nitrate (PPM)]]&gt;2, "4. Very high (&gt;2ppm)", IF(AllDataCorrected[[#This Row],[Nitrate (PPM)]]&gt;1, "3. High (1-2ppm)", IF(AllDataCorrected[[#This Row],[Nitrate (PPM)]]&gt;0.5, "2. Some evidence (0.5-1ppm)", IF(AllDataCorrected[[#This Row],[Nitrate (PPM)]]&gt;=0, "1. No evidence (&lt;0.5ppm)"))))</f>
        <v>3. High (1-2ppm)</v>
      </c>
      <c r="S996">
        <v>0.76</v>
      </c>
      <c r="T9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6">
        <v>0</v>
      </c>
      <c r="V996" t="s">
        <v>1557</v>
      </c>
    </row>
    <row r="997" spans="1:22" x14ac:dyDescent="0.35">
      <c r="A997" t="s">
        <v>1558</v>
      </c>
      <c r="B997" s="2">
        <v>45473</v>
      </c>
      <c r="C997" t="str" cm="1">
        <f t="array" ref="C9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7">
        <f>YEAR(AllDataCorrected[[#This Row],[Date]])</f>
        <v>2024</v>
      </c>
      <c r="F99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7" t="str">
        <f>_xlfn.XLOOKUP(AllDataCorrected[[#This Row],[Location Name]], Locations[Location Name],Locations[Group As])</f>
        <v>Site 1  :  Middle Street</v>
      </c>
      <c r="H997" t="e" vm="1">
        <f>_xlfn.XLOOKUP(AllDataCorrected[[#This Row],[Site Name]],LocationsKey[Site Name],LocationsKey[District])</f>
        <v>#VALUE!</v>
      </c>
      <c r="I997" t="e" vm="14">
        <f>_xlfn.XLOOKUP(AllDataCorrected[[#This Row],[Site Name]],LocationsKey[Site Name],LocationsKey[Town])</f>
        <v>#VALUE!</v>
      </c>
      <c r="J997" t="str">
        <f>_xlfn.XLOOKUP(AllDataCorrected[[#This Row],[Site Name]],LocationsKey[Site Name], LocationsKey[Waterway])</f>
        <v>Fosseway Brook</v>
      </c>
      <c r="K997" t="s">
        <v>670</v>
      </c>
      <c r="L997">
        <f>_xlfn.XLOOKUP(AllDataCorrected[[#This Row],[Site Name]],Tables!$B$12:$B$100, Tables!C$12:C$100)</f>
        <v>52.090081855670022</v>
      </c>
      <c r="M997">
        <f>_xlfn.XLOOKUP(AllDataCorrected[[#This Row],[Site Name]],Tables!$B$12:$B$100, Tables!D$12:D$100)</f>
        <v>-1.6925771134020597</v>
      </c>
      <c r="N997" t="s">
        <v>68</v>
      </c>
      <c r="O997">
        <v>684</v>
      </c>
      <c r="P997">
        <v>17.399999999999999</v>
      </c>
      <c r="Q997">
        <v>2</v>
      </c>
      <c r="R997" t="str">
        <f>IF(AllDataCorrected[[#This Row],[Nitrate (PPM)]]&gt;2, "4. Very high (&gt;2ppm)", IF(AllDataCorrected[[#This Row],[Nitrate (PPM)]]&gt;1, "3. High (1-2ppm)", IF(AllDataCorrected[[#This Row],[Nitrate (PPM)]]&gt;0.5, "2. Some evidence (0.5-1ppm)", IF(AllDataCorrected[[#This Row],[Nitrate (PPM)]]&gt;=0, "1. No evidence (&lt;0.5ppm)"))))</f>
        <v>3. High (1-2ppm)</v>
      </c>
      <c r="S997">
        <v>0.76</v>
      </c>
      <c r="T9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97" t="s">
        <v>1559</v>
      </c>
    </row>
    <row r="998" spans="1:22" x14ac:dyDescent="0.35">
      <c r="A998" t="s">
        <v>1560</v>
      </c>
      <c r="B998" s="2">
        <v>45473</v>
      </c>
      <c r="C998" t="str" cm="1">
        <f t="array" ref="C9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8">
        <f>YEAR(AllDataCorrected[[#This Row],[Date]])</f>
        <v>2024</v>
      </c>
      <c r="F99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8" t="str">
        <f>_xlfn.XLOOKUP(AllDataCorrected[[#This Row],[Location Name]], Locations[Location Name],Locations[Group As])</f>
        <v>Site 2  :  Cross Leys culvert</v>
      </c>
      <c r="H998" t="e" vm="1">
        <f>_xlfn.XLOOKUP(AllDataCorrected[[#This Row],[Site Name]],LocationsKey[Site Name],LocationsKey[District])</f>
        <v>#VALUE!</v>
      </c>
      <c r="I998" t="e" vm="14">
        <f>_xlfn.XLOOKUP(AllDataCorrected[[#This Row],[Site Name]],LocationsKey[Site Name],LocationsKey[Town])</f>
        <v>#VALUE!</v>
      </c>
      <c r="J998" t="str">
        <f>_xlfn.XLOOKUP(AllDataCorrected[[#This Row],[Site Name]],LocationsKey[Site Name], LocationsKey[Waterway])</f>
        <v>Fosseway Brook</v>
      </c>
      <c r="K998" t="s">
        <v>623</v>
      </c>
      <c r="L998">
        <f>_xlfn.XLOOKUP(AllDataCorrected[[#This Row],[Site Name]],Tables!$B$12:$B$100, Tables!C$12:C$100)</f>
        <v>52.092997354838673</v>
      </c>
      <c r="M998">
        <f>_xlfn.XLOOKUP(AllDataCorrected[[#This Row],[Site Name]],Tables!$B$12:$B$100, Tables!D$12:D$100)</f>
        <v>-1.6862254516129045</v>
      </c>
      <c r="N998" t="s">
        <v>68</v>
      </c>
      <c r="O998">
        <v>1100</v>
      </c>
      <c r="P998">
        <v>15.6</v>
      </c>
      <c r="Q998">
        <v>0</v>
      </c>
      <c r="R99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98">
        <v>2.5</v>
      </c>
      <c r="T99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998">
        <v>0</v>
      </c>
      <c r="V998" t="s">
        <v>1561</v>
      </c>
    </row>
    <row r="999" spans="1:22" x14ac:dyDescent="0.35">
      <c r="A999" t="s">
        <v>1562</v>
      </c>
      <c r="B999" s="2">
        <v>45473</v>
      </c>
      <c r="C999" t="str" cm="1">
        <f t="array" ref="C9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999">
        <f>YEAR(AllDataCorrected[[#This Row],[Date]])</f>
        <v>2024</v>
      </c>
      <c r="F99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999" t="str">
        <f>_xlfn.XLOOKUP(AllDataCorrected[[#This Row],[Location Name]], Locations[Location Name],Locations[Group As])</f>
        <v>Site 2  :  Cross Leys culvert</v>
      </c>
      <c r="H999" t="e" vm="1">
        <f>_xlfn.XLOOKUP(AllDataCorrected[[#This Row],[Site Name]],LocationsKey[Site Name],LocationsKey[District])</f>
        <v>#VALUE!</v>
      </c>
      <c r="I999" t="e" vm="14">
        <f>_xlfn.XLOOKUP(AllDataCorrected[[#This Row],[Site Name]],LocationsKey[Site Name],LocationsKey[Town])</f>
        <v>#VALUE!</v>
      </c>
      <c r="J999" t="str">
        <f>_xlfn.XLOOKUP(AllDataCorrected[[#This Row],[Site Name]],LocationsKey[Site Name], LocationsKey[Waterway])</f>
        <v>Fosseway Brook</v>
      </c>
      <c r="K999" t="s">
        <v>626</v>
      </c>
      <c r="L999">
        <f>_xlfn.XLOOKUP(AllDataCorrected[[#This Row],[Site Name]],Tables!$B$12:$B$100, Tables!C$12:C$100)</f>
        <v>52.092997354838673</v>
      </c>
      <c r="M999">
        <f>_xlfn.XLOOKUP(AllDataCorrected[[#This Row],[Site Name]],Tables!$B$12:$B$100, Tables!D$12:D$100)</f>
        <v>-1.6862254516129045</v>
      </c>
      <c r="N999" t="s">
        <v>68</v>
      </c>
      <c r="O999">
        <v>1100</v>
      </c>
      <c r="P999">
        <v>15.6</v>
      </c>
      <c r="Q999">
        <v>0</v>
      </c>
      <c r="R99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999">
        <v>2.5</v>
      </c>
      <c r="T9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999" t="s">
        <v>1563</v>
      </c>
    </row>
    <row r="1000" spans="1:22" x14ac:dyDescent="0.35">
      <c r="A1000" t="s">
        <v>1564</v>
      </c>
      <c r="B1000" s="2">
        <v>45473</v>
      </c>
      <c r="C1000" t="str" cm="1">
        <f t="array" ref="C10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0">
        <f>YEAR(AllDataCorrected[[#This Row],[Date]])</f>
        <v>2024</v>
      </c>
      <c r="F100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00" t="str">
        <f>_xlfn.XLOOKUP(AllDataCorrected[[#This Row],[Location Name]], Locations[Location Name],Locations[Group As])</f>
        <v>Site 3  :  Severn Trent Water processing plant outflow</v>
      </c>
      <c r="H1000" t="e" vm="1">
        <f>_xlfn.XLOOKUP(AllDataCorrected[[#This Row],[Site Name]],LocationsKey[Site Name],LocationsKey[District])</f>
        <v>#VALUE!</v>
      </c>
      <c r="I1000" t="e" vm="14">
        <f>_xlfn.XLOOKUP(AllDataCorrected[[#This Row],[Site Name]],LocationsKey[Site Name],LocationsKey[Town])</f>
        <v>#VALUE!</v>
      </c>
      <c r="J1000" t="str">
        <f>_xlfn.XLOOKUP(AllDataCorrected[[#This Row],[Site Name]],LocationsKey[Site Name], LocationsKey[Waterway])</f>
        <v>Fosseway Brook</v>
      </c>
      <c r="K1000" t="s">
        <v>673</v>
      </c>
      <c r="L1000">
        <f>_xlfn.XLOOKUP(AllDataCorrected[[#This Row],[Site Name]],Tables!$B$12:$B$100, Tables!C$12:C$100)</f>
        <v>52.130499999999998</v>
      </c>
      <c r="M1000">
        <f>_xlfn.XLOOKUP(AllDataCorrected[[#This Row],[Site Name]],Tables!$B$12:$B$100, Tables!D$12:D$100)</f>
        <v>-2.0787</v>
      </c>
      <c r="N1000" t="s">
        <v>31</v>
      </c>
      <c r="O1000">
        <v>959</v>
      </c>
      <c r="P1000">
        <v>17.2</v>
      </c>
      <c r="Q1000">
        <v>10</v>
      </c>
      <c r="R10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0">
        <v>2.5</v>
      </c>
      <c r="T10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0">
        <v>0</v>
      </c>
      <c r="V1000" t="s">
        <v>1565</v>
      </c>
    </row>
    <row r="1001" spans="1:22" x14ac:dyDescent="0.35">
      <c r="A1001" t="s">
        <v>1566</v>
      </c>
      <c r="B1001" s="2">
        <v>45473</v>
      </c>
      <c r="C1001" t="str" cm="1">
        <f t="array" ref="C10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1">
        <f>YEAR(AllDataCorrected[[#This Row],[Date]])</f>
        <v>2024</v>
      </c>
      <c r="F100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01" t="str">
        <f>_xlfn.XLOOKUP(AllDataCorrected[[#This Row],[Location Name]], Locations[Location Name],Locations[Group As])</f>
        <v>Site 3  :  Severn Trent Water processing plant outflow</v>
      </c>
      <c r="H1001" t="e" vm="1">
        <f>_xlfn.XLOOKUP(AllDataCorrected[[#This Row],[Site Name]],LocationsKey[Site Name],LocationsKey[District])</f>
        <v>#VALUE!</v>
      </c>
      <c r="I1001" t="e" vm="14">
        <f>_xlfn.XLOOKUP(AllDataCorrected[[#This Row],[Site Name]],LocationsKey[Site Name],LocationsKey[Town])</f>
        <v>#VALUE!</v>
      </c>
      <c r="J1001" t="str">
        <f>_xlfn.XLOOKUP(AllDataCorrected[[#This Row],[Site Name]],LocationsKey[Site Name], LocationsKey[Waterway])</f>
        <v>Fosseway Brook</v>
      </c>
      <c r="K1001" t="s">
        <v>676</v>
      </c>
      <c r="L1001">
        <f>_xlfn.XLOOKUP(AllDataCorrected[[#This Row],[Site Name]],Tables!$B$12:$B$100, Tables!C$12:C$100)</f>
        <v>52.130499999999998</v>
      </c>
      <c r="M1001">
        <f>_xlfn.XLOOKUP(AllDataCorrected[[#This Row],[Site Name]],Tables!$B$12:$B$100, Tables!D$12:D$100)</f>
        <v>-2.0787</v>
      </c>
      <c r="N1001" t="s">
        <v>31</v>
      </c>
      <c r="O1001">
        <v>959</v>
      </c>
      <c r="P1001">
        <v>17.2</v>
      </c>
      <c r="Q1001">
        <v>10</v>
      </c>
      <c r="R10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1">
        <v>2.5</v>
      </c>
      <c r="T10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1001" t="s">
        <v>1567</v>
      </c>
    </row>
    <row r="1002" spans="1:22" x14ac:dyDescent="0.35">
      <c r="A1002" t="s">
        <v>1796</v>
      </c>
      <c r="B1002" s="2">
        <v>45509</v>
      </c>
      <c r="C1002" t="str" cm="1">
        <f t="array" ref="C10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2">
        <f>YEAR(AllDataCorrected[[#This Row],[Date]])</f>
        <v>2024</v>
      </c>
      <c r="E1002" s="1">
        <v>0.63194444444444442</v>
      </c>
      <c r="F10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2" t="str">
        <f>_xlfn.XLOOKUP(AllDataCorrected[[#This Row],[Location Name]], Locations[Location Name],Locations[Group As])</f>
        <v>Chipping Campden Craves</v>
      </c>
      <c r="H1002" t="e" vm="9">
        <f>_xlfn.XLOOKUP(AllDataCorrected[[#This Row],[Site Name]],LocationsKey[Site Name],LocationsKey[District])</f>
        <v>#VALUE!</v>
      </c>
      <c r="I1002" t="e" vm="10">
        <f>_xlfn.XLOOKUP(AllDataCorrected[[#This Row],[Site Name]],LocationsKey[Site Name],LocationsKey[Town])</f>
        <v>#VALUE!</v>
      </c>
      <c r="J1002" t="str">
        <f>_xlfn.XLOOKUP(AllDataCorrected[[#This Row],[Site Name]],LocationsKey[Site Name], LocationsKey[Waterway])</f>
        <v>Cam Brook</v>
      </c>
      <c r="K1002" t="s">
        <v>1797</v>
      </c>
      <c r="L1002">
        <f>_xlfn.XLOOKUP(AllDataCorrected[[#This Row],[Site Name]],Tables!$B$12:$B$100, Tables!C$12:C$100)</f>
        <v>52.047342199999981</v>
      </c>
      <c r="M1002">
        <f>_xlfn.XLOOKUP(AllDataCorrected[[#This Row],[Site Name]],Tables!$B$12:$B$100, Tables!D$12:D$100)</f>
        <v>-1.7964858000000001</v>
      </c>
      <c r="N1002" t="s">
        <v>68</v>
      </c>
      <c r="O1002">
        <v>421</v>
      </c>
      <c r="P1002">
        <v>21.4</v>
      </c>
      <c r="Q1002">
        <v>2</v>
      </c>
      <c r="R1002" t="str">
        <f>IF(AllDataCorrected[[#This Row],[Nitrate (PPM)]]&gt;2, "4. Very high (&gt;2ppm)", IF(AllDataCorrected[[#This Row],[Nitrate (PPM)]]&gt;1, "3. High (1-2ppm)", IF(AllDataCorrected[[#This Row],[Nitrate (PPM)]]&gt;0.5, "2. Some evidence (0.5-1ppm)", IF(AllDataCorrected[[#This Row],[Nitrate (PPM)]]&gt;=0, "1. No evidence (&lt;0.5ppm)"))))</f>
        <v>3. High (1-2ppm)</v>
      </c>
      <c r="S1002">
        <v>3</v>
      </c>
      <c r="T10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2">
        <v>17.2</v>
      </c>
    </row>
    <row r="1003" spans="1:22" x14ac:dyDescent="0.35">
      <c r="A1003" t="s">
        <v>1844</v>
      </c>
      <c r="B1003" s="2">
        <v>45516</v>
      </c>
      <c r="C1003" t="str" cm="1">
        <f t="array" ref="C10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3">
        <f>YEAR(AllDataCorrected[[#This Row],[Date]])</f>
        <v>2024</v>
      </c>
      <c r="E1003" s="1">
        <v>0.8125</v>
      </c>
      <c r="F10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03" t="str">
        <f>_xlfn.XLOOKUP(AllDataCorrected[[#This Row],[Location Name]], Locations[Location Name],Locations[Group As])</f>
        <v>Chipping Campden Craves</v>
      </c>
      <c r="H1003" t="e" vm="9">
        <f>_xlfn.XLOOKUP(AllDataCorrected[[#This Row],[Site Name]],LocationsKey[Site Name],LocationsKey[District])</f>
        <v>#VALUE!</v>
      </c>
      <c r="I1003" t="e" vm="10">
        <f>_xlfn.XLOOKUP(AllDataCorrected[[#This Row],[Site Name]],LocationsKey[Site Name],LocationsKey[Town])</f>
        <v>#VALUE!</v>
      </c>
      <c r="J1003" t="str">
        <f>_xlfn.XLOOKUP(AllDataCorrected[[#This Row],[Site Name]],LocationsKey[Site Name], LocationsKey[Waterway])</f>
        <v>Cam Brook</v>
      </c>
      <c r="K1003" t="s">
        <v>1845</v>
      </c>
      <c r="L1003">
        <f>_xlfn.XLOOKUP(AllDataCorrected[[#This Row],[Site Name]],Tables!$B$12:$B$100, Tables!C$12:C$100)</f>
        <v>52.047342199999981</v>
      </c>
      <c r="M1003">
        <f>_xlfn.XLOOKUP(AllDataCorrected[[#This Row],[Site Name]],Tables!$B$12:$B$100, Tables!D$12:D$100)</f>
        <v>-1.7964858000000001</v>
      </c>
      <c r="N1003" t="s">
        <v>68</v>
      </c>
      <c r="O1003">
        <v>398</v>
      </c>
      <c r="P1003">
        <v>23.7</v>
      </c>
      <c r="Q1003">
        <v>2</v>
      </c>
      <c r="R1003" t="str">
        <f>IF(AllDataCorrected[[#This Row],[Nitrate (PPM)]]&gt;2, "4. Very high (&gt;2ppm)", IF(AllDataCorrected[[#This Row],[Nitrate (PPM)]]&gt;1, "3. High (1-2ppm)", IF(AllDataCorrected[[#This Row],[Nitrate (PPM)]]&gt;0.5, "2. Some evidence (0.5-1ppm)", IF(AllDataCorrected[[#This Row],[Nitrate (PPM)]]&gt;=0, "1. No evidence (&lt;0.5ppm)"))))</f>
        <v>3. High (1-2ppm)</v>
      </c>
      <c r="S1003">
        <v>0.32</v>
      </c>
      <c r="T100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3">
        <v>15.2</v>
      </c>
    </row>
    <row r="1004" spans="1:22" x14ac:dyDescent="0.35">
      <c r="A1004" t="s">
        <v>1574</v>
      </c>
      <c r="B1004" s="2">
        <v>45474</v>
      </c>
      <c r="C1004" t="str" cm="1">
        <f t="array" ref="C10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4">
        <f>YEAR(AllDataCorrected[[#This Row],[Date]])</f>
        <v>2024</v>
      </c>
      <c r="E1004" s="1">
        <v>0.60833333333333328</v>
      </c>
      <c r="F100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4" t="str">
        <f>_xlfn.XLOOKUP(AllDataCorrected[[#This Row],[Location Name]], Locations[Location Name],Locations[Group As])</f>
        <v>Abbey Mill</v>
      </c>
      <c r="H1004" t="e" vm="4">
        <f>_xlfn.XLOOKUP(AllDataCorrected[[#This Row],[Site Name]],LocationsKey[Site Name],LocationsKey[District])</f>
        <v>#VALUE!</v>
      </c>
      <c r="I1004" t="e" vm="4">
        <f>_xlfn.XLOOKUP(AllDataCorrected[[#This Row],[Site Name]],LocationsKey[Site Name],LocationsKey[Town])</f>
        <v>#VALUE!</v>
      </c>
      <c r="J1004" t="str">
        <f>_xlfn.XLOOKUP(AllDataCorrected[[#This Row],[Site Name]],LocationsKey[Site Name], LocationsKey[Waterway])</f>
        <v>Avon</v>
      </c>
      <c r="K1004" t="s">
        <v>27</v>
      </c>
      <c r="L1004">
        <f>_xlfn.XLOOKUP(AllDataCorrected[[#This Row],[Site Name]],Tables!$B$12:$B$100, Tables!C$12:C$100)</f>
        <v>51.991313075757589</v>
      </c>
      <c r="M1004">
        <f>_xlfn.XLOOKUP(AllDataCorrected[[#This Row],[Site Name]],Tables!$B$12:$B$100, Tables!D$12:D$100)</f>
        <v>-2.1621998181818181</v>
      </c>
      <c r="N1004" t="s">
        <v>25</v>
      </c>
      <c r="O1004">
        <v>1020</v>
      </c>
      <c r="P1004">
        <v>20.6</v>
      </c>
      <c r="Q1004">
        <v>10</v>
      </c>
      <c r="R10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4">
        <v>0.75</v>
      </c>
      <c r="T10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4">
        <v>0.4</v>
      </c>
    </row>
    <row r="1005" spans="1:22" x14ac:dyDescent="0.35">
      <c r="A1005" t="s">
        <v>1575</v>
      </c>
      <c r="B1005" s="2">
        <v>45474</v>
      </c>
      <c r="C1005" t="str" cm="1">
        <f t="array" ref="C10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5">
        <f>YEAR(AllDataCorrected[[#This Row],[Date]])</f>
        <v>2024</v>
      </c>
      <c r="E1005" s="1">
        <v>0.79583333333333328</v>
      </c>
      <c r="F100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05" t="str">
        <f>_xlfn.XLOOKUP(AllDataCorrected[[#This Row],[Location Name]], Locations[Location Name],Locations[Group As])</f>
        <v>The Ford, Langley</v>
      </c>
      <c r="H1005" t="e" vm="1">
        <f>_xlfn.XLOOKUP(AllDataCorrected[[#This Row],[Site Name]],LocationsKey[Site Name],LocationsKey[District])</f>
        <v>#VALUE!</v>
      </c>
      <c r="I1005" t="str">
        <f>_xlfn.XLOOKUP(AllDataCorrected[[#This Row],[Site Name]],LocationsKey[Site Name],LocationsKey[Town])</f>
        <v>Langley</v>
      </c>
      <c r="J1005" t="str">
        <f>_xlfn.XLOOKUP(AllDataCorrected[[#This Row],[Site Name]],LocationsKey[Site Name], LocationsKey[Waterway])</f>
        <v>Langley Ford</v>
      </c>
      <c r="K1005" t="s">
        <v>561</v>
      </c>
      <c r="L1005">
        <f>_xlfn.XLOOKUP(AllDataCorrected[[#This Row],[Site Name]],Tables!$B$12:$B$100, Tables!C$12:C$100)</f>
        <v>52.262666528301864</v>
      </c>
      <c r="M1005">
        <f>_xlfn.XLOOKUP(AllDataCorrected[[#This Row],[Site Name]],Tables!$B$12:$B$100, Tables!D$12:D$100)</f>
        <v>-1.6545845283018858</v>
      </c>
      <c r="N1005" t="s">
        <v>31</v>
      </c>
      <c r="O1005">
        <v>846</v>
      </c>
      <c r="P1005">
        <v>14.5</v>
      </c>
      <c r="Q1005">
        <v>5</v>
      </c>
      <c r="R10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5">
        <v>0.93</v>
      </c>
      <c r="T10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5">
        <v>0.1</v>
      </c>
    </row>
    <row r="1006" spans="1:22" x14ac:dyDescent="0.35">
      <c r="A1006" t="s">
        <v>1576</v>
      </c>
      <c r="B1006" s="2">
        <v>45475</v>
      </c>
      <c r="C1006" t="str" cm="1">
        <f t="array" ref="C10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6">
        <f>YEAR(AllDataCorrected[[#This Row],[Date]])</f>
        <v>2024</v>
      </c>
      <c r="E1006" s="1">
        <v>0.3840277777777778</v>
      </c>
      <c r="F10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6" t="str">
        <f>_xlfn.XLOOKUP(AllDataCorrected[[#This Row],[Location Name]], Locations[Location Name],Locations[Group As])</f>
        <v>Carrant Mitton Path</v>
      </c>
      <c r="H1006" t="e" vm="4">
        <f>_xlfn.XLOOKUP(AllDataCorrected[[#This Row],[Site Name]],LocationsKey[Site Name],LocationsKey[District])</f>
        <v>#VALUE!</v>
      </c>
      <c r="I1006" t="e" vm="4">
        <f>_xlfn.XLOOKUP(AllDataCorrected[[#This Row],[Site Name]],LocationsKey[Site Name],LocationsKey[Town])</f>
        <v>#VALUE!</v>
      </c>
      <c r="J1006" t="str">
        <f>_xlfn.XLOOKUP(AllDataCorrected[[#This Row],[Site Name]],LocationsKey[Site Name], LocationsKey[Waterway])</f>
        <v>Carrant</v>
      </c>
      <c r="K1006" t="s">
        <v>1064</v>
      </c>
      <c r="L1006">
        <f>_xlfn.XLOOKUP(AllDataCorrected[[#This Row],[Site Name]],Tables!$B$12:$B$100, Tables!C$12:C$100)</f>
        <v>52.048665</v>
      </c>
      <c r="M1006">
        <f>_xlfn.XLOOKUP(AllDataCorrected[[#This Row],[Site Name]],Tables!$B$12:$B$100, Tables!D$12:D$100)</f>
        <v>-1.7862663333333331</v>
      </c>
      <c r="N1006" t="s">
        <v>25</v>
      </c>
      <c r="O1006">
        <v>695</v>
      </c>
      <c r="P1006">
        <v>15.4</v>
      </c>
      <c r="Q1006">
        <v>5</v>
      </c>
      <c r="R10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6">
        <v>0.22</v>
      </c>
      <c r="T100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6">
        <v>0</v>
      </c>
    </row>
    <row r="1007" spans="1:22" x14ac:dyDescent="0.35">
      <c r="A1007" t="s">
        <v>1577</v>
      </c>
      <c r="B1007" s="2">
        <v>45475</v>
      </c>
      <c r="C1007" t="str" cm="1">
        <f t="array" ref="C10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7">
        <f>YEAR(AllDataCorrected[[#This Row],[Date]])</f>
        <v>2024</v>
      </c>
      <c r="E1007" s="1">
        <v>0.56736111111111109</v>
      </c>
      <c r="F10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07" t="str">
        <f>_xlfn.XLOOKUP(AllDataCorrected[[#This Row],[Location Name]], Locations[Location Name],Locations[Group As])</f>
        <v>Carrant M5 Bridge</v>
      </c>
      <c r="H1007" t="e" vm="4">
        <f>_xlfn.XLOOKUP(AllDataCorrected[[#This Row],[Site Name]],LocationsKey[Site Name],LocationsKey[District])</f>
        <v>#VALUE!</v>
      </c>
      <c r="I1007" t="e" vm="4">
        <f>_xlfn.XLOOKUP(AllDataCorrected[[#This Row],[Site Name]],LocationsKey[Site Name],LocationsKey[Town])</f>
        <v>#VALUE!</v>
      </c>
      <c r="J1007" t="str">
        <f>_xlfn.XLOOKUP(AllDataCorrected[[#This Row],[Site Name]],LocationsKey[Site Name], LocationsKey[Waterway])</f>
        <v>Carrant</v>
      </c>
      <c r="K1007" t="s">
        <v>1144</v>
      </c>
      <c r="L1007">
        <f>_xlfn.XLOOKUP(AllDataCorrected[[#This Row],[Site Name]],Tables!$B$12:$B$100, Tables!C$12:C$100)</f>
        <v>52.012994652173923</v>
      </c>
      <c r="M1007">
        <f>_xlfn.XLOOKUP(AllDataCorrected[[#This Row],[Site Name]],Tables!$B$12:$B$100, Tables!D$12:D$100)</f>
        <v>-2.1224405652173912</v>
      </c>
      <c r="N1007" t="s">
        <v>25</v>
      </c>
      <c r="O1007">
        <v>768</v>
      </c>
      <c r="P1007">
        <v>16.100000000000001</v>
      </c>
      <c r="Q1007">
        <v>5</v>
      </c>
      <c r="R10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7">
        <v>0.48</v>
      </c>
      <c r="T100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7">
        <v>0</v>
      </c>
    </row>
    <row r="1008" spans="1:22" x14ac:dyDescent="0.35">
      <c r="A1008" t="s">
        <v>1580</v>
      </c>
      <c r="B1008" s="2">
        <v>45477</v>
      </c>
      <c r="C1008" t="str" cm="1">
        <f t="array" ref="C10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8">
        <f>YEAR(AllDataCorrected[[#This Row],[Date]])</f>
        <v>2024</v>
      </c>
      <c r="E1008" s="1">
        <v>0.4375</v>
      </c>
      <c r="F10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8" t="str">
        <f>_xlfn.XLOOKUP(AllDataCorrected[[#This Row],[Location Name]], Locations[Location Name],Locations[Group As])</f>
        <v>Stour Willington</v>
      </c>
      <c r="H1008" t="e" vm="1">
        <f>_xlfn.XLOOKUP(AllDataCorrected[[#This Row],[Site Name]],LocationsKey[Site Name],LocationsKey[District])</f>
        <v>#VALUE!</v>
      </c>
      <c r="I1008" t="str">
        <f>_xlfn.XLOOKUP(AllDataCorrected[[#This Row],[Site Name]],LocationsKey[Site Name],LocationsKey[Town])</f>
        <v>Willington</v>
      </c>
      <c r="J1008" t="str">
        <f>_xlfn.XLOOKUP(AllDataCorrected[[#This Row],[Site Name]],LocationsKey[Site Name], LocationsKey[Waterway])</f>
        <v>Stour</v>
      </c>
      <c r="K1008" t="s">
        <v>521</v>
      </c>
      <c r="L1008">
        <f>_xlfn.XLOOKUP(AllDataCorrected[[#This Row],[Site Name]],Tables!$B$12:$B$100, Tables!C$12:C$100)</f>
        <v>52.053227523809518</v>
      </c>
      <c r="M1008">
        <f>_xlfn.XLOOKUP(AllDataCorrected[[#This Row],[Site Name]],Tables!$B$12:$B$100, Tables!D$12:D$100)</f>
        <v>-1.6194739523809523</v>
      </c>
      <c r="N1008" t="s">
        <v>25</v>
      </c>
      <c r="O1008">
        <v>615</v>
      </c>
      <c r="P1008">
        <v>15.2</v>
      </c>
      <c r="Q1008">
        <v>2</v>
      </c>
      <c r="R1008" t="str">
        <f>IF(AllDataCorrected[[#This Row],[Nitrate (PPM)]]&gt;2, "4. Very high (&gt;2ppm)", IF(AllDataCorrected[[#This Row],[Nitrate (PPM)]]&gt;1, "3. High (1-2ppm)", IF(AllDataCorrected[[#This Row],[Nitrate (PPM)]]&gt;0.5, "2. Some evidence (0.5-1ppm)", IF(AllDataCorrected[[#This Row],[Nitrate (PPM)]]&gt;=0, "1. No evidence (&lt;0.5ppm)"))))</f>
        <v>3. High (1-2ppm)</v>
      </c>
      <c r="S1008">
        <v>0.41</v>
      </c>
      <c r="T10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08">
        <v>0.5</v>
      </c>
    </row>
    <row r="1009" spans="1:22" x14ac:dyDescent="0.35">
      <c r="A1009" t="s">
        <v>1581</v>
      </c>
      <c r="B1009" s="2">
        <v>45477</v>
      </c>
      <c r="C1009" t="str" cm="1">
        <f t="array" ref="C10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09">
        <f>YEAR(AllDataCorrected[[#This Row],[Date]])</f>
        <v>2024</v>
      </c>
      <c r="E1009" s="1">
        <v>0.44444444444444442</v>
      </c>
      <c r="F100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09" t="str">
        <f>_xlfn.XLOOKUP(AllDataCorrected[[#This Row],[Location Name]], Locations[Location Name],Locations[Group As])</f>
        <v>Swilgate</v>
      </c>
      <c r="H1009" t="e" vm="4">
        <f>_xlfn.XLOOKUP(AllDataCorrected[[#This Row],[Site Name]],LocationsKey[Site Name],LocationsKey[District])</f>
        <v>#VALUE!</v>
      </c>
      <c r="I1009" t="e" vm="4">
        <f>_xlfn.XLOOKUP(AllDataCorrected[[#This Row],[Site Name]],LocationsKey[Site Name],LocationsKey[Town])</f>
        <v>#VALUE!</v>
      </c>
      <c r="J1009" t="str">
        <f>_xlfn.XLOOKUP(AllDataCorrected[[#This Row],[Site Name]],LocationsKey[Site Name], LocationsKey[Waterway])</f>
        <v>Swilgate</v>
      </c>
      <c r="K1009" t="s">
        <v>85</v>
      </c>
      <c r="L1009">
        <f>_xlfn.XLOOKUP(AllDataCorrected[[#This Row],[Site Name]],Tables!$B$12:$B$100, Tables!C$12:C$100)</f>
        <v>51.988591500000005</v>
      </c>
      <c r="M1009">
        <f>_xlfn.XLOOKUP(AllDataCorrected[[#This Row],[Site Name]],Tables!$B$12:$B$100, Tables!D$12:D$100)</f>
        <v>-2.163898333333333</v>
      </c>
      <c r="N1009" t="s">
        <v>25</v>
      </c>
      <c r="O1009">
        <v>1050</v>
      </c>
      <c r="P1009">
        <v>16</v>
      </c>
      <c r="Q1009">
        <v>4</v>
      </c>
      <c r="R10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09">
        <v>0.68</v>
      </c>
      <c r="T10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09">
        <v>0</v>
      </c>
      <c r="V1009" t="s">
        <v>1582</v>
      </c>
    </row>
    <row r="1010" spans="1:22" x14ac:dyDescent="0.35">
      <c r="A1010" t="s">
        <v>1583</v>
      </c>
      <c r="B1010" s="2">
        <v>45477</v>
      </c>
      <c r="C1010" t="str" cm="1">
        <f t="array" ref="C10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0">
        <f>YEAR(AllDataCorrected[[#This Row],[Date]])</f>
        <v>2024</v>
      </c>
      <c r="E1010" s="1">
        <v>0.60416666666666663</v>
      </c>
      <c r="F10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0" t="str">
        <f>_xlfn.XLOOKUP(AllDataCorrected[[#This Row],[Location Name]], Locations[Location Name],Locations[Group As])</f>
        <v>Swiffen Bank</v>
      </c>
      <c r="H1010" t="e" vm="1">
        <f>_xlfn.XLOOKUP(AllDataCorrected[[#This Row],[Site Name]],LocationsKey[Site Name],LocationsKey[District])</f>
        <v>#VALUE!</v>
      </c>
      <c r="I1010" t="e" vm="2">
        <f>_xlfn.XLOOKUP(AllDataCorrected[[#This Row],[Site Name]],LocationsKey[Site Name],LocationsKey[Town])</f>
        <v>#VALUE!</v>
      </c>
      <c r="J1010" t="str">
        <f>_xlfn.XLOOKUP(AllDataCorrected[[#This Row],[Site Name]],LocationsKey[Site Name], LocationsKey[Waterway])</f>
        <v>Avon</v>
      </c>
      <c r="K1010" t="s">
        <v>286</v>
      </c>
      <c r="L1010">
        <f>_xlfn.XLOOKUP(AllDataCorrected[[#This Row],[Site Name]],Tables!$B$12:$B$100, Tables!C$12:C$100)</f>
        <v>52.206649805555557</v>
      </c>
      <c r="M1010">
        <f>_xlfn.XLOOKUP(AllDataCorrected[[#This Row],[Site Name]],Tables!$B$12:$B$100, Tables!D$12:D$100)</f>
        <v>-1.6541018611111094</v>
      </c>
      <c r="N1010" t="s">
        <v>31</v>
      </c>
      <c r="O1010">
        <v>776</v>
      </c>
      <c r="P1010">
        <v>18.5</v>
      </c>
      <c r="Q1010">
        <v>10</v>
      </c>
      <c r="R10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0">
        <v>0.56999999999999995</v>
      </c>
      <c r="T10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0">
        <v>0</v>
      </c>
    </row>
    <row r="1011" spans="1:22" x14ac:dyDescent="0.35">
      <c r="A1011" t="s">
        <v>1584</v>
      </c>
      <c r="B1011" s="2">
        <v>45477</v>
      </c>
      <c r="C1011" t="str" cm="1">
        <f t="array" ref="C10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1">
        <f>YEAR(AllDataCorrected[[#This Row],[Date]])</f>
        <v>2024</v>
      </c>
      <c r="E1011" s="1">
        <v>0.61875000000000002</v>
      </c>
      <c r="F10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1" t="str">
        <f>_xlfn.XLOOKUP(AllDataCorrected[[#This Row],[Location Name]], Locations[Location Name],Locations[Group As])</f>
        <v>Alveston Weir</v>
      </c>
      <c r="H1011" t="e" vm="1">
        <f>_xlfn.XLOOKUP(AllDataCorrected[[#This Row],[Site Name]],LocationsKey[Site Name],LocationsKey[District])</f>
        <v>#VALUE!</v>
      </c>
      <c r="I1011" t="e" vm="2">
        <f>_xlfn.XLOOKUP(AllDataCorrected[[#This Row],[Site Name]],LocationsKey[Site Name],LocationsKey[Town])</f>
        <v>#VALUE!</v>
      </c>
      <c r="J1011" t="str">
        <f>_xlfn.XLOOKUP(AllDataCorrected[[#This Row],[Site Name]],LocationsKey[Site Name], LocationsKey[Waterway])</f>
        <v>Avon</v>
      </c>
      <c r="K1011" t="s">
        <v>288</v>
      </c>
      <c r="L1011">
        <f>_xlfn.XLOOKUP(AllDataCorrected[[#This Row],[Site Name]],Tables!$B$12:$B$100, Tables!C$12:C$100)</f>
        <v>52.21226301333337</v>
      </c>
      <c r="M1011">
        <f>_xlfn.XLOOKUP(AllDataCorrected[[#This Row],[Site Name]],Tables!$B$12:$B$100, Tables!D$12:D$100)</f>
        <v>-1.6595226800000011</v>
      </c>
      <c r="N1011" t="s">
        <v>31</v>
      </c>
      <c r="O1011">
        <v>767</v>
      </c>
      <c r="P1011">
        <v>17.600000000000001</v>
      </c>
      <c r="Q1011">
        <v>5</v>
      </c>
      <c r="R10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1">
        <v>0.5</v>
      </c>
      <c r="T101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1">
        <v>0</v>
      </c>
    </row>
    <row r="1012" spans="1:22" x14ac:dyDescent="0.35">
      <c r="A1012" t="s">
        <v>1585</v>
      </c>
      <c r="B1012" s="2">
        <v>45477</v>
      </c>
      <c r="C1012" t="str" cm="1">
        <f t="array" ref="C10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2">
        <f>YEAR(AllDataCorrected[[#This Row],[Date]])</f>
        <v>2024</v>
      </c>
      <c r="E1012" s="1">
        <v>0.70833333333333337</v>
      </c>
      <c r="F101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2" t="str">
        <f>_xlfn.XLOOKUP(AllDataCorrected[[#This Row],[Location Name]], Locations[Location Name],Locations[Group As])</f>
        <v>Stour Newbold Mill</v>
      </c>
      <c r="H1012" t="e" vm="1">
        <f>_xlfn.XLOOKUP(AllDataCorrected[[#This Row],[Site Name]],LocationsKey[Site Name],LocationsKey[District])</f>
        <v>#VALUE!</v>
      </c>
      <c r="I1012" t="e" vm="27">
        <f>_xlfn.XLOOKUP(AllDataCorrected[[#This Row],[Site Name]],LocationsKey[Site Name],LocationsKey[Town])</f>
        <v>#VALUE!</v>
      </c>
      <c r="J1012" t="str">
        <f>_xlfn.XLOOKUP(AllDataCorrected[[#This Row],[Site Name]],LocationsKey[Site Name], LocationsKey[Waterway])</f>
        <v>Stour</v>
      </c>
      <c r="K1012" t="s">
        <v>141</v>
      </c>
      <c r="L1012">
        <f>_xlfn.XLOOKUP(AllDataCorrected[[#This Row],[Site Name]],Tables!$B$12:$B$100, Tables!C$12:C$100)</f>
        <v>52.113052370370369</v>
      </c>
      <c r="M1012">
        <f>_xlfn.XLOOKUP(AllDataCorrected[[#This Row],[Site Name]],Tables!$B$12:$B$100, Tables!D$12:D$100)</f>
        <v>-1.6333685185185181</v>
      </c>
      <c r="N1012" t="s">
        <v>31</v>
      </c>
      <c r="O1012">
        <v>656</v>
      </c>
      <c r="P1012">
        <v>16.100000000000001</v>
      </c>
      <c r="Q1012">
        <v>2</v>
      </c>
      <c r="R1012" t="str">
        <f>IF(AllDataCorrected[[#This Row],[Nitrate (PPM)]]&gt;2, "4. Very high (&gt;2ppm)", IF(AllDataCorrected[[#This Row],[Nitrate (PPM)]]&gt;1, "3. High (1-2ppm)", IF(AllDataCorrected[[#This Row],[Nitrate (PPM)]]&gt;0.5, "2. Some evidence (0.5-1ppm)", IF(AllDataCorrected[[#This Row],[Nitrate (PPM)]]&gt;=0, "1. No evidence (&lt;0.5ppm)"))))</f>
        <v>3. High (1-2ppm)</v>
      </c>
      <c r="S1012">
        <v>0.42</v>
      </c>
      <c r="T10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2">
        <v>2</v>
      </c>
      <c r="V1012" t="s">
        <v>1586</v>
      </c>
    </row>
    <row r="1013" spans="1:22" x14ac:dyDescent="0.35">
      <c r="A1013" t="s">
        <v>1587</v>
      </c>
      <c r="B1013" s="2">
        <v>45477</v>
      </c>
      <c r="C1013" t="str" cm="1">
        <f t="array" ref="C10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3">
        <f>YEAR(AllDataCorrected[[#This Row],[Date]])</f>
        <v>2024</v>
      </c>
      <c r="E1013" s="1">
        <v>0.78749999999999998</v>
      </c>
      <c r="F101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13" t="str">
        <f>_xlfn.XLOOKUP(AllDataCorrected[[#This Row],[Location Name]], Locations[Location Name],Locations[Group As])</f>
        <v>Preston-on-Stour River Bridge</v>
      </c>
      <c r="H1013" t="e" vm="1">
        <f>_xlfn.XLOOKUP(AllDataCorrected[[#This Row],[Site Name]],LocationsKey[Site Name],LocationsKey[District])</f>
        <v>#VALUE!</v>
      </c>
      <c r="I1013" t="e" vm="20">
        <f>_xlfn.XLOOKUP(AllDataCorrected[[#This Row],[Site Name]],LocationsKey[Site Name],LocationsKey[Town])</f>
        <v>#VALUE!</v>
      </c>
      <c r="J1013" t="str">
        <f>_xlfn.XLOOKUP(AllDataCorrected[[#This Row],[Site Name]],LocationsKey[Site Name], LocationsKey[Waterway])</f>
        <v>Stour</v>
      </c>
      <c r="K1013" t="s">
        <v>164</v>
      </c>
      <c r="L1013">
        <f>_xlfn.XLOOKUP(AllDataCorrected[[#This Row],[Site Name]],Tables!$B$12:$B$100, Tables!C$12:C$100)</f>
        <v>52.146672352941174</v>
      </c>
      <c r="M1013">
        <f>_xlfn.XLOOKUP(AllDataCorrected[[#This Row],[Site Name]],Tables!$B$12:$B$100, Tables!D$12:D$100)</f>
        <v>-1.6984533333333334</v>
      </c>
      <c r="N1013" t="s">
        <v>31</v>
      </c>
      <c r="O1013">
        <v>664</v>
      </c>
      <c r="P1013">
        <v>15.9</v>
      </c>
      <c r="Q1013">
        <v>8</v>
      </c>
      <c r="R10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3">
        <v>0.42</v>
      </c>
      <c r="T101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13">
        <v>2.5</v>
      </c>
      <c r="V1013" t="s">
        <v>1588</v>
      </c>
    </row>
    <row r="1014" spans="1:22" x14ac:dyDescent="0.35">
      <c r="A1014" t="s">
        <v>1589</v>
      </c>
      <c r="B1014" s="2">
        <v>45478</v>
      </c>
      <c r="C1014" t="str" cm="1">
        <f t="array" ref="C10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4">
        <f>YEAR(AllDataCorrected[[#This Row],[Date]])</f>
        <v>2024</v>
      </c>
      <c r="E1014" s="1">
        <v>0.45833333333333331</v>
      </c>
      <c r="F10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4" t="str">
        <f>_xlfn.XLOOKUP(AllDataCorrected[[#This Row],[Location Name]], Locations[Location Name],Locations[Group As])</f>
        <v>Carrant Back Lane Beckford</v>
      </c>
      <c r="H1014" t="e" vm="4">
        <f>_xlfn.XLOOKUP(AllDataCorrected[[#This Row],[Site Name]],LocationsKey[Site Name],LocationsKey[District])</f>
        <v>#VALUE!</v>
      </c>
      <c r="I1014" t="str">
        <f>_xlfn.XLOOKUP(AllDataCorrected[[#This Row],[Site Name]],LocationsKey[Site Name],LocationsKey[Town])</f>
        <v>Beckford</v>
      </c>
      <c r="J1014" t="str">
        <f>_xlfn.XLOOKUP(AllDataCorrected[[#This Row],[Site Name]],LocationsKey[Site Name], LocationsKey[Waterway])</f>
        <v>Carrant</v>
      </c>
      <c r="K1014" t="s">
        <v>1535</v>
      </c>
      <c r="L1014">
        <f>_xlfn.XLOOKUP(AllDataCorrected[[#This Row],[Site Name]],Tables!$B$12:$B$100, Tables!C$12:C$100)</f>
        <v>52.018128913043483</v>
      </c>
      <c r="M1014">
        <f>_xlfn.XLOOKUP(AllDataCorrected[[#This Row],[Site Name]],Tables!$B$12:$B$100, Tables!D$12:D$100)</f>
        <v>-2.0388751739130435</v>
      </c>
      <c r="N1014" t="s">
        <v>68</v>
      </c>
      <c r="O1014">
        <v>770</v>
      </c>
      <c r="P1014">
        <v>16.899999999999999</v>
      </c>
      <c r="Q1014">
        <v>8</v>
      </c>
      <c r="R10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4">
        <v>0.62</v>
      </c>
      <c r="T10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4">
        <v>0.03</v>
      </c>
      <c r="V1014" t="s">
        <v>1590</v>
      </c>
    </row>
    <row r="1015" spans="1:22" x14ac:dyDescent="0.35">
      <c r="A1015" t="s">
        <v>1595</v>
      </c>
      <c r="B1015" s="2">
        <v>45479</v>
      </c>
      <c r="C1015" t="str" cm="1">
        <f t="array" ref="C10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5">
        <f>YEAR(AllDataCorrected[[#This Row],[Date]])</f>
        <v>2024</v>
      </c>
      <c r="E1015" s="1">
        <v>0.41666666666666669</v>
      </c>
      <c r="F10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5" t="str">
        <f>_xlfn.XLOOKUP(AllDataCorrected[[#This Row],[Location Name]], Locations[Location Name],Locations[Group As])</f>
        <v>Avon Smiths Meadow Wyre Piddle</v>
      </c>
      <c r="H1015" t="e" vm="6">
        <f>_xlfn.XLOOKUP(AllDataCorrected[[#This Row],[Site Name]],LocationsKey[Site Name],LocationsKey[District])</f>
        <v>#VALUE!</v>
      </c>
      <c r="I1015" t="e" vm="13">
        <f>_xlfn.XLOOKUP(AllDataCorrected[[#This Row],[Site Name]],LocationsKey[Site Name],LocationsKey[Town])</f>
        <v>#VALUE!</v>
      </c>
      <c r="J1015" t="str">
        <f>_xlfn.XLOOKUP(AllDataCorrected[[#This Row],[Site Name]],LocationsKey[Site Name], LocationsKey[Waterway])</f>
        <v>Avon</v>
      </c>
      <c r="K1015" t="s">
        <v>784</v>
      </c>
      <c r="L1015">
        <f>_xlfn.XLOOKUP(AllDataCorrected[[#This Row],[Site Name]],Tables!$B$12:$B$100, Tables!C$12:C$100)</f>
        <v>52.123126101694929</v>
      </c>
      <c r="M1015">
        <f>_xlfn.XLOOKUP(AllDataCorrected[[#This Row],[Site Name]],Tables!$B$12:$B$100, Tables!D$12:D$100)</f>
        <v>-2.0572511355932215</v>
      </c>
      <c r="N1015" t="s">
        <v>25</v>
      </c>
      <c r="O1015">
        <v>1060</v>
      </c>
      <c r="P1015">
        <v>19.2</v>
      </c>
      <c r="Q1015">
        <v>5</v>
      </c>
      <c r="R10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5">
        <v>0.87</v>
      </c>
      <c r="T10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5">
        <v>0.6</v>
      </c>
      <c r="V1015" t="s">
        <v>1596</v>
      </c>
    </row>
    <row r="1016" spans="1:22" x14ac:dyDescent="0.35">
      <c r="A1016" t="s">
        <v>1597</v>
      </c>
      <c r="B1016" s="2">
        <v>45479</v>
      </c>
      <c r="C1016" t="str" cm="1">
        <f t="array" ref="C10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6">
        <f>YEAR(AllDataCorrected[[#This Row],[Date]])</f>
        <v>2024</v>
      </c>
      <c r="E1016" s="1">
        <v>0.4375</v>
      </c>
      <c r="F10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6" t="str">
        <f>_xlfn.XLOOKUP(AllDataCorrected[[#This Row],[Location Name]], Locations[Location Name],Locations[Group As])</f>
        <v>Piddle Brook Wyre Piddle Bridge</v>
      </c>
      <c r="H1016" t="e" vm="6">
        <f>_xlfn.XLOOKUP(AllDataCorrected[[#This Row],[Site Name]],LocationsKey[Site Name],LocationsKey[District])</f>
        <v>#VALUE!</v>
      </c>
      <c r="I1016" t="e" vm="13">
        <f>_xlfn.XLOOKUP(AllDataCorrected[[#This Row],[Site Name]],LocationsKey[Site Name],LocationsKey[Town])</f>
        <v>#VALUE!</v>
      </c>
      <c r="J1016" t="str">
        <f>_xlfn.XLOOKUP(AllDataCorrected[[#This Row],[Site Name]],LocationsKey[Site Name], LocationsKey[Waterway])</f>
        <v>Piddle Brook</v>
      </c>
      <c r="K1016" t="s">
        <v>787</v>
      </c>
      <c r="L1016">
        <f>_xlfn.XLOOKUP(AllDataCorrected[[#This Row],[Site Name]],Tables!$B$12:$B$100, Tables!C$12:C$100)</f>
        <v>52.126394500000039</v>
      </c>
      <c r="M1016">
        <f>_xlfn.XLOOKUP(AllDataCorrected[[#This Row],[Site Name]],Tables!$B$12:$B$100, Tables!D$12:D$100)</f>
        <v>-2.0564211206896545</v>
      </c>
      <c r="N1016" t="s">
        <v>25</v>
      </c>
      <c r="O1016">
        <v>1650</v>
      </c>
      <c r="P1016">
        <v>14</v>
      </c>
      <c r="Q1016">
        <v>10</v>
      </c>
      <c r="R10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6">
        <v>1.1299999999999999</v>
      </c>
      <c r="T10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6">
        <v>0.19</v>
      </c>
      <c r="V1016" t="s">
        <v>1598</v>
      </c>
    </row>
    <row r="1017" spans="1:22" x14ac:dyDescent="0.35">
      <c r="A1017" t="s">
        <v>1599</v>
      </c>
      <c r="B1017" s="2">
        <v>45479</v>
      </c>
      <c r="C1017" t="str" cm="1">
        <f t="array" ref="C10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7">
        <f>YEAR(AllDataCorrected[[#This Row],[Date]])</f>
        <v>2024</v>
      </c>
      <c r="E1017" s="1">
        <v>0.52083333333333337</v>
      </c>
      <c r="F10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17" t="str">
        <f>_xlfn.XLOOKUP(AllDataCorrected[[#This Row],[Location Name]], Locations[Location Name],Locations[Group As])</f>
        <v>Carrant Bredon Rd</v>
      </c>
      <c r="H1017" t="e" vm="4">
        <f>_xlfn.XLOOKUP(AllDataCorrected[[#This Row],[Site Name]],LocationsKey[Site Name],LocationsKey[District])</f>
        <v>#VALUE!</v>
      </c>
      <c r="I1017" t="e" vm="4">
        <f>_xlfn.XLOOKUP(AllDataCorrected[[#This Row],[Site Name]],LocationsKey[Site Name],LocationsKey[Town])</f>
        <v>#VALUE!</v>
      </c>
      <c r="J1017" t="str">
        <f>_xlfn.XLOOKUP(AllDataCorrected[[#This Row],[Site Name]],LocationsKey[Site Name], LocationsKey[Waterway])</f>
        <v>Carrant</v>
      </c>
      <c r="K1017" t="s">
        <v>603</v>
      </c>
      <c r="L1017">
        <f>_xlfn.XLOOKUP(AllDataCorrected[[#This Row],[Site Name]],Tables!$B$12:$B$100, Tables!C$12:C$100)</f>
        <v>51.996322536231894</v>
      </c>
      <c r="M1017">
        <f>_xlfn.XLOOKUP(AllDataCorrected[[#This Row],[Site Name]],Tables!$B$12:$B$100, Tables!D$12:D$100)</f>
        <v>-2.1558410144927538</v>
      </c>
      <c r="N1017" t="s">
        <v>25</v>
      </c>
      <c r="O1017">
        <v>414</v>
      </c>
      <c r="P1017">
        <v>15.3</v>
      </c>
      <c r="Q1017">
        <v>4</v>
      </c>
      <c r="R10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7">
        <v>0.67</v>
      </c>
      <c r="T10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7">
        <v>0.1</v>
      </c>
      <c r="V1017" t="s">
        <v>1600</v>
      </c>
    </row>
    <row r="1018" spans="1:22" x14ac:dyDescent="0.35">
      <c r="A1018" t="s">
        <v>1602</v>
      </c>
      <c r="B1018" s="2">
        <v>45480</v>
      </c>
      <c r="C1018" t="str" cm="1">
        <f t="array" ref="C10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8">
        <f>YEAR(AllDataCorrected[[#This Row],[Date]])</f>
        <v>2024</v>
      </c>
      <c r="E1018" s="1">
        <v>0.42708333333333331</v>
      </c>
      <c r="F10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8" t="str">
        <f>_xlfn.XLOOKUP(AllDataCorrected[[#This Row],[Location Name]], Locations[Location Name],Locations[Group As])</f>
        <v>Sherbourne Brook 1</v>
      </c>
      <c r="H1018" t="e" vm="1">
        <f>_xlfn.XLOOKUP(AllDataCorrected[[#This Row],[Site Name]],LocationsKey[Site Name],LocationsKey[District])</f>
        <v>#VALUE!</v>
      </c>
      <c r="I1018" t="e" vm="23">
        <f>_xlfn.XLOOKUP(AllDataCorrected[[#This Row],[Site Name]],LocationsKey[Site Name],LocationsKey[Town])</f>
        <v>#VALUE!</v>
      </c>
      <c r="J1018" t="str">
        <f>_xlfn.XLOOKUP(AllDataCorrected[[#This Row],[Site Name]],LocationsKey[Site Name], LocationsKey[Waterway])</f>
        <v>Sherbourne Brook</v>
      </c>
      <c r="K1018" t="s">
        <v>541</v>
      </c>
      <c r="L1018">
        <f>_xlfn.XLOOKUP(AllDataCorrected[[#This Row],[Site Name]],Tables!$B$12:$B$100, Tables!C$12:C$100)</f>
        <v>52.252500000000033</v>
      </c>
      <c r="M1018">
        <f>_xlfn.XLOOKUP(AllDataCorrected[[#This Row],[Site Name]],Tables!$B$12:$B$100, Tables!D$12:D$100)</f>
        <v>-1.6685000000000012</v>
      </c>
      <c r="N1018" t="s">
        <v>25</v>
      </c>
      <c r="O1018">
        <v>1120</v>
      </c>
      <c r="P1018">
        <v>14.1</v>
      </c>
      <c r="Q1018">
        <v>10</v>
      </c>
      <c r="R10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8">
        <v>0.52</v>
      </c>
      <c r="T10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8">
        <v>0.1</v>
      </c>
    </row>
    <row r="1019" spans="1:22" x14ac:dyDescent="0.35">
      <c r="A1019" t="s">
        <v>1603</v>
      </c>
      <c r="B1019" s="2">
        <v>45480</v>
      </c>
      <c r="C1019" t="str" cm="1">
        <f t="array" ref="C10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19">
        <f>YEAR(AllDataCorrected[[#This Row],[Date]])</f>
        <v>2024</v>
      </c>
      <c r="E1019" s="1">
        <v>0.4375</v>
      </c>
      <c r="F10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19" t="str">
        <f>_xlfn.XLOOKUP(AllDataCorrected[[#This Row],[Location Name]], Locations[Location Name],Locations[Group As])</f>
        <v>Bell Brook 1</v>
      </c>
      <c r="H1019" t="e" vm="1">
        <f>_xlfn.XLOOKUP(AllDataCorrected[[#This Row],[Site Name]],LocationsKey[Site Name],LocationsKey[District])</f>
        <v>#VALUE!</v>
      </c>
      <c r="I1019" t="e" vm="19">
        <f>_xlfn.XLOOKUP(AllDataCorrected[[#This Row],[Site Name]],LocationsKey[Site Name],LocationsKey[Town])</f>
        <v>#VALUE!</v>
      </c>
      <c r="J1019" t="str">
        <f>_xlfn.XLOOKUP(AllDataCorrected[[#This Row],[Site Name]],LocationsKey[Site Name], LocationsKey[Waterway])</f>
        <v>Bell Brook</v>
      </c>
      <c r="K1019" t="s">
        <v>538</v>
      </c>
      <c r="L1019">
        <f>_xlfn.XLOOKUP(AllDataCorrected[[#This Row],[Site Name]],Tables!$B$12:$B$100, Tables!C$12:C$100)</f>
        <v>52.24489999999998</v>
      </c>
      <c r="M1019">
        <f>_xlfn.XLOOKUP(AllDataCorrected[[#This Row],[Site Name]],Tables!$B$12:$B$100, Tables!D$12:D$100)</f>
        <v>-1.6617000000000013</v>
      </c>
      <c r="N1019" t="s">
        <v>25</v>
      </c>
      <c r="O1019">
        <v>708</v>
      </c>
      <c r="P1019">
        <v>15.1</v>
      </c>
      <c r="Q1019">
        <v>4</v>
      </c>
      <c r="R10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19">
        <v>0.56000000000000005</v>
      </c>
      <c r="T10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19">
        <v>0.1</v>
      </c>
    </row>
    <row r="1020" spans="1:22" x14ac:dyDescent="0.35">
      <c r="A1020" t="s">
        <v>1604</v>
      </c>
      <c r="B1020" s="2">
        <v>45480</v>
      </c>
      <c r="C1020" t="str" cm="1">
        <f t="array" ref="C10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0">
        <f>YEAR(AllDataCorrected[[#This Row],[Date]])</f>
        <v>2024</v>
      </c>
      <c r="E1020" s="1">
        <v>0.47291666666666665</v>
      </c>
      <c r="F10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0" t="str">
        <f>_xlfn.XLOOKUP(AllDataCorrected[[#This Row],[Location Name]], Locations[Location Name],Locations[Group As])</f>
        <v>Lower Lode</v>
      </c>
      <c r="H1020" t="e" vm="4">
        <f>_xlfn.XLOOKUP(AllDataCorrected[[#This Row],[Site Name]],LocationsKey[Site Name],LocationsKey[District])</f>
        <v>#VALUE!</v>
      </c>
      <c r="I1020" t="e" vm="4">
        <f>_xlfn.XLOOKUP(AllDataCorrected[[#This Row],[Site Name]],LocationsKey[Site Name],LocationsKey[Town])</f>
        <v>#VALUE!</v>
      </c>
      <c r="J1020" t="str">
        <f>_xlfn.XLOOKUP(AllDataCorrected[[#This Row],[Site Name]],LocationsKey[Site Name], LocationsKey[Waterway])</f>
        <v>Avon</v>
      </c>
      <c r="K1020" t="s">
        <v>595</v>
      </c>
      <c r="L1020">
        <f>_xlfn.XLOOKUP(AllDataCorrected[[#This Row],[Site Name]],Tables!$B$12:$B$100, Tables!C$12:C$100)</f>
        <v>51.984916745098026</v>
      </c>
      <c r="M1020">
        <f>_xlfn.XLOOKUP(AllDataCorrected[[#This Row],[Site Name]],Tables!$B$12:$B$100, Tables!D$12:D$100)</f>
        <v>-2.1745787647058821</v>
      </c>
      <c r="N1020" t="s">
        <v>31</v>
      </c>
      <c r="O1020">
        <v>9270</v>
      </c>
      <c r="P1020">
        <v>17.3</v>
      </c>
      <c r="Q1020">
        <v>10</v>
      </c>
      <c r="R10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0">
        <v>0.7</v>
      </c>
      <c r="T10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0">
        <v>0</v>
      </c>
    </row>
    <row r="1021" spans="1:22" x14ac:dyDescent="0.35">
      <c r="A1021" t="s">
        <v>1605</v>
      </c>
      <c r="B1021" s="2">
        <v>45480</v>
      </c>
      <c r="C1021" t="str" cm="1">
        <f t="array" ref="C10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1">
        <f>YEAR(AllDataCorrected[[#This Row],[Date]])</f>
        <v>2024</v>
      </c>
      <c r="E1021" s="1">
        <v>0.64583333333333337</v>
      </c>
      <c r="F10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21" t="str">
        <f>_xlfn.XLOOKUP(AllDataCorrected[[#This Row],[Location Name]], Locations[Location Name],Locations[Group As])</f>
        <v>Fell Mill Footbridge</v>
      </c>
      <c r="H1021" t="e" vm="1">
        <f>_xlfn.XLOOKUP(AllDataCorrected[[#This Row],[Site Name]],LocationsKey[Site Name],LocationsKey[District])</f>
        <v>#VALUE!</v>
      </c>
      <c r="I1021" t="e" vm="15">
        <f>_xlfn.XLOOKUP(AllDataCorrected[[#This Row],[Site Name]],LocationsKey[Site Name],LocationsKey[Town])</f>
        <v>#VALUE!</v>
      </c>
      <c r="J1021" t="str">
        <f>_xlfn.XLOOKUP(AllDataCorrected[[#This Row],[Site Name]],LocationsKey[Site Name], LocationsKey[Waterway])</f>
        <v>Stour</v>
      </c>
      <c r="K1021" t="s">
        <v>875</v>
      </c>
      <c r="L1021">
        <f>_xlfn.XLOOKUP(AllDataCorrected[[#This Row],[Site Name]],Tables!$B$12:$B$100, Tables!C$12:C$100)</f>
        <v>52.069044372881365</v>
      </c>
      <c r="M1021">
        <f>_xlfn.XLOOKUP(AllDataCorrected[[#This Row],[Site Name]],Tables!$B$12:$B$100, Tables!D$12:D$100)</f>
        <v>-1.6116270169491524</v>
      </c>
      <c r="N1021" t="s">
        <v>31</v>
      </c>
      <c r="O1021">
        <v>578</v>
      </c>
      <c r="P1021">
        <v>16.399999999999999</v>
      </c>
      <c r="Q1021">
        <v>5</v>
      </c>
      <c r="R10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1">
        <v>0.79</v>
      </c>
      <c r="T10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1">
        <v>1.4</v>
      </c>
    </row>
    <row r="1022" spans="1:22" x14ac:dyDescent="0.35">
      <c r="A1022" t="s">
        <v>1606</v>
      </c>
      <c r="B1022" s="2">
        <v>45480</v>
      </c>
      <c r="C1022" t="str" cm="1">
        <f t="array" ref="C10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2">
        <f>YEAR(AllDataCorrected[[#This Row],[Date]])</f>
        <v>2024</v>
      </c>
      <c r="E1022" s="1">
        <v>0.77361111111111114</v>
      </c>
      <c r="F102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22" t="str">
        <f>_xlfn.XLOOKUP(AllDataCorrected[[#This Row],[Location Name]], Locations[Location Name],Locations[Group As])</f>
        <v>Black Bear</v>
      </c>
      <c r="H1022" t="e" vm="4">
        <f>_xlfn.XLOOKUP(AllDataCorrected[[#This Row],[Site Name]],LocationsKey[Site Name],LocationsKey[District])</f>
        <v>#VALUE!</v>
      </c>
      <c r="I1022" t="e" vm="4">
        <f>_xlfn.XLOOKUP(AllDataCorrected[[#This Row],[Site Name]],LocationsKey[Site Name],LocationsKey[Town])</f>
        <v>#VALUE!</v>
      </c>
      <c r="J1022" t="str">
        <f>_xlfn.XLOOKUP(AllDataCorrected[[#This Row],[Site Name]],LocationsKey[Site Name], LocationsKey[Waterway])</f>
        <v>Avon</v>
      </c>
      <c r="K1022" t="s">
        <v>1175</v>
      </c>
      <c r="L1022">
        <f>_xlfn.XLOOKUP(AllDataCorrected[[#This Row],[Site Name]],Tables!$B$12:$B$100, Tables!C$12:C$100)</f>
        <v>51.997466254237274</v>
      </c>
      <c r="M1022">
        <f>_xlfn.XLOOKUP(AllDataCorrected[[#This Row],[Site Name]],Tables!$B$12:$B$100, Tables!D$12:D$100)</f>
        <v>-2.1561788644067801</v>
      </c>
      <c r="N1022" t="s">
        <v>25</v>
      </c>
      <c r="O1022">
        <v>976</v>
      </c>
      <c r="P1022">
        <v>20.5</v>
      </c>
      <c r="Q1022">
        <v>8</v>
      </c>
      <c r="R10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2">
        <v>0.78</v>
      </c>
      <c r="T10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2">
        <v>0</v>
      </c>
    </row>
    <row r="1023" spans="1:22" x14ac:dyDescent="0.35">
      <c r="A1023" t="s">
        <v>1607</v>
      </c>
      <c r="B1023" s="2">
        <v>45480</v>
      </c>
      <c r="C1023" t="str" cm="1">
        <f t="array" ref="C10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3">
        <f>YEAR(AllDataCorrected[[#This Row],[Date]])</f>
        <v>2024</v>
      </c>
      <c r="F1023"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3" t="str">
        <f>_xlfn.XLOOKUP(AllDataCorrected[[#This Row],[Location Name]], Locations[Location Name],Locations[Group As])</f>
        <v>Site 1  :  Middle Street</v>
      </c>
      <c r="H1023" t="e" vm="1">
        <f>_xlfn.XLOOKUP(AllDataCorrected[[#This Row],[Site Name]],LocationsKey[Site Name],LocationsKey[District])</f>
        <v>#VALUE!</v>
      </c>
      <c r="I1023" t="e" vm="14">
        <f>_xlfn.XLOOKUP(AllDataCorrected[[#This Row],[Site Name]],LocationsKey[Site Name],LocationsKey[Town])</f>
        <v>#VALUE!</v>
      </c>
      <c r="J1023" t="str">
        <f>_xlfn.XLOOKUP(AllDataCorrected[[#This Row],[Site Name]],LocationsKey[Site Name], LocationsKey[Waterway])</f>
        <v>Fosseway Brook</v>
      </c>
      <c r="K1023" t="s">
        <v>667</v>
      </c>
      <c r="L1023">
        <f>_xlfn.XLOOKUP(AllDataCorrected[[#This Row],[Site Name]],Tables!$B$12:$B$100, Tables!C$12:C$100)</f>
        <v>52.090081855670022</v>
      </c>
      <c r="M1023">
        <f>_xlfn.XLOOKUP(AllDataCorrected[[#This Row],[Site Name]],Tables!$B$12:$B$100, Tables!D$12:D$100)</f>
        <v>-1.6925771134020597</v>
      </c>
      <c r="N1023" t="s">
        <v>68</v>
      </c>
      <c r="O1023">
        <v>620</v>
      </c>
      <c r="P1023">
        <v>16.5</v>
      </c>
      <c r="Q1023">
        <v>2</v>
      </c>
      <c r="R1023" t="str">
        <f>IF(AllDataCorrected[[#This Row],[Nitrate (PPM)]]&gt;2, "4. Very high (&gt;2ppm)", IF(AllDataCorrected[[#This Row],[Nitrate (PPM)]]&gt;1, "3. High (1-2ppm)", IF(AllDataCorrected[[#This Row],[Nitrate (PPM)]]&gt;0.5, "2. Some evidence (0.5-1ppm)", IF(AllDataCorrected[[#This Row],[Nitrate (PPM)]]&gt;=0, "1. No evidence (&lt;0.5ppm)"))))</f>
        <v>3. High (1-2ppm)</v>
      </c>
      <c r="S1023">
        <v>0.15</v>
      </c>
      <c r="T10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23">
        <v>0</v>
      </c>
      <c r="V1023" t="s">
        <v>1608</v>
      </c>
    </row>
    <row r="1024" spans="1:22" x14ac:dyDescent="0.35">
      <c r="A1024" t="s">
        <v>1609</v>
      </c>
      <c r="B1024" s="2">
        <v>45480</v>
      </c>
      <c r="C1024" t="str" cm="1">
        <f t="array" ref="C10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4">
        <f>YEAR(AllDataCorrected[[#This Row],[Date]])</f>
        <v>2024</v>
      </c>
      <c r="F1024"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4" t="str">
        <f>_xlfn.XLOOKUP(AllDataCorrected[[#This Row],[Location Name]], Locations[Location Name],Locations[Group As])</f>
        <v>Site 1  :  Middle Street</v>
      </c>
      <c r="H1024" t="e" vm="1">
        <f>_xlfn.XLOOKUP(AllDataCorrected[[#This Row],[Site Name]],LocationsKey[Site Name],LocationsKey[District])</f>
        <v>#VALUE!</v>
      </c>
      <c r="I1024" t="e" vm="14">
        <f>_xlfn.XLOOKUP(AllDataCorrected[[#This Row],[Site Name]],LocationsKey[Site Name],LocationsKey[Town])</f>
        <v>#VALUE!</v>
      </c>
      <c r="J1024" t="str">
        <f>_xlfn.XLOOKUP(AllDataCorrected[[#This Row],[Site Name]],LocationsKey[Site Name], LocationsKey[Waterway])</f>
        <v>Fosseway Brook</v>
      </c>
      <c r="K1024" t="s">
        <v>670</v>
      </c>
      <c r="L1024">
        <f>_xlfn.XLOOKUP(AllDataCorrected[[#This Row],[Site Name]],Tables!$B$12:$B$100, Tables!C$12:C$100)</f>
        <v>52.090081855670022</v>
      </c>
      <c r="M1024">
        <f>_xlfn.XLOOKUP(AllDataCorrected[[#This Row],[Site Name]],Tables!$B$12:$B$100, Tables!D$12:D$100)</f>
        <v>-1.6925771134020597</v>
      </c>
      <c r="N1024" t="s">
        <v>68</v>
      </c>
      <c r="O1024">
        <v>620</v>
      </c>
      <c r="P1024">
        <v>16.5</v>
      </c>
      <c r="Q1024">
        <v>2</v>
      </c>
      <c r="R1024" t="str">
        <f>IF(AllDataCorrected[[#This Row],[Nitrate (PPM)]]&gt;2, "4. Very high (&gt;2ppm)", IF(AllDataCorrected[[#This Row],[Nitrate (PPM)]]&gt;1, "3. High (1-2ppm)", IF(AllDataCorrected[[#This Row],[Nitrate (PPM)]]&gt;0.5, "2. Some evidence (0.5-1ppm)", IF(AllDataCorrected[[#This Row],[Nitrate (PPM)]]&gt;=0, "1. No evidence (&lt;0.5ppm)"))))</f>
        <v>3. High (1-2ppm)</v>
      </c>
      <c r="S1024">
        <v>0.15</v>
      </c>
      <c r="T102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1024" t="s">
        <v>1610</v>
      </c>
    </row>
    <row r="1025" spans="1:22" x14ac:dyDescent="0.35">
      <c r="A1025" t="s">
        <v>1611</v>
      </c>
      <c r="B1025" s="2">
        <v>45480</v>
      </c>
      <c r="C1025" t="str" cm="1">
        <f t="array" ref="C10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5">
        <f>YEAR(AllDataCorrected[[#This Row],[Date]])</f>
        <v>2024</v>
      </c>
      <c r="F1025"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5" t="str">
        <f>_xlfn.XLOOKUP(AllDataCorrected[[#This Row],[Location Name]], Locations[Location Name],Locations[Group As])</f>
        <v>Site 2  :  Cross Leys culvert</v>
      </c>
      <c r="H1025" t="e" vm="1">
        <f>_xlfn.XLOOKUP(AllDataCorrected[[#This Row],[Site Name]],LocationsKey[Site Name],LocationsKey[District])</f>
        <v>#VALUE!</v>
      </c>
      <c r="I1025" t="e" vm="14">
        <f>_xlfn.XLOOKUP(AllDataCorrected[[#This Row],[Site Name]],LocationsKey[Site Name],LocationsKey[Town])</f>
        <v>#VALUE!</v>
      </c>
      <c r="J1025" t="str">
        <f>_xlfn.XLOOKUP(AllDataCorrected[[#This Row],[Site Name]],LocationsKey[Site Name], LocationsKey[Waterway])</f>
        <v>Fosseway Brook</v>
      </c>
      <c r="K1025" t="s">
        <v>623</v>
      </c>
      <c r="L1025">
        <f>_xlfn.XLOOKUP(AllDataCorrected[[#This Row],[Site Name]],Tables!$B$12:$B$100, Tables!C$12:C$100)</f>
        <v>52.092997354838673</v>
      </c>
      <c r="M1025">
        <f>_xlfn.XLOOKUP(AllDataCorrected[[#This Row],[Site Name]],Tables!$B$12:$B$100, Tables!D$12:D$100)</f>
        <v>-1.6862254516129045</v>
      </c>
      <c r="N1025" t="s">
        <v>68</v>
      </c>
      <c r="O1025">
        <v>705</v>
      </c>
      <c r="P1025">
        <v>15.5</v>
      </c>
      <c r="Q1025">
        <v>2</v>
      </c>
      <c r="R1025" t="str">
        <f>IF(AllDataCorrected[[#This Row],[Nitrate (PPM)]]&gt;2, "4. Very high (&gt;2ppm)", IF(AllDataCorrected[[#This Row],[Nitrate (PPM)]]&gt;1, "3. High (1-2ppm)", IF(AllDataCorrected[[#This Row],[Nitrate (PPM)]]&gt;0.5, "2. Some evidence (0.5-1ppm)", IF(AllDataCorrected[[#This Row],[Nitrate (PPM)]]&gt;=0, "1. No evidence (&lt;0.5ppm)"))))</f>
        <v>3. High (1-2ppm)</v>
      </c>
      <c r="S1025">
        <v>0.34</v>
      </c>
      <c r="T10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25">
        <v>0</v>
      </c>
      <c r="V1025" t="s">
        <v>835</v>
      </c>
    </row>
    <row r="1026" spans="1:22" x14ac:dyDescent="0.35">
      <c r="A1026" t="s">
        <v>1612</v>
      </c>
      <c r="B1026" s="2">
        <v>45480</v>
      </c>
      <c r="C1026" t="str" cm="1">
        <f t="array" ref="C10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6">
        <f>YEAR(AllDataCorrected[[#This Row],[Date]])</f>
        <v>2024</v>
      </c>
      <c r="F102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6" t="str">
        <f>_xlfn.XLOOKUP(AllDataCorrected[[#This Row],[Location Name]], Locations[Location Name],Locations[Group As])</f>
        <v>Site 2  :  Cross Leys culvert</v>
      </c>
      <c r="H1026" t="e" vm="1">
        <f>_xlfn.XLOOKUP(AllDataCorrected[[#This Row],[Site Name]],LocationsKey[Site Name],LocationsKey[District])</f>
        <v>#VALUE!</v>
      </c>
      <c r="I1026" t="e" vm="14">
        <f>_xlfn.XLOOKUP(AllDataCorrected[[#This Row],[Site Name]],LocationsKey[Site Name],LocationsKey[Town])</f>
        <v>#VALUE!</v>
      </c>
      <c r="J1026" t="str">
        <f>_xlfn.XLOOKUP(AllDataCorrected[[#This Row],[Site Name]],LocationsKey[Site Name], LocationsKey[Waterway])</f>
        <v>Fosseway Brook</v>
      </c>
      <c r="K1026" t="s">
        <v>626</v>
      </c>
      <c r="L1026">
        <f>_xlfn.XLOOKUP(AllDataCorrected[[#This Row],[Site Name]],Tables!$B$12:$B$100, Tables!C$12:C$100)</f>
        <v>52.092997354838673</v>
      </c>
      <c r="M1026">
        <f>_xlfn.XLOOKUP(AllDataCorrected[[#This Row],[Site Name]],Tables!$B$12:$B$100, Tables!D$12:D$100)</f>
        <v>-1.6862254516129045</v>
      </c>
      <c r="N1026" t="s">
        <v>68</v>
      </c>
      <c r="O1026">
        <v>705</v>
      </c>
      <c r="P1026">
        <v>15.5</v>
      </c>
      <c r="Q1026">
        <v>2</v>
      </c>
      <c r="R1026" t="str">
        <f>IF(AllDataCorrected[[#This Row],[Nitrate (PPM)]]&gt;2, "4. Very high (&gt;2ppm)", IF(AllDataCorrected[[#This Row],[Nitrate (PPM)]]&gt;1, "3. High (1-2ppm)", IF(AllDataCorrected[[#This Row],[Nitrate (PPM)]]&gt;0.5, "2. Some evidence (0.5-1ppm)", IF(AllDataCorrected[[#This Row],[Nitrate (PPM)]]&gt;=0, "1. No evidence (&lt;0.5ppm)"))))</f>
        <v>3. High (1-2ppm)</v>
      </c>
      <c r="S1026">
        <v>0.34</v>
      </c>
      <c r="T10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row>
    <row r="1027" spans="1:22" x14ac:dyDescent="0.35">
      <c r="A1027" t="s">
        <v>1613</v>
      </c>
      <c r="B1027" s="2">
        <v>45480</v>
      </c>
      <c r="C1027" t="str" cm="1">
        <f t="array" ref="C10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7">
        <f>YEAR(AllDataCorrected[[#This Row],[Date]])</f>
        <v>2024</v>
      </c>
      <c r="F102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7" t="str">
        <f>_xlfn.XLOOKUP(AllDataCorrected[[#This Row],[Location Name]], Locations[Location Name],Locations[Group As])</f>
        <v>Site 3  :  Severn Trent Water processing plant outflow</v>
      </c>
      <c r="H1027" t="e" vm="1">
        <f>_xlfn.XLOOKUP(AllDataCorrected[[#This Row],[Site Name]],LocationsKey[Site Name],LocationsKey[District])</f>
        <v>#VALUE!</v>
      </c>
      <c r="I1027" t="e" vm="14">
        <f>_xlfn.XLOOKUP(AllDataCorrected[[#This Row],[Site Name]],LocationsKey[Site Name],LocationsKey[Town])</f>
        <v>#VALUE!</v>
      </c>
      <c r="J1027" t="str">
        <f>_xlfn.XLOOKUP(AllDataCorrected[[#This Row],[Site Name]],LocationsKey[Site Name], LocationsKey[Waterway])</f>
        <v>Fosseway Brook</v>
      </c>
      <c r="K1027" t="s">
        <v>673</v>
      </c>
      <c r="L1027">
        <f>_xlfn.XLOOKUP(AllDataCorrected[[#This Row],[Site Name]],Tables!$B$12:$B$100, Tables!C$12:C$100)</f>
        <v>52.130499999999998</v>
      </c>
      <c r="M1027">
        <f>_xlfn.XLOOKUP(AllDataCorrected[[#This Row],[Site Name]],Tables!$B$12:$B$100, Tables!D$12:D$100)</f>
        <v>-2.0787</v>
      </c>
      <c r="N1027" t="s">
        <v>31</v>
      </c>
      <c r="O1027">
        <v>799</v>
      </c>
      <c r="P1027">
        <v>16.899999999999999</v>
      </c>
      <c r="Q1027">
        <v>10</v>
      </c>
      <c r="R10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7">
        <v>1.06</v>
      </c>
      <c r="T10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7">
        <v>0</v>
      </c>
      <c r="V1027" t="s">
        <v>674</v>
      </c>
    </row>
    <row r="1028" spans="1:22" x14ac:dyDescent="0.35">
      <c r="A1028" t="s">
        <v>1614</v>
      </c>
      <c r="B1028" s="2">
        <v>45480</v>
      </c>
      <c r="C1028" t="str" cm="1">
        <f t="array" ref="C10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8">
        <f>YEAR(AllDataCorrected[[#This Row],[Date]])</f>
        <v>2024</v>
      </c>
      <c r="F102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28" t="str">
        <f>_xlfn.XLOOKUP(AllDataCorrected[[#This Row],[Location Name]], Locations[Location Name],Locations[Group As])</f>
        <v>Site 3  :  Severn Trent Water processing plant outflow</v>
      </c>
      <c r="H1028" t="e" vm="1">
        <f>_xlfn.XLOOKUP(AllDataCorrected[[#This Row],[Site Name]],LocationsKey[Site Name],LocationsKey[District])</f>
        <v>#VALUE!</v>
      </c>
      <c r="I1028" t="e" vm="14">
        <f>_xlfn.XLOOKUP(AllDataCorrected[[#This Row],[Site Name]],LocationsKey[Site Name],LocationsKey[Town])</f>
        <v>#VALUE!</v>
      </c>
      <c r="J1028" t="str">
        <f>_xlfn.XLOOKUP(AllDataCorrected[[#This Row],[Site Name]],LocationsKey[Site Name], LocationsKey[Waterway])</f>
        <v>Fosseway Brook</v>
      </c>
      <c r="K1028" t="s">
        <v>676</v>
      </c>
      <c r="L1028">
        <f>_xlfn.XLOOKUP(AllDataCorrected[[#This Row],[Site Name]],Tables!$B$12:$B$100, Tables!C$12:C$100)</f>
        <v>52.130499999999998</v>
      </c>
      <c r="M1028">
        <f>_xlfn.XLOOKUP(AllDataCorrected[[#This Row],[Site Name]],Tables!$B$12:$B$100, Tables!D$12:D$100)</f>
        <v>-2.0787</v>
      </c>
      <c r="N1028" t="s">
        <v>31</v>
      </c>
      <c r="O1028">
        <v>799</v>
      </c>
      <c r="P1028">
        <v>16.899999999999999</v>
      </c>
      <c r="Q1028">
        <v>10</v>
      </c>
      <c r="R10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28">
        <v>1.06</v>
      </c>
      <c r="T10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V1028" t="s">
        <v>627</v>
      </c>
    </row>
    <row r="1029" spans="1:22" x14ac:dyDescent="0.35">
      <c r="A1029" t="s">
        <v>1616</v>
      </c>
      <c r="B1029" s="2">
        <v>45481</v>
      </c>
      <c r="C1029" t="str" cm="1">
        <f t="array" ref="C10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29">
        <f>YEAR(AllDataCorrected[[#This Row],[Date]])</f>
        <v>2024</v>
      </c>
      <c r="E1029" s="1">
        <v>0.37777777777777777</v>
      </c>
      <c r="F10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29" t="str">
        <f>_xlfn.XLOOKUP(AllDataCorrected[[#This Row],[Location Name]], Locations[Location Name],Locations[Group As])</f>
        <v>Stour Stretton-on-Fosse Village</v>
      </c>
      <c r="H1029" t="e" vm="1">
        <f>_xlfn.XLOOKUP(AllDataCorrected[[#This Row],[Site Name]],LocationsKey[Site Name],LocationsKey[District])</f>
        <v>#VALUE!</v>
      </c>
      <c r="I1029" t="e" vm="30">
        <f>_xlfn.XLOOKUP(AllDataCorrected[[#This Row],[Site Name]],LocationsKey[Site Name],LocationsKey[Town])</f>
        <v>#VALUE!</v>
      </c>
      <c r="J1029" t="str">
        <f>_xlfn.XLOOKUP(AllDataCorrected[[#This Row],[Site Name]],LocationsKey[Site Name], LocationsKey[Waterway])</f>
        <v>Stour</v>
      </c>
      <c r="K1029" t="s">
        <v>548</v>
      </c>
      <c r="L1029">
        <f>_xlfn.XLOOKUP(AllDataCorrected[[#This Row],[Site Name]],Tables!$B$12:$B$100, Tables!C$12:C$100)</f>
        <v>52.046517558823531</v>
      </c>
      <c r="M1029">
        <f>_xlfn.XLOOKUP(AllDataCorrected[[#This Row],[Site Name]],Tables!$B$12:$B$100, Tables!D$12:D$100)</f>
        <v>-1.6734143529411762</v>
      </c>
      <c r="N1029" t="s">
        <v>68</v>
      </c>
      <c r="O1029">
        <v>684</v>
      </c>
      <c r="P1029">
        <v>13.1</v>
      </c>
      <c r="Q1029">
        <v>0.5</v>
      </c>
      <c r="R102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29">
        <v>2.5</v>
      </c>
      <c r="T10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29">
        <v>0.2</v>
      </c>
      <c r="V1029" t="s">
        <v>1356</v>
      </c>
    </row>
    <row r="1030" spans="1:22" x14ac:dyDescent="0.35">
      <c r="A1030" t="s">
        <v>1617</v>
      </c>
      <c r="B1030" s="2">
        <v>45481</v>
      </c>
      <c r="C1030" t="str" cm="1">
        <f t="array" ref="C10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0">
        <f>YEAR(AllDataCorrected[[#This Row],[Date]])</f>
        <v>2024</v>
      </c>
      <c r="E1030" s="1">
        <v>0.38472222222222224</v>
      </c>
      <c r="F103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0" t="str">
        <f>_xlfn.XLOOKUP(AllDataCorrected[[#This Row],[Location Name]], Locations[Location Name],Locations[Group As])</f>
        <v>Stour Stretton-on-Fosse Sewage Works</v>
      </c>
      <c r="H1030" t="e" vm="1">
        <f>_xlfn.XLOOKUP(AllDataCorrected[[#This Row],[Site Name]],LocationsKey[Site Name],LocationsKey[District])</f>
        <v>#VALUE!</v>
      </c>
      <c r="I1030" t="e" vm="30">
        <f>_xlfn.XLOOKUP(AllDataCorrected[[#This Row],[Site Name]],LocationsKey[Site Name],LocationsKey[Town])</f>
        <v>#VALUE!</v>
      </c>
      <c r="J1030" t="str">
        <f>_xlfn.XLOOKUP(AllDataCorrected[[#This Row],[Site Name]],LocationsKey[Site Name], LocationsKey[Waterway])</f>
        <v>Stour</v>
      </c>
      <c r="K1030" t="s">
        <v>337</v>
      </c>
      <c r="L1030">
        <f>_xlfn.XLOOKUP(AllDataCorrected[[#This Row],[Site Name]],Tables!$B$12:$B$100, Tables!C$12:C$100)</f>
        <v>52.045653647058828</v>
      </c>
      <c r="M1030">
        <f>_xlfn.XLOOKUP(AllDataCorrected[[#This Row],[Site Name]],Tables!$B$12:$B$100, Tables!D$12:D$100)</f>
        <v>-1.6719221470588239</v>
      </c>
      <c r="N1030" t="s">
        <v>31</v>
      </c>
      <c r="O1030">
        <v>739</v>
      </c>
      <c r="P1030">
        <v>13.7</v>
      </c>
      <c r="Q1030">
        <v>0.5</v>
      </c>
      <c r="R1030"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30">
        <v>2.5</v>
      </c>
      <c r="T10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0">
        <v>0.3</v>
      </c>
      <c r="V1030" t="s">
        <v>1356</v>
      </c>
    </row>
    <row r="1031" spans="1:22" x14ac:dyDescent="0.35">
      <c r="A1031" t="s">
        <v>1882</v>
      </c>
      <c r="B1031" s="2">
        <v>45523</v>
      </c>
      <c r="C1031" t="str" cm="1">
        <f t="array" ref="C10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1">
        <f>YEAR(AllDataCorrected[[#This Row],[Date]])</f>
        <v>2024</v>
      </c>
      <c r="E1031" s="1">
        <v>0.66666666666666663</v>
      </c>
      <c r="F103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1" t="str">
        <f>_xlfn.XLOOKUP(AllDataCorrected[[#This Row],[Location Name]], Locations[Location Name],Locations[Group As])</f>
        <v>Chipping Campden Craves</v>
      </c>
      <c r="H1031" t="e" vm="9">
        <f>_xlfn.XLOOKUP(AllDataCorrected[[#This Row],[Site Name]],LocationsKey[Site Name],LocationsKey[District])</f>
        <v>#VALUE!</v>
      </c>
      <c r="I1031" t="e" vm="10">
        <f>_xlfn.XLOOKUP(AllDataCorrected[[#This Row],[Site Name]],LocationsKey[Site Name],LocationsKey[Town])</f>
        <v>#VALUE!</v>
      </c>
      <c r="J1031" t="str">
        <f>_xlfn.XLOOKUP(AllDataCorrected[[#This Row],[Site Name]],LocationsKey[Site Name], LocationsKey[Waterway])</f>
        <v>Cam Brook</v>
      </c>
      <c r="K1031" t="s">
        <v>1845</v>
      </c>
      <c r="L1031">
        <f>_xlfn.XLOOKUP(AllDataCorrected[[#This Row],[Site Name]],Tables!$B$12:$B$100, Tables!C$12:C$100)</f>
        <v>52.047342199999981</v>
      </c>
      <c r="M1031">
        <f>_xlfn.XLOOKUP(AllDataCorrected[[#This Row],[Site Name]],Tables!$B$12:$B$100, Tables!D$12:D$100)</f>
        <v>-1.7964858000000001</v>
      </c>
      <c r="N1031" t="s">
        <v>68</v>
      </c>
      <c r="O1031">
        <v>384</v>
      </c>
      <c r="P1031">
        <v>18</v>
      </c>
      <c r="Q1031">
        <v>2</v>
      </c>
      <c r="R1031" t="str">
        <f>IF(AllDataCorrected[[#This Row],[Nitrate (PPM)]]&gt;2, "4. Very high (&gt;2ppm)", IF(AllDataCorrected[[#This Row],[Nitrate (PPM)]]&gt;1, "3. High (1-2ppm)", IF(AllDataCorrected[[#This Row],[Nitrate (PPM)]]&gt;0.5, "2. Some evidence (0.5-1ppm)", IF(AllDataCorrected[[#This Row],[Nitrate (PPM)]]&gt;=0, "1. No evidence (&lt;0.5ppm)"))))</f>
        <v>3. High (1-2ppm)</v>
      </c>
      <c r="S1031">
        <v>0.1</v>
      </c>
      <c r="T1031"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031">
        <v>17</v>
      </c>
    </row>
    <row r="1032" spans="1:22" x14ac:dyDescent="0.35">
      <c r="A1032" t="s">
        <v>1921</v>
      </c>
      <c r="B1032" s="2">
        <v>45529</v>
      </c>
      <c r="C1032" t="str" cm="1">
        <f t="array" ref="C10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2">
        <f>YEAR(AllDataCorrected[[#This Row],[Date]])</f>
        <v>2024</v>
      </c>
      <c r="E1032" s="1">
        <v>0.4201388888888889</v>
      </c>
      <c r="F10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2" t="str">
        <f>_xlfn.XLOOKUP(AllDataCorrected[[#This Row],[Location Name]], Locations[Location Name],Locations[Group As])</f>
        <v>Chipping Campden Craves</v>
      </c>
      <c r="H1032" t="e" vm="9">
        <f>_xlfn.XLOOKUP(AllDataCorrected[[#This Row],[Site Name]],LocationsKey[Site Name],LocationsKey[District])</f>
        <v>#VALUE!</v>
      </c>
      <c r="I1032" t="e" vm="10">
        <f>_xlfn.XLOOKUP(AllDataCorrected[[#This Row],[Site Name]],LocationsKey[Site Name],LocationsKey[Town])</f>
        <v>#VALUE!</v>
      </c>
      <c r="J1032" t="str">
        <f>_xlfn.XLOOKUP(AllDataCorrected[[#This Row],[Site Name]],LocationsKey[Site Name], LocationsKey[Waterway])</f>
        <v>Cam Brook</v>
      </c>
      <c r="K1032" t="s">
        <v>1797</v>
      </c>
      <c r="L1032">
        <f>_xlfn.XLOOKUP(AllDataCorrected[[#This Row],[Site Name]],Tables!$B$12:$B$100, Tables!C$12:C$100)</f>
        <v>52.047342199999981</v>
      </c>
      <c r="M1032">
        <f>_xlfn.XLOOKUP(AllDataCorrected[[#This Row],[Site Name]],Tables!$B$12:$B$100, Tables!D$12:D$100)</f>
        <v>-1.7964858000000001</v>
      </c>
      <c r="N1032" t="s">
        <v>68</v>
      </c>
      <c r="O1032">
        <v>1102</v>
      </c>
      <c r="P1032">
        <v>21.7</v>
      </c>
      <c r="Q1032">
        <v>5</v>
      </c>
      <c r="R10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2">
        <v>0.44</v>
      </c>
      <c r="T103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2">
        <v>1</v>
      </c>
    </row>
    <row r="1033" spans="1:22" x14ac:dyDescent="0.35">
      <c r="A1033" t="s">
        <v>1620</v>
      </c>
      <c r="B1033" s="2">
        <v>45481</v>
      </c>
      <c r="C1033" t="str" cm="1">
        <f t="array" ref="C10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3">
        <f>YEAR(AllDataCorrected[[#This Row],[Date]])</f>
        <v>2024</v>
      </c>
      <c r="E1033" s="1">
        <v>0.6118055555555556</v>
      </c>
      <c r="F103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3" t="str">
        <f>_xlfn.XLOOKUP(AllDataCorrected[[#This Row],[Location Name]], Locations[Location Name],Locations[Group As])</f>
        <v>Abbey Mill</v>
      </c>
      <c r="H1033" t="e" vm="4">
        <f>_xlfn.XLOOKUP(AllDataCorrected[[#This Row],[Site Name]],LocationsKey[Site Name],LocationsKey[District])</f>
        <v>#VALUE!</v>
      </c>
      <c r="I1033" t="e" vm="4">
        <f>_xlfn.XLOOKUP(AllDataCorrected[[#This Row],[Site Name]],LocationsKey[Site Name],LocationsKey[Town])</f>
        <v>#VALUE!</v>
      </c>
      <c r="J1033" t="str">
        <f>_xlfn.XLOOKUP(AllDataCorrected[[#This Row],[Site Name]],LocationsKey[Site Name], LocationsKey[Waterway])</f>
        <v>Avon</v>
      </c>
      <c r="K1033" t="s">
        <v>27</v>
      </c>
      <c r="L1033">
        <f>_xlfn.XLOOKUP(AllDataCorrected[[#This Row],[Site Name]],Tables!$B$12:$B$100, Tables!C$12:C$100)</f>
        <v>51.991313075757589</v>
      </c>
      <c r="M1033">
        <f>_xlfn.XLOOKUP(AllDataCorrected[[#This Row],[Site Name]],Tables!$B$12:$B$100, Tables!D$12:D$100)</f>
        <v>-2.1621998181818181</v>
      </c>
      <c r="N1033" t="s">
        <v>25</v>
      </c>
      <c r="O1033">
        <v>1020</v>
      </c>
      <c r="P1033">
        <v>18.600000000000001</v>
      </c>
      <c r="Q1033">
        <v>10</v>
      </c>
      <c r="R10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3">
        <v>0.95</v>
      </c>
      <c r="T10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3">
        <v>0.5</v>
      </c>
    </row>
    <row r="1034" spans="1:22" x14ac:dyDescent="0.35">
      <c r="A1034" t="s">
        <v>1623</v>
      </c>
      <c r="B1034" s="2">
        <v>45483</v>
      </c>
      <c r="C1034" t="str" cm="1">
        <f t="array" ref="C10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4">
        <f>YEAR(AllDataCorrected[[#This Row],[Date]])</f>
        <v>2024</v>
      </c>
      <c r="E1034" s="1">
        <v>0.45069444444444445</v>
      </c>
      <c r="F10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4" t="str">
        <f>_xlfn.XLOOKUP(AllDataCorrected[[#This Row],[Location Name]], Locations[Location Name],Locations[Group As])</f>
        <v>Bredon Dock Lane</v>
      </c>
      <c r="H1034" t="e" vm="4">
        <f>_xlfn.XLOOKUP(AllDataCorrected[[#This Row],[Site Name]],LocationsKey[Site Name],LocationsKey[District])</f>
        <v>#VALUE!</v>
      </c>
      <c r="I1034" t="e" vm="11">
        <f>_xlfn.XLOOKUP(AllDataCorrected[[#This Row],[Site Name]],LocationsKey[Site Name],LocationsKey[Town])</f>
        <v>#VALUE!</v>
      </c>
      <c r="J1034" t="str">
        <f>_xlfn.XLOOKUP(AllDataCorrected[[#This Row],[Site Name]],LocationsKey[Site Name], LocationsKey[Waterway])</f>
        <v>Avon</v>
      </c>
      <c r="K1034" t="s">
        <v>1624</v>
      </c>
      <c r="L1034">
        <f>_xlfn.XLOOKUP(AllDataCorrected[[#This Row],[Site Name]],Tables!$B$12:$B$100, Tables!C$12:C$100)</f>
        <v>52.033540000000002</v>
      </c>
      <c r="M1034">
        <f>_xlfn.XLOOKUP(AllDataCorrected[[#This Row],[Site Name]],Tables!$B$12:$B$100, Tables!D$12:D$100)</f>
        <v>-2.116123</v>
      </c>
      <c r="N1034" t="s">
        <v>25</v>
      </c>
      <c r="O1034">
        <v>964</v>
      </c>
      <c r="P1034">
        <v>19.100000000000001</v>
      </c>
      <c r="Q1034">
        <v>10</v>
      </c>
      <c r="R10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4">
        <v>0.88</v>
      </c>
      <c r="T10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4">
        <v>0</v>
      </c>
    </row>
    <row r="1035" spans="1:22" x14ac:dyDescent="0.35">
      <c r="A1035" t="s">
        <v>1625</v>
      </c>
      <c r="B1035" s="2">
        <v>45483</v>
      </c>
      <c r="C1035" t="str" cm="1">
        <f t="array" ref="C10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5">
        <f>YEAR(AllDataCorrected[[#This Row],[Date]])</f>
        <v>2024</v>
      </c>
      <c r="E1035" s="1">
        <v>0.4861111111111111</v>
      </c>
      <c r="F10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5" t="str">
        <f>_xlfn.XLOOKUP(AllDataCorrected[[#This Row],[Location Name]], Locations[Location Name],Locations[Group As])</f>
        <v>Carrant M5 Bridge</v>
      </c>
      <c r="H1035" t="e" vm="4">
        <f>_xlfn.XLOOKUP(AllDataCorrected[[#This Row],[Site Name]],LocationsKey[Site Name],LocationsKey[District])</f>
        <v>#VALUE!</v>
      </c>
      <c r="I1035" t="e" vm="4">
        <f>_xlfn.XLOOKUP(AllDataCorrected[[#This Row],[Site Name]],LocationsKey[Site Name],LocationsKey[Town])</f>
        <v>#VALUE!</v>
      </c>
      <c r="J1035" t="str">
        <f>_xlfn.XLOOKUP(AllDataCorrected[[#This Row],[Site Name]],LocationsKey[Site Name], LocationsKey[Waterway])</f>
        <v>Carrant</v>
      </c>
      <c r="K1035" t="s">
        <v>1066</v>
      </c>
      <c r="L1035">
        <f>_xlfn.XLOOKUP(AllDataCorrected[[#This Row],[Site Name]],Tables!$B$12:$B$100, Tables!C$12:C$100)</f>
        <v>52.012994652173923</v>
      </c>
      <c r="M1035">
        <f>_xlfn.XLOOKUP(AllDataCorrected[[#This Row],[Site Name]],Tables!$B$12:$B$100, Tables!D$12:D$100)</f>
        <v>-2.1224405652173912</v>
      </c>
      <c r="N1035" t="s">
        <v>25</v>
      </c>
      <c r="O1035">
        <v>670</v>
      </c>
      <c r="P1035">
        <v>17.5</v>
      </c>
      <c r="Q1035">
        <v>4</v>
      </c>
      <c r="R10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5">
        <v>0.71</v>
      </c>
      <c r="T10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5">
        <v>0</v>
      </c>
    </row>
    <row r="1036" spans="1:22" x14ac:dyDescent="0.35">
      <c r="A1036" t="s">
        <v>1626</v>
      </c>
      <c r="B1036" s="2">
        <v>45483</v>
      </c>
      <c r="C1036" t="str" cm="1">
        <f t="array" ref="C10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6">
        <f>YEAR(AllDataCorrected[[#This Row],[Date]])</f>
        <v>2024</v>
      </c>
      <c r="E1036" s="1">
        <v>0.49861111111111112</v>
      </c>
      <c r="F10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36" t="str">
        <f>_xlfn.XLOOKUP(AllDataCorrected[[#This Row],[Location Name]], Locations[Location Name],Locations[Group As])</f>
        <v>Carrant Mitton Path</v>
      </c>
      <c r="H1036" t="e" vm="4">
        <f>_xlfn.XLOOKUP(AllDataCorrected[[#This Row],[Site Name]],LocationsKey[Site Name],LocationsKey[District])</f>
        <v>#VALUE!</v>
      </c>
      <c r="I1036" t="e" vm="4">
        <f>_xlfn.XLOOKUP(AllDataCorrected[[#This Row],[Site Name]],LocationsKey[Site Name],LocationsKey[Town])</f>
        <v>#VALUE!</v>
      </c>
      <c r="J1036" t="str">
        <f>_xlfn.XLOOKUP(AllDataCorrected[[#This Row],[Site Name]],LocationsKey[Site Name], LocationsKey[Waterway])</f>
        <v>Carrant</v>
      </c>
      <c r="K1036" t="s">
        <v>1064</v>
      </c>
      <c r="L1036">
        <f>_xlfn.XLOOKUP(AllDataCorrected[[#This Row],[Site Name]],Tables!$B$12:$B$100, Tables!C$12:C$100)</f>
        <v>52.048665</v>
      </c>
      <c r="M1036">
        <f>_xlfn.XLOOKUP(AllDataCorrected[[#This Row],[Site Name]],Tables!$B$12:$B$100, Tables!D$12:D$100)</f>
        <v>-1.7862663333333331</v>
      </c>
      <c r="N1036" t="s">
        <v>25</v>
      </c>
      <c r="O1036">
        <v>635</v>
      </c>
      <c r="P1036">
        <v>17.5</v>
      </c>
      <c r="Q1036">
        <v>5</v>
      </c>
      <c r="R10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6">
        <v>0.13</v>
      </c>
      <c r="T10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6">
        <v>0</v>
      </c>
    </row>
    <row r="1037" spans="1:22" x14ac:dyDescent="0.35">
      <c r="A1037" t="s">
        <v>1627</v>
      </c>
      <c r="B1037" s="2">
        <v>45483</v>
      </c>
      <c r="C1037" t="str" cm="1">
        <f t="array" ref="C10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7">
        <f>YEAR(AllDataCorrected[[#This Row],[Date]])</f>
        <v>2024</v>
      </c>
      <c r="E1037" s="1">
        <v>0.59375</v>
      </c>
      <c r="F103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7" t="str">
        <f>_xlfn.XLOOKUP(AllDataCorrected[[#This Row],[Location Name]], Locations[Location Name],Locations[Group As])</f>
        <v>Alveston Weir</v>
      </c>
      <c r="H1037" t="e" vm="1">
        <f>_xlfn.XLOOKUP(AllDataCorrected[[#This Row],[Site Name]],LocationsKey[Site Name],LocationsKey[District])</f>
        <v>#VALUE!</v>
      </c>
      <c r="I1037" t="e" vm="2">
        <f>_xlfn.XLOOKUP(AllDataCorrected[[#This Row],[Site Name]],LocationsKey[Site Name],LocationsKey[Town])</f>
        <v>#VALUE!</v>
      </c>
      <c r="J1037" t="str">
        <f>_xlfn.XLOOKUP(AllDataCorrected[[#This Row],[Site Name]],LocationsKey[Site Name], LocationsKey[Waterway])</f>
        <v>Avon</v>
      </c>
      <c r="K1037" t="s">
        <v>288</v>
      </c>
      <c r="L1037">
        <f>_xlfn.XLOOKUP(AllDataCorrected[[#This Row],[Site Name]],Tables!$B$12:$B$100, Tables!C$12:C$100)</f>
        <v>52.21226301333337</v>
      </c>
      <c r="M1037">
        <f>_xlfn.XLOOKUP(AllDataCorrected[[#This Row],[Site Name]],Tables!$B$12:$B$100, Tables!D$12:D$100)</f>
        <v>-1.6595226800000011</v>
      </c>
      <c r="N1037" t="s">
        <v>31</v>
      </c>
      <c r="O1037">
        <v>654</v>
      </c>
      <c r="P1037">
        <v>18.600000000000001</v>
      </c>
      <c r="Q1037">
        <v>10</v>
      </c>
      <c r="R10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7">
        <v>0.45</v>
      </c>
      <c r="T10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37">
        <v>0.5</v>
      </c>
      <c r="V1037" t="s">
        <v>1519</v>
      </c>
    </row>
    <row r="1038" spans="1:22" x14ac:dyDescent="0.35">
      <c r="A1038" t="s">
        <v>1628</v>
      </c>
      <c r="B1038" s="2">
        <v>45483</v>
      </c>
      <c r="C1038" t="str" cm="1">
        <f t="array" ref="C10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8">
        <f>YEAR(AllDataCorrected[[#This Row],[Date]])</f>
        <v>2024</v>
      </c>
      <c r="E1038" s="1">
        <v>0.60416666666666663</v>
      </c>
      <c r="F10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38" t="str">
        <f>_xlfn.XLOOKUP(AllDataCorrected[[#This Row],[Location Name]], Locations[Location Name],Locations[Group As])</f>
        <v>Swiffen Bank</v>
      </c>
      <c r="H1038" t="e" vm="1">
        <f>_xlfn.XLOOKUP(AllDataCorrected[[#This Row],[Site Name]],LocationsKey[Site Name],LocationsKey[District])</f>
        <v>#VALUE!</v>
      </c>
      <c r="I1038" t="e" vm="2">
        <f>_xlfn.XLOOKUP(AllDataCorrected[[#This Row],[Site Name]],LocationsKey[Site Name],LocationsKey[Town])</f>
        <v>#VALUE!</v>
      </c>
      <c r="J1038" t="str">
        <f>_xlfn.XLOOKUP(AllDataCorrected[[#This Row],[Site Name]],LocationsKey[Site Name], LocationsKey[Waterway])</f>
        <v>Avon</v>
      </c>
      <c r="K1038" t="s">
        <v>445</v>
      </c>
      <c r="L1038">
        <f>_xlfn.XLOOKUP(AllDataCorrected[[#This Row],[Site Name]],Tables!$B$12:$B$100, Tables!C$12:C$100)</f>
        <v>52.206649805555557</v>
      </c>
      <c r="M1038">
        <f>_xlfn.XLOOKUP(AllDataCorrected[[#This Row],[Site Name]],Tables!$B$12:$B$100, Tables!D$12:D$100)</f>
        <v>-1.6541018611111094</v>
      </c>
      <c r="N1038" t="s">
        <v>31</v>
      </c>
      <c r="O1038">
        <v>653</v>
      </c>
      <c r="P1038">
        <v>19.3</v>
      </c>
      <c r="Q1038">
        <v>10</v>
      </c>
      <c r="R10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38">
        <v>0.51</v>
      </c>
      <c r="T103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8">
        <v>0.5</v>
      </c>
    </row>
    <row r="1039" spans="1:22" x14ac:dyDescent="0.35">
      <c r="A1039" t="s">
        <v>1629</v>
      </c>
      <c r="B1039" s="2">
        <v>45483</v>
      </c>
      <c r="C1039" t="str" cm="1">
        <f t="array" ref="C10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39">
        <f>YEAR(AllDataCorrected[[#This Row],[Date]])</f>
        <v>2024</v>
      </c>
      <c r="E1039" s="1">
        <v>0.75</v>
      </c>
      <c r="F103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39" t="str">
        <f>_xlfn.XLOOKUP(AllDataCorrected[[#This Row],[Location Name]], Locations[Location Name],Locations[Group As])</f>
        <v>Stour Newbold Mill</v>
      </c>
      <c r="H1039" t="e" vm="1">
        <f>_xlfn.XLOOKUP(AllDataCorrected[[#This Row],[Site Name]],LocationsKey[Site Name],LocationsKey[District])</f>
        <v>#VALUE!</v>
      </c>
      <c r="I1039" t="e" vm="27">
        <f>_xlfn.XLOOKUP(AllDataCorrected[[#This Row],[Site Name]],LocationsKey[Site Name],LocationsKey[Town])</f>
        <v>#VALUE!</v>
      </c>
      <c r="J1039" t="str">
        <f>_xlfn.XLOOKUP(AllDataCorrected[[#This Row],[Site Name]],LocationsKey[Site Name], LocationsKey[Waterway])</f>
        <v>Stour</v>
      </c>
      <c r="K1039" t="s">
        <v>141</v>
      </c>
      <c r="L1039">
        <f>_xlfn.XLOOKUP(AllDataCorrected[[#This Row],[Site Name]],Tables!$B$12:$B$100, Tables!C$12:C$100)</f>
        <v>52.113052370370369</v>
      </c>
      <c r="M1039">
        <f>_xlfn.XLOOKUP(AllDataCorrected[[#This Row],[Site Name]],Tables!$B$12:$B$100, Tables!D$12:D$100)</f>
        <v>-1.6333685185185181</v>
      </c>
      <c r="N1039" t="s">
        <v>31</v>
      </c>
      <c r="O1039">
        <v>622</v>
      </c>
      <c r="P1039">
        <v>16.8</v>
      </c>
      <c r="Q1039">
        <v>2</v>
      </c>
      <c r="R1039" t="str">
        <f>IF(AllDataCorrected[[#This Row],[Nitrate (PPM)]]&gt;2, "4. Very high (&gt;2ppm)", IF(AllDataCorrected[[#This Row],[Nitrate (PPM)]]&gt;1, "3. High (1-2ppm)", IF(AllDataCorrected[[#This Row],[Nitrate (PPM)]]&gt;0.5, "2. Some evidence (0.5-1ppm)", IF(AllDataCorrected[[#This Row],[Nitrate (PPM)]]&gt;=0, "1. No evidence (&lt;0.5ppm)"))))</f>
        <v>3. High (1-2ppm)</v>
      </c>
      <c r="S1039">
        <v>0.51</v>
      </c>
      <c r="T103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39">
        <v>2</v>
      </c>
      <c r="V1039" t="s">
        <v>1630</v>
      </c>
    </row>
    <row r="1040" spans="1:22" x14ac:dyDescent="0.35">
      <c r="A1040" t="s">
        <v>1631</v>
      </c>
      <c r="B1040" s="2">
        <v>45484</v>
      </c>
      <c r="C1040" t="str" cm="1">
        <f t="array" ref="C10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0">
        <f>YEAR(AllDataCorrected[[#This Row],[Date]])</f>
        <v>2024</v>
      </c>
      <c r="E1040" s="1">
        <v>0.35416666666666669</v>
      </c>
      <c r="F104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0" t="str">
        <f>_xlfn.XLOOKUP(AllDataCorrected[[#This Row],[Location Name]], Locations[Location Name],Locations[Group As])</f>
        <v>Swilgate</v>
      </c>
      <c r="H1040" t="e" vm="4">
        <f>_xlfn.XLOOKUP(AllDataCorrected[[#This Row],[Site Name]],LocationsKey[Site Name],LocationsKey[District])</f>
        <v>#VALUE!</v>
      </c>
      <c r="I1040" t="e" vm="4">
        <f>_xlfn.XLOOKUP(AllDataCorrected[[#This Row],[Site Name]],LocationsKey[Site Name],LocationsKey[Town])</f>
        <v>#VALUE!</v>
      </c>
      <c r="J1040" t="str">
        <f>_xlfn.XLOOKUP(AllDataCorrected[[#This Row],[Site Name]],LocationsKey[Site Name], LocationsKey[Waterway])</f>
        <v>Swilgate</v>
      </c>
      <c r="K1040" t="s">
        <v>85</v>
      </c>
      <c r="L1040">
        <f>_xlfn.XLOOKUP(AllDataCorrected[[#This Row],[Site Name]],Tables!$B$12:$B$100, Tables!C$12:C$100)</f>
        <v>51.988591500000005</v>
      </c>
      <c r="M1040">
        <f>_xlfn.XLOOKUP(AllDataCorrected[[#This Row],[Site Name]],Tables!$B$12:$B$100, Tables!D$12:D$100)</f>
        <v>-2.163898333333333</v>
      </c>
      <c r="N1040" t="s">
        <v>25</v>
      </c>
      <c r="O1040">
        <v>889</v>
      </c>
      <c r="P1040">
        <v>17.2</v>
      </c>
      <c r="Q1040">
        <v>4</v>
      </c>
      <c r="R10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0">
        <v>0.47</v>
      </c>
      <c r="T104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0">
        <v>0</v>
      </c>
    </row>
    <row r="1041" spans="1:22" x14ac:dyDescent="0.35">
      <c r="A1041" t="s">
        <v>1632</v>
      </c>
      <c r="B1041" s="2">
        <v>45484</v>
      </c>
      <c r="C1041" t="str" cm="1">
        <f t="array" ref="C10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1">
        <f>YEAR(AllDataCorrected[[#This Row],[Date]])</f>
        <v>2024</v>
      </c>
      <c r="E1041" s="1">
        <v>0.5</v>
      </c>
      <c r="F10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1" t="str">
        <f>_xlfn.XLOOKUP(AllDataCorrected[[#This Row],[Location Name]], Locations[Location Name],Locations[Group As])</f>
        <v>Stour Willington</v>
      </c>
      <c r="H1041" t="e" vm="1">
        <f>_xlfn.XLOOKUP(AllDataCorrected[[#This Row],[Site Name]],LocationsKey[Site Name],LocationsKey[District])</f>
        <v>#VALUE!</v>
      </c>
      <c r="I1041" t="str">
        <f>_xlfn.XLOOKUP(AllDataCorrected[[#This Row],[Site Name]],LocationsKey[Site Name],LocationsKey[Town])</f>
        <v>Willington</v>
      </c>
      <c r="J1041" t="str">
        <f>_xlfn.XLOOKUP(AllDataCorrected[[#This Row],[Site Name]],LocationsKey[Site Name], LocationsKey[Waterway])</f>
        <v>Stour</v>
      </c>
      <c r="K1041" t="s">
        <v>521</v>
      </c>
      <c r="L1041">
        <f>_xlfn.XLOOKUP(AllDataCorrected[[#This Row],[Site Name]],Tables!$B$12:$B$100, Tables!C$12:C$100)</f>
        <v>52.053227523809518</v>
      </c>
      <c r="M1041">
        <f>_xlfn.XLOOKUP(AllDataCorrected[[#This Row],[Site Name]],Tables!$B$12:$B$100, Tables!D$12:D$100)</f>
        <v>-1.6194739523809523</v>
      </c>
      <c r="N1041" t="s">
        <v>25</v>
      </c>
      <c r="O1041">
        <v>552</v>
      </c>
      <c r="P1041">
        <v>17.600000000000001</v>
      </c>
      <c r="Q1041">
        <v>5</v>
      </c>
      <c r="R10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1">
        <v>0.6</v>
      </c>
      <c r="T10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1">
        <v>0.5</v>
      </c>
    </row>
    <row r="1042" spans="1:22" x14ac:dyDescent="0.35">
      <c r="A1042" t="s">
        <v>1633</v>
      </c>
      <c r="B1042" s="2">
        <v>45485</v>
      </c>
      <c r="C1042" t="str" cm="1">
        <f t="array" ref="C10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2">
        <f>YEAR(AllDataCorrected[[#This Row],[Date]])</f>
        <v>2024</v>
      </c>
      <c r="E1042" s="1">
        <v>0.42708333333333331</v>
      </c>
      <c r="F104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2" t="str">
        <f>_xlfn.XLOOKUP(AllDataCorrected[[#This Row],[Location Name]], Locations[Location Name],Locations[Group As])</f>
        <v>Carrant Bredon Rd</v>
      </c>
      <c r="H1042" t="e" vm="4">
        <f>_xlfn.XLOOKUP(AllDataCorrected[[#This Row],[Site Name]],LocationsKey[Site Name],LocationsKey[District])</f>
        <v>#VALUE!</v>
      </c>
      <c r="I1042" t="e" vm="4">
        <f>_xlfn.XLOOKUP(AllDataCorrected[[#This Row],[Site Name]],LocationsKey[Site Name],LocationsKey[Town])</f>
        <v>#VALUE!</v>
      </c>
      <c r="J1042" t="str">
        <f>_xlfn.XLOOKUP(AllDataCorrected[[#This Row],[Site Name]],LocationsKey[Site Name], LocationsKey[Waterway])</f>
        <v>Carrant</v>
      </c>
      <c r="K1042" t="s">
        <v>603</v>
      </c>
      <c r="L1042">
        <f>_xlfn.XLOOKUP(AllDataCorrected[[#This Row],[Site Name]],Tables!$B$12:$B$100, Tables!C$12:C$100)</f>
        <v>51.996322536231894</v>
      </c>
      <c r="M1042">
        <f>_xlfn.XLOOKUP(AllDataCorrected[[#This Row],[Site Name]],Tables!$B$12:$B$100, Tables!D$12:D$100)</f>
        <v>-2.1558410144927538</v>
      </c>
      <c r="N1042" t="s">
        <v>25</v>
      </c>
      <c r="O1042">
        <v>613</v>
      </c>
      <c r="P1042">
        <v>16.3</v>
      </c>
      <c r="Q1042">
        <v>4</v>
      </c>
      <c r="R104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2">
        <v>0.68</v>
      </c>
      <c r="T10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2">
        <v>0.1</v>
      </c>
    </row>
    <row r="1043" spans="1:22" x14ac:dyDescent="0.35">
      <c r="A1043" t="s">
        <v>1634</v>
      </c>
      <c r="B1043" s="2">
        <v>45485</v>
      </c>
      <c r="C1043" t="str" cm="1">
        <f t="array" ref="C10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3">
        <f>YEAR(AllDataCorrected[[#This Row],[Date]])</f>
        <v>2024</v>
      </c>
      <c r="E1043" s="1">
        <v>0.43263888888888891</v>
      </c>
      <c r="F104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3" t="str">
        <f>_xlfn.XLOOKUP(AllDataCorrected[[#This Row],[Location Name]], Locations[Location Name],Locations[Group As])</f>
        <v>Mill Bridge Peopleton</v>
      </c>
      <c r="H1043" t="e" vm="6">
        <f>_xlfn.XLOOKUP(AllDataCorrected[[#This Row],[Site Name]],LocationsKey[Site Name],LocationsKey[District])</f>
        <v>#VALUE!</v>
      </c>
      <c r="I1043" t="str">
        <f>_xlfn.XLOOKUP(AllDataCorrected[[#This Row],[Site Name]],LocationsKey[Site Name],LocationsKey[Town])</f>
        <v>Peopleton</v>
      </c>
      <c r="J1043" t="str">
        <f>_xlfn.XLOOKUP(AllDataCorrected[[#This Row],[Site Name]],LocationsKey[Site Name], LocationsKey[Waterway])</f>
        <v>Bow Brook</v>
      </c>
      <c r="K1043" t="s">
        <v>1539</v>
      </c>
      <c r="L1043">
        <f>_xlfn.XLOOKUP(AllDataCorrected[[#This Row],[Site Name]],Tables!$B$12:$B$100, Tables!C$12:C$100)</f>
        <v>52.151811999999993</v>
      </c>
      <c r="M1043">
        <f>_xlfn.XLOOKUP(AllDataCorrected[[#This Row],[Site Name]],Tables!$B$12:$B$100, Tables!D$12:D$100)</f>
        <v>-2.0958865161290317</v>
      </c>
      <c r="N1043" t="s">
        <v>31</v>
      </c>
      <c r="O1043">
        <v>1040</v>
      </c>
      <c r="P1043">
        <v>16.5</v>
      </c>
      <c r="Q1043">
        <v>4</v>
      </c>
      <c r="R104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3">
        <v>1.39</v>
      </c>
      <c r="T10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3">
        <v>0.3</v>
      </c>
      <c r="V1043" t="s">
        <v>1635</v>
      </c>
    </row>
    <row r="1044" spans="1:22" x14ac:dyDescent="0.35">
      <c r="A1044" t="s">
        <v>1636</v>
      </c>
      <c r="B1044" s="2">
        <v>45485</v>
      </c>
      <c r="C1044" t="str" cm="1">
        <f t="array" ref="C10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4">
        <f>YEAR(AllDataCorrected[[#This Row],[Date]])</f>
        <v>2024</v>
      </c>
      <c r="E1044" s="1">
        <v>0.76041666666666663</v>
      </c>
      <c r="F1044"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44" t="str">
        <f>_xlfn.XLOOKUP(AllDataCorrected[[#This Row],[Location Name]], Locations[Location Name],Locations[Group As])</f>
        <v>Carrant Back Lane Beckford</v>
      </c>
      <c r="H1044" t="e" vm="4">
        <f>_xlfn.XLOOKUP(AllDataCorrected[[#This Row],[Site Name]],LocationsKey[Site Name],LocationsKey[District])</f>
        <v>#VALUE!</v>
      </c>
      <c r="I1044" t="str">
        <f>_xlfn.XLOOKUP(AllDataCorrected[[#This Row],[Site Name]],LocationsKey[Site Name],LocationsKey[Town])</f>
        <v>Beckford</v>
      </c>
      <c r="J1044" t="str">
        <f>_xlfn.XLOOKUP(AllDataCorrected[[#This Row],[Site Name]],LocationsKey[Site Name], LocationsKey[Waterway])</f>
        <v>Carrant</v>
      </c>
      <c r="K1044" t="s">
        <v>1535</v>
      </c>
      <c r="L1044">
        <f>_xlfn.XLOOKUP(AllDataCorrected[[#This Row],[Site Name]],Tables!$B$12:$B$100, Tables!C$12:C$100)</f>
        <v>52.018128913043483</v>
      </c>
      <c r="M1044">
        <f>_xlfn.XLOOKUP(AllDataCorrected[[#This Row],[Site Name]],Tables!$B$12:$B$100, Tables!D$12:D$100)</f>
        <v>-2.0388751739130435</v>
      </c>
      <c r="N1044" t="s">
        <v>68</v>
      </c>
      <c r="O1044">
        <v>772</v>
      </c>
      <c r="P1044">
        <v>16.5</v>
      </c>
      <c r="Q1044">
        <v>6</v>
      </c>
      <c r="R10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4">
        <v>0.49</v>
      </c>
      <c r="T10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4">
        <v>0.2</v>
      </c>
    </row>
    <row r="1045" spans="1:22" x14ac:dyDescent="0.35">
      <c r="A1045" t="s">
        <v>1639</v>
      </c>
      <c r="B1045" s="2">
        <v>45486</v>
      </c>
      <c r="C1045" t="str" cm="1">
        <f t="array" ref="C10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5">
        <f>YEAR(AllDataCorrected[[#This Row],[Date]])</f>
        <v>2024</v>
      </c>
      <c r="E1045" s="1">
        <v>0.41666666666666669</v>
      </c>
      <c r="F104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5" t="str">
        <f>_xlfn.XLOOKUP(AllDataCorrected[[#This Row],[Location Name]], Locations[Location Name],Locations[Group As])</f>
        <v>Avon Smiths Meadow Wyre Piddle</v>
      </c>
      <c r="H1045" t="e" vm="6">
        <f>_xlfn.XLOOKUP(AllDataCorrected[[#This Row],[Site Name]],LocationsKey[Site Name],LocationsKey[District])</f>
        <v>#VALUE!</v>
      </c>
      <c r="I1045" t="e" vm="13">
        <f>_xlfn.XLOOKUP(AllDataCorrected[[#This Row],[Site Name]],LocationsKey[Site Name],LocationsKey[Town])</f>
        <v>#VALUE!</v>
      </c>
      <c r="J1045" t="str">
        <f>_xlfn.XLOOKUP(AllDataCorrected[[#This Row],[Site Name]],LocationsKey[Site Name], LocationsKey[Waterway])</f>
        <v>Avon</v>
      </c>
      <c r="K1045" t="s">
        <v>784</v>
      </c>
      <c r="L1045">
        <f>_xlfn.XLOOKUP(AllDataCorrected[[#This Row],[Site Name]],Tables!$B$12:$B$100, Tables!C$12:C$100)</f>
        <v>52.123126101694929</v>
      </c>
      <c r="M1045">
        <f>_xlfn.XLOOKUP(AllDataCorrected[[#This Row],[Site Name]],Tables!$B$12:$B$100, Tables!D$12:D$100)</f>
        <v>-2.0572511355932215</v>
      </c>
      <c r="N1045" t="s">
        <v>25</v>
      </c>
      <c r="O1045">
        <v>835</v>
      </c>
      <c r="P1045">
        <v>13.8</v>
      </c>
      <c r="Q1045">
        <v>10</v>
      </c>
      <c r="R104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5">
        <v>0.86</v>
      </c>
      <c r="T10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5">
        <v>0.59</v>
      </c>
      <c r="V1045" t="s">
        <v>1640</v>
      </c>
    </row>
    <row r="1046" spans="1:22" x14ac:dyDescent="0.35">
      <c r="A1046" t="s">
        <v>1641</v>
      </c>
      <c r="B1046" s="2">
        <v>45486</v>
      </c>
      <c r="C1046" t="str" cm="1">
        <f t="array" ref="C10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6">
        <f>YEAR(AllDataCorrected[[#This Row],[Date]])</f>
        <v>2024</v>
      </c>
      <c r="E1046" s="1">
        <v>0.4375</v>
      </c>
      <c r="F10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6" t="str">
        <f>_xlfn.XLOOKUP(AllDataCorrected[[#This Row],[Location Name]], Locations[Location Name],Locations[Group As])</f>
        <v>Piddle Brook Wyre Piddle Bridge</v>
      </c>
      <c r="H1046" t="e" vm="6">
        <f>_xlfn.XLOOKUP(AllDataCorrected[[#This Row],[Site Name]],LocationsKey[Site Name],LocationsKey[District])</f>
        <v>#VALUE!</v>
      </c>
      <c r="I1046" t="e" vm="13">
        <f>_xlfn.XLOOKUP(AllDataCorrected[[#This Row],[Site Name]],LocationsKey[Site Name],LocationsKey[Town])</f>
        <v>#VALUE!</v>
      </c>
      <c r="J1046" t="str">
        <f>_xlfn.XLOOKUP(AllDataCorrected[[#This Row],[Site Name]],LocationsKey[Site Name], LocationsKey[Waterway])</f>
        <v>Piddle Brook</v>
      </c>
      <c r="K1046" t="s">
        <v>787</v>
      </c>
      <c r="L1046">
        <f>_xlfn.XLOOKUP(AllDataCorrected[[#This Row],[Site Name]],Tables!$B$12:$B$100, Tables!C$12:C$100)</f>
        <v>52.126394500000039</v>
      </c>
      <c r="M1046">
        <f>_xlfn.XLOOKUP(AllDataCorrected[[#This Row],[Site Name]],Tables!$B$12:$B$100, Tables!D$12:D$100)</f>
        <v>-2.0564211206896545</v>
      </c>
      <c r="N1046" t="s">
        <v>25</v>
      </c>
      <c r="O1046">
        <v>1480</v>
      </c>
      <c r="P1046">
        <v>15.7</v>
      </c>
      <c r="Q1046">
        <v>10</v>
      </c>
      <c r="R10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6">
        <v>1.18</v>
      </c>
      <c r="T10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6">
        <v>0.17</v>
      </c>
      <c r="V1046" t="s">
        <v>1642</v>
      </c>
    </row>
    <row r="1047" spans="1:22" x14ac:dyDescent="0.35">
      <c r="A1047" t="s">
        <v>1643</v>
      </c>
      <c r="B1047" s="2">
        <v>45486</v>
      </c>
      <c r="C1047" t="str" cm="1">
        <f t="array" ref="C10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7">
        <f>YEAR(AllDataCorrected[[#This Row],[Date]])</f>
        <v>2024</v>
      </c>
      <c r="E1047" s="1">
        <v>0.50624999999999998</v>
      </c>
      <c r="F104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7" t="str">
        <f>_xlfn.XLOOKUP(AllDataCorrected[[#This Row],[Location Name]], Locations[Location Name],Locations[Group As])</f>
        <v>Lower Lode</v>
      </c>
      <c r="H1047" t="e" vm="4">
        <f>_xlfn.XLOOKUP(AllDataCorrected[[#This Row],[Site Name]],LocationsKey[Site Name],LocationsKey[District])</f>
        <v>#VALUE!</v>
      </c>
      <c r="I1047" t="e" vm="4">
        <f>_xlfn.XLOOKUP(AllDataCorrected[[#This Row],[Site Name]],LocationsKey[Site Name],LocationsKey[Town])</f>
        <v>#VALUE!</v>
      </c>
      <c r="J1047" t="str">
        <f>_xlfn.XLOOKUP(AllDataCorrected[[#This Row],[Site Name]],LocationsKey[Site Name], LocationsKey[Waterway])</f>
        <v>Avon</v>
      </c>
      <c r="K1047" t="s">
        <v>595</v>
      </c>
      <c r="L1047">
        <f>_xlfn.XLOOKUP(AllDataCorrected[[#This Row],[Site Name]],Tables!$B$12:$B$100, Tables!C$12:C$100)</f>
        <v>51.984916745098026</v>
      </c>
      <c r="M1047">
        <f>_xlfn.XLOOKUP(AllDataCorrected[[#This Row],[Site Name]],Tables!$B$12:$B$100, Tables!D$12:D$100)</f>
        <v>-2.1745787647058821</v>
      </c>
      <c r="N1047" t="s">
        <v>31</v>
      </c>
      <c r="O1047">
        <v>8740</v>
      </c>
      <c r="P1047">
        <v>18.7</v>
      </c>
      <c r="Q1047">
        <v>10</v>
      </c>
      <c r="R104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7">
        <v>2.19</v>
      </c>
      <c r="T10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7">
        <v>0</v>
      </c>
      <c r="V1047" t="s">
        <v>1644</v>
      </c>
    </row>
    <row r="1048" spans="1:22" x14ac:dyDescent="0.35">
      <c r="A1048" t="s">
        <v>1645</v>
      </c>
      <c r="B1048" s="2">
        <v>45486</v>
      </c>
      <c r="C1048" t="str" cm="1">
        <f t="array" ref="C10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8">
        <f>YEAR(AllDataCorrected[[#This Row],[Date]])</f>
        <v>2024</v>
      </c>
      <c r="E1048" s="1">
        <v>0.52152777777777781</v>
      </c>
      <c r="F104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48" t="str">
        <f>_xlfn.XLOOKUP(AllDataCorrected[[#This Row],[Location Name]], Locations[Location Name],Locations[Group As])</f>
        <v>The Ford, Langley</v>
      </c>
      <c r="H1048" t="e" vm="1">
        <f>_xlfn.XLOOKUP(AllDataCorrected[[#This Row],[Site Name]],LocationsKey[Site Name],LocationsKey[District])</f>
        <v>#VALUE!</v>
      </c>
      <c r="I1048" t="str">
        <f>_xlfn.XLOOKUP(AllDataCorrected[[#This Row],[Site Name]],LocationsKey[Site Name],LocationsKey[Town])</f>
        <v>Langley</v>
      </c>
      <c r="J1048" t="str">
        <f>_xlfn.XLOOKUP(AllDataCorrected[[#This Row],[Site Name]],LocationsKey[Site Name], LocationsKey[Waterway])</f>
        <v>Langley Ford</v>
      </c>
      <c r="K1048" t="s">
        <v>561</v>
      </c>
      <c r="L1048">
        <f>_xlfn.XLOOKUP(AllDataCorrected[[#This Row],[Site Name]],Tables!$B$12:$B$100, Tables!C$12:C$100)</f>
        <v>52.262666528301864</v>
      </c>
      <c r="M1048">
        <f>_xlfn.XLOOKUP(AllDataCorrected[[#This Row],[Site Name]],Tables!$B$12:$B$100, Tables!D$12:D$100)</f>
        <v>-1.6545845283018858</v>
      </c>
      <c r="N1048" t="s">
        <v>31</v>
      </c>
      <c r="O1048">
        <v>847</v>
      </c>
      <c r="P1048">
        <v>14.8</v>
      </c>
      <c r="Q1048">
        <v>5</v>
      </c>
      <c r="R104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8">
        <v>0.55000000000000004</v>
      </c>
      <c r="T104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48">
        <v>0.1</v>
      </c>
    </row>
    <row r="1049" spans="1:22" x14ac:dyDescent="0.35">
      <c r="A1049" t="s">
        <v>1648</v>
      </c>
      <c r="B1049" s="2">
        <v>45487</v>
      </c>
      <c r="C1049" t="str" cm="1">
        <f t="array" ref="C10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49">
        <f>YEAR(AllDataCorrected[[#This Row],[Date]])</f>
        <v>2024</v>
      </c>
      <c r="E1049" s="1">
        <v>0.41666666666666669</v>
      </c>
      <c r="F104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49" t="str">
        <f>_xlfn.XLOOKUP(AllDataCorrected[[#This Row],[Location Name]], Locations[Location Name],Locations[Group As])</f>
        <v>Sherbourne Brook 1</v>
      </c>
      <c r="H1049" t="e" vm="1">
        <f>_xlfn.XLOOKUP(AllDataCorrected[[#This Row],[Site Name]],LocationsKey[Site Name],LocationsKey[District])</f>
        <v>#VALUE!</v>
      </c>
      <c r="I1049" t="e" vm="23">
        <f>_xlfn.XLOOKUP(AllDataCorrected[[#This Row],[Site Name]],LocationsKey[Site Name],LocationsKey[Town])</f>
        <v>#VALUE!</v>
      </c>
      <c r="J1049" t="str">
        <f>_xlfn.XLOOKUP(AllDataCorrected[[#This Row],[Site Name]],LocationsKey[Site Name], LocationsKey[Waterway])</f>
        <v>Sherbourne Brook</v>
      </c>
      <c r="K1049" t="s">
        <v>541</v>
      </c>
      <c r="L1049">
        <f>_xlfn.XLOOKUP(AllDataCorrected[[#This Row],[Site Name]],Tables!$B$12:$B$100, Tables!C$12:C$100)</f>
        <v>52.252500000000033</v>
      </c>
      <c r="M1049">
        <f>_xlfn.XLOOKUP(AllDataCorrected[[#This Row],[Site Name]],Tables!$B$12:$B$100, Tables!D$12:D$100)</f>
        <v>-1.6685000000000012</v>
      </c>
      <c r="N1049" t="s">
        <v>25</v>
      </c>
      <c r="O1049">
        <v>1120</v>
      </c>
      <c r="P1049">
        <v>16.100000000000001</v>
      </c>
      <c r="Q1049">
        <v>10</v>
      </c>
      <c r="R104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49">
        <v>0.42</v>
      </c>
      <c r="T10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49">
        <v>0.15</v>
      </c>
    </row>
    <row r="1050" spans="1:22" x14ac:dyDescent="0.35">
      <c r="A1050" t="s">
        <v>1649</v>
      </c>
      <c r="B1050" s="2">
        <v>45487</v>
      </c>
      <c r="C1050" t="str" cm="1">
        <f t="array" ref="C10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0">
        <f>YEAR(AllDataCorrected[[#This Row],[Date]])</f>
        <v>2024</v>
      </c>
      <c r="E1050" s="1">
        <v>0.42708333333333331</v>
      </c>
      <c r="F10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0" t="str">
        <f>_xlfn.XLOOKUP(AllDataCorrected[[#This Row],[Location Name]], Locations[Location Name],Locations[Group As])</f>
        <v>Bell Brook 1</v>
      </c>
      <c r="H1050" t="e" vm="1">
        <f>_xlfn.XLOOKUP(AllDataCorrected[[#This Row],[Site Name]],LocationsKey[Site Name],LocationsKey[District])</f>
        <v>#VALUE!</v>
      </c>
      <c r="I1050" t="e" vm="19">
        <f>_xlfn.XLOOKUP(AllDataCorrected[[#This Row],[Site Name]],LocationsKey[Site Name],LocationsKey[Town])</f>
        <v>#VALUE!</v>
      </c>
      <c r="J1050" t="str">
        <f>_xlfn.XLOOKUP(AllDataCorrected[[#This Row],[Site Name]],LocationsKey[Site Name], LocationsKey[Waterway])</f>
        <v>Bell Brook</v>
      </c>
      <c r="K1050" t="s">
        <v>538</v>
      </c>
      <c r="L1050">
        <f>_xlfn.XLOOKUP(AllDataCorrected[[#This Row],[Site Name]],Tables!$B$12:$B$100, Tables!C$12:C$100)</f>
        <v>52.24489999999998</v>
      </c>
      <c r="M1050">
        <f>_xlfn.XLOOKUP(AllDataCorrected[[#This Row],[Site Name]],Tables!$B$12:$B$100, Tables!D$12:D$100)</f>
        <v>-1.6617000000000013</v>
      </c>
      <c r="N1050" t="s">
        <v>25</v>
      </c>
      <c r="O1050">
        <v>878</v>
      </c>
      <c r="P1050">
        <v>17.8</v>
      </c>
      <c r="Q1050">
        <v>7</v>
      </c>
      <c r="R10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0">
        <v>0.53</v>
      </c>
      <c r="T10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0">
        <v>0.15</v>
      </c>
    </row>
    <row r="1051" spans="1:22" x14ac:dyDescent="0.35">
      <c r="A1051" t="s">
        <v>1650</v>
      </c>
      <c r="B1051" s="2">
        <v>45487</v>
      </c>
      <c r="C1051" t="str" cm="1">
        <f t="array" ref="C10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1">
        <f>YEAR(AllDataCorrected[[#This Row],[Date]])</f>
        <v>2024</v>
      </c>
      <c r="E1051" s="1">
        <v>0.69861111111111107</v>
      </c>
      <c r="F105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1" t="str">
        <f>_xlfn.XLOOKUP(AllDataCorrected[[#This Row],[Location Name]], Locations[Location Name],Locations[Group As])</f>
        <v>Black Bear</v>
      </c>
      <c r="H1051" t="e" vm="4">
        <f>_xlfn.XLOOKUP(AllDataCorrected[[#This Row],[Site Name]],LocationsKey[Site Name],LocationsKey[District])</f>
        <v>#VALUE!</v>
      </c>
      <c r="I1051" t="e" vm="4">
        <f>_xlfn.XLOOKUP(AllDataCorrected[[#This Row],[Site Name]],LocationsKey[Site Name],LocationsKey[Town])</f>
        <v>#VALUE!</v>
      </c>
      <c r="J1051" t="str">
        <f>_xlfn.XLOOKUP(AllDataCorrected[[#This Row],[Site Name]],LocationsKey[Site Name], LocationsKey[Waterway])</f>
        <v>Avon</v>
      </c>
      <c r="K1051" t="s">
        <v>1175</v>
      </c>
      <c r="L1051">
        <f>_xlfn.XLOOKUP(AllDataCorrected[[#This Row],[Site Name]],Tables!$B$12:$B$100, Tables!C$12:C$100)</f>
        <v>51.997466254237274</v>
      </c>
      <c r="M1051">
        <f>_xlfn.XLOOKUP(AllDataCorrected[[#This Row],[Site Name]],Tables!$B$12:$B$100, Tables!D$12:D$100)</f>
        <v>-2.1561788644067801</v>
      </c>
      <c r="N1051" t="s">
        <v>25</v>
      </c>
      <c r="O1051">
        <v>860</v>
      </c>
      <c r="P1051">
        <v>20.5</v>
      </c>
      <c r="Q1051">
        <v>10</v>
      </c>
      <c r="R10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1">
        <v>0.46</v>
      </c>
      <c r="T105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1">
        <v>0</v>
      </c>
    </row>
    <row r="1052" spans="1:22" x14ac:dyDescent="0.35">
      <c r="A1052" t="s">
        <v>1932</v>
      </c>
      <c r="B1052" s="2">
        <v>45531</v>
      </c>
      <c r="C1052" t="str" cm="1">
        <f t="array" ref="C10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2">
        <f>YEAR(AllDataCorrected[[#This Row],[Date]])</f>
        <v>2024</v>
      </c>
      <c r="E1052" s="1">
        <v>0.46111111111111114</v>
      </c>
      <c r="F10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2" t="str">
        <f>_xlfn.XLOOKUP(AllDataCorrected[[#This Row],[Location Name]], Locations[Location Name],Locations[Group As])</f>
        <v>Chipping Campden Craves</v>
      </c>
      <c r="H1052" t="e" vm="9">
        <f>_xlfn.XLOOKUP(AllDataCorrected[[#This Row],[Site Name]],LocationsKey[Site Name],LocationsKey[District])</f>
        <v>#VALUE!</v>
      </c>
      <c r="I1052" t="e" vm="10">
        <f>_xlfn.XLOOKUP(AllDataCorrected[[#This Row],[Site Name]],LocationsKey[Site Name],LocationsKey[Town])</f>
        <v>#VALUE!</v>
      </c>
      <c r="J1052" t="str">
        <f>_xlfn.XLOOKUP(AllDataCorrected[[#This Row],[Site Name]],LocationsKey[Site Name], LocationsKey[Waterway])</f>
        <v>Cam Brook</v>
      </c>
      <c r="K1052" t="s">
        <v>1797</v>
      </c>
      <c r="L1052">
        <f>_xlfn.XLOOKUP(AllDataCorrected[[#This Row],[Site Name]],Tables!$B$12:$B$100, Tables!C$12:C$100)</f>
        <v>52.047342199999981</v>
      </c>
      <c r="M1052">
        <f>_xlfn.XLOOKUP(AllDataCorrected[[#This Row],[Site Name]],Tables!$B$12:$B$100, Tables!D$12:D$100)</f>
        <v>-1.7964858000000001</v>
      </c>
      <c r="N1052" t="s">
        <v>68</v>
      </c>
      <c r="O1052">
        <v>691</v>
      </c>
      <c r="P1052">
        <v>16.8</v>
      </c>
      <c r="Q1052">
        <v>5</v>
      </c>
      <c r="R105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2">
        <v>0.64</v>
      </c>
      <c r="T10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2">
        <v>0</v>
      </c>
    </row>
    <row r="1053" spans="1:22" x14ac:dyDescent="0.35">
      <c r="A1053" t="s">
        <v>1966</v>
      </c>
      <c r="B1053" s="2">
        <v>45537</v>
      </c>
      <c r="C1053" t="str" cm="1">
        <f t="array" ref="C10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053">
        <f>YEAR(AllDataCorrected[[#This Row],[Date]])</f>
        <v>2024</v>
      </c>
      <c r="E1053" s="1">
        <v>0.45833333333333331</v>
      </c>
      <c r="F10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3" t="str">
        <f>_xlfn.XLOOKUP(AllDataCorrected[[#This Row],[Location Name]], Locations[Location Name],Locations[Group As])</f>
        <v>Chipping Campden Craves</v>
      </c>
      <c r="H1053" t="e" vm="9">
        <f>_xlfn.XLOOKUP(AllDataCorrected[[#This Row],[Site Name]],LocationsKey[Site Name],LocationsKey[District])</f>
        <v>#VALUE!</v>
      </c>
      <c r="I1053" t="e" vm="10">
        <f>_xlfn.XLOOKUP(AllDataCorrected[[#This Row],[Site Name]],LocationsKey[Site Name],LocationsKey[Town])</f>
        <v>#VALUE!</v>
      </c>
      <c r="J1053" t="str">
        <f>_xlfn.XLOOKUP(AllDataCorrected[[#This Row],[Site Name]],LocationsKey[Site Name], LocationsKey[Waterway])</f>
        <v>Cam Brook</v>
      </c>
      <c r="K1053" t="s">
        <v>1845</v>
      </c>
      <c r="L1053">
        <f>_xlfn.XLOOKUP(AllDataCorrected[[#This Row],[Site Name]],Tables!$B$12:$B$100, Tables!C$12:C$100)</f>
        <v>52.047342199999981</v>
      </c>
      <c r="M1053">
        <f>_xlfn.XLOOKUP(AllDataCorrected[[#This Row],[Site Name]],Tables!$B$12:$B$100, Tables!D$12:D$100)</f>
        <v>-1.7964858000000001</v>
      </c>
      <c r="N1053" t="s">
        <v>68</v>
      </c>
      <c r="O1053">
        <v>442</v>
      </c>
      <c r="P1053">
        <v>20</v>
      </c>
      <c r="Q1053">
        <v>5</v>
      </c>
      <c r="R105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3">
        <v>0.83</v>
      </c>
      <c r="T10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3">
        <v>6.5</v>
      </c>
    </row>
    <row r="1054" spans="1:22" x14ac:dyDescent="0.35">
      <c r="A1054" t="s">
        <v>1654</v>
      </c>
      <c r="B1054" s="2">
        <v>45489</v>
      </c>
      <c r="C1054" t="str" cm="1">
        <f t="array" ref="C10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4">
        <f>YEAR(AllDataCorrected[[#This Row],[Date]])</f>
        <v>2024</v>
      </c>
      <c r="E1054" s="1">
        <v>0.60486111111111107</v>
      </c>
      <c r="F105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4" t="str">
        <f>_xlfn.XLOOKUP(AllDataCorrected[[#This Row],[Location Name]], Locations[Location Name],Locations[Group As])</f>
        <v>Carrant M5 Bridge</v>
      </c>
      <c r="H1054" t="e" vm="4">
        <f>_xlfn.XLOOKUP(AllDataCorrected[[#This Row],[Site Name]],LocationsKey[Site Name],LocationsKey[District])</f>
        <v>#VALUE!</v>
      </c>
      <c r="I1054" t="e" vm="4">
        <f>_xlfn.XLOOKUP(AllDataCorrected[[#This Row],[Site Name]],LocationsKey[Site Name],LocationsKey[Town])</f>
        <v>#VALUE!</v>
      </c>
      <c r="J1054" t="str">
        <f>_xlfn.XLOOKUP(AllDataCorrected[[#This Row],[Site Name]],LocationsKey[Site Name], LocationsKey[Waterway])</f>
        <v>Carrant</v>
      </c>
      <c r="K1054" t="s">
        <v>1066</v>
      </c>
      <c r="L1054">
        <f>_xlfn.XLOOKUP(AllDataCorrected[[#This Row],[Site Name]],Tables!$B$12:$B$100, Tables!C$12:C$100)</f>
        <v>52.012994652173923</v>
      </c>
      <c r="M1054">
        <f>_xlfn.XLOOKUP(AllDataCorrected[[#This Row],[Site Name]],Tables!$B$12:$B$100, Tables!D$12:D$100)</f>
        <v>-2.1224405652173912</v>
      </c>
      <c r="N1054" t="s">
        <v>25</v>
      </c>
      <c r="O1054">
        <v>742</v>
      </c>
      <c r="P1054">
        <v>17.2</v>
      </c>
      <c r="Q1054">
        <v>7</v>
      </c>
      <c r="R10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4">
        <v>0.88</v>
      </c>
      <c r="T10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4">
        <v>0</v>
      </c>
    </row>
    <row r="1055" spans="1:22" x14ac:dyDescent="0.35">
      <c r="A1055" t="s">
        <v>1657</v>
      </c>
      <c r="B1055" s="2">
        <v>45490</v>
      </c>
      <c r="C1055" t="str" cm="1">
        <f t="array" ref="C10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5">
        <f>YEAR(AllDataCorrected[[#This Row],[Date]])</f>
        <v>2024</v>
      </c>
      <c r="E1055" s="1">
        <v>0.44791666666666669</v>
      </c>
      <c r="F10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5" t="str">
        <f>_xlfn.XLOOKUP(AllDataCorrected[[#This Row],[Location Name]], Locations[Location Name],Locations[Group As])</f>
        <v>Carrant Mitton Path</v>
      </c>
      <c r="H1055" t="e" vm="4">
        <f>_xlfn.XLOOKUP(AllDataCorrected[[#This Row],[Site Name]],LocationsKey[Site Name],LocationsKey[District])</f>
        <v>#VALUE!</v>
      </c>
      <c r="I1055" t="e" vm="4">
        <f>_xlfn.XLOOKUP(AllDataCorrected[[#This Row],[Site Name]],LocationsKey[Site Name],LocationsKey[Town])</f>
        <v>#VALUE!</v>
      </c>
      <c r="J1055" t="str">
        <f>_xlfn.XLOOKUP(AllDataCorrected[[#This Row],[Site Name]],LocationsKey[Site Name], LocationsKey[Waterway])</f>
        <v>Carrant</v>
      </c>
      <c r="K1055" t="s">
        <v>1064</v>
      </c>
      <c r="L1055">
        <f>_xlfn.XLOOKUP(AllDataCorrected[[#This Row],[Site Name]],Tables!$B$12:$B$100, Tables!C$12:C$100)</f>
        <v>52.048665</v>
      </c>
      <c r="M1055">
        <f>_xlfn.XLOOKUP(AllDataCorrected[[#This Row],[Site Name]],Tables!$B$12:$B$100, Tables!D$12:D$100)</f>
        <v>-1.7862663333333331</v>
      </c>
      <c r="N1055" t="s">
        <v>25</v>
      </c>
      <c r="O1055">
        <v>662</v>
      </c>
      <c r="P1055">
        <v>17.8</v>
      </c>
      <c r="Q1055">
        <v>5</v>
      </c>
      <c r="R10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5">
        <v>0.71</v>
      </c>
      <c r="T10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5">
        <v>0</v>
      </c>
    </row>
    <row r="1056" spans="1:22" x14ac:dyDescent="0.35">
      <c r="A1056" t="s">
        <v>1658</v>
      </c>
      <c r="B1056" s="2">
        <v>45490</v>
      </c>
      <c r="C1056" t="str" cm="1">
        <f t="array" ref="C10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6">
        <f>YEAR(AllDataCorrected[[#This Row],[Date]])</f>
        <v>2024</v>
      </c>
      <c r="E1056" s="1">
        <v>0.61250000000000004</v>
      </c>
      <c r="F105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56" t="str">
        <f>_xlfn.XLOOKUP(AllDataCorrected[[#This Row],[Location Name]], Locations[Location Name],Locations[Group As])</f>
        <v>Alveston Weir</v>
      </c>
      <c r="H1056" t="e" vm="1">
        <f>_xlfn.XLOOKUP(AllDataCorrected[[#This Row],[Site Name]],LocationsKey[Site Name],LocationsKey[District])</f>
        <v>#VALUE!</v>
      </c>
      <c r="I1056" t="e" vm="2">
        <f>_xlfn.XLOOKUP(AllDataCorrected[[#This Row],[Site Name]],LocationsKey[Site Name],LocationsKey[Town])</f>
        <v>#VALUE!</v>
      </c>
      <c r="J1056" t="str">
        <f>_xlfn.XLOOKUP(AllDataCorrected[[#This Row],[Site Name]],LocationsKey[Site Name], LocationsKey[Waterway])</f>
        <v>Avon</v>
      </c>
      <c r="K1056" t="s">
        <v>288</v>
      </c>
      <c r="L1056">
        <f>_xlfn.XLOOKUP(AllDataCorrected[[#This Row],[Site Name]],Tables!$B$12:$B$100, Tables!C$12:C$100)</f>
        <v>52.21226301333337</v>
      </c>
      <c r="M1056">
        <f>_xlfn.XLOOKUP(AllDataCorrected[[#This Row],[Site Name]],Tables!$B$12:$B$100, Tables!D$12:D$100)</f>
        <v>-1.6595226800000011</v>
      </c>
      <c r="N1056" t="s">
        <v>31</v>
      </c>
      <c r="O1056">
        <v>689</v>
      </c>
      <c r="P1056">
        <v>19</v>
      </c>
      <c r="Q1056">
        <v>10</v>
      </c>
      <c r="R10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56">
        <v>0.46</v>
      </c>
      <c r="T105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6">
        <v>0</v>
      </c>
    </row>
    <row r="1057" spans="1:22" x14ac:dyDescent="0.35">
      <c r="A1057" t="s">
        <v>1659</v>
      </c>
      <c r="B1057" s="2">
        <v>45490</v>
      </c>
      <c r="C1057" t="str" cm="1">
        <f t="array" ref="C10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7">
        <f>YEAR(AllDataCorrected[[#This Row],[Date]])</f>
        <v>2024</v>
      </c>
      <c r="E1057" s="1">
        <v>0.78055555555555556</v>
      </c>
      <c r="F1057"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57" t="str">
        <f>_xlfn.XLOOKUP(AllDataCorrected[[#This Row],[Location Name]], Locations[Location Name],Locations[Group As])</f>
        <v>Bredon Marina</v>
      </c>
      <c r="H1057" t="e" vm="4">
        <f>_xlfn.XLOOKUP(AllDataCorrected[[#This Row],[Site Name]],LocationsKey[Site Name],LocationsKey[District])</f>
        <v>#VALUE!</v>
      </c>
      <c r="I1057" t="e" vm="11">
        <f>_xlfn.XLOOKUP(AllDataCorrected[[#This Row],[Site Name]],LocationsKey[Site Name],LocationsKey[Town])</f>
        <v>#VALUE!</v>
      </c>
      <c r="J1057" t="str">
        <f>_xlfn.XLOOKUP(AllDataCorrected[[#This Row],[Site Name]],LocationsKey[Site Name], LocationsKey[Waterway])</f>
        <v>Avon</v>
      </c>
      <c r="K1057" t="s">
        <v>1661</v>
      </c>
      <c r="L1057">
        <f>_xlfn.XLOOKUP(AllDataCorrected[[#This Row],[Site Name]],Tables!$B$12:$B$100, Tables!C$12:C$100)</f>
        <v>52.033057272727277</v>
      </c>
      <c r="M1057">
        <f>_xlfn.XLOOKUP(AllDataCorrected[[#This Row],[Site Name]],Tables!$B$12:$B$100, Tables!D$12:D$100)</f>
        <v>-2.1161551818181823</v>
      </c>
      <c r="N1057" t="s">
        <v>31</v>
      </c>
      <c r="O1057">
        <v>829</v>
      </c>
      <c r="P1057">
        <v>20</v>
      </c>
      <c r="Q1057">
        <v>1</v>
      </c>
      <c r="R105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57">
        <v>0.83</v>
      </c>
      <c r="T10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7">
        <v>0</v>
      </c>
    </row>
    <row r="1058" spans="1:22" x14ac:dyDescent="0.35">
      <c r="A1058" t="s">
        <v>1662</v>
      </c>
      <c r="B1058" s="2">
        <v>45491</v>
      </c>
      <c r="C1058" t="str" cm="1">
        <f t="array" ref="C10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8">
        <f>YEAR(AllDataCorrected[[#This Row],[Date]])</f>
        <v>2024</v>
      </c>
      <c r="E1058" s="1">
        <v>0.4375</v>
      </c>
      <c r="F105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58" t="str">
        <f>_xlfn.XLOOKUP(AllDataCorrected[[#This Row],[Location Name]], Locations[Location Name],Locations[Group As])</f>
        <v>Stour Willington</v>
      </c>
      <c r="H1058" t="e" vm="1">
        <f>_xlfn.XLOOKUP(AllDataCorrected[[#This Row],[Site Name]],LocationsKey[Site Name],LocationsKey[District])</f>
        <v>#VALUE!</v>
      </c>
      <c r="I1058" t="str">
        <f>_xlfn.XLOOKUP(AllDataCorrected[[#This Row],[Site Name]],LocationsKey[Site Name],LocationsKey[Town])</f>
        <v>Willington</v>
      </c>
      <c r="J1058" t="str">
        <f>_xlfn.XLOOKUP(AllDataCorrected[[#This Row],[Site Name]],LocationsKey[Site Name], LocationsKey[Waterway])</f>
        <v>Stour</v>
      </c>
      <c r="K1058" t="s">
        <v>521</v>
      </c>
      <c r="L1058">
        <f>_xlfn.XLOOKUP(AllDataCorrected[[#This Row],[Site Name]],Tables!$B$12:$B$100, Tables!C$12:C$100)</f>
        <v>52.053227523809518</v>
      </c>
      <c r="M1058">
        <f>_xlfn.XLOOKUP(AllDataCorrected[[#This Row],[Site Name]],Tables!$B$12:$B$100, Tables!D$12:D$100)</f>
        <v>-1.6194739523809523</v>
      </c>
      <c r="N1058" t="s">
        <v>25</v>
      </c>
      <c r="O1058">
        <v>625</v>
      </c>
      <c r="P1058">
        <v>16</v>
      </c>
      <c r="Q1058">
        <v>2</v>
      </c>
      <c r="R1058" t="str">
        <f>IF(AllDataCorrected[[#This Row],[Nitrate (PPM)]]&gt;2, "4. Very high (&gt;2ppm)", IF(AllDataCorrected[[#This Row],[Nitrate (PPM)]]&gt;1, "3. High (1-2ppm)", IF(AllDataCorrected[[#This Row],[Nitrate (PPM)]]&gt;0.5, "2. Some evidence (0.5-1ppm)", IF(AllDataCorrected[[#This Row],[Nitrate (PPM)]]&gt;=0, "1. No evidence (&lt;0.5ppm)"))))</f>
        <v>3. High (1-2ppm)</v>
      </c>
      <c r="S1058">
        <v>0.41</v>
      </c>
      <c r="T105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58">
        <v>0.5</v>
      </c>
    </row>
    <row r="1059" spans="1:22" x14ac:dyDescent="0.35">
      <c r="A1059" t="s">
        <v>1663</v>
      </c>
      <c r="B1059" s="2">
        <v>45491</v>
      </c>
      <c r="C1059" t="str" cm="1">
        <f t="array" ref="C10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59">
        <f>YEAR(AllDataCorrected[[#This Row],[Date]])</f>
        <v>2024</v>
      </c>
      <c r="E1059" s="1">
        <v>0.75</v>
      </c>
      <c r="F1059"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59" t="str">
        <f>_xlfn.XLOOKUP(AllDataCorrected[[#This Row],[Location Name]], Locations[Location Name],Locations[Group As])</f>
        <v>Stour Newbold Mill</v>
      </c>
      <c r="H1059" t="e" vm="1">
        <f>_xlfn.XLOOKUP(AllDataCorrected[[#This Row],[Site Name]],LocationsKey[Site Name],LocationsKey[District])</f>
        <v>#VALUE!</v>
      </c>
      <c r="I1059" t="e" vm="27">
        <f>_xlfn.XLOOKUP(AllDataCorrected[[#This Row],[Site Name]],LocationsKey[Site Name],LocationsKey[Town])</f>
        <v>#VALUE!</v>
      </c>
      <c r="J1059" t="str">
        <f>_xlfn.XLOOKUP(AllDataCorrected[[#This Row],[Site Name]],LocationsKey[Site Name], LocationsKey[Waterway])</f>
        <v>Stour</v>
      </c>
      <c r="K1059" t="s">
        <v>141</v>
      </c>
      <c r="L1059">
        <f>_xlfn.XLOOKUP(AllDataCorrected[[#This Row],[Site Name]],Tables!$B$12:$B$100, Tables!C$12:C$100)</f>
        <v>52.113052370370369</v>
      </c>
      <c r="M1059">
        <f>_xlfn.XLOOKUP(AllDataCorrected[[#This Row],[Site Name]],Tables!$B$12:$B$100, Tables!D$12:D$100)</f>
        <v>-1.6333685185185181</v>
      </c>
      <c r="N1059" t="s">
        <v>31</v>
      </c>
      <c r="O1059">
        <v>640</v>
      </c>
      <c r="P1059">
        <v>18.600000000000001</v>
      </c>
      <c r="Q1059">
        <v>2</v>
      </c>
      <c r="R1059" t="str">
        <f>IF(AllDataCorrected[[#This Row],[Nitrate (PPM)]]&gt;2, "4. Very high (&gt;2ppm)", IF(AllDataCorrected[[#This Row],[Nitrate (PPM)]]&gt;1, "3. High (1-2ppm)", IF(AllDataCorrected[[#This Row],[Nitrate (PPM)]]&gt;0.5, "2. Some evidence (0.5-1ppm)", IF(AllDataCorrected[[#This Row],[Nitrate (PPM)]]&gt;=0, "1. No evidence (&lt;0.5ppm)"))))</f>
        <v>3. High (1-2ppm)</v>
      </c>
      <c r="S1059">
        <v>0.54</v>
      </c>
      <c r="T10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59">
        <v>2</v>
      </c>
      <c r="V1059" t="s">
        <v>1664</v>
      </c>
    </row>
    <row r="1060" spans="1:22" x14ac:dyDescent="0.35">
      <c r="A1060" t="s">
        <v>1665</v>
      </c>
      <c r="B1060" s="2">
        <v>45491</v>
      </c>
      <c r="C1060" t="str" cm="1">
        <f t="array" ref="C10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0">
        <f>YEAR(AllDataCorrected[[#This Row],[Date]])</f>
        <v>2024</v>
      </c>
      <c r="E1060" s="1">
        <v>0.89722222222222225</v>
      </c>
      <c r="F106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60" t="str">
        <f>_xlfn.XLOOKUP(AllDataCorrected[[#This Row],[Location Name]], Locations[Location Name],Locations[Group As])</f>
        <v>Abbey Mill</v>
      </c>
      <c r="H1060" t="e" vm="4">
        <f>_xlfn.XLOOKUP(AllDataCorrected[[#This Row],[Site Name]],LocationsKey[Site Name],LocationsKey[District])</f>
        <v>#VALUE!</v>
      </c>
      <c r="I1060" t="e" vm="4">
        <f>_xlfn.XLOOKUP(AllDataCorrected[[#This Row],[Site Name]],LocationsKey[Site Name],LocationsKey[Town])</f>
        <v>#VALUE!</v>
      </c>
      <c r="J1060" t="str">
        <f>_xlfn.XLOOKUP(AllDataCorrected[[#This Row],[Site Name]],LocationsKey[Site Name], LocationsKey[Waterway])</f>
        <v>Avon</v>
      </c>
      <c r="K1060" t="s">
        <v>27</v>
      </c>
      <c r="L1060">
        <f>_xlfn.XLOOKUP(AllDataCorrected[[#This Row],[Site Name]],Tables!$B$12:$B$100, Tables!C$12:C$100)</f>
        <v>51.991313075757589</v>
      </c>
      <c r="M1060">
        <f>_xlfn.XLOOKUP(AllDataCorrected[[#This Row],[Site Name]],Tables!$B$12:$B$100, Tables!D$12:D$100)</f>
        <v>-2.1621998181818181</v>
      </c>
      <c r="N1060" t="s">
        <v>25</v>
      </c>
      <c r="O1060">
        <v>834</v>
      </c>
      <c r="P1060">
        <v>20.6</v>
      </c>
      <c r="Q1060">
        <v>7</v>
      </c>
      <c r="R10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0">
        <v>0.86</v>
      </c>
      <c r="T10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0">
        <v>0.5</v>
      </c>
    </row>
    <row r="1061" spans="1:22" x14ac:dyDescent="0.35">
      <c r="A1061" t="s">
        <v>1670</v>
      </c>
      <c r="B1061" s="2">
        <v>45492</v>
      </c>
      <c r="C1061" t="str" cm="1">
        <f t="array" ref="C10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1">
        <f>YEAR(AllDataCorrected[[#This Row],[Date]])</f>
        <v>2024</v>
      </c>
      <c r="E1061" s="1">
        <v>0.3527777777777778</v>
      </c>
      <c r="F106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1" t="str">
        <f>_xlfn.XLOOKUP(AllDataCorrected[[#This Row],[Location Name]], Locations[Location Name],Locations[Group As])</f>
        <v>Lower Lode</v>
      </c>
      <c r="H1061" t="e" vm="4">
        <f>_xlfn.XLOOKUP(AllDataCorrected[[#This Row],[Site Name]],LocationsKey[Site Name],LocationsKey[District])</f>
        <v>#VALUE!</v>
      </c>
      <c r="I1061" t="e" vm="4">
        <f>_xlfn.XLOOKUP(AllDataCorrected[[#This Row],[Site Name]],LocationsKey[Site Name],LocationsKey[Town])</f>
        <v>#VALUE!</v>
      </c>
      <c r="J1061" t="str">
        <f>_xlfn.XLOOKUP(AllDataCorrected[[#This Row],[Site Name]],LocationsKey[Site Name], LocationsKey[Waterway])</f>
        <v>Avon</v>
      </c>
      <c r="K1061" t="s">
        <v>595</v>
      </c>
      <c r="L1061">
        <f>_xlfn.XLOOKUP(AllDataCorrected[[#This Row],[Site Name]],Tables!$B$12:$B$100, Tables!C$12:C$100)</f>
        <v>51.984916745098026</v>
      </c>
      <c r="M1061">
        <f>_xlfn.XLOOKUP(AllDataCorrected[[#This Row],[Site Name]],Tables!$B$12:$B$100, Tables!D$12:D$100)</f>
        <v>-2.1745787647058821</v>
      </c>
      <c r="N1061" t="s">
        <v>31</v>
      </c>
      <c r="O1061">
        <v>8880</v>
      </c>
      <c r="P1061">
        <v>21.5</v>
      </c>
      <c r="Q1061">
        <v>10</v>
      </c>
      <c r="R10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1">
        <v>0.82</v>
      </c>
      <c r="T106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1">
        <v>0</v>
      </c>
    </row>
    <row r="1062" spans="1:22" x14ac:dyDescent="0.35">
      <c r="A1062" t="s">
        <v>1671</v>
      </c>
      <c r="B1062" s="2">
        <v>45492</v>
      </c>
      <c r="C1062" t="str" cm="1">
        <f t="array" ref="C10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2">
        <f>YEAR(AllDataCorrected[[#This Row],[Date]])</f>
        <v>2024</v>
      </c>
      <c r="E1062" s="1">
        <v>0.70833333333333337</v>
      </c>
      <c r="F106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62" t="str">
        <f>_xlfn.XLOOKUP(AllDataCorrected[[#This Row],[Location Name]], Locations[Location Name],Locations[Group As])</f>
        <v>Carrant Back Lane Beckford</v>
      </c>
      <c r="H1062" t="e" vm="4">
        <f>_xlfn.XLOOKUP(AllDataCorrected[[#This Row],[Site Name]],LocationsKey[Site Name],LocationsKey[District])</f>
        <v>#VALUE!</v>
      </c>
      <c r="I1062" t="str">
        <f>_xlfn.XLOOKUP(AllDataCorrected[[#This Row],[Site Name]],LocationsKey[Site Name],LocationsKey[Town])</f>
        <v>Beckford</v>
      </c>
      <c r="J1062" t="str">
        <f>_xlfn.XLOOKUP(AllDataCorrected[[#This Row],[Site Name]],LocationsKey[Site Name], LocationsKey[Waterway])</f>
        <v>Carrant</v>
      </c>
      <c r="K1062" t="s">
        <v>1672</v>
      </c>
      <c r="L1062">
        <f>_xlfn.XLOOKUP(AllDataCorrected[[#This Row],[Site Name]],Tables!$B$12:$B$100, Tables!C$12:C$100)</f>
        <v>52.018128913043483</v>
      </c>
      <c r="M1062">
        <f>_xlfn.XLOOKUP(AllDataCorrected[[#This Row],[Site Name]],Tables!$B$12:$B$100, Tables!D$12:D$100)</f>
        <v>-2.0388751739130435</v>
      </c>
      <c r="N1062" t="s">
        <v>68</v>
      </c>
      <c r="O1062">
        <v>726</v>
      </c>
      <c r="P1062">
        <v>19.600000000000001</v>
      </c>
      <c r="Q1062">
        <v>6</v>
      </c>
      <c r="R10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2">
        <v>0.8</v>
      </c>
      <c r="T10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2">
        <v>0</v>
      </c>
      <c r="V1062" t="s">
        <v>1673</v>
      </c>
    </row>
    <row r="1063" spans="1:22" x14ac:dyDescent="0.35">
      <c r="A1063" t="s">
        <v>1674</v>
      </c>
      <c r="B1063" s="2">
        <v>45492</v>
      </c>
      <c r="C1063" t="str" cm="1">
        <f t="array" ref="C10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3">
        <f>YEAR(AllDataCorrected[[#This Row],[Date]])</f>
        <v>2024</v>
      </c>
      <c r="E1063" s="1">
        <v>0.83333333333333337</v>
      </c>
      <c r="F106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063" t="str">
        <f>_xlfn.XLOOKUP(AllDataCorrected[[#This Row],[Location Name]], Locations[Location Name],Locations[Group As])</f>
        <v>Swilgate</v>
      </c>
      <c r="H1063" t="e" vm="4">
        <f>_xlfn.XLOOKUP(AllDataCorrected[[#This Row],[Site Name]],LocationsKey[Site Name],LocationsKey[District])</f>
        <v>#VALUE!</v>
      </c>
      <c r="I1063" t="e" vm="4">
        <f>_xlfn.XLOOKUP(AllDataCorrected[[#This Row],[Site Name]],LocationsKey[Site Name],LocationsKey[Town])</f>
        <v>#VALUE!</v>
      </c>
      <c r="J1063" t="str">
        <f>_xlfn.XLOOKUP(AllDataCorrected[[#This Row],[Site Name]],LocationsKey[Site Name], LocationsKey[Waterway])</f>
        <v>Swilgate</v>
      </c>
      <c r="K1063" t="s">
        <v>85</v>
      </c>
      <c r="L1063">
        <f>_xlfn.XLOOKUP(AllDataCorrected[[#This Row],[Site Name]],Tables!$B$12:$B$100, Tables!C$12:C$100)</f>
        <v>51.988591500000005</v>
      </c>
      <c r="M1063">
        <f>_xlfn.XLOOKUP(AllDataCorrected[[#This Row],[Site Name]],Tables!$B$12:$B$100, Tables!D$12:D$100)</f>
        <v>-2.163898333333333</v>
      </c>
      <c r="N1063" t="s">
        <v>25</v>
      </c>
      <c r="O1063">
        <v>998</v>
      </c>
      <c r="P1063">
        <v>22.8</v>
      </c>
      <c r="Q1063">
        <v>5</v>
      </c>
      <c r="R10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3">
        <v>0.59</v>
      </c>
      <c r="T10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3">
        <v>0</v>
      </c>
    </row>
    <row r="1064" spans="1:22" x14ac:dyDescent="0.35">
      <c r="A1064" t="s">
        <v>1675</v>
      </c>
      <c r="B1064" s="2">
        <v>45493</v>
      </c>
      <c r="C1064" t="str" cm="1">
        <f t="array" ref="C10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4">
        <f>YEAR(AllDataCorrected[[#This Row],[Date]])</f>
        <v>2024</v>
      </c>
      <c r="E1064" s="1">
        <v>0.34722222222222221</v>
      </c>
      <c r="F10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4" t="str">
        <f>_xlfn.XLOOKUP(AllDataCorrected[[#This Row],[Location Name]], Locations[Location Name],Locations[Group As])</f>
        <v>Avon Smiths Meadow Wyre Piddle</v>
      </c>
      <c r="H1064" t="e" vm="6">
        <f>_xlfn.XLOOKUP(AllDataCorrected[[#This Row],[Site Name]],LocationsKey[Site Name],LocationsKey[District])</f>
        <v>#VALUE!</v>
      </c>
      <c r="I1064" t="e" vm="13">
        <f>_xlfn.XLOOKUP(AllDataCorrected[[#This Row],[Site Name]],LocationsKey[Site Name],LocationsKey[Town])</f>
        <v>#VALUE!</v>
      </c>
      <c r="J1064" t="str">
        <f>_xlfn.XLOOKUP(AllDataCorrected[[#This Row],[Site Name]],LocationsKey[Site Name], LocationsKey[Waterway])</f>
        <v>Avon</v>
      </c>
      <c r="K1064" t="s">
        <v>784</v>
      </c>
      <c r="L1064">
        <f>_xlfn.XLOOKUP(AllDataCorrected[[#This Row],[Site Name]],Tables!$B$12:$B$100, Tables!C$12:C$100)</f>
        <v>52.123126101694929</v>
      </c>
      <c r="M1064">
        <f>_xlfn.XLOOKUP(AllDataCorrected[[#This Row],[Site Name]],Tables!$B$12:$B$100, Tables!D$12:D$100)</f>
        <v>-2.0572511355932215</v>
      </c>
      <c r="N1064" t="s">
        <v>25</v>
      </c>
      <c r="O1064">
        <v>851</v>
      </c>
      <c r="P1064">
        <v>20.100000000000001</v>
      </c>
      <c r="Q1064">
        <v>5</v>
      </c>
      <c r="R10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4">
        <v>0.87</v>
      </c>
      <c r="T10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4">
        <v>0.56999999999999995</v>
      </c>
      <c r="V1064" t="s">
        <v>1676</v>
      </c>
    </row>
    <row r="1065" spans="1:22" x14ac:dyDescent="0.35">
      <c r="A1065" t="s">
        <v>1677</v>
      </c>
      <c r="B1065" s="2">
        <v>45493</v>
      </c>
      <c r="C1065" t="str" cm="1">
        <f t="array" ref="C10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5">
        <f>YEAR(AllDataCorrected[[#This Row],[Date]])</f>
        <v>2024</v>
      </c>
      <c r="E1065" s="1">
        <v>0.36458333333333331</v>
      </c>
      <c r="F10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5" t="str">
        <f>_xlfn.XLOOKUP(AllDataCorrected[[#This Row],[Location Name]], Locations[Location Name],Locations[Group As])</f>
        <v>Piddle Brook Wyre Piddle Bridge</v>
      </c>
      <c r="H1065" t="e" vm="6">
        <f>_xlfn.XLOOKUP(AllDataCorrected[[#This Row],[Site Name]],LocationsKey[Site Name],LocationsKey[District])</f>
        <v>#VALUE!</v>
      </c>
      <c r="I1065" t="e" vm="13">
        <f>_xlfn.XLOOKUP(AllDataCorrected[[#This Row],[Site Name]],LocationsKey[Site Name],LocationsKey[Town])</f>
        <v>#VALUE!</v>
      </c>
      <c r="J1065" t="str">
        <f>_xlfn.XLOOKUP(AllDataCorrected[[#This Row],[Site Name]],LocationsKey[Site Name], LocationsKey[Waterway])</f>
        <v>Piddle Brook</v>
      </c>
      <c r="K1065" t="s">
        <v>787</v>
      </c>
      <c r="L1065">
        <f>_xlfn.XLOOKUP(AllDataCorrected[[#This Row],[Site Name]],Tables!$B$12:$B$100, Tables!C$12:C$100)</f>
        <v>52.126394500000039</v>
      </c>
      <c r="M1065">
        <f>_xlfn.XLOOKUP(AllDataCorrected[[#This Row],[Site Name]],Tables!$B$12:$B$100, Tables!D$12:D$100)</f>
        <v>-2.0564211206896545</v>
      </c>
      <c r="N1065" t="s">
        <v>25</v>
      </c>
      <c r="O1065">
        <v>1660</v>
      </c>
      <c r="P1065">
        <v>18.5</v>
      </c>
      <c r="Q1065">
        <v>10</v>
      </c>
      <c r="R106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5">
        <v>1.2</v>
      </c>
      <c r="T106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5">
        <v>0.16</v>
      </c>
      <c r="V1065" t="s">
        <v>1678</v>
      </c>
    </row>
    <row r="1066" spans="1:22" x14ac:dyDescent="0.35">
      <c r="A1066" t="s">
        <v>1679</v>
      </c>
      <c r="B1066" s="2">
        <v>45493</v>
      </c>
      <c r="C1066" t="str" cm="1">
        <f t="array" ref="C10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6">
        <f>YEAR(AllDataCorrected[[#This Row],[Date]])</f>
        <v>2024</v>
      </c>
      <c r="E1066" s="1">
        <v>0.38333333333333336</v>
      </c>
      <c r="F10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6" t="str">
        <f>_xlfn.XLOOKUP(AllDataCorrected[[#This Row],[Location Name]], Locations[Location Name],Locations[Group As])</f>
        <v>Piddle Brook Long Lane Pinvin</v>
      </c>
      <c r="H1066" t="e" vm="6">
        <f>_xlfn.XLOOKUP(AllDataCorrected[[#This Row],[Site Name]],LocationsKey[Site Name],LocationsKey[District])</f>
        <v>#VALUE!</v>
      </c>
      <c r="I1066" t="str">
        <f>_xlfn.XLOOKUP(AllDataCorrected[[#This Row],[Site Name]],LocationsKey[Site Name],LocationsKey[Town])</f>
        <v>Tilesford</v>
      </c>
      <c r="J1066" t="str">
        <f>_xlfn.XLOOKUP(AllDataCorrected[[#This Row],[Site Name]],LocationsKey[Site Name], LocationsKey[Waterway])</f>
        <v>Piddle Brook</v>
      </c>
      <c r="K1066" t="s">
        <v>1680</v>
      </c>
      <c r="L1066">
        <f>_xlfn.XLOOKUP(AllDataCorrected[[#This Row],[Site Name]],Tables!$B$12:$B$100, Tables!C$12:C$100)</f>
        <v>52.148406999999999</v>
      </c>
      <c r="M1066">
        <f>_xlfn.XLOOKUP(AllDataCorrected[[#This Row],[Site Name]],Tables!$B$12:$B$100, Tables!D$12:D$100)</f>
        <v>-2.055247</v>
      </c>
      <c r="O1066">
        <v>1670</v>
      </c>
      <c r="P1066">
        <v>18.2</v>
      </c>
      <c r="Q1066">
        <v>8</v>
      </c>
      <c r="R10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6">
        <v>1.32</v>
      </c>
      <c r="T106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6">
        <v>0.16</v>
      </c>
      <c r="V1066" t="s">
        <v>1681</v>
      </c>
    </row>
    <row r="1067" spans="1:22" x14ac:dyDescent="0.35">
      <c r="A1067" t="s">
        <v>1682</v>
      </c>
      <c r="B1067" s="2">
        <v>45493</v>
      </c>
      <c r="C1067" t="str" cm="1">
        <f t="array" ref="C10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7">
        <f>YEAR(AllDataCorrected[[#This Row],[Date]])</f>
        <v>2024</v>
      </c>
      <c r="E1067" s="1">
        <v>0.40069444444444446</v>
      </c>
      <c r="F10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7" t="str">
        <f>_xlfn.XLOOKUP(AllDataCorrected[[#This Row],[Location Name]], Locations[Location Name],Locations[Group As])</f>
        <v>Piddle Brook Norton Beachamp Bridge</v>
      </c>
      <c r="H1067" t="e" vm="6">
        <f>_xlfn.XLOOKUP(AllDataCorrected[[#This Row],[Site Name]],LocationsKey[Site Name],LocationsKey[District])</f>
        <v>#VALUE!</v>
      </c>
      <c r="I1067" t="str">
        <f>_xlfn.XLOOKUP(AllDataCorrected[[#This Row],[Site Name]],LocationsKey[Site Name],LocationsKey[Town])</f>
        <v>Norton Beauchamp</v>
      </c>
      <c r="J1067" t="str">
        <f>_xlfn.XLOOKUP(AllDataCorrected[[#This Row],[Site Name]],LocationsKey[Site Name], LocationsKey[Waterway])</f>
        <v>Piddle Brook</v>
      </c>
      <c r="K1067" t="s">
        <v>1683</v>
      </c>
      <c r="L1067">
        <f>_xlfn.XLOOKUP(AllDataCorrected[[#This Row],[Site Name]],Tables!$B$12:$B$100, Tables!C$12:C$100)</f>
        <v>52.169983999999999</v>
      </c>
      <c r="M1067">
        <f>_xlfn.XLOOKUP(AllDataCorrected[[#This Row],[Site Name]],Tables!$B$12:$B$100, Tables!D$12:D$100)</f>
        <v>-2.058351</v>
      </c>
      <c r="O1067">
        <v>1350</v>
      </c>
      <c r="P1067">
        <v>18.7</v>
      </c>
      <c r="Q1067">
        <v>5</v>
      </c>
      <c r="R10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7">
        <v>1.45</v>
      </c>
      <c r="T106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7">
        <v>0.16</v>
      </c>
      <c r="V1067" t="s">
        <v>1684</v>
      </c>
    </row>
    <row r="1068" spans="1:22" x14ac:dyDescent="0.35">
      <c r="A1068" t="s">
        <v>1685</v>
      </c>
      <c r="B1068" s="2">
        <v>45493</v>
      </c>
      <c r="C1068" t="str" cm="1">
        <f t="array" ref="C10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8">
        <f>YEAR(AllDataCorrected[[#This Row],[Date]])</f>
        <v>2024</v>
      </c>
      <c r="E1068" s="1">
        <v>0.43611111111111112</v>
      </c>
      <c r="F10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8" t="str">
        <f>_xlfn.XLOOKUP(AllDataCorrected[[#This Row],[Location Name]], Locations[Location Name],Locations[Group As])</f>
        <v>Piddle Brook North of Radford</v>
      </c>
      <c r="H1068" t="e" vm="6">
        <f>_xlfn.XLOOKUP(AllDataCorrected[[#This Row],[Site Name]],LocationsKey[Site Name],LocationsKey[District])</f>
        <v>#VALUE!</v>
      </c>
      <c r="I1068" t="str">
        <f>_xlfn.XLOOKUP(AllDataCorrected[[#This Row],[Site Name]],LocationsKey[Site Name],LocationsKey[Town])</f>
        <v>Radford</v>
      </c>
      <c r="J1068" t="str">
        <f>_xlfn.XLOOKUP(AllDataCorrected[[#This Row],[Site Name]],LocationsKey[Site Name], LocationsKey[Waterway])</f>
        <v>Piddle Brook</v>
      </c>
      <c r="K1068" t="s">
        <v>1686</v>
      </c>
      <c r="L1068">
        <f>_xlfn.XLOOKUP(AllDataCorrected[[#This Row],[Site Name]],Tables!$B$12:$B$100, Tables!C$12:C$100)</f>
        <v>52.196624999999997</v>
      </c>
      <c r="M1068">
        <f>_xlfn.XLOOKUP(AllDataCorrected[[#This Row],[Site Name]],Tables!$B$12:$B$100, Tables!D$12:D$100)</f>
        <v>-1.9924109999999999</v>
      </c>
      <c r="O1068">
        <v>1400</v>
      </c>
      <c r="P1068">
        <v>17.2</v>
      </c>
      <c r="Q1068">
        <v>10</v>
      </c>
      <c r="R10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68">
        <v>1.04</v>
      </c>
      <c r="T10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8">
        <v>0.16</v>
      </c>
      <c r="V1068" t="s">
        <v>1687</v>
      </c>
    </row>
    <row r="1069" spans="1:22" x14ac:dyDescent="0.35">
      <c r="A1069" t="s">
        <v>1688</v>
      </c>
      <c r="B1069" s="2">
        <v>45493</v>
      </c>
      <c r="C1069" t="str" cm="1">
        <f t="array" ref="C10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69">
        <f>YEAR(AllDataCorrected[[#This Row],[Date]])</f>
        <v>2024</v>
      </c>
      <c r="E1069" s="1">
        <v>0.45694444444444443</v>
      </c>
      <c r="F10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69" t="str">
        <f>_xlfn.XLOOKUP(AllDataCorrected[[#This Row],[Location Name]], Locations[Location Name],Locations[Group As])</f>
        <v>Whitsun Brook Rous Church Lench</v>
      </c>
      <c r="H1069" t="e" vm="6">
        <f>_xlfn.XLOOKUP(AllDataCorrected[[#This Row],[Site Name]],LocationsKey[Site Name],LocationsKey[District])</f>
        <v>#VALUE!</v>
      </c>
      <c r="I1069" t="e" vm="29">
        <f>_xlfn.XLOOKUP(AllDataCorrected[[#This Row],[Site Name]],LocationsKey[Site Name],LocationsKey[Town])</f>
        <v>#VALUE!</v>
      </c>
      <c r="J1069" t="str">
        <f>_xlfn.XLOOKUP(AllDataCorrected[[#This Row],[Site Name]],LocationsKey[Site Name], LocationsKey[Waterway])</f>
        <v>Whitsun Brook</v>
      </c>
      <c r="K1069" t="s">
        <v>1689</v>
      </c>
      <c r="L1069">
        <f>_xlfn.XLOOKUP(AllDataCorrected[[#This Row],[Site Name]],Tables!$B$12:$B$100, Tables!C$12:C$100)</f>
        <v>52.168419999999998</v>
      </c>
      <c r="M1069">
        <f>_xlfn.XLOOKUP(AllDataCorrected[[#This Row],[Site Name]],Tables!$B$12:$B$100, Tables!D$12:D$100)</f>
        <v>-1.96041</v>
      </c>
      <c r="N1069" t="s">
        <v>68</v>
      </c>
      <c r="O1069">
        <v>762</v>
      </c>
      <c r="P1069">
        <v>17.899999999999999</v>
      </c>
      <c r="Q1069">
        <v>2</v>
      </c>
      <c r="R1069" t="str">
        <f>IF(AllDataCorrected[[#This Row],[Nitrate (PPM)]]&gt;2, "4. Very high (&gt;2ppm)", IF(AllDataCorrected[[#This Row],[Nitrate (PPM)]]&gt;1, "3. High (1-2ppm)", IF(AllDataCorrected[[#This Row],[Nitrate (PPM)]]&gt;0.5, "2. Some evidence (0.5-1ppm)", IF(AllDataCorrected[[#This Row],[Nitrate (PPM)]]&gt;=0, "1. No evidence (&lt;0.5ppm)"))))</f>
        <v>3. High (1-2ppm)</v>
      </c>
      <c r="S1069">
        <v>2.5</v>
      </c>
      <c r="T106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69">
        <v>0.16</v>
      </c>
      <c r="V1069" t="s">
        <v>1690</v>
      </c>
    </row>
    <row r="1070" spans="1:22" x14ac:dyDescent="0.35">
      <c r="A1070" t="s">
        <v>1691</v>
      </c>
      <c r="B1070" s="2">
        <v>45493</v>
      </c>
      <c r="C1070" t="str" cm="1">
        <f t="array" ref="C10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0">
        <f>YEAR(AllDataCorrected[[#This Row],[Date]])</f>
        <v>2024</v>
      </c>
      <c r="E1070" s="1">
        <v>0.47361111111111109</v>
      </c>
      <c r="F107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70" t="str">
        <f>_xlfn.XLOOKUP(AllDataCorrected[[#This Row],[Location Name]], Locations[Location Name],Locations[Group As])</f>
        <v>Whitsun Brook Atch Lench Road, Church Lench.</v>
      </c>
      <c r="H1070" t="e" vm="6">
        <f>_xlfn.XLOOKUP(AllDataCorrected[[#This Row],[Site Name]],LocationsKey[Site Name],LocationsKey[District])</f>
        <v>#VALUE!</v>
      </c>
      <c r="I1070" t="e" vm="29">
        <f>_xlfn.XLOOKUP(AllDataCorrected[[#This Row],[Site Name]],LocationsKey[Site Name],LocationsKey[Town])</f>
        <v>#VALUE!</v>
      </c>
      <c r="J1070" t="str">
        <f>_xlfn.XLOOKUP(AllDataCorrected[[#This Row],[Site Name]],LocationsKey[Site Name], LocationsKey[Waterway])</f>
        <v>Whitsun Brook</v>
      </c>
      <c r="K1070" t="s">
        <v>1692</v>
      </c>
      <c r="L1070">
        <f>_xlfn.XLOOKUP(AllDataCorrected[[#This Row],[Site Name]],Tables!$B$12:$B$100, Tables!C$12:C$100)</f>
        <v>52.158735499999999</v>
      </c>
      <c r="M1070">
        <f>_xlfn.XLOOKUP(AllDataCorrected[[#This Row],[Site Name]],Tables!$B$12:$B$100, Tables!D$12:D$100)</f>
        <v>-1.9573510000000001</v>
      </c>
      <c r="N1070" t="s">
        <v>68</v>
      </c>
      <c r="O1070">
        <v>632</v>
      </c>
      <c r="P1070">
        <v>18.2</v>
      </c>
      <c r="Q1070">
        <v>1</v>
      </c>
      <c r="R1070"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0">
        <v>0.69</v>
      </c>
      <c r="T10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0">
        <v>0.16</v>
      </c>
      <c r="V1070" t="s">
        <v>1693</v>
      </c>
    </row>
    <row r="1071" spans="1:22" x14ac:dyDescent="0.35">
      <c r="A1071" t="s">
        <v>1694</v>
      </c>
      <c r="B1071" s="2">
        <v>45493</v>
      </c>
      <c r="C1071" t="str" cm="1">
        <f t="array" ref="C10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1">
        <f>YEAR(AllDataCorrected[[#This Row],[Date]])</f>
        <v>2024</v>
      </c>
      <c r="E1071" s="1">
        <v>0.50208333333333333</v>
      </c>
      <c r="F10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1" t="str">
        <f>_xlfn.XLOOKUP(AllDataCorrected[[#This Row],[Location Name]], Locations[Location Name],Locations[Group As])</f>
        <v>Whitsun Brook Rous Lench Bishampton</v>
      </c>
      <c r="H1071" t="e" vm="6">
        <f>_xlfn.XLOOKUP(AllDataCorrected[[#This Row],[Site Name]],LocationsKey[Site Name],LocationsKey[District])</f>
        <v>#VALUE!</v>
      </c>
      <c r="I1071" t="e" vm="32">
        <f>_xlfn.XLOOKUP(AllDataCorrected[[#This Row],[Site Name]],LocationsKey[Site Name],LocationsKey[Town])</f>
        <v>#VALUE!</v>
      </c>
      <c r="J1071" t="str">
        <f>_xlfn.XLOOKUP(AllDataCorrected[[#This Row],[Site Name]],LocationsKey[Site Name], LocationsKey[Waterway])</f>
        <v>Whitsun Brook</v>
      </c>
      <c r="K1071" t="s">
        <v>1695</v>
      </c>
      <c r="L1071">
        <f>_xlfn.XLOOKUP(AllDataCorrected[[#This Row],[Site Name]],Tables!$B$12:$B$100, Tables!C$12:C$100)</f>
        <v>52.169851000000001</v>
      </c>
      <c r="M1071">
        <f>_xlfn.XLOOKUP(AllDataCorrected[[#This Row],[Site Name]],Tables!$B$12:$B$100, Tables!D$12:D$100)</f>
        <v>-1.9903459999999999</v>
      </c>
      <c r="N1071" t="s">
        <v>31</v>
      </c>
      <c r="O1071">
        <v>994</v>
      </c>
      <c r="P1071">
        <v>18.100000000000001</v>
      </c>
      <c r="Q1071">
        <v>9</v>
      </c>
      <c r="R10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1">
        <v>1.95</v>
      </c>
      <c r="T10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1">
        <v>0.16</v>
      </c>
      <c r="V1071" t="s">
        <v>1696</v>
      </c>
    </row>
    <row r="1072" spans="1:22" x14ac:dyDescent="0.35">
      <c r="A1072" t="s">
        <v>1697</v>
      </c>
      <c r="B1072" s="2">
        <v>45493</v>
      </c>
      <c r="C1072" t="str" cm="1">
        <f t="array" ref="C10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2">
        <f>YEAR(AllDataCorrected[[#This Row],[Date]])</f>
        <v>2024</v>
      </c>
      <c r="E1072" s="1">
        <v>0.52083333333333337</v>
      </c>
      <c r="F10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2" t="str">
        <f>_xlfn.XLOOKUP(AllDataCorrected[[#This Row],[Location Name]], Locations[Location Name],Locations[Group As])</f>
        <v>Whitsun Brook north of Bishampton</v>
      </c>
      <c r="H1072" t="e" vm="6">
        <f>_xlfn.XLOOKUP(AllDataCorrected[[#This Row],[Site Name]],LocationsKey[Site Name],LocationsKey[District])</f>
        <v>#VALUE!</v>
      </c>
      <c r="I1072" t="e" vm="31">
        <f>_xlfn.XLOOKUP(AllDataCorrected[[#This Row],[Site Name]],LocationsKey[Site Name],LocationsKey[Town])</f>
        <v>#VALUE!</v>
      </c>
      <c r="J1072" t="str">
        <f>_xlfn.XLOOKUP(AllDataCorrected[[#This Row],[Site Name]],LocationsKey[Site Name], LocationsKey[Waterway])</f>
        <v>Whitsun Brook</v>
      </c>
      <c r="K1072" t="s">
        <v>1698</v>
      </c>
      <c r="L1072">
        <f>_xlfn.XLOOKUP(AllDataCorrected[[#This Row],[Site Name]],Tables!$B$12:$B$100, Tables!C$12:C$100)</f>
        <v>52.168118999999997</v>
      </c>
      <c r="M1072">
        <f>_xlfn.XLOOKUP(AllDataCorrected[[#This Row],[Site Name]],Tables!$B$12:$B$100, Tables!D$12:D$100)</f>
        <v>-2.0151129999999999</v>
      </c>
      <c r="N1072" t="s">
        <v>31</v>
      </c>
      <c r="O1072">
        <v>2300</v>
      </c>
      <c r="P1072">
        <v>16.7</v>
      </c>
      <c r="Q1072">
        <v>10</v>
      </c>
      <c r="R107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2">
        <v>1.44</v>
      </c>
      <c r="T10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2">
        <v>0.16</v>
      </c>
      <c r="V1072" t="s">
        <v>1699</v>
      </c>
    </row>
    <row r="1073" spans="1:22" x14ac:dyDescent="0.35">
      <c r="A1073" t="s">
        <v>1700</v>
      </c>
      <c r="B1073" s="2">
        <v>45493</v>
      </c>
      <c r="C1073" t="str" cm="1">
        <f t="array" ref="C10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3">
        <f>YEAR(AllDataCorrected[[#This Row],[Date]])</f>
        <v>2024</v>
      </c>
      <c r="E1073" s="1">
        <v>0.5625</v>
      </c>
      <c r="F107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3" t="str">
        <f>_xlfn.XLOOKUP(AllDataCorrected[[#This Row],[Location Name]], Locations[Location Name],Locations[Group As])</f>
        <v>Pitch 16</v>
      </c>
      <c r="H1073" t="e" vm="1">
        <f>_xlfn.XLOOKUP(AllDataCorrected[[#This Row],[Site Name]],LocationsKey[Site Name],LocationsKey[District])</f>
        <v>#VALUE!</v>
      </c>
      <c r="I1073" t="e" vm="12">
        <f>_xlfn.XLOOKUP(AllDataCorrected[[#This Row],[Site Name]],LocationsKey[Site Name],LocationsKey[Town])</f>
        <v>#VALUE!</v>
      </c>
      <c r="J1073" t="str">
        <f>_xlfn.XLOOKUP(AllDataCorrected[[#This Row],[Site Name]],LocationsKey[Site Name], LocationsKey[Waterway])</f>
        <v>Avon</v>
      </c>
      <c r="K1073" t="s">
        <v>71</v>
      </c>
      <c r="L1073">
        <f>_xlfn.XLOOKUP(AllDataCorrected[[#This Row],[Site Name]],Tables!$B$12:$B$100, Tables!C$12:C$100)</f>
        <v>51.289310076923087</v>
      </c>
      <c r="M1073">
        <f>_xlfn.XLOOKUP(AllDataCorrected[[#This Row],[Site Name]],Tables!$B$12:$B$100, Tables!D$12:D$100)</f>
        <v>-0.10399761538461544</v>
      </c>
      <c r="N1073" t="s">
        <v>31</v>
      </c>
      <c r="O1073">
        <v>839</v>
      </c>
      <c r="P1073">
        <v>21.4</v>
      </c>
      <c r="Q1073">
        <v>5</v>
      </c>
      <c r="R10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3">
        <v>0.64</v>
      </c>
      <c r="T10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3">
        <v>0.65</v>
      </c>
    </row>
    <row r="1074" spans="1:22" x14ac:dyDescent="0.35">
      <c r="A1074" t="s">
        <v>1701</v>
      </c>
      <c r="B1074" s="2">
        <v>45493</v>
      </c>
      <c r="C1074" t="str" cm="1">
        <f t="array" ref="C10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4">
        <f>YEAR(AllDataCorrected[[#This Row],[Date]])</f>
        <v>2024</v>
      </c>
      <c r="E1074" s="1">
        <v>0.57638888888888884</v>
      </c>
      <c r="F10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4" t="str">
        <f>_xlfn.XLOOKUP(AllDataCorrected[[#This Row],[Location Name]], Locations[Location Name],Locations[Group As])</f>
        <v>Avonbank Drive</v>
      </c>
      <c r="H1074" t="e" vm="1">
        <f>_xlfn.XLOOKUP(AllDataCorrected[[#This Row],[Site Name]],LocationsKey[Site Name],LocationsKey[District])</f>
        <v>#VALUE!</v>
      </c>
      <c r="I1074" t="e" vm="12">
        <f>_xlfn.XLOOKUP(AllDataCorrected[[#This Row],[Site Name]],LocationsKey[Site Name],LocationsKey[Town])</f>
        <v>#VALUE!</v>
      </c>
      <c r="J1074" t="str">
        <f>_xlfn.XLOOKUP(AllDataCorrected[[#This Row],[Site Name]],LocationsKey[Site Name], LocationsKey[Waterway])</f>
        <v>Avon</v>
      </c>
      <c r="K1074" t="s">
        <v>67</v>
      </c>
      <c r="L1074">
        <f>_xlfn.XLOOKUP(AllDataCorrected[[#This Row],[Site Name]],Tables!$B$12:$B$100, Tables!C$12:C$100)</f>
        <v>51.566927775862098</v>
      </c>
      <c r="M1074">
        <f>_xlfn.XLOOKUP(AllDataCorrected[[#This Row],[Site Name]],Tables!$B$12:$B$100, Tables!D$12:D$100)</f>
        <v>-7.2113336724137929</v>
      </c>
      <c r="N1074" t="s">
        <v>68</v>
      </c>
      <c r="O1074">
        <v>864</v>
      </c>
      <c r="P1074">
        <v>21.3</v>
      </c>
      <c r="Q1074">
        <v>5</v>
      </c>
      <c r="R107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4">
        <v>0.51</v>
      </c>
      <c r="T10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4">
        <v>0.65</v>
      </c>
    </row>
    <row r="1075" spans="1:22" x14ac:dyDescent="0.35">
      <c r="A1075" t="s">
        <v>1702</v>
      </c>
      <c r="B1075" s="2">
        <v>45493</v>
      </c>
      <c r="C1075" t="str" cm="1">
        <f t="array" ref="C10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5">
        <f>YEAR(AllDataCorrected[[#This Row],[Date]])</f>
        <v>2024</v>
      </c>
      <c r="E1075" s="1">
        <v>0.74236111111111114</v>
      </c>
      <c r="F10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75" t="str">
        <f>_xlfn.XLOOKUP(AllDataCorrected[[#This Row],[Location Name]], Locations[Location Name],Locations[Group As])</f>
        <v>Preston-on-Stour River Bridge</v>
      </c>
      <c r="H1075" t="e" vm="1">
        <f>_xlfn.XLOOKUP(AllDataCorrected[[#This Row],[Site Name]],LocationsKey[Site Name],LocationsKey[District])</f>
        <v>#VALUE!</v>
      </c>
      <c r="I1075" t="e" vm="20">
        <f>_xlfn.XLOOKUP(AllDataCorrected[[#This Row],[Site Name]],LocationsKey[Site Name],LocationsKey[Town])</f>
        <v>#VALUE!</v>
      </c>
      <c r="J1075" t="str">
        <f>_xlfn.XLOOKUP(AllDataCorrected[[#This Row],[Site Name]],LocationsKey[Site Name], LocationsKey[Waterway])</f>
        <v>Stour</v>
      </c>
      <c r="K1075" t="s">
        <v>164</v>
      </c>
      <c r="L1075">
        <f>_xlfn.XLOOKUP(AllDataCorrected[[#This Row],[Site Name]],Tables!$B$12:$B$100, Tables!C$12:C$100)</f>
        <v>52.146672352941174</v>
      </c>
      <c r="M1075">
        <f>_xlfn.XLOOKUP(AllDataCorrected[[#This Row],[Site Name]],Tables!$B$12:$B$100, Tables!D$12:D$100)</f>
        <v>-1.6984533333333334</v>
      </c>
      <c r="N1075" t="s">
        <v>31</v>
      </c>
      <c r="O1075">
        <v>647</v>
      </c>
      <c r="P1075">
        <v>20.3</v>
      </c>
      <c r="Q1075">
        <v>5</v>
      </c>
      <c r="R10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75">
        <v>0.69</v>
      </c>
      <c r="T10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5">
        <v>1</v>
      </c>
    </row>
    <row r="1076" spans="1:22" x14ac:dyDescent="0.35">
      <c r="A1076" t="s">
        <v>1703</v>
      </c>
      <c r="B1076" s="2">
        <v>45493</v>
      </c>
      <c r="C1076" t="str" cm="1">
        <f t="array" ref="C10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6">
        <f>YEAR(AllDataCorrected[[#This Row],[Date]])</f>
        <v>2024</v>
      </c>
      <c r="F1076"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6" t="str">
        <f>_xlfn.XLOOKUP(AllDataCorrected[[#This Row],[Location Name]], Locations[Location Name],Locations[Group As])</f>
        <v>Site 1  :  Middle Street</v>
      </c>
      <c r="H1076" t="e" vm="1">
        <f>_xlfn.XLOOKUP(AllDataCorrected[[#This Row],[Site Name]],LocationsKey[Site Name],LocationsKey[District])</f>
        <v>#VALUE!</v>
      </c>
      <c r="I1076" t="e" vm="14">
        <f>_xlfn.XLOOKUP(AllDataCorrected[[#This Row],[Site Name]],LocationsKey[Site Name],LocationsKey[Town])</f>
        <v>#VALUE!</v>
      </c>
      <c r="J1076" t="str">
        <f>_xlfn.XLOOKUP(AllDataCorrected[[#This Row],[Site Name]],LocationsKey[Site Name], LocationsKey[Waterway])</f>
        <v>Fosseway Brook</v>
      </c>
      <c r="K1076" t="s">
        <v>667</v>
      </c>
      <c r="L1076">
        <f>_xlfn.XLOOKUP(AllDataCorrected[[#This Row],[Site Name]],Tables!$B$12:$B$100, Tables!C$12:C$100)</f>
        <v>52.090081855670022</v>
      </c>
      <c r="M1076">
        <f>_xlfn.XLOOKUP(AllDataCorrected[[#This Row],[Site Name]],Tables!$B$12:$B$100, Tables!D$12:D$100)</f>
        <v>-1.6925771134020597</v>
      </c>
      <c r="N1076" t="s">
        <v>68</v>
      </c>
      <c r="O1076">
        <v>603</v>
      </c>
      <c r="P1076">
        <v>21.7</v>
      </c>
      <c r="Q1076">
        <v>1</v>
      </c>
      <c r="R1076"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6">
        <v>0.36</v>
      </c>
      <c r="T107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76">
        <v>0</v>
      </c>
      <c r="V1076" t="s">
        <v>1704</v>
      </c>
    </row>
    <row r="1077" spans="1:22" x14ac:dyDescent="0.35">
      <c r="A1077" t="s">
        <v>1705</v>
      </c>
      <c r="B1077" s="2">
        <v>45493</v>
      </c>
      <c r="C1077" t="str" cm="1">
        <f t="array" ref="C10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7">
        <f>YEAR(AllDataCorrected[[#This Row],[Date]])</f>
        <v>2024</v>
      </c>
      <c r="F1077"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7" t="str">
        <f>_xlfn.XLOOKUP(AllDataCorrected[[#This Row],[Location Name]], Locations[Location Name],Locations[Group As])</f>
        <v>Site 1  :  Middle Street</v>
      </c>
      <c r="H1077" t="e" vm="1">
        <f>_xlfn.XLOOKUP(AllDataCorrected[[#This Row],[Site Name]],LocationsKey[Site Name],LocationsKey[District])</f>
        <v>#VALUE!</v>
      </c>
      <c r="I1077" t="e" vm="14">
        <f>_xlfn.XLOOKUP(AllDataCorrected[[#This Row],[Site Name]],LocationsKey[Site Name],LocationsKey[Town])</f>
        <v>#VALUE!</v>
      </c>
      <c r="J1077" t="str">
        <f>_xlfn.XLOOKUP(AllDataCorrected[[#This Row],[Site Name]],LocationsKey[Site Name], LocationsKey[Waterway])</f>
        <v>Fosseway Brook</v>
      </c>
      <c r="K1077" t="s">
        <v>670</v>
      </c>
      <c r="L1077">
        <f>_xlfn.XLOOKUP(AllDataCorrected[[#This Row],[Site Name]],Tables!$B$12:$B$100, Tables!C$12:C$100)</f>
        <v>52.090081855670022</v>
      </c>
      <c r="M1077">
        <f>_xlfn.XLOOKUP(AllDataCorrected[[#This Row],[Site Name]],Tables!$B$12:$B$100, Tables!D$12:D$100)</f>
        <v>-1.6925771134020597</v>
      </c>
      <c r="N1077" t="s">
        <v>68</v>
      </c>
      <c r="O1077">
        <v>603</v>
      </c>
      <c r="P1077">
        <v>21.7</v>
      </c>
      <c r="Q1077">
        <v>1</v>
      </c>
      <c r="R1077" t="str">
        <f>IF(AllDataCorrected[[#This Row],[Nitrate (PPM)]]&gt;2, "4. Very high (&gt;2ppm)", IF(AllDataCorrected[[#This Row],[Nitrate (PPM)]]&gt;1, "3. High (1-2ppm)", IF(AllDataCorrected[[#This Row],[Nitrate (PPM)]]&gt;0.5, "2. Some evidence (0.5-1ppm)", IF(AllDataCorrected[[#This Row],[Nitrate (PPM)]]&gt;=0, "1. No evidence (&lt;0.5ppm)"))))</f>
        <v>2. Some evidence (0.5-1ppm)</v>
      </c>
      <c r="S1077">
        <v>0.36</v>
      </c>
      <c r="T107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V1077" t="s">
        <v>1706</v>
      </c>
    </row>
    <row r="1078" spans="1:22" x14ac:dyDescent="0.35">
      <c r="A1078" t="s">
        <v>1707</v>
      </c>
      <c r="B1078" s="2">
        <v>45493</v>
      </c>
      <c r="C1078" t="str" cm="1">
        <f t="array" ref="C10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8">
        <f>YEAR(AllDataCorrected[[#This Row],[Date]])</f>
        <v>2024</v>
      </c>
      <c r="F1078"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8" t="str">
        <f>_xlfn.XLOOKUP(AllDataCorrected[[#This Row],[Location Name]], Locations[Location Name],Locations[Group As])</f>
        <v>Site 2  :  Cross Leys culvert</v>
      </c>
      <c r="H1078" t="e" vm="1">
        <f>_xlfn.XLOOKUP(AllDataCorrected[[#This Row],[Site Name]],LocationsKey[Site Name],LocationsKey[District])</f>
        <v>#VALUE!</v>
      </c>
      <c r="I1078" t="e" vm="14">
        <f>_xlfn.XLOOKUP(AllDataCorrected[[#This Row],[Site Name]],LocationsKey[Site Name],LocationsKey[Town])</f>
        <v>#VALUE!</v>
      </c>
      <c r="J1078" t="str">
        <f>_xlfn.XLOOKUP(AllDataCorrected[[#This Row],[Site Name]],LocationsKey[Site Name], LocationsKey[Waterway])</f>
        <v>Fosseway Brook</v>
      </c>
      <c r="K1078" t="s">
        <v>623</v>
      </c>
      <c r="L1078">
        <f>_xlfn.XLOOKUP(AllDataCorrected[[#This Row],[Site Name]],Tables!$B$12:$B$100, Tables!C$12:C$100)</f>
        <v>52.092997354838673</v>
      </c>
      <c r="M1078">
        <f>_xlfn.XLOOKUP(AllDataCorrected[[#This Row],[Site Name]],Tables!$B$12:$B$100, Tables!D$12:D$100)</f>
        <v>-1.6862254516129045</v>
      </c>
      <c r="N1078" t="s">
        <v>68</v>
      </c>
      <c r="O1078">
        <v>834</v>
      </c>
      <c r="P1078">
        <v>18.5</v>
      </c>
      <c r="Q1078">
        <v>0</v>
      </c>
      <c r="R107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78">
        <v>0.93</v>
      </c>
      <c r="T10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78">
        <v>0</v>
      </c>
      <c r="V1078" t="s">
        <v>835</v>
      </c>
    </row>
    <row r="1079" spans="1:22" x14ac:dyDescent="0.35">
      <c r="A1079" t="s">
        <v>1708</v>
      </c>
      <c r="B1079" s="2">
        <v>45493</v>
      </c>
      <c r="C1079" t="str" cm="1">
        <f t="array" ref="C10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79">
        <f>YEAR(AllDataCorrected[[#This Row],[Date]])</f>
        <v>2024</v>
      </c>
      <c r="F1079"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79" t="str">
        <f>_xlfn.XLOOKUP(AllDataCorrected[[#This Row],[Location Name]], Locations[Location Name],Locations[Group As])</f>
        <v>Site 2  :  Cross Leys culvert</v>
      </c>
      <c r="H1079" t="e" vm="1">
        <f>_xlfn.XLOOKUP(AllDataCorrected[[#This Row],[Site Name]],LocationsKey[Site Name],LocationsKey[District])</f>
        <v>#VALUE!</v>
      </c>
      <c r="I1079" t="e" vm="14">
        <f>_xlfn.XLOOKUP(AllDataCorrected[[#This Row],[Site Name]],LocationsKey[Site Name],LocationsKey[Town])</f>
        <v>#VALUE!</v>
      </c>
      <c r="J1079" t="str">
        <f>_xlfn.XLOOKUP(AllDataCorrected[[#This Row],[Site Name]],LocationsKey[Site Name], LocationsKey[Waterway])</f>
        <v>Fosseway Brook</v>
      </c>
      <c r="K1079" t="s">
        <v>626</v>
      </c>
      <c r="L1079">
        <f>_xlfn.XLOOKUP(AllDataCorrected[[#This Row],[Site Name]],Tables!$B$12:$B$100, Tables!C$12:C$100)</f>
        <v>52.092997354838673</v>
      </c>
      <c r="M1079">
        <f>_xlfn.XLOOKUP(AllDataCorrected[[#This Row],[Site Name]],Tables!$B$12:$B$100, Tables!D$12:D$100)</f>
        <v>-1.6862254516129045</v>
      </c>
      <c r="N1079" t="s">
        <v>68</v>
      </c>
      <c r="O1079">
        <v>834</v>
      </c>
      <c r="P1079">
        <v>18.5</v>
      </c>
      <c r="Q1079">
        <v>0</v>
      </c>
      <c r="R107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79">
        <v>0.93</v>
      </c>
      <c r="T10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1080" spans="1:22" x14ac:dyDescent="0.35">
      <c r="A1080" t="s">
        <v>1709</v>
      </c>
      <c r="B1080" s="2">
        <v>45493</v>
      </c>
      <c r="C1080" t="str" cm="1">
        <f t="array" ref="C10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0">
        <f>YEAR(AllDataCorrected[[#This Row],[Date]])</f>
        <v>2024</v>
      </c>
      <c r="F1080"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80" t="str">
        <f>_xlfn.XLOOKUP(AllDataCorrected[[#This Row],[Location Name]], Locations[Location Name],Locations[Group As])</f>
        <v>Site 3  :  Severn Trent Water processing plant outflow</v>
      </c>
      <c r="H1080" t="e" vm="1">
        <f>_xlfn.XLOOKUP(AllDataCorrected[[#This Row],[Site Name]],LocationsKey[Site Name],LocationsKey[District])</f>
        <v>#VALUE!</v>
      </c>
      <c r="I1080" t="e" vm="14">
        <f>_xlfn.XLOOKUP(AllDataCorrected[[#This Row],[Site Name]],LocationsKey[Site Name],LocationsKey[Town])</f>
        <v>#VALUE!</v>
      </c>
      <c r="J1080" t="str">
        <f>_xlfn.XLOOKUP(AllDataCorrected[[#This Row],[Site Name]],LocationsKey[Site Name], LocationsKey[Waterway])</f>
        <v>Fosseway Brook</v>
      </c>
      <c r="K1080" t="s">
        <v>673</v>
      </c>
      <c r="L1080">
        <f>_xlfn.XLOOKUP(AllDataCorrected[[#This Row],[Site Name]],Tables!$B$12:$B$100, Tables!C$12:C$100)</f>
        <v>52.130499999999998</v>
      </c>
      <c r="M1080">
        <f>_xlfn.XLOOKUP(AllDataCorrected[[#This Row],[Site Name]],Tables!$B$12:$B$100, Tables!D$12:D$100)</f>
        <v>-2.0787</v>
      </c>
      <c r="N1080" t="s">
        <v>31</v>
      </c>
      <c r="O1080">
        <v>897</v>
      </c>
      <c r="P1080">
        <v>19.399999999999999</v>
      </c>
      <c r="Q1080">
        <v>10</v>
      </c>
      <c r="R10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0">
        <v>2.5</v>
      </c>
      <c r="T10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0">
        <v>0</v>
      </c>
      <c r="V1080" t="s">
        <v>1259</v>
      </c>
    </row>
    <row r="1081" spans="1:22" x14ac:dyDescent="0.35">
      <c r="A1081" t="s">
        <v>1710</v>
      </c>
      <c r="B1081" s="2">
        <v>45493</v>
      </c>
      <c r="C1081" t="str" cm="1">
        <f t="array" ref="C10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1">
        <f>YEAR(AllDataCorrected[[#This Row],[Date]])</f>
        <v>2024</v>
      </c>
      <c r="F1081" t="str">
        <f>IF(AND(AllDataCorrected[[#This Row],[Time]]&lt;0.5, AllDataCorrected[[#This Row],[Time]]&gt;0.17)=TRUE, "Morning", IF(AND(AllDataCorrected[[#This Row],[Time]]&lt;0.75, AllDataCorrected[[#This Row],[Time]]&gt;=0.5)=TRUE, "Afternoon", IF(AND(AllDataCorrected[[#This Row],[Time]]&lt;1, AllDataCorrected[[#This Row],[Time]]&gt;=0.75)=TRUE, "Evening", "Night")))</f>
        <v>Night</v>
      </c>
      <c r="G1081" t="str">
        <f>_xlfn.XLOOKUP(AllDataCorrected[[#This Row],[Location Name]], Locations[Location Name],Locations[Group As])</f>
        <v>Site 3  :  Severn Trent Water processing plant outflow</v>
      </c>
      <c r="H1081" t="e" vm="1">
        <f>_xlfn.XLOOKUP(AllDataCorrected[[#This Row],[Site Name]],LocationsKey[Site Name],LocationsKey[District])</f>
        <v>#VALUE!</v>
      </c>
      <c r="I1081" t="e" vm="14">
        <f>_xlfn.XLOOKUP(AllDataCorrected[[#This Row],[Site Name]],LocationsKey[Site Name],LocationsKey[Town])</f>
        <v>#VALUE!</v>
      </c>
      <c r="J1081" t="str">
        <f>_xlfn.XLOOKUP(AllDataCorrected[[#This Row],[Site Name]],LocationsKey[Site Name], LocationsKey[Waterway])</f>
        <v>Fosseway Brook</v>
      </c>
      <c r="K1081" t="s">
        <v>676</v>
      </c>
      <c r="L1081">
        <f>_xlfn.XLOOKUP(AllDataCorrected[[#This Row],[Site Name]],Tables!$B$12:$B$100, Tables!C$12:C$100)</f>
        <v>52.130499999999998</v>
      </c>
      <c r="M1081">
        <f>_xlfn.XLOOKUP(AllDataCorrected[[#This Row],[Site Name]],Tables!$B$12:$B$100, Tables!D$12:D$100)</f>
        <v>-2.0787</v>
      </c>
      <c r="N1081" t="s">
        <v>31</v>
      </c>
      <c r="O1081">
        <v>897</v>
      </c>
      <c r="P1081">
        <v>19.399999999999999</v>
      </c>
      <c r="Q1081">
        <v>10</v>
      </c>
      <c r="R10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1">
        <v>2.5</v>
      </c>
      <c r="T108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row>
    <row r="1082" spans="1:22" x14ac:dyDescent="0.35">
      <c r="A1082" t="s">
        <v>1712</v>
      </c>
      <c r="B1082" s="2">
        <v>45494</v>
      </c>
      <c r="C1082" t="str" cm="1">
        <f t="array" ref="C10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2">
        <f>YEAR(AllDataCorrected[[#This Row],[Date]])</f>
        <v>2024</v>
      </c>
      <c r="E1082" s="1">
        <v>0.3972222222222222</v>
      </c>
      <c r="F108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2" t="str">
        <f>_xlfn.XLOOKUP(AllDataCorrected[[#This Row],[Location Name]], Locations[Location Name],Locations[Group As])</f>
        <v>Twyning Fleet</v>
      </c>
      <c r="H1082" t="e" vm="4">
        <f>_xlfn.XLOOKUP(AllDataCorrected[[#This Row],[Site Name]],LocationsKey[Site Name],LocationsKey[District])</f>
        <v>#VALUE!</v>
      </c>
      <c r="I1082" t="str">
        <f>_xlfn.XLOOKUP(AllDataCorrected[[#This Row],[Site Name]],LocationsKey[Site Name],LocationsKey[Town])</f>
        <v>Twyning Green</v>
      </c>
      <c r="J1082" t="str">
        <f>_xlfn.XLOOKUP(AllDataCorrected[[#This Row],[Site Name]],LocationsKey[Site Name], LocationsKey[Waterway])</f>
        <v>Avon</v>
      </c>
      <c r="K1082" t="s">
        <v>56</v>
      </c>
      <c r="L1082">
        <f>_xlfn.XLOOKUP(AllDataCorrected[[#This Row],[Site Name]],Tables!$B$12:$B$100, Tables!C$12:C$100)</f>
        <v>52.027216452380941</v>
      </c>
      <c r="M1082">
        <f>_xlfn.XLOOKUP(AllDataCorrected[[#This Row],[Site Name]],Tables!$B$12:$B$100, Tables!D$12:D$100)</f>
        <v>-2.140853452380953</v>
      </c>
      <c r="N1082" t="s">
        <v>31</v>
      </c>
      <c r="O1082">
        <v>8590</v>
      </c>
      <c r="P1082">
        <v>20.7</v>
      </c>
      <c r="Q1082">
        <v>7</v>
      </c>
      <c r="R10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2">
        <v>1.1599999999999999</v>
      </c>
      <c r="T10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2">
        <v>0</v>
      </c>
      <c r="V1082" t="s">
        <v>1713</v>
      </c>
    </row>
    <row r="1083" spans="1:22" x14ac:dyDescent="0.35">
      <c r="A1083" t="s">
        <v>1714</v>
      </c>
      <c r="B1083" s="2">
        <v>45494</v>
      </c>
      <c r="C1083" t="str" cm="1">
        <f t="array" ref="C10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3">
        <f>YEAR(AllDataCorrected[[#This Row],[Date]])</f>
        <v>2024</v>
      </c>
      <c r="E1083" s="1">
        <v>0.41666666666666669</v>
      </c>
      <c r="F108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3" t="str">
        <f>_xlfn.XLOOKUP(AllDataCorrected[[#This Row],[Location Name]], Locations[Location Name],Locations[Group As])</f>
        <v>Sherbourne Brook 1</v>
      </c>
      <c r="H1083" t="e" vm="1">
        <f>_xlfn.XLOOKUP(AllDataCorrected[[#This Row],[Site Name]],LocationsKey[Site Name],LocationsKey[District])</f>
        <v>#VALUE!</v>
      </c>
      <c r="I1083" t="e" vm="23">
        <f>_xlfn.XLOOKUP(AllDataCorrected[[#This Row],[Site Name]],LocationsKey[Site Name],LocationsKey[Town])</f>
        <v>#VALUE!</v>
      </c>
      <c r="J1083" t="str">
        <f>_xlfn.XLOOKUP(AllDataCorrected[[#This Row],[Site Name]],LocationsKey[Site Name], LocationsKey[Waterway])</f>
        <v>Sherbourne Brook</v>
      </c>
      <c r="K1083" t="s">
        <v>541</v>
      </c>
      <c r="L1083">
        <f>_xlfn.XLOOKUP(AllDataCorrected[[#This Row],[Site Name]],Tables!$B$12:$B$100, Tables!C$12:C$100)</f>
        <v>52.252500000000033</v>
      </c>
      <c r="M1083">
        <f>_xlfn.XLOOKUP(AllDataCorrected[[#This Row],[Site Name]],Tables!$B$12:$B$100, Tables!D$12:D$100)</f>
        <v>-1.6685000000000012</v>
      </c>
      <c r="N1083" t="s">
        <v>25</v>
      </c>
      <c r="O1083">
        <v>1050</v>
      </c>
      <c r="P1083">
        <v>17.5</v>
      </c>
      <c r="Q1083">
        <v>7</v>
      </c>
      <c r="R108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3">
        <v>0.51</v>
      </c>
      <c r="T10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3">
        <v>0.15</v>
      </c>
    </row>
    <row r="1084" spans="1:22" x14ac:dyDescent="0.35">
      <c r="A1084" t="s">
        <v>1715</v>
      </c>
      <c r="B1084" s="2">
        <v>45494</v>
      </c>
      <c r="C1084" t="str" cm="1">
        <f t="array" ref="C10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4">
        <f>YEAR(AllDataCorrected[[#This Row],[Date]])</f>
        <v>2024</v>
      </c>
      <c r="E1084" s="1">
        <v>0.42708333333333331</v>
      </c>
      <c r="F10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4" t="str">
        <f>_xlfn.XLOOKUP(AllDataCorrected[[#This Row],[Location Name]], Locations[Location Name],Locations[Group As])</f>
        <v>Bell Brook 1</v>
      </c>
      <c r="H1084" t="e" vm="1">
        <f>_xlfn.XLOOKUP(AllDataCorrected[[#This Row],[Site Name]],LocationsKey[Site Name],LocationsKey[District])</f>
        <v>#VALUE!</v>
      </c>
      <c r="I1084" t="e" vm="19">
        <f>_xlfn.XLOOKUP(AllDataCorrected[[#This Row],[Site Name]],LocationsKey[Site Name],LocationsKey[Town])</f>
        <v>#VALUE!</v>
      </c>
      <c r="J1084" t="str">
        <f>_xlfn.XLOOKUP(AllDataCorrected[[#This Row],[Site Name]],LocationsKey[Site Name], LocationsKey[Waterway])</f>
        <v>Bell Brook</v>
      </c>
      <c r="K1084" t="s">
        <v>538</v>
      </c>
      <c r="L1084">
        <f>_xlfn.XLOOKUP(AllDataCorrected[[#This Row],[Site Name]],Tables!$B$12:$B$100, Tables!C$12:C$100)</f>
        <v>52.24489999999998</v>
      </c>
      <c r="M1084">
        <f>_xlfn.XLOOKUP(AllDataCorrected[[#This Row],[Site Name]],Tables!$B$12:$B$100, Tables!D$12:D$100)</f>
        <v>-1.6617000000000013</v>
      </c>
      <c r="N1084" t="s">
        <v>25</v>
      </c>
      <c r="O1084">
        <v>726</v>
      </c>
      <c r="P1084">
        <v>18.7</v>
      </c>
      <c r="Q1084">
        <v>6</v>
      </c>
      <c r="R10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4">
        <v>0.56999999999999995</v>
      </c>
      <c r="T10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4">
        <v>0.15</v>
      </c>
    </row>
    <row r="1085" spans="1:22" x14ac:dyDescent="0.35">
      <c r="A1085" t="s">
        <v>1716</v>
      </c>
      <c r="B1085" s="2">
        <v>45494</v>
      </c>
      <c r="C1085" t="str" cm="1">
        <f t="array" ref="C10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5">
        <f>YEAR(AllDataCorrected[[#This Row],[Date]])</f>
        <v>2024</v>
      </c>
      <c r="E1085" s="1">
        <v>0.5</v>
      </c>
      <c r="F108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5" t="str">
        <f>_xlfn.XLOOKUP(AllDataCorrected[[#This Row],[Location Name]], Locations[Location Name],Locations[Group As])</f>
        <v>Carrant Bredon Rd</v>
      </c>
      <c r="H1085" t="e" vm="4">
        <f>_xlfn.XLOOKUP(AllDataCorrected[[#This Row],[Site Name]],LocationsKey[Site Name],LocationsKey[District])</f>
        <v>#VALUE!</v>
      </c>
      <c r="I1085" t="e" vm="4">
        <f>_xlfn.XLOOKUP(AllDataCorrected[[#This Row],[Site Name]],LocationsKey[Site Name],LocationsKey[Town])</f>
        <v>#VALUE!</v>
      </c>
      <c r="J1085" t="str">
        <f>_xlfn.XLOOKUP(AllDataCorrected[[#This Row],[Site Name]],LocationsKey[Site Name], LocationsKey[Waterway])</f>
        <v>Carrant</v>
      </c>
      <c r="K1085" t="s">
        <v>603</v>
      </c>
      <c r="L1085">
        <f>_xlfn.XLOOKUP(AllDataCorrected[[#This Row],[Site Name]],Tables!$B$12:$B$100, Tables!C$12:C$100)</f>
        <v>51.996322536231894</v>
      </c>
      <c r="M1085">
        <f>_xlfn.XLOOKUP(AllDataCorrected[[#This Row],[Site Name]],Tables!$B$12:$B$100, Tables!D$12:D$100)</f>
        <v>-2.1558410144927538</v>
      </c>
      <c r="N1085" t="s">
        <v>25</v>
      </c>
      <c r="O1085">
        <v>693</v>
      </c>
      <c r="P1085">
        <v>18.7</v>
      </c>
      <c r="Q1085">
        <v>6</v>
      </c>
      <c r="R10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5">
        <v>0.69</v>
      </c>
      <c r="T108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5">
        <v>0.05</v>
      </c>
    </row>
    <row r="1086" spans="1:22" x14ac:dyDescent="0.35">
      <c r="A1086" t="s">
        <v>1717</v>
      </c>
      <c r="B1086" s="2">
        <v>45494</v>
      </c>
      <c r="C1086" t="str" cm="1">
        <f t="array" ref="C10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6">
        <f>YEAR(AllDataCorrected[[#This Row],[Date]])</f>
        <v>2024</v>
      </c>
      <c r="E1086" s="1">
        <v>0.5180555555555556</v>
      </c>
      <c r="F108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6" t="str">
        <f>_xlfn.XLOOKUP(AllDataCorrected[[#This Row],[Location Name]], Locations[Location Name],Locations[Group As])</f>
        <v>Fell Mill Footbridge</v>
      </c>
      <c r="H1086" t="e" vm="1">
        <f>_xlfn.XLOOKUP(AllDataCorrected[[#This Row],[Site Name]],LocationsKey[Site Name],LocationsKey[District])</f>
        <v>#VALUE!</v>
      </c>
      <c r="I1086" t="e" vm="15">
        <f>_xlfn.XLOOKUP(AllDataCorrected[[#This Row],[Site Name]],LocationsKey[Site Name],LocationsKey[Town])</f>
        <v>#VALUE!</v>
      </c>
      <c r="J1086" t="str">
        <f>_xlfn.XLOOKUP(AllDataCorrected[[#This Row],[Site Name]],LocationsKey[Site Name], LocationsKey[Waterway])</f>
        <v>Stour</v>
      </c>
      <c r="K1086" t="s">
        <v>875</v>
      </c>
      <c r="L1086">
        <f>_xlfn.XLOOKUP(AllDataCorrected[[#This Row],[Site Name]],Tables!$B$12:$B$100, Tables!C$12:C$100)</f>
        <v>52.069044372881365</v>
      </c>
      <c r="M1086">
        <f>_xlfn.XLOOKUP(AllDataCorrected[[#This Row],[Site Name]],Tables!$B$12:$B$100, Tables!D$12:D$100)</f>
        <v>-1.6116270169491524</v>
      </c>
      <c r="N1086" t="s">
        <v>31</v>
      </c>
      <c r="O1086">
        <v>654</v>
      </c>
      <c r="P1086">
        <v>18.100000000000001</v>
      </c>
      <c r="Q1086">
        <v>5</v>
      </c>
      <c r="R10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6">
        <v>0.7</v>
      </c>
      <c r="T10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6">
        <v>1</v>
      </c>
    </row>
    <row r="1087" spans="1:22" x14ac:dyDescent="0.35">
      <c r="A1087" t="s">
        <v>1718</v>
      </c>
      <c r="B1087" s="2">
        <v>45494</v>
      </c>
      <c r="C1087" t="str" cm="1">
        <f t="array" ref="C10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7">
        <f>YEAR(AllDataCorrected[[#This Row],[Date]])</f>
        <v>2024</v>
      </c>
      <c r="E1087" s="1">
        <v>0.61597222222222225</v>
      </c>
      <c r="F108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87" t="str">
        <f>_xlfn.XLOOKUP(AllDataCorrected[[#This Row],[Location Name]], Locations[Location Name],Locations[Group As])</f>
        <v>Black Bear</v>
      </c>
      <c r="H1087" t="e" vm="4">
        <f>_xlfn.XLOOKUP(AllDataCorrected[[#This Row],[Site Name]],LocationsKey[Site Name],LocationsKey[District])</f>
        <v>#VALUE!</v>
      </c>
      <c r="I1087" t="e" vm="4">
        <f>_xlfn.XLOOKUP(AllDataCorrected[[#This Row],[Site Name]],LocationsKey[Site Name],LocationsKey[Town])</f>
        <v>#VALUE!</v>
      </c>
      <c r="J1087" t="str">
        <f>_xlfn.XLOOKUP(AllDataCorrected[[#This Row],[Site Name]],LocationsKey[Site Name], LocationsKey[Waterway])</f>
        <v>Avon</v>
      </c>
      <c r="K1087" t="s">
        <v>1175</v>
      </c>
      <c r="L1087">
        <f>_xlfn.XLOOKUP(AllDataCorrected[[#This Row],[Site Name]],Tables!$B$12:$B$100, Tables!C$12:C$100)</f>
        <v>51.997466254237274</v>
      </c>
      <c r="M1087">
        <f>_xlfn.XLOOKUP(AllDataCorrected[[#This Row],[Site Name]],Tables!$B$12:$B$100, Tables!D$12:D$100)</f>
        <v>-2.1561788644067801</v>
      </c>
      <c r="N1087" t="s">
        <v>25</v>
      </c>
      <c r="O1087">
        <v>875</v>
      </c>
      <c r="P1087">
        <v>22.4</v>
      </c>
      <c r="Q1087">
        <v>9</v>
      </c>
      <c r="R108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7">
        <v>0.95</v>
      </c>
      <c r="T10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7">
        <v>0</v>
      </c>
    </row>
    <row r="1088" spans="1:22" x14ac:dyDescent="0.35">
      <c r="A1088" t="s">
        <v>1720</v>
      </c>
      <c r="B1088" s="2">
        <v>45495</v>
      </c>
      <c r="C1088" t="str" cm="1">
        <f t="array" ref="C10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8">
        <f>YEAR(AllDataCorrected[[#This Row],[Date]])</f>
        <v>2024</v>
      </c>
      <c r="E1088" s="1">
        <v>0.33333333333333331</v>
      </c>
      <c r="F10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8" t="str">
        <f>_xlfn.XLOOKUP(AllDataCorrected[[#This Row],[Location Name]], Locations[Location Name],Locations[Group As])</f>
        <v>Carrant M5 Bridge</v>
      </c>
      <c r="H1088" t="e" vm="4">
        <f>_xlfn.XLOOKUP(AllDataCorrected[[#This Row],[Site Name]],LocationsKey[Site Name],LocationsKey[District])</f>
        <v>#VALUE!</v>
      </c>
      <c r="I1088" t="e" vm="4">
        <f>_xlfn.XLOOKUP(AllDataCorrected[[#This Row],[Site Name]],LocationsKey[Site Name],LocationsKey[Town])</f>
        <v>#VALUE!</v>
      </c>
      <c r="J1088" t="str">
        <f>_xlfn.XLOOKUP(AllDataCorrected[[#This Row],[Site Name]],LocationsKey[Site Name], LocationsKey[Waterway])</f>
        <v>Carrant</v>
      </c>
      <c r="K1088" t="s">
        <v>1066</v>
      </c>
      <c r="L1088">
        <f>_xlfn.XLOOKUP(AllDataCorrected[[#This Row],[Site Name]],Tables!$B$12:$B$100, Tables!C$12:C$100)</f>
        <v>52.012994652173923</v>
      </c>
      <c r="M1088">
        <f>_xlfn.XLOOKUP(AllDataCorrected[[#This Row],[Site Name]],Tables!$B$12:$B$100, Tables!D$12:D$100)</f>
        <v>-2.1224405652173912</v>
      </c>
      <c r="N1088" t="s">
        <v>25</v>
      </c>
      <c r="O1088">
        <v>752</v>
      </c>
      <c r="P1088">
        <v>20.3</v>
      </c>
      <c r="Q1088">
        <v>7</v>
      </c>
      <c r="R1088"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8">
        <v>1.57</v>
      </c>
      <c r="T10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88">
        <v>0</v>
      </c>
    </row>
    <row r="1089" spans="1:22" x14ac:dyDescent="0.35">
      <c r="A1089" t="s">
        <v>1572</v>
      </c>
      <c r="B1089" s="2">
        <v>45474</v>
      </c>
      <c r="C1089" t="str" cm="1">
        <f t="array" ref="C10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89">
        <f>YEAR(AllDataCorrected[[#This Row],[Date]])</f>
        <v>2024</v>
      </c>
      <c r="E1089" s="1">
        <v>0.46875</v>
      </c>
      <c r="F10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89" t="str">
        <f>_xlfn.XLOOKUP(AllDataCorrected[[#This Row],[Location Name]], Locations[Location Name],Locations[Group As])</f>
        <v>Chipping Campden Lady J Gateway</v>
      </c>
      <c r="H1089" t="e" vm="9">
        <f>_xlfn.XLOOKUP(AllDataCorrected[[#This Row],[Site Name]],LocationsKey[Site Name],LocationsKey[District])</f>
        <v>#VALUE!</v>
      </c>
      <c r="I1089" t="e" vm="10">
        <f>_xlfn.XLOOKUP(AllDataCorrected[[#This Row],[Site Name]],LocationsKey[Site Name],LocationsKey[Town])</f>
        <v>#VALUE!</v>
      </c>
      <c r="J1089" t="str">
        <f>_xlfn.XLOOKUP(AllDataCorrected[[#This Row],[Site Name]],LocationsKey[Site Name], LocationsKey[Waterway])</f>
        <v>Cam Brook</v>
      </c>
      <c r="K1089" t="s">
        <v>1573</v>
      </c>
      <c r="L1089" t="str">
        <f>_xlfn.XLOOKUP(AllDataCorrected[[#This Row],[Site Name]],Tables!$B$12:$B$100, Tables!C$12:C$100)</f>
        <v>Unknown</v>
      </c>
      <c r="M1089" t="str">
        <f>_xlfn.XLOOKUP(AllDataCorrected[[#This Row],[Site Name]],Tables!$B$12:$B$100, Tables!D$12:D$100)</f>
        <v>Unknown</v>
      </c>
      <c r="N1089" t="s">
        <v>68</v>
      </c>
      <c r="O1089">
        <v>515</v>
      </c>
      <c r="P1089">
        <v>17.899999999999999</v>
      </c>
      <c r="Q1089">
        <v>5</v>
      </c>
      <c r="R10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89">
        <v>0.32</v>
      </c>
      <c r="T108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89">
        <v>7.0000000000000007E-2</v>
      </c>
    </row>
    <row r="1090" spans="1:22" x14ac:dyDescent="0.35">
      <c r="A1090" t="s">
        <v>1618</v>
      </c>
      <c r="B1090" s="2">
        <v>45481</v>
      </c>
      <c r="C1090" t="str" cm="1">
        <f t="array" ref="C10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0">
        <f>YEAR(AllDataCorrected[[#This Row],[Date]])</f>
        <v>2024</v>
      </c>
      <c r="E1090" s="1">
        <v>0.4826388888888889</v>
      </c>
      <c r="F10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0" t="str">
        <f>_xlfn.XLOOKUP(AllDataCorrected[[#This Row],[Location Name]], Locations[Location Name],Locations[Group As])</f>
        <v>Chipping Campden Lady J Gateway</v>
      </c>
      <c r="H1090" t="e" vm="9">
        <f>_xlfn.XLOOKUP(AllDataCorrected[[#This Row],[Site Name]],LocationsKey[Site Name],LocationsKey[District])</f>
        <v>#VALUE!</v>
      </c>
      <c r="I1090" t="e" vm="10">
        <f>_xlfn.XLOOKUP(AllDataCorrected[[#This Row],[Site Name]],LocationsKey[Site Name],LocationsKey[Town])</f>
        <v>#VALUE!</v>
      </c>
      <c r="J1090" t="str">
        <f>_xlfn.XLOOKUP(AllDataCorrected[[#This Row],[Site Name]],LocationsKey[Site Name], LocationsKey[Waterway])</f>
        <v>Cam Brook</v>
      </c>
      <c r="K1090" t="s">
        <v>1573</v>
      </c>
      <c r="L1090" t="str">
        <f>_xlfn.XLOOKUP(AllDataCorrected[[#This Row],[Site Name]],Tables!$B$12:$B$100, Tables!C$12:C$100)</f>
        <v>Unknown</v>
      </c>
      <c r="M1090" t="str">
        <f>_xlfn.XLOOKUP(AllDataCorrected[[#This Row],[Site Name]],Tables!$B$12:$B$100, Tables!D$12:D$100)</f>
        <v>Unknown</v>
      </c>
      <c r="N1090" t="s">
        <v>68</v>
      </c>
      <c r="O1090">
        <v>494</v>
      </c>
      <c r="P1090">
        <v>16.399999999999999</v>
      </c>
      <c r="Q1090">
        <v>5</v>
      </c>
      <c r="R10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0">
        <v>0.18</v>
      </c>
      <c r="T109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90">
        <v>0.11</v>
      </c>
    </row>
    <row r="1091" spans="1:22" x14ac:dyDescent="0.35">
      <c r="A1091" t="s">
        <v>1723</v>
      </c>
      <c r="B1091" s="2">
        <v>45495</v>
      </c>
      <c r="C1091" t="str" cm="1">
        <f t="array" ref="C10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1">
        <f>YEAR(AllDataCorrected[[#This Row],[Date]])</f>
        <v>2024</v>
      </c>
      <c r="E1091" s="1">
        <v>0.63888888888888884</v>
      </c>
      <c r="F109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1" t="str">
        <f>_xlfn.XLOOKUP(AllDataCorrected[[#This Row],[Location Name]], Locations[Location Name],Locations[Group As])</f>
        <v>The Ford, Langley</v>
      </c>
      <c r="H1091" t="e" vm="1">
        <f>_xlfn.XLOOKUP(AllDataCorrected[[#This Row],[Site Name]],LocationsKey[Site Name],LocationsKey[District])</f>
        <v>#VALUE!</v>
      </c>
      <c r="I1091" t="str">
        <f>_xlfn.XLOOKUP(AllDataCorrected[[#This Row],[Site Name]],LocationsKey[Site Name],LocationsKey[Town])</f>
        <v>Langley</v>
      </c>
      <c r="J1091" t="str">
        <f>_xlfn.XLOOKUP(AllDataCorrected[[#This Row],[Site Name]],LocationsKey[Site Name], LocationsKey[Waterway])</f>
        <v>Langley Ford</v>
      </c>
      <c r="K1091" t="s">
        <v>561</v>
      </c>
      <c r="L1091">
        <f>_xlfn.XLOOKUP(AllDataCorrected[[#This Row],[Site Name]],Tables!$B$12:$B$100, Tables!C$12:C$100)</f>
        <v>52.262666528301864</v>
      </c>
      <c r="M1091">
        <f>_xlfn.XLOOKUP(AllDataCorrected[[#This Row],[Site Name]],Tables!$B$12:$B$100, Tables!D$12:D$100)</f>
        <v>-1.6545845283018858</v>
      </c>
      <c r="N1091" t="s">
        <v>31</v>
      </c>
      <c r="O1091">
        <v>854</v>
      </c>
      <c r="P1091">
        <v>16.899999999999999</v>
      </c>
      <c r="Q1091">
        <v>2</v>
      </c>
      <c r="R1091" t="str">
        <f>IF(AllDataCorrected[[#This Row],[Nitrate (PPM)]]&gt;2, "4. Very high (&gt;2ppm)", IF(AllDataCorrected[[#This Row],[Nitrate (PPM)]]&gt;1, "3. High (1-2ppm)", IF(AllDataCorrected[[#This Row],[Nitrate (PPM)]]&gt;0.5, "2. Some evidence (0.5-1ppm)", IF(AllDataCorrected[[#This Row],[Nitrate (PPM)]]&gt;=0, "1. No evidence (&lt;0.5ppm)"))))</f>
        <v>3. High (1-2ppm)</v>
      </c>
      <c r="S1091">
        <v>0.69</v>
      </c>
      <c r="T10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1">
        <v>0.06</v>
      </c>
    </row>
    <row r="1092" spans="1:22" x14ac:dyDescent="0.35">
      <c r="A1092" t="s">
        <v>1724</v>
      </c>
      <c r="B1092" s="2">
        <v>45496</v>
      </c>
      <c r="C1092" t="str" cm="1">
        <f t="array" ref="C10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2">
        <f>YEAR(AllDataCorrected[[#This Row],[Date]])</f>
        <v>2024</v>
      </c>
      <c r="E1092" s="1">
        <v>0.39374999999999999</v>
      </c>
      <c r="F10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2" t="str">
        <f>_xlfn.XLOOKUP(AllDataCorrected[[#This Row],[Location Name]], Locations[Location Name],Locations[Group As])</f>
        <v>Stour Stretton-on-Fosse Village</v>
      </c>
      <c r="H1092" t="e" vm="1">
        <f>_xlfn.XLOOKUP(AllDataCorrected[[#This Row],[Site Name]],LocationsKey[Site Name],LocationsKey[District])</f>
        <v>#VALUE!</v>
      </c>
      <c r="I1092" t="e" vm="30">
        <f>_xlfn.XLOOKUP(AllDataCorrected[[#This Row],[Site Name]],LocationsKey[Site Name],LocationsKey[Town])</f>
        <v>#VALUE!</v>
      </c>
      <c r="J1092" t="str">
        <f>_xlfn.XLOOKUP(AllDataCorrected[[#This Row],[Site Name]],LocationsKey[Site Name], LocationsKey[Waterway])</f>
        <v>Stour</v>
      </c>
      <c r="K1092" t="s">
        <v>548</v>
      </c>
      <c r="L1092">
        <f>_xlfn.XLOOKUP(AllDataCorrected[[#This Row],[Site Name]],Tables!$B$12:$B$100, Tables!C$12:C$100)</f>
        <v>52.046517558823531</v>
      </c>
      <c r="M1092">
        <f>_xlfn.XLOOKUP(AllDataCorrected[[#This Row],[Site Name]],Tables!$B$12:$B$100, Tables!D$12:D$100)</f>
        <v>-1.6734143529411762</v>
      </c>
      <c r="N1092" t="s">
        <v>68</v>
      </c>
      <c r="O1092">
        <v>687</v>
      </c>
      <c r="P1092">
        <v>16.8</v>
      </c>
      <c r="Q1092">
        <v>0.5</v>
      </c>
      <c r="R109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092">
        <v>2.5</v>
      </c>
      <c r="T109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2">
        <v>0.15</v>
      </c>
      <c r="V1092" t="s">
        <v>1356</v>
      </c>
    </row>
    <row r="1093" spans="1:22" x14ac:dyDescent="0.35">
      <c r="A1093" t="s">
        <v>1725</v>
      </c>
      <c r="B1093" s="2">
        <v>45496</v>
      </c>
      <c r="C1093" t="str" cm="1">
        <f t="array" ref="C10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3">
        <f>YEAR(AllDataCorrected[[#This Row],[Date]])</f>
        <v>2024</v>
      </c>
      <c r="E1093" s="1">
        <v>0.40486111111111112</v>
      </c>
      <c r="F109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3" t="str">
        <f>_xlfn.XLOOKUP(AllDataCorrected[[#This Row],[Location Name]], Locations[Location Name],Locations[Group As])</f>
        <v>Stour Stretton-on-Fosse Sewage Works</v>
      </c>
      <c r="H1093" t="e" vm="1">
        <f>_xlfn.XLOOKUP(AllDataCorrected[[#This Row],[Site Name]],LocationsKey[Site Name],LocationsKey[District])</f>
        <v>#VALUE!</v>
      </c>
      <c r="I1093" t="e" vm="30">
        <f>_xlfn.XLOOKUP(AllDataCorrected[[#This Row],[Site Name]],LocationsKey[Site Name],LocationsKey[Town])</f>
        <v>#VALUE!</v>
      </c>
      <c r="J1093" t="str">
        <f>_xlfn.XLOOKUP(AllDataCorrected[[#This Row],[Site Name]],LocationsKey[Site Name], LocationsKey[Waterway])</f>
        <v>Stour</v>
      </c>
      <c r="K1093" t="s">
        <v>337</v>
      </c>
      <c r="L1093">
        <f>_xlfn.XLOOKUP(AllDataCorrected[[#This Row],[Site Name]],Tables!$B$12:$B$100, Tables!C$12:C$100)</f>
        <v>52.045653647058828</v>
      </c>
      <c r="M1093">
        <f>_xlfn.XLOOKUP(AllDataCorrected[[#This Row],[Site Name]],Tables!$B$12:$B$100, Tables!D$12:D$100)</f>
        <v>-1.6719221470588239</v>
      </c>
      <c r="N1093" t="s">
        <v>31</v>
      </c>
      <c r="O1093">
        <v>869</v>
      </c>
      <c r="P1093">
        <v>17.3</v>
      </c>
      <c r="Q1093">
        <v>5</v>
      </c>
      <c r="R1093"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3">
        <v>2.5</v>
      </c>
      <c r="T10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3">
        <v>0.3</v>
      </c>
      <c r="V1093" t="s">
        <v>1356</v>
      </c>
    </row>
    <row r="1094" spans="1:22" x14ac:dyDescent="0.35">
      <c r="A1094" t="s">
        <v>1726</v>
      </c>
      <c r="B1094" s="2">
        <v>45497</v>
      </c>
      <c r="C1094" t="str" cm="1">
        <f t="array" ref="C10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4">
        <f>YEAR(AllDataCorrected[[#This Row],[Date]])</f>
        <v>2024</v>
      </c>
      <c r="E1094" s="1">
        <v>0.48125000000000001</v>
      </c>
      <c r="F109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4" t="str">
        <f>_xlfn.XLOOKUP(AllDataCorrected[[#This Row],[Location Name]], Locations[Location Name],Locations[Group As])</f>
        <v>Carrant Mitton Path</v>
      </c>
      <c r="H1094" t="e" vm="4">
        <f>_xlfn.XLOOKUP(AllDataCorrected[[#This Row],[Site Name]],LocationsKey[Site Name],LocationsKey[District])</f>
        <v>#VALUE!</v>
      </c>
      <c r="I1094" t="e" vm="4">
        <f>_xlfn.XLOOKUP(AllDataCorrected[[#This Row],[Site Name]],LocationsKey[Site Name],LocationsKey[Town])</f>
        <v>#VALUE!</v>
      </c>
      <c r="J1094" t="str">
        <f>_xlfn.XLOOKUP(AllDataCorrected[[#This Row],[Site Name]],LocationsKey[Site Name], LocationsKey[Waterway])</f>
        <v>Carrant</v>
      </c>
      <c r="K1094" t="s">
        <v>1064</v>
      </c>
      <c r="L1094">
        <f>_xlfn.XLOOKUP(AllDataCorrected[[#This Row],[Site Name]],Tables!$B$12:$B$100, Tables!C$12:C$100)</f>
        <v>52.048665</v>
      </c>
      <c r="M1094">
        <f>_xlfn.XLOOKUP(AllDataCorrected[[#This Row],[Site Name]],Tables!$B$12:$B$100, Tables!D$12:D$100)</f>
        <v>-1.7862663333333331</v>
      </c>
      <c r="N1094" t="s">
        <v>25</v>
      </c>
      <c r="O1094">
        <v>675</v>
      </c>
      <c r="P1094">
        <v>19.100000000000001</v>
      </c>
      <c r="Q1094">
        <v>4</v>
      </c>
      <c r="R10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4">
        <v>0.62</v>
      </c>
      <c r="T109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4">
        <v>0</v>
      </c>
    </row>
    <row r="1095" spans="1:22" x14ac:dyDescent="0.35">
      <c r="A1095" t="s">
        <v>1727</v>
      </c>
      <c r="B1095" s="2">
        <v>45497</v>
      </c>
      <c r="C1095" t="str" cm="1">
        <f t="array" ref="C10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5">
        <f>YEAR(AllDataCorrected[[#This Row],[Date]])</f>
        <v>2024</v>
      </c>
      <c r="E1095" s="1">
        <v>0.67708333333333337</v>
      </c>
      <c r="F109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5" t="str">
        <f>_xlfn.XLOOKUP(AllDataCorrected[[#This Row],[Location Name]], Locations[Location Name],Locations[Group As])</f>
        <v>Alveston Weir</v>
      </c>
      <c r="H1095" t="e" vm="1">
        <f>_xlfn.XLOOKUP(AllDataCorrected[[#This Row],[Site Name]],LocationsKey[Site Name],LocationsKey[District])</f>
        <v>#VALUE!</v>
      </c>
      <c r="I1095" t="e" vm="2">
        <f>_xlfn.XLOOKUP(AllDataCorrected[[#This Row],[Site Name]],LocationsKey[Site Name],LocationsKey[Town])</f>
        <v>#VALUE!</v>
      </c>
      <c r="J1095" t="str">
        <f>_xlfn.XLOOKUP(AllDataCorrected[[#This Row],[Site Name]],LocationsKey[Site Name], LocationsKey[Waterway])</f>
        <v>Avon</v>
      </c>
      <c r="K1095" t="s">
        <v>288</v>
      </c>
      <c r="L1095">
        <f>_xlfn.XLOOKUP(AllDataCorrected[[#This Row],[Site Name]],Tables!$B$12:$B$100, Tables!C$12:C$100)</f>
        <v>52.21226301333337</v>
      </c>
      <c r="M1095">
        <f>_xlfn.XLOOKUP(AllDataCorrected[[#This Row],[Site Name]],Tables!$B$12:$B$100, Tables!D$12:D$100)</f>
        <v>-1.6595226800000011</v>
      </c>
      <c r="N1095" t="s">
        <v>31</v>
      </c>
      <c r="O1095">
        <v>707</v>
      </c>
      <c r="P1095">
        <v>24.7</v>
      </c>
      <c r="Q1095">
        <v>5</v>
      </c>
      <c r="R10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5">
        <v>0.65</v>
      </c>
      <c r="T109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5">
        <v>-0.5</v>
      </c>
    </row>
    <row r="1096" spans="1:22" x14ac:dyDescent="0.35">
      <c r="A1096" t="s">
        <v>1728</v>
      </c>
      <c r="B1096" s="2">
        <v>45497</v>
      </c>
      <c r="C1096" t="str" cm="1">
        <f t="array" ref="C10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6">
        <f>YEAR(AllDataCorrected[[#This Row],[Date]])</f>
        <v>2024</v>
      </c>
      <c r="E1096" s="1">
        <v>0.69374999999999998</v>
      </c>
      <c r="F10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6" t="str">
        <f>_xlfn.XLOOKUP(AllDataCorrected[[#This Row],[Location Name]], Locations[Location Name],Locations[Group As])</f>
        <v>Swiffen Bank</v>
      </c>
      <c r="H1096" t="e" vm="1">
        <f>_xlfn.XLOOKUP(AllDataCorrected[[#This Row],[Site Name]],LocationsKey[Site Name],LocationsKey[District])</f>
        <v>#VALUE!</v>
      </c>
      <c r="I1096" t="e" vm="2">
        <f>_xlfn.XLOOKUP(AllDataCorrected[[#This Row],[Site Name]],LocationsKey[Site Name],LocationsKey[Town])</f>
        <v>#VALUE!</v>
      </c>
      <c r="J1096" t="str">
        <f>_xlfn.XLOOKUP(AllDataCorrected[[#This Row],[Site Name]],LocationsKey[Site Name], LocationsKey[Waterway])</f>
        <v>Avon</v>
      </c>
      <c r="K1096" t="s">
        <v>286</v>
      </c>
      <c r="L1096">
        <f>_xlfn.XLOOKUP(AllDataCorrected[[#This Row],[Site Name]],Tables!$B$12:$B$100, Tables!C$12:C$100)</f>
        <v>52.206649805555557</v>
      </c>
      <c r="M1096">
        <f>_xlfn.XLOOKUP(AllDataCorrected[[#This Row],[Site Name]],Tables!$B$12:$B$100, Tables!D$12:D$100)</f>
        <v>-1.6541018611111094</v>
      </c>
      <c r="N1096" t="s">
        <v>31</v>
      </c>
      <c r="O1096">
        <v>710</v>
      </c>
      <c r="P1096">
        <v>20.399999999999999</v>
      </c>
      <c r="Q1096">
        <v>10</v>
      </c>
      <c r="R10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6">
        <v>0.56000000000000005</v>
      </c>
      <c r="T10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6">
        <v>0</v>
      </c>
      <c r="V1096" t="s">
        <v>1729</v>
      </c>
    </row>
    <row r="1097" spans="1:22" x14ac:dyDescent="0.35">
      <c r="A1097" t="s">
        <v>1730</v>
      </c>
      <c r="B1097" s="2">
        <v>45498</v>
      </c>
      <c r="C1097" t="str" cm="1">
        <f t="array" ref="C10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7">
        <f>YEAR(AllDataCorrected[[#This Row],[Date]])</f>
        <v>2024</v>
      </c>
      <c r="E1097" s="1">
        <v>0.43472222222222223</v>
      </c>
      <c r="F10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097" t="str">
        <f>_xlfn.XLOOKUP(AllDataCorrected[[#This Row],[Location Name]], Locations[Location Name],Locations[Group As])</f>
        <v>Bredon Marina</v>
      </c>
      <c r="H1097" t="e" vm="4">
        <f>_xlfn.XLOOKUP(AllDataCorrected[[#This Row],[Site Name]],LocationsKey[Site Name],LocationsKey[District])</f>
        <v>#VALUE!</v>
      </c>
      <c r="I1097" t="e" vm="11">
        <f>_xlfn.XLOOKUP(AllDataCorrected[[#This Row],[Site Name]],LocationsKey[Site Name],LocationsKey[Town])</f>
        <v>#VALUE!</v>
      </c>
      <c r="J1097" t="str">
        <f>_xlfn.XLOOKUP(AllDataCorrected[[#This Row],[Site Name]],LocationsKey[Site Name], LocationsKey[Waterway])</f>
        <v>Avon</v>
      </c>
      <c r="K1097" t="s">
        <v>1661</v>
      </c>
      <c r="L1097">
        <f>_xlfn.XLOOKUP(AllDataCorrected[[#This Row],[Site Name]],Tables!$B$12:$B$100, Tables!C$12:C$100)</f>
        <v>52.033057272727277</v>
      </c>
      <c r="M1097">
        <f>_xlfn.XLOOKUP(AllDataCorrected[[#This Row],[Site Name]],Tables!$B$12:$B$100, Tables!D$12:D$100)</f>
        <v>-2.1161551818181823</v>
      </c>
      <c r="N1097" t="s">
        <v>31</v>
      </c>
      <c r="O1097">
        <v>818</v>
      </c>
      <c r="P1097">
        <v>21.5</v>
      </c>
      <c r="Q1097">
        <v>15</v>
      </c>
      <c r="R10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7">
        <v>0.83</v>
      </c>
      <c r="T10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7">
        <v>1</v>
      </c>
    </row>
    <row r="1098" spans="1:22" x14ac:dyDescent="0.35">
      <c r="A1098" t="s">
        <v>1731</v>
      </c>
      <c r="B1098" s="2">
        <v>45498</v>
      </c>
      <c r="C1098" t="str" cm="1">
        <f t="array" ref="C10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8">
        <f>YEAR(AllDataCorrected[[#This Row],[Date]])</f>
        <v>2024</v>
      </c>
      <c r="E1098" s="1">
        <v>0.69444444444444442</v>
      </c>
      <c r="F10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8" t="str">
        <f>_xlfn.XLOOKUP(AllDataCorrected[[#This Row],[Location Name]], Locations[Location Name],Locations[Group As])</f>
        <v>Stour Willington</v>
      </c>
      <c r="H1098" t="e" vm="1">
        <f>_xlfn.XLOOKUP(AllDataCorrected[[#This Row],[Site Name]],LocationsKey[Site Name],LocationsKey[District])</f>
        <v>#VALUE!</v>
      </c>
      <c r="I1098" t="str">
        <f>_xlfn.XLOOKUP(AllDataCorrected[[#This Row],[Site Name]],LocationsKey[Site Name],LocationsKey[Town])</f>
        <v>Willington</v>
      </c>
      <c r="J1098" t="str">
        <f>_xlfn.XLOOKUP(AllDataCorrected[[#This Row],[Site Name]],LocationsKey[Site Name], LocationsKey[Waterway])</f>
        <v>Stour</v>
      </c>
      <c r="K1098" t="s">
        <v>521</v>
      </c>
      <c r="L1098">
        <f>_xlfn.XLOOKUP(AllDataCorrected[[#This Row],[Site Name]],Tables!$B$12:$B$100, Tables!C$12:C$100)</f>
        <v>52.053227523809518</v>
      </c>
      <c r="M1098">
        <f>_xlfn.XLOOKUP(AllDataCorrected[[#This Row],[Site Name]],Tables!$B$12:$B$100, Tables!D$12:D$100)</f>
        <v>-1.6194739523809523</v>
      </c>
      <c r="N1098" t="s">
        <v>25</v>
      </c>
      <c r="O1098">
        <v>543</v>
      </c>
      <c r="P1098">
        <v>18.100000000000001</v>
      </c>
      <c r="Q1098">
        <v>2</v>
      </c>
      <c r="R1098" t="str">
        <f>IF(AllDataCorrected[[#This Row],[Nitrate (PPM)]]&gt;2, "4. Very high (&gt;2ppm)", IF(AllDataCorrected[[#This Row],[Nitrate (PPM)]]&gt;1, "3. High (1-2ppm)", IF(AllDataCorrected[[#This Row],[Nitrate (PPM)]]&gt;0.5, "2. Some evidence (0.5-1ppm)", IF(AllDataCorrected[[#This Row],[Nitrate (PPM)]]&gt;=0, "1. No evidence (&lt;0.5ppm)"))))</f>
        <v>3. High (1-2ppm)</v>
      </c>
      <c r="S1098">
        <v>0.44</v>
      </c>
      <c r="T10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098">
        <v>0.5</v>
      </c>
    </row>
    <row r="1099" spans="1:22" x14ac:dyDescent="0.35">
      <c r="A1099" t="s">
        <v>1732</v>
      </c>
      <c r="B1099" s="2">
        <v>45498</v>
      </c>
      <c r="C1099" t="str" cm="1">
        <f t="array" ref="C10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099">
        <f>YEAR(AllDataCorrected[[#This Row],[Date]])</f>
        <v>2024</v>
      </c>
      <c r="E1099" s="1">
        <v>0.72916666666666663</v>
      </c>
      <c r="F10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099" t="str">
        <f>_xlfn.XLOOKUP(AllDataCorrected[[#This Row],[Location Name]], Locations[Location Name],Locations[Group As])</f>
        <v>Swilgate</v>
      </c>
      <c r="H1099" t="e" vm="4">
        <f>_xlfn.XLOOKUP(AllDataCorrected[[#This Row],[Site Name]],LocationsKey[Site Name],LocationsKey[District])</f>
        <v>#VALUE!</v>
      </c>
      <c r="I1099" t="e" vm="4">
        <f>_xlfn.XLOOKUP(AllDataCorrected[[#This Row],[Site Name]],LocationsKey[Site Name],LocationsKey[Town])</f>
        <v>#VALUE!</v>
      </c>
      <c r="J1099" t="str">
        <f>_xlfn.XLOOKUP(AllDataCorrected[[#This Row],[Site Name]],LocationsKey[Site Name], LocationsKey[Waterway])</f>
        <v>Swilgate</v>
      </c>
      <c r="K1099" t="s">
        <v>85</v>
      </c>
      <c r="L1099">
        <f>_xlfn.XLOOKUP(AllDataCorrected[[#This Row],[Site Name]],Tables!$B$12:$B$100, Tables!C$12:C$100)</f>
        <v>51.988591500000005</v>
      </c>
      <c r="M1099">
        <f>_xlfn.XLOOKUP(AllDataCorrected[[#This Row],[Site Name]],Tables!$B$12:$B$100, Tables!D$12:D$100)</f>
        <v>-2.163898333333333</v>
      </c>
      <c r="N1099" t="s">
        <v>25</v>
      </c>
      <c r="O1099">
        <v>890</v>
      </c>
      <c r="P1099">
        <v>19.7</v>
      </c>
      <c r="Q1099">
        <v>4</v>
      </c>
      <c r="R10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099">
        <v>0.94</v>
      </c>
      <c r="T10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099">
        <v>0</v>
      </c>
    </row>
    <row r="1100" spans="1:22" x14ac:dyDescent="0.35">
      <c r="A1100" t="s">
        <v>1733</v>
      </c>
      <c r="B1100" s="2">
        <v>45498</v>
      </c>
      <c r="C1100" t="str" cm="1">
        <f t="array" ref="C11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0">
        <f>YEAR(AllDataCorrected[[#This Row],[Date]])</f>
        <v>2024</v>
      </c>
      <c r="E1100" s="1">
        <v>0.84027777777777779</v>
      </c>
      <c r="F110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00" t="str">
        <f>_xlfn.XLOOKUP(AllDataCorrected[[#This Row],[Location Name]], Locations[Location Name],Locations[Group As])</f>
        <v>Abbey Mill</v>
      </c>
      <c r="H1100" t="e" vm="4">
        <f>_xlfn.XLOOKUP(AllDataCorrected[[#This Row],[Site Name]],LocationsKey[Site Name],LocationsKey[District])</f>
        <v>#VALUE!</v>
      </c>
      <c r="I1100" t="e" vm="4">
        <f>_xlfn.XLOOKUP(AllDataCorrected[[#This Row],[Site Name]],LocationsKey[Site Name],LocationsKey[Town])</f>
        <v>#VALUE!</v>
      </c>
      <c r="J1100" t="str">
        <f>_xlfn.XLOOKUP(AllDataCorrected[[#This Row],[Site Name]],LocationsKey[Site Name], LocationsKey[Waterway])</f>
        <v>Avon</v>
      </c>
      <c r="K1100" t="s">
        <v>27</v>
      </c>
      <c r="L1100">
        <f>_xlfn.XLOOKUP(AllDataCorrected[[#This Row],[Site Name]],Tables!$B$12:$B$100, Tables!C$12:C$100)</f>
        <v>51.991313075757589</v>
      </c>
      <c r="M1100">
        <f>_xlfn.XLOOKUP(AllDataCorrected[[#This Row],[Site Name]],Tables!$B$12:$B$100, Tables!D$12:D$100)</f>
        <v>-2.1621998181818181</v>
      </c>
      <c r="N1100" t="s">
        <v>25</v>
      </c>
      <c r="O1100">
        <v>892</v>
      </c>
      <c r="P1100">
        <v>20.7</v>
      </c>
      <c r="Q1100">
        <v>7</v>
      </c>
      <c r="R11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0">
        <v>0.94</v>
      </c>
      <c r="T11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0">
        <v>0.5</v>
      </c>
    </row>
    <row r="1101" spans="1:22" x14ac:dyDescent="0.35">
      <c r="A1101" t="s">
        <v>1734</v>
      </c>
      <c r="B1101" s="2">
        <v>45499</v>
      </c>
      <c r="C1101" t="str" cm="1">
        <f t="array" ref="C11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1">
        <f>YEAR(AllDataCorrected[[#This Row],[Date]])</f>
        <v>2024</v>
      </c>
      <c r="E1101" s="1">
        <v>0.40625</v>
      </c>
      <c r="F110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1" t="str">
        <f>_xlfn.XLOOKUP(AllDataCorrected[[#This Row],[Location Name]], Locations[Location Name],Locations[Group As])</f>
        <v>Lower Lode</v>
      </c>
      <c r="H1101" t="e" vm="4">
        <f>_xlfn.XLOOKUP(AllDataCorrected[[#This Row],[Site Name]],LocationsKey[Site Name],LocationsKey[District])</f>
        <v>#VALUE!</v>
      </c>
      <c r="I1101" t="e" vm="4">
        <f>_xlfn.XLOOKUP(AllDataCorrected[[#This Row],[Site Name]],LocationsKey[Site Name],LocationsKey[Town])</f>
        <v>#VALUE!</v>
      </c>
      <c r="J1101" t="str">
        <f>_xlfn.XLOOKUP(AllDataCorrected[[#This Row],[Site Name]],LocationsKey[Site Name], LocationsKey[Waterway])</f>
        <v>Avon</v>
      </c>
      <c r="K1101" t="s">
        <v>595</v>
      </c>
      <c r="L1101">
        <f>_xlfn.XLOOKUP(AllDataCorrected[[#This Row],[Site Name]],Tables!$B$12:$B$100, Tables!C$12:C$100)</f>
        <v>51.984916745098026</v>
      </c>
      <c r="M1101">
        <f>_xlfn.XLOOKUP(AllDataCorrected[[#This Row],[Site Name]],Tables!$B$12:$B$100, Tables!D$12:D$100)</f>
        <v>-2.1745787647058821</v>
      </c>
      <c r="N1101" t="s">
        <v>31</v>
      </c>
      <c r="O1101">
        <v>9510</v>
      </c>
      <c r="P1101">
        <v>19.8</v>
      </c>
      <c r="Q1101">
        <v>10</v>
      </c>
      <c r="R11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1">
        <v>0.73</v>
      </c>
      <c r="T110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1">
        <v>0</v>
      </c>
    </row>
    <row r="1102" spans="1:22" x14ac:dyDescent="0.35">
      <c r="A1102" t="s">
        <v>1735</v>
      </c>
      <c r="B1102" s="2">
        <v>45499</v>
      </c>
      <c r="C1102" t="str" cm="1">
        <f t="array" ref="C11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2">
        <f>YEAR(AllDataCorrected[[#This Row],[Date]])</f>
        <v>2024</v>
      </c>
      <c r="E1102" s="1">
        <v>0.71597222222222223</v>
      </c>
      <c r="F11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02" t="str">
        <f>_xlfn.XLOOKUP(AllDataCorrected[[#This Row],[Location Name]], Locations[Location Name],Locations[Group As])</f>
        <v>Carrant Back Lane Beckford</v>
      </c>
      <c r="H1102" t="e" vm="4">
        <f>_xlfn.XLOOKUP(AllDataCorrected[[#This Row],[Site Name]],LocationsKey[Site Name],LocationsKey[District])</f>
        <v>#VALUE!</v>
      </c>
      <c r="I1102" t="str">
        <f>_xlfn.XLOOKUP(AllDataCorrected[[#This Row],[Site Name]],LocationsKey[Site Name],LocationsKey[Town])</f>
        <v>Beckford</v>
      </c>
      <c r="J1102" t="str">
        <f>_xlfn.XLOOKUP(AllDataCorrected[[#This Row],[Site Name]],LocationsKey[Site Name], LocationsKey[Waterway])</f>
        <v>Carrant</v>
      </c>
      <c r="K1102" t="s">
        <v>1736</v>
      </c>
      <c r="L1102">
        <f>_xlfn.XLOOKUP(AllDataCorrected[[#This Row],[Site Name]],Tables!$B$12:$B$100, Tables!C$12:C$100)</f>
        <v>52.018128913043483</v>
      </c>
      <c r="M1102">
        <f>_xlfn.XLOOKUP(AllDataCorrected[[#This Row],[Site Name]],Tables!$B$12:$B$100, Tables!D$12:D$100)</f>
        <v>-2.0388751739130435</v>
      </c>
      <c r="N1102" t="s">
        <v>68</v>
      </c>
      <c r="O1102">
        <v>754</v>
      </c>
      <c r="P1102">
        <v>18.3</v>
      </c>
      <c r="Q1102">
        <v>5</v>
      </c>
      <c r="R11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2">
        <v>0.8</v>
      </c>
      <c r="T11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2">
        <v>0.2</v>
      </c>
    </row>
    <row r="1103" spans="1:22" x14ac:dyDescent="0.35">
      <c r="A1103" t="s">
        <v>1737</v>
      </c>
      <c r="B1103" s="2">
        <v>45499</v>
      </c>
      <c r="C1103" t="str" cm="1">
        <f t="array" ref="C11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3">
        <f>YEAR(AllDataCorrected[[#This Row],[Date]])</f>
        <v>2024</v>
      </c>
      <c r="E1103" s="1">
        <v>0.76041666666666663</v>
      </c>
      <c r="F110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03" t="str">
        <f>_xlfn.XLOOKUP(AllDataCorrected[[#This Row],[Location Name]], Locations[Location Name],Locations[Group As])</f>
        <v>Mill Bridge Peopleton</v>
      </c>
      <c r="H1103" t="e" vm="6">
        <f>_xlfn.XLOOKUP(AllDataCorrected[[#This Row],[Site Name]],LocationsKey[Site Name],LocationsKey[District])</f>
        <v>#VALUE!</v>
      </c>
      <c r="I1103" t="str">
        <f>_xlfn.XLOOKUP(AllDataCorrected[[#This Row],[Site Name]],LocationsKey[Site Name],LocationsKey[Town])</f>
        <v>Peopleton</v>
      </c>
      <c r="J1103" t="str">
        <f>_xlfn.XLOOKUP(AllDataCorrected[[#This Row],[Site Name]],LocationsKey[Site Name], LocationsKey[Waterway])</f>
        <v>Bow Brook</v>
      </c>
      <c r="K1103" t="s">
        <v>1015</v>
      </c>
      <c r="L1103">
        <f>_xlfn.XLOOKUP(AllDataCorrected[[#This Row],[Site Name]],Tables!$B$12:$B$100, Tables!C$12:C$100)</f>
        <v>52.151811999999993</v>
      </c>
      <c r="M1103">
        <f>_xlfn.XLOOKUP(AllDataCorrected[[#This Row],[Site Name]],Tables!$B$12:$B$100, Tables!D$12:D$100)</f>
        <v>-2.0958865161290317</v>
      </c>
      <c r="N1103" t="s">
        <v>31</v>
      </c>
      <c r="O1103">
        <v>1130</v>
      </c>
      <c r="P1103">
        <v>18.600000000000001</v>
      </c>
      <c r="Q1103">
        <v>4</v>
      </c>
      <c r="R11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3">
        <v>1.78</v>
      </c>
      <c r="T11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3">
        <v>0.5</v>
      </c>
      <c r="V1103" t="s">
        <v>1738</v>
      </c>
    </row>
    <row r="1104" spans="1:22" x14ac:dyDescent="0.35">
      <c r="A1104" t="s">
        <v>1741</v>
      </c>
      <c r="B1104" s="2">
        <v>45500</v>
      </c>
      <c r="C1104" t="str" cm="1">
        <f t="array" ref="C11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4">
        <f>YEAR(AllDataCorrected[[#This Row],[Date]])</f>
        <v>2024</v>
      </c>
      <c r="E1104" s="1">
        <v>0.42222222222222222</v>
      </c>
      <c r="F11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4" t="str">
        <f>_xlfn.XLOOKUP(AllDataCorrected[[#This Row],[Location Name]], Locations[Location Name],Locations[Group As])</f>
        <v>Pitch 16</v>
      </c>
      <c r="H1104" t="e" vm="1">
        <f>_xlfn.XLOOKUP(AllDataCorrected[[#This Row],[Site Name]],LocationsKey[Site Name],LocationsKey[District])</f>
        <v>#VALUE!</v>
      </c>
      <c r="I1104" t="e" vm="12">
        <f>_xlfn.XLOOKUP(AllDataCorrected[[#This Row],[Site Name]],LocationsKey[Site Name],LocationsKey[Town])</f>
        <v>#VALUE!</v>
      </c>
      <c r="J1104" t="str">
        <f>_xlfn.XLOOKUP(AllDataCorrected[[#This Row],[Site Name]],LocationsKey[Site Name], LocationsKey[Waterway])</f>
        <v>Avon</v>
      </c>
      <c r="K1104" t="s">
        <v>71</v>
      </c>
      <c r="L1104">
        <f>_xlfn.XLOOKUP(AllDataCorrected[[#This Row],[Site Name]],Tables!$B$12:$B$100, Tables!C$12:C$100)</f>
        <v>51.289310076923087</v>
      </c>
      <c r="M1104">
        <f>_xlfn.XLOOKUP(AllDataCorrected[[#This Row],[Site Name]],Tables!$B$12:$B$100, Tables!D$12:D$100)</f>
        <v>-0.10399761538461544</v>
      </c>
      <c r="N1104" t="s">
        <v>31</v>
      </c>
      <c r="O1104">
        <v>951</v>
      </c>
      <c r="P1104">
        <v>21.3</v>
      </c>
      <c r="Q1104">
        <v>10</v>
      </c>
      <c r="R11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4">
        <v>0.56000000000000005</v>
      </c>
      <c r="T11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4">
        <v>0.6</v>
      </c>
      <c r="V1104" t="s">
        <v>1742</v>
      </c>
    </row>
    <row r="1105" spans="1:22" x14ac:dyDescent="0.35">
      <c r="A1105" t="s">
        <v>1743</v>
      </c>
      <c r="B1105" s="2">
        <v>45500</v>
      </c>
      <c r="C1105" t="str" cm="1">
        <f t="array" ref="C11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5">
        <f>YEAR(AllDataCorrected[[#This Row],[Date]])</f>
        <v>2024</v>
      </c>
      <c r="E1105" s="1">
        <v>0.42708333333333331</v>
      </c>
      <c r="F11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5" t="str">
        <f>_xlfn.XLOOKUP(AllDataCorrected[[#This Row],[Location Name]], Locations[Location Name],Locations[Group As])</f>
        <v>Avon Smiths Meadow Wyre Piddle</v>
      </c>
      <c r="H1105" t="e" vm="6">
        <f>_xlfn.XLOOKUP(AllDataCorrected[[#This Row],[Site Name]],LocationsKey[Site Name],LocationsKey[District])</f>
        <v>#VALUE!</v>
      </c>
      <c r="I1105" t="e" vm="13">
        <f>_xlfn.XLOOKUP(AllDataCorrected[[#This Row],[Site Name]],LocationsKey[Site Name],LocationsKey[Town])</f>
        <v>#VALUE!</v>
      </c>
      <c r="J1105" t="str">
        <f>_xlfn.XLOOKUP(AllDataCorrected[[#This Row],[Site Name]],LocationsKey[Site Name], LocationsKey[Waterway])</f>
        <v>Avon</v>
      </c>
      <c r="K1105" t="s">
        <v>784</v>
      </c>
      <c r="L1105">
        <f>_xlfn.XLOOKUP(AllDataCorrected[[#This Row],[Site Name]],Tables!$B$12:$B$100, Tables!C$12:C$100)</f>
        <v>52.123126101694929</v>
      </c>
      <c r="M1105">
        <f>_xlfn.XLOOKUP(AllDataCorrected[[#This Row],[Site Name]],Tables!$B$12:$B$100, Tables!D$12:D$100)</f>
        <v>-2.0572511355932215</v>
      </c>
      <c r="N1105" t="s">
        <v>25</v>
      </c>
      <c r="O1105">
        <v>859</v>
      </c>
      <c r="P1105">
        <v>19.7</v>
      </c>
      <c r="Q1105">
        <v>7</v>
      </c>
      <c r="R11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5">
        <v>1.1200000000000001</v>
      </c>
      <c r="T11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5">
        <v>0.53</v>
      </c>
      <c r="V1105" t="s">
        <v>1744</v>
      </c>
    </row>
    <row r="1106" spans="1:22" x14ac:dyDescent="0.35">
      <c r="A1106" t="s">
        <v>1745</v>
      </c>
      <c r="B1106" s="2">
        <v>45500</v>
      </c>
      <c r="C1106" t="str" cm="1">
        <f t="array" ref="C11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6">
        <f>YEAR(AllDataCorrected[[#This Row],[Date]])</f>
        <v>2024</v>
      </c>
      <c r="E1106" s="1">
        <v>0.4375</v>
      </c>
      <c r="F110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6" t="str">
        <f>_xlfn.XLOOKUP(AllDataCorrected[[#This Row],[Location Name]], Locations[Location Name],Locations[Group As])</f>
        <v>Carrant Bredon Rd</v>
      </c>
      <c r="H1106" t="e" vm="4">
        <f>_xlfn.XLOOKUP(AllDataCorrected[[#This Row],[Site Name]],LocationsKey[Site Name],LocationsKey[District])</f>
        <v>#VALUE!</v>
      </c>
      <c r="I1106" t="e" vm="4">
        <f>_xlfn.XLOOKUP(AllDataCorrected[[#This Row],[Site Name]],LocationsKey[Site Name],LocationsKey[Town])</f>
        <v>#VALUE!</v>
      </c>
      <c r="J1106" t="str">
        <f>_xlfn.XLOOKUP(AllDataCorrected[[#This Row],[Site Name]],LocationsKey[Site Name], LocationsKey[Waterway])</f>
        <v>Carrant</v>
      </c>
      <c r="K1106" t="s">
        <v>603</v>
      </c>
      <c r="L1106">
        <f>_xlfn.XLOOKUP(AllDataCorrected[[#This Row],[Site Name]],Tables!$B$12:$B$100, Tables!C$12:C$100)</f>
        <v>51.996322536231894</v>
      </c>
      <c r="M1106">
        <f>_xlfn.XLOOKUP(AllDataCorrected[[#This Row],[Site Name]],Tables!$B$12:$B$100, Tables!D$12:D$100)</f>
        <v>-2.1558410144927538</v>
      </c>
      <c r="N1106" t="s">
        <v>25</v>
      </c>
      <c r="O1106">
        <v>724</v>
      </c>
      <c r="P1106">
        <v>17.399999999999999</v>
      </c>
      <c r="Q1106">
        <v>5</v>
      </c>
      <c r="R110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6">
        <v>0.66</v>
      </c>
      <c r="T11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6">
        <v>0</v>
      </c>
    </row>
    <row r="1107" spans="1:22" x14ac:dyDescent="0.35">
      <c r="A1107" t="s">
        <v>1746</v>
      </c>
      <c r="B1107" s="2">
        <v>45500</v>
      </c>
      <c r="C1107" t="str" cm="1">
        <f t="array" ref="C11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7">
        <f>YEAR(AllDataCorrected[[#This Row],[Date]])</f>
        <v>2024</v>
      </c>
      <c r="E1107" s="1">
        <v>0.4375</v>
      </c>
      <c r="F110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7" t="str">
        <f>_xlfn.XLOOKUP(AllDataCorrected[[#This Row],[Location Name]], Locations[Location Name],Locations[Group As])</f>
        <v>Piddle Brook Wyre Piddle Bridge</v>
      </c>
      <c r="H1107" t="e" vm="6">
        <f>_xlfn.XLOOKUP(AllDataCorrected[[#This Row],[Site Name]],LocationsKey[Site Name],LocationsKey[District])</f>
        <v>#VALUE!</v>
      </c>
      <c r="I1107" t="e" vm="13">
        <f>_xlfn.XLOOKUP(AllDataCorrected[[#This Row],[Site Name]],LocationsKey[Site Name],LocationsKey[Town])</f>
        <v>#VALUE!</v>
      </c>
      <c r="J1107" t="str">
        <f>_xlfn.XLOOKUP(AllDataCorrected[[#This Row],[Site Name]],LocationsKey[Site Name], LocationsKey[Waterway])</f>
        <v>Piddle Brook</v>
      </c>
      <c r="K1107" t="s">
        <v>787</v>
      </c>
      <c r="L1107">
        <f>_xlfn.XLOOKUP(AllDataCorrected[[#This Row],[Site Name]],Tables!$B$12:$B$100, Tables!C$12:C$100)</f>
        <v>52.126394500000039</v>
      </c>
      <c r="M1107">
        <f>_xlfn.XLOOKUP(AllDataCorrected[[#This Row],[Site Name]],Tables!$B$12:$B$100, Tables!D$12:D$100)</f>
        <v>-2.0564211206896545</v>
      </c>
      <c r="N1107" t="s">
        <v>25</v>
      </c>
      <c r="O1107">
        <v>1620</v>
      </c>
      <c r="P1107">
        <v>16.899999999999999</v>
      </c>
      <c r="Q1107">
        <v>7</v>
      </c>
      <c r="R11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7">
        <v>1.33</v>
      </c>
      <c r="T11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7">
        <v>0.15</v>
      </c>
      <c r="V1107" t="s">
        <v>1747</v>
      </c>
    </row>
    <row r="1108" spans="1:22" x14ac:dyDescent="0.35">
      <c r="A1108" t="s">
        <v>1748</v>
      </c>
      <c r="B1108" s="2">
        <v>45500</v>
      </c>
      <c r="C1108" t="str" cm="1">
        <f t="array" ref="C11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8">
        <f>YEAR(AllDataCorrected[[#This Row],[Date]])</f>
        <v>2024</v>
      </c>
      <c r="E1108" s="1">
        <v>0.44305555555555554</v>
      </c>
      <c r="F110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08" t="str">
        <f>_xlfn.XLOOKUP(AllDataCorrected[[#This Row],[Location Name]], Locations[Location Name],Locations[Group As])</f>
        <v>Avonbank Drive</v>
      </c>
      <c r="H1108" t="e" vm="1">
        <f>_xlfn.XLOOKUP(AllDataCorrected[[#This Row],[Site Name]],LocationsKey[Site Name],LocationsKey[District])</f>
        <v>#VALUE!</v>
      </c>
      <c r="I1108" t="e" vm="12">
        <f>_xlfn.XLOOKUP(AllDataCorrected[[#This Row],[Site Name]],LocationsKey[Site Name],LocationsKey[Town])</f>
        <v>#VALUE!</v>
      </c>
      <c r="J1108" t="str">
        <f>_xlfn.XLOOKUP(AllDataCorrected[[#This Row],[Site Name]],LocationsKey[Site Name], LocationsKey[Waterway])</f>
        <v>Avon</v>
      </c>
      <c r="K1108" t="s">
        <v>67</v>
      </c>
      <c r="L1108">
        <f>_xlfn.XLOOKUP(AllDataCorrected[[#This Row],[Site Name]],Tables!$B$12:$B$100, Tables!C$12:C$100)</f>
        <v>51.566927775862098</v>
      </c>
      <c r="M1108">
        <f>_xlfn.XLOOKUP(AllDataCorrected[[#This Row],[Site Name]],Tables!$B$12:$B$100, Tables!D$12:D$100)</f>
        <v>-7.2113336724137929</v>
      </c>
      <c r="N1108" t="s">
        <v>68</v>
      </c>
      <c r="O1108">
        <v>856</v>
      </c>
      <c r="P1108">
        <v>21.8</v>
      </c>
      <c r="Q1108">
        <v>5</v>
      </c>
      <c r="R11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8">
        <v>0.48</v>
      </c>
      <c r="T110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08">
        <v>0.6</v>
      </c>
      <c r="V1108" t="s">
        <v>1742</v>
      </c>
    </row>
    <row r="1109" spans="1:22" x14ac:dyDescent="0.35">
      <c r="A1109" t="s">
        <v>1749</v>
      </c>
      <c r="B1109" s="2">
        <v>45500</v>
      </c>
      <c r="C1109" t="str" cm="1">
        <f t="array" ref="C11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09">
        <f>YEAR(AllDataCorrected[[#This Row],[Date]])</f>
        <v>2024</v>
      </c>
      <c r="E1109" s="1">
        <v>0.66180555555555554</v>
      </c>
      <c r="F11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09" t="str">
        <f>_xlfn.XLOOKUP(AllDataCorrected[[#This Row],[Location Name]], Locations[Location Name],Locations[Group As])</f>
        <v>Black Bear</v>
      </c>
      <c r="H1109" t="e" vm="4">
        <f>_xlfn.XLOOKUP(AllDataCorrected[[#This Row],[Site Name]],LocationsKey[Site Name],LocationsKey[District])</f>
        <v>#VALUE!</v>
      </c>
      <c r="I1109" t="e" vm="4">
        <f>_xlfn.XLOOKUP(AllDataCorrected[[#This Row],[Site Name]],LocationsKey[Site Name],LocationsKey[Town])</f>
        <v>#VALUE!</v>
      </c>
      <c r="J1109" t="str">
        <f>_xlfn.XLOOKUP(AllDataCorrected[[#This Row],[Site Name]],LocationsKey[Site Name], LocationsKey[Waterway])</f>
        <v>Avon</v>
      </c>
      <c r="K1109" t="s">
        <v>1175</v>
      </c>
      <c r="L1109">
        <f>_xlfn.XLOOKUP(AllDataCorrected[[#This Row],[Site Name]],Tables!$B$12:$B$100, Tables!C$12:C$100)</f>
        <v>51.997466254237274</v>
      </c>
      <c r="M1109">
        <f>_xlfn.XLOOKUP(AllDataCorrected[[#This Row],[Site Name]],Tables!$B$12:$B$100, Tables!D$12:D$100)</f>
        <v>-2.1561788644067801</v>
      </c>
      <c r="N1109" t="s">
        <v>25</v>
      </c>
      <c r="O1109">
        <v>925</v>
      </c>
      <c r="P1109">
        <v>20.3</v>
      </c>
      <c r="Q1109">
        <v>10</v>
      </c>
      <c r="R110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09">
        <v>0.56000000000000005</v>
      </c>
      <c r="T110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09">
        <v>0</v>
      </c>
    </row>
    <row r="1110" spans="1:22" x14ac:dyDescent="0.35">
      <c r="A1110" t="s">
        <v>1750</v>
      </c>
      <c r="B1110" s="2">
        <v>45501</v>
      </c>
      <c r="C1110" t="str" cm="1">
        <f t="array" ref="C11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0">
        <f>YEAR(AllDataCorrected[[#This Row],[Date]])</f>
        <v>2024</v>
      </c>
      <c r="E1110" s="1">
        <v>0.42222222222222222</v>
      </c>
      <c r="F111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0" t="str">
        <f>_xlfn.XLOOKUP(AllDataCorrected[[#This Row],[Location Name]], Locations[Location Name],Locations[Group As])</f>
        <v>Sherbourne Brook 1</v>
      </c>
      <c r="H1110" t="e" vm="1">
        <f>_xlfn.XLOOKUP(AllDataCorrected[[#This Row],[Site Name]],LocationsKey[Site Name],LocationsKey[District])</f>
        <v>#VALUE!</v>
      </c>
      <c r="I1110" t="e" vm="23">
        <f>_xlfn.XLOOKUP(AllDataCorrected[[#This Row],[Site Name]],LocationsKey[Site Name],LocationsKey[Town])</f>
        <v>#VALUE!</v>
      </c>
      <c r="J1110" t="str">
        <f>_xlfn.XLOOKUP(AllDataCorrected[[#This Row],[Site Name]],LocationsKey[Site Name], LocationsKey[Waterway])</f>
        <v>Sherbourne Brook</v>
      </c>
      <c r="K1110" t="s">
        <v>541</v>
      </c>
      <c r="L1110">
        <f>_xlfn.XLOOKUP(AllDataCorrected[[#This Row],[Site Name]],Tables!$B$12:$B$100, Tables!C$12:C$100)</f>
        <v>52.252500000000033</v>
      </c>
      <c r="M1110">
        <f>_xlfn.XLOOKUP(AllDataCorrected[[#This Row],[Site Name]],Tables!$B$12:$B$100, Tables!D$12:D$100)</f>
        <v>-1.6685000000000012</v>
      </c>
      <c r="N1110" t="s">
        <v>25</v>
      </c>
      <c r="O1110">
        <v>1140</v>
      </c>
      <c r="P1110">
        <v>15.1</v>
      </c>
      <c r="Q1110">
        <v>11</v>
      </c>
      <c r="R111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0">
        <v>0.36</v>
      </c>
      <c r="T111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0">
        <v>0.1</v>
      </c>
    </row>
    <row r="1111" spans="1:22" x14ac:dyDescent="0.35">
      <c r="A1111" t="s">
        <v>1751</v>
      </c>
      <c r="B1111" s="2">
        <v>45501</v>
      </c>
      <c r="C1111" t="str" cm="1">
        <f t="array" ref="C11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1">
        <f>YEAR(AllDataCorrected[[#This Row],[Date]])</f>
        <v>2024</v>
      </c>
      <c r="E1111" s="1">
        <v>0.42708333333333331</v>
      </c>
      <c r="F111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1" t="str">
        <f>_xlfn.XLOOKUP(AllDataCorrected[[#This Row],[Location Name]], Locations[Location Name],Locations[Group As])</f>
        <v>Bell Brook 1</v>
      </c>
      <c r="H1111" t="e" vm="1">
        <f>_xlfn.XLOOKUP(AllDataCorrected[[#This Row],[Site Name]],LocationsKey[Site Name],LocationsKey[District])</f>
        <v>#VALUE!</v>
      </c>
      <c r="I1111" t="e" vm="19">
        <f>_xlfn.XLOOKUP(AllDataCorrected[[#This Row],[Site Name]],LocationsKey[Site Name],LocationsKey[Town])</f>
        <v>#VALUE!</v>
      </c>
      <c r="J1111" t="str">
        <f>_xlfn.XLOOKUP(AllDataCorrected[[#This Row],[Site Name]],LocationsKey[Site Name], LocationsKey[Waterway])</f>
        <v>Bell Brook</v>
      </c>
      <c r="K1111" t="s">
        <v>538</v>
      </c>
      <c r="L1111">
        <f>_xlfn.XLOOKUP(AllDataCorrected[[#This Row],[Site Name]],Tables!$B$12:$B$100, Tables!C$12:C$100)</f>
        <v>52.24489999999998</v>
      </c>
      <c r="M1111">
        <f>_xlfn.XLOOKUP(AllDataCorrected[[#This Row],[Site Name]],Tables!$B$12:$B$100, Tables!D$12:D$100)</f>
        <v>-1.6617000000000013</v>
      </c>
      <c r="N1111" t="s">
        <v>25</v>
      </c>
      <c r="O1111">
        <v>858</v>
      </c>
      <c r="P1111">
        <v>16.3</v>
      </c>
      <c r="Q1111">
        <v>8</v>
      </c>
      <c r="R11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1">
        <v>0.85</v>
      </c>
      <c r="T11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1">
        <v>0.1</v>
      </c>
    </row>
    <row r="1112" spans="1:22" x14ac:dyDescent="0.35">
      <c r="A1112" t="s">
        <v>1652</v>
      </c>
      <c r="B1112" s="2">
        <v>45488</v>
      </c>
      <c r="C1112" t="str" cm="1">
        <f t="array" ref="C11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2">
        <f>YEAR(AllDataCorrected[[#This Row],[Date]])</f>
        <v>2024</v>
      </c>
      <c r="E1112" s="1">
        <v>0.28472222222222221</v>
      </c>
      <c r="F11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2" t="str">
        <f>_xlfn.XLOOKUP(AllDataCorrected[[#This Row],[Location Name]], Locations[Location Name],Locations[Group As])</f>
        <v>Chipping Campden Lady J Gateway</v>
      </c>
      <c r="H1112" t="e" vm="9">
        <f>_xlfn.XLOOKUP(AllDataCorrected[[#This Row],[Site Name]],LocationsKey[Site Name],LocationsKey[District])</f>
        <v>#VALUE!</v>
      </c>
      <c r="I1112" t="e" vm="10">
        <f>_xlfn.XLOOKUP(AllDataCorrected[[#This Row],[Site Name]],LocationsKey[Site Name],LocationsKey[Town])</f>
        <v>#VALUE!</v>
      </c>
      <c r="J1112" t="str">
        <f>_xlfn.XLOOKUP(AllDataCorrected[[#This Row],[Site Name]],LocationsKey[Site Name], LocationsKey[Waterway])</f>
        <v>Cam Brook</v>
      </c>
      <c r="K1112" t="s">
        <v>1573</v>
      </c>
      <c r="L1112" t="str">
        <f>_xlfn.XLOOKUP(AllDataCorrected[[#This Row],[Site Name]],Tables!$B$12:$B$100, Tables!C$12:C$100)</f>
        <v>Unknown</v>
      </c>
      <c r="M1112" t="str">
        <f>_xlfn.XLOOKUP(AllDataCorrected[[#This Row],[Site Name]],Tables!$B$12:$B$100, Tables!D$12:D$100)</f>
        <v>Unknown</v>
      </c>
      <c r="N1112" t="s">
        <v>68</v>
      </c>
      <c r="O1112">
        <v>524</v>
      </c>
      <c r="P1112">
        <v>15.3</v>
      </c>
      <c r="Q1112">
        <v>5</v>
      </c>
      <c r="R11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2">
        <v>0.04</v>
      </c>
      <c r="T1112"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12">
        <v>0.09</v>
      </c>
    </row>
    <row r="1113" spans="1:22" x14ac:dyDescent="0.35">
      <c r="A1113" t="s">
        <v>1721</v>
      </c>
      <c r="B1113" s="2">
        <v>45495</v>
      </c>
      <c r="C1113" t="str" cm="1">
        <f t="array" ref="C11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3">
        <f>YEAR(AllDataCorrected[[#This Row],[Date]])</f>
        <v>2024</v>
      </c>
      <c r="E1113" s="1">
        <v>0.34375</v>
      </c>
      <c r="F11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3" t="str">
        <f>_xlfn.XLOOKUP(AllDataCorrected[[#This Row],[Location Name]], Locations[Location Name],Locations[Group As])</f>
        <v>Chipping Campden Lady J Gateway</v>
      </c>
      <c r="H1113" t="e" vm="9">
        <f>_xlfn.XLOOKUP(AllDataCorrected[[#This Row],[Site Name]],LocationsKey[Site Name],LocationsKey[District])</f>
        <v>#VALUE!</v>
      </c>
      <c r="I1113" t="e" vm="10">
        <f>_xlfn.XLOOKUP(AllDataCorrected[[#This Row],[Site Name]],LocationsKey[Site Name],LocationsKey[Town])</f>
        <v>#VALUE!</v>
      </c>
      <c r="J1113" t="str">
        <f>_xlfn.XLOOKUP(AllDataCorrected[[#This Row],[Site Name]],LocationsKey[Site Name], LocationsKey[Waterway])</f>
        <v>Cam Brook</v>
      </c>
      <c r="K1113" t="s">
        <v>1573</v>
      </c>
      <c r="L1113" t="str">
        <f>_xlfn.XLOOKUP(AllDataCorrected[[#This Row],[Site Name]],Tables!$B$12:$B$100, Tables!C$12:C$100)</f>
        <v>Unknown</v>
      </c>
      <c r="M1113" t="str">
        <f>_xlfn.XLOOKUP(AllDataCorrected[[#This Row],[Site Name]],Tables!$B$12:$B$100, Tables!D$12:D$100)</f>
        <v>Unknown</v>
      </c>
      <c r="N1113" t="s">
        <v>68</v>
      </c>
      <c r="O1113">
        <v>458</v>
      </c>
      <c r="P1113">
        <v>17.8</v>
      </c>
      <c r="Q1113">
        <v>5</v>
      </c>
      <c r="R11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3">
        <v>0.06</v>
      </c>
      <c r="T1113"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13">
        <v>0.11</v>
      </c>
    </row>
    <row r="1114" spans="1:22" x14ac:dyDescent="0.35">
      <c r="A1114" t="s">
        <v>1755</v>
      </c>
      <c r="B1114" s="2">
        <v>45502</v>
      </c>
      <c r="C1114" t="str" cm="1">
        <f t="array" ref="C11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4">
        <f>YEAR(AllDataCorrected[[#This Row],[Date]])</f>
        <v>2024</v>
      </c>
      <c r="E1114" s="1">
        <v>0.45833333333333331</v>
      </c>
      <c r="F11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4" t="str">
        <f>_xlfn.XLOOKUP(AllDataCorrected[[#This Row],[Location Name]], Locations[Location Name],Locations[Group As])</f>
        <v>Carrant M5 Bridge</v>
      </c>
      <c r="H1114" t="e" vm="4">
        <f>_xlfn.XLOOKUP(AllDataCorrected[[#This Row],[Site Name]],LocationsKey[Site Name],LocationsKey[District])</f>
        <v>#VALUE!</v>
      </c>
      <c r="I1114" t="e" vm="4">
        <f>_xlfn.XLOOKUP(AllDataCorrected[[#This Row],[Site Name]],LocationsKey[Site Name],LocationsKey[Town])</f>
        <v>#VALUE!</v>
      </c>
      <c r="J1114" t="str">
        <f>_xlfn.XLOOKUP(AllDataCorrected[[#This Row],[Site Name]],LocationsKey[Site Name], LocationsKey[Waterway])</f>
        <v>Carrant</v>
      </c>
      <c r="K1114" t="s">
        <v>1144</v>
      </c>
      <c r="L1114">
        <f>_xlfn.XLOOKUP(AllDataCorrected[[#This Row],[Site Name]],Tables!$B$12:$B$100, Tables!C$12:C$100)</f>
        <v>52.012994652173923</v>
      </c>
      <c r="M1114">
        <f>_xlfn.XLOOKUP(AllDataCorrected[[#This Row],[Site Name]],Tables!$B$12:$B$100, Tables!D$12:D$100)</f>
        <v>-2.1224405652173912</v>
      </c>
      <c r="N1114" t="s">
        <v>25</v>
      </c>
      <c r="O1114">
        <v>504</v>
      </c>
      <c r="P1114">
        <v>21.3</v>
      </c>
      <c r="Q1114">
        <v>6</v>
      </c>
      <c r="R11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4">
        <v>0.17</v>
      </c>
      <c r="T111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4">
        <v>0</v>
      </c>
    </row>
    <row r="1115" spans="1:22" x14ac:dyDescent="0.35">
      <c r="A1115" t="s">
        <v>1756</v>
      </c>
      <c r="B1115" s="2">
        <v>45502</v>
      </c>
      <c r="C1115" t="str" cm="1">
        <f t="array" ref="C11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5">
        <f>YEAR(AllDataCorrected[[#This Row],[Date]])</f>
        <v>2024</v>
      </c>
      <c r="E1115" s="1">
        <v>0.75694444444444442</v>
      </c>
      <c r="F111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15" t="str">
        <f>_xlfn.XLOOKUP(AllDataCorrected[[#This Row],[Location Name]], Locations[Location Name],Locations[Group As])</f>
        <v>Fell Mill Footbridge</v>
      </c>
      <c r="H1115" t="e" vm="1">
        <f>_xlfn.XLOOKUP(AllDataCorrected[[#This Row],[Site Name]],LocationsKey[Site Name],LocationsKey[District])</f>
        <v>#VALUE!</v>
      </c>
      <c r="I1115" t="e" vm="15">
        <f>_xlfn.XLOOKUP(AllDataCorrected[[#This Row],[Site Name]],LocationsKey[Site Name],LocationsKey[Town])</f>
        <v>#VALUE!</v>
      </c>
      <c r="J1115" t="str">
        <f>_xlfn.XLOOKUP(AllDataCorrected[[#This Row],[Site Name]],LocationsKey[Site Name], LocationsKey[Waterway])</f>
        <v>Stour</v>
      </c>
      <c r="K1115" t="s">
        <v>875</v>
      </c>
      <c r="L1115">
        <f>_xlfn.XLOOKUP(AllDataCorrected[[#This Row],[Site Name]],Tables!$B$12:$B$100, Tables!C$12:C$100)</f>
        <v>52.069044372881365</v>
      </c>
      <c r="M1115">
        <f>_xlfn.XLOOKUP(AllDataCorrected[[#This Row],[Site Name]],Tables!$B$12:$B$100, Tables!D$12:D$100)</f>
        <v>-1.6116270169491524</v>
      </c>
      <c r="N1115" t="s">
        <v>31</v>
      </c>
      <c r="P1115">
        <v>18</v>
      </c>
      <c r="Q1115">
        <v>5</v>
      </c>
      <c r="R111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5">
        <v>0.77</v>
      </c>
      <c r="T11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5">
        <v>1.1000000000000001</v>
      </c>
      <c r="V1115" t="s">
        <v>1757</v>
      </c>
    </row>
    <row r="1116" spans="1:22" x14ac:dyDescent="0.35">
      <c r="A1116" t="s">
        <v>1758</v>
      </c>
      <c r="B1116" s="2">
        <v>45503</v>
      </c>
      <c r="C1116" t="str" cm="1">
        <f t="array" ref="C11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6">
        <f>YEAR(AllDataCorrected[[#This Row],[Date]])</f>
        <v>2024</v>
      </c>
      <c r="E1116" s="1">
        <v>0.4597222222222222</v>
      </c>
      <c r="F111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6" t="str">
        <f>_xlfn.XLOOKUP(AllDataCorrected[[#This Row],[Location Name]], Locations[Location Name],Locations[Group As])</f>
        <v>Carrant Mitton Path</v>
      </c>
      <c r="H1116" t="e" vm="4">
        <f>_xlfn.XLOOKUP(AllDataCorrected[[#This Row],[Site Name]],LocationsKey[Site Name],LocationsKey[District])</f>
        <v>#VALUE!</v>
      </c>
      <c r="I1116" t="e" vm="4">
        <f>_xlfn.XLOOKUP(AllDataCorrected[[#This Row],[Site Name]],LocationsKey[Site Name],LocationsKey[Town])</f>
        <v>#VALUE!</v>
      </c>
      <c r="J1116" t="str">
        <f>_xlfn.XLOOKUP(AllDataCorrected[[#This Row],[Site Name]],LocationsKey[Site Name], LocationsKey[Waterway])</f>
        <v>Carrant</v>
      </c>
      <c r="K1116" t="s">
        <v>1064</v>
      </c>
      <c r="L1116">
        <f>_xlfn.XLOOKUP(AllDataCorrected[[#This Row],[Site Name]],Tables!$B$12:$B$100, Tables!C$12:C$100)</f>
        <v>52.048665</v>
      </c>
      <c r="M1116">
        <f>_xlfn.XLOOKUP(AllDataCorrected[[#This Row],[Site Name]],Tables!$B$12:$B$100, Tables!D$12:D$100)</f>
        <v>-1.7862663333333331</v>
      </c>
      <c r="N1116" t="s">
        <v>25</v>
      </c>
      <c r="O1116">
        <v>645</v>
      </c>
      <c r="P1116">
        <v>19.2</v>
      </c>
      <c r="Q1116">
        <v>5</v>
      </c>
      <c r="R11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6">
        <v>0.46</v>
      </c>
      <c r="T111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16">
        <v>0</v>
      </c>
    </row>
    <row r="1117" spans="1:22" x14ac:dyDescent="0.35">
      <c r="A1117" t="s">
        <v>1761</v>
      </c>
      <c r="B1117" s="2">
        <v>45504</v>
      </c>
      <c r="C1117" t="str" cm="1">
        <f t="array" ref="C11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7">
        <f>YEAR(AllDataCorrected[[#This Row],[Date]])</f>
        <v>2024</v>
      </c>
      <c r="E1117" s="1">
        <v>0.59375</v>
      </c>
      <c r="F111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17" t="str">
        <f>_xlfn.XLOOKUP(AllDataCorrected[[#This Row],[Location Name]], Locations[Location Name],Locations[Group As])</f>
        <v>Alveston Weir</v>
      </c>
      <c r="H1117" t="e" vm="1">
        <f>_xlfn.XLOOKUP(AllDataCorrected[[#This Row],[Site Name]],LocationsKey[Site Name],LocationsKey[District])</f>
        <v>#VALUE!</v>
      </c>
      <c r="I1117" t="e" vm="2">
        <f>_xlfn.XLOOKUP(AllDataCorrected[[#This Row],[Site Name]],LocationsKey[Site Name],LocationsKey[Town])</f>
        <v>#VALUE!</v>
      </c>
      <c r="J1117" t="str">
        <f>_xlfn.XLOOKUP(AllDataCorrected[[#This Row],[Site Name]],LocationsKey[Site Name], LocationsKey[Waterway])</f>
        <v>Avon</v>
      </c>
      <c r="K1117" t="s">
        <v>288</v>
      </c>
      <c r="L1117">
        <f>_xlfn.XLOOKUP(AllDataCorrected[[#This Row],[Site Name]],Tables!$B$12:$B$100, Tables!C$12:C$100)</f>
        <v>52.21226301333337</v>
      </c>
      <c r="M1117">
        <f>_xlfn.XLOOKUP(AllDataCorrected[[#This Row],[Site Name]],Tables!$B$12:$B$100, Tables!D$12:D$100)</f>
        <v>-1.6595226800000011</v>
      </c>
      <c r="N1117" t="s">
        <v>31</v>
      </c>
      <c r="O1117">
        <v>758</v>
      </c>
      <c r="P1117">
        <v>23.4</v>
      </c>
      <c r="Q1117">
        <v>10</v>
      </c>
      <c r="R11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7">
        <v>0.53</v>
      </c>
      <c r="T111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7">
        <v>-1.5</v>
      </c>
      <c r="V1117" t="s">
        <v>1762</v>
      </c>
    </row>
    <row r="1118" spans="1:22" x14ac:dyDescent="0.35">
      <c r="A1118" t="s">
        <v>1763</v>
      </c>
      <c r="B1118" s="2">
        <v>45504</v>
      </c>
      <c r="C1118" t="str" cm="1">
        <f t="array" ref="C11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8">
        <f>YEAR(AllDataCorrected[[#This Row],[Date]])</f>
        <v>2024</v>
      </c>
      <c r="E1118" s="1">
        <v>0.60069444444444442</v>
      </c>
      <c r="F111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18" t="str">
        <f>_xlfn.XLOOKUP(AllDataCorrected[[#This Row],[Location Name]], Locations[Location Name],Locations[Group As])</f>
        <v>Swiffen Bank</v>
      </c>
      <c r="H1118" t="e" vm="1">
        <f>_xlfn.XLOOKUP(AllDataCorrected[[#This Row],[Site Name]],LocationsKey[Site Name],LocationsKey[District])</f>
        <v>#VALUE!</v>
      </c>
      <c r="I1118" t="e" vm="2">
        <f>_xlfn.XLOOKUP(AllDataCorrected[[#This Row],[Site Name]],LocationsKey[Site Name],LocationsKey[Town])</f>
        <v>#VALUE!</v>
      </c>
      <c r="J1118" t="str">
        <f>_xlfn.XLOOKUP(AllDataCorrected[[#This Row],[Site Name]],LocationsKey[Site Name], LocationsKey[Waterway])</f>
        <v>Avon</v>
      </c>
      <c r="K1118" t="s">
        <v>286</v>
      </c>
      <c r="L1118">
        <f>_xlfn.XLOOKUP(AllDataCorrected[[#This Row],[Site Name]],Tables!$B$12:$B$100, Tables!C$12:C$100)</f>
        <v>52.206649805555557</v>
      </c>
      <c r="M1118">
        <f>_xlfn.XLOOKUP(AllDataCorrected[[#This Row],[Site Name]],Tables!$B$12:$B$100, Tables!D$12:D$100)</f>
        <v>-1.6541018611111094</v>
      </c>
      <c r="N1118" t="s">
        <v>31</v>
      </c>
      <c r="O1118">
        <v>776</v>
      </c>
      <c r="P1118">
        <v>22.8</v>
      </c>
      <c r="Q1118">
        <v>10</v>
      </c>
      <c r="R11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8">
        <v>0.71</v>
      </c>
      <c r="T11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8">
        <v>-0.5</v>
      </c>
      <c r="V1118" t="s">
        <v>1764</v>
      </c>
    </row>
    <row r="1119" spans="1:22" x14ac:dyDescent="0.35">
      <c r="A1119" t="s">
        <v>1765</v>
      </c>
      <c r="B1119" s="2">
        <v>45505</v>
      </c>
      <c r="C1119" t="str" cm="1">
        <f t="array" ref="C11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19">
        <f>YEAR(AllDataCorrected[[#This Row],[Date]])</f>
        <v>2024</v>
      </c>
      <c r="E1119" s="1">
        <v>0.40972222222222221</v>
      </c>
      <c r="F11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19" t="str">
        <f>_xlfn.XLOOKUP(AllDataCorrected[[#This Row],[Location Name]], Locations[Location Name],Locations[Group As])</f>
        <v>Carrant A38</v>
      </c>
      <c r="H1119" t="e" vm="4">
        <f>_xlfn.XLOOKUP(AllDataCorrected[[#This Row],[Site Name]],LocationsKey[Site Name],LocationsKey[District])</f>
        <v>#VALUE!</v>
      </c>
      <c r="I1119" t="str">
        <f>_xlfn.XLOOKUP(AllDataCorrected[[#This Row],[Site Name]],LocationsKey[Site Name],LocationsKey[Town])</f>
        <v>Unknown</v>
      </c>
      <c r="J1119" t="str">
        <f>_xlfn.XLOOKUP(AllDataCorrected[[#This Row],[Site Name]],LocationsKey[Site Name], LocationsKey[Waterway])</f>
        <v>Carrant</v>
      </c>
      <c r="K1119" t="s">
        <v>1766</v>
      </c>
      <c r="L1119" t="str">
        <f>_xlfn.XLOOKUP(AllDataCorrected[[#This Row],[Site Name]],Tables!$B$12:$B$100, Tables!C$12:C$100)</f>
        <v>Unknown</v>
      </c>
      <c r="M1119" t="str">
        <f>_xlfn.XLOOKUP(AllDataCorrected[[#This Row],[Site Name]],Tables!$B$12:$B$100, Tables!D$12:D$100)</f>
        <v>Unknown</v>
      </c>
      <c r="N1119" t="s">
        <v>25</v>
      </c>
      <c r="O1119">
        <v>1050</v>
      </c>
      <c r="P1119">
        <v>20.399999999999999</v>
      </c>
      <c r="Q1119">
        <v>5</v>
      </c>
      <c r="R11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19">
        <v>0.8</v>
      </c>
      <c r="T111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19">
        <v>0</v>
      </c>
    </row>
    <row r="1120" spans="1:22" x14ac:dyDescent="0.35">
      <c r="A1120" t="s">
        <v>1767</v>
      </c>
      <c r="B1120" s="2">
        <v>45505</v>
      </c>
      <c r="C1120" t="str" cm="1">
        <f t="array" ref="C11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0">
        <f>YEAR(AllDataCorrected[[#This Row],[Date]])</f>
        <v>2024</v>
      </c>
      <c r="E1120" s="1">
        <v>0.5</v>
      </c>
      <c r="F112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20" t="str">
        <f>_xlfn.XLOOKUP(AllDataCorrected[[#This Row],[Location Name]], Locations[Location Name],Locations[Group As])</f>
        <v>Stour Willington</v>
      </c>
      <c r="H1120" t="e" vm="1">
        <f>_xlfn.XLOOKUP(AllDataCorrected[[#This Row],[Site Name]],LocationsKey[Site Name],LocationsKey[District])</f>
        <v>#VALUE!</v>
      </c>
      <c r="I1120" t="str">
        <f>_xlfn.XLOOKUP(AllDataCorrected[[#This Row],[Site Name]],LocationsKey[Site Name],LocationsKey[Town])</f>
        <v>Willington</v>
      </c>
      <c r="J1120" t="str">
        <f>_xlfn.XLOOKUP(AllDataCorrected[[#This Row],[Site Name]],LocationsKey[Site Name], LocationsKey[Waterway])</f>
        <v>Stour</v>
      </c>
      <c r="K1120" t="s">
        <v>521</v>
      </c>
      <c r="L1120">
        <f>_xlfn.XLOOKUP(AllDataCorrected[[#This Row],[Site Name]],Tables!$B$12:$B$100, Tables!C$12:C$100)</f>
        <v>52.053227523809518</v>
      </c>
      <c r="M1120">
        <f>_xlfn.XLOOKUP(AllDataCorrected[[#This Row],[Site Name]],Tables!$B$12:$B$100, Tables!D$12:D$100)</f>
        <v>-1.6194739523809523</v>
      </c>
      <c r="N1120" t="s">
        <v>25</v>
      </c>
      <c r="O1120">
        <v>636</v>
      </c>
      <c r="P1120">
        <v>19.8</v>
      </c>
      <c r="Q1120">
        <v>2</v>
      </c>
      <c r="R1120" t="str">
        <f>IF(AllDataCorrected[[#This Row],[Nitrate (PPM)]]&gt;2, "4. Very high (&gt;2ppm)", IF(AllDataCorrected[[#This Row],[Nitrate (PPM)]]&gt;1, "3. High (1-2ppm)", IF(AllDataCorrected[[#This Row],[Nitrate (PPM)]]&gt;0.5, "2. Some evidence (0.5-1ppm)", IF(AllDataCorrected[[#This Row],[Nitrate (PPM)]]&gt;=0, "1. No evidence (&lt;0.5ppm)"))))</f>
        <v>3. High (1-2ppm)</v>
      </c>
      <c r="S1120">
        <v>0.51</v>
      </c>
      <c r="T112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0">
        <v>0.5</v>
      </c>
    </row>
    <row r="1121" spans="1:22" x14ac:dyDescent="0.35">
      <c r="A1121" t="s">
        <v>1768</v>
      </c>
      <c r="B1121" s="2">
        <v>45506</v>
      </c>
      <c r="C1121" t="str" cm="1">
        <f t="array" ref="C11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1">
        <f>YEAR(AllDataCorrected[[#This Row],[Date]])</f>
        <v>2024</v>
      </c>
      <c r="E1121" s="1">
        <v>0.34583333333333333</v>
      </c>
      <c r="F112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1" t="str">
        <f>_xlfn.XLOOKUP(AllDataCorrected[[#This Row],[Location Name]], Locations[Location Name],Locations[Group As])</f>
        <v>Lower Lode</v>
      </c>
      <c r="H1121" t="e" vm="4">
        <f>_xlfn.XLOOKUP(AllDataCorrected[[#This Row],[Site Name]],LocationsKey[Site Name],LocationsKey[District])</f>
        <v>#VALUE!</v>
      </c>
      <c r="I1121" t="e" vm="4">
        <f>_xlfn.XLOOKUP(AllDataCorrected[[#This Row],[Site Name]],LocationsKey[Site Name],LocationsKey[Town])</f>
        <v>#VALUE!</v>
      </c>
      <c r="J1121" t="str">
        <f>_xlfn.XLOOKUP(AllDataCorrected[[#This Row],[Site Name]],LocationsKey[Site Name], LocationsKey[Waterway])</f>
        <v>Avon</v>
      </c>
      <c r="K1121" t="s">
        <v>595</v>
      </c>
      <c r="L1121">
        <f>_xlfn.XLOOKUP(AllDataCorrected[[#This Row],[Site Name]],Tables!$B$12:$B$100, Tables!C$12:C$100)</f>
        <v>51.984916745098026</v>
      </c>
      <c r="M1121">
        <f>_xlfn.XLOOKUP(AllDataCorrected[[#This Row],[Site Name]],Tables!$B$12:$B$100, Tables!D$12:D$100)</f>
        <v>-2.1745787647058821</v>
      </c>
      <c r="N1121" t="s">
        <v>31</v>
      </c>
      <c r="O1121">
        <v>8140</v>
      </c>
      <c r="P1121">
        <v>22</v>
      </c>
      <c r="Q1121">
        <v>10</v>
      </c>
      <c r="R11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1">
        <v>0.92</v>
      </c>
      <c r="T11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1">
        <v>0</v>
      </c>
    </row>
    <row r="1122" spans="1:22" x14ac:dyDescent="0.35">
      <c r="A1122" t="s">
        <v>1769</v>
      </c>
      <c r="B1122" s="2">
        <v>45506</v>
      </c>
      <c r="C1122" t="str" cm="1">
        <f t="array" ref="C11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2">
        <f>YEAR(AllDataCorrected[[#This Row],[Date]])</f>
        <v>2024</v>
      </c>
      <c r="E1122" s="1">
        <v>0.43333333333333335</v>
      </c>
      <c r="F112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2" t="str">
        <f>_xlfn.XLOOKUP(AllDataCorrected[[#This Row],[Location Name]], Locations[Location Name],Locations[Group As])</f>
        <v>Bredon Marina</v>
      </c>
      <c r="H1122" t="e" vm="4">
        <f>_xlfn.XLOOKUP(AllDataCorrected[[#This Row],[Site Name]],LocationsKey[Site Name],LocationsKey[District])</f>
        <v>#VALUE!</v>
      </c>
      <c r="I1122" t="e" vm="11">
        <f>_xlfn.XLOOKUP(AllDataCorrected[[#This Row],[Site Name]],LocationsKey[Site Name],LocationsKey[Town])</f>
        <v>#VALUE!</v>
      </c>
      <c r="J1122" t="str">
        <f>_xlfn.XLOOKUP(AllDataCorrected[[#This Row],[Site Name]],LocationsKey[Site Name], LocationsKey[Waterway])</f>
        <v>Avon</v>
      </c>
      <c r="K1122" t="s">
        <v>1661</v>
      </c>
      <c r="L1122">
        <f>_xlfn.XLOOKUP(AllDataCorrected[[#This Row],[Site Name]],Tables!$B$12:$B$100, Tables!C$12:C$100)</f>
        <v>52.033057272727277</v>
      </c>
      <c r="M1122">
        <f>_xlfn.XLOOKUP(AllDataCorrected[[#This Row],[Site Name]],Tables!$B$12:$B$100, Tables!D$12:D$100)</f>
        <v>-2.1161551818181823</v>
      </c>
      <c r="N1122" t="s">
        <v>31</v>
      </c>
      <c r="O1122">
        <v>9560</v>
      </c>
      <c r="P1122">
        <v>22.8</v>
      </c>
      <c r="Q1122">
        <v>10</v>
      </c>
      <c r="R11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2">
        <v>1.21</v>
      </c>
      <c r="T112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2">
        <v>0</v>
      </c>
    </row>
    <row r="1123" spans="1:22" x14ac:dyDescent="0.35">
      <c r="A1123" t="s">
        <v>1770</v>
      </c>
      <c r="B1123" s="2">
        <v>45506</v>
      </c>
      <c r="C1123" t="str" cm="1">
        <f t="array" ref="C11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3">
        <f>YEAR(AllDataCorrected[[#This Row],[Date]])</f>
        <v>2024</v>
      </c>
      <c r="E1123" s="1">
        <v>0.73819444444444449</v>
      </c>
      <c r="F112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23" t="str">
        <f>_xlfn.XLOOKUP(AllDataCorrected[[#This Row],[Location Name]], Locations[Location Name],Locations[Group As])</f>
        <v>Preston-on-Stour River Bridge</v>
      </c>
      <c r="H1123" t="e" vm="1">
        <f>_xlfn.XLOOKUP(AllDataCorrected[[#This Row],[Site Name]],LocationsKey[Site Name],LocationsKey[District])</f>
        <v>#VALUE!</v>
      </c>
      <c r="I1123" t="e" vm="20">
        <f>_xlfn.XLOOKUP(AllDataCorrected[[#This Row],[Site Name]],LocationsKey[Site Name],LocationsKey[Town])</f>
        <v>#VALUE!</v>
      </c>
      <c r="J1123" t="str">
        <f>_xlfn.XLOOKUP(AllDataCorrected[[#This Row],[Site Name]],LocationsKey[Site Name], LocationsKey[Waterway])</f>
        <v>Stour</v>
      </c>
      <c r="K1123" t="s">
        <v>164</v>
      </c>
      <c r="L1123">
        <f>_xlfn.XLOOKUP(AllDataCorrected[[#This Row],[Site Name]],Tables!$B$12:$B$100, Tables!C$12:C$100)</f>
        <v>52.146672352941174</v>
      </c>
      <c r="M1123">
        <f>_xlfn.XLOOKUP(AllDataCorrected[[#This Row],[Site Name]],Tables!$B$12:$B$100, Tables!D$12:D$100)</f>
        <v>-1.6984533333333334</v>
      </c>
      <c r="N1123" t="s">
        <v>31</v>
      </c>
      <c r="O1123">
        <v>646</v>
      </c>
      <c r="P1123">
        <v>21.2</v>
      </c>
      <c r="Q1123">
        <v>6</v>
      </c>
      <c r="R112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3">
        <v>0.41</v>
      </c>
      <c r="T11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3">
        <v>1</v>
      </c>
      <c r="V1123" t="s">
        <v>1771</v>
      </c>
    </row>
    <row r="1124" spans="1:22" x14ac:dyDescent="0.35">
      <c r="A1124" t="s">
        <v>1772</v>
      </c>
      <c r="B1124" s="2">
        <v>45507</v>
      </c>
      <c r="C1124" t="str" cm="1">
        <f t="array" ref="C11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4">
        <f>YEAR(AllDataCorrected[[#This Row],[Date]])</f>
        <v>2024</v>
      </c>
      <c r="E1124" s="1">
        <v>0.39930555555555558</v>
      </c>
      <c r="F11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4" t="str">
        <f>_xlfn.XLOOKUP(AllDataCorrected[[#This Row],[Location Name]], Locations[Location Name],Locations[Group As])</f>
        <v>Avon Smiths Meadow Wyre Piddle</v>
      </c>
      <c r="H1124" t="e" vm="6">
        <f>_xlfn.XLOOKUP(AllDataCorrected[[#This Row],[Site Name]],LocationsKey[Site Name],LocationsKey[District])</f>
        <v>#VALUE!</v>
      </c>
      <c r="I1124" t="e" vm="13">
        <f>_xlfn.XLOOKUP(AllDataCorrected[[#This Row],[Site Name]],LocationsKey[Site Name],LocationsKey[Town])</f>
        <v>#VALUE!</v>
      </c>
      <c r="J1124" t="str">
        <f>_xlfn.XLOOKUP(AllDataCorrected[[#This Row],[Site Name]],LocationsKey[Site Name], LocationsKey[Waterway])</f>
        <v>Avon</v>
      </c>
      <c r="K1124" t="s">
        <v>784</v>
      </c>
      <c r="L1124">
        <f>_xlfn.XLOOKUP(AllDataCorrected[[#This Row],[Site Name]],Tables!$B$12:$B$100, Tables!C$12:C$100)</f>
        <v>52.123126101694929</v>
      </c>
      <c r="M1124">
        <f>_xlfn.XLOOKUP(AllDataCorrected[[#This Row],[Site Name]],Tables!$B$12:$B$100, Tables!D$12:D$100)</f>
        <v>-2.0572511355932215</v>
      </c>
      <c r="N1124" t="s">
        <v>25</v>
      </c>
      <c r="O1124">
        <v>1030</v>
      </c>
      <c r="P1124">
        <v>22.6</v>
      </c>
      <c r="Q1124">
        <v>10</v>
      </c>
      <c r="R11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4">
        <v>1.06</v>
      </c>
      <c r="T11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4">
        <v>0.55000000000000004</v>
      </c>
      <c r="V1124" t="s">
        <v>1773</v>
      </c>
    </row>
    <row r="1125" spans="1:22" x14ac:dyDescent="0.35">
      <c r="A1125" t="s">
        <v>1774</v>
      </c>
      <c r="B1125" s="2">
        <v>45507</v>
      </c>
      <c r="C1125" t="str" cm="1">
        <f t="array" ref="C11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5">
        <f>YEAR(AllDataCorrected[[#This Row],[Date]])</f>
        <v>2024</v>
      </c>
      <c r="E1125" s="1">
        <v>0.42638888888888887</v>
      </c>
      <c r="F11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5" t="str">
        <f>_xlfn.XLOOKUP(AllDataCorrected[[#This Row],[Location Name]], Locations[Location Name],Locations[Group As])</f>
        <v>Piddle Brook Wyre Piddle Bridge</v>
      </c>
      <c r="H1125" t="e" vm="6">
        <f>_xlfn.XLOOKUP(AllDataCorrected[[#This Row],[Site Name]],LocationsKey[Site Name],LocationsKey[District])</f>
        <v>#VALUE!</v>
      </c>
      <c r="I1125" t="e" vm="13">
        <f>_xlfn.XLOOKUP(AllDataCorrected[[#This Row],[Site Name]],LocationsKey[Site Name],LocationsKey[Town])</f>
        <v>#VALUE!</v>
      </c>
      <c r="J1125" t="str">
        <f>_xlfn.XLOOKUP(AllDataCorrected[[#This Row],[Site Name]],LocationsKey[Site Name], LocationsKey[Waterway])</f>
        <v>Piddle Brook</v>
      </c>
      <c r="K1125" t="s">
        <v>787</v>
      </c>
      <c r="L1125">
        <f>_xlfn.XLOOKUP(AllDataCorrected[[#This Row],[Site Name]],Tables!$B$12:$B$100, Tables!C$12:C$100)</f>
        <v>52.126394500000039</v>
      </c>
      <c r="M1125">
        <f>_xlfn.XLOOKUP(AllDataCorrected[[#This Row],[Site Name]],Tables!$B$12:$B$100, Tables!D$12:D$100)</f>
        <v>-2.0564211206896545</v>
      </c>
      <c r="N1125" t="s">
        <v>25</v>
      </c>
      <c r="O1125">
        <v>1800</v>
      </c>
      <c r="P1125">
        <v>19.100000000000001</v>
      </c>
      <c r="Q1125">
        <v>5</v>
      </c>
      <c r="R112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5">
        <v>1.32</v>
      </c>
      <c r="T112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5">
        <v>0.15</v>
      </c>
      <c r="V1125" t="s">
        <v>1775</v>
      </c>
    </row>
    <row r="1126" spans="1:22" x14ac:dyDescent="0.35">
      <c r="A1126" t="s">
        <v>1776</v>
      </c>
      <c r="B1126" s="2">
        <v>45507</v>
      </c>
      <c r="C1126" t="str" cm="1">
        <f t="array" ref="C11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6">
        <f>YEAR(AllDataCorrected[[#This Row],[Date]])</f>
        <v>2024</v>
      </c>
      <c r="E1126" s="1">
        <v>0.44722222222222224</v>
      </c>
      <c r="F112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6" t="str">
        <f>_xlfn.XLOOKUP(AllDataCorrected[[#This Row],[Location Name]], Locations[Location Name],Locations[Group As])</f>
        <v>Site 1  :  Middle Street</v>
      </c>
      <c r="H1126" t="e" vm="1">
        <f>_xlfn.XLOOKUP(AllDataCorrected[[#This Row],[Site Name]],LocationsKey[Site Name],LocationsKey[District])</f>
        <v>#VALUE!</v>
      </c>
      <c r="I1126" t="e" vm="14">
        <f>_xlfn.XLOOKUP(AllDataCorrected[[#This Row],[Site Name]],LocationsKey[Site Name],LocationsKey[Town])</f>
        <v>#VALUE!</v>
      </c>
      <c r="J1126" t="str">
        <f>_xlfn.XLOOKUP(AllDataCorrected[[#This Row],[Site Name]],LocationsKey[Site Name], LocationsKey[Waterway])</f>
        <v>Fosseway Brook</v>
      </c>
      <c r="K1126" t="s">
        <v>1777</v>
      </c>
      <c r="L1126">
        <f>_xlfn.XLOOKUP(AllDataCorrected[[#This Row],[Site Name]],Tables!$B$12:$B$100, Tables!C$12:C$100)</f>
        <v>52.090081855670022</v>
      </c>
      <c r="M1126">
        <f>_xlfn.XLOOKUP(AllDataCorrected[[#This Row],[Site Name]],Tables!$B$12:$B$100, Tables!D$12:D$100)</f>
        <v>-1.6925771134020597</v>
      </c>
      <c r="N1126" t="s">
        <v>68</v>
      </c>
      <c r="O1126">
        <v>684</v>
      </c>
      <c r="P1126">
        <v>20.7</v>
      </c>
      <c r="Q1126">
        <v>0</v>
      </c>
      <c r="R1126"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26">
        <v>0.23</v>
      </c>
      <c r="T11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26">
        <v>0.02</v>
      </c>
      <c r="V1126" t="s">
        <v>1778</v>
      </c>
    </row>
    <row r="1127" spans="1:22" x14ac:dyDescent="0.35">
      <c r="A1127" t="s">
        <v>1779</v>
      </c>
      <c r="B1127" s="2">
        <v>45507</v>
      </c>
      <c r="C1127" t="str" cm="1">
        <f t="array" ref="C11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7">
        <f>YEAR(AllDataCorrected[[#This Row],[Date]])</f>
        <v>2024</v>
      </c>
      <c r="E1127" s="1">
        <v>0.46111111111111114</v>
      </c>
      <c r="F112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7" t="str">
        <f>_xlfn.XLOOKUP(AllDataCorrected[[#This Row],[Location Name]], Locations[Location Name],Locations[Group As])</f>
        <v>Site 2  :  Cross Leys culvert</v>
      </c>
      <c r="H1127" t="e" vm="1">
        <f>_xlfn.XLOOKUP(AllDataCorrected[[#This Row],[Site Name]],LocationsKey[Site Name],LocationsKey[District])</f>
        <v>#VALUE!</v>
      </c>
      <c r="I1127" t="e" vm="14">
        <f>_xlfn.XLOOKUP(AllDataCorrected[[#This Row],[Site Name]],LocationsKey[Site Name],LocationsKey[Town])</f>
        <v>#VALUE!</v>
      </c>
      <c r="J1127" t="str">
        <f>_xlfn.XLOOKUP(AllDataCorrected[[#This Row],[Site Name]],LocationsKey[Site Name], LocationsKey[Waterway])</f>
        <v>Fosseway Brook</v>
      </c>
      <c r="K1127" t="s">
        <v>1780</v>
      </c>
      <c r="L1127">
        <f>_xlfn.XLOOKUP(AllDataCorrected[[#This Row],[Site Name]],Tables!$B$12:$B$100, Tables!C$12:C$100)</f>
        <v>52.092997354838673</v>
      </c>
      <c r="M1127">
        <f>_xlfn.XLOOKUP(AllDataCorrected[[#This Row],[Site Name]],Tables!$B$12:$B$100, Tables!D$12:D$100)</f>
        <v>-1.6862254516129045</v>
      </c>
      <c r="N1127" t="s">
        <v>68</v>
      </c>
      <c r="O1127">
        <v>830</v>
      </c>
      <c r="P1127">
        <v>19.2</v>
      </c>
      <c r="Q1127">
        <v>0.5</v>
      </c>
      <c r="R112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27">
        <v>0.52</v>
      </c>
      <c r="T112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7">
        <v>7.0000000000000007E-2</v>
      </c>
    </row>
    <row r="1128" spans="1:22" x14ac:dyDescent="0.35">
      <c r="A1128" t="s">
        <v>1781</v>
      </c>
      <c r="B1128" s="2">
        <v>45507</v>
      </c>
      <c r="C1128" t="str" cm="1">
        <f t="array" ref="C11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8">
        <f>YEAR(AllDataCorrected[[#This Row],[Date]])</f>
        <v>2024</v>
      </c>
      <c r="E1128" s="1">
        <v>0.47083333333333333</v>
      </c>
      <c r="F11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8" t="str">
        <f>_xlfn.XLOOKUP(AllDataCorrected[[#This Row],[Location Name]], Locations[Location Name],Locations[Group As])</f>
        <v>Site 3  :  Severn Trent Water processing plant outflow</v>
      </c>
      <c r="H1128" t="e" vm="1">
        <f>_xlfn.XLOOKUP(AllDataCorrected[[#This Row],[Site Name]],LocationsKey[Site Name],LocationsKey[District])</f>
        <v>#VALUE!</v>
      </c>
      <c r="I1128" t="e" vm="14">
        <f>_xlfn.XLOOKUP(AllDataCorrected[[#This Row],[Site Name]],LocationsKey[Site Name],LocationsKey[Town])</f>
        <v>#VALUE!</v>
      </c>
      <c r="J1128" t="str">
        <f>_xlfn.XLOOKUP(AllDataCorrected[[#This Row],[Site Name]],LocationsKey[Site Name], LocationsKey[Waterway])</f>
        <v>Fosseway Brook</v>
      </c>
      <c r="K1128" t="s">
        <v>1782</v>
      </c>
      <c r="L1128">
        <f>_xlfn.XLOOKUP(AllDataCorrected[[#This Row],[Site Name]],Tables!$B$12:$B$100, Tables!C$12:C$100)</f>
        <v>52.130499999999998</v>
      </c>
      <c r="M1128">
        <f>_xlfn.XLOOKUP(AllDataCorrected[[#This Row],[Site Name]],Tables!$B$12:$B$100, Tables!D$12:D$100)</f>
        <v>-2.0787</v>
      </c>
      <c r="N1128" t="s">
        <v>31</v>
      </c>
      <c r="O1128">
        <v>850</v>
      </c>
      <c r="P1128">
        <v>20.100000000000001</v>
      </c>
      <c r="Q1128">
        <v>10</v>
      </c>
      <c r="R11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8">
        <v>2.5</v>
      </c>
      <c r="T11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8">
        <v>0.1</v>
      </c>
    </row>
    <row r="1129" spans="1:22" x14ac:dyDescent="0.35">
      <c r="A1129" t="s">
        <v>1783</v>
      </c>
      <c r="B1129" s="2">
        <v>45507</v>
      </c>
      <c r="C1129" t="str" cm="1">
        <f t="array" ref="C11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29">
        <f>YEAR(AllDataCorrected[[#This Row],[Date]])</f>
        <v>2024</v>
      </c>
      <c r="E1129" s="1">
        <v>0.47916666666666669</v>
      </c>
      <c r="F112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29" t="str">
        <f>_xlfn.XLOOKUP(AllDataCorrected[[#This Row],[Location Name]], Locations[Location Name],Locations[Group As])</f>
        <v>Carrant Bredon Rd</v>
      </c>
      <c r="H1129" t="e" vm="4">
        <f>_xlfn.XLOOKUP(AllDataCorrected[[#This Row],[Site Name]],LocationsKey[Site Name],LocationsKey[District])</f>
        <v>#VALUE!</v>
      </c>
      <c r="I1129" t="e" vm="4">
        <f>_xlfn.XLOOKUP(AllDataCorrected[[#This Row],[Site Name]],LocationsKey[Site Name],LocationsKey[Town])</f>
        <v>#VALUE!</v>
      </c>
      <c r="J1129" t="str">
        <f>_xlfn.XLOOKUP(AllDataCorrected[[#This Row],[Site Name]],LocationsKey[Site Name], LocationsKey[Waterway])</f>
        <v>Carrant</v>
      </c>
      <c r="K1129" t="s">
        <v>603</v>
      </c>
      <c r="L1129">
        <f>_xlfn.XLOOKUP(AllDataCorrected[[#This Row],[Site Name]],Tables!$B$12:$B$100, Tables!C$12:C$100)</f>
        <v>51.996322536231894</v>
      </c>
      <c r="M1129">
        <f>_xlfn.XLOOKUP(AllDataCorrected[[#This Row],[Site Name]],Tables!$B$12:$B$100, Tables!D$12:D$100)</f>
        <v>-2.1558410144927538</v>
      </c>
      <c r="N1129" t="s">
        <v>25</v>
      </c>
      <c r="O1129">
        <v>698</v>
      </c>
      <c r="P1129">
        <v>19.600000000000001</v>
      </c>
      <c r="Q1129">
        <v>5</v>
      </c>
      <c r="R11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29">
        <v>0.56000000000000005</v>
      </c>
      <c r="T112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29">
        <v>0</v>
      </c>
    </row>
    <row r="1130" spans="1:22" x14ac:dyDescent="0.35">
      <c r="A1130" t="s">
        <v>1784</v>
      </c>
      <c r="B1130" s="2">
        <v>45507</v>
      </c>
      <c r="C1130" t="str" cm="1">
        <f t="array" ref="C11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0">
        <f>YEAR(AllDataCorrected[[#This Row],[Date]])</f>
        <v>2024</v>
      </c>
      <c r="E1130" s="1">
        <v>0.64930555555555558</v>
      </c>
      <c r="F113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0" t="str">
        <f>_xlfn.XLOOKUP(AllDataCorrected[[#This Row],[Location Name]], Locations[Location Name],Locations[Group As])</f>
        <v>Black Bear</v>
      </c>
      <c r="H1130" t="e" vm="4">
        <f>_xlfn.XLOOKUP(AllDataCorrected[[#This Row],[Site Name]],LocationsKey[Site Name],LocationsKey[District])</f>
        <v>#VALUE!</v>
      </c>
      <c r="I1130" t="e" vm="4">
        <f>_xlfn.XLOOKUP(AllDataCorrected[[#This Row],[Site Name]],LocationsKey[Site Name],LocationsKey[Town])</f>
        <v>#VALUE!</v>
      </c>
      <c r="J1130" t="str">
        <f>_xlfn.XLOOKUP(AllDataCorrected[[#This Row],[Site Name]],LocationsKey[Site Name], LocationsKey[Waterway])</f>
        <v>Avon</v>
      </c>
      <c r="K1130" t="s">
        <v>1175</v>
      </c>
      <c r="L1130">
        <f>_xlfn.XLOOKUP(AllDataCorrected[[#This Row],[Site Name]],Tables!$B$12:$B$100, Tables!C$12:C$100)</f>
        <v>51.997466254237274</v>
      </c>
      <c r="M1130">
        <f>_xlfn.XLOOKUP(AllDataCorrected[[#This Row],[Site Name]],Tables!$B$12:$B$100, Tables!D$12:D$100)</f>
        <v>-2.1561788644067801</v>
      </c>
      <c r="N1130" t="s">
        <v>25</v>
      </c>
      <c r="O1130">
        <v>980</v>
      </c>
      <c r="P1130">
        <v>23.4</v>
      </c>
      <c r="Q1130">
        <v>10</v>
      </c>
      <c r="R113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0">
        <v>1.1599999999999999</v>
      </c>
      <c r="T11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0">
        <v>0</v>
      </c>
    </row>
    <row r="1131" spans="1:22" x14ac:dyDescent="0.35">
      <c r="A1131" t="s">
        <v>1785</v>
      </c>
      <c r="B1131" s="2">
        <v>45507</v>
      </c>
      <c r="C1131" t="str" cm="1">
        <f t="array" ref="C11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1">
        <f>YEAR(AllDataCorrected[[#This Row],[Date]])</f>
        <v>2024</v>
      </c>
      <c r="E1131" s="1">
        <v>0.80625000000000002</v>
      </c>
      <c r="F11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31" t="str">
        <f>_xlfn.XLOOKUP(AllDataCorrected[[#This Row],[Location Name]], Locations[Location Name],Locations[Group As])</f>
        <v>Abbey Mill</v>
      </c>
      <c r="H1131" t="e" vm="4">
        <f>_xlfn.XLOOKUP(AllDataCorrected[[#This Row],[Site Name]],LocationsKey[Site Name],LocationsKey[District])</f>
        <v>#VALUE!</v>
      </c>
      <c r="I1131" t="e" vm="4">
        <f>_xlfn.XLOOKUP(AllDataCorrected[[#This Row],[Site Name]],LocationsKey[Site Name],LocationsKey[Town])</f>
        <v>#VALUE!</v>
      </c>
      <c r="J1131" t="str">
        <f>_xlfn.XLOOKUP(AllDataCorrected[[#This Row],[Site Name]],LocationsKey[Site Name], LocationsKey[Waterway])</f>
        <v>Avon</v>
      </c>
      <c r="K1131" t="s">
        <v>27</v>
      </c>
      <c r="L1131">
        <f>_xlfn.XLOOKUP(AllDataCorrected[[#This Row],[Site Name]],Tables!$B$12:$B$100, Tables!C$12:C$100)</f>
        <v>51.991313075757589</v>
      </c>
      <c r="M1131">
        <f>_xlfn.XLOOKUP(AllDataCorrected[[#This Row],[Site Name]],Tables!$B$12:$B$100, Tables!D$12:D$100)</f>
        <v>-2.1621998181818181</v>
      </c>
      <c r="N1131" t="s">
        <v>25</v>
      </c>
      <c r="O1131">
        <v>983</v>
      </c>
      <c r="P1131">
        <v>22.7</v>
      </c>
      <c r="Q1131">
        <v>15</v>
      </c>
      <c r="R113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1">
        <v>0.97</v>
      </c>
      <c r="T11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1">
        <v>0.45</v>
      </c>
    </row>
    <row r="1132" spans="1:22" x14ac:dyDescent="0.35">
      <c r="A1132" t="s">
        <v>1787</v>
      </c>
      <c r="B1132" s="2">
        <v>45508</v>
      </c>
      <c r="C1132" t="str" cm="1">
        <f t="array" ref="C11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2">
        <f>YEAR(AllDataCorrected[[#This Row],[Date]])</f>
        <v>2024</v>
      </c>
      <c r="E1132" s="1">
        <v>0.35694444444444445</v>
      </c>
      <c r="F113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2" t="str">
        <f>_xlfn.XLOOKUP(AllDataCorrected[[#This Row],[Location Name]], Locations[Location Name],Locations[Group As])</f>
        <v>The Ford, Langley</v>
      </c>
      <c r="H1132" t="e" vm="1">
        <f>_xlfn.XLOOKUP(AllDataCorrected[[#This Row],[Site Name]],LocationsKey[Site Name],LocationsKey[District])</f>
        <v>#VALUE!</v>
      </c>
      <c r="I1132" t="str">
        <f>_xlfn.XLOOKUP(AllDataCorrected[[#This Row],[Site Name]],LocationsKey[Site Name],LocationsKey[Town])</f>
        <v>Langley</v>
      </c>
      <c r="J1132" t="str">
        <f>_xlfn.XLOOKUP(AllDataCorrected[[#This Row],[Site Name]],LocationsKey[Site Name], LocationsKey[Waterway])</f>
        <v>Langley Ford</v>
      </c>
      <c r="K1132" t="s">
        <v>561</v>
      </c>
      <c r="L1132">
        <f>_xlfn.XLOOKUP(AllDataCorrected[[#This Row],[Site Name]],Tables!$B$12:$B$100, Tables!C$12:C$100)</f>
        <v>52.262666528301864</v>
      </c>
      <c r="M1132">
        <f>_xlfn.XLOOKUP(AllDataCorrected[[#This Row],[Site Name]],Tables!$B$12:$B$100, Tables!D$12:D$100)</f>
        <v>-1.6545845283018858</v>
      </c>
      <c r="N1132" t="s">
        <v>31</v>
      </c>
      <c r="O1132">
        <v>844</v>
      </c>
      <c r="P1132">
        <v>16.899999999999999</v>
      </c>
      <c r="Q1132">
        <v>5</v>
      </c>
      <c r="R11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2">
        <v>0.97</v>
      </c>
      <c r="T11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2">
        <v>0.05</v>
      </c>
    </row>
    <row r="1133" spans="1:22" x14ac:dyDescent="0.35">
      <c r="A1133" t="s">
        <v>1788</v>
      </c>
      <c r="B1133" s="2">
        <v>45508</v>
      </c>
      <c r="C1133" t="str" cm="1">
        <f t="array" ref="C11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3">
        <f>YEAR(AllDataCorrected[[#This Row],[Date]])</f>
        <v>2024</v>
      </c>
      <c r="E1133" s="1">
        <v>0.41666666666666669</v>
      </c>
      <c r="F113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3" t="str">
        <f>_xlfn.XLOOKUP(AllDataCorrected[[#This Row],[Location Name]], Locations[Location Name],Locations[Group As])</f>
        <v>Sherbourne Brook 1</v>
      </c>
      <c r="H1133" t="e" vm="1">
        <f>_xlfn.XLOOKUP(AllDataCorrected[[#This Row],[Site Name]],LocationsKey[Site Name],LocationsKey[District])</f>
        <v>#VALUE!</v>
      </c>
      <c r="I1133" t="e" vm="23">
        <f>_xlfn.XLOOKUP(AllDataCorrected[[#This Row],[Site Name]],LocationsKey[Site Name],LocationsKey[Town])</f>
        <v>#VALUE!</v>
      </c>
      <c r="J1133" t="str">
        <f>_xlfn.XLOOKUP(AllDataCorrected[[#This Row],[Site Name]],LocationsKey[Site Name], LocationsKey[Waterway])</f>
        <v>Sherbourne Brook</v>
      </c>
      <c r="K1133" t="s">
        <v>541</v>
      </c>
      <c r="L1133">
        <f>_xlfn.XLOOKUP(AllDataCorrected[[#This Row],[Site Name]],Tables!$B$12:$B$100, Tables!C$12:C$100)</f>
        <v>52.252500000000033</v>
      </c>
      <c r="M1133">
        <f>_xlfn.XLOOKUP(AllDataCorrected[[#This Row],[Site Name]],Tables!$B$12:$B$100, Tables!D$12:D$100)</f>
        <v>-1.6685000000000012</v>
      </c>
      <c r="N1133" t="s">
        <v>25</v>
      </c>
      <c r="O1133">
        <v>1110</v>
      </c>
      <c r="P1133">
        <v>16.5</v>
      </c>
      <c r="Q1133">
        <v>9</v>
      </c>
      <c r="R11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3">
        <v>0.39</v>
      </c>
      <c r="T113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33">
        <v>0.1</v>
      </c>
    </row>
    <row r="1134" spans="1:22" x14ac:dyDescent="0.35">
      <c r="A1134" t="s">
        <v>1789</v>
      </c>
      <c r="B1134" s="2">
        <v>45508</v>
      </c>
      <c r="C1134" t="str" cm="1">
        <f t="array" ref="C11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4">
        <f>YEAR(AllDataCorrected[[#This Row],[Date]])</f>
        <v>2024</v>
      </c>
      <c r="E1134" s="1">
        <v>0.42708333333333331</v>
      </c>
      <c r="F11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4" t="str">
        <f>_xlfn.XLOOKUP(AllDataCorrected[[#This Row],[Location Name]], Locations[Location Name],Locations[Group As])</f>
        <v>Bell Brook 1</v>
      </c>
      <c r="H1134" t="e" vm="1">
        <f>_xlfn.XLOOKUP(AllDataCorrected[[#This Row],[Site Name]],LocationsKey[Site Name],LocationsKey[District])</f>
        <v>#VALUE!</v>
      </c>
      <c r="I1134" t="e" vm="19">
        <f>_xlfn.XLOOKUP(AllDataCorrected[[#This Row],[Site Name]],LocationsKey[Site Name],LocationsKey[Town])</f>
        <v>#VALUE!</v>
      </c>
      <c r="J1134" t="str">
        <f>_xlfn.XLOOKUP(AllDataCorrected[[#This Row],[Site Name]],LocationsKey[Site Name], LocationsKey[Waterway])</f>
        <v>Bell Brook</v>
      </c>
      <c r="K1134" t="s">
        <v>538</v>
      </c>
      <c r="L1134">
        <f>_xlfn.XLOOKUP(AllDataCorrected[[#This Row],[Site Name]],Tables!$B$12:$B$100, Tables!C$12:C$100)</f>
        <v>52.24489999999998</v>
      </c>
      <c r="M1134">
        <f>_xlfn.XLOOKUP(AllDataCorrected[[#This Row],[Site Name]],Tables!$B$12:$B$100, Tables!D$12:D$100)</f>
        <v>-1.6617000000000013</v>
      </c>
      <c r="N1134" t="s">
        <v>25</v>
      </c>
      <c r="O1134">
        <v>909</v>
      </c>
      <c r="P1134">
        <v>17.600000000000001</v>
      </c>
      <c r="Q1134">
        <v>8</v>
      </c>
      <c r="R11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4">
        <v>0.67</v>
      </c>
      <c r="T11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4">
        <v>0.1</v>
      </c>
    </row>
    <row r="1135" spans="1:22" x14ac:dyDescent="0.35">
      <c r="A1135" t="s">
        <v>1790</v>
      </c>
      <c r="B1135" s="2">
        <v>45508</v>
      </c>
      <c r="C1135" t="str" cm="1">
        <f t="array" ref="C11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5">
        <f>YEAR(AllDataCorrected[[#This Row],[Date]])</f>
        <v>2024</v>
      </c>
      <c r="E1135" s="1">
        <v>0.6875</v>
      </c>
      <c r="F113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35" t="str">
        <f>_xlfn.XLOOKUP(AllDataCorrected[[#This Row],[Location Name]], Locations[Location Name],Locations[Group As])</f>
        <v>Fell Mill Footbridge</v>
      </c>
      <c r="H1135" t="e" vm="1">
        <f>_xlfn.XLOOKUP(AllDataCorrected[[#This Row],[Site Name]],LocationsKey[Site Name],LocationsKey[District])</f>
        <v>#VALUE!</v>
      </c>
      <c r="I1135" t="e" vm="15">
        <f>_xlfn.XLOOKUP(AllDataCorrected[[#This Row],[Site Name]],LocationsKey[Site Name],LocationsKey[Town])</f>
        <v>#VALUE!</v>
      </c>
      <c r="J1135" t="str">
        <f>_xlfn.XLOOKUP(AllDataCorrected[[#This Row],[Site Name]],LocationsKey[Site Name], LocationsKey[Waterway])</f>
        <v>Stour</v>
      </c>
      <c r="K1135" t="s">
        <v>875</v>
      </c>
      <c r="L1135">
        <f>_xlfn.XLOOKUP(AllDataCorrected[[#This Row],[Site Name]],Tables!$B$12:$B$100, Tables!C$12:C$100)</f>
        <v>52.069044372881365</v>
      </c>
      <c r="M1135">
        <f>_xlfn.XLOOKUP(AllDataCorrected[[#This Row],[Site Name]],Tables!$B$12:$B$100, Tables!D$12:D$100)</f>
        <v>-1.6116270169491524</v>
      </c>
      <c r="N1135" t="s">
        <v>31</v>
      </c>
      <c r="O1135">
        <v>626</v>
      </c>
      <c r="P1135">
        <v>18.399999999999999</v>
      </c>
      <c r="Q1135">
        <v>5</v>
      </c>
      <c r="R11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5">
        <v>0.51</v>
      </c>
      <c r="T113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5">
        <v>1.1000000000000001</v>
      </c>
      <c r="V1135" t="s">
        <v>1791</v>
      </c>
    </row>
    <row r="1136" spans="1:22" x14ac:dyDescent="0.35">
      <c r="A1136" t="s">
        <v>1793</v>
      </c>
      <c r="B1136" s="2">
        <v>45509</v>
      </c>
      <c r="C1136" t="str" cm="1">
        <f t="array" ref="C11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6">
        <f>YEAR(AllDataCorrected[[#This Row],[Date]])</f>
        <v>2024</v>
      </c>
      <c r="E1136" s="1">
        <v>0.3125</v>
      </c>
      <c r="F11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6" t="str">
        <f>_xlfn.XLOOKUP(AllDataCorrected[[#This Row],[Location Name]], Locations[Location Name],Locations[Group As])</f>
        <v>Carrant M5 Bridge</v>
      </c>
      <c r="H1136" t="e" vm="4">
        <f>_xlfn.XLOOKUP(AllDataCorrected[[#This Row],[Site Name]],LocationsKey[Site Name],LocationsKey[District])</f>
        <v>#VALUE!</v>
      </c>
      <c r="I1136" t="e" vm="4">
        <f>_xlfn.XLOOKUP(AllDataCorrected[[#This Row],[Site Name]],LocationsKey[Site Name],LocationsKey[Town])</f>
        <v>#VALUE!</v>
      </c>
      <c r="J1136" t="str">
        <f>_xlfn.XLOOKUP(AllDataCorrected[[#This Row],[Site Name]],LocationsKey[Site Name], LocationsKey[Waterway])</f>
        <v>Carrant</v>
      </c>
      <c r="K1136" t="s">
        <v>1144</v>
      </c>
      <c r="L1136">
        <f>_xlfn.XLOOKUP(AllDataCorrected[[#This Row],[Site Name]],Tables!$B$12:$B$100, Tables!C$12:C$100)</f>
        <v>52.012994652173923</v>
      </c>
      <c r="M1136">
        <f>_xlfn.XLOOKUP(AllDataCorrected[[#This Row],[Site Name]],Tables!$B$12:$B$100, Tables!D$12:D$100)</f>
        <v>-2.1224405652173912</v>
      </c>
      <c r="N1136" t="s">
        <v>25</v>
      </c>
      <c r="O1136">
        <v>793</v>
      </c>
      <c r="P1136">
        <v>20</v>
      </c>
      <c r="Q1136">
        <v>6</v>
      </c>
      <c r="R11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6">
        <v>1.75</v>
      </c>
      <c r="T113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36">
        <v>0</v>
      </c>
    </row>
    <row r="1137" spans="1:22" x14ac:dyDescent="0.35">
      <c r="A1137" t="s">
        <v>1753</v>
      </c>
      <c r="B1137" s="2">
        <v>45502</v>
      </c>
      <c r="C1137" t="str" cm="1">
        <f t="array" ref="C11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7">
        <f>YEAR(AllDataCorrected[[#This Row],[Date]])</f>
        <v>2024</v>
      </c>
      <c r="E1137" s="1">
        <v>0.31597222222222221</v>
      </c>
      <c r="F11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7" t="str">
        <f>_xlfn.XLOOKUP(AllDataCorrected[[#This Row],[Location Name]], Locations[Location Name],Locations[Group As])</f>
        <v>Chipping Campden Lady J Gateway</v>
      </c>
      <c r="H1137" t="e" vm="9">
        <f>_xlfn.XLOOKUP(AllDataCorrected[[#This Row],[Site Name]],LocationsKey[Site Name],LocationsKey[District])</f>
        <v>#VALUE!</v>
      </c>
      <c r="I1137" t="e" vm="10">
        <f>_xlfn.XLOOKUP(AllDataCorrected[[#This Row],[Site Name]],LocationsKey[Site Name],LocationsKey[Town])</f>
        <v>#VALUE!</v>
      </c>
      <c r="J1137" t="str">
        <f>_xlfn.XLOOKUP(AllDataCorrected[[#This Row],[Site Name]],LocationsKey[Site Name], LocationsKey[Waterway])</f>
        <v>Cam Brook</v>
      </c>
      <c r="K1137" t="s">
        <v>1573</v>
      </c>
      <c r="L1137" t="str">
        <f>_xlfn.XLOOKUP(AllDataCorrected[[#This Row],[Site Name]],Tables!$B$12:$B$100, Tables!C$12:C$100)</f>
        <v>Unknown</v>
      </c>
      <c r="M1137" t="str">
        <f>_xlfn.XLOOKUP(AllDataCorrected[[#This Row],[Site Name]],Tables!$B$12:$B$100, Tables!D$12:D$100)</f>
        <v>Unknown</v>
      </c>
      <c r="N1137" t="s">
        <v>68</v>
      </c>
      <c r="O1137">
        <v>510</v>
      </c>
      <c r="P1137">
        <v>16.600000000000001</v>
      </c>
      <c r="Q1137">
        <v>5</v>
      </c>
      <c r="R113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7">
        <v>0.03</v>
      </c>
      <c r="T1137"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37">
        <v>0.11</v>
      </c>
    </row>
    <row r="1138" spans="1:22" x14ac:dyDescent="0.35">
      <c r="A1138" t="s">
        <v>1794</v>
      </c>
      <c r="B1138" s="2">
        <v>45509</v>
      </c>
      <c r="C1138" t="str" cm="1">
        <f t="array" ref="C11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8">
        <f>YEAR(AllDataCorrected[[#This Row],[Date]])</f>
        <v>2024</v>
      </c>
      <c r="E1138" s="1">
        <v>0.34722222222222221</v>
      </c>
      <c r="F113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8" t="str">
        <f>_xlfn.XLOOKUP(AllDataCorrected[[#This Row],[Location Name]], Locations[Location Name],Locations[Group As])</f>
        <v>Chipping Campden Lady J Gateway</v>
      </c>
      <c r="H1138" t="e" vm="9">
        <f>_xlfn.XLOOKUP(AllDataCorrected[[#This Row],[Site Name]],LocationsKey[Site Name],LocationsKey[District])</f>
        <v>#VALUE!</v>
      </c>
      <c r="I1138" t="e" vm="10">
        <f>_xlfn.XLOOKUP(AllDataCorrected[[#This Row],[Site Name]],LocationsKey[Site Name],LocationsKey[Town])</f>
        <v>#VALUE!</v>
      </c>
      <c r="J1138" t="str">
        <f>_xlfn.XLOOKUP(AllDataCorrected[[#This Row],[Site Name]],LocationsKey[Site Name], LocationsKey[Waterway])</f>
        <v>Cam Brook</v>
      </c>
      <c r="K1138" t="s">
        <v>1573</v>
      </c>
      <c r="L1138" t="str">
        <f>_xlfn.XLOOKUP(AllDataCorrected[[#This Row],[Site Name]],Tables!$B$12:$B$100, Tables!C$12:C$100)</f>
        <v>Unknown</v>
      </c>
      <c r="M1138" t="str">
        <f>_xlfn.XLOOKUP(AllDataCorrected[[#This Row],[Site Name]],Tables!$B$12:$B$100, Tables!D$12:D$100)</f>
        <v>Unknown</v>
      </c>
      <c r="N1138" t="s">
        <v>68</v>
      </c>
      <c r="O1138">
        <v>450</v>
      </c>
      <c r="P1138">
        <v>17.2</v>
      </c>
      <c r="Q1138">
        <v>5</v>
      </c>
      <c r="R11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8">
        <v>0.08</v>
      </c>
      <c r="T1138"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38">
        <v>0.06</v>
      </c>
    </row>
    <row r="1139" spans="1:22" x14ac:dyDescent="0.35">
      <c r="A1139" t="s">
        <v>1840</v>
      </c>
      <c r="B1139" s="2">
        <v>45516</v>
      </c>
      <c r="C1139" t="str" cm="1">
        <f t="array" ref="C113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39">
        <f>YEAR(AllDataCorrected[[#This Row],[Date]])</f>
        <v>2024</v>
      </c>
      <c r="E1139" s="1">
        <v>0.34027777777777779</v>
      </c>
      <c r="F113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39" t="str">
        <f>_xlfn.XLOOKUP(AllDataCorrected[[#This Row],[Location Name]], Locations[Location Name],Locations[Group As])</f>
        <v>Chipping Campden Lady J Gateway</v>
      </c>
      <c r="H1139" t="e" vm="9">
        <f>_xlfn.XLOOKUP(AllDataCorrected[[#This Row],[Site Name]],LocationsKey[Site Name],LocationsKey[District])</f>
        <v>#VALUE!</v>
      </c>
      <c r="I1139" t="e" vm="10">
        <f>_xlfn.XLOOKUP(AllDataCorrected[[#This Row],[Site Name]],LocationsKey[Site Name],LocationsKey[Town])</f>
        <v>#VALUE!</v>
      </c>
      <c r="J1139" t="str">
        <f>_xlfn.XLOOKUP(AllDataCorrected[[#This Row],[Site Name]],LocationsKey[Site Name], LocationsKey[Waterway])</f>
        <v>Cam Brook</v>
      </c>
      <c r="K1139" t="s">
        <v>1573</v>
      </c>
      <c r="L1139" t="str">
        <f>_xlfn.XLOOKUP(AllDataCorrected[[#This Row],[Site Name]],Tables!$B$12:$B$100, Tables!C$12:C$100)</f>
        <v>Unknown</v>
      </c>
      <c r="M1139" t="str">
        <f>_xlfn.XLOOKUP(AllDataCorrected[[#This Row],[Site Name]],Tables!$B$12:$B$100, Tables!D$12:D$100)</f>
        <v>Unknown</v>
      </c>
      <c r="N1139" t="s">
        <v>68</v>
      </c>
      <c r="O1139">
        <v>509</v>
      </c>
      <c r="P1139">
        <v>18.899999999999999</v>
      </c>
      <c r="Q1139">
        <v>5</v>
      </c>
      <c r="R113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39">
        <v>7.0000000000000007E-2</v>
      </c>
      <c r="T1139"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39">
        <v>0.08</v>
      </c>
    </row>
    <row r="1140" spans="1:22" x14ac:dyDescent="0.35">
      <c r="A1140" t="s">
        <v>1798</v>
      </c>
      <c r="B1140" s="2">
        <v>45509</v>
      </c>
      <c r="C1140" t="str" cm="1">
        <f t="array" ref="C114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0">
        <f>YEAR(AllDataCorrected[[#This Row],[Date]])</f>
        <v>2024</v>
      </c>
      <c r="E1140" s="1">
        <v>0.70138888888888884</v>
      </c>
      <c r="F114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0" t="str">
        <f>_xlfn.XLOOKUP(AllDataCorrected[[#This Row],[Location Name]], Locations[Location Name],Locations[Group As])</f>
        <v>Carrant Back Lane Beckford</v>
      </c>
      <c r="H1140" t="e" vm="4">
        <f>_xlfn.XLOOKUP(AllDataCorrected[[#This Row],[Site Name]],LocationsKey[Site Name],LocationsKey[District])</f>
        <v>#VALUE!</v>
      </c>
      <c r="I1140" t="str">
        <f>_xlfn.XLOOKUP(AllDataCorrected[[#This Row],[Site Name]],LocationsKey[Site Name],LocationsKey[Town])</f>
        <v>Beckford</v>
      </c>
      <c r="J1140" t="str">
        <f>_xlfn.XLOOKUP(AllDataCorrected[[#This Row],[Site Name]],LocationsKey[Site Name], LocationsKey[Waterway])</f>
        <v>Carrant</v>
      </c>
      <c r="K1140" t="s">
        <v>1736</v>
      </c>
      <c r="L1140">
        <f>_xlfn.XLOOKUP(AllDataCorrected[[#This Row],[Site Name]],Tables!$B$12:$B$100, Tables!C$12:C$100)</f>
        <v>52.018128913043483</v>
      </c>
      <c r="M1140">
        <f>_xlfn.XLOOKUP(AllDataCorrected[[#This Row],[Site Name]],Tables!$B$12:$B$100, Tables!D$12:D$100)</f>
        <v>-2.0388751739130435</v>
      </c>
      <c r="N1140" t="s">
        <v>68</v>
      </c>
      <c r="O1140">
        <v>769</v>
      </c>
      <c r="P1140">
        <v>18.7</v>
      </c>
      <c r="Q1140">
        <v>11</v>
      </c>
      <c r="R114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0">
        <v>0.73</v>
      </c>
      <c r="T114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0">
        <v>0.2</v>
      </c>
      <c r="V1140" t="s">
        <v>1799</v>
      </c>
    </row>
    <row r="1141" spans="1:22" x14ac:dyDescent="0.35">
      <c r="A1141" t="s">
        <v>1800</v>
      </c>
      <c r="B1141" s="2">
        <v>45509</v>
      </c>
      <c r="C1141" t="str" cm="1">
        <f t="array" ref="C114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1">
        <f>YEAR(AllDataCorrected[[#This Row],[Date]])</f>
        <v>2024</v>
      </c>
      <c r="E1141" s="1">
        <v>0.71388888888888891</v>
      </c>
      <c r="F114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1" t="str">
        <f>_xlfn.XLOOKUP(AllDataCorrected[[#This Row],[Location Name]], Locations[Location Name],Locations[Group As])</f>
        <v>Bredon Marina</v>
      </c>
      <c r="H1141" t="e" vm="4">
        <f>_xlfn.XLOOKUP(AllDataCorrected[[#This Row],[Site Name]],LocationsKey[Site Name],LocationsKey[District])</f>
        <v>#VALUE!</v>
      </c>
      <c r="I1141" t="e" vm="11">
        <f>_xlfn.XLOOKUP(AllDataCorrected[[#This Row],[Site Name]],LocationsKey[Site Name],LocationsKey[Town])</f>
        <v>#VALUE!</v>
      </c>
      <c r="J1141" t="str">
        <f>_xlfn.XLOOKUP(AllDataCorrected[[#This Row],[Site Name]],LocationsKey[Site Name], LocationsKey[Waterway])</f>
        <v>Avon</v>
      </c>
      <c r="K1141" t="s">
        <v>1661</v>
      </c>
      <c r="L1141">
        <f>_xlfn.XLOOKUP(AllDataCorrected[[#This Row],[Site Name]],Tables!$B$12:$B$100, Tables!C$12:C$100)</f>
        <v>52.033057272727277</v>
      </c>
      <c r="M1141">
        <f>_xlfn.XLOOKUP(AllDataCorrected[[#This Row],[Site Name]],Tables!$B$12:$B$100, Tables!D$12:D$100)</f>
        <v>-2.1161551818181823</v>
      </c>
      <c r="N1141" t="s">
        <v>31</v>
      </c>
      <c r="O1141">
        <v>9400</v>
      </c>
      <c r="P1141">
        <v>23.4</v>
      </c>
      <c r="Q1141">
        <v>6</v>
      </c>
      <c r="R114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1">
        <v>1.58</v>
      </c>
      <c r="T114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1">
        <v>0</v>
      </c>
    </row>
    <row r="1142" spans="1:22" x14ac:dyDescent="0.35">
      <c r="A1142" t="s">
        <v>1801</v>
      </c>
      <c r="B1142" s="2">
        <v>45509</v>
      </c>
      <c r="C1142" t="str" cm="1">
        <f t="array" ref="C114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2">
        <f>YEAR(AllDataCorrected[[#This Row],[Date]])</f>
        <v>2024</v>
      </c>
      <c r="E1142" s="1">
        <v>0.71527777777777779</v>
      </c>
      <c r="F114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2" t="str">
        <f>_xlfn.XLOOKUP(AllDataCorrected[[#This Row],[Location Name]], Locations[Location Name],Locations[Group As])</f>
        <v>Stour Stretton-on-Fosse Village</v>
      </c>
      <c r="H1142" t="e" vm="1">
        <f>_xlfn.XLOOKUP(AllDataCorrected[[#This Row],[Site Name]],LocationsKey[Site Name],LocationsKey[District])</f>
        <v>#VALUE!</v>
      </c>
      <c r="I1142" t="e" vm="30">
        <f>_xlfn.XLOOKUP(AllDataCorrected[[#This Row],[Site Name]],LocationsKey[Site Name],LocationsKey[Town])</f>
        <v>#VALUE!</v>
      </c>
      <c r="J1142" t="str">
        <f>_xlfn.XLOOKUP(AllDataCorrected[[#This Row],[Site Name]],LocationsKey[Site Name], LocationsKey[Waterway])</f>
        <v>Stour</v>
      </c>
      <c r="K1142" t="s">
        <v>548</v>
      </c>
      <c r="L1142">
        <f>_xlfn.XLOOKUP(AllDataCorrected[[#This Row],[Site Name]],Tables!$B$12:$B$100, Tables!C$12:C$100)</f>
        <v>52.046517558823531</v>
      </c>
      <c r="M1142">
        <f>_xlfn.XLOOKUP(AllDataCorrected[[#This Row],[Site Name]],Tables!$B$12:$B$100, Tables!D$12:D$100)</f>
        <v>-1.6734143529411762</v>
      </c>
      <c r="N1142" t="s">
        <v>68</v>
      </c>
      <c r="O1142">
        <v>742</v>
      </c>
      <c r="P1142">
        <v>18.5</v>
      </c>
      <c r="Q1142">
        <v>0.5</v>
      </c>
      <c r="R1142"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2">
        <v>2.5</v>
      </c>
      <c r="T114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2">
        <v>0.15</v>
      </c>
      <c r="V1142" t="s">
        <v>1356</v>
      </c>
    </row>
    <row r="1143" spans="1:22" x14ac:dyDescent="0.35">
      <c r="A1143" t="s">
        <v>1802</v>
      </c>
      <c r="B1143" s="2">
        <v>45509</v>
      </c>
      <c r="C1143" t="str" cm="1">
        <f t="array" ref="C114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3">
        <f>YEAR(AllDataCorrected[[#This Row],[Date]])</f>
        <v>2024</v>
      </c>
      <c r="E1143" s="1">
        <v>0.72499999999999998</v>
      </c>
      <c r="F114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3" t="str">
        <f>_xlfn.XLOOKUP(AllDataCorrected[[#This Row],[Location Name]], Locations[Location Name],Locations[Group As])</f>
        <v>Stour Stretton-on-Fosse Sewage Works</v>
      </c>
      <c r="H1143" t="e" vm="1">
        <f>_xlfn.XLOOKUP(AllDataCorrected[[#This Row],[Site Name]],LocationsKey[Site Name],LocationsKey[District])</f>
        <v>#VALUE!</v>
      </c>
      <c r="I1143" t="e" vm="30">
        <f>_xlfn.XLOOKUP(AllDataCorrected[[#This Row],[Site Name]],LocationsKey[Site Name],LocationsKey[Town])</f>
        <v>#VALUE!</v>
      </c>
      <c r="J1143" t="str">
        <f>_xlfn.XLOOKUP(AllDataCorrected[[#This Row],[Site Name]],LocationsKey[Site Name], LocationsKey[Waterway])</f>
        <v>Stour</v>
      </c>
      <c r="K1143" t="s">
        <v>337</v>
      </c>
      <c r="L1143">
        <f>_xlfn.XLOOKUP(AllDataCorrected[[#This Row],[Site Name]],Tables!$B$12:$B$100, Tables!C$12:C$100)</f>
        <v>52.045653647058828</v>
      </c>
      <c r="M1143">
        <f>_xlfn.XLOOKUP(AllDataCorrected[[#This Row],[Site Name]],Tables!$B$12:$B$100, Tables!D$12:D$100)</f>
        <v>-1.6719221470588239</v>
      </c>
      <c r="N1143" t="s">
        <v>31</v>
      </c>
      <c r="O1143">
        <v>890</v>
      </c>
      <c r="P1143">
        <v>19.399999999999999</v>
      </c>
      <c r="Q1143">
        <v>0.5</v>
      </c>
      <c r="R114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3">
        <v>2.5</v>
      </c>
      <c r="T114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3">
        <v>0.2</v>
      </c>
      <c r="V1143" t="s">
        <v>1356</v>
      </c>
    </row>
    <row r="1144" spans="1:22" x14ac:dyDescent="0.35">
      <c r="A1144" t="s">
        <v>1803</v>
      </c>
      <c r="B1144" s="2">
        <v>45510</v>
      </c>
      <c r="C1144" t="str" cm="1">
        <f t="array" ref="C114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4">
        <f>YEAR(AllDataCorrected[[#This Row],[Date]])</f>
        <v>2024</v>
      </c>
      <c r="E1144" s="1">
        <v>0.64652777777777781</v>
      </c>
      <c r="F114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4" t="str">
        <f>_xlfn.XLOOKUP(AllDataCorrected[[#This Row],[Location Name]], Locations[Location Name],Locations[Group As])</f>
        <v>Carrant Mitton Bridge</v>
      </c>
      <c r="H1144" t="e" vm="4">
        <f>_xlfn.XLOOKUP(AllDataCorrected[[#This Row],[Site Name]],LocationsKey[Site Name],LocationsKey[District])</f>
        <v>#VALUE!</v>
      </c>
      <c r="I1144" t="e" vm="4">
        <f>_xlfn.XLOOKUP(AllDataCorrected[[#This Row],[Site Name]],LocationsKey[Site Name],LocationsKey[Town])</f>
        <v>#VALUE!</v>
      </c>
      <c r="J1144" t="str">
        <f>_xlfn.XLOOKUP(AllDataCorrected[[#This Row],[Site Name]],LocationsKey[Site Name], LocationsKey[Waterway])</f>
        <v>Carrant</v>
      </c>
      <c r="K1144" t="s">
        <v>1394</v>
      </c>
      <c r="L1144">
        <f>_xlfn.XLOOKUP(AllDataCorrected[[#This Row],[Site Name]],Tables!$B$12:$B$100, Tables!C$12:C$100)</f>
        <v>51.999974666666667</v>
      </c>
      <c r="M1144">
        <f>_xlfn.XLOOKUP(AllDataCorrected[[#This Row],[Site Name]],Tables!$B$12:$B$100, Tables!D$12:D$100)</f>
        <v>-2.141273</v>
      </c>
      <c r="N1144" t="s">
        <v>25</v>
      </c>
      <c r="O1144">
        <v>657</v>
      </c>
      <c r="P1144">
        <v>20.399999999999999</v>
      </c>
      <c r="Q1144">
        <v>8</v>
      </c>
      <c r="R114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4">
        <v>0.5</v>
      </c>
      <c r="T114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44">
        <v>0</v>
      </c>
    </row>
    <row r="1145" spans="1:22" x14ac:dyDescent="0.35">
      <c r="A1145" t="s">
        <v>1808</v>
      </c>
      <c r="B1145" s="2">
        <v>45511</v>
      </c>
      <c r="C1145" t="str" cm="1">
        <f t="array" ref="C114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5">
        <f>YEAR(AllDataCorrected[[#This Row],[Date]])</f>
        <v>2024</v>
      </c>
      <c r="E1145" s="1">
        <v>0.75</v>
      </c>
      <c r="F114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45" t="str">
        <f>_xlfn.XLOOKUP(AllDataCorrected[[#This Row],[Location Name]], Locations[Location Name],Locations[Group As])</f>
        <v>Stour Newbold Mill</v>
      </c>
      <c r="H1145" t="e" vm="1">
        <f>_xlfn.XLOOKUP(AllDataCorrected[[#This Row],[Site Name]],LocationsKey[Site Name],LocationsKey[District])</f>
        <v>#VALUE!</v>
      </c>
      <c r="I1145" t="e" vm="27">
        <f>_xlfn.XLOOKUP(AllDataCorrected[[#This Row],[Site Name]],LocationsKey[Site Name],LocationsKey[Town])</f>
        <v>#VALUE!</v>
      </c>
      <c r="J1145" t="str">
        <f>_xlfn.XLOOKUP(AllDataCorrected[[#This Row],[Site Name]],LocationsKey[Site Name], LocationsKey[Waterway])</f>
        <v>Stour</v>
      </c>
      <c r="K1145" t="s">
        <v>141</v>
      </c>
      <c r="L1145">
        <f>_xlfn.XLOOKUP(AllDataCorrected[[#This Row],[Site Name]],Tables!$B$12:$B$100, Tables!C$12:C$100)</f>
        <v>52.113052370370369</v>
      </c>
      <c r="M1145">
        <f>_xlfn.XLOOKUP(AllDataCorrected[[#This Row],[Site Name]],Tables!$B$12:$B$100, Tables!D$12:D$100)</f>
        <v>-1.6333685185185181</v>
      </c>
      <c r="N1145" t="s">
        <v>31</v>
      </c>
      <c r="O1145">
        <v>694</v>
      </c>
      <c r="P1145">
        <v>17.399999999999999</v>
      </c>
      <c r="Q1145">
        <v>2</v>
      </c>
      <c r="R1145" t="str">
        <f>IF(AllDataCorrected[[#This Row],[Nitrate (PPM)]]&gt;2, "4. Very high (&gt;2ppm)", IF(AllDataCorrected[[#This Row],[Nitrate (PPM)]]&gt;1, "3. High (1-2ppm)", IF(AllDataCorrected[[#This Row],[Nitrate (PPM)]]&gt;0.5, "2. Some evidence (0.5-1ppm)", IF(AllDataCorrected[[#This Row],[Nitrate (PPM)]]&gt;=0, "1. No evidence (&lt;0.5ppm)"))))</f>
        <v>3. High (1-2ppm)</v>
      </c>
      <c r="S1145">
        <v>0.63</v>
      </c>
      <c r="T114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5">
        <v>2</v>
      </c>
      <c r="V1145" t="s">
        <v>1248</v>
      </c>
    </row>
    <row r="1146" spans="1:22" x14ac:dyDescent="0.35">
      <c r="A1146" t="s">
        <v>1809</v>
      </c>
      <c r="B1146" s="2">
        <v>45512</v>
      </c>
      <c r="C1146" t="str" cm="1">
        <f t="array" ref="C114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6">
        <f>YEAR(AllDataCorrected[[#This Row],[Date]])</f>
        <v>2024</v>
      </c>
      <c r="E1146" s="1">
        <v>0.4375</v>
      </c>
      <c r="F114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6" t="str">
        <f>_xlfn.XLOOKUP(AllDataCorrected[[#This Row],[Location Name]], Locations[Location Name],Locations[Group As])</f>
        <v>Swilgate</v>
      </c>
      <c r="H1146" t="e" vm="4">
        <f>_xlfn.XLOOKUP(AllDataCorrected[[#This Row],[Site Name]],LocationsKey[Site Name],LocationsKey[District])</f>
        <v>#VALUE!</v>
      </c>
      <c r="I1146" t="e" vm="4">
        <f>_xlfn.XLOOKUP(AllDataCorrected[[#This Row],[Site Name]],LocationsKey[Site Name],LocationsKey[Town])</f>
        <v>#VALUE!</v>
      </c>
      <c r="J1146" t="str">
        <f>_xlfn.XLOOKUP(AllDataCorrected[[#This Row],[Site Name]],LocationsKey[Site Name], LocationsKey[Waterway])</f>
        <v>Swilgate</v>
      </c>
      <c r="K1146" t="s">
        <v>85</v>
      </c>
      <c r="L1146">
        <f>_xlfn.XLOOKUP(AllDataCorrected[[#This Row],[Site Name]],Tables!$B$12:$B$100, Tables!C$12:C$100)</f>
        <v>51.988591500000005</v>
      </c>
      <c r="M1146">
        <f>_xlfn.XLOOKUP(AllDataCorrected[[#This Row],[Site Name]],Tables!$B$12:$B$100, Tables!D$12:D$100)</f>
        <v>-2.163898333333333</v>
      </c>
      <c r="N1146" t="s">
        <v>25</v>
      </c>
      <c r="O1146">
        <v>1116</v>
      </c>
      <c r="P1146">
        <v>17.7</v>
      </c>
      <c r="Q1146">
        <v>5</v>
      </c>
      <c r="R114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6">
        <v>1.05</v>
      </c>
      <c r="T114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6">
        <v>0</v>
      </c>
    </row>
    <row r="1147" spans="1:22" x14ac:dyDescent="0.35">
      <c r="A1147" t="s">
        <v>1810</v>
      </c>
      <c r="B1147" s="2">
        <v>45512</v>
      </c>
      <c r="C1147" t="str" cm="1">
        <f t="array" ref="C114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7">
        <f>YEAR(AllDataCorrected[[#This Row],[Date]])</f>
        <v>2024</v>
      </c>
      <c r="E1147" s="1">
        <v>0.47222222222222221</v>
      </c>
      <c r="F114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7" t="str">
        <f>_xlfn.XLOOKUP(AllDataCorrected[[#This Row],[Location Name]], Locations[Location Name],Locations[Group As])</f>
        <v>Alveston Weir</v>
      </c>
      <c r="H1147" t="e" vm="1">
        <f>_xlfn.XLOOKUP(AllDataCorrected[[#This Row],[Site Name]],LocationsKey[Site Name],LocationsKey[District])</f>
        <v>#VALUE!</v>
      </c>
      <c r="I1147" t="e" vm="2">
        <f>_xlfn.XLOOKUP(AllDataCorrected[[#This Row],[Site Name]],LocationsKey[Site Name],LocationsKey[Town])</f>
        <v>#VALUE!</v>
      </c>
      <c r="J1147" t="str">
        <f>_xlfn.XLOOKUP(AllDataCorrected[[#This Row],[Site Name]],LocationsKey[Site Name], LocationsKey[Waterway])</f>
        <v>Avon</v>
      </c>
      <c r="K1147" t="s">
        <v>288</v>
      </c>
      <c r="L1147">
        <f>_xlfn.XLOOKUP(AllDataCorrected[[#This Row],[Site Name]],Tables!$B$12:$B$100, Tables!C$12:C$100)</f>
        <v>52.21226301333337</v>
      </c>
      <c r="M1147">
        <f>_xlfn.XLOOKUP(AllDataCorrected[[#This Row],[Site Name]],Tables!$B$12:$B$100, Tables!D$12:D$100)</f>
        <v>-1.6595226800000011</v>
      </c>
      <c r="N1147" t="s">
        <v>31</v>
      </c>
      <c r="O1147">
        <v>745</v>
      </c>
      <c r="P1147">
        <v>19</v>
      </c>
      <c r="Q1147">
        <v>0.15</v>
      </c>
      <c r="R1147"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47">
        <v>0.51</v>
      </c>
      <c r="T114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47">
        <v>0</v>
      </c>
      <c r="V1147" t="s">
        <v>1811</v>
      </c>
    </row>
    <row r="1148" spans="1:22" x14ac:dyDescent="0.35">
      <c r="A1148" t="s">
        <v>1812</v>
      </c>
      <c r="B1148" s="2">
        <v>45512</v>
      </c>
      <c r="C1148" t="str" cm="1">
        <f t="array" ref="C114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8">
        <f>YEAR(AllDataCorrected[[#This Row],[Date]])</f>
        <v>2024</v>
      </c>
      <c r="E1148" s="1">
        <v>0.47986111111111113</v>
      </c>
      <c r="F114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48" t="str">
        <f>_xlfn.XLOOKUP(AllDataCorrected[[#This Row],[Location Name]], Locations[Location Name],Locations[Group As])</f>
        <v>Swiffen Bank</v>
      </c>
      <c r="H1148" t="e" vm="1">
        <f>_xlfn.XLOOKUP(AllDataCorrected[[#This Row],[Site Name]],LocationsKey[Site Name],LocationsKey[District])</f>
        <v>#VALUE!</v>
      </c>
      <c r="I1148" t="e" vm="2">
        <f>_xlfn.XLOOKUP(AllDataCorrected[[#This Row],[Site Name]],LocationsKey[Site Name],LocationsKey[Town])</f>
        <v>#VALUE!</v>
      </c>
      <c r="J1148" t="str">
        <f>_xlfn.XLOOKUP(AllDataCorrected[[#This Row],[Site Name]],LocationsKey[Site Name], LocationsKey[Waterway])</f>
        <v>Avon</v>
      </c>
      <c r="K1148" t="s">
        <v>286</v>
      </c>
      <c r="L1148">
        <f>_xlfn.XLOOKUP(AllDataCorrected[[#This Row],[Site Name]],Tables!$B$12:$B$100, Tables!C$12:C$100)</f>
        <v>52.206649805555557</v>
      </c>
      <c r="M1148">
        <f>_xlfn.XLOOKUP(AllDataCorrected[[#This Row],[Site Name]],Tables!$B$12:$B$100, Tables!D$12:D$100)</f>
        <v>-1.6541018611111094</v>
      </c>
      <c r="N1148" t="s">
        <v>31</v>
      </c>
      <c r="O1148">
        <v>729</v>
      </c>
      <c r="P1148">
        <v>19.3</v>
      </c>
      <c r="Q1148">
        <v>5</v>
      </c>
      <c r="R114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48">
        <v>0</v>
      </c>
      <c r="T1148"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48">
        <v>0</v>
      </c>
      <c r="V1148" t="s">
        <v>1764</v>
      </c>
    </row>
    <row r="1149" spans="1:22" x14ac:dyDescent="0.35">
      <c r="A1149" t="s">
        <v>1813</v>
      </c>
      <c r="B1149" s="2">
        <v>45512</v>
      </c>
      <c r="C1149" t="str" cm="1">
        <f t="array" ref="C114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49">
        <f>YEAR(AllDataCorrected[[#This Row],[Date]])</f>
        <v>2024</v>
      </c>
      <c r="E1149" s="1">
        <v>0.5</v>
      </c>
      <c r="F114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49" t="str">
        <f>_xlfn.XLOOKUP(AllDataCorrected[[#This Row],[Location Name]], Locations[Location Name],Locations[Group As])</f>
        <v>Stour Willington</v>
      </c>
      <c r="H1149" t="e" vm="1">
        <f>_xlfn.XLOOKUP(AllDataCorrected[[#This Row],[Site Name]],LocationsKey[Site Name],LocationsKey[District])</f>
        <v>#VALUE!</v>
      </c>
      <c r="I1149" t="str">
        <f>_xlfn.XLOOKUP(AllDataCorrected[[#This Row],[Site Name]],LocationsKey[Site Name],LocationsKey[Town])</f>
        <v>Willington</v>
      </c>
      <c r="J1149" t="str">
        <f>_xlfn.XLOOKUP(AllDataCorrected[[#This Row],[Site Name]],LocationsKey[Site Name], LocationsKey[Waterway])</f>
        <v>Stour</v>
      </c>
      <c r="K1149" t="s">
        <v>521</v>
      </c>
      <c r="L1149">
        <f>_xlfn.XLOOKUP(AllDataCorrected[[#This Row],[Site Name]],Tables!$B$12:$B$100, Tables!C$12:C$100)</f>
        <v>52.053227523809518</v>
      </c>
      <c r="M1149">
        <f>_xlfn.XLOOKUP(AllDataCorrected[[#This Row],[Site Name]],Tables!$B$12:$B$100, Tables!D$12:D$100)</f>
        <v>-1.6194739523809523</v>
      </c>
      <c r="N1149" t="s">
        <v>25</v>
      </c>
      <c r="O1149">
        <v>640</v>
      </c>
      <c r="P1149">
        <v>17.100000000000001</v>
      </c>
      <c r="Q1149">
        <v>2</v>
      </c>
      <c r="R1149" t="str">
        <f>IF(AllDataCorrected[[#This Row],[Nitrate (PPM)]]&gt;2, "4. Very high (&gt;2ppm)", IF(AllDataCorrected[[#This Row],[Nitrate (PPM)]]&gt;1, "3. High (1-2ppm)", IF(AllDataCorrected[[#This Row],[Nitrate (PPM)]]&gt;0.5, "2. Some evidence (0.5-1ppm)", IF(AllDataCorrected[[#This Row],[Nitrate (PPM)]]&gt;=0, "1. No evidence (&lt;0.5ppm)"))))</f>
        <v>3. High (1-2ppm)</v>
      </c>
      <c r="S1149">
        <v>0.45</v>
      </c>
      <c r="T114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49">
        <v>0.5</v>
      </c>
    </row>
    <row r="1150" spans="1:22" x14ac:dyDescent="0.35">
      <c r="A1150" t="s">
        <v>1814</v>
      </c>
      <c r="B1150" s="2">
        <v>45514</v>
      </c>
      <c r="C1150" t="str" cm="1">
        <f t="array" ref="C115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0">
        <f>YEAR(AllDataCorrected[[#This Row],[Date]])</f>
        <v>2024</v>
      </c>
      <c r="E1150" s="1">
        <v>0.4201388888888889</v>
      </c>
      <c r="F115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0" t="str">
        <f>_xlfn.XLOOKUP(AllDataCorrected[[#This Row],[Location Name]], Locations[Location Name],Locations[Group As])</f>
        <v>Avon Smiths Meadow Wyre Piddle</v>
      </c>
      <c r="H1150" t="e" vm="6">
        <f>_xlfn.XLOOKUP(AllDataCorrected[[#This Row],[Site Name]],LocationsKey[Site Name],LocationsKey[District])</f>
        <v>#VALUE!</v>
      </c>
      <c r="I1150" t="e" vm="13">
        <f>_xlfn.XLOOKUP(AllDataCorrected[[#This Row],[Site Name]],LocationsKey[Site Name],LocationsKey[Town])</f>
        <v>#VALUE!</v>
      </c>
      <c r="J1150" t="str">
        <f>_xlfn.XLOOKUP(AllDataCorrected[[#This Row],[Site Name]],LocationsKey[Site Name], LocationsKey[Waterway])</f>
        <v>Avon</v>
      </c>
      <c r="K1150" t="s">
        <v>784</v>
      </c>
      <c r="L1150">
        <f>_xlfn.XLOOKUP(AllDataCorrected[[#This Row],[Site Name]],Tables!$B$12:$B$100, Tables!C$12:C$100)</f>
        <v>52.123126101694929</v>
      </c>
      <c r="M1150">
        <f>_xlfn.XLOOKUP(AllDataCorrected[[#This Row],[Site Name]],Tables!$B$12:$B$100, Tables!D$12:D$100)</f>
        <v>-2.0572511355932215</v>
      </c>
      <c r="N1150" t="s">
        <v>25</v>
      </c>
      <c r="O1150">
        <v>1050</v>
      </c>
      <c r="P1150">
        <v>19.3</v>
      </c>
      <c r="Q1150">
        <v>10</v>
      </c>
      <c r="R115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0">
        <v>0.86</v>
      </c>
      <c r="T115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0">
        <v>0.5</v>
      </c>
      <c r="V1150" t="s">
        <v>1815</v>
      </c>
    </row>
    <row r="1151" spans="1:22" x14ac:dyDescent="0.35">
      <c r="A1151" t="s">
        <v>1816</v>
      </c>
      <c r="B1151" s="2">
        <v>45514</v>
      </c>
      <c r="C1151" t="str" cm="1">
        <f t="array" ref="C115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1">
        <f>YEAR(AllDataCorrected[[#This Row],[Date]])</f>
        <v>2024</v>
      </c>
      <c r="E1151" s="1">
        <v>0.4375</v>
      </c>
      <c r="F115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1" t="str">
        <f>_xlfn.XLOOKUP(AllDataCorrected[[#This Row],[Location Name]], Locations[Location Name],Locations[Group As])</f>
        <v>Piddle Brook Wyre Piddle Bridge</v>
      </c>
      <c r="H1151" t="e" vm="6">
        <f>_xlfn.XLOOKUP(AllDataCorrected[[#This Row],[Site Name]],LocationsKey[Site Name],LocationsKey[District])</f>
        <v>#VALUE!</v>
      </c>
      <c r="I1151" t="e" vm="13">
        <f>_xlfn.XLOOKUP(AllDataCorrected[[#This Row],[Site Name]],LocationsKey[Site Name],LocationsKey[Town])</f>
        <v>#VALUE!</v>
      </c>
      <c r="J1151" t="str">
        <f>_xlfn.XLOOKUP(AllDataCorrected[[#This Row],[Site Name]],LocationsKey[Site Name], LocationsKey[Waterway])</f>
        <v>Piddle Brook</v>
      </c>
      <c r="K1151" t="s">
        <v>787</v>
      </c>
      <c r="L1151">
        <f>_xlfn.XLOOKUP(AllDataCorrected[[#This Row],[Site Name]],Tables!$B$12:$B$100, Tables!C$12:C$100)</f>
        <v>52.126394500000039</v>
      </c>
      <c r="M1151">
        <f>_xlfn.XLOOKUP(AllDataCorrected[[#This Row],[Site Name]],Tables!$B$12:$B$100, Tables!D$12:D$100)</f>
        <v>-2.0564211206896545</v>
      </c>
      <c r="N1151" t="s">
        <v>25</v>
      </c>
      <c r="O1151">
        <v>1870</v>
      </c>
      <c r="P1151">
        <v>17.3</v>
      </c>
      <c r="Q1151">
        <v>10</v>
      </c>
      <c r="R115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1">
        <v>1.29</v>
      </c>
      <c r="T115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1">
        <v>0.14000000000000001</v>
      </c>
      <c r="V1151" t="s">
        <v>1817</v>
      </c>
    </row>
    <row r="1152" spans="1:22" x14ac:dyDescent="0.35">
      <c r="A1152" t="s">
        <v>1818</v>
      </c>
      <c r="B1152" s="2">
        <v>45514</v>
      </c>
      <c r="C1152" t="str" cm="1">
        <f t="array" ref="C115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2">
        <f>YEAR(AllDataCorrected[[#This Row],[Date]])</f>
        <v>2024</v>
      </c>
      <c r="E1152" s="1">
        <v>0.44861111111111113</v>
      </c>
      <c r="F115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2" t="str">
        <f>_xlfn.XLOOKUP(AllDataCorrected[[#This Row],[Location Name]], Locations[Location Name],Locations[Group As])</f>
        <v>Site 1  :  Middle Street</v>
      </c>
      <c r="H1152" t="e" vm="1">
        <f>_xlfn.XLOOKUP(AllDataCorrected[[#This Row],[Site Name]],LocationsKey[Site Name],LocationsKey[District])</f>
        <v>#VALUE!</v>
      </c>
      <c r="I1152" t="e" vm="14">
        <f>_xlfn.XLOOKUP(AllDataCorrected[[#This Row],[Site Name]],LocationsKey[Site Name],LocationsKey[Town])</f>
        <v>#VALUE!</v>
      </c>
      <c r="J1152" t="str">
        <f>_xlfn.XLOOKUP(AllDataCorrected[[#This Row],[Site Name]],LocationsKey[Site Name], LocationsKey[Waterway])</f>
        <v>Fosseway Brook</v>
      </c>
      <c r="K1152" t="s">
        <v>678</v>
      </c>
      <c r="L1152">
        <f>_xlfn.XLOOKUP(AllDataCorrected[[#This Row],[Site Name]],Tables!$B$12:$B$100, Tables!C$12:C$100)</f>
        <v>52.090081855670022</v>
      </c>
      <c r="M1152">
        <f>_xlfn.XLOOKUP(AllDataCorrected[[#This Row],[Site Name]],Tables!$B$12:$B$100, Tables!D$12:D$100)</f>
        <v>-1.6925771134020597</v>
      </c>
      <c r="N1152" t="s">
        <v>68</v>
      </c>
      <c r="O1152">
        <v>635</v>
      </c>
      <c r="P1152">
        <v>19.3</v>
      </c>
      <c r="Q1152">
        <v>2</v>
      </c>
      <c r="R1152" t="str">
        <f>IF(AllDataCorrected[[#This Row],[Nitrate (PPM)]]&gt;2, "4. Very high (&gt;2ppm)", IF(AllDataCorrected[[#This Row],[Nitrate (PPM)]]&gt;1, "3. High (1-2ppm)", IF(AllDataCorrected[[#This Row],[Nitrate (PPM)]]&gt;0.5, "2. Some evidence (0.5-1ppm)", IF(AllDataCorrected[[#This Row],[Nitrate (PPM)]]&gt;=0, "1. No evidence (&lt;0.5ppm)"))))</f>
        <v>3. High (1-2ppm)</v>
      </c>
      <c r="S1152">
        <v>0.66</v>
      </c>
      <c r="T115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2">
        <v>0.05</v>
      </c>
      <c r="V1152" t="s">
        <v>1819</v>
      </c>
    </row>
    <row r="1153" spans="1:22" x14ac:dyDescent="0.35">
      <c r="A1153" t="s">
        <v>1820</v>
      </c>
      <c r="B1153" s="2">
        <v>45514</v>
      </c>
      <c r="C1153" t="str" cm="1">
        <f t="array" ref="C115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3">
        <f>YEAR(AllDataCorrected[[#This Row],[Date]])</f>
        <v>2024</v>
      </c>
      <c r="E1153" s="1">
        <v>0.45416666666666666</v>
      </c>
      <c r="F115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3" t="str">
        <f>_xlfn.XLOOKUP(AllDataCorrected[[#This Row],[Location Name]], Locations[Location Name],Locations[Group As])</f>
        <v>Site 2  :  Cross Leys culvert</v>
      </c>
      <c r="H1153" t="e" vm="1">
        <f>_xlfn.XLOOKUP(AllDataCorrected[[#This Row],[Site Name]],LocationsKey[Site Name],LocationsKey[District])</f>
        <v>#VALUE!</v>
      </c>
      <c r="I1153" t="e" vm="14">
        <f>_xlfn.XLOOKUP(AllDataCorrected[[#This Row],[Site Name]],LocationsKey[Site Name],LocationsKey[Town])</f>
        <v>#VALUE!</v>
      </c>
      <c r="J1153" t="str">
        <f>_xlfn.XLOOKUP(AllDataCorrected[[#This Row],[Site Name]],LocationsKey[Site Name], LocationsKey[Waterway])</f>
        <v>Fosseway Brook</v>
      </c>
      <c r="K1153" t="s">
        <v>1821</v>
      </c>
      <c r="L1153">
        <f>_xlfn.XLOOKUP(AllDataCorrected[[#This Row],[Site Name]],Tables!$B$12:$B$100, Tables!C$12:C$100)</f>
        <v>52.092997354838673</v>
      </c>
      <c r="M1153">
        <f>_xlfn.XLOOKUP(AllDataCorrected[[#This Row],[Site Name]],Tables!$B$12:$B$100, Tables!D$12:D$100)</f>
        <v>-1.6862254516129045</v>
      </c>
      <c r="N1153" t="s">
        <v>68</v>
      </c>
      <c r="O1153">
        <v>1020</v>
      </c>
      <c r="P1153">
        <v>16.7</v>
      </c>
      <c r="Q1153">
        <v>0</v>
      </c>
      <c r="R1153"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53">
        <v>0.71</v>
      </c>
      <c r="T115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3">
        <v>0.15</v>
      </c>
    </row>
    <row r="1154" spans="1:22" x14ac:dyDescent="0.35">
      <c r="A1154" t="s">
        <v>1822</v>
      </c>
      <c r="B1154" s="2">
        <v>45514</v>
      </c>
      <c r="C1154" t="str" cm="1">
        <f t="array" ref="C115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4">
        <f>YEAR(AllDataCorrected[[#This Row],[Date]])</f>
        <v>2024</v>
      </c>
      <c r="E1154" s="1">
        <v>0.45763888888888887</v>
      </c>
      <c r="F115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4" t="str">
        <f>_xlfn.XLOOKUP(AllDataCorrected[[#This Row],[Location Name]], Locations[Location Name],Locations[Group As])</f>
        <v>Pitch 16</v>
      </c>
      <c r="H1154" t="e" vm="1">
        <f>_xlfn.XLOOKUP(AllDataCorrected[[#This Row],[Site Name]],LocationsKey[Site Name],LocationsKey[District])</f>
        <v>#VALUE!</v>
      </c>
      <c r="I1154" t="e" vm="12">
        <f>_xlfn.XLOOKUP(AllDataCorrected[[#This Row],[Site Name]],LocationsKey[Site Name],LocationsKey[Town])</f>
        <v>#VALUE!</v>
      </c>
      <c r="J1154" t="str">
        <f>_xlfn.XLOOKUP(AllDataCorrected[[#This Row],[Site Name]],LocationsKey[Site Name], LocationsKey[Waterway])</f>
        <v>Avon</v>
      </c>
      <c r="K1154" t="s">
        <v>71</v>
      </c>
      <c r="L1154">
        <f>_xlfn.XLOOKUP(AllDataCorrected[[#This Row],[Site Name]],Tables!$B$12:$B$100, Tables!C$12:C$100)</f>
        <v>51.289310076923087</v>
      </c>
      <c r="M1154">
        <f>_xlfn.XLOOKUP(AllDataCorrected[[#This Row],[Site Name]],Tables!$B$12:$B$100, Tables!D$12:D$100)</f>
        <v>-0.10399761538461544</v>
      </c>
      <c r="N1154" t="s">
        <v>31</v>
      </c>
      <c r="O1154">
        <v>982</v>
      </c>
      <c r="P1154">
        <v>25.1</v>
      </c>
      <c r="Q1154">
        <v>5</v>
      </c>
      <c r="R115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4">
        <v>0.56000000000000005</v>
      </c>
      <c r="T115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4">
        <v>1</v>
      </c>
    </row>
    <row r="1155" spans="1:22" x14ac:dyDescent="0.35">
      <c r="A1155" t="s">
        <v>1823</v>
      </c>
      <c r="B1155" s="2">
        <v>45514</v>
      </c>
      <c r="C1155" t="str" cm="1">
        <f t="array" ref="C115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5">
        <f>YEAR(AllDataCorrected[[#This Row],[Date]])</f>
        <v>2024</v>
      </c>
      <c r="E1155" s="1">
        <v>0.45902777777777776</v>
      </c>
      <c r="F115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5" t="str">
        <f>_xlfn.XLOOKUP(AllDataCorrected[[#This Row],[Location Name]], Locations[Location Name],Locations[Group As])</f>
        <v>Avonbank Drive</v>
      </c>
      <c r="H1155" t="e" vm="1">
        <f>_xlfn.XLOOKUP(AllDataCorrected[[#This Row],[Site Name]],LocationsKey[Site Name],LocationsKey[District])</f>
        <v>#VALUE!</v>
      </c>
      <c r="I1155" t="e" vm="12">
        <f>_xlfn.XLOOKUP(AllDataCorrected[[#This Row],[Site Name]],LocationsKey[Site Name],LocationsKey[Town])</f>
        <v>#VALUE!</v>
      </c>
      <c r="J1155" t="str">
        <f>_xlfn.XLOOKUP(AllDataCorrected[[#This Row],[Site Name]],LocationsKey[Site Name], LocationsKey[Waterway])</f>
        <v>Avon</v>
      </c>
      <c r="K1155" t="s">
        <v>104</v>
      </c>
      <c r="L1155">
        <f>_xlfn.XLOOKUP(AllDataCorrected[[#This Row],[Site Name]],Tables!$B$12:$B$100, Tables!C$12:C$100)</f>
        <v>51.566927775862098</v>
      </c>
      <c r="M1155">
        <f>_xlfn.XLOOKUP(AllDataCorrected[[#This Row],[Site Name]],Tables!$B$12:$B$100, Tables!D$12:D$100)</f>
        <v>-7.2113336724137929</v>
      </c>
      <c r="N1155" t="s">
        <v>68</v>
      </c>
      <c r="O1155">
        <v>1102</v>
      </c>
      <c r="P1155">
        <v>23</v>
      </c>
      <c r="Q1155">
        <v>5</v>
      </c>
      <c r="R115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5">
        <v>0.52</v>
      </c>
      <c r="T115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5">
        <v>1</v>
      </c>
    </row>
    <row r="1156" spans="1:22" x14ac:dyDescent="0.35">
      <c r="A1156" t="s">
        <v>1824</v>
      </c>
      <c r="B1156" s="2">
        <v>45514</v>
      </c>
      <c r="C1156" t="str" cm="1">
        <f t="array" ref="C115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6">
        <f>YEAR(AllDataCorrected[[#This Row],[Date]])</f>
        <v>2024</v>
      </c>
      <c r="E1156" s="1">
        <v>0.46250000000000002</v>
      </c>
      <c r="F115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6" t="str">
        <f>_xlfn.XLOOKUP(AllDataCorrected[[#This Row],[Location Name]], Locations[Location Name],Locations[Group As])</f>
        <v>Mill Bridge Peopleton</v>
      </c>
      <c r="H1156" t="e" vm="6">
        <f>_xlfn.XLOOKUP(AllDataCorrected[[#This Row],[Site Name]],LocationsKey[Site Name],LocationsKey[District])</f>
        <v>#VALUE!</v>
      </c>
      <c r="I1156" t="str">
        <f>_xlfn.XLOOKUP(AllDataCorrected[[#This Row],[Site Name]],LocationsKey[Site Name],LocationsKey[Town])</f>
        <v>Peopleton</v>
      </c>
      <c r="J1156" t="str">
        <f>_xlfn.XLOOKUP(AllDataCorrected[[#This Row],[Site Name]],LocationsKey[Site Name], LocationsKey[Waterway])</f>
        <v>Bow Brook</v>
      </c>
      <c r="K1156" t="s">
        <v>1015</v>
      </c>
      <c r="L1156">
        <f>_xlfn.XLOOKUP(AllDataCorrected[[#This Row],[Site Name]],Tables!$B$12:$B$100, Tables!C$12:C$100)</f>
        <v>52.151811999999993</v>
      </c>
      <c r="M1156">
        <f>_xlfn.XLOOKUP(AllDataCorrected[[#This Row],[Site Name]],Tables!$B$12:$B$100, Tables!D$12:D$100)</f>
        <v>-2.0958865161290317</v>
      </c>
      <c r="N1156" t="s">
        <v>31</v>
      </c>
      <c r="O1156">
        <v>1250</v>
      </c>
      <c r="P1156">
        <v>18.600000000000001</v>
      </c>
      <c r="Q1156">
        <v>10</v>
      </c>
      <c r="R115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6">
        <v>1.61</v>
      </c>
      <c r="T115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6">
        <v>0.2</v>
      </c>
      <c r="V1156" t="s">
        <v>1635</v>
      </c>
    </row>
    <row r="1157" spans="1:22" x14ac:dyDescent="0.35">
      <c r="A1157" t="s">
        <v>1825</v>
      </c>
      <c r="B1157" s="2">
        <v>45514</v>
      </c>
      <c r="C1157" t="str" cm="1">
        <f t="array" ref="C115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7">
        <f>YEAR(AllDataCorrected[[#This Row],[Date]])</f>
        <v>2024</v>
      </c>
      <c r="E1157" s="1">
        <v>0.46388888888888891</v>
      </c>
      <c r="F115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57" t="str">
        <f>_xlfn.XLOOKUP(AllDataCorrected[[#This Row],[Location Name]], Locations[Location Name],Locations[Group As])</f>
        <v>Site 3  :  Severn Trent Water processing plant outflow</v>
      </c>
      <c r="H1157" t="e" vm="1">
        <f>_xlfn.XLOOKUP(AllDataCorrected[[#This Row],[Site Name]],LocationsKey[Site Name],LocationsKey[District])</f>
        <v>#VALUE!</v>
      </c>
      <c r="I1157" t="e" vm="14">
        <f>_xlfn.XLOOKUP(AllDataCorrected[[#This Row],[Site Name]],LocationsKey[Site Name],LocationsKey[Town])</f>
        <v>#VALUE!</v>
      </c>
      <c r="J1157" t="str">
        <f>_xlfn.XLOOKUP(AllDataCorrected[[#This Row],[Site Name]],LocationsKey[Site Name], LocationsKey[Waterway])</f>
        <v>Fosseway Brook</v>
      </c>
      <c r="K1157" t="s">
        <v>1826</v>
      </c>
      <c r="L1157">
        <f>_xlfn.XLOOKUP(AllDataCorrected[[#This Row],[Site Name]],Tables!$B$12:$B$100, Tables!C$12:C$100)</f>
        <v>52.130499999999998</v>
      </c>
      <c r="M1157">
        <f>_xlfn.XLOOKUP(AllDataCorrected[[#This Row],[Site Name]],Tables!$B$12:$B$100, Tables!D$12:D$100)</f>
        <v>-2.0787</v>
      </c>
      <c r="N1157" t="s">
        <v>31</v>
      </c>
      <c r="O1157">
        <v>955</v>
      </c>
      <c r="P1157">
        <v>18.5</v>
      </c>
      <c r="Q1157">
        <v>10</v>
      </c>
      <c r="R115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7">
        <v>2.5</v>
      </c>
      <c r="T115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7">
        <v>0.15</v>
      </c>
    </row>
    <row r="1158" spans="1:22" x14ac:dyDescent="0.35">
      <c r="A1158" t="s">
        <v>1827</v>
      </c>
      <c r="B1158" s="2">
        <v>45514</v>
      </c>
      <c r="C1158" t="str" cm="1">
        <f t="array" ref="C115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8">
        <f>YEAR(AllDataCorrected[[#This Row],[Date]])</f>
        <v>2024</v>
      </c>
      <c r="E1158" s="1">
        <v>0.5</v>
      </c>
      <c r="F115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8" t="str">
        <f>_xlfn.XLOOKUP(AllDataCorrected[[#This Row],[Location Name]], Locations[Location Name],Locations[Group As])</f>
        <v>Carrant Bredon Rd</v>
      </c>
      <c r="H1158" t="e" vm="4">
        <f>_xlfn.XLOOKUP(AllDataCorrected[[#This Row],[Site Name]],LocationsKey[Site Name],LocationsKey[District])</f>
        <v>#VALUE!</v>
      </c>
      <c r="I1158" t="e" vm="4">
        <f>_xlfn.XLOOKUP(AllDataCorrected[[#This Row],[Site Name]],LocationsKey[Site Name],LocationsKey[Town])</f>
        <v>#VALUE!</v>
      </c>
      <c r="J1158" t="str">
        <f>_xlfn.XLOOKUP(AllDataCorrected[[#This Row],[Site Name]],LocationsKey[Site Name], LocationsKey[Waterway])</f>
        <v>Carrant</v>
      </c>
      <c r="K1158" t="s">
        <v>603</v>
      </c>
      <c r="L1158">
        <f>_xlfn.XLOOKUP(AllDataCorrected[[#This Row],[Site Name]],Tables!$B$12:$B$100, Tables!C$12:C$100)</f>
        <v>51.996322536231894</v>
      </c>
      <c r="M1158">
        <f>_xlfn.XLOOKUP(AllDataCorrected[[#This Row],[Site Name]],Tables!$B$12:$B$100, Tables!D$12:D$100)</f>
        <v>-2.1558410144927538</v>
      </c>
      <c r="N1158" t="s">
        <v>25</v>
      </c>
      <c r="O1158">
        <v>716</v>
      </c>
      <c r="P1158">
        <v>18.600000000000001</v>
      </c>
      <c r="Q1158">
        <v>4</v>
      </c>
      <c r="R115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8">
        <v>0.67</v>
      </c>
      <c r="T115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8">
        <v>0</v>
      </c>
    </row>
    <row r="1159" spans="1:22" x14ac:dyDescent="0.35">
      <c r="A1159" t="s">
        <v>1828</v>
      </c>
      <c r="B1159" s="2">
        <v>45514</v>
      </c>
      <c r="C1159" t="str" cm="1">
        <f t="array" ref="C115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59">
        <f>YEAR(AllDataCorrected[[#This Row],[Date]])</f>
        <v>2024</v>
      </c>
      <c r="E1159" s="1">
        <v>0.71875</v>
      </c>
      <c r="F115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59" t="str">
        <f>_xlfn.XLOOKUP(AllDataCorrected[[#This Row],[Location Name]], Locations[Location Name],Locations[Group As])</f>
        <v>Preston-on-Stour River Bridge</v>
      </c>
      <c r="H1159" t="e" vm="1">
        <f>_xlfn.XLOOKUP(AllDataCorrected[[#This Row],[Site Name]],LocationsKey[Site Name],LocationsKey[District])</f>
        <v>#VALUE!</v>
      </c>
      <c r="I1159" t="e" vm="20">
        <f>_xlfn.XLOOKUP(AllDataCorrected[[#This Row],[Site Name]],LocationsKey[Site Name],LocationsKey[Town])</f>
        <v>#VALUE!</v>
      </c>
      <c r="J1159" t="str">
        <f>_xlfn.XLOOKUP(AllDataCorrected[[#This Row],[Site Name]],LocationsKey[Site Name], LocationsKey[Waterway])</f>
        <v>Stour</v>
      </c>
      <c r="K1159" t="s">
        <v>164</v>
      </c>
      <c r="L1159">
        <f>_xlfn.XLOOKUP(AllDataCorrected[[#This Row],[Site Name]],Tables!$B$12:$B$100, Tables!C$12:C$100)</f>
        <v>52.146672352941174</v>
      </c>
      <c r="M1159">
        <f>_xlfn.XLOOKUP(AllDataCorrected[[#This Row],[Site Name]],Tables!$B$12:$B$100, Tables!D$12:D$100)</f>
        <v>-1.6984533333333334</v>
      </c>
      <c r="N1159" t="s">
        <v>31</v>
      </c>
      <c r="O1159">
        <v>712</v>
      </c>
      <c r="P1159">
        <v>19.7</v>
      </c>
      <c r="Q1159">
        <v>6</v>
      </c>
      <c r="R115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59">
        <v>0.54</v>
      </c>
      <c r="T115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59">
        <v>1</v>
      </c>
      <c r="V1159" t="s">
        <v>1829</v>
      </c>
    </row>
    <row r="1160" spans="1:22" x14ac:dyDescent="0.35">
      <c r="A1160" t="s">
        <v>1832</v>
      </c>
      <c r="B1160" s="2">
        <v>45515</v>
      </c>
      <c r="C1160" t="str" cm="1">
        <f t="array" ref="C116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0">
        <f>YEAR(AllDataCorrected[[#This Row],[Date]])</f>
        <v>2024</v>
      </c>
      <c r="E1160" s="1">
        <v>0.45</v>
      </c>
      <c r="F116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0" t="str">
        <f>_xlfn.XLOOKUP(AllDataCorrected[[#This Row],[Location Name]], Locations[Location Name],Locations[Group As])</f>
        <v>Lower Lode</v>
      </c>
      <c r="H1160" t="e" vm="4">
        <f>_xlfn.XLOOKUP(AllDataCorrected[[#This Row],[Site Name]],LocationsKey[Site Name],LocationsKey[District])</f>
        <v>#VALUE!</v>
      </c>
      <c r="I1160" t="e" vm="4">
        <f>_xlfn.XLOOKUP(AllDataCorrected[[#This Row],[Site Name]],LocationsKey[Site Name],LocationsKey[Town])</f>
        <v>#VALUE!</v>
      </c>
      <c r="J1160" t="str">
        <f>_xlfn.XLOOKUP(AllDataCorrected[[#This Row],[Site Name]],LocationsKey[Site Name], LocationsKey[Waterway])</f>
        <v>Avon</v>
      </c>
      <c r="K1160" t="s">
        <v>595</v>
      </c>
      <c r="L1160">
        <f>_xlfn.XLOOKUP(AllDataCorrected[[#This Row],[Site Name]],Tables!$B$12:$B$100, Tables!C$12:C$100)</f>
        <v>51.984916745098026</v>
      </c>
      <c r="M1160">
        <f>_xlfn.XLOOKUP(AllDataCorrected[[#This Row],[Site Name]],Tables!$B$12:$B$100, Tables!D$12:D$100)</f>
        <v>-2.1745787647058821</v>
      </c>
      <c r="N1160" t="s">
        <v>31</v>
      </c>
      <c r="O1160">
        <v>1080</v>
      </c>
      <c r="P1160">
        <v>22.7</v>
      </c>
      <c r="Q1160">
        <v>10</v>
      </c>
      <c r="R116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0">
        <v>1.08</v>
      </c>
      <c r="T116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0">
        <v>0</v>
      </c>
    </row>
    <row r="1161" spans="1:22" x14ac:dyDescent="0.35">
      <c r="A1161" t="s">
        <v>1833</v>
      </c>
      <c r="B1161" s="2">
        <v>45515</v>
      </c>
      <c r="C1161" t="str" cm="1">
        <f t="array" ref="C116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1">
        <f>YEAR(AllDataCorrected[[#This Row],[Date]])</f>
        <v>2024</v>
      </c>
      <c r="E1161" s="1">
        <v>0.72083333333333333</v>
      </c>
      <c r="F116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61" t="str">
        <f>_xlfn.XLOOKUP(AllDataCorrected[[#This Row],[Location Name]], Locations[Location Name],Locations[Group As])</f>
        <v>Carrant Back Lane Beckford</v>
      </c>
      <c r="H1161" t="e" vm="4">
        <f>_xlfn.XLOOKUP(AllDataCorrected[[#This Row],[Site Name]],LocationsKey[Site Name],LocationsKey[District])</f>
        <v>#VALUE!</v>
      </c>
      <c r="I1161" t="str">
        <f>_xlfn.XLOOKUP(AllDataCorrected[[#This Row],[Site Name]],LocationsKey[Site Name],LocationsKey[Town])</f>
        <v>Beckford</v>
      </c>
      <c r="J1161" t="str">
        <f>_xlfn.XLOOKUP(AllDataCorrected[[#This Row],[Site Name]],LocationsKey[Site Name], LocationsKey[Waterway])</f>
        <v>Carrant</v>
      </c>
      <c r="K1161" t="s">
        <v>1834</v>
      </c>
      <c r="L1161">
        <f>_xlfn.XLOOKUP(AllDataCorrected[[#This Row],[Site Name]],Tables!$B$12:$B$100, Tables!C$12:C$100)</f>
        <v>52.018128913043483</v>
      </c>
      <c r="M1161">
        <f>_xlfn.XLOOKUP(AllDataCorrected[[#This Row],[Site Name]],Tables!$B$12:$B$100, Tables!D$12:D$100)</f>
        <v>-2.0388751739130435</v>
      </c>
      <c r="N1161" t="s">
        <v>68</v>
      </c>
      <c r="O1161">
        <v>794</v>
      </c>
      <c r="P1161">
        <v>20.6</v>
      </c>
      <c r="Q1161">
        <v>7</v>
      </c>
      <c r="R116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1">
        <v>0.14000000000000001</v>
      </c>
      <c r="T116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1">
        <v>0.2</v>
      </c>
      <c r="V1161" t="s">
        <v>1835</v>
      </c>
    </row>
    <row r="1162" spans="1:22" x14ac:dyDescent="0.35">
      <c r="A1162" t="s">
        <v>1836</v>
      </c>
      <c r="B1162" s="2">
        <v>45515</v>
      </c>
      <c r="C1162" t="str" cm="1">
        <f t="array" ref="C116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2">
        <f>YEAR(AllDataCorrected[[#This Row],[Date]])</f>
        <v>2024</v>
      </c>
      <c r="E1162" s="1">
        <v>0.79861111111111116</v>
      </c>
      <c r="F116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62" t="str">
        <f>_xlfn.XLOOKUP(AllDataCorrected[[#This Row],[Location Name]], Locations[Location Name],Locations[Group As])</f>
        <v>Fell Mill Footbridge</v>
      </c>
      <c r="H1162" t="e" vm="1">
        <f>_xlfn.XLOOKUP(AllDataCorrected[[#This Row],[Site Name]],LocationsKey[Site Name],LocationsKey[District])</f>
        <v>#VALUE!</v>
      </c>
      <c r="I1162" t="e" vm="15">
        <f>_xlfn.XLOOKUP(AllDataCorrected[[#This Row],[Site Name]],LocationsKey[Site Name],LocationsKey[Town])</f>
        <v>#VALUE!</v>
      </c>
      <c r="J1162" t="str">
        <f>_xlfn.XLOOKUP(AllDataCorrected[[#This Row],[Site Name]],LocationsKey[Site Name], LocationsKey[Waterway])</f>
        <v>Stour</v>
      </c>
      <c r="K1162" t="s">
        <v>875</v>
      </c>
      <c r="L1162">
        <f>_xlfn.XLOOKUP(AllDataCorrected[[#This Row],[Site Name]],Tables!$B$12:$B$100, Tables!C$12:C$100)</f>
        <v>52.069044372881365</v>
      </c>
      <c r="M1162">
        <f>_xlfn.XLOOKUP(AllDataCorrected[[#This Row],[Site Name]],Tables!$B$12:$B$100, Tables!D$12:D$100)</f>
        <v>-1.6116270169491524</v>
      </c>
      <c r="N1162" t="s">
        <v>31</v>
      </c>
      <c r="O1162">
        <v>671</v>
      </c>
      <c r="P1162">
        <v>19.2</v>
      </c>
      <c r="Q1162">
        <v>5</v>
      </c>
      <c r="R116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2">
        <v>0.54</v>
      </c>
      <c r="T116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2">
        <v>1.1000000000000001</v>
      </c>
    </row>
    <row r="1163" spans="1:22" x14ac:dyDescent="0.35">
      <c r="A1163" t="s">
        <v>1837</v>
      </c>
      <c r="B1163" s="2">
        <v>45515</v>
      </c>
      <c r="C1163" t="str" cm="1">
        <f t="array" ref="C116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3">
        <f>YEAR(AllDataCorrected[[#This Row],[Date]])</f>
        <v>2024</v>
      </c>
      <c r="E1163" s="1">
        <v>0.84652777777777777</v>
      </c>
      <c r="F116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63" t="str">
        <f>_xlfn.XLOOKUP(AllDataCorrected[[#This Row],[Location Name]], Locations[Location Name],Locations[Group As])</f>
        <v>Black Bear</v>
      </c>
      <c r="H1163" t="e" vm="4">
        <f>_xlfn.XLOOKUP(AllDataCorrected[[#This Row],[Site Name]],LocationsKey[Site Name],LocationsKey[District])</f>
        <v>#VALUE!</v>
      </c>
      <c r="I1163" t="e" vm="4">
        <f>_xlfn.XLOOKUP(AllDataCorrected[[#This Row],[Site Name]],LocationsKey[Site Name],LocationsKey[Town])</f>
        <v>#VALUE!</v>
      </c>
      <c r="J1163" t="str">
        <f>_xlfn.XLOOKUP(AllDataCorrected[[#This Row],[Site Name]],LocationsKey[Site Name], LocationsKey[Waterway])</f>
        <v>Avon</v>
      </c>
      <c r="K1163" t="s">
        <v>1175</v>
      </c>
      <c r="L1163">
        <f>_xlfn.XLOOKUP(AllDataCorrected[[#This Row],[Site Name]],Tables!$B$12:$B$100, Tables!C$12:C$100)</f>
        <v>51.997466254237274</v>
      </c>
      <c r="M1163">
        <f>_xlfn.XLOOKUP(AllDataCorrected[[#This Row],[Site Name]],Tables!$B$12:$B$100, Tables!D$12:D$100)</f>
        <v>-2.1561788644067801</v>
      </c>
      <c r="N1163" t="s">
        <v>25</v>
      </c>
      <c r="O1163">
        <v>100</v>
      </c>
      <c r="P1163">
        <v>23.2</v>
      </c>
      <c r="Q1163">
        <v>9</v>
      </c>
      <c r="R116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3">
        <v>0.86</v>
      </c>
      <c r="T116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3">
        <v>0</v>
      </c>
    </row>
    <row r="1164" spans="1:22" x14ac:dyDescent="0.35">
      <c r="A1164" t="s">
        <v>1839</v>
      </c>
      <c r="B1164" s="2">
        <v>45516</v>
      </c>
      <c r="C1164" t="str" cm="1">
        <f t="array" ref="C116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4">
        <f>YEAR(AllDataCorrected[[#This Row],[Date]])</f>
        <v>2024</v>
      </c>
      <c r="E1164" s="1">
        <v>0.33333333333333331</v>
      </c>
      <c r="F116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4" t="str">
        <f>_xlfn.XLOOKUP(AllDataCorrected[[#This Row],[Location Name]], Locations[Location Name],Locations[Group As])</f>
        <v>Carrant M5 Bridge</v>
      </c>
      <c r="H1164" t="e" vm="4">
        <f>_xlfn.XLOOKUP(AllDataCorrected[[#This Row],[Site Name]],LocationsKey[Site Name],LocationsKey[District])</f>
        <v>#VALUE!</v>
      </c>
      <c r="I1164" t="e" vm="4">
        <f>_xlfn.XLOOKUP(AllDataCorrected[[#This Row],[Site Name]],LocationsKey[Site Name],LocationsKey[Town])</f>
        <v>#VALUE!</v>
      </c>
      <c r="J1164" t="str">
        <f>_xlfn.XLOOKUP(AllDataCorrected[[#This Row],[Site Name]],LocationsKey[Site Name], LocationsKey[Waterway])</f>
        <v>Carrant</v>
      </c>
      <c r="K1164" t="s">
        <v>1066</v>
      </c>
      <c r="L1164">
        <f>_xlfn.XLOOKUP(AllDataCorrected[[#This Row],[Site Name]],Tables!$B$12:$B$100, Tables!C$12:C$100)</f>
        <v>52.012994652173923</v>
      </c>
      <c r="M1164">
        <f>_xlfn.XLOOKUP(AllDataCorrected[[#This Row],[Site Name]],Tables!$B$12:$B$100, Tables!D$12:D$100)</f>
        <v>-2.1224405652173912</v>
      </c>
      <c r="N1164" t="s">
        <v>25</v>
      </c>
      <c r="O1164">
        <v>517</v>
      </c>
      <c r="P1164">
        <v>22.8</v>
      </c>
      <c r="Q1164">
        <v>10</v>
      </c>
      <c r="R116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4">
        <v>0.71</v>
      </c>
      <c r="T116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4">
        <v>0</v>
      </c>
    </row>
    <row r="1165" spans="1:22" x14ac:dyDescent="0.35">
      <c r="A1165" t="s">
        <v>1881</v>
      </c>
      <c r="B1165" s="2">
        <v>45523</v>
      </c>
      <c r="C1165" t="str" cm="1">
        <f t="array" ref="C116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5">
        <f>YEAR(AllDataCorrected[[#This Row],[Date]])</f>
        <v>2024</v>
      </c>
      <c r="E1165" s="1">
        <v>0.44444444444444442</v>
      </c>
      <c r="F116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5" t="str">
        <f>_xlfn.XLOOKUP(AllDataCorrected[[#This Row],[Location Name]], Locations[Location Name],Locations[Group As])</f>
        <v>Chipping Campden Lady J Gateway</v>
      </c>
      <c r="H1165" t="e" vm="9">
        <f>_xlfn.XLOOKUP(AllDataCorrected[[#This Row],[Site Name]],LocationsKey[Site Name],LocationsKey[District])</f>
        <v>#VALUE!</v>
      </c>
      <c r="I1165" t="e" vm="10">
        <f>_xlfn.XLOOKUP(AllDataCorrected[[#This Row],[Site Name]],LocationsKey[Site Name],LocationsKey[Town])</f>
        <v>#VALUE!</v>
      </c>
      <c r="J1165" t="str">
        <f>_xlfn.XLOOKUP(AllDataCorrected[[#This Row],[Site Name]],LocationsKey[Site Name], LocationsKey[Waterway])</f>
        <v>Cam Brook</v>
      </c>
      <c r="K1165" t="s">
        <v>1573</v>
      </c>
      <c r="L1165" t="str">
        <f>_xlfn.XLOOKUP(AllDataCorrected[[#This Row],[Site Name]],Tables!$B$12:$B$100, Tables!C$12:C$100)</f>
        <v>Unknown</v>
      </c>
      <c r="M1165" t="str">
        <f>_xlfn.XLOOKUP(AllDataCorrected[[#This Row],[Site Name]],Tables!$B$12:$B$100, Tables!D$12:D$100)</f>
        <v>Unknown</v>
      </c>
      <c r="N1165" t="s">
        <v>68</v>
      </c>
      <c r="O1165">
        <v>483</v>
      </c>
      <c r="P1165">
        <v>16.100000000000001</v>
      </c>
      <c r="Q1165">
        <v>5</v>
      </c>
      <c r="R116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5">
        <v>0.05</v>
      </c>
      <c r="T1165" t="str">
        <f>IF(AllDataCorrected[[#This Row],[Phosphate (PPM)]]&gt;0.5, "4. Very high (&gt;0.5ppm)", IF(AllDataCorrected[[#This Row],[Phosphate (PPM)]]&gt;0.1, "3. High (0.1-0.5ppm)", IF(AllDataCorrected[[#This Row],[Phosphate (PPM)]]&gt;0.05, "2. Some evidence (0.05-0.1ppm)", IF(AllDataCorrected[[#This Row],[Phosphate (PPM)]]&lt;=0.05, "1. No Evidence (&lt;0.05ppm)", ""))))</f>
        <v>1. No Evidence (&lt;0.05ppm)</v>
      </c>
      <c r="U1165">
        <v>0.06</v>
      </c>
    </row>
    <row r="1166" spans="1:22" x14ac:dyDescent="0.35">
      <c r="A1166" t="s">
        <v>1926</v>
      </c>
      <c r="B1166" s="2">
        <v>45530</v>
      </c>
      <c r="C1166" t="str" cm="1">
        <f t="array" ref="C116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6">
        <f>YEAR(AllDataCorrected[[#This Row],[Date]])</f>
        <v>2024</v>
      </c>
      <c r="E1166" s="1">
        <v>0.46180555555555558</v>
      </c>
      <c r="F116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6" t="str">
        <f>_xlfn.XLOOKUP(AllDataCorrected[[#This Row],[Location Name]], Locations[Location Name],Locations[Group As])</f>
        <v>Chipping Campden Lady J Gateway</v>
      </c>
      <c r="H1166" t="e" vm="9">
        <f>_xlfn.XLOOKUP(AllDataCorrected[[#This Row],[Site Name]],LocationsKey[Site Name],LocationsKey[District])</f>
        <v>#VALUE!</v>
      </c>
      <c r="I1166" t="e" vm="10">
        <f>_xlfn.XLOOKUP(AllDataCorrected[[#This Row],[Site Name]],LocationsKey[Site Name],LocationsKey[Town])</f>
        <v>#VALUE!</v>
      </c>
      <c r="J1166" t="str">
        <f>_xlfn.XLOOKUP(AllDataCorrected[[#This Row],[Site Name]],LocationsKey[Site Name], LocationsKey[Waterway])</f>
        <v>Cam Brook</v>
      </c>
      <c r="K1166" t="s">
        <v>1573</v>
      </c>
      <c r="L1166" t="str">
        <f>_xlfn.XLOOKUP(AllDataCorrected[[#This Row],[Site Name]],Tables!$B$12:$B$100, Tables!C$12:C$100)</f>
        <v>Unknown</v>
      </c>
      <c r="M1166" t="str">
        <f>_xlfn.XLOOKUP(AllDataCorrected[[#This Row],[Site Name]],Tables!$B$12:$B$100, Tables!D$12:D$100)</f>
        <v>Unknown</v>
      </c>
      <c r="N1166" t="s">
        <v>68</v>
      </c>
      <c r="O1166">
        <v>492</v>
      </c>
      <c r="P1166">
        <v>20.8</v>
      </c>
      <c r="Q1166">
        <v>5</v>
      </c>
      <c r="R116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6">
        <v>0.18</v>
      </c>
      <c r="T116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6">
        <v>0.05</v>
      </c>
    </row>
    <row r="1167" spans="1:22" x14ac:dyDescent="0.35">
      <c r="A1167" t="s">
        <v>1842</v>
      </c>
      <c r="B1167" s="2">
        <v>45516</v>
      </c>
      <c r="C1167" t="str" cm="1">
        <f t="array" ref="C116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7">
        <f>YEAR(AllDataCorrected[[#This Row],[Date]])</f>
        <v>2024</v>
      </c>
      <c r="E1167" s="1">
        <v>0.4236111111111111</v>
      </c>
      <c r="F116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7" t="str">
        <f>_xlfn.XLOOKUP(AllDataCorrected[[#This Row],[Location Name]], Locations[Location Name],Locations[Group As])</f>
        <v>Sherbourne Brook 1</v>
      </c>
      <c r="H1167" t="e" vm="1">
        <f>_xlfn.XLOOKUP(AllDataCorrected[[#This Row],[Site Name]],LocationsKey[Site Name],LocationsKey[District])</f>
        <v>#VALUE!</v>
      </c>
      <c r="I1167" t="e" vm="23">
        <f>_xlfn.XLOOKUP(AllDataCorrected[[#This Row],[Site Name]],LocationsKey[Site Name],LocationsKey[Town])</f>
        <v>#VALUE!</v>
      </c>
      <c r="J1167" t="str">
        <f>_xlfn.XLOOKUP(AllDataCorrected[[#This Row],[Site Name]],LocationsKey[Site Name], LocationsKey[Waterway])</f>
        <v>Sherbourne Brook</v>
      </c>
      <c r="K1167" t="s">
        <v>541</v>
      </c>
      <c r="L1167">
        <f>_xlfn.XLOOKUP(AllDataCorrected[[#This Row],[Site Name]],Tables!$B$12:$B$100, Tables!C$12:C$100)</f>
        <v>52.252500000000033</v>
      </c>
      <c r="M1167">
        <f>_xlfn.XLOOKUP(AllDataCorrected[[#This Row],[Site Name]],Tables!$B$12:$B$100, Tables!D$12:D$100)</f>
        <v>-1.6685000000000012</v>
      </c>
      <c r="N1167" t="s">
        <v>25</v>
      </c>
      <c r="O1167">
        <v>1070</v>
      </c>
      <c r="P1167">
        <v>20.6</v>
      </c>
      <c r="Q1167">
        <v>7</v>
      </c>
      <c r="R116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7">
        <v>0.37</v>
      </c>
      <c r="T116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7">
        <v>0.1</v>
      </c>
    </row>
    <row r="1168" spans="1:22" x14ac:dyDescent="0.35">
      <c r="A1168" t="s">
        <v>1843</v>
      </c>
      <c r="B1168" s="2">
        <v>45516</v>
      </c>
      <c r="C1168" t="str" cm="1">
        <f t="array" ref="C116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68">
        <f>YEAR(AllDataCorrected[[#This Row],[Date]])</f>
        <v>2024</v>
      </c>
      <c r="E1168" s="1">
        <v>0.42708333333333331</v>
      </c>
      <c r="F116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8" t="str">
        <f>_xlfn.XLOOKUP(AllDataCorrected[[#This Row],[Location Name]], Locations[Location Name],Locations[Group As])</f>
        <v>Bell Brook 1</v>
      </c>
      <c r="H1168" t="e" vm="1">
        <f>_xlfn.XLOOKUP(AllDataCorrected[[#This Row],[Site Name]],LocationsKey[Site Name],LocationsKey[District])</f>
        <v>#VALUE!</v>
      </c>
      <c r="I1168" t="e" vm="19">
        <f>_xlfn.XLOOKUP(AllDataCorrected[[#This Row],[Site Name]],LocationsKey[Site Name],LocationsKey[Town])</f>
        <v>#VALUE!</v>
      </c>
      <c r="J1168" t="str">
        <f>_xlfn.XLOOKUP(AllDataCorrected[[#This Row],[Site Name]],LocationsKey[Site Name], LocationsKey[Waterway])</f>
        <v>Bell Brook</v>
      </c>
      <c r="K1168" t="s">
        <v>538</v>
      </c>
      <c r="L1168">
        <f>_xlfn.XLOOKUP(AllDataCorrected[[#This Row],[Site Name]],Tables!$B$12:$B$100, Tables!C$12:C$100)</f>
        <v>52.24489999999998</v>
      </c>
      <c r="M1168">
        <f>_xlfn.XLOOKUP(AllDataCorrected[[#This Row],[Site Name]],Tables!$B$12:$B$100, Tables!D$12:D$100)</f>
        <v>-1.6617000000000013</v>
      </c>
      <c r="N1168" t="s">
        <v>25</v>
      </c>
      <c r="O1168">
        <v>860</v>
      </c>
      <c r="P1168">
        <v>22.6</v>
      </c>
      <c r="Q1168">
        <v>15</v>
      </c>
      <c r="R116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8">
        <v>0.89</v>
      </c>
      <c r="T116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68">
        <v>0.1</v>
      </c>
    </row>
    <row r="1169" spans="1:22" x14ac:dyDescent="0.35">
      <c r="A1169" t="s">
        <v>1963</v>
      </c>
      <c r="B1169" s="2">
        <v>45537</v>
      </c>
      <c r="C1169" t="str" cm="1">
        <f t="array" ref="C116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169">
        <f>YEAR(AllDataCorrected[[#This Row],[Date]])</f>
        <v>2024</v>
      </c>
      <c r="E1169" s="1">
        <v>0.28819444444444442</v>
      </c>
      <c r="F116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69" t="str">
        <f>_xlfn.XLOOKUP(AllDataCorrected[[#This Row],[Location Name]], Locations[Location Name],Locations[Group As])</f>
        <v>Chipping Campden Lady J Gateway</v>
      </c>
      <c r="H1169" t="e" vm="9">
        <f>_xlfn.XLOOKUP(AllDataCorrected[[#This Row],[Site Name]],LocationsKey[Site Name],LocationsKey[District])</f>
        <v>#VALUE!</v>
      </c>
      <c r="I1169" t="e" vm="10">
        <f>_xlfn.XLOOKUP(AllDataCorrected[[#This Row],[Site Name]],LocationsKey[Site Name],LocationsKey[Town])</f>
        <v>#VALUE!</v>
      </c>
      <c r="J1169" t="str">
        <f>_xlfn.XLOOKUP(AllDataCorrected[[#This Row],[Site Name]],LocationsKey[Site Name], LocationsKey[Waterway])</f>
        <v>Cam Brook</v>
      </c>
      <c r="K1169" t="s">
        <v>1573</v>
      </c>
      <c r="L1169" t="str">
        <f>_xlfn.XLOOKUP(AllDataCorrected[[#This Row],[Site Name]],Tables!$B$12:$B$100, Tables!C$12:C$100)</f>
        <v>Unknown</v>
      </c>
      <c r="M1169" t="str">
        <f>_xlfn.XLOOKUP(AllDataCorrected[[#This Row],[Site Name]],Tables!$B$12:$B$100, Tables!D$12:D$100)</f>
        <v>Unknown</v>
      </c>
      <c r="N1169" t="s">
        <v>68</v>
      </c>
      <c r="O1169">
        <v>507</v>
      </c>
      <c r="P1169">
        <v>17.600000000000001</v>
      </c>
      <c r="Q1169">
        <v>5</v>
      </c>
      <c r="R116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69">
        <v>0.14000000000000001</v>
      </c>
      <c r="T116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69">
        <v>7.0000000000000007E-2</v>
      </c>
    </row>
    <row r="1170" spans="1:22" x14ac:dyDescent="0.35">
      <c r="A1170" t="s">
        <v>1848</v>
      </c>
      <c r="B1170" s="2">
        <v>45518</v>
      </c>
      <c r="C1170" t="str" cm="1">
        <f t="array" ref="C117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0">
        <f>YEAR(AllDataCorrected[[#This Row],[Date]])</f>
        <v>2024</v>
      </c>
      <c r="E1170" s="1">
        <v>0.51180555555555551</v>
      </c>
      <c r="F117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0" t="str">
        <f>_xlfn.XLOOKUP(AllDataCorrected[[#This Row],[Location Name]], Locations[Location Name],Locations[Group As])</f>
        <v>Bredon Marina</v>
      </c>
      <c r="H1170" t="e" vm="4">
        <f>_xlfn.XLOOKUP(AllDataCorrected[[#This Row],[Site Name]],LocationsKey[Site Name],LocationsKey[District])</f>
        <v>#VALUE!</v>
      </c>
      <c r="I1170" t="e" vm="11">
        <f>_xlfn.XLOOKUP(AllDataCorrected[[#This Row],[Site Name]],LocationsKey[Site Name],LocationsKey[Town])</f>
        <v>#VALUE!</v>
      </c>
      <c r="J1170" t="str">
        <f>_xlfn.XLOOKUP(AllDataCorrected[[#This Row],[Site Name]],LocationsKey[Site Name], LocationsKey[Waterway])</f>
        <v>Avon</v>
      </c>
      <c r="K1170" t="s">
        <v>1849</v>
      </c>
      <c r="L1170">
        <f>_xlfn.XLOOKUP(AllDataCorrected[[#This Row],[Site Name]],Tables!$B$12:$B$100, Tables!C$12:C$100)</f>
        <v>52.033057272727277</v>
      </c>
      <c r="M1170">
        <f>_xlfn.XLOOKUP(AllDataCorrected[[#This Row],[Site Name]],Tables!$B$12:$B$100, Tables!D$12:D$100)</f>
        <v>-2.1161551818181823</v>
      </c>
      <c r="N1170" t="s">
        <v>31</v>
      </c>
      <c r="O1170">
        <v>1020</v>
      </c>
      <c r="P1170">
        <v>21.2</v>
      </c>
      <c r="Q1170">
        <v>10</v>
      </c>
      <c r="R117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0">
        <v>0.82</v>
      </c>
      <c r="T117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0">
        <v>2</v>
      </c>
      <c r="V1170" t="s">
        <v>1850</v>
      </c>
    </row>
    <row r="1171" spans="1:22" x14ac:dyDescent="0.35">
      <c r="A1171" t="s">
        <v>1851</v>
      </c>
      <c r="B1171" s="2">
        <v>45518</v>
      </c>
      <c r="C1171" t="str" cm="1">
        <f t="array" ref="C117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1">
        <f>YEAR(AllDataCorrected[[#This Row],[Date]])</f>
        <v>2024</v>
      </c>
      <c r="E1171" s="1">
        <v>0.59722222222222221</v>
      </c>
      <c r="F117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1" t="str">
        <f>_xlfn.XLOOKUP(AllDataCorrected[[#This Row],[Location Name]], Locations[Location Name],Locations[Group As])</f>
        <v>Alveston Weir</v>
      </c>
      <c r="H1171" t="e" vm="1">
        <f>_xlfn.XLOOKUP(AllDataCorrected[[#This Row],[Site Name]],LocationsKey[Site Name],LocationsKey[District])</f>
        <v>#VALUE!</v>
      </c>
      <c r="I1171" t="e" vm="2">
        <f>_xlfn.XLOOKUP(AllDataCorrected[[#This Row],[Site Name]],LocationsKey[Site Name],LocationsKey[Town])</f>
        <v>#VALUE!</v>
      </c>
      <c r="J1171" t="str">
        <f>_xlfn.XLOOKUP(AllDataCorrected[[#This Row],[Site Name]],LocationsKey[Site Name], LocationsKey[Waterway])</f>
        <v>Avon</v>
      </c>
      <c r="K1171" t="s">
        <v>288</v>
      </c>
      <c r="L1171">
        <f>_xlfn.XLOOKUP(AllDataCorrected[[#This Row],[Site Name]],Tables!$B$12:$B$100, Tables!C$12:C$100)</f>
        <v>52.21226301333337</v>
      </c>
      <c r="M1171">
        <f>_xlfn.XLOOKUP(AllDataCorrected[[#This Row],[Site Name]],Tables!$B$12:$B$100, Tables!D$12:D$100)</f>
        <v>-1.6595226800000011</v>
      </c>
      <c r="N1171" t="s">
        <v>31</v>
      </c>
      <c r="O1171">
        <v>0.55000000000000004</v>
      </c>
      <c r="P1171">
        <v>20.7</v>
      </c>
      <c r="Q1171">
        <v>10</v>
      </c>
      <c r="R117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1">
        <v>0.55000000000000004</v>
      </c>
      <c r="T117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1">
        <v>0</v>
      </c>
      <c r="V1171" t="s">
        <v>1852</v>
      </c>
    </row>
    <row r="1172" spans="1:22" x14ac:dyDescent="0.35">
      <c r="A1172" t="s">
        <v>1853</v>
      </c>
      <c r="B1172" s="2">
        <v>45518</v>
      </c>
      <c r="C1172" t="str" cm="1">
        <f t="array" ref="C117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2">
        <f>YEAR(AllDataCorrected[[#This Row],[Date]])</f>
        <v>2024</v>
      </c>
      <c r="E1172" s="1">
        <v>0.62777777777777777</v>
      </c>
      <c r="F117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2" t="str">
        <f>_xlfn.XLOOKUP(AllDataCorrected[[#This Row],[Location Name]], Locations[Location Name],Locations[Group As])</f>
        <v>Swiffen Bank</v>
      </c>
      <c r="H1172" t="e" vm="1">
        <f>_xlfn.XLOOKUP(AllDataCorrected[[#This Row],[Site Name]],LocationsKey[Site Name],LocationsKey[District])</f>
        <v>#VALUE!</v>
      </c>
      <c r="I1172" t="e" vm="2">
        <f>_xlfn.XLOOKUP(AllDataCorrected[[#This Row],[Site Name]],LocationsKey[Site Name],LocationsKey[Town])</f>
        <v>#VALUE!</v>
      </c>
      <c r="J1172" t="str">
        <f>_xlfn.XLOOKUP(AllDataCorrected[[#This Row],[Site Name]],LocationsKey[Site Name], LocationsKey[Waterway])</f>
        <v>Avon</v>
      </c>
      <c r="K1172" t="s">
        <v>286</v>
      </c>
      <c r="L1172">
        <f>_xlfn.XLOOKUP(AllDataCorrected[[#This Row],[Site Name]],Tables!$B$12:$B$100, Tables!C$12:C$100)</f>
        <v>52.206649805555557</v>
      </c>
      <c r="M1172">
        <f>_xlfn.XLOOKUP(AllDataCorrected[[#This Row],[Site Name]],Tables!$B$12:$B$100, Tables!D$12:D$100)</f>
        <v>-1.6541018611111094</v>
      </c>
      <c r="N1172" t="s">
        <v>31</v>
      </c>
      <c r="O1172">
        <v>765</v>
      </c>
      <c r="P1172">
        <v>21</v>
      </c>
      <c r="Q1172">
        <v>10</v>
      </c>
      <c r="R117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2">
        <v>0.66</v>
      </c>
      <c r="T117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2">
        <v>0</v>
      </c>
      <c r="V1172" t="s">
        <v>1854</v>
      </c>
    </row>
    <row r="1173" spans="1:22" x14ac:dyDescent="0.35">
      <c r="A1173" t="s">
        <v>1855</v>
      </c>
      <c r="B1173" s="2">
        <v>45519</v>
      </c>
      <c r="C1173" t="str" cm="1">
        <f t="array" ref="C117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3">
        <f>YEAR(AllDataCorrected[[#This Row],[Date]])</f>
        <v>2024</v>
      </c>
      <c r="E1173" s="1">
        <v>0.38541666666666669</v>
      </c>
      <c r="F117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3" t="str">
        <f>_xlfn.XLOOKUP(AllDataCorrected[[#This Row],[Location Name]], Locations[Location Name],Locations[Group As])</f>
        <v>Swilgate</v>
      </c>
      <c r="H1173" t="e" vm="4">
        <f>_xlfn.XLOOKUP(AllDataCorrected[[#This Row],[Site Name]],LocationsKey[Site Name],LocationsKey[District])</f>
        <v>#VALUE!</v>
      </c>
      <c r="I1173" t="e" vm="4">
        <f>_xlfn.XLOOKUP(AllDataCorrected[[#This Row],[Site Name]],LocationsKey[Site Name],LocationsKey[Town])</f>
        <v>#VALUE!</v>
      </c>
      <c r="J1173" t="str">
        <f>_xlfn.XLOOKUP(AllDataCorrected[[#This Row],[Site Name]],LocationsKey[Site Name], LocationsKey[Waterway])</f>
        <v>Swilgate</v>
      </c>
      <c r="K1173" t="s">
        <v>85</v>
      </c>
      <c r="L1173">
        <f>_xlfn.XLOOKUP(AllDataCorrected[[#This Row],[Site Name]],Tables!$B$12:$B$100, Tables!C$12:C$100)</f>
        <v>51.988591500000005</v>
      </c>
      <c r="M1173">
        <f>_xlfn.XLOOKUP(AllDataCorrected[[#This Row],[Site Name]],Tables!$B$12:$B$100, Tables!D$12:D$100)</f>
        <v>-2.163898333333333</v>
      </c>
      <c r="N1173" t="s">
        <v>25</v>
      </c>
      <c r="O1173">
        <v>850</v>
      </c>
      <c r="P1173">
        <v>17</v>
      </c>
      <c r="Q1173">
        <v>5</v>
      </c>
      <c r="R117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3">
        <v>0.83</v>
      </c>
      <c r="T117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3">
        <v>0</v>
      </c>
    </row>
    <row r="1174" spans="1:22" x14ac:dyDescent="0.35">
      <c r="A1174" t="s">
        <v>1856</v>
      </c>
      <c r="B1174" s="2">
        <v>45520</v>
      </c>
      <c r="C1174" t="str" cm="1">
        <f t="array" ref="C117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4">
        <f>YEAR(AllDataCorrected[[#This Row],[Date]])</f>
        <v>2024</v>
      </c>
      <c r="E1174" s="1">
        <v>0.5</v>
      </c>
      <c r="F117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4" t="str">
        <f>_xlfn.XLOOKUP(AllDataCorrected[[#This Row],[Location Name]], Locations[Location Name],Locations[Group As])</f>
        <v>Stour Willington</v>
      </c>
      <c r="H1174" t="e" vm="1">
        <f>_xlfn.XLOOKUP(AllDataCorrected[[#This Row],[Site Name]],LocationsKey[Site Name],LocationsKey[District])</f>
        <v>#VALUE!</v>
      </c>
      <c r="I1174" t="str">
        <f>_xlfn.XLOOKUP(AllDataCorrected[[#This Row],[Site Name]],LocationsKey[Site Name],LocationsKey[Town])</f>
        <v>Willington</v>
      </c>
      <c r="J1174" t="str">
        <f>_xlfn.XLOOKUP(AllDataCorrected[[#This Row],[Site Name]],LocationsKey[Site Name], LocationsKey[Waterway])</f>
        <v>Stour</v>
      </c>
      <c r="K1174" t="s">
        <v>521</v>
      </c>
      <c r="L1174">
        <f>_xlfn.XLOOKUP(AllDataCorrected[[#This Row],[Site Name]],Tables!$B$12:$B$100, Tables!C$12:C$100)</f>
        <v>52.053227523809518</v>
      </c>
      <c r="M1174">
        <f>_xlfn.XLOOKUP(AllDataCorrected[[#This Row],[Site Name]],Tables!$B$12:$B$100, Tables!D$12:D$100)</f>
        <v>-1.6194739523809523</v>
      </c>
      <c r="N1174" t="s">
        <v>25</v>
      </c>
      <c r="O1174">
        <v>637</v>
      </c>
      <c r="P1174">
        <v>17.100000000000001</v>
      </c>
      <c r="Q1174">
        <v>2</v>
      </c>
      <c r="R1174" t="str">
        <f>IF(AllDataCorrected[[#This Row],[Nitrate (PPM)]]&gt;2, "4. Very high (&gt;2ppm)", IF(AllDataCorrected[[#This Row],[Nitrate (PPM)]]&gt;1, "3. High (1-2ppm)", IF(AllDataCorrected[[#This Row],[Nitrate (PPM)]]&gt;0.5, "2. Some evidence (0.5-1ppm)", IF(AllDataCorrected[[#This Row],[Nitrate (PPM)]]&gt;=0, "1. No evidence (&lt;0.5ppm)"))))</f>
        <v>3. High (1-2ppm)</v>
      </c>
      <c r="S1174">
        <v>0.67</v>
      </c>
      <c r="T117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4">
        <v>0.5</v>
      </c>
    </row>
    <row r="1175" spans="1:22" x14ac:dyDescent="0.35">
      <c r="A1175" t="s">
        <v>1857</v>
      </c>
      <c r="B1175" s="2">
        <v>45520</v>
      </c>
      <c r="C1175" t="str" cm="1">
        <f t="array" ref="C117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5">
        <f>YEAR(AllDataCorrected[[#This Row],[Date]])</f>
        <v>2024</v>
      </c>
      <c r="E1175" s="1">
        <v>0.67708333333333337</v>
      </c>
      <c r="F1175"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5" t="str">
        <f>_xlfn.XLOOKUP(AllDataCorrected[[#This Row],[Location Name]], Locations[Location Name],Locations[Group As])</f>
        <v>Abbey Mill</v>
      </c>
      <c r="H1175" t="e" vm="4">
        <f>_xlfn.XLOOKUP(AllDataCorrected[[#This Row],[Site Name]],LocationsKey[Site Name],LocationsKey[District])</f>
        <v>#VALUE!</v>
      </c>
      <c r="I1175" t="e" vm="4">
        <f>_xlfn.XLOOKUP(AllDataCorrected[[#This Row],[Site Name]],LocationsKey[Site Name],LocationsKey[Town])</f>
        <v>#VALUE!</v>
      </c>
      <c r="J1175" t="str">
        <f>_xlfn.XLOOKUP(AllDataCorrected[[#This Row],[Site Name]],LocationsKey[Site Name], LocationsKey[Waterway])</f>
        <v>Avon</v>
      </c>
      <c r="K1175" t="s">
        <v>27</v>
      </c>
      <c r="L1175">
        <f>_xlfn.XLOOKUP(AllDataCorrected[[#This Row],[Site Name]],Tables!$B$12:$B$100, Tables!C$12:C$100)</f>
        <v>51.991313075757589</v>
      </c>
      <c r="M1175">
        <f>_xlfn.XLOOKUP(AllDataCorrected[[#This Row],[Site Name]],Tables!$B$12:$B$100, Tables!D$12:D$100)</f>
        <v>-2.1621998181818181</v>
      </c>
      <c r="N1175" t="s">
        <v>25</v>
      </c>
      <c r="O1175">
        <v>103</v>
      </c>
      <c r="P1175">
        <v>22.3</v>
      </c>
      <c r="Q1175">
        <v>10</v>
      </c>
      <c r="R117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5">
        <v>0.83</v>
      </c>
      <c r="T117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5">
        <v>0</v>
      </c>
    </row>
    <row r="1176" spans="1:22" x14ac:dyDescent="0.35">
      <c r="A1176" t="s">
        <v>1858</v>
      </c>
      <c r="B1176" s="2">
        <v>45520</v>
      </c>
      <c r="C1176" t="str" cm="1">
        <f t="array" ref="C117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6">
        <f>YEAR(AllDataCorrected[[#This Row],[Date]])</f>
        <v>2024</v>
      </c>
      <c r="E1176" s="1">
        <v>0.7</v>
      </c>
      <c r="F117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76" t="str">
        <f>_xlfn.XLOOKUP(AllDataCorrected[[#This Row],[Location Name]], Locations[Location Name],Locations[Group As])</f>
        <v>Black Bear</v>
      </c>
      <c r="H1176" t="e" vm="4">
        <f>_xlfn.XLOOKUP(AllDataCorrected[[#This Row],[Site Name]],LocationsKey[Site Name],LocationsKey[District])</f>
        <v>#VALUE!</v>
      </c>
      <c r="I1176" t="e" vm="4">
        <f>_xlfn.XLOOKUP(AllDataCorrected[[#This Row],[Site Name]],LocationsKey[Site Name],LocationsKey[Town])</f>
        <v>#VALUE!</v>
      </c>
      <c r="J1176" t="str">
        <f>_xlfn.XLOOKUP(AllDataCorrected[[#This Row],[Site Name]],LocationsKey[Site Name], LocationsKey[Waterway])</f>
        <v>Avon</v>
      </c>
      <c r="K1176" t="s">
        <v>1175</v>
      </c>
      <c r="L1176">
        <f>_xlfn.XLOOKUP(AllDataCorrected[[#This Row],[Site Name]],Tables!$B$12:$B$100, Tables!C$12:C$100)</f>
        <v>51.997466254237274</v>
      </c>
      <c r="M1176">
        <f>_xlfn.XLOOKUP(AllDataCorrected[[#This Row],[Site Name]],Tables!$B$12:$B$100, Tables!D$12:D$100)</f>
        <v>-2.1561788644067801</v>
      </c>
      <c r="N1176" t="s">
        <v>25</v>
      </c>
      <c r="O1176">
        <v>988</v>
      </c>
      <c r="P1176">
        <v>22.8</v>
      </c>
      <c r="Q1176">
        <v>10</v>
      </c>
      <c r="R117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6">
        <v>1.26</v>
      </c>
      <c r="T117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6">
        <v>0</v>
      </c>
    </row>
    <row r="1177" spans="1:22" x14ac:dyDescent="0.35">
      <c r="A1177" t="s">
        <v>1859</v>
      </c>
      <c r="B1177" s="2">
        <v>45521</v>
      </c>
      <c r="C1177" t="str" cm="1">
        <f t="array" ref="C117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7">
        <f>YEAR(AllDataCorrected[[#This Row],[Date]])</f>
        <v>2024</v>
      </c>
      <c r="E1177" s="1">
        <v>0.40625</v>
      </c>
      <c r="F117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7" t="str">
        <f>_xlfn.XLOOKUP(AllDataCorrected[[#This Row],[Location Name]], Locations[Location Name],Locations[Group As])</f>
        <v>Twyning Fleet</v>
      </c>
      <c r="H1177" t="e" vm="4">
        <f>_xlfn.XLOOKUP(AllDataCorrected[[#This Row],[Site Name]],LocationsKey[Site Name],LocationsKey[District])</f>
        <v>#VALUE!</v>
      </c>
      <c r="I1177" t="str">
        <f>_xlfn.XLOOKUP(AllDataCorrected[[#This Row],[Site Name]],LocationsKey[Site Name],LocationsKey[Town])</f>
        <v>Twyning Green</v>
      </c>
      <c r="J1177" t="str">
        <f>_xlfn.XLOOKUP(AllDataCorrected[[#This Row],[Site Name]],LocationsKey[Site Name], LocationsKey[Waterway])</f>
        <v>Avon</v>
      </c>
      <c r="K1177" t="s">
        <v>56</v>
      </c>
      <c r="L1177">
        <f>_xlfn.XLOOKUP(AllDataCorrected[[#This Row],[Site Name]],Tables!$B$12:$B$100, Tables!C$12:C$100)</f>
        <v>52.027216452380941</v>
      </c>
      <c r="M1177">
        <f>_xlfn.XLOOKUP(AllDataCorrected[[#This Row],[Site Name]],Tables!$B$12:$B$100, Tables!D$12:D$100)</f>
        <v>-2.140853452380953</v>
      </c>
      <c r="N1177" t="s">
        <v>31</v>
      </c>
      <c r="O1177">
        <v>9000</v>
      </c>
      <c r="P1177">
        <v>21</v>
      </c>
      <c r="Q1177">
        <v>7</v>
      </c>
      <c r="R117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7">
        <v>1.04</v>
      </c>
      <c r="T117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7">
        <v>0</v>
      </c>
    </row>
    <row r="1178" spans="1:22" x14ac:dyDescent="0.35">
      <c r="A1178" t="s">
        <v>1860</v>
      </c>
      <c r="B1178" s="2">
        <v>45521</v>
      </c>
      <c r="C1178" t="str" cm="1">
        <f t="array" ref="C117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8">
        <f>YEAR(AllDataCorrected[[#This Row],[Date]])</f>
        <v>2024</v>
      </c>
      <c r="E1178" s="1">
        <v>0.42916666666666664</v>
      </c>
      <c r="F117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8" t="str">
        <f>_xlfn.XLOOKUP(AllDataCorrected[[#This Row],[Location Name]], Locations[Location Name],Locations[Group As])</f>
        <v>Avon Smiths Meadow Wyre Piddle</v>
      </c>
      <c r="H1178" t="e" vm="6">
        <f>_xlfn.XLOOKUP(AllDataCorrected[[#This Row],[Site Name]],LocationsKey[Site Name],LocationsKey[District])</f>
        <v>#VALUE!</v>
      </c>
      <c r="I1178" t="e" vm="13">
        <f>_xlfn.XLOOKUP(AllDataCorrected[[#This Row],[Site Name]],LocationsKey[Site Name],LocationsKey[Town])</f>
        <v>#VALUE!</v>
      </c>
      <c r="J1178" t="str">
        <f>_xlfn.XLOOKUP(AllDataCorrected[[#This Row],[Site Name]],LocationsKey[Site Name], LocationsKey[Waterway])</f>
        <v>Avon</v>
      </c>
      <c r="K1178" t="s">
        <v>784</v>
      </c>
      <c r="L1178">
        <f>_xlfn.XLOOKUP(AllDataCorrected[[#This Row],[Site Name]],Tables!$B$12:$B$100, Tables!C$12:C$100)</f>
        <v>52.123126101694929</v>
      </c>
      <c r="M1178">
        <f>_xlfn.XLOOKUP(AllDataCorrected[[#This Row],[Site Name]],Tables!$B$12:$B$100, Tables!D$12:D$100)</f>
        <v>-2.0572511355932215</v>
      </c>
      <c r="N1178" t="s">
        <v>25</v>
      </c>
      <c r="O1178">
        <v>1070</v>
      </c>
      <c r="P1178">
        <v>19.7</v>
      </c>
      <c r="Q1178">
        <v>7</v>
      </c>
      <c r="R1178"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8">
        <v>0.87</v>
      </c>
      <c r="T117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8">
        <v>0.5</v>
      </c>
      <c r="V1178" t="s">
        <v>1861</v>
      </c>
    </row>
    <row r="1179" spans="1:22" x14ac:dyDescent="0.35">
      <c r="A1179" t="s">
        <v>1862</v>
      </c>
      <c r="B1179" s="2">
        <v>45521</v>
      </c>
      <c r="C1179" t="str" cm="1">
        <f t="array" ref="C117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79">
        <f>YEAR(AllDataCorrected[[#This Row],[Date]])</f>
        <v>2024</v>
      </c>
      <c r="E1179" s="1">
        <v>0.44791666666666669</v>
      </c>
      <c r="F117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79" t="str">
        <f>_xlfn.XLOOKUP(AllDataCorrected[[#This Row],[Location Name]], Locations[Location Name],Locations[Group As])</f>
        <v>Piddle Brook Wyre Piddle Bridge</v>
      </c>
      <c r="H1179" t="e" vm="6">
        <f>_xlfn.XLOOKUP(AllDataCorrected[[#This Row],[Site Name]],LocationsKey[Site Name],LocationsKey[District])</f>
        <v>#VALUE!</v>
      </c>
      <c r="I1179" t="e" vm="13">
        <f>_xlfn.XLOOKUP(AllDataCorrected[[#This Row],[Site Name]],LocationsKey[Site Name],LocationsKey[Town])</f>
        <v>#VALUE!</v>
      </c>
      <c r="J1179" t="str">
        <f>_xlfn.XLOOKUP(AllDataCorrected[[#This Row],[Site Name]],LocationsKey[Site Name], LocationsKey[Waterway])</f>
        <v>Piddle Brook</v>
      </c>
      <c r="K1179" t="s">
        <v>787</v>
      </c>
      <c r="L1179">
        <f>_xlfn.XLOOKUP(AllDataCorrected[[#This Row],[Site Name]],Tables!$B$12:$B$100, Tables!C$12:C$100)</f>
        <v>52.126394500000039</v>
      </c>
      <c r="M1179">
        <f>_xlfn.XLOOKUP(AllDataCorrected[[#This Row],[Site Name]],Tables!$B$12:$B$100, Tables!D$12:D$100)</f>
        <v>-2.0564211206896545</v>
      </c>
      <c r="N1179" t="s">
        <v>25</v>
      </c>
      <c r="O1179">
        <v>1850</v>
      </c>
      <c r="P1179">
        <v>16.8</v>
      </c>
      <c r="Q1179">
        <v>5</v>
      </c>
      <c r="R117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79">
        <v>1.31</v>
      </c>
      <c r="T117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79">
        <v>0.13</v>
      </c>
      <c r="V1179" t="s">
        <v>1863</v>
      </c>
    </row>
    <row r="1180" spans="1:22" x14ac:dyDescent="0.35">
      <c r="A1180" t="s">
        <v>1864</v>
      </c>
      <c r="B1180" s="2">
        <v>45521</v>
      </c>
      <c r="C1180" t="str" cm="1">
        <f t="array" ref="C118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0">
        <f>YEAR(AllDataCorrected[[#This Row],[Date]])</f>
        <v>2024</v>
      </c>
      <c r="E1180" s="1">
        <v>0.4826388888888889</v>
      </c>
      <c r="F118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0" t="str">
        <f>_xlfn.XLOOKUP(AllDataCorrected[[#This Row],[Location Name]], Locations[Location Name],Locations[Group As])</f>
        <v>The Ford, Langley</v>
      </c>
      <c r="H1180" t="e" vm="1">
        <f>_xlfn.XLOOKUP(AllDataCorrected[[#This Row],[Site Name]],LocationsKey[Site Name],LocationsKey[District])</f>
        <v>#VALUE!</v>
      </c>
      <c r="I1180" t="str">
        <f>_xlfn.XLOOKUP(AllDataCorrected[[#This Row],[Site Name]],LocationsKey[Site Name],LocationsKey[Town])</f>
        <v>Langley</v>
      </c>
      <c r="J1180" t="str">
        <f>_xlfn.XLOOKUP(AllDataCorrected[[#This Row],[Site Name]],LocationsKey[Site Name], LocationsKey[Waterway])</f>
        <v>Langley Ford</v>
      </c>
      <c r="K1180" t="s">
        <v>561</v>
      </c>
      <c r="L1180">
        <f>_xlfn.XLOOKUP(AllDataCorrected[[#This Row],[Site Name]],Tables!$B$12:$B$100, Tables!C$12:C$100)</f>
        <v>52.262666528301864</v>
      </c>
      <c r="M1180">
        <f>_xlfn.XLOOKUP(AllDataCorrected[[#This Row],[Site Name]],Tables!$B$12:$B$100, Tables!D$12:D$100)</f>
        <v>-1.6545845283018858</v>
      </c>
      <c r="N1180" t="s">
        <v>31</v>
      </c>
      <c r="O1180">
        <v>837</v>
      </c>
      <c r="P1180">
        <v>16</v>
      </c>
      <c r="Q1180">
        <v>8</v>
      </c>
      <c r="R118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0">
        <v>0.86</v>
      </c>
      <c r="T118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0">
        <v>0.13</v>
      </c>
    </row>
    <row r="1181" spans="1:22" x14ac:dyDescent="0.35">
      <c r="A1181" t="s">
        <v>1865</v>
      </c>
      <c r="B1181" s="2">
        <v>45521</v>
      </c>
      <c r="C1181" t="str" cm="1">
        <f t="array" ref="C118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1">
        <f>YEAR(AllDataCorrected[[#This Row],[Date]])</f>
        <v>2024</v>
      </c>
      <c r="E1181" s="1">
        <v>0.51180555555555551</v>
      </c>
      <c r="F118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1" t="str">
        <f>_xlfn.XLOOKUP(AllDataCorrected[[#This Row],[Location Name]], Locations[Location Name],Locations[Group As])</f>
        <v>Preston-on-Stour River Bridge</v>
      </c>
      <c r="H1181" t="e" vm="1">
        <f>_xlfn.XLOOKUP(AllDataCorrected[[#This Row],[Site Name]],LocationsKey[Site Name],LocationsKey[District])</f>
        <v>#VALUE!</v>
      </c>
      <c r="I1181" t="e" vm="20">
        <f>_xlfn.XLOOKUP(AllDataCorrected[[#This Row],[Site Name]],LocationsKey[Site Name],LocationsKey[Town])</f>
        <v>#VALUE!</v>
      </c>
      <c r="J1181" t="str">
        <f>_xlfn.XLOOKUP(AllDataCorrected[[#This Row],[Site Name]],LocationsKey[Site Name], LocationsKey[Waterway])</f>
        <v>Stour</v>
      </c>
      <c r="K1181" t="s">
        <v>164</v>
      </c>
      <c r="L1181">
        <f>_xlfn.XLOOKUP(AllDataCorrected[[#This Row],[Site Name]],Tables!$B$12:$B$100, Tables!C$12:C$100)</f>
        <v>52.146672352941174</v>
      </c>
      <c r="M1181">
        <f>_xlfn.XLOOKUP(AllDataCorrected[[#This Row],[Site Name]],Tables!$B$12:$B$100, Tables!D$12:D$100)</f>
        <v>-1.6984533333333334</v>
      </c>
      <c r="N1181" t="s">
        <v>31</v>
      </c>
      <c r="O1181">
        <v>709</v>
      </c>
      <c r="P1181">
        <v>19.2</v>
      </c>
      <c r="Q1181">
        <v>5</v>
      </c>
      <c r="R118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1">
        <v>0.45</v>
      </c>
      <c r="T118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81">
        <v>1</v>
      </c>
    </row>
    <row r="1182" spans="1:22" x14ac:dyDescent="0.35">
      <c r="A1182" t="s">
        <v>1866</v>
      </c>
      <c r="B1182" s="2">
        <v>45521</v>
      </c>
      <c r="C1182" t="str" cm="1">
        <f t="array" ref="C118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2">
        <f>YEAR(AllDataCorrected[[#This Row],[Date]])</f>
        <v>2024</v>
      </c>
      <c r="E1182" s="1">
        <v>0.52083333333333337</v>
      </c>
      <c r="F118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2" t="str">
        <f>_xlfn.XLOOKUP(AllDataCorrected[[#This Row],[Location Name]], Locations[Location Name],Locations[Group As])</f>
        <v>Carrant Bredon Rd</v>
      </c>
      <c r="H1182" t="e" vm="4">
        <f>_xlfn.XLOOKUP(AllDataCorrected[[#This Row],[Site Name]],LocationsKey[Site Name],LocationsKey[District])</f>
        <v>#VALUE!</v>
      </c>
      <c r="I1182" t="e" vm="4">
        <f>_xlfn.XLOOKUP(AllDataCorrected[[#This Row],[Site Name]],LocationsKey[Site Name],LocationsKey[Town])</f>
        <v>#VALUE!</v>
      </c>
      <c r="J1182" t="str">
        <f>_xlfn.XLOOKUP(AllDataCorrected[[#This Row],[Site Name]],LocationsKey[Site Name], LocationsKey[Waterway])</f>
        <v>Carrant</v>
      </c>
      <c r="K1182" t="s">
        <v>603</v>
      </c>
      <c r="L1182">
        <f>_xlfn.XLOOKUP(AllDataCorrected[[#This Row],[Site Name]],Tables!$B$12:$B$100, Tables!C$12:C$100)</f>
        <v>51.996322536231894</v>
      </c>
      <c r="M1182">
        <f>_xlfn.XLOOKUP(AllDataCorrected[[#This Row],[Site Name]],Tables!$B$12:$B$100, Tables!D$12:D$100)</f>
        <v>-2.1558410144927538</v>
      </c>
      <c r="N1182" t="s">
        <v>25</v>
      </c>
      <c r="O1182">
        <v>726</v>
      </c>
      <c r="P1182">
        <v>17.100000000000001</v>
      </c>
      <c r="Q1182">
        <v>6</v>
      </c>
      <c r="R1182"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2">
        <v>0.82</v>
      </c>
      <c r="T118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2">
        <v>0</v>
      </c>
    </row>
    <row r="1183" spans="1:22" x14ac:dyDescent="0.35">
      <c r="A1183" t="s">
        <v>1867</v>
      </c>
      <c r="B1183" s="2">
        <v>45521</v>
      </c>
      <c r="C1183" t="str" cm="1">
        <f t="array" ref="C118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3">
        <f>YEAR(AllDataCorrected[[#This Row],[Date]])</f>
        <v>2024</v>
      </c>
      <c r="E1183" s="1">
        <v>0.68055555555555558</v>
      </c>
      <c r="F118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83" t="str">
        <f>_xlfn.XLOOKUP(AllDataCorrected[[#This Row],[Location Name]], Locations[Location Name],Locations[Group As])</f>
        <v>Fell Mill Footbridge</v>
      </c>
      <c r="H1183" t="e" vm="1">
        <f>_xlfn.XLOOKUP(AllDataCorrected[[#This Row],[Site Name]],LocationsKey[Site Name],LocationsKey[District])</f>
        <v>#VALUE!</v>
      </c>
      <c r="I1183" t="e" vm="15">
        <f>_xlfn.XLOOKUP(AllDataCorrected[[#This Row],[Site Name]],LocationsKey[Site Name],LocationsKey[Town])</f>
        <v>#VALUE!</v>
      </c>
      <c r="J1183" t="str">
        <f>_xlfn.XLOOKUP(AllDataCorrected[[#This Row],[Site Name]],LocationsKey[Site Name], LocationsKey[Waterway])</f>
        <v>Stour</v>
      </c>
      <c r="K1183" t="s">
        <v>875</v>
      </c>
      <c r="L1183">
        <f>_xlfn.XLOOKUP(AllDataCorrected[[#This Row],[Site Name]],Tables!$B$12:$B$100, Tables!C$12:C$100)</f>
        <v>52.069044372881365</v>
      </c>
      <c r="M1183">
        <f>_xlfn.XLOOKUP(AllDataCorrected[[#This Row],[Site Name]],Tables!$B$12:$B$100, Tables!D$12:D$100)</f>
        <v>-1.6116270169491524</v>
      </c>
      <c r="N1183" t="s">
        <v>31</v>
      </c>
      <c r="O1183">
        <v>678</v>
      </c>
      <c r="P1183">
        <v>17.2</v>
      </c>
      <c r="Q1183">
        <v>5</v>
      </c>
      <c r="R1183"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3">
        <v>0.62</v>
      </c>
      <c r="T118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3">
        <v>0.6</v>
      </c>
    </row>
    <row r="1184" spans="1:22" x14ac:dyDescent="0.35">
      <c r="A1184" t="s">
        <v>1868</v>
      </c>
      <c r="B1184" s="2">
        <v>45522</v>
      </c>
      <c r="C1184" t="str" cm="1">
        <f t="array" ref="C118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4">
        <f>YEAR(AllDataCorrected[[#This Row],[Date]])</f>
        <v>2024</v>
      </c>
      <c r="E1184" s="1">
        <v>0.34861111111111109</v>
      </c>
      <c r="F118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4" t="str">
        <f>_xlfn.XLOOKUP(AllDataCorrected[[#This Row],[Location Name]], Locations[Location Name],Locations[Group As])</f>
        <v>Lower Lode</v>
      </c>
      <c r="H1184" t="e" vm="4">
        <f>_xlfn.XLOOKUP(AllDataCorrected[[#This Row],[Site Name]],LocationsKey[Site Name],LocationsKey[District])</f>
        <v>#VALUE!</v>
      </c>
      <c r="I1184" t="e" vm="4">
        <f>_xlfn.XLOOKUP(AllDataCorrected[[#This Row],[Site Name]],LocationsKey[Site Name],LocationsKey[Town])</f>
        <v>#VALUE!</v>
      </c>
      <c r="J1184" t="str">
        <f>_xlfn.XLOOKUP(AllDataCorrected[[#This Row],[Site Name]],LocationsKey[Site Name], LocationsKey[Waterway])</f>
        <v>Avon</v>
      </c>
      <c r="K1184" t="s">
        <v>595</v>
      </c>
      <c r="L1184">
        <f>_xlfn.XLOOKUP(AllDataCorrected[[#This Row],[Site Name]],Tables!$B$12:$B$100, Tables!C$12:C$100)</f>
        <v>51.984916745098026</v>
      </c>
      <c r="M1184">
        <f>_xlfn.XLOOKUP(AllDataCorrected[[#This Row],[Site Name]],Tables!$B$12:$B$100, Tables!D$12:D$100)</f>
        <v>-2.1745787647058821</v>
      </c>
      <c r="N1184" t="s">
        <v>31</v>
      </c>
      <c r="O1184">
        <v>7100</v>
      </c>
      <c r="P1184">
        <v>19.3</v>
      </c>
      <c r="Q1184">
        <v>10</v>
      </c>
      <c r="R118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4">
        <v>0.71</v>
      </c>
      <c r="T118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4">
        <v>0</v>
      </c>
    </row>
    <row r="1185" spans="1:22" x14ac:dyDescent="0.35">
      <c r="A1185" t="s">
        <v>1869</v>
      </c>
      <c r="B1185" s="2">
        <v>45522</v>
      </c>
      <c r="C1185" t="str" cm="1">
        <f t="array" ref="C118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5">
        <f>YEAR(AllDataCorrected[[#This Row],[Date]])</f>
        <v>2024</v>
      </c>
      <c r="E1185" s="1">
        <v>0.36458333333333331</v>
      </c>
      <c r="F118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5" t="str">
        <f>_xlfn.XLOOKUP(AllDataCorrected[[#This Row],[Location Name]], Locations[Location Name],Locations[Group As])</f>
        <v>Sherbourne Brook 1</v>
      </c>
      <c r="H1185" t="e" vm="1">
        <f>_xlfn.XLOOKUP(AllDataCorrected[[#This Row],[Site Name]],LocationsKey[Site Name],LocationsKey[District])</f>
        <v>#VALUE!</v>
      </c>
      <c r="I1185" t="e" vm="23">
        <f>_xlfn.XLOOKUP(AllDataCorrected[[#This Row],[Site Name]],LocationsKey[Site Name],LocationsKey[Town])</f>
        <v>#VALUE!</v>
      </c>
      <c r="J1185" t="str">
        <f>_xlfn.XLOOKUP(AllDataCorrected[[#This Row],[Site Name]],LocationsKey[Site Name], LocationsKey[Waterway])</f>
        <v>Sherbourne Brook</v>
      </c>
      <c r="K1185" t="s">
        <v>541</v>
      </c>
      <c r="L1185">
        <f>_xlfn.XLOOKUP(AllDataCorrected[[#This Row],[Site Name]],Tables!$B$12:$B$100, Tables!C$12:C$100)</f>
        <v>52.252500000000033</v>
      </c>
      <c r="M1185">
        <f>_xlfn.XLOOKUP(AllDataCorrected[[#This Row],[Site Name]],Tables!$B$12:$B$100, Tables!D$12:D$100)</f>
        <v>-1.6685000000000012</v>
      </c>
      <c r="N1185" t="s">
        <v>25</v>
      </c>
      <c r="O1185">
        <v>1090</v>
      </c>
      <c r="P1185">
        <v>16</v>
      </c>
      <c r="Q1185">
        <v>10</v>
      </c>
      <c r="R118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5">
        <v>0.17</v>
      </c>
      <c r="T118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85">
        <v>0.1</v>
      </c>
    </row>
    <row r="1186" spans="1:22" x14ac:dyDescent="0.35">
      <c r="A1186" t="s">
        <v>1870</v>
      </c>
      <c r="B1186" s="2">
        <v>45522</v>
      </c>
      <c r="C1186" t="str" cm="1">
        <f t="array" ref="C118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6">
        <f>YEAR(AllDataCorrected[[#This Row],[Date]])</f>
        <v>2024</v>
      </c>
      <c r="E1186" s="1">
        <v>0.375</v>
      </c>
      <c r="F118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6" t="str">
        <f>_xlfn.XLOOKUP(AllDataCorrected[[#This Row],[Location Name]], Locations[Location Name],Locations[Group As])</f>
        <v>Bell Brook 1</v>
      </c>
      <c r="H1186" t="e" vm="1">
        <f>_xlfn.XLOOKUP(AllDataCorrected[[#This Row],[Site Name]],LocationsKey[Site Name],LocationsKey[District])</f>
        <v>#VALUE!</v>
      </c>
      <c r="I1186" t="e" vm="19">
        <f>_xlfn.XLOOKUP(AllDataCorrected[[#This Row],[Site Name]],LocationsKey[Site Name],LocationsKey[Town])</f>
        <v>#VALUE!</v>
      </c>
      <c r="J1186" t="str">
        <f>_xlfn.XLOOKUP(AllDataCorrected[[#This Row],[Site Name]],LocationsKey[Site Name], LocationsKey[Waterway])</f>
        <v>Bell Brook</v>
      </c>
      <c r="K1186" t="s">
        <v>538</v>
      </c>
      <c r="L1186">
        <f>_xlfn.XLOOKUP(AllDataCorrected[[#This Row],[Site Name]],Tables!$B$12:$B$100, Tables!C$12:C$100)</f>
        <v>52.24489999999998</v>
      </c>
      <c r="M1186">
        <f>_xlfn.XLOOKUP(AllDataCorrected[[#This Row],[Site Name]],Tables!$B$12:$B$100, Tables!D$12:D$100)</f>
        <v>-1.6617000000000013</v>
      </c>
      <c r="N1186" t="s">
        <v>25</v>
      </c>
      <c r="O1186">
        <v>873</v>
      </c>
      <c r="P1186">
        <v>15.8</v>
      </c>
      <c r="Q1186">
        <v>15</v>
      </c>
      <c r="R118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6">
        <v>0.73</v>
      </c>
      <c r="T118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6">
        <v>0.1</v>
      </c>
    </row>
    <row r="1187" spans="1:22" x14ac:dyDescent="0.35">
      <c r="A1187" t="s">
        <v>1871</v>
      </c>
      <c r="B1187" s="2">
        <v>45522</v>
      </c>
      <c r="C1187" t="str" cm="1">
        <f t="array" ref="C118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7">
        <f>YEAR(AllDataCorrected[[#This Row],[Date]])</f>
        <v>2024</v>
      </c>
      <c r="E1187" s="1">
        <v>0.41666666666666669</v>
      </c>
      <c r="F118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7" t="str">
        <f>_xlfn.XLOOKUP(AllDataCorrected[[#This Row],[Location Name]], Locations[Location Name],Locations[Group As])</f>
        <v>Site 1  :  Middle Street</v>
      </c>
      <c r="H1187" t="e" vm="1">
        <f>_xlfn.XLOOKUP(AllDataCorrected[[#This Row],[Site Name]],LocationsKey[Site Name],LocationsKey[District])</f>
        <v>#VALUE!</v>
      </c>
      <c r="I1187" t="e" vm="14">
        <f>_xlfn.XLOOKUP(AllDataCorrected[[#This Row],[Site Name]],LocationsKey[Site Name],LocationsKey[Town])</f>
        <v>#VALUE!</v>
      </c>
      <c r="J1187" t="str">
        <f>_xlfn.XLOOKUP(AllDataCorrected[[#This Row],[Site Name]],LocationsKey[Site Name], LocationsKey[Waterway])</f>
        <v>Fosseway Brook</v>
      </c>
      <c r="K1187" t="s">
        <v>678</v>
      </c>
      <c r="L1187">
        <f>_xlfn.XLOOKUP(AllDataCorrected[[#This Row],[Site Name]],Tables!$B$12:$B$100, Tables!C$12:C$100)</f>
        <v>52.090081855670022</v>
      </c>
      <c r="M1187">
        <f>_xlfn.XLOOKUP(AllDataCorrected[[#This Row],[Site Name]],Tables!$B$12:$B$100, Tables!D$12:D$100)</f>
        <v>-1.6925771134020597</v>
      </c>
      <c r="N1187" t="s">
        <v>68</v>
      </c>
      <c r="O1187">
        <v>655</v>
      </c>
      <c r="P1187">
        <v>19</v>
      </c>
      <c r="Q1187">
        <v>2</v>
      </c>
      <c r="R1187" t="str">
        <f>IF(AllDataCorrected[[#This Row],[Nitrate (PPM)]]&gt;2, "4. Very high (&gt;2ppm)", IF(AllDataCorrected[[#This Row],[Nitrate (PPM)]]&gt;1, "3. High (1-2ppm)", IF(AllDataCorrected[[#This Row],[Nitrate (PPM)]]&gt;0.5, "2. Some evidence (0.5-1ppm)", IF(AllDataCorrected[[#This Row],[Nitrate (PPM)]]&gt;=0, "1. No evidence (&lt;0.5ppm)"))))</f>
        <v>3. High (1-2ppm)</v>
      </c>
      <c r="S1187">
        <v>0.52</v>
      </c>
      <c r="T118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7">
        <v>0</v>
      </c>
      <c r="V1187" t="s">
        <v>1872</v>
      </c>
    </row>
    <row r="1188" spans="1:22" x14ac:dyDescent="0.35">
      <c r="A1188" t="s">
        <v>1873</v>
      </c>
      <c r="B1188" s="2">
        <v>45522</v>
      </c>
      <c r="C1188" t="str" cm="1">
        <f t="array" ref="C118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8">
        <f>YEAR(AllDataCorrected[[#This Row],[Date]])</f>
        <v>2024</v>
      </c>
      <c r="E1188" s="1">
        <v>0.43194444444444446</v>
      </c>
      <c r="F118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8" t="str">
        <f>_xlfn.XLOOKUP(AllDataCorrected[[#This Row],[Location Name]], Locations[Location Name],Locations[Group As])</f>
        <v>Stour Stretton-on-Fosse Village</v>
      </c>
      <c r="H1188" t="e" vm="1">
        <f>_xlfn.XLOOKUP(AllDataCorrected[[#This Row],[Site Name]],LocationsKey[Site Name],LocationsKey[District])</f>
        <v>#VALUE!</v>
      </c>
      <c r="I1188" t="e" vm="30">
        <f>_xlfn.XLOOKUP(AllDataCorrected[[#This Row],[Site Name]],LocationsKey[Site Name],LocationsKey[Town])</f>
        <v>#VALUE!</v>
      </c>
      <c r="J1188" t="str">
        <f>_xlfn.XLOOKUP(AllDataCorrected[[#This Row],[Site Name]],LocationsKey[Site Name], LocationsKey[Waterway])</f>
        <v>Stour</v>
      </c>
      <c r="K1188" t="s">
        <v>548</v>
      </c>
      <c r="L1188">
        <f>_xlfn.XLOOKUP(AllDataCorrected[[#This Row],[Site Name]],Tables!$B$12:$B$100, Tables!C$12:C$100)</f>
        <v>52.046517558823531</v>
      </c>
      <c r="M1188">
        <f>_xlfn.XLOOKUP(AllDataCorrected[[#This Row],[Site Name]],Tables!$B$12:$B$100, Tables!D$12:D$100)</f>
        <v>-1.6734143529411762</v>
      </c>
      <c r="N1188" t="s">
        <v>68</v>
      </c>
      <c r="O1188">
        <v>776</v>
      </c>
      <c r="P1188">
        <v>15.7</v>
      </c>
      <c r="Q1188">
        <v>0</v>
      </c>
      <c r="R1188"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188">
        <v>2.5</v>
      </c>
      <c r="T118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8">
        <v>0.15</v>
      </c>
      <c r="V1188" t="s">
        <v>1356</v>
      </c>
    </row>
    <row r="1189" spans="1:22" x14ac:dyDescent="0.35">
      <c r="A1189" t="s">
        <v>1874</v>
      </c>
      <c r="B1189" s="2">
        <v>45522</v>
      </c>
      <c r="C1189" t="str" cm="1">
        <f t="array" ref="C118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89">
        <f>YEAR(AllDataCorrected[[#This Row],[Date]])</f>
        <v>2024</v>
      </c>
      <c r="E1189" s="1">
        <v>0.4375</v>
      </c>
      <c r="F118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89" t="str">
        <f>_xlfn.XLOOKUP(AllDataCorrected[[#This Row],[Location Name]], Locations[Location Name],Locations[Group As])</f>
        <v>Site 3  :  Severn Trent Water processing plant outflow</v>
      </c>
      <c r="H1189" t="e" vm="1">
        <f>_xlfn.XLOOKUP(AllDataCorrected[[#This Row],[Site Name]],LocationsKey[Site Name],LocationsKey[District])</f>
        <v>#VALUE!</v>
      </c>
      <c r="I1189" t="e" vm="14">
        <f>_xlfn.XLOOKUP(AllDataCorrected[[#This Row],[Site Name]],LocationsKey[Site Name],LocationsKey[Town])</f>
        <v>#VALUE!</v>
      </c>
      <c r="J1189" t="str">
        <f>_xlfn.XLOOKUP(AllDataCorrected[[#This Row],[Site Name]],LocationsKey[Site Name], LocationsKey[Waterway])</f>
        <v>Fosseway Brook</v>
      </c>
      <c r="K1189" t="s">
        <v>1826</v>
      </c>
      <c r="L1189">
        <f>_xlfn.XLOOKUP(AllDataCorrected[[#This Row],[Site Name]],Tables!$B$12:$B$100, Tables!C$12:C$100)</f>
        <v>52.130499999999998</v>
      </c>
      <c r="M1189">
        <f>_xlfn.XLOOKUP(AllDataCorrected[[#This Row],[Site Name]],Tables!$B$12:$B$100, Tables!D$12:D$100)</f>
        <v>-2.0787</v>
      </c>
      <c r="N1189" t="s">
        <v>31</v>
      </c>
      <c r="O1189">
        <v>973</v>
      </c>
      <c r="P1189">
        <v>20</v>
      </c>
      <c r="Q1189">
        <v>20</v>
      </c>
      <c r="R118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89">
        <v>2.5</v>
      </c>
      <c r="T118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89">
        <v>0.25</v>
      </c>
      <c r="V1189" t="s">
        <v>1875</v>
      </c>
    </row>
    <row r="1190" spans="1:22" x14ac:dyDescent="0.35">
      <c r="A1190" t="s">
        <v>1876</v>
      </c>
      <c r="B1190" s="2">
        <v>45522</v>
      </c>
      <c r="C1190" t="str" cm="1">
        <f t="array" ref="C119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0">
        <f>YEAR(AllDataCorrected[[#This Row],[Date]])</f>
        <v>2024</v>
      </c>
      <c r="E1190" s="1">
        <v>0.45555555555555555</v>
      </c>
      <c r="F119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0" t="str">
        <f>_xlfn.XLOOKUP(AllDataCorrected[[#This Row],[Location Name]], Locations[Location Name],Locations[Group As])</f>
        <v>Stour Stretton-on-Fosse Sewage Works</v>
      </c>
      <c r="H1190" t="e" vm="1">
        <f>_xlfn.XLOOKUP(AllDataCorrected[[#This Row],[Site Name]],LocationsKey[Site Name],LocationsKey[District])</f>
        <v>#VALUE!</v>
      </c>
      <c r="I1190" t="e" vm="30">
        <f>_xlfn.XLOOKUP(AllDataCorrected[[#This Row],[Site Name]],LocationsKey[Site Name],LocationsKey[Town])</f>
        <v>#VALUE!</v>
      </c>
      <c r="J1190" t="str">
        <f>_xlfn.XLOOKUP(AllDataCorrected[[#This Row],[Site Name]],LocationsKey[Site Name], LocationsKey[Waterway])</f>
        <v>Stour</v>
      </c>
      <c r="K1190" t="s">
        <v>337</v>
      </c>
      <c r="L1190">
        <f>_xlfn.XLOOKUP(AllDataCorrected[[#This Row],[Site Name]],Tables!$B$12:$B$100, Tables!C$12:C$100)</f>
        <v>52.045653647058828</v>
      </c>
      <c r="M1190">
        <f>_xlfn.XLOOKUP(AllDataCorrected[[#This Row],[Site Name]],Tables!$B$12:$B$100, Tables!D$12:D$100)</f>
        <v>-1.6719221470588239</v>
      </c>
      <c r="N1190" t="s">
        <v>31</v>
      </c>
      <c r="O1190">
        <v>925</v>
      </c>
      <c r="P1190">
        <v>16.5</v>
      </c>
      <c r="Q1190">
        <v>3</v>
      </c>
      <c r="R1190"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0">
        <v>2.5</v>
      </c>
      <c r="T119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0">
        <v>0.2</v>
      </c>
      <c r="V1190" t="s">
        <v>1877</v>
      </c>
    </row>
    <row r="1191" spans="1:22" x14ac:dyDescent="0.35">
      <c r="A1191" t="s">
        <v>1879</v>
      </c>
      <c r="B1191" s="2">
        <v>45523</v>
      </c>
      <c r="C1191" t="str" cm="1">
        <f t="array" ref="C119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1">
        <f>YEAR(AllDataCorrected[[#This Row],[Date]])</f>
        <v>2024</v>
      </c>
      <c r="E1191" s="1">
        <v>0.33333333333333331</v>
      </c>
      <c r="F1191"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1" t="str">
        <f>_xlfn.XLOOKUP(AllDataCorrected[[#This Row],[Location Name]], Locations[Location Name],Locations[Group As])</f>
        <v>Carrant M5 Bridge</v>
      </c>
      <c r="H1191" t="e" vm="4">
        <f>_xlfn.XLOOKUP(AllDataCorrected[[#This Row],[Site Name]],LocationsKey[Site Name],LocationsKey[District])</f>
        <v>#VALUE!</v>
      </c>
      <c r="I1191" t="e" vm="4">
        <f>_xlfn.XLOOKUP(AllDataCorrected[[#This Row],[Site Name]],LocationsKey[Site Name],LocationsKey[Town])</f>
        <v>#VALUE!</v>
      </c>
      <c r="J1191" t="str">
        <f>_xlfn.XLOOKUP(AllDataCorrected[[#This Row],[Site Name]],LocationsKey[Site Name], LocationsKey[Waterway])</f>
        <v>Carrant</v>
      </c>
      <c r="K1191" t="s">
        <v>1066</v>
      </c>
      <c r="L1191">
        <f>_xlfn.XLOOKUP(AllDataCorrected[[#This Row],[Site Name]],Tables!$B$12:$B$100, Tables!C$12:C$100)</f>
        <v>52.012994652173923</v>
      </c>
      <c r="M1191">
        <f>_xlfn.XLOOKUP(AllDataCorrected[[#This Row],[Site Name]],Tables!$B$12:$B$100, Tables!D$12:D$100)</f>
        <v>-2.1224405652173912</v>
      </c>
      <c r="N1191" t="s">
        <v>25</v>
      </c>
      <c r="O1191">
        <v>807</v>
      </c>
      <c r="P1191">
        <v>17.399999999999999</v>
      </c>
      <c r="Q1191">
        <v>6</v>
      </c>
      <c r="R1191"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1">
        <v>1.48</v>
      </c>
      <c r="T119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1">
        <v>0</v>
      </c>
    </row>
    <row r="1192" spans="1:22" x14ac:dyDescent="0.35">
      <c r="A1192" t="s">
        <v>1569</v>
      </c>
      <c r="B1192" s="2">
        <v>45474</v>
      </c>
      <c r="C1192" t="str" cm="1">
        <f t="array" ref="C119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2">
        <f>YEAR(AllDataCorrected[[#This Row],[Date]])</f>
        <v>2024</v>
      </c>
      <c r="E1192" s="1">
        <v>0.35416666666666669</v>
      </c>
      <c r="F119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2" t="str">
        <f>_xlfn.XLOOKUP(AllDataCorrected[[#This Row],[Location Name]], Locations[Location Name],Locations[Group As])</f>
        <v>Chipping Campden Sewage Works</v>
      </c>
      <c r="H1192" t="e" vm="9">
        <f>_xlfn.XLOOKUP(AllDataCorrected[[#This Row],[Site Name]],LocationsKey[Site Name],LocationsKey[District])</f>
        <v>#VALUE!</v>
      </c>
      <c r="I1192" t="e" vm="10">
        <f>_xlfn.XLOOKUP(AllDataCorrected[[#This Row],[Site Name]],LocationsKey[Site Name],LocationsKey[Town])</f>
        <v>#VALUE!</v>
      </c>
      <c r="J1192" t="str">
        <f>_xlfn.XLOOKUP(AllDataCorrected[[#This Row],[Site Name]],LocationsKey[Site Name], LocationsKey[Waterway])</f>
        <v>Cam Brook</v>
      </c>
      <c r="K1192" t="s">
        <v>1570</v>
      </c>
      <c r="L1192">
        <f>_xlfn.XLOOKUP(AllDataCorrected[[#This Row],[Site Name]],Tables!$B$12:$B$100, Tables!C$12:C$100)</f>
        <v>52.052216999999999</v>
      </c>
      <c r="M1192">
        <f>_xlfn.XLOOKUP(AllDataCorrected[[#This Row],[Site Name]],Tables!$B$12:$B$100, Tables!D$12:D$100)</f>
        <v>-1.7616225000000001</v>
      </c>
      <c r="N1192" t="s">
        <v>31</v>
      </c>
      <c r="O1192">
        <v>690</v>
      </c>
      <c r="P1192">
        <v>15.3</v>
      </c>
      <c r="Q1192">
        <v>2</v>
      </c>
      <c r="R1192" t="str">
        <f>IF(AllDataCorrected[[#This Row],[Nitrate (PPM)]]&gt;2, "4. Very high (&gt;2ppm)", IF(AllDataCorrected[[#This Row],[Nitrate (PPM)]]&gt;1, "3. High (1-2ppm)", IF(AllDataCorrected[[#This Row],[Nitrate (PPM)]]&gt;0.5, "2. Some evidence (0.5-1ppm)", IF(AllDataCorrected[[#This Row],[Nitrate (PPM)]]&gt;=0, "1. No evidence (&lt;0.5ppm)"))))</f>
        <v>3. High (1-2ppm)</v>
      </c>
      <c r="S1192">
        <v>0.4</v>
      </c>
      <c r="T119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2">
        <v>0.13</v>
      </c>
      <c r="V1192" t="s">
        <v>1571</v>
      </c>
    </row>
    <row r="1193" spans="1:22" x14ac:dyDescent="0.35">
      <c r="A1193" t="s">
        <v>1619</v>
      </c>
      <c r="B1193" s="2">
        <v>45481</v>
      </c>
      <c r="C1193" t="str" cm="1">
        <f t="array" ref="C119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3">
        <f>YEAR(AllDataCorrected[[#This Row],[Date]])</f>
        <v>2024</v>
      </c>
      <c r="E1193" s="1">
        <v>0.5131944444444444</v>
      </c>
      <c r="F1193"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3" t="str">
        <f>_xlfn.XLOOKUP(AllDataCorrected[[#This Row],[Location Name]], Locations[Location Name],Locations[Group As])</f>
        <v>Chipping Campden Sewage Works</v>
      </c>
      <c r="H1193" t="e" vm="9">
        <f>_xlfn.XLOOKUP(AllDataCorrected[[#This Row],[Site Name]],LocationsKey[Site Name],LocationsKey[District])</f>
        <v>#VALUE!</v>
      </c>
      <c r="I1193" t="e" vm="10">
        <f>_xlfn.XLOOKUP(AllDataCorrected[[#This Row],[Site Name]],LocationsKey[Site Name],LocationsKey[Town])</f>
        <v>#VALUE!</v>
      </c>
      <c r="J1193" t="str">
        <f>_xlfn.XLOOKUP(AllDataCorrected[[#This Row],[Site Name]],LocationsKey[Site Name], LocationsKey[Waterway])</f>
        <v>Cam Brook</v>
      </c>
      <c r="K1193" t="s">
        <v>1570</v>
      </c>
      <c r="L1193">
        <f>_xlfn.XLOOKUP(AllDataCorrected[[#This Row],[Site Name]],Tables!$B$12:$B$100, Tables!C$12:C$100)</f>
        <v>52.052216999999999</v>
      </c>
      <c r="M1193">
        <f>_xlfn.XLOOKUP(AllDataCorrected[[#This Row],[Site Name]],Tables!$B$12:$B$100, Tables!D$12:D$100)</f>
        <v>-1.7616225000000001</v>
      </c>
      <c r="N1193" t="s">
        <v>31</v>
      </c>
      <c r="O1193">
        <v>643</v>
      </c>
      <c r="P1193">
        <v>15.6</v>
      </c>
      <c r="Q1193">
        <v>2</v>
      </c>
      <c r="R1193" t="str">
        <f>IF(AllDataCorrected[[#This Row],[Nitrate (PPM)]]&gt;2, "4. Very high (&gt;2ppm)", IF(AllDataCorrected[[#This Row],[Nitrate (PPM)]]&gt;1, "3. High (1-2ppm)", IF(AllDataCorrected[[#This Row],[Nitrate (PPM)]]&gt;0.5, "2. Some evidence (0.5-1ppm)", IF(AllDataCorrected[[#This Row],[Nitrate (PPM)]]&gt;=0, "1. No evidence (&lt;0.5ppm)"))))</f>
        <v>3. High (1-2ppm)</v>
      </c>
      <c r="S1193">
        <v>0.53</v>
      </c>
      <c r="T119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3">
        <v>0.14000000000000001</v>
      </c>
    </row>
    <row r="1194" spans="1:22" x14ac:dyDescent="0.35">
      <c r="A1194" t="s">
        <v>1653</v>
      </c>
      <c r="B1194" s="2">
        <v>45488</v>
      </c>
      <c r="C1194" t="str" cm="1">
        <f t="array" ref="C119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4">
        <f>YEAR(AllDataCorrected[[#This Row],[Date]])</f>
        <v>2024</v>
      </c>
      <c r="E1194" s="1">
        <v>0.54513888888888884</v>
      </c>
      <c r="F1194"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4" t="str">
        <f>_xlfn.XLOOKUP(AllDataCorrected[[#This Row],[Location Name]], Locations[Location Name],Locations[Group As])</f>
        <v>Chipping Campden Sewage Works</v>
      </c>
      <c r="H1194" t="e" vm="9">
        <f>_xlfn.XLOOKUP(AllDataCorrected[[#This Row],[Site Name]],LocationsKey[Site Name],LocationsKey[District])</f>
        <v>#VALUE!</v>
      </c>
      <c r="I1194" t="e" vm="10">
        <f>_xlfn.XLOOKUP(AllDataCorrected[[#This Row],[Site Name]],LocationsKey[Site Name],LocationsKey[Town])</f>
        <v>#VALUE!</v>
      </c>
      <c r="J1194" t="str">
        <f>_xlfn.XLOOKUP(AllDataCorrected[[#This Row],[Site Name]],LocationsKey[Site Name], LocationsKey[Waterway])</f>
        <v>Cam Brook</v>
      </c>
      <c r="K1194" t="s">
        <v>1570</v>
      </c>
      <c r="L1194">
        <f>_xlfn.XLOOKUP(AllDataCorrected[[#This Row],[Site Name]],Tables!$B$12:$B$100, Tables!C$12:C$100)</f>
        <v>52.052216999999999</v>
      </c>
      <c r="M1194">
        <f>_xlfn.XLOOKUP(AllDataCorrected[[#This Row],[Site Name]],Tables!$B$12:$B$100, Tables!D$12:D$100)</f>
        <v>-1.7616225000000001</v>
      </c>
      <c r="N1194" t="s">
        <v>31</v>
      </c>
      <c r="O1194">
        <v>689</v>
      </c>
      <c r="P1194">
        <v>15.7</v>
      </c>
      <c r="Q1194">
        <v>5</v>
      </c>
      <c r="R1194"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4">
        <v>0.33</v>
      </c>
      <c r="T1194"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4">
        <v>0.17</v>
      </c>
    </row>
    <row r="1195" spans="1:22" x14ac:dyDescent="0.35">
      <c r="A1195" t="s">
        <v>1883</v>
      </c>
      <c r="B1195" s="2">
        <v>45523</v>
      </c>
      <c r="C1195" t="str" cm="1">
        <f t="array" ref="C119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5">
        <f>YEAR(AllDataCorrected[[#This Row],[Date]])</f>
        <v>2024</v>
      </c>
      <c r="E1195" s="1">
        <v>0.75138888888888888</v>
      </c>
      <c r="F1195"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195" t="str">
        <f>_xlfn.XLOOKUP(AllDataCorrected[[#This Row],[Location Name]], Locations[Location Name],Locations[Group As])</f>
        <v>Carrant Back Lane Beckford</v>
      </c>
      <c r="H1195" t="e" vm="4">
        <f>_xlfn.XLOOKUP(AllDataCorrected[[#This Row],[Site Name]],LocationsKey[Site Name],LocationsKey[District])</f>
        <v>#VALUE!</v>
      </c>
      <c r="I1195" t="str">
        <f>_xlfn.XLOOKUP(AllDataCorrected[[#This Row],[Site Name]],LocationsKey[Site Name],LocationsKey[Town])</f>
        <v>Beckford</v>
      </c>
      <c r="J1195" t="str">
        <f>_xlfn.XLOOKUP(AllDataCorrected[[#This Row],[Site Name]],LocationsKey[Site Name], LocationsKey[Waterway])</f>
        <v>Carrant</v>
      </c>
      <c r="K1195" t="s">
        <v>1736</v>
      </c>
      <c r="L1195">
        <f>_xlfn.XLOOKUP(AllDataCorrected[[#This Row],[Site Name]],Tables!$B$12:$B$100, Tables!C$12:C$100)</f>
        <v>52.018128913043483</v>
      </c>
      <c r="M1195">
        <f>_xlfn.XLOOKUP(AllDataCorrected[[#This Row],[Site Name]],Tables!$B$12:$B$100, Tables!D$12:D$100)</f>
        <v>-2.0388751739130435</v>
      </c>
      <c r="N1195" t="s">
        <v>68</v>
      </c>
      <c r="O1195">
        <v>781</v>
      </c>
      <c r="P1195">
        <v>16.7</v>
      </c>
      <c r="Q1195">
        <v>15</v>
      </c>
      <c r="R1195"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5">
        <v>0.08</v>
      </c>
      <c r="T1195" t="str">
        <f>IF(AllDataCorrected[[#This Row],[Phosphate (PPM)]]&gt;0.5, "4. Very high (&gt;0.5ppm)", IF(AllDataCorrected[[#This Row],[Phosphate (PPM)]]&gt;0.1, "3. High (0.1-0.5ppm)", IF(AllDataCorrected[[#This Row],[Phosphate (PPM)]]&gt;0.05, "2. Some evidence (0.05-0.1ppm)", IF(AllDataCorrected[[#This Row],[Phosphate (PPM)]]&lt;=0.05, "1. No Evidence (&lt;0.05ppm)", ""))))</f>
        <v>2. Some evidence (0.05-0.1ppm)</v>
      </c>
      <c r="U1195">
        <v>0.2</v>
      </c>
      <c r="V1195" t="s">
        <v>1884</v>
      </c>
    </row>
    <row r="1196" spans="1:22" x14ac:dyDescent="0.35">
      <c r="A1196" t="s">
        <v>1885</v>
      </c>
      <c r="B1196" s="2">
        <v>45524</v>
      </c>
      <c r="C1196" t="str" cm="1">
        <f t="array" ref="C119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6">
        <f>YEAR(AllDataCorrected[[#This Row],[Date]])</f>
        <v>2024</v>
      </c>
      <c r="E1196" s="1">
        <v>0.6430555555555556</v>
      </c>
      <c r="F119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6" t="str">
        <f>_xlfn.XLOOKUP(AllDataCorrected[[#This Row],[Location Name]], Locations[Location Name],Locations[Group As])</f>
        <v>Abbey Mill</v>
      </c>
      <c r="H1196" t="e" vm="4">
        <f>_xlfn.XLOOKUP(AllDataCorrected[[#This Row],[Site Name]],LocationsKey[Site Name],LocationsKey[District])</f>
        <v>#VALUE!</v>
      </c>
      <c r="I1196" t="e" vm="4">
        <f>_xlfn.XLOOKUP(AllDataCorrected[[#This Row],[Site Name]],LocationsKey[Site Name],LocationsKey[Town])</f>
        <v>#VALUE!</v>
      </c>
      <c r="J1196" t="str">
        <f>_xlfn.XLOOKUP(AllDataCorrected[[#This Row],[Site Name]],LocationsKey[Site Name], LocationsKey[Waterway])</f>
        <v>Avon</v>
      </c>
      <c r="K1196" t="s">
        <v>24</v>
      </c>
      <c r="L1196">
        <f>_xlfn.XLOOKUP(AllDataCorrected[[#This Row],[Site Name]],Tables!$B$12:$B$100, Tables!C$12:C$100)</f>
        <v>51.991313075757589</v>
      </c>
      <c r="M1196">
        <f>_xlfn.XLOOKUP(AllDataCorrected[[#This Row],[Site Name]],Tables!$B$12:$B$100, Tables!D$12:D$100)</f>
        <v>-2.1621998181818181</v>
      </c>
      <c r="N1196" t="s">
        <v>25</v>
      </c>
      <c r="O1196">
        <v>106</v>
      </c>
      <c r="P1196">
        <v>18.3</v>
      </c>
      <c r="Q1196">
        <v>8</v>
      </c>
      <c r="R1196"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6">
        <v>1.06</v>
      </c>
      <c r="T119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6">
        <v>0</v>
      </c>
    </row>
    <row r="1197" spans="1:22" x14ac:dyDescent="0.35">
      <c r="A1197" t="s">
        <v>1887</v>
      </c>
      <c r="B1197" s="2">
        <v>45526</v>
      </c>
      <c r="C1197" t="str" cm="1">
        <f t="array" ref="C119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7">
        <f>YEAR(AllDataCorrected[[#This Row],[Date]])</f>
        <v>2024</v>
      </c>
      <c r="E1197" s="1">
        <v>0.41666666666666669</v>
      </c>
      <c r="F119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197" t="str">
        <f>_xlfn.XLOOKUP(AllDataCorrected[[#This Row],[Location Name]], Locations[Location Name],Locations[Group As])</f>
        <v>Swilgate</v>
      </c>
      <c r="H1197" t="e" vm="4">
        <f>_xlfn.XLOOKUP(AllDataCorrected[[#This Row],[Site Name]],LocationsKey[Site Name],LocationsKey[District])</f>
        <v>#VALUE!</v>
      </c>
      <c r="I1197" t="e" vm="4">
        <f>_xlfn.XLOOKUP(AllDataCorrected[[#This Row],[Site Name]],LocationsKey[Site Name],LocationsKey[Town])</f>
        <v>#VALUE!</v>
      </c>
      <c r="J1197" t="str">
        <f>_xlfn.XLOOKUP(AllDataCorrected[[#This Row],[Site Name]],LocationsKey[Site Name], LocationsKey[Waterway])</f>
        <v>Swilgate</v>
      </c>
      <c r="K1197" t="s">
        <v>85</v>
      </c>
      <c r="L1197">
        <f>_xlfn.XLOOKUP(AllDataCorrected[[#This Row],[Site Name]],Tables!$B$12:$B$100, Tables!C$12:C$100)</f>
        <v>51.988591500000005</v>
      </c>
      <c r="M1197">
        <f>_xlfn.XLOOKUP(AllDataCorrected[[#This Row],[Site Name]],Tables!$B$12:$B$100, Tables!D$12:D$100)</f>
        <v>-2.163898333333333</v>
      </c>
      <c r="N1197" t="s">
        <v>25</v>
      </c>
      <c r="O1197">
        <v>1090</v>
      </c>
      <c r="P1197">
        <v>16.7</v>
      </c>
      <c r="Q1197">
        <v>7</v>
      </c>
      <c r="R1197"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7">
        <v>1.08</v>
      </c>
      <c r="T119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7">
        <v>0</v>
      </c>
    </row>
    <row r="1198" spans="1:22" x14ac:dyDescent="0.35">
      <c r="A1198" t="s">
        <v>1888</v>
      </c>
      <c r="B1198" s="2">
        <v>45526</v>
      </c>
      <c r="C1198" t="str" cm="1">
        <f t="array" ref="C119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8">
        <f>YEAR(AllDataCorrected[[#This Row],[Date]])</f>
        <v>2024</v>
      </c>
      <c r="E1198" s="1">
        <v>0.52083333333333337</v>
      </c>
      <c r="F119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8" t="str">
        <f>_xlfn.XLOOKUP(AllDataCorrected[[#This Row],[Location Name]], Locations[Location Name],Locations[Group As])</f>
        <v>Stour Willington</v>
      </c>
      <c r="H1198" t="e" vm="1">
        <f>_xlfn.XLOOKUP(AllDataCorrected[[#This Row],[Site Name]],LocationsKey[Site Name],LocationsKey[District])</f>
        <v>#VALUE!</v>
      </c>
      <c r="I1198" t="str">
        <f>_xlfn.XLOOKUP(AllDataCorrected[[#This Row],[Site Name]],LocationsKey[Site Name],LocationsKey[Town])</f>
        <v>Willington</v>
      </c>
      <c r="J1198" t="str">
        <f>_xlfn.XLOOKUP(AllDataCorrected[[#This Row],[Site Name]],LocationsKey[Site Name], LocationsKey[Waterway])</f>
        <v>Stour</v>
      </c>
      <c r="K1198" t="s">
        <v>521</v>
      </c>
      <c r="L1198">
        <f>_xlfn.XLOOKUP(AllDataCorrected[[#This Row],[Site Name]],Tables!$B$12:$B$100, Tables!C$12:C$100)</f>
        <v>52.053227523809518</v>
      </c>
      <c r="M1198">
        <f>_xlfn.XLOOKUP(AllDataCorrected[[#This Row],[Site Name]],Tables!$B$12:$B$100, Tables!D$12:D$100)</f>
        <v>-1.6194739523809523</v>
      </c>
      <c r="N1198" t="s">
        <v>25</v>
      </c>
      <c r="O1198">
        <v>633</v>
      </c>
      <c r="P1198">
        <v>16.3</v>
      </c>
      <c r="Q1198">
        <v>2</v>
      </c>
      <c r="R1198" t="str">
        <f>IF(AllDataCorrected[[#This Row],[Nitrate (PPM)]]&gt;2, "4. Very high (&gt;2ppm)", IF(AllDataCorrected[[#This Row],[Nitrate (PPM)]]&gt;1, "3. High (1-2ppm)", IF(AllDataCorrected[[#This Row],[Nitrate (PPM)]]&gt;0.5, "2. Some evidence (0.5-1ppm)", IF(AllDataCorrected[[#This Row],[Nitrate (PPM)]]&gt;=0, "1. No evidence (&lt;0.5ppm)"))))</f>
        <v>3. High (1-2ppm)</v>
      </c>
      <c r="S1198">
        <v>0.37</v>
      </c>
      <c r="T119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198">
        <v>0.5</v>
      </c>
    </row>
    <row r="1199" spans="1:22" x14ac:dyDescent="0.35">
      <c r="A1199" t="s">
        <v>1889</v>
      </c>
      <c r="B1199" s="2">
        <v>45526</v>
      </c>
      <c r="C1199" t="str" cm="1">
        <f t="array" ref="C119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199">
        <f>YEAR(AllDataCorrected[[#This Row],[Date]])</f>
        <v>2024</v>
      </c>
      <c r="E1199" s="1">
        <v>0.6333333333333333</v>
      </c>
      <c r="F119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199" t="str">
        <f>_xlfn.XLOOKUP(AllDataCorrected[[#This Row],[Location Name]], Locations[Location Name],Locations[Group As])</f>
        <v>Carrant Mitton Bridge</v>
      </c>
      <c r="H1199" t="e" vm="4">
        <f>_xlfn.XLOOKUP(AllDataCorrected[[#This Row],[Site Name]],LocationsKey[Site Name],LocationsKey[District])</f>
        <v>#VALUE!</v>
      </c>
      <c r="I1199" t="e" vm="4">
        <f>_xlfn.XLOOKUP(AllDataCorrected[[#This Row],[Site Name]],LocationsKey[Site Name],LocationsKey[Town])</f>
        <v>#VALUE!</v>
      </c>
      <c r="J1199" t="str">
        <f>_xlfn.XLOOKUP(AllDataCorrected[[#This Row],[Site Name]],LocationsKey[Site Name], LocationsKey[Waterway])</f>
        <v>Carrant</v>
      </c>
      <c r="K1199" t="s">
        <v>1394</v>
      </c>
      <c r="L1199">
        <f>_xlfn.XLOOKUP(AllDataCorrected[[#This Row],[Site Name]],Tables!$B$12:$B$100, Tables!C$12:C$100)</f>
        <v>51.999974666666667</v>
      </c>
      <c r="M1199">
        <f>_xlfn.XLOOKUP(AllDataCorrected[[#This Row],[Site Name]],Tables!$B$12:$B$100, Tables!D$12:D$100)</f>
        <v>-2.141273</v>
      </c>
      <c r="N1199" t="s">
        <v>25</v>
      </c>
      <c r="O1199">
        <v>656</v>
      </c>
      <c r="P1199">
        <v>18</v>
      </c>
      <c r="Q1199">
        <v>5</v>
      </c>
      <c r="R1199" t="str">
        <f>IF(AllDataCorrected[[#This Row],[Nitrate (PPM)]]&gt;2, "4. Very high (&gt;2ppm)", IF(AllDataCorrected[[#This Row],[Nitrate (PPM)]]&gt;1, "3. High (1-2ppm)", IF(AllDataCorrected[[#This Row],[Nitrate (PPM)]]&gt;0.5, "2. Some evidence (0.5-1ppm)", IF(AllDataCorrected[[#This Row],[Nitrate (PPM)]]&gt;=0, "1. No evidence (&lt;0.5ppm)"))))</f>
        <v>4. Very high (&gt;2ppm)</v>
      </c>
      <c r="S1199">
        <v>0.56999999999999995</v>
      </c>
      <c r="T1199"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199">
        <v>0</v>
      </c>
    </row>
    <row r="1200" spans="1:22" x14ac:dyDescent="0.35">
      <c r="A1200" t="s">
        <v>1890</v>
      </c>
      <c r="B1200" s="2">
        <v>45526</v>
      </c>
      <c r="C1200" t="str" cm="1">
        <f t="array" ref="C120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0">
        <f>YEAR(AllDataCorrected[[#This Row],[Date]])</f>
        <v>2024</v>
      </c>
      <c r="E1200" s="1">
        <v>0.70833333333333337</v>
      </c>
      <c r="F120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0" t="str">
        <f>_xlfn.XLOOKUP(AllDataCorrected[[#This Row],[Location Name]], Locations[Location Name],Locations[Group As])</f>
        <v>Bredon Marina</v>
      </c>
      <c r="H1200" t="e" vm="4">
        <f>_xlfn.XLOOKUP(AllDataCorrected[[#This Row],[Site Name]],LocationsKey[Site Name],LocationsKey[District])</f>
        <v>#VALUE!</v>
      </c>
      <c r="I1200" t="e" vm="11">
        <f>_xlfn.XLOOKUP(AllDataCorrected[[#This Row],[Site Name]],LocationsKey[Site Name],LocationsKey[Town])</f>
        <v>#VALUE!</v>
      </c>
      <c r="J1200" t="str">
        <f>_xlfn.XLOOKUP(AllDataCorrected[[#This Row],[Site Name]],LocationsKey[Site Name], LocationsKey[Waterway])</f>
        <v>Avon</v>
      </c>
      <c r="K1200" t="s">
        <v>1849</v>
      </c>
      <c r="L1200">
        <f>_xlfn.XLOOKUP(AllDataCorrected[[#This Row],[Site Name]],Tables!$B$12:$B$100, Tables!C$12:C$100)</f>
        <v>52.033057272727277</v>
      </c>
      <c r="M1200">
        <f>_xlfn.XLOOKUP(AllDataCorrected[[#This Row],[Site Name]],Tables!$B$12:$B$100, Tables!D$12:D$100)</f>
        <v>-2.1161551818181823</v>
      </c>
      <c r="N1200" t="s">
        <v>31</v>
      </c>
      <c r="O1200">
        <v>9070</v>
      </c>
      <c r="P1200">
        <v>20.5</v>
      </c>
      <c r="Q1200">
        <v>10</v>
      </c>
      <c r="R120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0">
        <v>1.04</v>
      </c>
      <c r="T120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0">
        <v>0</v>
      </c>
    </row>
    <row r="1201" spans="1:22" x14ac:dyDescent="0.35">
      <c r="A1201" t="s">
        <v>1895</v>
      </c>
      <c r="B1201" s="2">
        <v>45527</v>
      </c>
      <c r="C1201" t="str" cm="1">
        <f t="array" ref="C120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1">
        <f>YEAR(AllDataCorrected[[#This Row],[Date]])</f>
        <v>2024</v>
      </c>
      <c r="E1201" s="1">
        <v>0.70138888888888884</v>
      </c>
      <c r="F120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1" t="str">
        <f>_xlfn.XLOOKUP(AllDataCorrected[[#This Row],[Location Name]], Locations[Location Name],Locations[Group As])</f>
        <v>Mill Bridge Peopleton</v>
      </c>
      <c r="H1201" t="e" vm="6">
        <f>_xlfn.XLOOKUP(AllDataCorrected[[#This Row],[Site Name]],LocationsKey[Site Name],LocationsKey[District])</f>
        <v>#VALUE!</v>
      </c>
      <c r="I1201" t="str">
        <f>_xlfn.XLOOKUP(AllDataCorrected[[#This Row],[Site Name]],LocationsKey[Site Name],LocationsKey[Town])</f>
        <v>Peopleton</v>
      </c>
      <c r="J1201" t="str">
        <f>_xlfn.XLOOKUP(AllDataCorrected[[#This Row],[Site Name]],LocationsKey[Site Name], LocationsKey[Waterway])</f>
        <v>Bow Brook</v>
      </c>
      <c r="K1201" t="s">
        <v>1015</v>
      </c>
      <c r="L1201">
        <f>_xlfn.XLOOKUP(AllDataCorrected[[#This Row],[Site Name]],Tables!$B$12:$B$100, Tables!C$12:C$100)</f>
        <v>52.151811999999993</v>
      </c>
      <c r="M1201">
        <f>_xlfn.XLOOKUP(AllDataCorrected[[#This Row],[Site Name]],Tables!$B$12:$B$100, Tables!D$12:D$100)</f>
        <v>-2.0958865161290317</v>
      </c>
      <c r="N1201" t="s">
        <v>31</v>
      </c>
      <c r="O1201">
        <v>1110</v>
      </c>
      <c r="P1201">
        <v>17.5</v>
      </c>
      <c r="Q1201">
        <v>5</v>
      </c>
      <c r="R120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1">
        <v>0.2</v>
      </c>
      <c r="T1201"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01">
        <v>0.2</v>
      </c>
      <c r="V1201" t="s">
        <v>1896</v>
      </c>
    </row>
    <row r="1202" spans="1:22" x14ac:dyDescent="0.35">
      <c r="A1202" t="s">
        <v>1897</v>
      </c>
      <c r="B1202" s="2">
        <v>45527</v>
      </c>
      <c r="C1202" t="str" cm="1">
        <f t="array" ref="C120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2">
        <f>YEAR(AllDataCorrected[[#This Row],[Date]])</f>
        <v>2024</v>
      </c>
      <c r="E1202" s="1">
        <v>0.73541666666666672</v>
      </c>
      <c r="F1202"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2" t="str">
        <f>_xlfn.XLOOKUP(AllDataCorrected[[#This Row],[Location Name]], Locations[Location Name],Locations[Group As])</f>
        <v>The Ford, Langley</v>
      </c>
      <c r="H1202" t="e" vm="1">
        <f>_xlfn.XLOOKUP(AllDataCorrected[[#This Row],[Site Name]],LocationsKey[Site Name],LocationsKey[District])</f>
        <v>#VALUE!</v>
      </c>
      <c r="I1202" t="str">
        <f>_xlfn.XLOOKUP(AllDataCorrected[[#This Row],[Site Name]],LocationsKey[Site Name],LocationsKey[Town])</f>
        <v>Langley</v>
      </c>
      <c r="J1202" t="str">
        <f>_xlfn.XLOOKUP(AllDataCorrected[[#This Row],[Site Name]],LocationsKey[Site Name], LocationsKey[Waterway])</f>
        <v>Langley Ford</v>
      </c>
      <c r="K1202" t="s">
        <v>561</v>
      </c>
      <c r="L1202">
        <f>_xlfn.XLOOKUP(AllDataCorrected[[#This Row],[Site Name]],Tables!$B$12:$B$100, Tables!C$12:C$100)</f>
        <v>52.262666528301864</v>
      </c>
      <c r="M1202">
        <f>_xlfn.XLOOKUP(AllDataCorrected[[#This Row],[Site Name]],Tables!$B$12:$B$100, Tables!D$12:D$100)</f>
        <v>-1.6545845283018858</v>
      </c>
      <c r="N1202" t="s">
        <v>31</v>
      </c>
      <c r="O1202">
        <v>860</v>
      </c>
      <c r="P1202">
        <v>16.2</v>
      </c>
      <c r="Q1202">
        <v>5</v>
      </c>
      <c r="R120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2">
        <v>0.8</v>
      </c>
      <c r="T120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2">
        <v>0.15</v>
      </c>
    </row>
    <row r="1203" spans="1:22" x14ac:dyDescent="0.35">
      <c r="A1203" t="s">
        <v>1899</v>
      </c>
      <c r="B1203" s="2">
        <v>45528</v>
      </c>
      <c r="C1203" t="str" cm="1">
        <f t="array" ref="C120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3">
        <f>YEAR(AllDataCorrected[[#This Row],[Date]])</f>
        <v>2024</v>
      </c>
      <c r="E1203" s="1">
        <v>0.39652777777777776</v>
      </c>
      <c r="F120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3" t="str">
        <f>_xlfn.XLOOKUP(AllDataCorrected[[#This Row],[Location Name]], Locations[Location Name],Locations[Group As])</f>
        <v>Avon Smiths Meadow Wyre Piddle</v>
      </c>
      <c r="H1203" t="e" vm="6">
        <f>_xlfn.XLOOKUP(AllDataCorrected[[#This Row],[Site Name]],LocationsKey[Site Name],LocationsKey[District])</f>
        <v>#VALUE!</v>
      </c>
      <c r="I1203" t="e" vm="13">
        <f>_xlfn.XLOOKUP(AllDataCorrected[[#This Row],[Site Name]],LocationsKey[Site Name],LocationsKey[Town])</f>
        <v>#VALUE!</v>
      </c>
      <c r="J1203" t="str">
        <f>_xlfn.XLOOKUP(AllDataCorrected[[#This Row],[Site Name]],LocationsKey[Site Name], LocationsKey[Waterway])</f>
        <v>Avon</v>
      </c>
      <c r="K1203" t="s">
        <v>784</v>
      </c>
      <c r="L1203">
        <f>_xlfn.XLOOKUP(AllDataCorrected[[#This Row],[Site Name]],Tables!$B$12:$B$100, Tables!C$12:C$100)</f>
        <v>52.123126101694929</v>
      </c>
      <c r="M1203">
        <f>_xlfn.XLOOKUP(AllDataCorrected[[#This Row],[Site Name]],Tables!$B$12:$B$100, Tables!D$12:D$100)</f>
        <v>-2.0572511355932215</v>
      </c>
      <c r="N1203" t="s">
        <v>25</v>
      </c>
      <c r="O1203">
        <v>1120</v>
      </c>
      <c r="P1203">
        <v>17.7</v>
      </c>
      <c r="Q1203">
        <v>10</v>
      </c>
      <c r="R120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3">
        <v>0.96</v>
      </c>
      <c r="T120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3">
        <v>0.5</v>
      </c>
      <c r="V1203" t="s">
        <v>1900</v>
      </c>
    </row>
    <row r="1204" spans="1:22" x14ac:dyDescent="0.35">
      <c r="A1204" t="s">
        <v>1901</v>
      </c>
      <c r="B1204" s="2">
        <v>45528</v>
      </c>
      <c r="C1204" t="str" cm="1">
        <f t="array" ref="C120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4">
        <f>YEAR(AllDataCorrected[[#This Row],[Date]])</f>
        <v>2024</v>
      </c>
      <c r="E1204" s="1">
        <v>0.46180555555555558</v>
      </c>
      <c r="F120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4" t="str">
        <f>_xlfn.XLOOKUP(AllDataCorrected[[#This Row],[Location Name]], Locations[Location Name],Locations[Group As])</f>
        <v>Piddle Brook Wyre Piddle Bridge</v>
      </c>
      <c r="H1204" t="e" vm="6">
        <f>_xlfn.XLOOKUP(AllDataCorrected[[#This Row],[Site Name]],LocationsKey[Site Name],LocationsKey[District])</f>
        <v>#VALUE!</v>
      </c>
      <c r="I1204" t="e" vm="13">
        <f>_xlfn.XLOOKUP(AllDataCorrected[[#This Row],[Site Name]],LocationsKey[Site Name],LocationsKey[Town])</f>
        <v>#VALUE!</v>
      </c>
      <c r="J1204" t="str">
        <f>_xlfn.XLOOKUP(AllDataCorrected[[#This Row],[Site Name]],LocationsKey[Site Name], LocationsKey[Waterway])</f>
        <v>Piddle Brook</v>
      </c>
      <c r="K1204" t="s">
        <v>787</v>
      </c>
      <c r="L1204">
        <f>_xlfn.XLOOKUP(AllDataCorrected[[#This Row],[Site Name]],Tables!$B$12:$B$100, Tables!C$12:C$100)</f>
        <v>52.126394500000039</v>
      </c>
      <c r="M1204">
        <f>_xlfn.XLOOKUP(AllDataCorrected[[#This Row],[Site Name]],Tables!$B$12:$B$100, Tables!D$12:D$100)</f>
        <v>-2.0564211206896545</v>
      </c>
      <c r="N1204" t="s">
        <v>25</v>
      </c>
      <c r="O1204">
        <v>1870</v>
      </c>
      <c r="P1204">
        <v>15.4</v>
      </c>
      <c r="Q1204">
        <v>7</v>
      </c>
      <c r="R120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4">
        <v>1.29</v>
      </c>
      <c r="T120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4">
        <v>0.13</v>
      </c>
      <c r="V1204" t="s">
        <v>1902</v>
      </c>
    </row>
    <row r="1205" spans="1:22" x14ac:dyDescent="0.35">
      <c r="A1205" t="s">
        <v>1903</v>
      </c>
      <c r="B1205" s="2">
        <v>45528</v>
      </c>
      <c r="C1205" t="str" cm="1">
        <f t="array" ref="C120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5">
        <f>YEAR(AllDataCorrected[[#This Row],[Date]])</f>
        <v>2024</v>
      </c>
      <c r="E1205" s="1">
        <v>0.49791666666666667</v>
      </c>
      <c r="F120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05" t="str">
        <f>_xlfn.XLOOKUP(AllDataCorrected[[#This Row],[Location Name]], Locations[Location Name],Locations[Group As])</f>
        <v>Whitsun Brook. Low road, Church Lench</v>
      </c>
      <c r="H1205" t="e" vm="6">
        <f>_xlfn.XLOOKUP(AllDataCorrected[[#This Row],[Site Name]],LocationsKey[Site Name],LocationsKey[District])</f>
        <v>#VALUE!</v>
      </c>
      <c r="I1205" t="e" vm="29">
        <f>_xlfn.XLOOKUP(AllDataCorrected[[#This Row],[Site Name]],LocationsKey[Site Name],LocationsKey[Town])</f>
        <v>#VALUE!</v>
      </c>
      <c r="J1205" t="str">
        <f>_xlfn.XLOOKUP(AllDataCorrected[[#This Row],[Site Name]],LocationsKey[Site Name], LocationsKey[Waterway])</f>
        <v>Whitsun Brook</v>
      </c>
      <c r="K1205" t="s">
        <v>1904</v>
      </c>
      <c r="L1205">
        <f>_xlfn.XLOOKUP(AllDataCorrected[[#This Row],[Site Name]],Tables!$B$12:$B$100, Tables!C$12:C$100)</f>
        <v>52.168410999999999</v>
      </c>
      <c r="M1205">
        <f>_xlfn.XLOOKUP(AllDataCorrected[[#This Row],[Site Name]],Tables!$B$12:$B$100, Tables!D$12:D$100)</f>
        <v>-1.9603710000000001</v>
      </c>
      <c r="N1205" t="s">
        <v>25</v>
      </c>
      <c r="O1205">
        <v>998</v>
      </c>
      <c r="P1205">
        <v>15.2</v>
      </c>
      <c r="Q1205">
        <v>5</v>
      </c>
      <c r="R120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5">
        <v>2.5</v>
      </c>
      <c r="T120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5">
        <v>0.13</v>
      </c>
      <c r="V1205" t="s">
        <v>1905</v>
      </c>
    </row>
    <row r="1206" spans="1:22" x14ac:dyDescent="0.35">
      <c r="A1206" t="s">
        <v>1906</v>
      </c>
      <c r="B1206" s="2">
        <v>45528</v>
      </c>
      <c r="C1206" t="str" cm="1">
        <f t="array" ref="C120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6">
        <f>YEAR(AllDataCorrected[[#This Row],[Date]])</f>
        <v>2024</v>
      </c>
      <c r="E1206" s="1">
        <v>0.50972222222222219</v>
      </c>
      <c r="F120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6" t="str">
        <f>_xlfn.XLOOKUP(AllDataCorrected[[#This Row],[Location Name]], Locations[Location Name],Locations[Group As])</f>
        <v>Whitsun Brook Atch Lench Road, Church Lench.</v>
      </c>
      <c r="H1206" t="e" vm="6">
        <f>_xlfn.XLOOKUP(AllDataCorrected[[#This Row],[Site Name]],LocationsKey[Site Name],LocationsKey[District])</f>
        <v>#VALUE!</v>
      </c>
      <c r="I1206" t="e" vm="29">
        <f>_xlfn.XLOOKUP(AllDataCorrected[[#This Row],[Site Name]],LocationsKey[Site Name],LocationsKey[Town])</f>
        <v>#VALUE!</v>
      </c>
      <c r="J1206" t="str">
        <f>_xlfn.XLOOKUP(AllDataCorrected[[#This Row],[Site Name]],LocationsKey[Site Name], LocationsKey[Waterway])</f>
        <v>Whitsun Brook</v>
      </c>
      <c r="K1206" t="s">
        <v>1907</v>
      </c>
      <c r="L1206">
        <f>_xlfn.XLOOKUP(AllDataCorrected[[#This Row],[Site Name]],Tables!$B$12:$B$100, Tables!C$12:C$100)</f>
        <v>52.158735499999999</v>
      </c>
      <c r="M1206">
        <f>_xlfn.XLOOKUP(AllDataCorrected[[#This Row],[Site Name]],Tables!$B$12:$B$100, Tables!D$12:D$100)</f>
        <v>-1.9573510000000001</v>
      </c>
      <c r="N1206" t="s">
        <v>25</v>
      </c>
      <c r="O1206">
        <v>879</v>
      </c>
      <c r="P1206">
        <v>16.8</v>
      </c>
      <c r="Q1206">
        <v>2</v>
      </c>
      <c r="R1206" t="str">
        <f>IF(AllDataCorrected[[#This Row],[Nitrate (PPM)]]&gt;2, "4. Very high (&gt;2ppm)", IF(AllDataCorrected[[#This Row],[Nitrate (PPM)]]&gt;1, "3. High (1-2ppm)", IF(AllDataCorrected[[#This Row],[Nitrate (PPM)]]&gt;0.5, "2. Some evidence (0.5-1ppm)", IF(AllDataCorrected[[#This Row],[Nitrate (PPM)]]&gt;=0, "1. No evidence (&lt;0.5ppm)"))))</f>
        <v>3. High (1-2ppm)</v>
      </c>
      <c r="S1206">
        <v>1.48</v>
      </c>
      <c r="T120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6">
        <v>0.13</v>
      </c>
      <c r="V1206" t="s">
        <v>1908</v>
      </c>
    </row>
    <row r="1207" spans="1:22" x14ac:dyDescent="0.35">
      <c r="A1207" t="s">
        <v>1909</v>
      </c>
      <c r="B1207" s="2">
        <v>45528</v>
      </c>
      <c r="C1207" t="str" cm="1">
        <f t="array" ref="C120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7">
        <f>YEAR(AllDataCorrected[[#This Row],[Date]])</f>
        <v>2024</v>
      </c>
      <c r="E1207" s="1">
        <v>0.64583333333333337</v>
      </c>
      <c r="F120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7" t="str">
        <f>_xlfn.XLOOKUP(AllDataCorrected[[#This Row],[Location Name]], Locations[Location Name],Locations[Group As])</f>
        <v>Carrant Bredon Rd</v>
      </c>
      <c r="H1207" t="e" vm="4">
        <f>_xlfn.XLOOKUP(AllDataCorrected[[#This Row],[Site Name]],LocationsKey[Site Name],LocationsKey[District])</f>
        <v>#VALUE!</v>
      </c>
      <c r="I1207" t="e" vm="4">
        <f>_xlfn.XLOOKUP(AllDataCorrected[[#This Row],[Site Name]],LocationsKey[Site Name],LocationsKey[Town])</f>
        <v>#VALUE!</v>
      </c>
      <c r="J1207" t="str">
        <f>_xlfn.XLOOKUP(AllDataCorrected[[#This Row],[Site Name]],LocationsKey[Site Name], LocationsKey[Waterway])</f>
        <v>Carrant</v>
      </c>
      <c r="K1207" t="s">
        <v>603</v>
      </c>
      <c r="L1207">
        <f>_xlfn.XLOOKUP(AllDataCorrected[[#This Row],[Site Name]],Tables!$B$12:$B$100, Tables!C$12:C$100)</f>
        <v>51.996322536231894</v>
      </c>
      <c r="M1207">
        <f>_xlfn.XLOOKUP(AllDataCorrected[[#This Row],[Site Name]],Tables!$B$12:$B$100, Tables!D$12:D$100)</f>
        <v>-2.1558410144927538</v>
      </c>
      <c r="N1207" t="s">
        <v>25</v>
      </c>
      <c r="O1207">
        <v>690</v>
      </c>
      <c r="P1207">
        <v>17.399999999999999</v>
      </c>
      <c r="Q1207">
        <v>6</v>
      </c>
      <c r="R120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7">
        <v>0.56000000000000005</v>
      </c>
      <c r="T1207"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7">
        <v>0</v>
      </c>
      <c r="V1207" t="s">
        <v>233</v>
      </c>
    </row>
    <row r="1208" spans="1:22" x14ac:dyDescent="0.35">
      <c r="A1208" t="s">
        <v>1910</v>
      </c>
      <c r="B1208" s="2">
        <v>45528</v>
      </c>
      <c r="C1208" t="str" cm="1">
        <f t="array" ref="C120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8">
        <f>YEAR(AllDataCorrected[[#This Row],[Date]])</f>
        <v>2024</v>
      </c>
      <c r="E1208" s="1">
        <v>0.66319444444444442</v>
      </c>
      <c r="F120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8" t="str">
        <f>_xlfn.XLOOKUP(AllDataCorrected[[#This Row],[Location Name]], Locations[Location Name],Locations[Group As])</f>
        <v>Preston-on-Stour River Bridge</v>
      </c>
      <c r="H1208" t="e" vm="1">
        <f>_xlfn.XLOOKUP(AllDataCorrected[[#This Row],[Site Name]],LocationsKey[Site Name],LocationsKey[District])</f>
        <v>#VALUE!</v>
      </c>
      <c r="I1208" t="e" vm="20">
        <f>_xlfn.XLOOKUP(AllDataCorrected[[#This Row],[Site Name]],LocationsKey[Site Name],LocationsKey[Town])</f>
        <v>#VALUE!</v>
      </c>
      <c r="J1208" t="str">
        <f>_xlfn.XLOOKUP(AllDataCorrected[[#This Row],[Site Name]],LocationsKey[Site Name], LocationsKey[Waterway])</f>
        <v>Stour</v>
      </c>
      <c r="K1208" t="s">
        <v>164</v>
      </c>
      <c r="L1208">
        <f>_xlfn.XLOOKUP(AllDataCorrected[[#This Row],[Site Name]],Tables!$B$12:$B$100, Tables!C$12:C$100)</f>
        <v>52.146672352941174</v>
      </c>
      <c r="M1208">
        <f>_xlfn.XLOOKUP(AllDataCorrected[[#This Row],[Site Name]],Tables!$B$12:$B$100, Tables!D$12:D$100)</f>
        <v>-1.6984533333333334</v>
      </c>
      <c r="N1208" t="s">
        <v>31</v>
      </c>
      <c r="O1208">
        <v>711</v>
      </c>
      <c r="P1208">
        <v>17.3</v>
      </c>
      <c r="Q1208">
        <v>4</v>
      </c>
      <c r="R120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08">
        <v>0.79</v>
      </c>
      <c r="T120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08">
        <v>1</v>
      </c>
      <c r="V1208" t="s">
        <v>1911</v>
      </c>
    </row>
    <row r="1209" spans="1:22" x14ac:dyDescent="0.35">
      <c r="A1209" t="s">
        <v>1912</v>
      </c>
      <c r="B1209" s="2">
        <v>45528</v>
      </c>
      <c r="C1209" t="str" cm="1">
        <f t="array" ref="C120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09">
        <f>YEAR(AllDataCorrected[[#This Row],[Date]])</f>
        <v>2024</v>
      </c>
      <c r="E1209" s="1">
        <v>0.6743055555555556</v>
      </c>
      <c r="F120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09" t="str">
        <f>_xlfn.XLOOKUP(AllDataCorrected[[#This Row],[Location Name]], Locations[Location Name],Locations[Group As])</f>
        <v>Site 1  :  Middle Street</v>
      </c>
      <c r="H1209" t="e" vm="1">
        <f>_xlfn.XLOOKUP(AllDataCorrected[[#This Row],[Site Name]],LocationsKey[Site Name],LocationsKey[District])</f>
        <v>#VALUE!</v>
      </c>
      <c r="I1209" t="e" vm="14">
        <f>_xlfn.XLOOKUP(AllDataCorrected[[#This Row],[Site Name]],LocationsKey[Site Name],LocationsKey[Town])</f>
        <v>#VALUE!</v>
      </c>
      <c r="J1209" t="str">
        <f>_xlfn.XLOOKUP(AllDataCorrected[[#This Row],[Site Name]],LocationsKey[Site Name], LocationsKey[Waterway])</f>
        <v>Fosseway Brook</v>
      </c>
      <c r="K1209" t="s">
        <v>670</v>
      </c>
      <c r="L1209">
        <f>_xlfn.XLOOKUP(AllDataCorrected[[#This Row],[Site Name]],Tables!$B$12:$B$100, Tables!C$12:C$100)</f>
        <v>52.090081855670022</v>
      </c>
      <c r="M1209">
        <f>_xlfn.XLOOKUP(AllDataCorrected[[#This Row],[Site Name]],Tables!$B$12:$B$100, Tables!D$12:D$100)</f>
        <v>-1.6925771134020597</v>
      </c>
      <c r="N1209" t="s">
        <v>68</v>
      </c>
      <c r="O1209">
        <v>679</v>
      </c>
      <c r="P1209">
        <v>18.8</v>
      </c>
      <c r="Q1209">
        <v>0</v>
      </c>
      <c r="R1209"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09">
        <v>0.33</v>
      </c>
      <c r="T120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09">
        <v>0.04</v>
      </c>
      <c r="V1209" t="s">
        <v>1913</v>
      </c>
    </row>
    <row r="1210" spans="1:22" x14ac:dyDescent="0.35">
      <c r="A1210" t="s">
        <v>1914</v>
      </c>
      <c r="B1210" s="2">
        <v>45528</v>
      </c>
      <c r="C1210" t="str" cm="1">
        <f t="array" ref="C121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0">
        <f>YEAR(AllDataCorrected[[#This Row],[Date]])</f>
        <v>2024</v>
      </c>
      <c r="E1210" s="1">
        <v>0.68541666666666667</v>
      </c>
      <c r="F1210"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0" t="str">
        <f>_xlfn.XLOOKUP(AllDataCorrected[[#This Row],[Location Name]], Locations[Location Name],Locations[Group As])</f>
        <v>Site 2  :  Cross Leys culvert</v>
      </c>
      <c r="H1210" t="e" vm="1">
        <f>_xlfn.XLOOKUP(AllDataCorrected[[#This Row],[Site Name]],LocationsKey[Site Name],LocationsKey[District])</f>
        <v>#VALUE!</v>
      </c>
      <c r="I1210" t="e" vm="14">
        <f>_xlfn.XLOOKUP(AllDataCorrected[[#This Row],[Site Name]],LocationsKey[Site Name],LocationsKey[Town])</f>
        <v>#VALUE!</v>
      </c>
      <c r="J1210" t="str">
        <f>_xlfn.XLOOKUP(AllDataCorrected[[#This Row],[Site Name]],LocationsKey[Site Name], LocationsKey[Waterway])</f>
        <v>Fosseway Brook</v>
      </c>
      <c r="K1210" t="s">
        <v>1915</v>
      </c>
      <c r="L1210">
        <f>_xlfn.XLOOKUP(AllDataCorrected[[#This Row],[Site Name]],Tables!$B$12:$B$100, Tables!C$12:C$100)</f>
        <v>52.092997354838673</v>
      </c>
      <c r="M1210">
        <f>_xlfn.XLOOKUP(AllDataCorrected[[#This Row],[Site Name]],Tables!$B$12:$B$100, Tables!D$12:D$100)</f>
        <v>-1.6862254516129045</v>
      </c>
      <c r="N1210" t="s">
        <v>68</v>
      </c>
      <c r="O1210">
        <v>572</v>
      </c>
      <c r="P1210">
        <v>17.100000000000001</v>
      </c>
      <c r="Q1210">
        <v>2</v>
      </c>
      <c r="R1210" t="str">
        <f>IF(AllDataCorrected[[#This Row],[Nitrate (PPM)]]&gt;2, "4. Very high (&gt;2ppm)", IF(AllDataCorrected[[#This Row],[Nitrate (PPM)]]&gt;1, "3. High (1-2ppm)", IF(AllDataCorrected[[#This Row],[Nitrate (PPM)]]&gt;0.5, "2. Some evidence (0.5-1ppm)", IF(AllDataCorrected[[#This Row],[Nitrate (PPM)]]&gt;=0, "1. No evidence (&lt;0.5ppm)"))))</f>
        <v>3. High (1-2ppm)</v>
      </c>
      <c r="S1210">
        <v>0.83</v>
      </c>
      <c r="T121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0">
        <v>0.1</v>
      </c>
    </row>
    <row r="1211" spans="1:22" x14ac:dyDescent="0.35">
      <c r="A1211" t="s">
        <v>1916</v>
      </c>
      <c r="B1211" s="2">
        <v>45528</v>
      </c>
      <c r="C1211" t="str" cm="1">
        <f t="array" ref="C121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1">
        <f>YEAR(AllDataCorrected[[#This Row],[Date]])</f>
        <v>2024</v>
      </c>
      <c r="E1211" s="1">
        <v>0.69374999999999998</v>
      </c>
      <c r="F121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1" t="str">
        <f>_xlfn.XLOOKUP(AllDataCorrected[[#This Row],[Location Name]], Locations[Location Name],Locations[Group As])</f>
        <v>Site 3  :  Severn Trent Water processing plant outflow</v>
      </c>
      <c r="H1211" t="e" vm="1">
        <f>_xlfn.XLOOKUP(AllDataCorrected[[#This Row],[Site Name]],LocationsKey[Site Name],LocationsKey[District])</f>
        <v>#VALUE!</v>
      </c>
      <c r="I1211" t="e" vm="14">
        <f>_xlfn.XLOOKUP(AllDataCorrected[[#This Row],[Site Name]],LocationsKey[Site Name],LocationsKey[Town])</f>
        <v>#VALUE!</v>
      </c>
      <c r="J1211" t="str">
        <f>_xlfn.XLOOKUP(AllDataCorrected[[#This Row],[Site Name]],LocationsKey[Site Name], LocationsKey[Waterway])</f>
        <v>Fosseway Brook</v>
      </c>
      <c r="K1211" t="s">
        <v>1917</v>
      </c>
      <c r="L1211">
        <f>_xlfn.XLOOKUP(AllDataCorrected[[#This Row],[Site Name]],Tables!$B$12:$B$100, Tables!C$12:C$100)</f>
        <v>52.130499999999998</v>
      </c>
      <c r="M1211">
        <f>_xlfn.XLOOKUP(AllDataCorrected[[#This Row],[Site Name]],Tables!$B$12:$B$100, Tables!D$12:D$100)</f>
        <v>-2.0787</v>
      </c>
      <c r="N1211" t="s">
        <v>31</v>
      </c>
      <c r="O1211">
        <v>921</v>
      </c>
      <c r="P1211">
        <v>17.8</v>
      </c>
      <c r="Q1211">
        <v>10</v>
      </c>
      <c r="R121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1">
        <v>2.5</v>
      </c>
      <c r="T121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1">
        <v>0.15</v>
      </c>
    </row>
    <row r="1212" spans="1:22" x14ac:dyDescent="0.35">
      <c r="A1212" t="s">
        <v>1918</v>
      </c>
      <c r="B1212" s="2">
        <v>45529</v>
      </c>
      <c r="C1212" t="str" cm="1">
        <f t="array" ref="C121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2">
        <f>YEAR(AllDataCorrected[[#This Row],[Date]])</f>
        <v>2024</v>
      </c>
      <c r="E1212" s="1">
        <v>0.38541666666666669</v>
      </c>
      <c r="F121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2" t="str">
        <f>_xlfn.XLOOKUP(AllDataCorrected[[#This Row],[Location Name]], Locations[Location Name],Locations[Group As])</f>
        <v>Sherbourne Brook 1</v>
      </c>
      <c r="H1212" t="e" vm="1">
        <f>_xlfn.XLOOKUP(AllDataCorrected[[#This Row],[Site Name]],LocationsKey[Site Name],LocationsKey[District])</f>
        <v>#VALUE!</v>
      </c>
      <c r="I1212" t="e" vm="23">
        <f>_xlfn.XLOOKUP(AllDataCorrected[[#This Row],[Site Name]],LocationsKey[Site Name],LocationsKey[Town])</f>
        <v>#VALUE!</v>
      </c>
      <c r="J1212" t="str">
        <f>_xlfn.XLOOKUP(AllDataCorrected[[#This Row],[Site Name]],LocationsKey[Site Name], LocationsKey[Waterway])</f>
        <v>Sherbourne Brook</v>
      </c>
      <c r="K1212" t="s">
        <v>541</v>
      </c>
      <c r="L1212">
        <f>_xlfn.XLOOKUP(AllDataCorrected[[#This Row],[Site Name]],Tables!$B$12:$B$100, Tables!C$12:C$100)</f>
        <v>52.252500000000033</v>
      </c>
      <c r="M1212">
        <f>_xlfn.XLOOKUP(AllDataCorrected[[#This Row],[Site Name]],Tables!$B$12:$B$100, Tables!D$12:D$100)</f>
        <v>-1.6685000000000012</v>
      </c>
      <c r="N1212" t="s">
        <v>25</v>
      </c>
      <c r="O1212">
        <v>1110</v>
      </c>
      <c r="P1212">
        <v>14</v>
      </c>
      <c r="Q1212">
        <v>10</v>
      </c>
      <c r="R121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2">
        <v>0.26</v>
      </c>
      <c r="T121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2">
        <v>0.15</v>
      </c>
    </row>
    <row r="1213" spans="1:22" x14ac:dyDescent="0.35">
      <c r="A1213" t="s">
        <v>1919</v>
      </c>
      <c r="B1213" s="2">
        <v>45529</v>
      </c>
      <c r="C1213" t="str" cm="1">
        <f t="array" ref="C121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3">
        <f>YEAR(AllDataCorrected[[#This Row],[Date]])</f>
        <v>2024</v>
      </c>
      <c r="E1213" s="1">
        <v>0.39583333333333331</v>
      </c>
      <c r="F121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3" t="str">
        <f>_xlfn.XLOOKUP(AllDataCorrected[[#This Row],[Location Name]], Locations[Location Name],Locations[Group As])</f>
        <v>Bell Brook 1</v>
      </c>
      <c r="H1213" t="e" vm="1">
        <f>_xlfn.XLOOKUP(AllDataCorrected[[#This Row],[Site Name]],LocationsKey[Site Name],LocationsKey[District])</f>
        <v>#VALUE!</v>
      </c>
      <c r="I1213" t="e" vm="19">
        <f>_xlfn.XLOOKUP(AllDataCorrected[[#This Row],[Site Name]],LocationsKey[Site Name],LocationsKey[Town])</f>
        <v>#VALUE!</v>
      </c>
      <c r="J1213" t="str">
        <f>_xlfn.XLOOKUP(AllDataCorrected[[#This Row],[Site Name]],LocationsKey[Site Name], LocationsKey[Waterway])</f>
        <v>Bell Brook</v>
      </c>
      <c r="K1213" t="s">
        <v>538</v>
      </c>
      <c r="L1213">
        <f>_xlfn.XLOOKUP(AllDataCorrected[[#This Row],[Site Name]],Tables!$B$12:$B$100, Tables!C$12:C$100)</f>
        <v>52.24489999999998</v>
      </c>
      <c r="M1213">
        <f>_xlfn.XLOOKUP(AllDataCorrected[[#This Row],[Site Name]],Tables!$B$12:$B$100, Tables!D$12:D$100)</f>
        <v>-1.6617000000000013</v>
      </c>
      <c r="N1213" t="s">
        <v>25</v>
      </c>
      <c r="O1213">
        <v>887</v>
      </c>
      <c r="P1213">
        <v>14.1</v>
      </c>
      <c r="Q1213">
        <v>20</v>
      </c>
      <c r="R121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3">
        <v>0.73</v>
      </c>
      <c r="T121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3">
        <v>0.15</v>
      </c>
    </row>
    <row r="1214" spans="1:22" x14ac:dyDescent="0.35">
      <c r="A1214" t="s">
        <v>1920</v>
      </c>
      <c r="B1214" s="2">
        <v>45529</v>
      </c>
      <c r="C1214" t="str" cm="1">
        <f t="array" ref="C121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4">
        <f>YEAR(AllDataCorrected[[#This Row],[Date]])</f>
        <v>2024</v>
      </c>
      <c r="E1214" s="1">
        <v>0.41875000000000001</v>
      </c>
      <c r="F121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4" t="str">
        <f>_xlfn.XLOOKUP(AllDataCorrected[[#This Row],[Location Name]], Locations[Location Name],Locations[Group As])</f>
        <v>Pitch 16</v>
      </c>
      <c r="H1214" t="e" vm="1">
        <f>_xlfn.XLOOKUP(AllDataCorrected[[#This Row],[Site Name]],LocationsKey[Site Name],LocationsKey[District])</f>
        <v>#VALUE!</v>
      </c>
      <c r="I1214" t="e" vm="12">
        <f>_xlfn.XLOOKUP(AllDataCorrected[[#This Row],[Site Name]],LocationsKey[Site Name],LocationsKey[Town])</f>
        <v>#VALUE!</v>
      </c>
      <c r="J1214" t="str">
        <f>_xlfn.XLOOKUP(AllDataCorrected[[#This Row],[Site Name]],LocationsKey[Site Name], LocationsKey[Waterway])</f>
        <v>Avon</v>
      </c>
      <c r="K1214" t="s">
        <v>71</v>
      </c>
      <c r="L1214">
        <f>_xlfn.XLOOKUP(AllDataCorrected[[#This Row],[Site Name]],Tables!$B$12:$B$100, Tables!C$12:C$100)</f>
        <v>51.289310076923087</v>
      </c>
      <c r="M1214">
        <f>_xlfn.XLOOKUP(AllDataCorrected[[#This Row],[Site Name]],Tables!$B$12:$B$100, Tables!D$12:D$100)</f>
        <v>-0.10399761538461544</v>
      </c>
      <c r="N1214" t="s">
        <v>31</v>
      </c>
      <c r="O1214">
        <v>875</v>
      </c>
      <c r="P1214">
        <v>22.2</v>
      </c>
      <c r="Q1214">
        <v>5</v>
      </c>
      <c r="R121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4">
        <v>0.61</v>
      </c>
      <c r="T121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4">
        <v>1</v>
      </c>
    </row>
    <row r="1215" spans="1:22" x14ac:dyDescent="0.35">
      <c r="A1215" t="s">
        <v>1722</v>
      </c>
      <c r="B1215" s="2">
        <v>45495</v>
      </c>
      <c r="C1215" t="str" cm="1">
        <f t="array" ref="C121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5">
        <f>YEAR(AllDataCorrected[[#This Row],[Date]])</f>
        <v>2024</v>
      </c>
      <c r="E1215" s="1">
        <v>0.36458333333333331</v>
      </c>
      <c r="F121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5" t="str">
        <f>_xlfn.XLOOKUP(AllDataCorrected[[#This Row],[Location Name]], Locations[Location Name],Locations[Group As])</f>
        <v>Chipping Campden Sewage Works</v>
      </c>
      <c r="H1215" t="e" vm="9">
        <f>_xlfn.XLOOKUP(AllDataCorrected[[#This Row],[Site Name]],LocationsKey[Site Name],LocationsKey[District])</f>
        <v>#VALUE!</v>
      </c>
      <c r="I1215" t="e" vm="10">
        <f>_xlfn.XLOOKUP(AllDataCorrected[[#This Row],[Site Name]],LocationsKey[Site Name],LocationsKey[Town])</f>
        <v>#VALUE!</v>
      </c>
      <c r="J1215" t="str">
        <f>_xlfn.XLOOKUP(AllDataCorrected[[#This Row],[Site Name]],LocationsKey[Site Name], LocationsKey[Waterway])</f>
        <v>Cam Brook</v>
      </c>
      <c r="K1215" t="s">
        <v>1570</v>
      </c>
      <c r="L1215">
        <f>_xlfn.XLOOKUP(AllDataCorrected[[#This Row],[Site Name]],Tables!$B$12:$B$100, Tables!C$12:C$100)</f>
        <v>52.052216999999999</v>
      </c>
      <c r="M1215">
        <f>_xlfn.XLOOKUP(AllDataCorrected[[#This Row],[Site Name]],Tables!$B$12:$B$100, Tables!D$12:D$100)</f>
        <v>-1.7616225000000001</v>
      </c>
      <c r="N1215" t="s">
        <v>31</v>
      </c>
      <c r="O1215">
        <v>730</v>
      </c>
      <c r="P1215">
        <v>16.5</v>
      </c>
      <c r="Q1215">
        <v>2</v>
      </c>
      <c r="R1215" t="str">
        <f>IF(AllDataCorrected[[#This Row],[Nitrate (PPM)]]&gt;2, "4. Very high (&gt;2ppm)", IF(AllDataCorrected[[#This Row],[Nitrate (PPM)]]&gt;1, "3. High (1-2ppm)", IF(AllDataCorrected[[#This Row],[Nitrate (PPM)]]&gt;0.5, "2. Some evidence (0.5-1ppm)", IF(AllDataCorrected[[#This Row],[Nitrate (PPM)]]&gt;=0, "1. No evidence (&lt;0.5ppm)"))))</f>
        <v>3. High (1-2ppm)</v>
      </c>
      <c r="S1215">
        <v>0.71</v>
      </c>
      <c r="T1215"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5">
        <v>0.18</v>
      </c>
    </row>
    <row r="1216" spans="1:22" x14ac:dyDescent="0.35">
      <c r="A1216" t="s">
        <v>1922</v>
      </c>
      <c r="B1216" s="2">
        <v>45529</v>
      </c>
      <c r="C1216" t="str" cm="1">
        <f t="array" ref="C121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6">
        <f>YEAR(AllDataCorrected[[#This Row],[Date]])</f>
        <v>2024</v>
      </c>
      <c r="E1216" s="1">
        <v>0.62638888888888888</v>
      </c>
      <c r="F121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16" t="str">
        <f>_xlfn.XLOOKUP(AllDataCorrected[[#This Row],[Location Name]], Locations[Location Name],Locations[Group As])</f>
        <v>Black Bear</v>
      </c>
      <c r="H1216" t="e" vm="4">
        <f>_xlfn.XLOOKUP(AllDataCorrected[[#This Row],[Site Name]],LocationsKey[Site Name],LocationsKey[District])</f>
        <v>#VALUE!</v>
      </c>
      <c r="I1216" t="e" vm="4">
        <f>_xlfn.XLOOKUP(AllDataCorrected[[#This Row],[Site Name]],LocationsKey[Site Name],LocationsKey[Town])</f>
        <v>#VALUE!</v>
      </c>
      <c r="J1216" t="str">
        <f>_xlfn.XLOOKUP(AllDataCorrected[[#This Row],[Site Name]],LocationsKey[Site Name], LocationsKey[Waterway])</f>
        <v>Avon</v>
      </c>
      <c r="K1216" t="s">
        <v>572</v>
      </c>
      <c r="L1216">
        <f>_xlfn.XLOOKUP(AllDataCorrected[[#This Row],[Site Name]],Tables!$B$12:$B$100, Tables!C$12:C$100)</f>
        <v>51.997466254237274</v>
      </c>
      <c r="M1216">
        <f>_xlfn.XLOOKUP(AllDataCorrected[[#This Row],[Site Name]],Tables!$B$12:$B$100, Tables!D$12:D$100)</f>
        <v>-2.1561788644067801</v>
      </c>
      <c r="N1216" t="s">
        <v>25</v>
      </c>
      <c r="O1216">
        <v>106</v>
      </c>
      <c r="P1216">
        <v>18.399999999999999</v>
      </c>
      <c r="Q1216">
        <v>10</v>
      </c>
      <c r="R121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6">
        <v>0.9</v>
      </c>
      <c r="T1216"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6">
        <v>0</v>
      </c>
    </row>
    <row r="1217" spans="1:22" x14ac:dyDescent="0.35">
      <c r="A1217" t="s">
        <v>1923</v>
      </c>
      <c r="B1217" s="2">
        <v>45530</v>
      </c>
      <c r="C1217" t="str" cm="1">
        <f t="array" ref="C121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7">
        <f>YEAR(AllDataCorrected[[#This Row],[Date]])</f>
        <v>2024</v>
      </c>
      <c r="E1217" s="1">
        <v>0.33333333333333331</v>
      </c>
      <c r="F121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7" t="str">
        <f>_xlfn.XLOOKUP(AllDataCorrected[[#This Row],[Location Name]], Locations[Location Name],Locations[Group As])</f>
        <v>Carrant M5 Bridge</v>
      </c>
      <c r="H1217" t="e" vm="4">
        <f>_xlfn.XLOOKUP(AllDataCorrected[[#This Row],[Site Name]],LocationsKey[Site Name],LocationsKey[District])</f>
        <v>#VALUE!</v>
      </c>
      <c r="I1217" t="e" vm="4">
        <f>_xlfn.XLOOKUP(AllDataCorrected[[#This Row],[Site Name]],LocationsKey[Site Name],LocationsKey[Town])</f>
        <v>#VALUE!</v>
      </c>
      <c r="J1217" t="str">
        <f>_xlfn.XLOOKUP(AllDataCorrected[[#This Row],[Site Name]],LocationsKey[Site Name], LocationsKey[Waterway])</f>
        <v>Carrant</v>
      </c>
      <c r="K1217" t="s">
        <v>1144</v>
      </c>
      <c r="L1217">
        <f>_xlfn.XLOOKUP(AllDataCorrected[[#This Row],[Site Name]],Tables!$B$12:$B$100, Tables!C$12:C$100)</f>
        <v>52.012994652173923</v>
      </c>
      <c r="M1217">
        <f>_xlfn.XLOOKUP(AllDataCorrected[[#This Row],[Site Name]],Tables!$B$12:$B$100, Tables!D$12:D$100)</f>
        <v>-2.1224405652173912</v>
      </c>
      <c r="N1217" t="s">
        <v>25</v>
      </c>
      <c r="O1217">
        <v>518</v>
      </c>
      <c r="P1217">
        <v>17.899999999999999</v>
      </c>
      <c r="Q1217">
        <v>6</v>
      </c>
      <c r="R121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7">
        <v>0.4</v>
      </c>
      <c r="T121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7">
        <v>0</v>
      </c>
    </row>
    <row r="1218" spans="1:22" x14ac:dyDescent="0.35">
      <c r="A1218" t="s">
        <v>1924</v>
      </c>
      <c r="B1218" s="2">
        <v>45530</v>
      </c>
      <c r="C1218" t="str" cm="1">
        <f t="array" ref="C121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8">
        <f>YEAR(AllDataCorrected[[#This Row],[Date]])</f>
        <v>2024</v>
      </c>
      <c r="E1218" s="1">
        <v>0.33819444444444446</v>
      </c>
      <c r="F121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8" t="str">
        <f>_xlfn.XLOOKUP(AllDataCorrected[[#This Row],[Location Name]], Locations[Location Name],Locations[Group As])</f>
        <v>Lower Lode</v>
      </c>
      <c r="H1218" t="e" vm="4">
        <f>_xlfn.XLOOKUP(AllDataCorrected[[#This Row],[Site Name]],LocationsKey[Site Name],LocationsKey[District])</f>
        <v>#VALUE!</v>
      </c>
      <c r="I1218" t="e" vm="4">
        <f>_xlfn.XLOOKUP(AllDataCorrected[[#This Row],[Site Name]],LocationsKey[Site Name],LocationsKey[Town])</f>
        <v>#VALUE!</v>
      </c>
      <c r="J1218" t="str">
        <f>_xlfn.XLOOKUP(AllDataCorrected[[#This Row],[Site Name]],LocationsKey[Site Name], LocationsKey[Waterway])</f>
        <v>Avon</v>
      </c>
      <c r="K1218" t="s">
        <v>595</v>
      </c>
      <c r="L1218">
        <f>_xlfn.XLOOKUP(AllDataCorrected[[#This Row],[Site Name]],Tables!$B$12:$B$100, Tables!C$12:C$100)</f>
        <v>51.984916745098026</v>
      </c>
      <c r="M1218">
        <f>_xlfn.XLOOKUP(AllDataCorrected[[#This Row],[Site Name]],Tables!$B$12:$B$100, Tables!D$12:D$100)</f>
        <v>-2.1745787647058821</v>
      </c>
      <c r="N1218" t="s">
        <v>31</v>
      </c>
      <c r="O1218">
        <v>1030</v>
      </c>
      <c r="P1218">
        <v>17.8</v>
      </c>
      <c r="Q1218">
        <v>10</v>
      </c>
      <c r="R121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8">
        <v>0.82</v>
      </c>
      <c r="T121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18">
        <v>0</v>
      </c>
    </row>
    <row r="1219" spans="1:22" x14ac:dyDescent="0.35">
      <c r="A1219" t="s">
        <v>1754</v>
      </c>
      <c r="B1219" s="2">
        <v>45502</v>
      </c>
      <c r="C1219" t="str" cm="1">
        <f t="array" ref="C121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19">
        <f>YEAR(AllDataCorrected[[#This Row],[Date]])</f>
        <v>2024</v>
      </c>
      <c r="E1219" s="1">
        <v>0.3611111111111111</v>
      </c>
      <c r="F1219"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19" t="str">
        <f>_xlfn.XLOOKUP(AllDataCorrected[[#This Row],[Location Name]], Locations[Location Name],Locations[Group As])</f>
        <v>Chipping Campden Sewage Works</v>
      </c>
      <c r="H1219" t="e" vm="9">
        <f>_xlfn.XLOOKUP(AllDataCorrected[[#This Row],[Site Name]],LocationsKey[Site Name],LocationsKey[District])</f>
        <v>#VALUE!</v>
      </c>
      <c r="I1219" t="e" vm="10">
        <f>_xlfn.XLOOKUP(AllDataCorrected[[#This Row],[Site Name]],LocationsKey[Site Name],LocationsKey[Town])</f>
        <v>#VALUE!</v>
      </c>
      <c r="J1219" t="str">
        <f>_xlfn.XLOOKUP(AllDataCorrected[[#This Row],[Site Name]],LocationsKey[Site Name], LocationsKey[Waterway])</f>
        <v>Cam Brook</v>
      </c>
      <c r="K1219" t="s">
        <v>1570</v>
      </c>
      <c r="L1219">
        <f>_xlfn.XLOOKUP(AllDataCorrected[[#This Row],[Site Name]],Tables!$B$12:$B$100, Tables!C$12:C$100)</f>
        <v>52.052216999999999</v>
      </c>
      <c r="M1219">
        <f>_xlfn.XLOOKUP(AllDataCorrected[[#This Row],[Site Name]],Tables!$B$12:$B$100, Tables!D$12:D$100)</f>
        <v>-1.7616225000000001</v>
      </c>
      <c r="N1219" t="s">
        <v>31</v>
      </c>
      <c r="O1219">
        <v>765</v>
      </c>
      <c r="P1219">
        <v>15.6</v>
      </c>
      <c r="Q1219">
        <v>5</v>
      </c>
      <c r="R121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19">
        <v>0.25</v>
      </c>
      <c r="T121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19">
        <v>0.15</v>
      </c>
    </row>
    <row r="1220" spans="1:22" x14ac:dyDescent="0.35">
      <c r="A1220" t="s">
        <v>1795</v>
      </c>
      <c r="B1220" s="2">
        <v>45509</v>
      </c>
      <c r="C1220" t="str" cm="1">
        <f t="array" ref="C122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0">
        <f>YEAR(AllDataCorrected[[#This Row],[Date]])</f>
        <v>2024</v>
      </c>
      <c r="E1220" s="1">
        <v>0.40625</v>
      </c>
      <c r="F1220"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0" t="str">
        <f>_xlfn.XLOOKUP(AllDataCorrected[[#This Row],[Location Name]], Locations[Location Name],Locations[Group As])</f>
        <v>Chipping Campden Sewage Works</v>
      </c>
      <c r="H1220" t="e" vm="9">
        <f>_xlfn.XLOOKUP(AllDataCorrected[[#This Row],[Site Name]],LocationsKey[Site Name],LocationsKey[District])</f>
        <v>#VALUE!</v>
      </c>
      <c r="I1220" t="e" vm="10">
        <f>_xlfn.XLOOKUP(AllDataCorrected[[#This Row],[Site Name]],LocationsKey[Site Name],LocationsKey[Town])</f>
        <v>#VALUE!</v>
      </c>
      <c r="J1220" t="str">
        <f>_xlfn.XLOOKUP(AllDataCorrected[[#This Row],[Site Name]],LocationsKey[Site Name], LocationsKey[Waterway])</f>
        <v>Cam Brook</v>
      </c>
      <c r="K1220" t="s">
        <v>1570</v>
      </c>
      <c r="L1220">
        <f>_xlfn.XLOOKUP(AllDataCorrected[[#This Row],[Site Name]],Tables!$B$12:$B$100, Tables!C$12:C$100)</f>
        <v>52.052216999999999</v>
      </c>
      <c r="M1220">
        <f>_xlfn.XLOOKUP(AllDataCorrected[[#This Row],[Site Name]],Tables!$B$12:$B$100, Tables!D$12:D$100)</f>
        <v>-1.7616225000000001</v>
      </c>
      <c r="N1220" t="s">
        <v>31</v>
      </c>
      <c r="O1220">
        <v>759</v>
      </c>
      <c r="P1220">
        <v>17</v>
      </c>
      <c r="Q1220">
        <v>5</v>
      </c>
      <c r="R1220"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0">
        <v>0.37</v>
      </c>
      <c r="T1220"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0">
        <v>0.23</v>
      </c>
    </row>
    <row r="1221" spans="1:22" x14ac:dyDescent="0.35">
      <c r="A1221" t="s">
        <v>1927</v>
      </c>
      <c r="B1221" s="2">
        <v>45530</v>
      </c>
      <c r="C1221" t="str" cm="1">
        <f t="array" ref="C122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1">
        <f>YEAR(AllDataCorrected[[#This Row],[Date]])</f>
        <v>2024</v>
      </c>
      <c r="E1221" s="1">
        <v>0.50069444444444444</v>
      </c>
      <c r="F1221"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1" t="str">
        <f>_xlfn.XLOOKUP(AllDataCorrected[[#This Row],[Location Name]], Locations[Location Name],Locations[Group As])</f>
        <v>Fell Mill Footbridge</v>
      </c>
      <c r="H1221" t="e" vm="1">
        <f>_xlfn.XLOOKUP(AllDataCorrected[[#This Row],[Site Name]],LocationsKey[Site Name],LocationsKey[District])</f>
        <v>#VALUE!</v>
      </c>
      <c r="I1221" t="e" vm="15">
        <f>_xlfn.XLOOKUP(AllDataCorrected[[#This Row],[Site Name]],LocationsKey[Site Name],LocationsKey[Town])</f>
        <v>#VALUE!</v>
      </c>
      <c r="J1221" t="str">
        <f>_xlfn.XLOOKUP(AllDataCorrected[[#This Row],[Site Name]],LocationsKey[Site Name], LocationsKey[Waterway])</f>
        <v>Stour</v>
      </c>
      <c r="K1221" t="s">
        <v>1928</v>
      </c>
      <c r="L1221">
        <f>_xlfn.XLOOKUP(AllDataCorrected[[#This Row],[Site Name]],Tables!$B$12:$B$100, Tables!C$12:C$100)</f>
        <v>52.069044372881365</v>
      </c>
      <c r="M1221">
        <f>_xlfn.XLOOKUP(AllDataCorrected[[#This Row],[Site Name]],Tables!$B$12:$B$100, Tables!D$12:D$100)</f>
        <v>-1.6116270169491524</v>
      </c>
      <c r="N1221" t="s">
        <v>31</v>
      </c>
      <c r="O1221">
        <v>675</v>
      </c>
      <c r="P1221">
        <v>15.8</v>
      </c>
      <c r="Q1221">
        <v>5</v>
      </c>
      <c r="R1221"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1">
        <v>0.52</v>
      </c>
      <c r="T122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1">
        <v>1.2</v>
      </c>
      <c r="V1221" t="s">
        <v>1929</v>
      </c>
    </row>
    <row r="1222" spans="1:22" x14ac:dyDescent="0.35">
      <c r="A1222" t="s">
        <v>1930</v>
      </c>
      <c r="B1222" s="2">
        <v>45531</v>
      </c>
      <c r="C1222" t="str" cm="1">
        <f t="array" ref="C122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2">
        <f>YEAR(AllDataCorrected[[#This Row],[Date]])</f>
        <v>2024</v>
      </c>
      <c r="E1222" s="1">
        <v>0.43958333333333333</v>
      </c>
      <c r="F1222"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2" t="str">
        <f>_xlfn.XLOOKUP(AllDataCorrected[[#This Row],[Location Name]], Locations[Location Name],Locations[Group As])</f>
        <v>Carrant Back Lane Beckford</v>
      </c>
      <c r="H1222" t="e" vm="4">
        <f>_xlfn.XLOOKUP(AllDataCorrected[[#This Row],[Site Name]],LocationsKey[Site Name],LocationsKey[District])</f>
        <v>#VALUE!</v>
      </c>
      <c r="I1222" t="str">
        <f>_xlfn.XLOOKUP(AllDataCorrected[[#This Row],[Site Name]],LocationsKey[Site Name],LocationsKey[Town])</f>
        <v>Beckford</v>
      </c>
      <c r="J1222" t="str">
        <f>_xlfn.XLOOKUP(AllDataCorrected[[#This Row],[Site Name]],LocationsKey[Site Name], LocationsKey[Waterway])</f>
        <v>Carrant</v>
      </c>
      <c r="K1222" t="s">
        <v>1736</v>
      </c>
      <c r="L1222">
        <f>_xlfn.XLOOKUP(AllDataCorrected[[#This Row],[Site Name]],Tables!$B$12:$B$100, Tables!C$12:C$100)</f>
        <v>52.018128913043483</v>
      </c>
      <c r="M1222">
        <f>_xlfn.XLOOKUP(AllDataCorrected[[#This Row],[Site Name]],Tables!$B$12:$B$100, Tables!D$12:D$100)</f>
        <v>-2.0388751739130435</v>
      </c>
      <c r="N1222" t="s">
        <v>68</v>
      </c>
      <c r="O1222">
        <v>785</v>
      </c>
      <c r="P1222">
        <v>16.8</v>
      </c>
      <c r="Q1222">
        <v>7</v>
      </c>
      <c r="R122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2">
        <v>0.22</v>
      </c>
      <c r="T1222"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2">
        <v>0.2</v>
      </c>
      <c r="V1222" t="s">
        <v>1931</v>
      </c>
    </row>
    <row r="1223" spans="1:22" x14ac:dyDescent="0.35">
      <c r="A1223" t="s">
        <v>1841</v>
      </c>
      <c r="B1223" s="2">
        <v>45516</v>
      </c>
      <c r="C1223" t="str" cm="1">
        <f t="array" ref="C122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3">
        <f>YEAR(AllDataCorrected[[#This Row],[Date]])</f>
        <v>2024</v>
      </c>
      <c r="E1223" s="1">
        <v>0.3576388888888889</v>
      </c>
      <c r="F1223"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3" t="str">
        <f>_xlfn.XLOOKUP(AllDataCorrected[[#This Row],[Location Name]], Locations[Location Name],Locations[Group As])</f>
        <v>Chipping Campden Sewage Works</v>
      </c>
      <c r="H1223" t="e" vm="9">
        <f>_xlfn.XLOOKUP(AllDataCorrected[[#This Row],[Site Name]],LocationsKey[Site Name],LocationsKey[District])</f>
        <v>#VALUE!</v>
      </c>
      <c r="I1223" t="e" vm="10">
        <f>_xlfn.XLOOKUP(AllDataCorrected[[#This Row],[Site Name]],LocationsKey[Site Name],LocationsKey[Town])</f>
        <v>#VALUE!</v>
      </c>
      <c r="J1223" t="str">
        <f>_xlfn.XLOOKUP(AllDataCorrected[[#This Row],[Site Name]],LocationsKey[Site Name], LocationsKey[Waterway])</f>
        <v>Cam Brook</v>
      </c>
      <c r="K1223" t="s">
        <v>1570</v>
      </c>
      <c r="L1223">
        <f>_xlfn.XLOOKUP(AllDataCorrected[[#This Row],[Site Name]],Tables!$B$12:$B$100, Tables!C$12:C$100)</f>
        <v>52.052216999999999</v>
      </c>
      <c r="M1223">
        <f>_xlfn.XLOOKUP(AllDataCorrected[[#This Row],[Site Name]],Tables!$B$12:$B$100, Tables!D$12:D$100)</f>
        <v>-1.7616225000000001</v>
      </c>
      <c r="N1223" t="s">
        <v>31</v>
      </c>
      <c r="O1223">
        <v>757</v>
      </c>
      <c r="P1223">
        <v>18.600000000000001</v>
      </c>
      <c r="Q1223">
        <v>5</v>
      </c>
      <c r="R122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3">
        <v>0.32</v>
      </c>
      <c r="T1223"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3">
        <v>0.23</v>
      </c>
    </row>
    <row r="1224" spans="1:22" x14ac:dyDescent="0.35">
      <c r="A1224" t="s">
        <v>1937</v>
      </c>
      <c r="B1224" s="2">
        <v>45532</v>
      </c>
      <c r="C1224" t="str" cm="1">
        <f t="array" ref="C122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4">
        <f>YEAR(AllDataCorrected[[#This Row],[Date]])</f>
        <v>2024</v>
      </c>
      <c r="E1224" s="1">
        <v>0.42777777777777776</v>
      </c>
      <c r="F122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4" t="str">
        <f>_xlfn.XLOOKUP(AllDataCorrected[[#This Row],[Location Name]], Locations[Location Name],Locations[Group As])</f>
        <v>Bredon Marina</v>
      </c>
      <c r="H1224" t="e" vm="4">
        <f>_xlfn.XLOOKUP(AllDataCorrected[[#This Row],[Site Name]],LocationsKey[Site Name],LocationsKey[District])</f>
        <v>#VALUE!</v>
      </c>
      <c r="I1224" t="e" vm="11">
        <f>_xlfn.XLOOKUP(AllDataCorrected[[#This Row],[Site Name]],LocationsKey[Site Name],LocationsKey[Town])</f>
        <v>#VALUE!</v>
      </c>
      <c r="J1224" t="str">
        <f>_xlfn.XLOOKUP(AllDataCorrected[[#This Row],[Site Name]],LocationsKey[Site Name], LocationsKey[Waterway])</f>
        <v>Avon</v>
      </c>
      <c r="K1224" t="s">
        <v>1849</v>
      </c>
      <c r="L1224">
        <f>_xlfn.XLOOKUP(AllDataCorrected[[#This Row],[Site Name]],Tables!$B$12:$B$100, Tables!C$12:C$100)</f>
        <v>52.033057272727277</v>
      </c>
      <c r="M1224">
        <f>_xlfn.XLOOKUP(AllDataCorrected[[#This Row],[Site Name]],Tables!$B$12:$B$100, Tables!D$12:D$100)</f>
        <v>-2.1161551818181823</v>
      </c>
      <c r="N1224" t="s">
        <v>31</v>
      </c>
      <c r="O1224">
        <v>1020</v>
      </c>
      <c r="P1224">
        <v>19.100000000000001</v>
      </c>
      <c r="Q1224">
        <v>5</v>
      </c>
      <c r="R122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4">
        <v>1.05</v>
      </c>
      <c r="T122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4">
        <v>0</v>
      </c>
    </row>
    <row r="1225" spans="1:22" x14ac:dyDescent="0.35">
      <c r="A1225" t="s">
        <v>1938</v>
      </c>
      <c r="B1225" s="2">
        <v>45533</v>
      </c>
      <c r="C1225" t="str" cm="1">
        <f t="array" ref="C122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5">
        <f>YEAR(AllDataCorrected[[#This Row],[Date]])</f>
        <v>2024</v>
      </c>
      <c r="E1225" s="1">
        <v>0.46875</v>
      </c>
      <c r="F122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5" t="str">
        <f>_xlfn.XLOOKUP(AllDataCorrected[[#This Row],[Location Name]], Locations[Location Name],Locations[Group As])</f>
        <v>Stour Willington</v>
      </c>
      <c r="H1225" t="e" vm="1">
        <f>_xlfn.XLOOKUP(AllDataCorrected[[#This Row],[Site Name]],LocationsKey[Site Name],LocationsKey[District])</f>
        <v>#VALUE!</v>
      </c>
      <c r="I1225" t="str">
        <f>_xlfn.XLOOKUP(AllDataCorrected[[#This Row],[Site Name]],LocationsKey[Site Name],LocationsKey[Town])</f>
        <v>Willington</v>
      </c>
      <c r="J1225" t="str">
        <f>_xlfn.XLOOKUP(AllDataCorrected[[#This Row],[Site Name]],LocationsKey[Site Name], LocationsKey[Waterway])</f>
        <v>Stour</v>
      </c>
      <c r="K1225" t="s">
        <v>521</v>
      </c>
      <c r="L1225">
        <f>_xlfn.XLOOKUP(AllDataCorrected[[#This Row],[Site Name]],Tables!$B$12:$B$100, Tables!C$12:C$100)</f>
        <v>52.053227523809518</v>
      </c>
      <c r="M1225">
        <f>_xlfn.XLOOKUP(AllDataCorrected[[#This Row],[Site Name]],Tables!$B$12:$B$100, Tables!D$12:D$100)</f>
        <v>-1.6194739523809523</v>
      </c>
      <c r="N1225" t="s">
        <v>25</v>
      </c>
      <c r="O1225">
        <v>645</v>
      </c>
      <c r="P1225">
        <v>16.399999999999999</v>
      </c>
      <c r="Q1225">
        <v>2</v>
      </c>
      <c r="R1225" t="str">
        <f>IF(AllDataCorrected[[#This Row],[Nitrate (PPM)]]&gt;2, "4. Very high (&gt;2ppm)", IF(AllDataCorrected[[#This Row],[Nitrate (PPM)]]&gt;1, "3. High (1-2ppm)", IF(AllDataCorrected[[#This Row],[Nitrate (PPM)]]&gt;0.5, "2. Some evidence (0.5-1ppm)", IF(AllDataCorrected[[#This Row],[Nitrate (PPM)]]&gt;=0, "1. No evidence (&lt;0.5ppm)"))))</f>
        <v>3. High (1-2ppm)</v>
      </c>
      <c r="S1225">
        <v>0.41</v>
      </c>
      <c r="T122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5">
        <v>0.5</v>
      </c>
    </row>
    <row r="1226" spans="1:22" x14ac:dyDescent="0.35">
      <c r="A1226" t="s">
        <v>1939</v>
      </c>
      <c r="B1226" s="2">
        <v>45533</v>
      </c>
      <c r="C1226" t="str" cm="1">
        <f t="array" ref="C122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6">
        <f>YEAR(AllDataCorrected[[#This Row],[Date]])</f>
        <v>2024</v>
      </c>
      <c r="E1226" s="1">
        <v>0.6166666666666667</v>
      </c>
      <c r="F1226"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6" t="str">
        <f>_xlfn.XLOOKUP(AllDataCorrected[[#This Row],[Location Name]], Locations[Location Name],Locations[Group As])</f>
        <v>Alveston Weir</v>
      </c>
      <c r="H1226" t="e" vm="1">
        <f>_xlfn.XLOOKUP(AllDataCorrected[[#This Row],[Site Name]],LocationsKey[Site Name],LocationsKey[District])</f>
        <v>#VALUE!</v>
      </c>
      <c r="I1226" t="e" vm="2">
        <f>_xlfn.XLOOKUP(AllDataCorrected[[#This Row],[Site Name]],LocationsKey[Site Name],LocationsKey[Town])</f>
        <v>#VALUE!</v>
      </c>
      <c r="J1226" t="str">
        <f>_xlfn.XLOOKUP(AllDataCorrected[[#This Row],[Site Name]],LocationsKey[Site Name], LocationsKey[Waterway])</f>
        <v>Avon</v>
      </c>
      <c r="K1226" t="s">
        <v>288</v>
      </c>
      <c r="L1226">
        <f>_xlfn.XLOOKUP(AllDataCorrected[[#This Row],[Site Name]],Tables!$B$12:$B$100, Tables!C$12:C$100)</f>
        <v>52.21226301333337</v>
      </c>
      <c r="M1226">
        <f>_xlfn.XLOOKUP(AllDataCorrected[[#This Row],[Site Name]],Tables!$B$12:$B$100, Tables!D$12:D$100)</f>
        <v>-1.6595226800000011</v>
      </c>
      <c r="N1226" t="s">
        <v>31</v>
      </c>
      <c r="O1226">
        <v>713</v>
      </c>
      <c r="P1226">
        <v>19.3</v>
      </c>
      <c r="Q1226">
        <v>10</v>
      </c>
      <c r="R122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6">
        <v>0.34</v>
      </c>
      <c r="T122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6">
        <v>-0.8</v>
      </c>
      <c r="V1226" t="s">
        <v>1940</v>
      </c>
    </row>
    <row r="1227" spans="1:22" x14ac:dyDescent="0.35">
      <c r="A1227" t="s">
        <v>1941</v>
      </c>
      <c r="B1227" s="2">
        <v>45533</v>
      </c>
      <c r="C1227" t="str" cm="1">
        <f t="array" ref="C122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7">
        <f>YEAR(AllDataCorrected[[#This Row],[Date]])</f>
        <v>2024</v>
      </c>
      <c r="E1227" s="1">
        <v>0.66666666666666663</v>
      </c>
      <c r="F1227"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7" t="str">
        <f>_xlfn.XLOOKUP(AllDataCorrected[[#This Row],[Location Name]], Locations[Location Name],Locations[Group As])</f>
        <v>Swiffen Bank</v>
      </c>
      <c r="H1227" t="e" vm="1">
        <f>_xlfn.XLOOKUP(AllDataCorrected[[#This Row],[Site Name]],LocationsKey[Site Name],LocationsKey[District])</f>
        <v>#VALUE!</v>
      </c>
      <c r="I1227" t="e" vm="2">
        <f>_xlfn.XLOOKUP(AllDataCorrected[[#This Row],[Site Name]],LocationsKey[Site Name],LocationsKey[Town])</f>
        <v>#VALUE!</v>
      </c>
      <c r="J1227" t="str">
        <f>_xlfn.XLOOKUP(AllDataCorrected[[#This Row],[Site Name]],LocationsKey[Site Name], LocationsKey[Waterway])</f>
        <v>Avon</v>
      </c>
      <c r="K1227" t="s">
        <v>1448</v>
      </c>
      <c r="L1227">
        <f>_xlfn.XLOOKUP(AllDataCorrected[[#This Row],[Site Name]],Tables!$B$12:$B$100, Tables!C$12:C$100)</f>
        <v>52.206649805555557</v>
      </c>
      <c r="M1227">
        <f>_xlfn.XLOOKUP(AllDataCorrected[[#This Row],[Site Name]],Tables!$B$12:$B$100, Tables!D$12:D$100)</f>
        <v>-1.6541018611111094</v>
      </c>
      <c r="N1227" t="s">
        <v>31</v>
      </c>
      <c r="O1227">
        <v>698</v>
      </c>
      <c r="P1227">
        <v>19.600000000000001</v>
      </c>
      <c r="Q1227">
        <v>10</v>
      </c>
      <c r="R1227"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7">
        <v>0.39</v>
      </c>
      <c r="T122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7">
        <v>-1</v>
      </c>
      <c r="V1227" t="s">
        <v>1942</v>
      </c>
    </row>
    <row r="1228" spans="1:22" x14ac:dyDescent="0.35">
      <c r="A1228" t="s">
        <v>1944</v>
      </c>
      <c r="B1228" s="2">
        <v>45534</v>
      </c>
      <c r="C1228" t="str" cm="1">
        <f t="array" ref="C122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8">
        <f>YEAR(AllDataCorrected[[#This Row],[Date]])</f>
        <v>2024</v>
      </c>
      <c r="E1228" s="1">
        <v>0.41111111111111109</v>
      </c>
      <c r="F1228"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28" t="str">
        <f>_xlfn.XLOOKUP(AllDataCorrected[[#This Row],[Location Name]], Locations[Location Name],Locations[Group As])</f>
        <v>Carrant M5 Bridge</v>
      </c>
      <c r="H1228" t="e" vm="4">
        <f>_xlfn.XLOOKUP(AllDataCorrected[[#This Row],[Site Name]],LocationsKey[Site Name],LocationsKey[District])</f>
        <v>#VALUE!</v>
      </c>
      <c r="I1228" t="e" vm="4">
        <f>_xlfn.XLOOKUP(AllDataCorrected[[#This Row],[Site Name]],LocationsKey[Site Name],LocationsKey[Town])</f>
        <v>#VALUE!</v>
      </c>
      <c r="J1228" t="str">
        <f>_xlfn.XLOOKUP(AllDataCorrected[[#This Row],[Site Name]],LocationsKey[Site Name], LocationsKey[Waterway])</f>
        <v>Carrant</v>
      </c>
      <c r="K1228" t="s">
        <v>1066</v>
      </c>
      <c r="L1228">
        <f>_xlfn.XLOOKUP(AllDataCorrected[[#This Row],[Site Name]],Tables!$B$12:$B$100, Tables!C$12:C$100)</f>
        <v>52.012994652173923</v>
      </c>
      <c r="M1228">
        <f>_xlfn.XLOOKUP(AllDataCorrected[[#This Row],[Site Name]],Tables!$B$12:$B$100, Tables!D$12:D$100)</f>
        <v>-2.1224405652173912</v>
      </c>
      <c r="N1228" t="s">
        <v>25</v>
      </c>
      <c r="O1228">
        <v>857</v>
      </c>
      <c r="P1228">
        <v>15.7</v>
      </c>
      <c r="Q1228">
        <v>5</v>
      </c>
      <c r="R122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8">
        <v>1.35</v>
      </c>
      <c r="T1228"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28">
        <v>0</v>
      </c>
    </row>
    <row r="1229" spans="1:22" x14ac:dyDescent="0.35">
      <c r="A1229" t="s">
        <v>1947</v>
      </c>
      <c r="B1229" s="2">
        <v>45535</v>
      </c>
      <c r="C1229" t="str" cm="1">
        <f t="array" ref="C1229">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29">
        <f>YEAR(AllDataCorrected[[#This Row],[Date]])</f>
        <v>2024</v>
      </c>
      <c r="E1229" s="1">
        <v>0.5</v>
      </c>
      <c r="F1229"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29" t="str">
        <f>_xlfn.XLOOKUP(AllDataCorrected[[#This Row],[Location Name]], Locations[Location Name],Locations[Group As])</f>
        <v>Carrant Bredon Rd</v>
      </c>
      <c r="H1229" t="e" vm="4">
        <f>_xlfn.XLOOKUP(AllDataCorrected[[#This Row],[Site Name]],LocationsKey[Site Name],LocationsKey[District])</f>
        <v>#VALUE!</v>
      </c>
      <c r="I1229" t="e" vm="4">
        <f>_xlfn.XLOOKUP(AllDataCorrected[[#This Row],[Site Name]],LocationsKey[Site Name],LocationsKey[Town])</f>
        <v>#VALUE!</v>
      </c>
      <c r="J1229" t="str">
        <f>_xlfn.XLOOKUP(AllDataCorrected[[#This Row],[Site Name]],LocationsKey[Site Name], LocationsKey[Waterway])</f>
        <v>Carrant</v>
      </c>
      <c r="K1229" t="s">
        <v>603</v>
      </c>
      <c r="L1229">
        <f>_xlfn.XLOOKUP(AllDataCorrected[[#This Row],[Site Name]],Tables!$B$12:$B$100, Tables!C$12:C$100)</f>
        <v>51.996322536231894</v>
      </c>
      <c r="M1229">
        <f>_xlfn.XLOOKUP(AllDataCorrected[[#This Row],[Site Name]],Tables!$B$12:$B$100, Tables!D$12:D$100)</f>
        <v>-2.1558410144927538</v>
      </c>
      <c r="N1229" t="s">
        <v>25</v>
      </c>
      <c r="O1229">
        <v>734</v>
      </c>
      <c r="P1229">
        <v>16.3</v>
      </c>
      <c r="Q1229">
        <v>5</v>
      </c>
      <c r="R1229" t="str">
        <f>IF(AllDataCorrected[[#This Row],[Nitrate (PPM)]]&gt;2, "4. Very high (&gt;2ppm)", IF(AllDataCorrected[[#This Row],[Nitrate (PPM)]]&gt;1, "3. High (1-2ppm)", IF(AllDataCorrected[[#This Row],[Nitrate (PPM)]]&gt;0.5, "2. Some evidence (0.5-1ppm)", IF(AllDataCorrected[[#This Row],[Nitrate (PPM)]]&gt;=0, "1. No evidence (&lt;0.5ppm)"))))</f>
        <v>4. Very high (&gt;2ppm)</v>
      </c>
      <c r="S1229">
        <v>0.45</v>
      </c>
      <c r="T1229"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29">
        <v>0</v>
      </c>
    </row>
    <row r="1230" spans="1:22" x14ac:dyDescent="0.35">
      <c r="A1230" t="s">
        <v>1948</v>
      </c>
      <c r="B1230" s="2">
        <v>45535</v>
      </c>
      <c r="C1230" t="str" cm="1">
        <f t="array" ref="C1230">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0">
        <f>YEAR(AllDataCorrected[[#This Row],[Date]])</f>
        <v>2024</v>
      </c>
      <c r="E1230" s="1">
        <v>0.75208333333333333</v>
      </c>
      <c r="F1230"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0" t="str">
        <f>_xlfn.XLOOKUP(AllDataCorrected[[#This Row],[Location Name]], Locations[Location Name],Locations[Group As])</f>
        <v>Site 1  :  Middle Street</v>
      </c>
      <c r="H1230" t="e" vm="1">
        <f>_xlfn.XLOOKUP(AllDataCorrected[[#This Row],[Site Name]],LocationsKey[Site Name],LocationsKey[District])</f>
        <v>#VALUE!</v>
      </c>
      <c r="I1230" t="e" vm="14">
        <f>_xlfn.XLOOKUP(AllDataCorrected[[#This Row],[Site Name]],LocationsKey[Site Name],LocationsKey[Town])</f>
        <v>#VALUE!</v>
      </c>
      <c r="J1230" t="str">
        <f>_xlfn.XLOOKUP(AllDataCorrected[[#This Row],[Site Name]],LocationsKey[Site Name], LocationsKey[Waterway])</f>
        <v>Fosseway Brook</v>
      </c>
      <c r="K1230" t="s">
        <v>678</v>
      </c>
      <c r="L1230">
        <f>_xlfn.XLOOKUP(AllDataCorrected[[#This Row],[Site Name]],Tables!$B$12:$B$100, Tables!C$12:C$100)</f>
        <v>52.090081855670022</v>
      </c>
      <c r="M1230">
        <f>_xlfn.XLOOKUP(AllDataCorrected[[#This Row],[Site Name]],Tables!$B$12:$B$100, Tables!D$12:D$100)</f>
        <v>-1.6925771134020597</v>
      </c>
      <c r="N1230" t="s">
        <v>68</v>
      </c>
      <c r="O1230">
        <v>629</v>
      </c>
      <c r="P1230">
        <v>17.399999999999999</v>
      </c>
      <c r="Q1230">
        <v>2</v>
      </c>
      <c r="R1230" t="str">
        <f>IF(AllDataCorrected[[#This Row],[Nitrate (PPM)]]&gt;2, "4. Very high (&gt;2ppm)", IF(AllDataCorrected[[#This Row],[Nitrate (PPM)]]&gt;1, "3. High (1-2ppm)", IF(AllDataCorrected[[#This Row],[Nitrate (PPM)]]&gt;0.5, "2. Some evidence (0.5-1ppm)", IF(AllDataCorrected[[#This Row],[Nitrate (PPM)]]&gt;=0, "1. No evidence (&lt;0.5ppm)"))))</f>
        <v>3. High (1-2ppm)</v>
      </c>
      <c r="S1230">
        <v>0.87</v>
      </c>
      <c r="T1230"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0">
        <v>0</v>
      </c>
      <c r="V1230" t="s">
        <v>1949</v>
      </c>
    </row>
    <row r="1231" spans="1:22" x14ac:dyDescent="0.35">
      <c r="A1231" t="s">
        <v>1950</v>
      </c>
      <c r="B1231" s="2">
        <v>45535</v>
      </c>
      <c r="C1231" t="str" cm="1">
        <f t="array" ref="C1231">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1">
        <f>YEAR(AllDataCorrected[[#This Row],[Date]])</f>
        <v>2024</v>
      </c>
      <c r="E1231" s="1">
        <v>0.76249999999999996</v>
      </c>
      <c r="F1231"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1" t="str">
        <f>_xlfn.XLOOKUP(AllDataCorrected[[#This Row],[Location Name]], Locations[Location Name],Locations[Group As])</f>
        <v>Site 2  :  Cross Leys culvert</v>
      </c>
      <c r="H1231" t="e" vm="1">
        <f>_xlfn.XLOOKUP(AllDataCorrected[[#This Row],[Site Name]],LocationsKey[Site Name],LocationsKey[District])</f>
        <v>#VALUE!</v>
      </c>
      <c r="I1231" t="e" vm="14">
        <f>_xlfn.XLOOKUP(AllDataCorrected[[#This Row],[Site Name]],LocationsKey[Site Name],LocationsKey[Town])</f>
        <v>#VALUE!</v>
      </c>
      <c r="J1231" t="str">
        <f>_xlfn.XLOOKUP(AllDataCorrected[[#This Row],[Site Name]],LocationsKey[Site Name], LocationsKey[Waterway])</f>
        <v>Fosseway Brook</v>
      </c>
      <c r="K1231" t="s">
        <v>1951</v>
      </c>
      <c r="L1231">
        <f>_xlfn.XLOOKUP(AllDataCorrected[[#This Row],[Site Name]],Tables!$B$12:$B$100, Tables!C$12:C$100)</f>
        <v>52.092997354838673</v>
      </c>
      <c r="M1231">
        <f>_xlfn.XLOOKUP(AllDataCorrected[[#This Row],[Site Name]],Tables!$B$12:$B$100, Tables!D$12:D$100)</f>
        <v>-1.6862254516129045</v>
      </c>
      <c r="N1231" t="s">
        <v>68</v>
      </c>
      <c r="O1231">
        <v>885</v>
      </c>
      <c r="P1231">
        <v>15.8</v>
      </c>
      <c r="Q1231">
        <v>0</v>
      </c>
      <c r="R1231" t="str">
        <f>IF(AllDataCorrected[[#This Row],[Nitrate (PPM)]]&gt;2, "4. Very high (&gt;2ppm)", IF(AllDataCorrected[[#This Row],[Nitrate (PPM)]]&gt;1, "3. High (1-2ppm)", IF(AllDataCorrected[[#This Row],[Nitrate (PPM)]]&gt;0.5, "2. Some evidence (0.5-1ppm)", IF(AllDataCorrected[[#This Row],[Nitrate (PPM)]]&gt;=0, "1. No evidence (&lt;0.5ppm)"))))</f>
        <v>1. No evidence (&lt;0.5ppm)</v>
      </c>
      <c r="S1231">
        <v>2.27</v>
      </c>
      <c r="T1231"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1">
        <v>0</v>
      </c>
      <c r="V1231" t="s">
        <v>1952</v>
      </c>
    </row>
    <row r="1232" spans="1:22" x14ac:dyDescent="0.35">
      <c r="A1232" t="s">
        <v>1953</v>
      </c>
      <c r="B1232" s="2">
        <v>45535</v>
      </c>
      <c r="C1232" t="str" cm="1">
        <f t="array" ref="C1232">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2">
        <f>YEAR(AllDataCorrected[[#This Row],[Date]])</f>
        <v>2024</v>
      </c>
      <c r="E1232" s="1">
        <v>0.76666666666666672</v>
      </c>
      <c r="F1232"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2" t="str">
        <f>_xlfn.XLOOKUP(AllDataCorrected[[#This Row],[Location Name]], Locations[Location Name],Locations[Group As])</f>
        <v>Site 3  :  Severn Trent Water processing plant outflow</v>
      </c>
      <c r="H1232" t="e" vm="1">
        <f>_xlfn.XLOOKUP(AllDataCorrected[[#This Row],[Site Name]],LocationsKey[Site Name],LocationsKey[District])</f>
        <v>#VALUE!</v>
      </c>
      <c r="I1232" t="e" vm="14">
        <f>_xlfn.XLOOKUP(AllDataCorrected[[#This Row],[Site Name]],LocationsKey[Site Name],LocationsKey[Town])</f>
        <v>#VALUE!</v>
      </c>
      <c r="J1232" t="str">
        <f>_xlfn.XLOOKUP(AllDataCorrected[[#This Row],[Site Name]],LocationsKey[Site Name], LocationsKey[Waterway])</f>
        <v>Fosseway Brook</v>
      </c>
      <c r="K1232" t="s">
        <v>1826</v>
      </c>
      <c r="L1232">
        <f>_xlfn.XLOOKUP(AllDataCorrected[[#This Row],[Site Name]],Tables!$B$12:$B$100, Tables!C$12:C$100)</f>
        <v>52.130499999999998</v>
      </c>
      <c r="M1232">
        <f>_xlfn.XLOOKUP(AllDataCorrected[[#This Row],[Site Name]],Tables!$B$12:$B$100, Tables!D$12:D$100)</f>
        <v>-2.0787</v>
      </c>
      <c r="N1232" t="s">
        <v>31</v>
      </c>
      <c r="O1232">
        <v>1002</v>
      </c>
      <c r="P1232">
        <v>17.5</v>
      </c>
      <c r="Q1232">
        <v>10</v>
      </c>
      <c r="R1232"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2">
        <v>2.5</v>
      </c>
      <c r="T1232"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2">
        <v>0.25</v>
      </c>
      <c r="V1232" t="s">
        <v>1875</v>
      </c>
    </row>
    <row r="1233" spans="1:22" x14ac:dyDescent="0.35">
      <c r="A1233" t="s">
        <v>1954</v>
      </c>
      <c r="B1233" s="2">
        <v>45535</v>
      </c>
      <c r="C1233" t="str" cm="1">
        <f t="array" ref="C1233">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3">
        <f>YEAR(AllDataCorrected[[#This Row],[Date]])</f>
        <v>2024</v>
      </c>
      <c r="E1233" s="1">
        <v>0.80486111111111114</v>
      </c>
      <c r="F1233" t="str">
        <f>IF(AND(AllDataCorrected[[#This Row],[Time]]&lt;0.5, AllDataCorrected[[#This Row],[Time]]&gt;0.17)=TRUE, "Morning", IF(AND(AllDataCorrected[[#This Row],[Time]]&lt;0.75, AllDataCorrected[[#This Row],[Time]]&gt;=0.5)=TRUE, "Afternoon", IF(AND(AllDataCorrected[[#This Row],[Time]]&lt;1, AllDataCorrected[[#This Row],[Time]]&gt;=0.75)=TRUE, "Evening", "Night")))</f>
        <v>Evening</v>
      </c>
      <c r="G1233" t="str">
        <f>_xlfn.XLOOKUP(AllDataCorrected[[#This Row],[Location Name]], Locations[Location Name],Locations[Group As])</f>
        <v>Abbey Mill</v>
      </c>
      <c r="H1233" t="e" vm="4">
        <f>_xlfn.XLOOKUP(AllDataCorrected[[#This Row],[Site Name]],LocationsKey[Site Name],LocationsKey[District])</f>
        <v>#VALUE!</v>
      </c>
      <c r="I1233" t="e" vm="4">
        <f>_xlfn.XLOOKUP(AllDataCorrected[[#This Row],[Site Name]],LocationsKey[Site Name],LocationsKey[Town])</f>
        <v>#VALUE!</v>
      </c>
      <c r="J1233" t="str">
        <f>_xlfn.XLOOKUP(AllDataCorrected[[#This Row],[Site Name]],LocationsKey[Site Name], LocationsKey[Waterway])</f>
        <v>Avon</v>
      </c>
      <c r="K1233" t="s">
        <v>27</v>
      </c>
      <c r="L1233">
        <f>_xlfn.XLOOKUP(AllDataCorrected[[#This Row],[Site Name]],Tables!$B$12:$B$100, Tables!C$12:C$100)</f>
        <v>51.991313075757589</v>
      </c>
      <c r="M1233">
        <f>_xlfn.XLOOKUP(AllDataCorrected[[#This Row],[Site Name]],Tables!$B$12:$B$100, Tables!D$12:D$100)</f>
        <v>-2.1621998181818181</v>
      </c>
      <c r="N1233" t="s">
        <v>25</v>
      </c>
      <c r="O1233">
        <v>1060</v>
      </c>
      <c r="P1233">
        <v>18.399999999999999</v>
      </c>
      <c r="Q1233">
        <v>8</v>
      </c>
      <c r="R1233"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3">
        <v>0.81</v>
      </c>
      <c r="T1233"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3">
        <v>0.4</v>
      </c>
    </row>
    <row r="1234" spans="1:22" x14ac:dyDescent="0.35">
      <c r="A1234" t="s">
        <v>1960</v>
      </c>
      <c r="B1234" s="2">
        <v>45536</v>
      </c>
      <c r="C1234" t="str" cm="1">
        <f t="array" ref="C1234">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4">
        <f>YEAR(AllDataCorrected[[#This Row],[Date]])</f>
        <v>2024</v>
      </c>
      <c r="E1234" s="1">
        <v>0.42430555555555555</v>
      </c>
      <c r="F1234"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4" t="str">
        <f>_xlfn.XLOOKUP(AllDataCorrected[[#This Row],[Location Name]], Locations[Location Name],Locations[Group As])</f>
        <v>Lower Lode</v>
      </c>
      <c r="H1234" t="e" vm="4">
        <f>_xlfn.XLOOKUP(AllDataCorrected[[#This Row],[Site Name]],LocationsKey[Site Name],LocationsKey[District])</f>
        <v>#VALUE!</v>
      </c>
      <c r="I1234" t="e" vm="4">
        <f>_xlfn.XLOOKUP(AllDataCorrected[[#This Row],[Site Name]],LocationsKey[Site Name],LocationsKey[Town])</f>
        <v>#VALUE!</v>
      </c>
      <c r="J1234" t="str">
        <f>_xlfn.XLOOKUP(AllDataCorrected[[#This Row],[Site Name]],LocationsKey[Site Name], LocationsKey[Waterway])</f>
        <v>Avon</v>
      </c>
      <c r="K1234" t="s">
        <v>595</v>
      </c>
      <c r="L1234">
        <f>_xlfn.XLOOKUP(AllDataCorrected[[#This Row],[Site Name]],Tables!$B$12:$B$100, Tables!C$12:C$100)</f>
        <v>51.984916745098026</v>
      </c>
      <c r="M1234">
        <f>_xlfn.XLOOKUP(AllDataCorrected[[#This Row],[Site Name]],Tables!$B$12:$B$100, Tables!D$12:D$100)</f>
        <v>-2.1745787647058821</v>
      </c>
      <c r="N1234" t="s">
        <v>31</v>
      </c>
      <c r="O1234">
        <v>1020</v>
      </c>
      <c r="P1234">
        <v>19.5</v>
      </c>
      <c r="Q1234">
        <v>10</v>
      </c>
      <c r="R1234"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4">
        <v>1.04</v>
      </c>
      <c r="T1234" t="str">
        <f>IF(AllDataCorrected[[#This Row],[Phosphate (PPM)]]&gt;0.5, "4. Very high (&gt;0.5ppm)", IF(AllDataCorrected[[#This Row],[Phosphate (PPM)]]&gt;0.1, "3. High (0.1-0.5ppm)", IF(AllDataCorrected[[#This Row],[Phosphate (PPM)]]&gt;0.05, "2. Some evidence (0.05-0.1ppm)", IF(AllDataCorrected[[#This Row],[Phosphate (PPM)]]&lt;=0.05, "1. No Evidence (&lt;0.05ppm)", ""))))</f>
        <v>4. Very high (&gt;0.5ppm)</v>
      </c>
      <c r="U1234">
        <v>0</v>
      </c>
    </row>
    <row r="1235" spans="1:22" x14ac:dyDescent="0.35">
      <c r="A1235" t="s">
        <v>1880</v>
      </c>
      <c r="B1235" s="2">
        <v>45523</v>
      </c>
      <c r="C1235" t="str" cm="1">
        <f t="array" ref="C1235">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5">
        <f>YEAR(AllDataCorrected[[#This Row],[Date]])</f>
        <v>2024</v>
      </c>
      <c r="E1235" s="1">
        <v>0.33333333333333331</v>
      </c>
      <c r="F1235"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5" t="str">
        <f>_xlfn.XLOOKUP(AllDataCorrected[[#This Row],[Location Name]], Locations[Location Name],Locations[Group As])</f>
        <v>Chipping Campden Sewage Works</v>
      </c>
      <c r="H1235" t="e" vm="9">
        <f>_xlfn.XLOOKUP(AllDataCorrected[[#This Row],[Site Name]],LocationsKey[Site Name],LocationsKey[District])</f>
        <v>#VALUE!</v>
      </c>
      <c r="I1235" t="e" vm="10">
        <f>_xlfn.XLOOKUP(AllDataCorrected[[#This Row],[Site Name]],LocationsKey[Site Name],LocationsKey[Town])</f>
        <v>#VALUE!</v>
      </c>
      <c r="J1235" t="str">
        <f>_xlfn.XLOOKUP(AllDataCorrected[[#This Row],[Site Name]],LocationsKey[Site Name], LocationsKey[Waterway])</f>
        <v>Cam Brook</v>
      </c>
      <c r="K1235" t="s">
        <v>1570</v>
      </c>
      <c r="L1235">
        <f>_xlfn.XLOOKUP(AllDataCorrected[[#This Row],[Site Name]],Tables!$B$12:$B$100, Tables!C$12:C$100)</f>
        <v>52.052216999999999</v>
      </c>
      <c r="M1235">
        <f>_xlfn.XLOOKUP(AllDataCorrected[[#This Row],[Site Name]],Tables!$B$12:$B$100, Tables!D$12:D$100)</f>
        <v>-1.7616225000000001</v>
      </c>
      <c r="N1235" t="s">
        <v>31</v>
      </c>
      <c r="O1235">
        <v>745</v>
      </c>
      <c r="P1235">
        <v>14.2</v>
      </c>
      <c r="Q1235">
        <v>5</v>
      </c>
      <c r="R1235"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5">
        <v>0.24</v>
      </c>
      <c r="T1235"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5">
        <v>0.18</v>
      </c>
    </row>
    <row r="1236" spans="1:22" x14ac:dyDescent="0.35">
      <c r="A1236" t="s">
        <v>1925</v>
      </c>
      <c r="B1236" s="2">
        <v>45530</v>
      </c>
      <c r="C1236" t="str" cm="1">
        <f t="array" ref="C1236">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Summer</v>
      </c>
      <c r="D1236">
        <f>YEAR(AllDataCorrected[[#This Row],[Date]])</f>
        <v>2024</v>
      </c>
      <c r="E1236" s="1">
        <v>0.36458333333333331</v>
      </c>
      <c r="F1236"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6" t="str">
        <f>_xlfn.XLOOKUP(AllDataCorrected[[#This Row],[Location Name]], Locations[Location Name],Locations[Group As])</f>
        <v>Chipping Campden Sewage Works</v>
      </c>
      <c r="H1236" t="e" vm="9">
        <f>_xlfn.XLOOKUP(AllDataCorrected[[#This Row],[Site Name]],LocationsKey[Site Name],LocationsKey[District])</f>
        <v>#VALUE!</v>
      </c>
      <c r="I1236" t="e" vm="10">
        <f>_xlfn.XLOOKUP(AllDataCorrected[[#This Row],[Site Name]],LocationsKey[Site Name],LocationsKey[Town])</f>
        <v>#VALUE!</v>
      </c>
      <c r="J1236" t="str">
        <f>_xlfn.XLOOKUP(AllDataCorrected[[#This Row],[Site Name]],LocationsKey[Site Name], LocationsKey[Waterway])</f>
        <v>Cam Brook</v>
      </c>
      <c r="K1236" t="s">
        <v>1570</v>
      </c>
      <c r="L1236">
        <f>_xlfn.XLOOKUP(AllDataCorrected[[#This Row],[Site Name]],Tables!$B$12:$B$100, Tables!C$12:C$100)</f>
        <v>52.052216999999999</v>
      </c>
      <c r="M1236">
        <f>_xlfn.XLOOKUP(AllDataCorrected[[#This Row],[Site Name]],Tables!$B$12:$B$100, Tables!D$12:D$100)</f>
        <v>-1.7616225000000001</v>
      </c>
      <c r="N1236" t="s">
        <v>31</v>
      </c>
      <c r="O1236">
        <v>727</v>
      </c>
      <c r="P1236">
        <v>15.8</v>
      </c>
      <c r="Q1236">
        <v>5</v>
      </c>
      <c r="R1236"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6">
        <v>0.26</v>
      </c>
      <c r="T1236"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6">
        <v>0.23</v>
      </c>
    </row>
    <row r="1237" spans="1:22" x14ac:dyDescent="0.35">
      <c r="A1237" t="s">
        <v>1964</v>
      </c>
      <c r="B1237" s="2">
        <v>45537</v>
      </c>
      <c r="C1237" t="str" cm="1">
        <f t="array" ref="C1237">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7">
        <f>YEAR(AllDataCorrected[[#This Row],[Date]])</f>
        <v>2024</v>
      </c>
      <c r="E1237" s="1">
        <v>0.34722222222222221</v>
      </c>
      <c r="F1237" t="str">
        <f>IF(AND(AllDataCorrected[[#This Row],[Time]]&lt;0.5, AllDataCorrected[[#This Row],[Time]]&gt;0.17)=TRUE, "Morning", IF(AND(AllDataCorrected[[#This Row],[Time]]&lt;0.75, AllDataCorrected[[#This Row],[Time]]&gt;=0.5)=TRUE, "Afternoon", IF(AND(AllDataCorrected[[#This Row],[Time]]&lt;1, AllDataCorrected[[#This Row],[Time]]&gt;=0.75)=TRUE, "Evening", "Night")))</f>
        <v>Morning</v>
      </c>
      <c r="G1237" t="str">
        <f>_xlfn.XLOOKUP(AllDataCorrected[[#This Row],[Location Name]], Locations[Location Name],Locations[Group As])</f>
        <v>Chipping Campden Sewage Works</v>
      </c>
      <c r="H1237" t="e" vm="9">
        <f>_xlfn.XLOOKUP(AllDataCorrected[[#This Row],[Site Name]],LocationsKey[Site Name],LocationsKey[District])</f>
        <v>#VALUE!</v>
      </c>
      <c r="I1237" t="e" vm="10">
        <f>_xlfn.XLOOKUP(AllDataCorrected[[#This Row],[Site Name]],LocationsKey[Site Name],LocationsKey[Town])</f>
        <v>#VALUE!</v>
      </c>
      <c r="J1237" t="str">
        <f>_xlfn.XLOOKUP(AllDataCorrected[[#This Row],[Site Name]],LocationsKey[Site Name], LocationsKey[Waterway])</f>
        <v>Cam Brook</v>
      </c>
      <c r="K1237" t="s">
        <v>1570</v>
      </c>
      <c r="L1237">
        <f>_xlfn.XLOOKUP(AllDataCorrected[[#This Row],[Site Name]],Tables!$B$12:$B$100, Tables!C$12:C$100)</f>
        <v>52.052216999999999</v>
      </c>
      <c r="M1237">
        <f>_xlfn.XLOOKUP(AllDataCorrected[[#This Row],[Site Name]],Tables!$B$12:$B$100, Tables!D$12:D$100)</f>
        <v>-1.7616225000000001</v>
      </c>
      <c r="N1237" t="s">
        <v>31</v>
      </c>
      <c r="O1237">
        <v>792</v>
      </c>
      <c r="P1237">
        <v>17.2</v>
      </c>
      <c r="Q1237">
        <v>2</v>
      </c>
      <c r="R1237" t="str">
        <f>IF(AllDataCorrected[[#This Row],[Nitrate (PPM)]]&gt;2, "4. Very high (&gt;2ppm)", IF(AllDataCorrected[[#This Row],[Nitrate (PPM)]]&gt;1, "3. High (1-2ppm)", IF(AllDataCorrected[[#This Row],[Nitrate (PPM)]]&gt;0.5, "2. Some evidence (0.5-1ppm)", IF(AllDataCorrected[[#This Row],[Nitrate (PPM)]]&gt;=0, "1. No evidence (&lt;0.5ppm)"))))</f>
        <v>3. High (1-2ppm)</v>
      </c>
      <c r="S1237">
        <v>0.26</v>
      </c>
      <c r="T1237"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7">
        <v>0.23</v>
      </c>
      <c r="V1237" t="s">
        <v>1965</v>
      </c>
    </row>
    <row r="1238" spans="1:22" x14ac:dyDescent="0.35">
      <c r="A1238" t="s">
        <v>1967</v>
      </c>
      <c r="B1238" s="2">
        <v>45537</v>
      </c>
      <c r="C1238" t="str" cm="1">
        <f t="array" ref="C1238">_xlfn.IFS(OR(MONTH(AllDataCorrected[[#This Row],[Date]])=6, MONTH(AllDataCorrected[[#This Row],[Date]])=7, MONTH(AllDataCorrected[[#This Row],[Date]])=8)=TRUE, "Summer", OR(MONTH(AllDataCorrected[[#This Row],[Date]])=9, MONTH(AllDataCorrected[[#This Row],[Date]])=10, MONTH(AllDataCorrected[[#This Row],[Date]])=11)=TRUE, "Autumn", OR(MONTH(AllDataCorrected[[#This Row],[Date]])=12, MONTH(AllDataCorrected[[#This Row],[Date]])=1, MONTH(AllDataCorrected[[#This Row],[Date]])=2)=TRUE, "Winter", OR(MONTH(AllDataCorrected[[#This Row],[Date]])=3, MONTH(AllDataCorrected[[#This Row],[Date]])=4, MONTH(AllDataCorrected[[#This Row],[Date]])=5)=TRUE, "Spring")</f>
        <v>Autumn</v>
      </c>
      <c r="D1238">
        <f>YEAR(AllDataCorrected[[#This Row],[Date]])</f>
        <v>2024</v>
      </c>
      <c r="E1238" s="1">
        <v>0.70833333333333337</v>
      </c>
      <c r="F1238" t="str">
        <f>IF(AND(AllDataCorrected[[#This Row],[Time]]&lt;0.5, AllDataCorrected[[#This Row],[Time]]&gt;0.17)=TRUE, "Morning", IF(AND(AllDataCorrected[[#This Row],[Time]]&lt;0.75, AllDataCorrected[[#This Row],[Time]]&gt;=0.5)=TRUE, "Afternoon", IF(AND(AllDataCorrected[[#This Row],[Time]]&lt;1, AllDataCorrected[[#This Row],[Time]]&gt;=0.75)=TRUE, "Evening", "Night")))</f>
        <v>Afternoon</v>
      </c>
      <c r="G1238" t="str">
        <f>_xlfn.XLOOKUP(AllDataCorrected[[#This Row],[Location Name]], Locations[Location Name],Locations[Group As])</f>
        <v>Fell Mill Footbridge</v>
      </c>
      <c r="H1238" t="e" vm="1">
        <f>_xlfn.XLOOKUP(AllDataCorrected[[#This Row],[Site Name]],LocationsKey[Site Name],LocationsKey[District])</f>
        <v>#VALUE!</v>
      </c>
      <c r="I1238" t="e" vm="15">
        <f>_xlfn.XLOOKUP(AllDataCorrected[[#This Row],[Site Name]],LocationsKey[Site Name],LocationsKey[Town])</f>
        <v>#VALUE!</v>
      </c>
      <c r="J1238" t="str">
        <f>_xlfn.XLOOKUP(AllDataCorrected[[#This Row],[Site Name]],LocationsKey[Site Name], LocationsKey[Waterway])</f>
        <v>Stour</v>
      </c>
      <c r="K1238" t="s">
        <v>1968</v>
      </c>
      <c r="L1238">
        <f>_xlfn.XLOOKUP(AllDataCorrected[[#This Row],[Site Name]],Tables!$B$12:$B$100, Tables!C$12:C$100)</f>
        <v>52.069044372881365</v>
      </c>
      <c r="M1238">
        <f>_xlfn.XLOOKUP(AllDataCorrected[[#This Row],[Site Name]],Tables!$B$12:$B$100, Tables!D$12:D$100)</f>
        <v>-1.6116270169491524</v>
      </c>
      <c r="N1238" t="s">
        <v>31</v>
      </c>
      <c r="O1238">
        <v>655</v>
      </c>
      <c r="P1238">
        <v>18.5</v>
      </c>
      <c r="Q1238">
        <v>5</v>
      </c>
      <c r="R1238" t="str">
        <f>IF(AllDataCorrected[[#This Row],[Nitrate (PPM)]]&gt;2, "4. Very high (&gt;2ppm)", IF(AllDataCorrected[[#This Row],[Nitrate (PPM)]]&gt;1, "3. High (1-2ppm)", IF(AllDataCorrected[[#This Row],[Nitrate (PPM)]]&gt;0.5, "2. Some evidence (0.5-1ppm)", IF(AllDataCorrected[[#This Row],[Nitrate (PPM)]]&gt;=0, "1. No evidence (&lt;0.5ppm)"))))</f>
        <v>4. Very high (&gt;2ppm)</v>
      </c>
      <c r="S1238">
        <v>0.49</v>
      </c>
      <c r="T1238" t="str">
        <f>IF(AllDataCorrected[[#This Row],[Phosphate (PPM)]]&gt;0.5, "4. Very high (&gt;0.5ppm)", IF(AllDataCorrected[[#This Row],[Phosphate (PPM)]]&gt;0.1, "3. High (0.1-0.5ppm)", IF(AllDataCorrected[[#This Row],[Phosphate (PPM)]]&gt;0.05, "2. Some evidence (0.05-0.1ppm)", IF(AllDataCorrected[[#This Row],[Phosphate (PPM)]]&lt;=0.05, "1. No Evidence (&lt;0.05ppm)", ""))))</f>
        <v>3. High (0.1-0.5ppm)</v>
      </c>
      <c r="U1238">
        <v>0.9</v>
      </c>
      <c r="V1238" t="s">
        <v>1969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27788-0BD6-4EAC-A4A8-A1968EC94D4C}">
  <dimension ref="A1:W3"/>
  <sheetViews>
    <sheetView tabSelected="1" workbookViewId="0">
      <selection activeCell="L14" sqref="L14"/>
    </sheetView>
  </sheetViews>
  <sheetFormatPr defaultRowHeight="14.5" x14ac:dyDescent="0.35"/>
  <cols>
    <col min="2" max="2" width="9.90625" bestFit="1" customWidth="1"/>
  </cols>
  <sheetData>
    <row r="1" spans="1:23" ht="15" thickBot="1" x14ac:dyDescent="0.4">
      <c r="A1" s="8" t="s">
        <v>0</v>
      </c>
      <c r="B1" s="142" t="s">
        <v>1</v>
      </c>
      <c r="C1" s="9" t="s">
        <v>2</v>
      </c>
      <c r="D1" s="9" t="s">
        <v>3</v>
      </c>
      <c r="E1" s="10" t="s">
        <v>4</v>
      </c>
      <c r="F1" s="10"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6" t="s">
        <v>22</v>
      </c>
    </row>
    <row r="2" spans="1:23" ht="15" thickTop="1" x14ac:dyDescent="0.35">
      <c r="A2" s="139" t="s">
        <v>2920</v>
      </c>
      <c r="B2" s="146">
        <v>45679</v>
      </c>
      <c r="C2" s="2" t="str" cm="1">
        <f t="array" ref="C2">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2">
        <v>2024</v>
      </c>
      <c r="E2" s="147">
        <v>0.43263888888888891</v>
      </c>
      <c r="F2" t="str">
        <f>IF(AND(AllData[[#This Row],[Time]]&lt;0.5, AllData[[#This Row],[Time]]&gt;0.17)=TRUE, "Morning", IF(AND(AllData[[#This Row],[Time]]&lt;0.75, AllData[[#This Row],[Time]]&gt;=0.5)=TRUE, "Afternoon", IF(AND(AllData[[#This Row],[Time]]&lt;1, AllData[[#This Row],[Time]]&gt;=0.75)=TRUE, "Evening", "Night")))</f>
        <v>Morning</v>
      </c>
      <c r="G2" s="139" t="s">
        <v>1660</v>
      </c>
      <c r="H2" t="str">
        <f>_xlfn.XLOOKUP(AllData[[#This Row],[Location Name]], Locations[Location Name],Locations[Group As])</f>
        <v>Alveston Weir</v>
      </c>
      <c r="I2" t="e" vm="1">
        <f>_xlfn.XLOOKUP(AllData[[#This Row],[Site Name]],LocationsKey[Site Name],LocationsKey[District])</f>
        <v>#VALUE!</v>
      </c>
      <c r="J2" t="e" vm="2">
        <f>_xlfn.XLOOKUP(AllData[[#This Row],[Site Name]],LocationsKey[Site Name],LocationsKey[Town])</f>
        <v>#VALUE!</v>
      </c>
      <c r="K2" t="str">
        <f>_xlfn.XLOOKUP(AllData[[#This Row],[Site Name]],LocationsKey[Site Name], LocationsKey[Waterway])</f>
        <v>Avon</v>
      </c>
      <c r="L2" s="139" t="s">
        <v>2374</v>
      </c>
      <c r="M2" s="139">
        <v>52.033433000000002</v>
      </c>
      <c r="N2" s="156">
        <v>-2.1167720000000001</v>
      </c>
      <c r="O2" s="139" t="s">
        <v>31</v>
      </c>
      <c r="P2" s="139">
        <v>8970</v>
      </c>
      <c r="Q2" s="139">
        <v>6.6</v>
      </c>
      <c r="R2" s="139">
        <v>2</v>
      </c>
      <c r="S2" s="107" t="str">
        <f>IF(AllData[[#This Row],[Nitrate (PPM)]]&gt;2, "Very high", IF(AllData[[#This Row],[Nitrate (PPM)]]&gt;1, "High", IF(AllData[[#This Row],[Nitrate (PPM)]]&gt;0.5, "Some evidence", IF(AllData[[#This Row],[Nitrate (PPM)]]&gt;=0, "No evidence"))))</f>
        <v>Very high</v>
      </c>
      <c r="T2" s="139">
        <v>46</v>
      </c>
      <c r="U2" s="7" t="str">
        <f>IF(AllData[[#This Row],[Phosphate (PPM)]]&gt;0.5, "Very high", IF(AllData[[#This Row],[Phosphate (PPM)]]&gt;0.1, "High", IF(AllData[[#This Row],[Phosphate (PPM)]]&gt;0.05, "Some evidence", IF(AllData[[#This Row],[Phosphate (PPM)]]&lt;=0.05, "No Evidence", ""))))</f>
        <v>High</v>
      </c>
      <c r="V2" s="139">
        <v>1</v>
      </c>
      <c r="W2" s="139" t="s">
        <v>2921</v>
      </c>
    </row>
    <row r="3" spans="1:23" x14ac:dyDescent="0.35">
      <c r="A3" s="139" t="s">
        <v>3108</v>
      </c>
      <c r="B3" s="146">
        <v>45707</v>
      </c>
      <c r="C3" s="2" t="str" cm="1">
        <f t="array" ref="C3">_xlfn.IFS(OR(MONTH(AllData[[#This Row],[Date]])=6, MONTH(AllData[[#This Row],[Date]])=7, MONTH(AllData[[#This Row],[Date]])=8)=TRUE, "Summer", OR(MONTH(AllData[[#This Row],[Date]])=9, MONTH(AllData[[#This Row],[Date]])=10, MONTH(AllData[[#This Row],[Date]])=11)=TRUE, "Autumn", OR(MONTH(AllData[[#This Row],[Date]])=12, MONTH(AllData[[#This Row],[Date]])=1, MONTH(AllData[[#This Row],[Date]])=2)=TRUE, "Winter", OR(MONTH(AllData[[#This Row],[Date]])=3, MONTH(AllData[[#This Row],[Date]])=4, MONTH(AllData[[#This Row],[Date]])=5)=TRUE, "Spring")</f>
        <v>Spring</v>
      </c>
      <c r="D3">
        <v>2024</v>
      </c>
      <c r="E3" s="147">
        <v>0.41736111111111113</v>
      </c>
      <c r="F3" t="str">
        <f>IF(AND(AllData[[#This Row],[Time]]&lt;0.5, AllData[[#This Row],[Time]]&gt;0.17)=TRUE, "Morning", IF(AND(AllData[[#This Row],[Time]]&lt;0.75, AllData[[#This Row],[Time]]&gt;=0.5)=TRUE, "Afternoon", IF(AND(AllData[[#This Row],[Time]]&lt;1, AllData[[#This Row],[Time]]&gt;=0.75)=TRUE, "Evening", "Night")))</f>
        <v>Morning</v>
      </c>
      <c r="G3" s="139" t="s">
        <v>2886</v>
      </c>
      <c r="H3" t="str">
        <f>_xlfn.XLOOKUP(AllData[[#This Row],[Location Name]], Locations[Location Name],Locations[Group As])</f>
        <v>Swiffen Bank</v>
      </c>
      <c r="I3" t="e" vm="1">
        <f>_xlfn.XLOOKUP(AllData[[#This Row],[Site Name]],LocationsKey[Site Name],LocationsKey[District])</f>
        <v>#VALUE!</v>
      </c>
      <c r="J3" t="e" vm="2">
        <f>_xlfn.XLOOKUP(AllData[[#This Row],[Site Name]],LocationsKey[Site Name],LocationsKey[Town])</f>
        <v>#VALUE!</v>
      </c>
      <c r="K3" t="str">
        <f>_xlfn.XLOOKUP(AllData[[#This Row],[Site Name]],LocationsKey[Site Name], LocationsKey[Waterway])</f>
        <v>Avon</v>
      </c>
      <c r="L3" s="139" t="s">
        <v>2532</v>
      </c>
      <c r="M3" s="139">
        <v>52.170456000000001</v>
      </c>
      <c r="N3" s="156">
        <v>-1.7595400000000001</v>
      </c>
      <c r="O3" s="139" t="s">
        <v>31</v>
      </c>
      <c r="P3" s="139">
        <v>883</v>
      </c>
      <c r="Q3" s="139">
        <v>7</v>
      </c>
      <c r="R3" s="139">
        <v>10</v>
      </c>
      <c r="S3" s="107" t="str">
        <f>IF(AllData[[#This Row],[Nitrate (PPM)]]&gt;2, "Very high", IF(AllData[[#This Row],[Nitrate (PPM)]]&gt;1, "High", IF(AllData[[#This Row],[Nitrate (PPM)]]&gt;0.5, "Some evidence", IF(AllData[[#This Row],[Nitrate (PPM)]]&gt;=0, "No evidence"))))</f>
        <v>Very high</v>
      </c>
      <c r="T3" s="139">
        <v>37</v>
      </c>
      <c r="U3" s="7" t="str">
        <f>IF(AllData[[#This Row],[Phosphate (PPM)]]&gt;0.5, "Very high", IF(AllData[[#This Row],[Phosphate (PPM)]]&gt;0.1, "High", IF(AllData[[#This Row],[Phosphate (PPM)]]&gt;0.05, "Some evidence", IF(AllData[[#This Row],[Phosphate (PPM)]]&lt;=0.05, "No Evidence", ""))))</f>
        <v>High</v>
      </c>
      <c r="V3" s="139">
        <v>0.79</v>
      </c>
      <c r="W3" s="139"/>
    </row>
  </sheetData>
  <conditionalFormatting sqref="P2:P3">
    <cfRule type="colorScale" priority="5">
      <colorScale>
        <cfvo type="min"/>
        <cfvo type="max"/>
        <color rgb="FFFCFCFF"/>
        <color theme="4"/>
      </colorScale>
    </cfRule>
  </conditionalFormatting>
  <conditionalFormatting sqref="Q2:Q3">
    <cfRule type="colorScale" priority="6">
      <colorScale>
        <cfvo type="min"/>
        <cfvo type="percentile" val="50"/>
        <cfvo type="max"/>
        <color rgb="FF5A8AC6"/>
        <color rgb="FFFCFCFF"/>
        <color rgb="FFF8696B"/>
      </colorScale>
    </cfRule>
  </conditionalFormatting>
  <conditionalFormatting sqref="R2:R3">
    <cfRule type="colorScale" priority="7">
      <colorScale>
        <cfvo type="min"/>
        <cfvo type="max"/>
        <color rgb="FFFCFCFF"/>
        <color rgb="FFF8696B"/>
      </colorScale>
    </cfRule>
  </conditionalFormatting>
  <conditionalFormatting sqref="S2:S3 U2:U3">
    <cfRule type="cellIs" dxfId="3" priority="1" operator="equal">
      <formula>"No evidence"</formula>
    </cfRule>
    <cfRule type="cellIs" dxfId="2" priority="2" operator="equal">
      <formula>"Some evidence"</formula>
    </cfRule>
    <cfRule type="cellIs" dxfId="1" priority="3" operator="equal">
      <formula>"High"</formula>
    </cfRule>
    <cfRule type="cellIs" dxfId="0" priority="4" operator="equal">
      <formula>"Very high"</formula>
    </cfRule>
  </conditionalFormatting>
  <conditionalFormatting sqref="T2:T3">
    <cfRule type="colorScale" priority="8">
      <colorScale>
        <cfvo type="min"/>
        <cfvo type="max"/>
        <color rgb="FFFCFCFF"/>
        <color rgb="FFF8696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S a f e   A v o n   0 2 - 0 9 - 2 0 2 4 "   D e s c r i p t i o n = " S o m e   d e s c r i p t i o n   f o r   t h e   t o u r   g o e s   h e r e "   x m l n s = " h t t p : / / m i c r o s o f t . d a t a . v i s u a l i z a t i o n . e n g i n e . t o u r s / 1 . 0 " > < S c e n e s > < S c e n e   N a m e = " T o t a l   S a m p l e s "   C u s t o m M a p G u i d = " 0 0 0 0 0 0 0 0 - 0 0 0 0 - 0 0 0 0 - 0 0 0 0 - 0 0 0 0 0 0 0 0 0 0 0 0 "   C u s t o m M a p I d = " 0 0 0 0 0 0 0 0 - 0 0 0 0 - 0 0 0 0 - 0 0 0 0 - 0 0 0 0 0 0 0 0 0 0 0 0 "   S c e n e I d = " d 1 0 e 6 c c f - b d 8 9 - 4 3 4 f - a 2 5 f - f 8 8 8 4 2 7 e 5 e 3 b " > < T r a n s i t i o n > M o v e T o < / T r a n s i t i o n > < E f f e c t > F l y O v e r < / 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V X S U R B V H h e t X 0 H g C R V t f b X O Y f p n p x n c 2 R Z c k Y l S Q Z B F B V R w Y S o P J / 6 9 D 0 D m B U F B B U R R S T n t O Q M u 7 C B z T n M T s 6 h c 4 7 / O b e q p q t 7 u m d n 0 f + D 3 u m u r q 6 6 d e / J 9 9 x z N V 0 j 6 / M g N H m W Q a c z A v x J I w 7 J 0 N B L H I R W o 0 U u l 6 e / d I w P M 6 S v p L + E T A 7 Q a 6 X 3 E q Q T + N 9 c P g W d h u 4 h H + X P W v r M P 8 / S e z X 4 v F w + T e f J F x b 3 N 0 z d V k H h W 0 Y e 2 Q y g 1 S v 3 o 7 b k Y n R t M 3 T U q D y o c a D G 0 f E 8 f 5 n X Q K P L Q 0 P P w + e L d o y s R m c + j k b z U v q a z p X b q 0 Z g v w b O e R l o t T r x m a + r y W c Q T w 3 j w K s 6 e D 8 6 Q f d M o t V x P P J 5 + i 4 9 g X j U h W w q h x Q 9 p s W p R X L U C l 1 r B A 5 D G m n o Y c z F k c o 4 E O r W U b u j i N X q 0 V a V p Q d w 0 D W y 1 E b p X r 7 d O X i W a O G P d C K c 1 a D V N V c c 1 9 C 9 B z K D 8 B j a Y T F 4 o M m G 4 D v g h n t u h P o t g 2 g 2 g V B m D I 1 a E 3 L m + d S m Q W x 7 K 4 L q + R 7 o 6 y J o G H 0 F 2 T l f F 9 f K J C a g N 9 e I 9 9 G U B j Y j 9 w 6 Q p u Y Y c 2 P I G 2 r F 5 3 w + j 5 G u L j S 0 1 1 D f 5 Z D X u a g D E 9 D k w v I 5 1 L f 0 X H n q G + p p e q 4 k 9 Q v 1 l t a I 4 F 4 D q h f S 2 O v 1 1 P Z e 5 P W N N D Q G W H r v R r z t y 9 B k g h j Z p U G y o w / t J j t y h n q i q w x C / n E E d D W o s W t h D g / A E n w G r 9 b + l q 4 j m n Q I y O N / C J S j 4 R y 1 m + m f H o W J i p 5 G i x p t E v M z + 5 A 3 N i I T T y H u j 0 H 3 7 e 9 + + U b + S T p q g s l k Q j K Z E i c L x i G C S S S S o u N 0 W j 2 y 2 R w y m Q z S 6 b Q g w n Q 6 Q 8 e y 0 O u l w W Y U e I 0 b r 6 H G 5 e g d v + e W c N O Y O O j 6 x C z K Z y 0 R C 7 / 4 v Y L C e x 4 K + o + J P q + l N j G j 0 P X o s 9 Q G I k c a l D S 1 S 6 f T U f t S x C x 8 L r E i c V e O i D V P A o I Z i K / D 7 U 8 k E j A Y D X K 7 q I u 1 / I 2 M 4 H 6 Y b E f T 9 W m E Z C J G j v o k P U R M Q 4 S V S 8 J c Y 0 J 4 M I 5 A d w L 2 e p P 0 W z r f o H d j c P c k F q 5 Y j F j G R + d q k O i t g s Y 6 D r P d D q P D D I v L A K M u C H O 1 A S Y D E V Q 2 D K 3 O g e h o G I G Y D / r 6 I a Q s N W h 1 h g B i D H F p Z m x C O p a B p Z b 6 Q J O D l Z r m N p h I 8 l j 4 D P T H O 1 F r X o S x i B U u k 4 4 I 0 g d z r Q m p Y B T + f g t c V V G Y d E 4 a R y M R r x 3 b X 0 p g 0 W k e V D f S P b I 6 G O s / A s P o 6 8 h a W h B M u 4 g p 8 1 i z Z h 0 W z W 8 n W i B B k C G q y A 1 D a 6 y n o Q x S p 5 n p v n n Y r V k E B v M w e 7 i t 1 B P E F N Q o e p H k E M K I 2 q 6 1 o C e 6 C Y G U n 5 7 Z B S u N i c 0 b R X w y i E C / C V F n E q b 4 O E Z j O z H h a I N T T w K B 6 M P W Y E f q Y B V q M / f C m N i E S G 4 O U u Y W u A z U T x o T M g Y r h o a O h a / a L W i B x a I m l 6 Z 2 x p A n w a G G J h u D R r R t a q S n w M P K h 5 V v i B w E W B g y + N p a W c n w I S 0 T I c F G N G r I 2 e i 7 L A l F I 6 w u M 6 Y 0 V K N n K f S s o V T Q Z p P U N 9 x x d I d s X D Q 4 Q w 3 V z S A O + G L a b J S k l Z X e s d w i y S X Y u g D W N C z V W f I e H o z i Y R V G y u W y x C D E k P S A z E A M H b 1 n Z k m l 0 o L Z + b j F b C E N R Z K f C Y N U h M K E / D I Y q J P 5 t 9 T h o D Y n k z E k E 3 F x r S L k E t R w 7 o s C + N q + 3 W l Y G 2 k g S d O F + h M w V W n Q t b 0 X K 8 5 a j l C X D u 7 5 W Y x G h p A k y a 3 V B e g 3 G d F H r Z Z l J O l s 0 o U I o 9 u D s C w M I J G Z g 1 q b 3 C 8 Z Y i q 9 U 3 p P y C Q z G O k Z g a M t T U T l J e I h Y W e o w X h 0 G M l M D C 1 W 0 h B E T B F N m 6 x V m C C k w f f 3 + 5 A O G F G z z I Y t z / X g q I s 7 q D 0 6 H D z Y L f q m s a E R 9 9 1 / P z 1 m C P 3 D A R h M B u p L H T 7 6 0 Y / i 2 O O P R z i y B 2 7 7 f H G t A q i d 1 I Z M 2 I d U u g o 2 p 5 + Y t Y 5 u y Y R L I E F E V E w v o h c e a 9 J Q G q H B g s i Z 2 u k E i X J 7 f T 2 o H e t E P P 9 R e B a T M E h 2 E 7 M 0 0 / 0 N G N 2 W Q N 1 y u h 6 1 J Z z o h Y M Y i s c r Q 9 o + 0 k s C q i G O f p s k e N T Q p g L Q R g 7 Q H Y j Y q 4 6 l P i e h T e 3 R R f a J 5 q R J + E B n I B q h P 8 T / T A J E V t O Q S U W Q D h m E 1 c P 3 t F S b i e Z C i J D Q c e u G s c B q l 8 + U o B k 5 + E w + Z m t A U 9 V i f O + 3 9 2 P t K A 3 y 1 J X J t N H E 8 N p t X x b E 2 N 3 d j Z a W F p j 0 Z I q R h J A 6 h I i J O k l h 6 5 x W I h L x i V U 9 d W L Q H 4 D d X U t S I 4 / J S R 9 q q + s x P D y M a C y K 9 o 4 2 B O j 7 K g 8 R Q x k o 5 0 t g 1 S t J C 2 q O Y E o e L 6 2 Q i E x A d F c 2 H U k z Z U H S g j / S P X k s m W i k F p a C L k R S D b J E q 8 h Q s w E N W C y S Q a R H i 9 o j z M Q c I Z i J I S Y T X T B q z P C n + l F n O h I T c Q u a X J L 0 e 3 2 / C R + b n 0 S o U w v r H B I Z O u m 4 A k 1 q i N p m J U J 1 0 6 B z W x M Y 2 5 Z C 3 V F u + p b 6 P u 2 j / g + S A H M i S / f S p c c x E G 9 G i 6 W P z i d B Y 2 q k P s u g y 7 c F N o s F 4 2 9 U 4 4 j z q + B L x u E x U 5 / L 2 g 9 k l s J Q T c R M h J g J Y F 9 s H u b V K F a F P J 4 y N H Q P Z u R S j G w L o X 5 F Q Q B I K P 2 1 D H q O H P V J h g S Z e / / v E V v y E 3 G Y T d W h X X E S 2 g 4 S d j Y a Q y 1 i x L B 8 H Y v D g z Q x v M V R D c e c B H a N G L G 0 P o W t a T I b 6 b 8 U E Y V Z Z y O r S A M D m / L i i g Q h 0 O m T Y n G o w K 3 T R 7 u I y U j 4 p r J k D j d Q X z M P E L 0 Q E + d Z C I d p X B x 5 J E N p m B y k C E j D a o g r q z R p 2 C M 7 4 H T O k y 5 G 0 F 3 3 v / 9 1 I 9 / Y b q 3 D y + s O Y F v Q j V j e N P X S E f F + + d w j c O t t t w m m e v b Z Z z F 3 3 m K s 3 7 A R 4 x M T e P C h h 2 G y O t H Z 1 Q c 7 P T B L 7 V Q m g V g s g U 2 b t 5 D k y u G v f / 8 n W t q a s f b 9 9 f j L n / + K i 8 4 / C 9 / 5 7 + 9 h w Y I F + O M f b 8 f C x Q t E h 7 z w w o v w + X x 4 7 L H H M W f u X L y 3 e h 2 s F i v S p F X e X 7 s W L 7 3 0 M s K h A D H h H G J U + g V 1 m s R M D K n 7 N C S h B S O R N m O p o 9 X R e Y L p J M L J Z d n 8 o / N Y A L D W I W 0 p R J a M b J Y 0 G 5 m F x e B u Z 0 j 3 U I M J g J k x S w 5 G 9 6 Y D G N r n g 8 t j h 4 3 M Q g O Z u R o i T i u Z W X y P S M Z P g z 2 J B q c i I M h s o K + M 1 M b d E x n U 2 9 L Q G U s G n c z B S G I A I z E / H E Y H d F k f D W w 1 L D U a 9 A W 7 y D x L w m k n T q Q 2 a t j E o u d x 6 S b J B G y D W z 9 J j O b A U H Q H q i w N i H W a 4 J l v g D 0 / Q S Z o I z H G i L i + I D i d J G k 1 + R A R V R M 8 N p L G X X 9 C p u q 4 6 U 9 N R M u a S d 1 v j G Q 0 B Z f / n 8 h 5 j p G P M K j / 0 6 N T 1 5 8 C / Z b H S U 8 + V p R M w g h d y k x C g / v S U W s l f 4 Q Y n J r m b a V r 1 k z C X k f G u 9 d K J q + B T C s f o k E S 9 m T e h k e D G P X W k Y F p R J a e n f Q f C X U 9 f d b R i 3 w w I v 4 k j U T h v a 7 o x e c l S J D E y S 9 L G O u Q p L Y o 5 y f I F A 4 k 6 B 0 N E n n 7 S J M 1 E 8 / x d 3 r 6 C 4 w P D 6 F 3 + 1 7 U N n l g I L N P Q + M s q E w h F 3 7 4 S g i F Q l i x 4 g j 8 8 A c / w F / v u g v b t m 3 D + v U b 6 B s N / v K X O 7 F 9 + w 7 c / 8 A D + P Y N N + B n N / 0 S 9 9 5 7 L 9 a u X Y f f / u 7 3 d I Y W O 7 f v I b M h I l 2 M 7 H 6 d 3 o C T j z t C a K k / 3 n Y H 7 r 7 7 7 9 i 1 a x d C A T o n p 8 O P / v c n W L Z s G W 6 + + f e 4 8 6 9 3 Y S 4 x m G T W S f 5 R J B Z B i k y g J D F b T v a 3 N L k o / d R B L z u p a P p M 5 h 8 z a o H p J A b T k h b I E Q 3 l Y V I 9 + 0 x g 5 i O / M T 1 J P 5 L u x d C k y E E n z b D p h S 2 Y G J r E v K O 8 W H p a O 6 q I C D T J f j q B T F t y z t l Z N 9 K g W X R u M u d W 0 O + I w A g D A S 1 G Q h o M R 9 f h y P k B R P r 0 x H B E q C W w G 2 v R Q m a N n p g 3 b 6 g j w S a d 0 2 Z 1 o M 1 O z j / 1 R y g z T m b I C M b i d n S F n G i 2 j p B Z 1 Y Y E C b R s e i U 6 X 5 6 A z e N A T b U J N t + D 9 C w T 5 E w 3 i O u w W B q L 7 Z b e y w E H x h r D d 2 D v / h V p L / K Z S q H 4 K F l p T A O 9 Y d i q j U j P / Z r 4 r P d v h 6 2 X x j 5 J Z i C 1 W Q g v F S J 0 T f b L b I N 3 w V h z K g m B g m a b 2 B d h C 4 + Y y I C e 8 K g w D z O 6 K v G d I T t C 1 h H 5 v 1 Y L H B 1 x e k 9 m L / n 2 w r o l B t D m e a z 5 A / D Q L b 9 G J i 0 F u / g Z Z 4 t c h u g j y 4 K Y f F X S 6 u z q r H 3 p O Y w P s t b P I x Y n D U p 2 Y n 1 t N b Z t 3 U Z C k e i N h Q x B + F B 8 q 2 b v U f j 2 z Q / i x f 5 i 0 6 t a F 8 b 6 P 3 4 W / 7 z 3 n + S k v k e E P U e Y Y Y M D A 7 j 0 E 5 / A x o 0 b 4 X K 5 s H P n T n z j G 9 f h I d J Y Y 6 O j + P F P f o z b b 7 8 D o W A Q S 5 Y u R X t 7 O 9 5 9 9 1 3 E Y z E 8 + u i j + N z n r k J H R w e M Z j 1 d a x g n n H C C Y N K q q i o y u 5 J 0 j 0 n 8 9 c 4 7 8 b W v f x 1 G I z l 8 V i t a W 1 t g s 9 l x 9 e c / R y 3 T I k u q R i M 7 i z o y L T P k 7 r L U k 7 q O D E L S R h o d M 5 U M O R A i t J L o d I 7 8 0 e G c r L X o W m n S r o d l 8 h G D b X 6 6 C 8 s u q s d 7 u 2 2 k 5 c N C M 9 I V Y T F p c d N n 2 U T l C B h L a J J i J J E 5 g p U n c y d P j H J g Y y 9 Z W 1 r E M x O o b q q F 3 q h F 0 D e A b K g Z i 8 + u g d 4 g a w G 6 j y b D D J 3 H 6 D 4 7 a p e T O c R M Q W Z e O D U C q 6 F B + B y M P a M G L K 4 j p i O i 1 e R C 6 N l L n g R 1 Q s f y F n p G I p S M F H m D w S E Y P 2 8 i v 0 R A F i / C X 7 Q I 0 0 l P J r O t 8 5 e I z v s / 6 T s 1 u N P o F Q v S + U T M 1 m o O k E y H L t o H y / A D i M z 7 X / E 5 S c 9 v o n Z b e v 6 G c N O X 6 R m 1 G I 1 t R 7 2 h E W P 7 b P A u J s s o 5 0 d C U 0 3 n y W 1 i U 1 5 Q K o F M j i T d T / l u b c Z L 8 i 6 L b W v f w u j Q M D x e D 3 p 2 7 S B z M o d E N E R W R w Y L j z o e + z a v x 6 K j T y D m e B a n X f J J v P P 0 o z j q I 2 f D 6 f F g b K A f T r c b + 7 Z s I g u j B n W t z Z g Y G U L z 3 I X 0 2 Y v X H n 2 A f H M j P v + 9 n 5 N g k n i k R h N H f b a X B F 4 N A j 0 x R O N k f g d 8 Y 6 J V d k f V j A y l h k S K E v j H p X q N i Y k 1 Q y V k S Q J w G L s U O W I J S Q t J 3 + l K b F 4 O u e q Y Y w T Y l m W G y E K b T S G j I a 1 H P 5 v W F n a C d e R P i U C J J E U k F F r O G k 5 D W i y X y S M 4 H E O a n G a L u z h K V A n d W 7 p R N 6 c O E X 8 U N z 2 r R 3 W V g S R Y F v V e A / b 3 J f D X G 6 q w + + 2 9 p J W q R d S U m T q S H E P H M c 1 w e u 2 I Z g 2 o 0 o 8 h k P M g 1 R 1 F 9 U K n Z I 4 S k r E k u j 7 o J 4 K V G N x C Z l h e Z 4 S J t H A q G y Z n 2 U Z M G U D z Y r q 2 3 g q 7 1 0 Y C i p i K B Q c L D X p m N s 9 2 v j C G Z e d 5 q Q 0 j C C A N Q 9 6 C 2 s j D i F T f I K 4 7 B e F L S k z J Y M H P f c r Q x o e g D + 5 G q v 5 M + o K D V W R e i i 6 k t p K 6 H 9 4 W R M N K r 3 S y g j T d n 0 0 F n d y X 5 G O a 9 / y Z f k q + Z t N n E S W / l p 4 A 4 b w R f v K N b F E y n c h s c t T S T b X k g 1 J z + H E Y w v r g s + l 2 k a Q W T j N T I R 0 n A b g u 5 y K B Y c b E 4 A h W r 3 o c o 3 3 d M J G r U N P U g k g w g A U r j s L B H V u R I M 2 S T q b g b W h A Y 8 d c r H n + K Z x 7 1 b X Y / c F a Q X e 1 T a 3 o 2 r U N b Q u X 0 3 l R E k S 7 0 b p g I e L R K P Z v 3 Q R n l Q d X f e 9 n s H v Y f y W G 0 i a x I L 0 P A W J w P W l s K 0 c n A 5 P D L M Y F Q 6 1 6 e w M G g 4 K / p q C n A f j K p a f J n w o o x 0 i V I b F g l g i W o d O X + 6 V y X 1 a w l R l y + h w B Q 2 G u D P 1 b b N f n y E L T a s l c 4 4 g Y M 6 q I P h Z a r x Y O j G S M f J Q 0 + Y H R N C b 3 R 0 j q k o 0 d y M B g 1 6 G q n Y h 9 i q G B o Q N j G N w 9 h G P P c R M T W I X G G d u W Q O 0 K M z W U P F k 9 O Q E y w s k Q T K S F j D b y d 0 T E i z Q E M U U + H S K a M 5 L v k k F g c B H G y I + a V 8 c + X P H z M z P k O W Q t Y 2 x b h O 5 T 8 E v 6 g g f R 6 p p D h J D B 9 l c 2 k / R u F H N y R v a 7 d A Y E g j 2 o m W M j L U X E Y H D D 2 P M E g r V n w m I h U 4 s I g g M 8 v s g W u K 0 r i Y l I q 6 a G k G N T T Y H s L z l 6 f 4 X d r 6 2 D 9 2 P f g 3 X O q e I Y Y 3 h T A I 0 r a B y I q H R 6 P f V 7 F g f + e i E W 1 e i Q P f k n y F c v I 6 1 C z J M Y R N v 4 f Y i 1 / 7 d g s D x P D X A 0 k B g p 0 m u A o a E P s U w j H G Z 2 / d N I 5 r Q Y D P e h z U L f a U j g k u b M 6 7 2 w 7 P 6 9 C N T s a z g a g 9 a z 5 F Z w r 2 l J L t B I k 9 Z T I O b I i k a 5 g B y Z x B z 4 0 J A b I C t c c i N i e P W h e 1 D b 3 I o T z 7 2 E f s 9 m P v c R 0 S b 1 q V Y v m f 3 V 2 g z m a S W T t y f 0 H h y G V m g 6 B 9 f k q y 0 L B E P t 3 7 0 Z w 3 1 d 9 H W B 4 M w W G 0 7 8 6 P n i P Y P n Q 5 m m i o d b g m A J + o c Z Q o D f M 8 X S G 5 0 Y j / I P x W B f i O f B I u R n s X 1 q N B r o L 8 9 9 Z c W L 5 4 / M Z j P i J G U 4 T M 6 f 7 X a 7 Y J R 4 k j U e O a J 0 D b v d R u c k i F A s i J J k 4 d A 4 h 9 J T 6 b T 4 f T K Z E C a Z l W x w / l v 8 H H n 6 P j 6 j y T e y P S D 8 M A 4 w 2 F 0 a 1 L a 3 k Z T k c D E R a j Y G 3 0 E N q u a T Y 5 u O w W w k s y w T E N / 1 h 7 r Q 4 u T g g Q K p c 3 L k L w r F R U d 8 u 9 L w L i 1 o C A X s 1 A s / R A X B A O T 2 e J d Q n 9 I o 5 9 J h j C X D q L e R D 0 T S X Z v s J t + j Q z 5 b Q j A 5 i H 0 v D p E G c G P x y f N h 7 n 8 Y i Z Y r h Z D i u R Q m m R Q 5 3 U Y d t 4 Y u y / 1 T M t D r / / h J N J J G n X v x t 5 F q u l S c 4 C e T s m o R k R s x I U 9 y 6 s l 5 / 7 8 f 3 Y h r m j a I u U q O l P H 0 x I F 5 3 8 V 7 7 6 / G t + t e E W M 6 e e Y D m E c u R F / f A J w O N 9 a T p t h O Z n 8 w F M a v f v Y j 8 n / 8 i O V r 4 D R E y S S e J B O a T V P y u 7 p + j e i c H 4 j 2 h V J 9 2 K V b I d r G V o Y C 9 q v Y 3 J 8 N m G E 4 r M 4 X Z C t F z P u R m V 7 8 e 2 J J 1 p I i i i 1 1 C m s o Z q g 0 m 8 b k L g i + K J h 8 b r x x 5 z d w c v w p c b K C / k w 9 F v 5 g u x Q 2 7 + l G T U 0 t P X x B 8 v K P 8 9 w I 0 j p 8 G y b 0 I P l N X m + J + i c w g X P H s k 9 U i g y J U y Z + n l D m e z G x R W N x w T T s U z G D 8 f V 5 7 o Q f K J d J i W g O a 6 v R 4 W H 4 g 2 H M n z 8 f 4 V A I D q e T r q W j A W H 1 p A O 9 F Q M b C A R Q X V 1 N / U Y M y D P 4 Z U z A 2 Y b N 9 7 x M 1 2 r h c K 0 e h q o Y E m M m 3 P H k H 6 Q J Y 2 r / e e e d K 0 y M l U c d h X f e e R s 2 e o 7 R k V G c f P K J O H D g I N x u E m D 7 9 t N z p 9 F P 9 v t F F 1 y E n g P d c F a 7 c R L 5 k 9 Q V U 1 C H q e P k N 1 k M 1 f Q u T 5 o z g e g o M e E 8 6 h v y I Z l x o y k t b P q Y Y C r p i a a D z Z v t L 3 V S y 1 3 Q O c O Y e 3 Q r D K Q B 1 O j x 6 c n X S W F h D V N J 4 S r v 3 3 w B m t x a t H 3 5 O R I g C f K P + j H Y X Y P 6 F a S l 5 X Z y m H 5 i 1 1 t I r L 0 d 6 b a z Y e h 7 H Z b m o 1 B 3 3 k 3 i 3 n 1 3 X y i u t e i s M x F t + z Z C f T m 4 2 p i I S b / Q e D E N a W i M N K T R S 8 P z 9 r 7 f I 9 J K 2 o 2 f j C e Y 9 S 7 s z 0 r h d w O N p z Q J L r W X t U 8 m n o b R y R P o H N E l D S P P J W p Y K 1 I 7 p f n S A j L k P s Q z M d g M P G G r R 3 g i g h T H y c j 6 q b L 7 o K 9 q l k x Y u o W N z M 3 x t T u p D 7 y k E A K w 1 2 m h + 8 H 3 / 1 t k S h h N V n R v f A G t m T 3 i w g p C O T u q T / k 6 f n f z z U T U r E H C + N G P f o w z z j w T a 1 a / R 2 f k 8 e L L L 2 E B E f O 1 X / 4 y / H 6 S 1 t Q Z A w M D Y g I 1 m U h i 9 Z o 1 9 F s 9 f v 6 L X 8 J b 7 U V L s + Q E v / X 2 W 4 K 5 E q R R 3 n j r d Z J W 8 4 V 2 Y g 3 0 8 i u v 4 q Y b b 8 Q l F 1 8 s z g 2 H I 9 i / d w 9 8 E 6 N C 0 7 z x 1 j t o a W o i A j b h x z / 5 K T p a 6 v G b 3 / 0 B R x 2 1 k h g 3 g j f f f A u b N 2 / B 7 t 0 7 U U X O 5 o Y P P i A N a I R B b x D X v v e + h 9 D e U g O P m O N i N S p J o / J h 8 2 K k 4 i k M H + z D v O O 0 s D Z U w W w 3 w 1 5 v g M f e g H P O O w M r V i x D a 1 U t t T k D X c a M F U c v w s J 5 7 T A 5 a l B b U 4 e x s W E R w W x e m I e H j l 1 w / g V C m P C x 0 Q E / O u Y 1 C s K b g o r x D V M E Q K x s 0 i E + Z o C 1 j g S U T C h C u 7 B 5 R u Y k h 3 G Z w U o j 8 W y 2 1 s / 3 o n a + D S 2 5 x 5 C t P g 6 9 u 4 f R s 9 4 P / 8 g k X H V W e J 1 a m E l a G e i 3 2 s y o M E k 1 u Q S y e 5 7 h C 8 B 9 9 J X 0 h R 5 j + 2 1 i s p g z G z i Q w e F 0 D f k T W / 9 1 A x w m D U b 6 D t J f o O G K O 8 W 9 N 9 9 9 L a w I I Z b W w B v u x W j 8 J C Q j G t h r U 6 Q d T R I j k b Q P E b 2 b t W Q S 0 n O x q D b 3 3 Q 9 N f B S J p q v 4 C c S 1 + J l 5 2 s J L N O M C m c C k U T z Z C X j 4 r 4 Z 8 J T 0 J m / w E 9 K M J N J B v 6 9 H m x H H x 0 m b p v D y q E I e X T D f l e L U u i 6 4 B n v 8 0 I B r K I h I 3 o M G t w Q n J O + F u + S i q 6 B q a g X G k 9 w / D 7 d R g T 9 9 e n H r h U W h c U o N X 3 3 u d G O o H 3 7 + R O 8 h o s l R k K C 8 x V L X H i 7 / + 9 a 8 I B o J i r q i t r V V E 7 Y 5 c e S R W r V q F 4 Z E R 9 P b 2 E j G t g M v l F C H z 5 5 5 7 j g j 7 T X z h 6 q t x 9 9 / / Q d q t h g h a j x d e f J H u Z 8 S G D R / g i S e e x J t v v Y k q c v g O d n X h 5 Z d f J j P T j M c f f w I O 0 o S 1 N d W 4 k + 6 7 a / t m b N u 5 h 0 y G t X j / / X U i G v j G G 2 / g l J N P x u u v v 4 5 P X / l Z v P 7 q y 9 i 6 b Q f e e + 9 9 0 l Q R 0 l Q 2 w a D 3 / P O f u P a a a 4 i h f 4 G 9 e / f i j I 9 9 V D D b U U c u I 4 b i M H F B t R + K o Q b 2 D K J n y z B W n r + E C I y I S G e h v x F M 7 N Z g z g o X r I Y k u W l 5 2 J x e N D T X w O U l 0 3 M k j s i A A U 3 z 7 D C S J m 9 r b Y H R o I e d z L i E p R f h T D 8 N G g s T I g R i / h z 5 W 5 r 8 G L W K 7 H o N p z a R D 8 g M k v V T C 6 i t S g o N j V t 0 P A x b j R k R M r c 0 4 O w G W b W J s D a N K x E A n 1 c J 5 u G n k a 4 5 A + 5 a B + o X u l D V 6 i H m 1 m L X W 3 s x v G s E 7 j Y d D O Y a u n e M t E U V / B s f g q l m P h y L z x G / 1 + q D 0 J l N w m T k e 3 J f c M p R a s e j 4 r Y p 6 k q r g U z C o 6 8 g j T O K 7 r f u g 5 O 0 4 V i E L B H i f U v H 1 a h Z r s f w z h Q x o g 9 m m 4 X 6 g / x F c J p S P T 0 B m X j 7 f 4 l 4 x 3 X Q e Z c K N y B P v p R B b x b v t a R J 9 P k g D C Y v / Y 1 Q E 7 z i e C J r I J N b h 7 T W C U e V G a k Q u Q w O 6 T d F L x K w p c f C a S u c V h 3 s Z h 0 W N w C t X g 1 M 2 j H k H H R / o l + 7 x w Z v a x W d q 8 O u 3 X v w 0 k u v Y o T o v 7 a 2 D l q e k B S o 1 O d C 9 U a w a + c m t L c 2 Y G J 8 C D a L E U H f K K q I Y D l s z v Y w a w 2 + A Z t n H O L e v X u 3 C H 2 z 5 G X z j 8 3 A t e + / j / q G B n z 3 v / 8 b 7 W 3 t + I C 0 B u f V s Z r 3 e q u F t u L v 5 s 6 Z C 5 v N h i u u + K T Q b t 1 d B / C 5 q 7 + E n p 4 e j A y P i P v U 1 t b S g H H C p W R K / v Z 3 v 4 P T L e W A c R p N X 3 8 v h o a G M T 4 + I c K d H N p n h M N h 3 H X X 3 4 R Z 1 t 8 / R E c K z H Q o T P R N I D Z O Z t x 5 S 6 h f 0 k R g H m Q S Z E p 2 e 1 C 9 z E g D b U S A C N 9 q q M V I T B J M n a N a O J v s 8 C z W I n h Q M n V J w Q l M J P Y J 8 6 j J c g x 1 v 9 S O 6 E A C O b M V Y z E 7 O b o c H o 5 h P L 5 T m H N 5 Q w O G k n v Z K J h C n u P h B D v 5 L g a R J l Y C N o F 4 D i 3 Z j x w J C z l g O I V Y z o z + 6 P v y J w K P t 1 a D Z R 9 b j K a P r c D B N 8 i 0 J n 8 k n P N i 8 4 5 e c e u G i 3 8 n n U v Q W p y S 3 8 E R R Q a b n v S H E w J 0 Z j e 8 N m o f M z l p T W 5 / D U n 1 F J l V V g 4 S k h b O g s 2 x C B p W V J F m b M T Y r i z 5 I x a 4 8 w Z o E w e R j w 0 h X v 8 p 8 R x m i 1 2 8 7 D b P 1 H t + m R x t M J k d 9 L c Z J v m Y 1 2 U j P 9 q K K v p r J c H s r v P Q O b a p 7 8 X v z I X 3 6 t e K V r I q 6 H X s H C P q P W Q B k G z K N 3 + 2 6 B y + j t F s x K U f X 4 5 v f + t r O H n R a T j p u G O h + c c / / p E / 5 e R T i d D r 8 N 4 9 N + C 0 F N n G K i g + V D l k 5 Y H V i U x x y e 5 l z i z 2 T c q h Y G K V g i / J J M K B D c 4 J z L F d X M T t h d 9 y 0 L A 4 Y C j 9 m p N i R e 6 W r u j L q W s L y J G l U l T y o R K R B H a 8 2 k 3 M N B + B r j T 0 t h R J b 5 6 M L L k H 3 W Q 4 r C d b n K S v I Y s a O 9 + 1 g N B A F I l J H R q O J k L k 2 e V 0 g N o S I 6 E V R t r Y I S J s o U E 9 i D Z E l o m Z H F + N n k w p F h 5 p 8 l k i B 2 E K v C N y 0 S K e I x D e Z y V m l h i J E 4 5 1 6 U k i X N K 6 w p c o j 2 h q m H y E W h i G X 0 C 6 4 X x M J j v h N S + U v 2 V I P b W 5 3 4 C j 6 / r w w a o I F p z l w p Y H r k M 1 O e b L v n o v 3 a N O m g c z e D G 2 I 4 R a M v u U S O D W + 6 6 H M 9 6 L k G U e X P F O t H z 2 H 9 D b a 7 H v + Z u h 7 X + D G C o P E w 0 c Z 2 / X n P 0 W H B 3 k 8 6 n 6 0 b + P N P U c 0 l J 5 C 0 y j z y P Z c i U 4 m 9 5 e s 5 S + L e 7 v Y q j p q j D a P C Z C S d M b j v r q l L k t Q r n o n / K t c i c O R m Q 1 0 h y n + v 6 J e A S Z S B f y x i Y x I c + h c 8 2 u H V v y r a 1 t i J L Y T E 3 2 I O n v E x q H p b / I q t U Z M f c 4 y Y m s B G 4 A N 1 q e P i G 1 T 9 K K D k i M V W h A O f B v l T M 4 c s W Z 5 F o i D L b D s / R Z V x I G V 6 D + H Y O T c D m 9 i O e U O D O C Q / T l w / M y S P J L I f R i l G M o l q R b n + 1 G 0 5 x 6 6 D r 8 8 D q a B E O S X K Z 2 T o / K H Q p s V v z r 3 g e F S T o Z 8 A s f j 7 V z M B i m P t e g r 6 8 P i x Y s w M j Y G J m u Y V x 5 5 e X Y t 7 8 T S x c v I 8 3 s o f Y d J J O 5 H R M 7 0 0 I z K t n o a g g T j f 0 a c t o r w d H z M 4 T b p R w 6 B f l 0 D J n 7 z 4 D + s k c B V + t U H 4 9 1 j 2 H n P Z 8 h s 9 2 I e V 9 / h P w g K T F X y v r I Y X S v G 7 V H S B O 7 L 9 9 4 B t p I s k 8 m 9 G h 0 k S n 8 1 V X i + B o O a N D n 7 v E E 2 q r 1 W E C m 6 l j H 3 Y h 1 k B a 3 x u A w N I t M c R 6 X v u 2 9 2 L j 3 D X z i i i 9 N T R k 4 X F 4 e D K K R P H 5 H F g l b M d / 8 5 j f F t S c m J v D d 7 3 4 X T e R X / / S n P 0 U 8 H s M P f v B D 4 W b c S L 7 4 b 3 7 z G 7 x H 1 g 7 T 6 b n n n T v 1 u 2 I w V T G m 0 4 2 W t C h n 4 K j B l l E u w 7 R S O F / 3 q 1 / + / E a e U X d 7 G r B 7 y w R 6 9 5 o x O e b C x J g T 4 6 M O + C Y t m L 9 S C i J U m h / i I x L 3 S l q L n W F J + t M H k s I i O 4 C 0 G L / E 2 U Q A z H Q i h Y R M H v p C / k u O N s / S y 4 y o 5 N + p o T A S T z o q D M z g 2 S v + l 3 / F 7 z j 7 g Y l T g a Q 7 V W A i L E O I p T 5 U I p z A p m f 2 Y s 6 S + R i v y R K h y N F L j Q 7 R y C i R F Z k a 5 X m + I r i v 5 s z r I I 1 D p q 7 D i + O O P h 5 9 w 3 0 4 8 s j F S M X j O P 0 j H y F T q Y E c 8 i S O P f Z 4 J M g R O b p + A N l U l M w Y 8 g u N t f S U a c Q m D L D V l U Q c C D r / Z u g D u 5 B 1 L S M t M i b 3 p w Q 2 I T n 7 3 W k i J g 6 s Q 8 p 9 i v y N h K 6 3 / o 7 I 5 B D c J 1 x D 3 a M T 0 T 6 3 J Q d b l Q 2 Z / Y 8 j G a M 7 W 0 / A p H k u P B Y a W 7 J M W D P Z q W / C k w G E e g y k + R 7 H B J n 7 H o e R B I U Z A 8 Y j k U i m o N 3 / N N E U M S C Z f D Y S d o P + B N x k W u 3 q y 8 J u 8 p C f / U + 8 v 2 4 z w p E Y F h y x B O m s D g 8 8 8 D D s 7 i b 8 4 Z b b 8 P G P f 1 w I t y 7 y t a + 6 6 i r h R 1 9 6 6 a V C A V x + + W U i c P U + u R X s y 3 M 6 H P 9 9 + + 2 3 h b B a Q 8 z E g o p / u 5 C E 1 c c + 9 j H 5 i d V g C u E X U 4 t M T y Q 4 t R w R 1 p L w V Y h c R o 6 e I 5 m Y I A F Z y B A p y p S 4 7 Y Y H M f l y i U S r D u O X 7 3 8 W v X 2 9 w t 9 h / 4 S D B a V g f 4 l 9 J b 4 Y E 7 s 0 + S o 1 i v 0 n / o 2 y j m Q K Z N v n a N D Y k t Y R I T O R T u W I l U G W J a 6 4 J j + b n I h Y B i K V i D U d + V r i M 7 2 K u 4 L A J h + b K C V M p d Z Q 2 9 / a T U 6 9 g T R I A + q W W x F I k u C x V J E f o o X L T I Q k p G l J 0 q c K E X K u j R o b j J y A W g H c z j x J 4 M g g X S 7 T A o 1 h k J j K B P d c B z z B O 5 B K N t P w G t B d 1 Y x m u 5 x 0 S o J p d E c Q 1 Y s 8 U j I t R + A 4 K 4 G I L W 9 k 0 0 v S m v a D N y E y 9 6 f i v W S e V Y s J Y E a r q w O O v l + h s + Z C V J u W k K k p / W b L H Z e S p s i g / c u r M B H V o 9 5 Z E C 7 7 7 7 w Q 8 7 7 0 M F k e F u x + e Q I d p 9 j R F X M T M + S p P 7 K o s u Y x s X c 1 g u / 8 D q Y j r k L 8 g / v h P u Y 7 a D j 1 T P z p / 7 6 I j z e P k Q Z k 0 Z d F M t A D R 9 1 c z L / s a q S 8 l w u t w 8 + l Z U F M U n / y g A m e h e z P 0 R g J 0 9 9 E f r p b R G p 5 V u U H P / g f 8 o / H c M 8 9 / 5 R b R 7 4 p C a P j j z 8 e l 1 1 2 G W 4 k L c X B r + u v / w Z p r B t J U 1 U L P / q z n / 0 c 7 r r z L p x z r h R U q Q T 2 6 z i 4 k i / j F i g Q J l 9 0 m P r V g 0 g y T / 2 g e M I z Q i L g U Z I s d 9 z x J z F 5 + v w L L w g m 4 Q f g v y y N / u 9 H P 4 L P N y H m X l 5 + c R V J 1 R Q 2 b t q E d 1 e / S 9 L l D / j 7 P + 4 W I X c O C j D z 8 f K N F 1 5 6 B f 7 R A a R j M Z H K P x M z c T u U L I W y D K J C P k 8 P J j N T s W a S A z A M 7 i g 5 y b Q U U Z L q k Z Q W S f J 1 W p c 0 o o 4 z E k g Y M D M l s x q 4 S G I L R p y B m R i p T F D M j c y E / l A 3 B o i B n X M a 4 V 6 Q h b M + B 5 O x D q G D W o R r / w v J 5 k 8 g 3 X Q + E Z E 8 V C S E M r E I T C 6 j x E w M d v i N L u R J 6 y j M x I j M / Q m s u 3 4 J + 9 7 / g 3 3 w T j g m b s O i o Y e n V v l m 8 n b U W V Z M M R P D o s u I i d 6 h U D E z 9 a z + h 5 i X C t P 9 e S n M 8 g v q h F O e 2 b A H s c 3 b S a O S R U A d v e e 5 m 5 m v 0 b 3 m A T G c T a e f h Q F / H o v 1 g y J j q T + S o b H J w F J N g o I c G m P i A M b C P E Y k A P v f h n 3 k z 9 C G d y M e m o A 2 2 U V U 2 4 c 4 W y 9 5 L f T U T P 5 N Q V F I b / i 3 j O 9 8 5 z t C 6 H / r W 9 8 S N L J 1 6 1 b S X j n U 1 9 f h v P P O p / M 0 4 v u T T z 1 Z B F I q Q Z k C m I m Z F I h M D w I L F f b z d D / 4 n + / J 8 1 A W r H t 5 B + K d J Z E i a w p n X H M E P U Q e O 3 f t w q b N m 4 Q t u m f v X q x 6 / n k 8 8 v D D 6 O n p w k D / g A h p h 6 N x r F r 1 H P b s 2 Y P X X n u d 6 J B M o 2 h M T A i z N G F G e u S R R 0 T I + 4 t f u B q / u f k 2 Y r r 3 c d L J J 5 M 0 T 1 L X M O O U s 6 G 4 2 / h b D k Q Y h W m p N v k Y / B 1 L f I b C f I z C O 0 V + 8 J n U v X k a 4 Z J O Y 5 P P F 7 a i e e g m j I c / h k b V + p 5 Q Q j u 1 H F y B J j l E D S q v g S z 6 a j G I a v S F N 5 A G 4 A i l x A z B 9 D 6 k y a S o Y j O Y r q P V 0 l M 6 4 8 g G r U j Z u 2 H m A a N z 3 c S Y Q 9 H d i O w 2 I h U j U 3 G e l E 8 2 M z R I 1 5 6 G V P U Z Z N q d j h S Z a u m a 0 + g h W Z D k Y Z p 8 D x l b B 4 w D r 8 E S X A V T f g v 6 1 q + j r 5 J Y 4 d k v 7 s s L H P P 0 d 8 s j N 8 J u 1 K L l 5 G u k S x O Y s R p I S 9 b O r c G u F y d R O 9 8 K 3 w c P k h D R i H M Z t 7 9 4 E F d c c i 7 8 m / 6 J Q H A C D V 4 r o i R U Y 3 H y / z 7 y L V i b j y Q B 6 4 P d a s K z a / p Q v / R y Z D S N 2 L z 3 A 8 x v 1 M P S / Q A s Z M K a U + + T t X S m Y C b 2 t d 9 4 / U 3 E S B B f f P H F 9 J Q 5 3 H f f A 7 j t t t v w 6 i s v o a W 1 D Q 8 + + C A u O P 9 8 E Y X u 7 e 0 T 5 / 3 t b v L X Y l F 8 9 S t f J n l I v + L o Z C k R E S Q T b 3 r E l O + r H k 9 e H c 4 p V h L o u N Z G / j 8 R Y H 9 A T y p X P l 4 J w j T S w G q 1 w V 3 l w c U X X S g y z j k T o K a m D i 5 y r J c v X 4 7 h w X 6 R e n L E E U d g z p w 5 w n Z l 7 c Z z V s 3 N z V i z e r V I L 5 L C 6 d U 4 / / z z M E b O t 8 1 K N q r e D h 1 J B / b V G K V N 4 g C F n t r B x 8 v F G 8 Q h 0 k 7 q H / K x 6 Y 8 m / Z h 9 O C m 4 w N I 6 Q 0 z K K 3 x z a B 3 4 J X r 0 X 0 f a z m H 1 A u w m i V n V 4 A V 8 h 4 N W x 3 H E N A W N 0 O o 4 E X P d x 4 u I F y N P g z I + R t I 8 E y U z q h 1 h X g Y i j p v Q 6 F g J e x V p z K X T s 1 C K w T 3 I / x W 3 1 5 / o R C j Z Q x 1 J q o M E S T x r R B i N S L V / A p G 2 7 y N c d T 1 a r t + A J f / 1 H q I r f o 1 0 3 U e R M 9 O 9 6 H w n m T O 6 T A j W g z d D k + G o X D G W n O v B j l X D s N J 5 l s U X E O H n M O 4 P i T n I 7 9 / w d d h J m 2 n 1 5 E / 1 D y I d m Y D H n s X d L + 3 B H / + 5 A S 0 b / g f + 1 2 + G b 2 I Y R n 0 O f 7 j 9 D z D a D c h a G x F d / H 2 M z f 0 K I v X f I k 2 q E 4 J I J y w L H r U 8 L r n k E v y W h P L v f / 9 7 k Q l z x I q V u O a a L 4 m l Q A s W L i R h v V p M v z D e f / 8 9 n H L K q f Q r i Z Y 5 t U h k 5 r D Z T W q V e U B D w o Y j y 3 z 1 U p 4 o F Y 6 l Y A 2 l G R 7 b m 7 f o P c K H + v V 1 d 2 P 4 V d m M k K H 1 x H H 7 x n I R E Q Y P m C L 1 C 0 j T Y f a h Z r 4 9 t 1 Y j F i 4 u W b I E Z 5 3 9 M b q S r J k 4 M M H S U W W + T I E u y g 8 6 / a 4 y q E O y O T K H x E / 5 H n J D 1 J 0 j P v M B k l B 5 u h c Z 5 X m h F T V 4 5 r 0 Y 3 t k S x F E L r H h x b R B 3 f 7 e a v s 4 R Y e v g M K l M R h W 0 i S 4 i P H W e 3 s z I s d l G g 2 h U s r A J O W J m i a k 0 G N 7 q R 9 6 r Q W 2 j E 7 / 4 1 a 9 x 2 a W f I C G l I / / B g s c f e 4 I k f Q B n n n E m l i 5 Z Q E K q l Z 4 i K w I p G Z K s s c w k m a s R 2 A 1 m 0 h I t d M 3 i 8 V T D d u D n i M 7 / M Z l y W p i I k P 1 x H Z m p e d Q 5 p g u O 3 X + 6 E O 4 l Z 6 H x Y 9 8 S n 8 0 j T 0 O f P I C 0 p l 4 2 f b X Y + N p z S A 8 P I W L 0 o M 7 k x 8 K v P 0 V m W w C r b 7 k U D c 4 8 e v w e d H h 4 9 a 0 0 J i M X b E L + i X P Q 4 k i g / d K b R M Y G T 3 c M b 5 t E 4 5 H E y K S O N C l y L k X + H P k o X l 4 Z y 2 M g P R N 7 Y 5 / 8 5 G W 4 9 o t X 4 + z z O K O G m Y L M f R X h s f b K k L m s D L / y H S 9 f 4 U l w E Q t T G U T a b J g Y y i H R m H x u + Y R s y Y d K p w p u g y b Z V x y U m B Y 0 m B H 8 M 1 X L y 0 D d K A b L z A K X l 2 f G A k i 9 c u h X O Y f D 6 N R Z n K 8 Y D E k a z k w O a i K Z F H 9 T K b b N d S I T g T M J e J U v f 0 6 n S S 0 T Q / D 5 J q M J I T I 3 b H Y H 0 p w k K z 8 D R 4 H Y p O X B f G 6 1 H 2 9 v D s B C J k v v a A q / / E o N + Q c F u z 1 B T r X Z I L q s A A 6 p k o n A u V / / N u j S E w e C y L r T e J S Y 5 9 Q T T 4 T L 6 c b a D S T J W 5 v Q 3 z u I Y C Q A p 8 N J f s E 5 + N O f 7 8 R P f v R D 8 v t G k c + 6 S B M U T J U 0 O f M z + X A 6 / 0 7 E n e 0 w E M E O + b V o 8 p Q 8 F 6 E / u g 7 1 m i X Y f 8 9 n s f Q b z y L U v x O e j V K g g x w h Z M 6 9 W 3 p P l s W 7 v 7 s I N T Y t h o I Z M m H p 6 1 P / h C U n e L H x z 5 + H 0 6 x B K k E m a O g g b N W t m H / l H 4 G q B d h + + 4 X 0 n R Z z P 3 E j M d R K j G 2 P w z s / T k q R p z S I X n h 5 v 9 a K J A m h 6 u o F 4 p i a 7 t i n F + P H W o u 4 o / w c K N M d j 2 9 5 e l M S a T k 0 z r / n s 6 X f K P 8 W o K b p a Q z F 2 S p q h r r l t f u x I d s r v l R g S + v x z 4 v / V 5 h p 7 I R y I I L X K X G y J 6 t J U V K M E I 2 G Y T C Y x M M p K G U o h m S G q B b 9 f Q j w M n c R x i w D s V y j j F A W w 8 D i i A a G 3 i A N M x G S 0 s E 5 Y l a e m C Z G T M v Z 5 q Q x D o 5 l M b e G z + e J 1 R m Y n 7 M E W J s y Q 8 1 0 3 i w x u i O C u u U k 9 U U k k n p K 1 t T h g Q Q c z Q W G 4 R J f O p 0 f Z p 0 b 8 Y w P o c w Q 6 s z L p O 8 y 4 7 D p p 9 d 9 K E A i z E B M C 2 f w b W g b p i / R U d C 3 c R W C a / + G 5 d 9 c h b W / v w C N d q m E m n 3 J e a g 6 5 R v y W c A u 0 m I a N g 2 o j 0 3 V c z D 3 U 3 9 E P O D H / j u v Q I Y I l p k 9 5 u + C 2 d W K x T e 8 g N V v v 4 r 6 v T e T E L S h 7 d p n x D U 4 o X k 4 Q c K D T G F B z s n h K b P a 4 e I A w K E o h 3 5 D z F X O B 5 J Q E O R S D 9 D w k V Y 2 a G N y J n k 5 F A t / T i 7 i H M c B / 0 a 4 t K q M / t Q 4 M 9 Q o X Z e c S G K o L z 1 4 E + 5 z 7 5 S / l d A c t q D v M w / g u 9 / / H k 4 4 / g R s 2 r R R L I / g x F V O A e K o 3 f Y d O 9 D d 3 S X m A d h m 5 h A 7 z w 3 M m T s P b p d L r N r l F K L z z j 0 X P b 0 9 6 O v r J 5 P l D P k O 5 X A o 7 a V 0 h Q T 1 J 1 6 l W y l D g v 9 y Z 0 j B M e U e P H 3 M 7 7 Q k Q b O Y T A z D p r F i L E w m l 4 O M K f p S l y e G m U H S T 0 d x + 9 S I p i f g S 3 e i x X q C f G Q 6 g r 0 x j K W H q Z + T 2 L l r N 2 p r a 0 R K F 6 d b c b Z 8 b 0 8 P I t E Y z v 3 4 O a S x + V 4 S + m P r 6 b r H y 5 + A 4 f h W M r 2 W Y T y 1 d 4 r R 1 E h m N G L V a 5 x k h m f g H s Q 7 v i R / U w L 2 L 9 K c I p b B 2 t u u h D v Z C 1 t t B 1 q u e Y r k h 6 S V E 8 F R d N 5 / L f L N p 0 A 3 s A a N 1 9 w B t 6 U d b / 3 2 Q t T Z N d S f O T T Z k 4 h F j D A 6 d I h c + D K S j 5 6 N J q c G H V 9 5 l r p L C + P E u 4 j Z T 4 L e r E d f + H 3 y L 0 8 i o c z Z H 7 x c v x 5 R M s / d Z r K k F H N B D R Z q p W O U I X O e / L Z S + M i P r D K 2 k / Y r V J X K k p + i U 6 2 h K g v V P f w x c g E M C V i H b y U t 5 U X G N B f m + B p o / J O j Z E h l Y H f W E E P 9 r C J D 3 X f / f e T U r R V m I c 8 + c + i b l 1 b w G q Z r r 7 1 G F F j h y B p P n n F w g h N m j z y S I z i T I v 7 P y 9 0 5 8 t f f 3 w + P p 0 q E N l t b W u W 7 f A j k y Z R T z U W x 3 8 b 9 U W x W S q T N K B 0 C M b H M 2 d F T 3 3 B p s i z 6 J 8 f J 6 S W T x S Z N 1 r G r p R X L C H j J x G E i N U H c O / 1 3 Y u a f y 4 A J Q p H q O m S S K e j J d G U M 7 Q i i c X n l D I d A T x T u d m l g g 6 l + u M h X k p 6 0 8 J Q Z I j 6 9 x o x A q g 9 u Y 0 k / s 3 k k N G q B g I Z D O s y b / A O i H d I q 3 g Q x m 5 l T d F h L i i C K d O 3 e u y 9 C f L w b l p o O a Q m H j D d + d x l q L S m M E O M 0 O r V Y e r 2 U H b H 2 5 g v g o o F J c / W p 4 C D 0 9 g Y s v W E V 0 Y o W O + + 4 U O T 0 1 V 3 x K I b 3 T 2 D e 8 a 0 i S J A h w W a 0 F s z n W G Q 7 r P Y j i N 4 c S J H l Y J x F O L s Y R B N c D k B D w l P r h D Y X Q k 7 v J U H K l F I w 6 r J p E q B c b I X e c 2 T a Z D K I N D Y 7 + c 6 C r t i k p H 7 j w j d c x i C R z C G d L z b z t V z I M i v m O A q D U Q q + 2 L H H H i s K t b C U X L x 4 s a h Y x B O 5 v F z j z 3 / + i 8 h A 5 8 / M c K t X r x Y T u Z / 8 5 O U 4 c O A A l i 5 d i l d f f X V q L R R 3 z L 8 N Z q Z c g j o l O 8 V M o r C G / B x s j j L 4 E 5 u e a v B H 9 p c k 8 B n S T A Y T U W e f e Y q Z G C w M S 4 s m q p E h G z o a 9 B F D J J A m U 5 G L g m T T 8 v y N 0 U s E 3 Y v B 2 E a k O A u b I c L 6 3 F h e r V p Y N K g w U y 4 V R O 1 c 6 n G 5 / R L y C G e G 5 f e Y Y i a G n k w b v v Z I v D j f k p m J M Y 2 Z G M R Q 0 X S x X d z g z A p m M o 2 / L N p I r C h 9 I Y h X 6 t N 4 a I T 6 k i w A G u M 8 2 9 Y q n P H 9 J 4 V J 6 L Y Q U R L R M / J k p R z r 6 s c 8 a y 9 4 u V U 2 S 3 6 t k H o a 7 H z 6 t + J Y 7 R n f g 6 3 K i r o V c / D e H g 1 e 2 U L d x s z E 2 i D t o 7 8 x w U w M D S / / 1 1 t I D t A o c 8 R v l i 8 h d U 1 e E l 6 1 Z J W b k a N x Y b + A 8 y b J y 6 a v E + I 8 n g Y w G Z l G T S I L w 2 q 1 w + Z w 0 + / o f B K M a U O 9 G F N u B 0 w 1 J N C L + 4 B R 5 E P N Z P K V 4 r + + 8 x 1 c d 9 3 X M X 9 e a f F D N S E o C U F q y A T 1 n w B L W p n Y x V 3 p H 7 4 6 g + / M M + r s J r G J w A Q 6 1 T K O q C n L H F R I k 2 T M a Z L T c v k E S s N B / y b Y / 5 m a 0 x J a o F j q B n t i c L V L f m J v d I 3 4 6 z E s h 8 M o a a 7 R / W O I 1 v a j 1 t Y s l o F M J g / A a y o d i 5 k h q j Y R k S l Q o l m a p I + k M F G 7 n i Q x J 9 v q 3 e g N 9 a L 3 X 9 9 D o y l K f a u F o / 1 k 1 H 7 s O p J k U j U i B d t J 6 3 R c / H M i u m Z s f v Q G u L W T a L Q m M J m x I 0 a m J W e A 1 5 / x I L Y 9 c Y n I 8 5 v / N U m T q d G / f Y y 0 Q Q 7 N K 4 i A O e I r + 0 M i l 6 8 I C i 0 x Y b O A K E 9 b U y t y Z 8 R 0 S j 0 U p o I S K l O w a G L 3 r Y 3 v I + W P o j 5 k K r w i J l x 9 / E X T b v X x c 8 6 B V 8 l r K w K f q b y k f w t N 5 X f T H 5 g j d b x E n a U f + 1 4 c l W P z k Y / x Z / Y f + D M f 5 w o 2 W f r L V W e 1 q r A z E w O X S m Y 1 z k Q h / S V J x i q G w H / 5 p U W c p F F 5 j c P V Q f n 6 / k h 2 e n 6 e M I 9 4 w K T r / b s o W v S n C m 2 z G c i 3 s N g i i B J f s 0 Z 3 6 6 o R z I y Q S V V g m G z A j I b G J v K D n M I P C q U H B G P 1 R t 8 j r S Q t F S 8 H k Q M p 1 x I s 9 T k 4 g C R Y n L S A f e B O p F z k 5 3 E C M T 2 7 R e P E 0 J r 7 o Q / 1 w W S r Q t P l t 4 q J a B Z O s Y c v g + X A o 0 h t f w Q t b h 0 x + t d R h 0 e w b 8 t W N F X p k d G Y E K c x Z I G 0 9 L q n k L X p k N v + I F 1 b C + 8 x V 4 p 7 q + G q s 8 F Z T w w 4 t A s 9 2 y P w t k p 0 Z j J L A u b Z Z 5 / B D d / + N m L k y 7 P l 8 9 p r r 2 H H j p 3 4 6 U 9 + S u 3 P 4 6 W X X i R 3 Y 6 W Y 3 F 2 5 c i X 9 Q o u H H 3 5 Y W E 7 s e j z + + O O C F v 7 + 9 7 8 L l 4 W z e 5 5 6 5 l k 8 8 v A j e O r p p 5 D J p E W 1 4 d W r 3 8 V N N 9 0 k s o F 4 P t X r 8 c B D V p j o Q + q r q Y l d l T C U q J s l J O H 2 a 3 + E z d f d W / R 6 + 1 t 3 / 1 s k V M z 3 p V d i A g X M 9 F B c / 8 x E x M M v I 5 m G b F Y o n 3 n S l x c m G o h T j A b p e 7 3 e K J i I r 8 8 v y Z / U y H 9 p r M o 1 m r V M k S l V A B c 3 U c x F p 7 n 8 O V y O + n C g i e 6 S 3 x 0 K U j 8 w 2 F d L Z L m a U S 3 8 n W H p I B F 1 m + 1 k y S e T Y a m X f m M z S n 9 5 c 4 W h G B G w 9 T j 6 N P 3 h N c k R 8 Z c 1 t s h T q 4 B Q Q v p t p L W k I h K h w c X z O a z 7 u a i J b B a T M J i I Z n F g K I 3 B Y B b d k 1 m 4 5 x A D t X 4 J Z g N b B p y C R a b n M Z f i i G 9 J 2 m j D b R e R L 6 N F x + f u E Z / L I R f v x Z j T j / k n t o g i o g f W c a 0 T C R d f f A k u v O g i s c j 1 s k 9 c j O u / c b 3 w y / n Y W W e e B Q f 5 9 q + 8 8 r L I i p C Q R 3 t 7 m 3 B P r B a j i F h v 2 L A B T q c L m z d v x K O P P Q a 7 z S r m + j g u E A g E x T J 8 r v P P b s q i h Q v F b 7 3 V k j / M U z e V o B U d f d h O 3 q H B 2 o R R G N o C 0 R Q w Q 8 v K Q j 6 f z Q B C J p 0 U Y X x + e N 4 s I J 6 M C q d W C s 3 L E P a 8 / J k k J G c i l C K d z M J g k r Q E L x m v C N k 3 m B U y I e R t v H 5 H e j 8 z C v c 8 0 N m N o H 8 c 6 z d s g r 5 O J 6 T w p C + I V 1 9 / S 9 j x A n Q 9 j Y X s J w J L y n B 6 h L R T P f T R N q x 5 d y N p b g O 2 b N 2 J P 9 x 6 O / Y d 6 M b u v Q e Q M 0 k V k 3 g 8 Z s r u c K m E i W P g F v k d h 4 l 5 W Y w c + J F P C R 2 k 6 x H h 8 8 c c a U l h D Z A 2 0 0 9 u w p b H f i G 0 M H / H 1 Y 6 a T p J 2 9 l C S Y L k d G n 2 x u a i G V u 9 E u / 0 U 9 M Q 3 Q U e M O f / 4 N n E 8 k y i M 7 f J l y / H K q 2 + Q V n k a S 5 d I f f 3 s c 8 / h 6 G O O E Q t c O Y / v Y G f n l N X D q 7 P / d d + D q K u t F S l w r I k 4 y 0 d J 9 u a l H 7 / 7 7 e / g 9 X p E / R R 2 E 6 6 6 6 n N i d f m i R Y u w c e M H 4 r y Z M O V D 6 X k n C N k 8 E g 4 x v c 2 k R m A w N p A m k J x / Y 8 U 4 f Q H h e E 6 Y I E Y O 1 C v g u R 9 V u k 0 5 8 A K 7 P J 9 T c f 6 A C D 8 r 1 a w 2 T z 6 P h P c C + a g E T Y J r c 1 v I 9 r c i P s r R G A 2 M D g 3 s w e e Q q J P q U k h m G 0 H V n q F 9 E 2 h c S I R K / h g Z e m Q 2 c p U l O a h w u M g G x X V 6 U / v F R 6 e h W Y R n B Z g Z 2 d a W w 7 Q M s S O I I E L p c z D B W e w 8 H N J x H o f h / e S D U P u K g x Q S I s M h W J w R s e 5 L R A 1 Z M N J 9 U j k 9 E b N 8 P i 9 g N E h 5 f 1 I 2 h m p c O A m 0 J B t F z B 3 m I q I f x P d 5 A 2 l L F / a u + j 0 M g + / Q t W N w N h 0 L 1 / E 3 i Z 1 H t j / 0 H T g i n R g K k s / j 1 m L B W e c i 2 f 5 1 v P n r 8 z H H K 9 0 r m I h i x b e k h Y V J M h n 7 H 7 o e J k 8 r P E f f i q o F F Y R 5 c p R s P C l o w 5 E 2 j U 4 v + 1 A c b e N d Y E h T s F k + Q y Z I Z X D f y J 1 e B m J c W F L N A A 5 j 8 Z q r v t E Y v A 4 5 o Y D / V x j K Y r X T I L J K p 4 c m w j B r 7 f T t 4 T n h S r S t G C x R W K z x J O U s N S G Z Z l n o y 5 t t B F 2 0 h + x w m V A V 5 B M i p G r O x B H R W A R B m n V m k U q j S 1 G n 6 3 L Q m 6 X G 6 Z O d i O n n I z Y W h b W W l 1 d w G 6 W b p Z K s 8 S T p P 1 v 0 + b V o r S p I T k a S / B T e P q Y c e s P v w z V y H N z z i / s 3 N k b X y G n I n N N i 5 8 7 d 1 C T 2 + X R I p h K I x m I 4 9 e T C H F M q l I D R a c J Q O I 5 G B / k W a T 9 1 f h m J n y M z V U w P l M f B V 2 7 H w u h b y H z i a f m I z F R T f c 9 t y u K d m y + F O 9 U P a 0 0 r 6 i 5 4 F M 5 m K 8 a i I 9 h 5 + 1 X o 8 J g x G u G U J S 0 W X v I t p G r P l B c T a o W / 4 V h x G e p O v F p c 7 b V f n V 8 U V j 8 c T A 9 K s N A n S m G i Y 8 F 0 C H C m O f t M y n Z M D K 6 O V b p A k 2 W J w q d s 7 Y h t l O h 0 / o W a F d m k Z C u J L 8 V m N J d A 0 L L 2 6 Q u v F a t I u W A F + y Y 2 U w 2 p W a n + + O G 8 j N S 4 6 c d N 0 l + D r e T 4 D C + 6 N / t J 5 b 7 T 0 k v j 7 B D v W a N J x 6 n t B g c s J E l z F i 8 s J h d s Z h d 1 N P t m J p h o A E 1 2 o 3 h G T g / K W x a C p 1 i 8 L S 4 6 l 5 + b v p O v z / X Q i z A L v 4 m Z i S d J B T i o Q C j P T E J 2 w d K z D P 3 O 6 f X C r b V a h N 2 7 a M D y a D E v x P K l i 9 B a 2 4 S j V i 4 v Y i b G p p 0 7 R a S y w S r t 2 8 X L C N I 5 o g J e i S z f R 2 A G Z m J M 7 H 4 L 3 T 4 2 Z e X f k D 9 d L J z J X 6 I + q C N t L 7 Y P S u Q F M z G c 1 M / s V 3 F u I k / e a s n H Y 2 b a / v R v x f d E i U h w b q D M T A y P l Z + u g G C n / G Y a p L P 6 w + v E 3 z w v V E 2 r f T / p e z 3 b l U T R X P s v y 3 U H K o A f y S K n Z R k M 0 j Z G n I 5 W d r W z S u m x S F P 6 Q 2 k 3 / + U X p 6 s d n N A J 6 4 G z L H i O S s v z G J z x z H M Z v K M g I x a N 4 v r r r 8 f l l 1 2 G d e v W i m P l o O 5 3 N p M K u Y D K r W d G d 1 e X q K R 0 O O B 7 s t b 5 n / / 5 H 1 x / 3 d e E 1 M m Q B O f P V 1 3 1 e Q z 2 k 5 m q z e O 2 W / 8 g V n X 2 9 3 H R f u 4 h j V i z N e m b E K 1 j B / T Q o D N V q z F n w l Q N 7 g o T w J L F J v W Y 0 W L D k p r y 5 y k Z D e 5 5 U l / a P R b 4 9 x c 0 Z q B H I q o T T z o G S d 8 Q P Z q J N C R J W T q m 1 x J B i W X 9 6 p E p I M n V b E t Q Z c 4 I j c S / U f x p r o 3 O 1 g Y / f 4 7 G l T d o 0 6 S l 6 K n O x K Z o V t S h 8 E 1 s F X c a j j B R 5 e A 4 9 q s 4 M K H H 3 F M + R Y w j t b / U U u W l H e 2 X / k r + R D 4 b 5 7 u q z g l 0 b 4 T + 1 W 9 A t / F 2 8 b n F I W W U r L / l E i R e / T 6 S L 3 y D 6 D O E W G h M + s u v S I D M r w i S 5 E P 7 x 8 f F a + o 7 + R U V r z C 6 D n Y i O N G L a C Q k 5 k j H R k f g m 5 w U n 9 X n T 3 T G i z 4 r L 5 6 L V d 5 n S N P N r V b 6 T 8 I U e x r J x J P W I e X w h S 9 + E Q s X L s Q P / / e H 5 N x J 1 X u U I W L G Y Y 4 U X C k H H h j / / d / f x e 2 3 3 y 4 k B Z / N x S / F r g i l P a r C p G 9 S L A K r j O L f C r u e 8 I t f / I L e p 8 V E M i 8 q + / O f b s c Q O Z n n n X c e v v z l a / H Y E 4 + L U m N n n X U W r q X P f J 1 9 e / f g n X f e g d V m E 2 H 6 L E k 8 D m j w i 5 1 W r g / A 6 2 v 6 B 9 R L N s o T Z i k m E 5 3 i p U Y 6 E o d v D y + n z 2 H f i A 6 J F D 0 L 9 c X 4 z j A x C 0 8 q V u 4 X t b + k I Q K s W l D w c 9 z t n N l N 5 5 D P u C / e h M D + P N w h j m a R 3 S + + m Y 5 4 I I l w l w 7 x X q l + u x o s V 0 S g g J A 3 1 U P / 1 K V Y 6 r t / K m q q J a 2 + 9 / m n y d U i v 9 h u h 6 3 1 W K I T H b y m e d j 7 r 5 8 J k y 6 R 5 i U w W n i O v x o 2 O m / z v d 8 k c z s P P y n 3 m m O u E K P I R B f g l c 5 X / w g + p x J 9 A 6 I P X Q L 9 P 4 + E / m l p i c X e J 3 8 K R E h Q 9 L 0 t P j N Y O / E 1 D u 7 d h t j S L 1 O f U r / m S T P z X 3 7 R + G U z K f F e r w 2 L D R c 2 P t Z Z + H 7 q l U J t D Z e K N p G g S K O h j q w Z s 0 E s J u X P 6 n N N N T E E + 8 N T n y f D X L 0 4 j V R a 2 s G T j y l r 7 9 7 v L k z D T D E U g 9 U b H + K 4 P I c P F y 1 c h C 9 9 S c r v + u r X v o b 6 + n p c e O G F 1 K E a Q b w n n X y S y J z Y s n m L K C z J 5 b n o S 5 x z z j l o a G 7 A 9 d / 6 p v h 8 8 s k n i y h J Y 2 M j r v j k J w U j 3 H / / / Y J w e G 6 g o a E B n / r U p 8 R 9 P v 7 x c 8 R 9 e C c P b t F J J 0 m / v f r q q 0 m l S l r l x p t u w m 9 / y y t D 8 y K t q a e 3 D 8 c c f T S u v P J K w e S f v P x T Y q 6 B 1 b r N K g V S f v L T G 0 U R j 8 m x S V g s Z v L P D K J c M 7 8 4 J 5 E L f n D 5 s 5 b m w 1 v f F C f J P e o v z A 9 N 7 o m h d z Q P g 9 0 C z 2 I 2 I 8 m v q M + i N z O C 7 d E + 1 C y T I k q V E M / 6 R f 8 e C h p z N Z Y 1 Z O B e Q F p m j m S C V Q J v f O C Y k 4 V 7 r l X M t S l I x a N c / J U 0 U A v 5 Z M Q U Z N K x + T c 2 2 C 2 + T 8 d S y C S z G N 5 1 D 0 K j 3 c g b a z B n 5 Z H i O 4 b b J J k 7 j U 6 L I H h G k 6 l X W A j 8 + a g b V q H + x K u g y Y T E R n A u 3 Q h I w S E f r s E r r 7 2 J v / / 1 z 9 j Q F c G W C S s 6 R 0 L Y s + + g I N a d R M h b e 4 J 4 / s V X x T X X / u E S 4 Y 8 x 3 + u r W s h x U s x l f h Y N e v s G i N C l w k L g k t i E l Z 9 o I 1 r I o G f r 8 F R / s r C U t H D x P G S V V W I M F g 5 q 2 B v M C H S R P 0 / q m u t q R I N + Y Y k o J i A H y T g 3 9 O S O Q s Y 5 c Z D S F Q X c d d d d 2 L x 5 M 0 4 5 9 V R i j r P F M f 7 8 z t t v E 0 d b s Z 5 X d d L v X n / t d V F R Z v W a 1 f j o R z + C r 3 z l y 9 i x Y 7 u Y O 3 r 3 3 X e w a d M m 0 U H s C H I Y 8 + y z z s a n P 3 2 l 2 L T t v f e 4 6 i z E N j Y c w p y c n M B m O p / n m a T f b h b h c A v 5 Q P z b f / 3 r X 3 Q 2 P z F P 2 e b x 3 t r 1 e O b p p / D T n / x E D K o E G k h Z / 4 7 Q N X / 8 4 x / h 1 l t v h d / n w 0 F S 9 T X e K n z x 2 i / Q t 9 Q j c q f 8 O w g P k J b r S q B V E 6 G 2 W h G Y S M P R q k e 9 t 0 h O C f x o 5 0 O 4 b h v P u 0 z v b z U s 8 j 5 I U 1 D N P a n B O x c y 1 N p s V k g O E + V I G k J P 4 w T 6 v / V T P x f l i k d 3 v E Z E l Y f n l G 8 g H a d n S b 0 D e + R V W H W S y S k C V o 0 X w R + M I J z U 0 H G S 2 v S V n r R R 2 l a F o e g 2 p F G F a l u x n y R W / R I z a o y 1 q H c c j 7 b G u T j 7 t B V Y n n g N D d p R W D m q S F r D / 9 z 1 a K s x k x V h x b L v v I k L z p N o T 4 F t 4 Z n S G z l S u m f v f o T D U c n 3 5 d x O I o 8 d u 3 a T G 5 D E w a 4 e + k s a a W E V 9 u w 6 g P V r N 4 m 5 p I l Y 5 S g y z y + V d q d 7 D v v n E p v Y X c V j w x F n 1 v D M r z u H J S t C e + C D 1 d i 1 5 h U k o v R Q f I T U m M 1 h w R 9 v v w W b N m / A 2 N g 4 0 i l S e W R n c t E L 1 k o d 7 V L K u n R v y f y T 3 u W Q I n N q e G Q Y z z / / A j 5 J 2 o g D B u w E M l x u F z z V X l E + m X 8 j W 3 A C P H / E E 2 l c g X b q t 6 Q 5 2 H E s g F u o R T A Y w n X X X Y f n X 3 i R T A n e K I D 3 P c 0 I s 4 1 b w k z 8 + a s / L / y z t v Y 2 / P J X v w K X h P 7 h / / 4 Y e / b s l U 3 V k p 4 7 D A Q 7 q e H 0 c 0 e z H p 6 F J t j r b e S U N 8 J d z X l g Y Z i 0 J L E y U i 7 c v g M H M T I 6 j i 9 M L M U V W x q w d t 0 H 2 L p t J / X r p P i + H C Z 9 X C F W R p n k 2 r H 4 b q G t N c R s s t V x a L B U 5 / k 7 U w P 9 l X z l 3 v c e F a a Y X t 6 j 9 u A b f x M E p T U 7 R a 3 z h P s s J L z n w m E 1 C W J L k T q L 0 3 M 1 B R / B 2 P t 3 I R S N Y 8 C X x g B J / t G 2 r + C + P 7 2 O 5 3 5 + s b j m q s E 2 o X F Y c 6 x e s w 5 3 3 X 2 P q N 7 0 z 3 8 9 g K 6 e f j z 7 8 j o E A w E R U O E x 5 H n E J G + g R + P E j e A 6 6 Q F i 3 D d + f i a q j E m x g c D m 9 B F 4 6 J H H S Z j y R n / A 4 k X z 4 X C Q V e G O E E 1 x 3 b w 8 l s 6 f C w N R e H t T I 0 x k r l p 1 A S x a M g / H n 3 g 0 s j 0 G e K t m L h 1 Q y T g I d m c x E J j u d 8 v y G z Z 5 N b d 2 / r G n Y e k p 5 8 B s s w s S y + e 0 u P i i T 2 D p 4 i O w b O k K k Q T L B f C X L 1 s m t M T d d 9 + N K n n H 7 w s u O B + / + c 1 v c d p p p 2 I e P c j f / / 4 P H H 3 0 M Y I 5 7 r v v P r z 8 8 k v U N x q 6 a a G V m R S Z E Z x A y n Y v c R S n j b C W 4 s m 1 F U e u E M e V 3 7 K q 5 g E W a X S y Z u K y T r / 4 2 U + E Q 3 n S S S e K K j a f v v L T + O M f b 8 P y 5 U f g u O O O E 2 k m 7 7 6 7 W m z q d j S Z g t / 7 / n f w 2 K O P 4 d s 3 f F t s / M b B E / Z N 8 l y Y o g x C Z P E E O o M I d + v g 3 5 d B b I K k H / l C s t w g R 5 r F k v S + F C J q x P N B s u m x k P q l v o 7 r l 3 8 c 3 / r a l T j x h O N w 5 A q u r 6 e E g K e 3 w c v 7 D / H k Z 2 K A R m x 6 C L / W Q E y h d 5 H U r 0 a E T E 7 l G m m u w l Q K + j 3 7 R Z p E h D l F H E p w H m M u i Z 6 1 j 8 s E I T 0 M b 3 a p E I i C w C D 5 0 H R M b 6 / B / M t v g 4 W 0 Q 5 b u 7 d x x J 5 Z U h d B G 2 r i x z o 2 P n H 4 q f v A / / w 2 P Q 7 r H f / 3 8 T 1 j S R g K G R P i p p 5 y A r 3 7 5 S 8 J U + u L V n 8 O c 9 h a c u s i J G l M S R j K J e e 3 U s F + H 5 m r y 0 8 i a a f v 8 X 8 E 1 / 9 w u X h P G q W c p 7 N U c g c 4 D n a i t 9 t A 1 Z Z N N l s h 5 q 1 R 0 h q F l r a u G s g U Q n b v y w g V 0 u Z z Y y + t w 4 Z q j Q 4 O 1 M B a c S M 1 Q z L 8 O j 9 Q W V X I s 7 3 E 0 n Q P L g a 9 x N v l J b L q x t G f C 5 x p 4 Q r o R s X K p J 9 7 t g n 0 Y 1 h z M J G w G l o y V G D y l Q e W g 7 O o h L k z 3 k L K Y 8 + T / E E H Q e 2 Y y n r / X k Y Q T k 8 I E D v G S o y B C m F O g 3 4 t N 3 u T I n g i c 8 G 5 4 J N H o R G I u b p n U k A d 6 3 8 Q 7 E z t x y 7 z i T e a C m T h c f I o c 9 V P W E k 1 D m U T X w w F r V + 6 3 U v B C O 0 a e N Y y M 2 G Q c Z o 9 l h j 7 k p R B R D N 7 / G d R + + k + w O F r R F 3 0 f V n 0 1 q k 0 L y D c 5 E y 6 z B U u + I c 0 J 7 b v z A j L 5 E l h 6 z T 8 l f 9 V Y h z d u v h y 2 8 A H Y a 9 u w 7 J v P 0 1 k 8 H q R R / n Y k X V 2 D r m Q N c a I d R 5 F 5 F q z 5 L L r / x b t L A g u + X j L P p J q o Z b x 3 8 w W o S p G / x b f x t p P 0 z 4 u J Y e 5 R 1 2 e f F 3 7 N e 3 + 4 G I 1 i T V o S 8 7 7 2 i v R D B a y a S 0 L e f d F 1 a N I f J X / i i K R q H J I k n E z N 8 g c S m h M h O K v L z x N W A p u 8 S n p a J R S 1 S I m i H Q r 8 0 K x V e O A t V i P M Z B 4 Y T X q Y z G T e G W X n k U w 1 N u v Y b O M E z w L p S e 9 4 b Q n v 5 s 7 n K l D e M i P x J 8 F M D F k P a 3 K q h 6 E B Z 6 b h B P y c / H 2 W p D r X j B P H i b A V f 4 o n / x R m E t c V G o o u w Z Q o T i l c d 3 u w F x u G 9 s q f J P x f 1 2 M 4 f 9 v N 2 D D S I x / h U s L S t b m T i y B P P V Q E Z x / M A B Y + 5 c C M p G Y m R i Z g R z w l 9 0 1 K y t U r h g Z x / 6 C w G J i Z G K 2 2 k w Q z c Q a 7 W c 9 a l 9 r P W p D N Q R I u V Y s v R N 5 M j j + n J 1 E n 6 a m 9 / I x c l 4 G 3 C G U k 4 1 H 0 o w 1 r R s l S I Q H W + L l b E G u 7 D u / d c R X 1 e R a N 5 / 5 Y n F c E Y i a u k c / g c / L g + x E B O u o x R g x l 0 E n 7 d r V 8 9 l 9 T Q Q K x R I R o s m q p n O m i 7 m t m J l 5 t o M I U M 9 G 4 F p h J t o k V Z m J z h 2 A i M 7 a S / 8 l r y H h x Z i m Y m f w H p H n J A 2 P U F 3 x / t g p 4 7 o / e s 9 A r Y i g p i l a 4 S Y H M q B N J 7 b L 0 V I 7 9 5 C c / F s z C g 8 B n J n j Z p 4 B 0 B m s P f h j O F O d w I 2 s y K e 9 O y h 5 P p s n f I t + M F 3 0 p U K 4 t M V K J Y 0 v g K K T Q T m z + U U d z 2 J K t N q X s G D 8 w M x V D 1 F S T + 5 K 3 f S l A u Y s E S T s V M B d E J K E U u n y F 8 P k r E z v Q G R 7 G D 1 6 9 S z q Q G C Z N t l u 6 d 8 n 1 R M E S 2 X 9 S g / c D 5 s I s S q q P o n G 4 J o I y s O w D 8 q Y L h w I v B m Q Y q + O w y E t A x O 6 G a o E o M 2 7 3 6 g d F O 3 l 5 t h q a 1 O k k + e 3 Q t 5 6 G d N 6 I q G + c x i i L + t O l n D s F H g u Z Y R Y n G k 7 4 j J i H C i c 0 2 P j Q j 0 X 4 O K u 3 I k c m o N M x R z y D l p d J E A 3 V a T f K v y 4 G z 2 c x 3 v / D h a h K j o h 9 u 3 Q G M 5 I H u + E h P 5 i b q b N K j v / 7 t 1 0 h V v O y z P e e e h 3 9 m B h B 9 v 1 4 K x w B r Y m e Q 9 o A X G g s A j O S T t b w w m Q u J n E 6 q B f L V p i h D r w n V Z Q q B a 8 h a 7 A U o p k M T t t i a B v y C B 7 M Y X 4 t t Z a j h V o r N 1 q 8 Z 4 E 3 d b d E I i b W d y R I + k h / I x g b H 8 X o y B C G h w f p + y g i 4 R A 2 b t o o J N T I W A + G x z s x G e w n p 7 s X s c w w H U / Q K y 5 + y 3 l O C X r l S f p x e k Y 6 O s r k T u 9 J E q V D 5 J P w / E + S z o l j s i u A Y V 8 P E j H p v s q r f y y G g f E Y h i Z j G P V F 0 b l t L b q 3 v 4 + e X Z u x a / 1 b G O r c T d c N 0 j 2 D G O 3 t x M C + X U j H k u j f t x 1 7 1 r 2 F 0 K Q P g d F J + l 5 5 t j I v e q 5 4 N D z 1 + f L W E 7 n 3 c P W T h c l H x 2 Q W 8 6 J O h F i K E 4 Z h x J 3 j T 0 5 L j V L 8 j 5 T W j l P k Q i Y c B m d c s O 1 W n L r 2 Z + I 9 Q 9 E 2 x 2 7 6 E Q 2 y e I u h 8 E 4 E w l L 0 r h j y h W W I x Y C j a Z h d x i l z b y J + A I P R z a Q F i J m Z m Y h x R 4 M H 4 B / Y j B Q n v h m L 6 0 u 0 V m W x 7 P p V W H j R 9 0 W 0 a t v z f y H 5 o y M B Q 4 I o E 8 R Y R C e y + Z d d / y y O / t / 3 U X e 8 t M y C t + o 8 4 b M 3 Q r f w E j Q 4 2 A + V / D b W J j V 2 y T q J t v K U B 1 m C Q 3 d i P F G 8 P R K D W Y + f i F / 6 Z i k D h N 2 6 u n M k z T Y Z 1 S K Z 4 H 3 G M L X t a C 7 t x 0 B s K y Z j C V j y 4 x i M b R b H 8 2 S W c i i c t X C R i U d X z 5 s L J p 4 a 9 z z 8 K t a u / w D j 2 h G 8 + 9 o G b N q y A 7 v 3 S v m X l c A b V z B c d i s S t X r y r c t b I l M + l A I N S T I O c c 4 E j u b 5 u K p n C b Q k J X K k i r X U E 2 5 d L Q 0 O c 3 B B 4 p a 7 9 s T + O C J 1 g 2 g X U + a H R i q S R m x Y I / L g e n 2 8 p C O P R l s E 4 X 4 b z H X k f 1 g K 2 m j P u 5 1 Y c h y Z g O Y m + Y g E L m g S S P e T F J K 2 k g w c y N H 1 S L Z Q u 9 P Z B D 7 6 / E 8 A X w J r v n S H + H 4 o 5 s M V b / 4 W q d E Q N l w j b R x W D k y A L M U Z B y a 2 Y 3 6 1 t N J U f b w U G 4 a 3 4 7 i G I 4 g Z M + i P r S M G 0 S M 8 Y M W S B d J v R e p T S b Y G T 7 a u e W c 9 v L V V W L 9 h P S 6 9 5 G J k S V C 5 P d U Y H e o n 6 e t E l d u J h x 9 9 A k v H / k 4 C J Y 3 6 z 9 y P 5 q Z i k 1 E B a 8 v N T 9 x O g 7 E T 2 U + 8 g q O a S 9 O P i q E h f y h P J h w v J p x 7 2 W / g c N n x x l + + g z p r C r U n X Y v q l Y q J R k 2 P 7 E f G P l + W G R r s W 3 U z M j s f E v U X T d 4 O D I U 0 a H R K p v 8 c e b H h j s d v B E b f I 1 / P j L n y s f H 4 X l G P g x v m 1 D f D Y + b s c y Z d u a G q R X 6 z B U c W e U + u 3 i 0 D 6 D i q F f 2 R 9 d Q O 9 s 0 1 c p G Y m R G Z T C B l s c I j m 6 g M a Z h V 6 2 P K M Z M / U C w 1 / Q m p P n Y p m J m k v x r 4 c m R i l G S O l 1 4 7 P B J E 9 Q L L r J g p m 2 Q T L 4 / u m A X m D j 3 2 9 B N T k e a Y I C 3 G B O d o z w l m 0 k R 2 i P O 3 P L M X i 0 + b N 4 2 Z G F y H U G E m X i D G z M T b R 7 K v Z t B b O C 2 X 9 H 6 h 7 Y 1 W M g P p 3 j x H N h k j b U j S u x T d x N x Z 8 j G Y M B g K M z F G Z B O N o X w f T k p 9 9 b P R l 3 D K J k l z t d l O o Q H R F p i J U S b 1 i d O B T j z 5 a L T U t e L q K 8 4 g k 0 s q P t o b f A / 1 N X a Y b C 7 S d g M 4 4 Z w j S U C Q / 2 S z T z E T S / + u S b 2 I U v V z y l J 0 r 9 C W K z / 7 a 6 z 8 9 i o c 0 z I z M 9 H d B T M x j v j m K m h r l s H o e w u 8 5 S b 7 r G p m Y m I P 6 z u w e 9 c e Y Z l M T A b R / c G L 5 N N K v g 8 H w U S R S X p v 7 S h U X f J 1 b a Q x M s P S J I 0 R m 9 A 1 l k V o d 5 6 C d v v J c O m U M Z U b y q a d m p l m W O / 1 + J P P Y M 1 7 6 0 k r b U d 3 d x 9 e f f U t P P n W 0 + g f G M a r j + 7 H j t V h O I y l N C M P W g m y A d M U M / G 4 9 g e o P 0 s 1 V D m M j o 2 J N S Q M 1 j I T + U J i p 5 4 4 O i N 8 r 2 I w l 3 t M h X C m g I h / 6 0 X H c 1 + U z Q i Q W x P o C 0 G X 8 9 B H s l 3 1 E T i b p Q 5 T S 3 s + V e z o o T G i k 4 i k 1 U 1 t o d O 7 X h / F s v P k p d 3 C C a U f Z a J k w 7 v I N 5 L M p B Z 3 p k h r p P w 9 M L h b q U 1 a 9 E X G 8 Z l X f 4 s l + V r 8 7 f L v i + 9 P W S X 9 N Y 9 n 8 P q X b h E E K Y q Y y C h a 0 i 6 D b X g 2 O 7 a T u 7 S o h k P E x T P 0 j M t f / i W C y S h e u 1 g y M X l 2 / 1 D 1 / b i g Y s h H z + c h Q W K S 7 s m D 2 U L P L 8 C m q Y g 0 q h 5 w B v S E O s l 8 J U 1 h b x U Z J A L l m I q D F 6 p l O G y p s F / L w 7 n n j r O E A C 3 N I u d y Y + z r s j D k Q N G 7 v 7 9 U R P e s t X M Q t C y A K 7 p P n O c 5 9 x G 4 2 2 z o W / s 4 w p v u o 7 4 i o V R m e T y D / f F C 3 m g B m s S g x O z U f 8 O x 7 W i w q g T T D B g d 6 i O z P 4 j 2 u f O w 5 f l h r L y o p G g p + 0 9 l a J y R j m d I k B f G q 0 K P F x N G n Z e k p O y U s Z b h P C 4 F o a g 8 i C p w J 0 9 j J k L w o H Q 7 U W S j A j N F R i U / x d 3 q J K 2 T g b O d s 5 s L 0 i d G h K v 4 K p z 2 o 4 9 I E b l 5 3 o x Y A 2 T J 9 W P B R 1 W T d 9 w R x H B h Y k 5 m l n k O U u + e Y m Z i G O 0 W 8 r + k Z 2 l 1 k C a l m + w e l V J w G F b 2 L Y g o Y i R p G c G k 9 F e B m p k 4 Z 4 2 h 2 P B O y 0 E M R Q a E N C 7 F E x / / v y l m Y k S j c f j 8 f j G R y W X Z S s F O + H h v P R y c F k P 3 C Z O w H w 5 r U G u n a 2 f V y a 8 V h l Z G X 6 y w a 2 G 7 c x 5 M 5 F h r F W Z i F J O A Q D x R 8 D N 4 z k t K V Q P e v f X T 4 D p 4 j a d / R X x W g w M d S t D l 3 V u u g D P Z S / c h E 4 / 6 N z x E 2 p G O a 8 0 O 2 G o k Y d P 1 z r 9 E K F 1 r d k v j n P Y h l S 1 o f k Z a 2 T h B R j S p E X X n h T V C d J o m v 0 4 w E / d 3 a k w + q z L q G l v R 3 t F C N 7 X g x U g t X t + W x 8 u b V G N V g Z k Y a m Z i l O / 1 k s 6 M p e h H 8 k U T u Y D I N F Z g t a s d Q Q k 8 + 6 0 g G U o h P i k 5 c K 7 2 6 d n O j A l 5 o E L d e d j r Z o p y E X O R U 8 w a x k / E x J 2 c c S y X v 5 O w + z U b j B Z q k x z V 0 t A A M j j L n w d m O E m d n l F l I i j Q u W C 0 G R A a j I n r v n X Z 7 / D 7 z 3 w H V + y U / K j H z v w h a U M y Z c l h 7 w w O 4 u I d P 8 f w w T 3 o 2 f E B d q 1 5 G V 1 b C 1 n 5 n P f V G 3 l P b P m p R l 9 Q Y t D B o D x A N P i j 4 e I h 4 A l u T 1 U V X E 4 H v Z e i Y l M g v 8 P X 7 y Q z 2 Y g U a U g m O L E h t C M P v Y Y 0 s b x t D u e X H Q o t 1 h P R G 1 t D P S q N l c P E m 0 P P D I t V X o F M M G i t m E h K z 5 e M h U W f e R a e T m 0 s I R 4 V e K E g 0 x b X O I 8 Z 6 1 F l C A l S q / / k 3 d C b u Q T z K 6 L C L G P u F + 4 X 4 w y D R w h K t f z l e h / q u 9 h I S z v 1 7 J a Q x q T x m d r Y m 1 0 Q V R E a s X I 6 P T 1 D R W y T J G 9 M 9 3 + f c a D F q 4 E 9 N k 7 0 U p m R 1 A j 2 F J b 4 a A V x 8 S I 0 A o c T B e Q 1 P Q q 4 3 o O U r k M m j 9 Z N Z l e x d C 6 F M j 8 c 6 g v C 5 D T C 4 m U C H x W N 1 s S n + 1 / 6 f k m b O T t K h l Q O / R Z Q + J 5 N P 3 v e R 2 0 m e 0 r O E O D 1 M I s + L h E V R 7 W 4 N C 7 k c l p i F T E N T L 2 D q K 3 c 0 m v Z 3 + O 1 P j m 6 T s q f x o 9 6 H s d Q 0 k 8 E m o H b a J N 8 B E M V O p w N W H P 8 z 1 D X v g A t C 1 a g 4 4 i T M e d I y Y l l X 4 r R R r Z + d d E 2 m 6 Q J 3 H P h i 1 G X K w R P Q q p c H f E p p D j s K 4 X T u X h L M p q H r o H G g q i p c 0 K D t q o C 5 7 D U Z 4 3 N M B i k Z x m W m Z W n O 3 h + i 5 m H 6 / U x + m N r x Y p i 1 l T J X E T k E I r + q o Q y k r 7 a J D 2 f W B N F b c o b e a K U i D 8 1 X W D 1 v v c Q X J l B Y R n o X Y 3 w j Q / D b C U i p j E 2 2 2 z w 7 Y 9 i 7 4 u 3 g + W z w S F n N 8 g R x H I Q T 6 p e + y U y U 0 j I q h m o F H o n 0 o p P q l r n J s x c J f x O 1 1 t I h s U p p 9 Z h Z E + f f G x m u N o t C A 9 I b p B W E J e 8 C G 2 q M W U c Y b X N a i 2 T X 6 a G r k + y Q Z 2 t S r F G G n i j v J z Z U m w K x s a T c M 8 n D l S L H I a w W 9 U m S I F 4 W A j W 2 H L Q R X u p z Y 3 E U C T 5 c k n s f S U M v V J P j s B 7 z U r z M 8 y Y M u H G J G 0 4 Q K c N J b b Q t e h 4 y b w R T w L b v G Y 8 Z i O / a S i C K x 6 R a 3 l z G 6 s t u P r R X 4 t d Q H i C m O f Y k o k o o m S m M d i c L A U z E r 8 Y r L 3 a 5 D S V m a B J k 6 A w S i a j z U r m 3 Y B d L J I k y x S R R B p L R J E W p m K 6 F g k 4 r u D K g Y E p 0 P E G Y l Z p n k 4 r 5 g z Z R F P q 9 d U Z T y Y N 0 Y 4 G 8 w q Y e H U 2 Q d o w o Q J m 2 A u L g x M r 5 A I s E S 4 K a q y C f f z P 4 r O C n j U P U p N 4 k p h Y w e I V B S 4 Z 8 7 7 2 k v i b i Y d g 4 a I u 9 L 7 j c 3 K 9 d E X T l A W d W W n t 1 w w 1 P F i z C p T Q O P t 3 p W h d 1 o Q U T 8 P s U E x / a n 2 C L B 6 e x E 1 N i P d Z 9 i u J I C 1 e y S 0 p t j c U H K K o i E N X T x K x j D r s k S R L t r W L B l C P v t 2 b c H D b e k z 0 U y O I c L U 6 L S a H u r F 3 / R s Y 7 d 2 H o f 2 7 0 d v 5 L n i X 9 m l Q X 5 8 1 o v x Z 2 N V y H x o S b I P T A Z I 8 4 U A a S 8 / n n d J V z C 7 / J p 3 j 6 0 u P q t F L D 9 5 M A q 3 R v F I Q m 5 J 3 V w r P A i I w o s i R S S n K u Z i X D t D 9 e v y S 5 t g 9 a o A / 6 y R L q x E 2 M t P K Q b R X B T Z j p k w + R g k z C 4 u J m C H P + X o y w r 1 W u D o k R t g 3 n C a f z C C b s n Q x f k Z Z u 5 r N J h r g H E K T Z O 5 m p e v y X B k v 8 2 Y N x Y s x F U T i a c S z Q R i 1 s k Y n S J P x F T A j c R d g 5 w 2 z C Z G a b y C Z I R N + m E z m 2 A G 4 y V T n B F t j d T s G h i f g I t O O n / X J Z 1 Z h w h f E u s e v h C 4 T x c h E C C + / 8 g b 2 H + j G 2 H i Z O b m p j J A y j K R A Z K O X d P w h E C V R z K 6 M 2 p 1 h R P X D q J 6 X w e Y X 9 5 O F Q A L B 3 E b + o o m E R r V 4 L z a r I 3 s 0 k U 0 i 7 k t X j v K x 8 y t p r P I N 5 8 L 0 7 P x p e 5 u R a 5 M I T A 1 t x I U q r x Q m D 5 N Z 5 m C i l T U h J 5 p G h s K y B u N B p H u I j I u Z E U n x R l 6 F 5 m p E 5 E 5 i k J 3 v 7 M S y 0 6 f X 7 2 Y w U Q t 7 v B I y N H B 6 D z 0 z F 6 Y v n q s 5 5 a n v i r 8 v n f B T p A 0 5 X P T u z z E 6 P o Y D X 7 t P L G F Q o m w z g c 1 T v n / F N n C Y V 6 0 B 5 E v 6 9 2 d h q c / C T G b z R F Q L k y 4 H O f c U w Q S d l N c K / 6 H S H J c a H C q f 4 y 3 W n o F 0 H 9 y G V s R i c V i t N D Z M r E o y K U N p b + n x w 8 S 7 v z g R j i x Z D 9 R O U 8 1 c D A U y a C Q z c d 4 1 j 5 J U N J K o 0 + G d 3 1 6 A W g c d + + q z M I 2 / h 7 x 7 D l k z 0 6 c 8 D g l 2 V w 6 j b H Y k M 4 Y U l + U m I a Z j Q c Z i h Y W s C v 6 I G 4 m U E c s a n N j x 4 h C W n k M K h a W D j M H B Y T Q 1 N Y A T b y s O B c 9 A l 2 O m c D / 5 F 8 S p h p B X U K q a m V h h h w O S 3 a s w E 5 K D x E w e O p f U Z N q H w P 4 U C V U N n E 1 s z h F R s D a U m Y n n S D i K p 0 T J S s H M N C T 7 B d p o 3 x Q z D e 4 b L G I m n u V H u p B q M x x W a Q S 1 f 6 h k Z 8 v F Y 0 q Z i X F 5 x 8 n U x j y s X h M 8 N S Q A S M X X p q 0 I d m W Q H y U z o Q I / j c S 3 y e + I V 6 n J 5 Z i J G Y 0 R T K u S N F P j C A / H k U l m U L V A J 5 i J U U 0 m r s J M D J b w L s v s m I n R X s Y U Z W Z i p D T S B m M a 9 q X L R C L / H W Z i 5 G j 8 + f q m q k Y M k a v R 4 J Q C S l o j R x b 1 e P 3 X F 6 D a q o H R 0 y Z q L + Y a T h X M p A v u h 2 H i X e k i D J F K d A g o J h 1 j y i + q D C 6 m w 8 z E M J D r o G Y m I 5 t z h C p 7 A A 2 e M d J e B 7 H 8 v E b B T F u f 7 h V x h R F 6 H m Y m B h 8 v O x z Z Z F K s / w h 1 p Z B L + U S h w c B B y Y l z t O h g s O o Q s / V P o x J e p u F w S w + U 5 9 3 H G S Y O Z e Y R G n B S x 1 b B 1 h 4 g W z + E a G w 3 f U m / V 5 l b X i I a K z E N + x k S y l C r z H x 5 6 v i B i B R Z G 9 t b C F 5 w n l e t n T r I U E M a V D 5 X f R k D C Q K F a J T O l x l K o G R S 8 I a V l 2 L N F X 8 Q a S 3 2 3 l v J p C L m r C U C b D C S h m V 1 T + M c S A h t w q t b e d 6 F U W 9 a J P 4 y w v 1 p M t s S S I a S y K b S x J N S e x V m c J n l 9 t D A h s Z c c D R Y i N j 0 W N d n F H N E y o s f I 5 E r z A F W Q r d P F i C q I E M l 7 T g 0 M i r 6 m 7 / O 6 5 y i L r t U J 5 3 u x j f k M m S H g h y C E + Z z C Y a 2 v g I H + R p s e r K p p E l I O Y w t F / 1 C / F W Q p X G b e + W f x H t R P Z e Q d S 1 A u v o 0 I c T 0 k d 3 Q k / D V B z b A N n Q X t H F i l j J + T 5 F p y k p B T h k q B + E u y N i 1 c R S h h I P M N g t S Y T K p i d F T q j k 3 U 5 b v l R d M x a + W 8 0 i g k j u w e 8 N q 9 A + M C B + 1 t 2 9 Q K s W c C K Q Q H d R B m + u m 9 r j A l Y X M V W R i V H F u F w 0 u c Z 6 Z y 2 Q J p z U P X 2 p 6 2 h F D C W 2 y p s p k 4 z A R 8 Q Y O 5 G G u N s D k l u a e d D o b m V a T M N g k g t N k J o u l S h E K V H B w U k c D L 4 X N B U P w m h x 5 1 4 m h / U N o X C j Z 7 r v I r 6 l 3 s D S m e 8 n j q 1 S C D S c 6 Y d J 7 6 f 5 c u I W + 5 O R G h i i 1 R U z F t 2 P N J m z w A m w 9 d y D t P h 5 b M x 5 0 + p L o 9 X V h S c i G t e s 2 i g W U k 6 E A 2 h b X 4 o 4 7 / w q T 2 Y L O g 7 3 Y t X s / j C Q r B k M 1 a G 7 S Y E v Q i g a v F t H u C E y k 7 T i g w X X 4 1 J P D b H r G x i w Y y B O z U p s 5 i u c 2 e c R L k z H D b D S A 9 x c W 0 S 1 q L 5 u c 0 0 p G E 6 q o n w R U u 8 + P k G b n j Z U V J I l x O n s G 0 d F a W P K / Z c d + a r 8 Z g w N j q K 2 q Q 3 9 s A 9 2 7 m f p F I q w N G z f j 3 n v v F 2 W 7 t + / Y i a f J / z n l 5 J O E E H n o k c c w O j Z B / S F V k H r w o Y f x w Q e b k N 9 + L x E j + W p 2 D / w 5 N 2 p I z W r T k 0 g d 9 0 0 S J C b S T h e S x q K x M l e j 5 p h L x H 3 U T C G W r B t c y B l r p J e 5 C W n H M e R j 2 q F b d R V 0 e x 9 D b p F U j 0 L 4 o 9 z W f I a E d g z W w f v J o X C Q D K b n l h N z 1 f A R Y z A 0 J H E b a u m 6 6 R z 0 b E I b t E i G j d C b C w y b l Q W l 1 9 A C K w l r K 2 l d 5 o u 5 8 z v w 2 I N P o q r a g 2 S K r K / Z Z E p o y G z L k 6 a J Z S f E i s 2 Z U J o 5 U Z 1 J I W 9 b I n 1 g i V K 0 V o h u z f X k 2 C Q s i 5 y Y C + B w 9 7 Z h A + a S D 8 A F V j I g K U I 8 w w m e m u Q A N r 0 5 g a P O L c 4 O l s C P J j H l W E Q r T X 4 W g W V U D v n Y f u L p x c q p Q i I q G Q G n b / 4 F e B 3 W g / O + g m i i B U v q i k 0 n n g 8 y E l N E S c J y g Z L Z I N S l h 6 G V / C M 1 M 5 F m 5 G K f q V w N D G a 9 m E t i 0 5 U z M v i 5 8 + T 0 c m 4 k m x l 5 6 l O d U W X / E X h e r m p K s x 8 a c T I p 9 + 7 d Q w J O i 8 7 O g 5 i 3 c B m W z a 8 h 6 5 Y E Q l c 3 M c N G X P 2 5 K 6 f 6 R G Q 6 q C e D Z g F O m F 3 z 6 7 P h y I z C V N 0 h i m G y 7 2 S p X Y C O C 3 9 I T n 0 1 X v v l + S L s 3 n L x Y 3 C 1 s B 9 H A k 2 k q M m 0 I e + y X o r x 3 W 9 i + P V b c V S z H p k L H 6 D z y P x n 0 0 0 d z F L B M P o O s o 4 5 y F l Z C J N 7 U R J 8 m A a 6 / c R o B H X O d v K f k j C 4 2 Q c 0 w 2 V o h p a T c U 3 1 o k / 4 9 d J G Y M V 8 C 3 p H k p V 9 K A W a 9 I h g J k Y 5 Z s r E 9 R j s j M v q X k O c T I S Y s Y C 3 o j T 0 z y c b c a k Y F C 7 S X y i u Q e C x Y c I t x 0 z C p q U B J E k 2 G Z O a u L A m I 3 y o W s 2 I m E t i Z m I k 9 C 1 F e w k V T 9 x J B M B R t S J m m v K j O E G K N D N L Y Z Z q P K f F f 4 l l e V m S f m w 1 8 p E J p M M J 7 J j Q T j H T m M o n Y 2 Y S u 8 O X Y a Z K E 6 y 6 5 q z w F 1 l 7 M / r I R M v n d R g / 4 C S p K D 0 L Z w s 0 u b K o o 2 f l d U g a S N K S p y + G 0 7 u m R Q 8 r M R P P L R V F F Q m h J B E 1 q b a V K 5 b j i G V L 8 Y l L L s I R i + e Q W c j 5 i n o s W T h f H G N i U S J f v h S b O t J 7 3 q J n N n j z N x f B L P s x x j m n S 9 n o 9 L 7 9 k 3 + g T j B j c n R Q H M u Q a c 7 M F D h I 5 p l g J g a N n W A m o g M S 6 K V z k g d e u A V V 5 H e J m o L M T I w K z M R I 1 5 0 u M x P 5 w z 2 3 S g f L g L O A x M s 8 D w v b j o S 7 y o 3 6 u j p x z J q X 2 i b K W h M v S A t r t T j / O B L W z g w 6 6 p T c k R m Q N z A n 5 i p y t H 8 8 h Z a W d q x 6 9 H 2 M d K f w / G P r Y C T T 5 M 9 / e A A H Q p t x 1 1 3 3 k A n U g 7 / 8 7 U H 8 4 c 8 P Y e / + T t z 0 8 1 9 j 5 + 5 9 J J V L w / N M F N T l o m P I c D R U w 2 v l T Y c L e X O a d H G 2 h Y m 0 1 9 w l b C L Q 9 2 y u s Y + k Q L 6 + U / F R O J r H 5 6 m i Q J z U I e U D 6 i E 2 P 6 O / o 5 N k r p L P F H G f h P a R a q R H w / i f x / 8 L 6 z / Y j G e e f R 6 1 P D m s Q i l x K 9 h M d F A O n K b U T M z i m k d E Q 1 r J H e c i J R Z U L 7 U g H U m T Z C 9 c k I W I X k u N V J l v z e Y F Z X 2 i L J k c p c j r X I I x 1 X C W 2 c 1 e g H y o S F T y O b h 4 f m W N d E i y E R A / p 5 f R 2 4 H u L W 8 L n 1 F Z u 8 Y m m 7 e 2 A U d + 8 X Y c + W 1 l 4 7 b p u Y 5 8 A S H Q y Z R T k g L W / / l z Q u B w N 9 n 1 Z K Y 9 d S l d c P q z l 4 c G / Q 0 X i n f m 2 A h a R w v 5 g i 3 j b z N 1 V A T X Q m G M j 5 P Q Z t 9 f 5 I l K M O q y a P Q Q 8 1 c 0 + V S h 0 t m Y e r w e h Z f B K 8 i T f V / t l C Y z B 8 J r h Q n V o q 2 m j m S C 5 1 v S S z i V 9 B v W a h x s y C e p 1 Y q E k s C z / 7 x Z t d 2 Y E x 1 o H H 8 P m d q T 5 W 8 L C E + G 4 P C S 7 y P m 0 M g U p A 4 W D y Z v a s Z F P 7 h O g Q D 7 Y K R R Q 9 R G p + J X F J p O 3 2 e h i x w k E 2 E B P V c G r f d / E c a x F A 5 + 9 1 G J S M q A h P m 0 7 9 b 1 m H B C e / G q 0 l L s G 9 N j Y a 0 0 M B r S 2 L y U P 8 3 z H S S U 4 m T u q Y v 3 z w Q 1 M + n K z e u V w U F f F F 7 7 B B F l P R G 7 T M w c T J L n k g J c R M V a n D X D M J D p w 1 k W v H b O b J G 1 Q w m 6 V j + E 8 d d + J e r 7 W e o W Y N C f F N E 9 T p 4 d I N + s W e w S I o O e O 5 H l z d S k c g o z g i y Q N b d d T Q J J i 9 7 u g 2 I J S J M z i 5 p z f w 5 z y z H y S e X A / a h B P L I D M U P x p K 4 a r b 6 3 4 P d e L V a Z z w R e K M v z e w I i G V k y w c u L G l 6 q r A q V H o q Z G M x M O j k 9 i a E d k m x V T m 1 q s B 2 N Z h s 5 k r y 0 W u 8 Q O 6 a L 3 C k m c N Y W J E U T k D / L O D j J H Z u H h U y p H p + U 2 s L 8 m v E e J Q i + F A f X y N p O 7 8 R E 0 o u s v o 5 4 h u 4 j p 0 l N M R N D j k Y J Z l J J G Y a 1 9 0 / o n D Q J Z m J w u e P T a 4 7 H p 4 8 6 n Q i + J G L E j E n E 0 D W p m 2 I m D v l z f t 7 e M c M h m Y n B z M T + E Y O Z i Q t m T m T M S A z H 4 C a T R p P 1 T Y X X l S h a I j t 9 2 H T E g N J r d s z E s F j 3 I 5 j p L 2 S Y M 5 i Z + L n I / H W 7 S Q o T o Z c i T X 3 K F k s l Z m I c X P 2 g I G F j V T P G 0 3 b B T A q Y m Q b j G 0 l Q 0 n N T / x s m 1 i M x E M W 2 2 y + G / u G P Q v / 4 e f K Z 0 7 H 6 1 q t R Z y c h T 5 r U 4 O k Q P h m X P J i Z m R j S A M 3 E T I w + z 0 d h S R 0 6 5 U h h J t 7 D j J k p E 5 X M k a m n 1 M R 7 6 O F k K a e K i F Q y 9 c q B d 7 x g G O I Z W B Z G p d / q q 6 T Z Z O 5 e 2 c b V q g I T X L q X I e 3 n W s i v m u v l 4 S C C S g 9 j W T 0 v a S A t R B q F U 0 Z 0 o Q P S S V M g 5 5 C k O a P L p x e p / 3 w + m z u K 5 K g I 2 Q R h G P r u R a z t e s y r L m a y B 8 + 7 H r 8 6 4 z p s H Q u L J e C 9 k T V S T p y I F B o w x 1 t g 8 K p 8 p 8 j P W 1 R b b P P P h H g + C p 1 P m g J w m 1 q F m e t s s Y I 3 r X 7 x 9 c 3 Y v G U L g u E Y 7 r z r b u i N Z m z b s h F 9 A 0 P Y t H W H K O X F L + 4 r 6 V V A T F F a 7 B u W A W e K 1 G i O m m L U K f B n e e 9 f r 7 W V e 1 e 8 L w W P b z n 6 4 H k d W 2 J A a C f o D E i G J 8 U V l n 7 j W f E 9 C 7 k m y z H E y K Q V q f / T t a d A m 3 M g k p Q k h y Z S P q c w N i k t W e e t P C e C M T T J R V 1 a V X v 9 z o S 8 M P m L I V Z O y F M x D M 4 A I l k o 8 h 9 n A 6 7 B z 9 D b y C x N B y S G 0 s S 7 k L f w b h Z M X I X O S 2 Q P r Z k U s A N r I G l t 5 6 X t U S s N p h Q c C M X 3 I p / g j i g 0 m m f 9 l U T O + U y 8 y t x P m c L 2 e T k F h 6 N 0 Z m o 7 Z 4 z n 7 K q d N 4 S f p I G l N i L a M M e T E T 7 C k G p R X 0 W o N K 9 t 4 A 6 E G 7 8 o / L X y y O H I h n q Y j B G 0 2 U + Z y o k r R d 6 q W k v D k p 7 A 4 V m u p a c G E 3 G G H L i h o E 6 E Y C e C k j D Z 2 G c X g Q 5 G Z t i G c 8 8 5 E 8 c d v R I u h x V f + 8 o 1 o o 7 7 8 c c c h d b m R h x 9 5 H I 4 b R Y 4 L T S M Z S Y x O V 8 u w t M S a r 9 S h U g k C q t F C l G P x n d h Q g 4 A j V J f T 4 H 6 l E M i X D V K Q X 8 3 M Q j b u D I U x u I X + 9 t v / O Y S M r l p X I k 4 5 3 / m L 6 g n S 5 z z + B T L Q C 3 k o p k x 4 T P u f v x Y t H q 0 2 N c 3 g a 6 s N O F c i o 1 3 f w W N T g 3 6 e n q g s 3 m 5 a a j + y H f k b y u D r Q w 9 a e / u n f t h j F d R 3 x d o g 5 / D a 5 4 7 F Y y o M n a I v / a J Z + Q z Z o 8 c + a A 0 q k F i J p k I x A M T Q X H s n x D N T L e f K 4 F t X 3 0 6 h d j A P K Q 9 S f h i U h Z C m p M 2 z c U d x L P + X P u a o e G M 6 h k S L x X w y k g u 8 c u v Y M Y i N v U S Y G e d z K R F p y 7 E r r c K y y V K S 3 w N E O F O 7 Z C h g B 1 L 0 o r 2 w T s Q b f 4 m P U O e p K S U Y 6 a i F x n U N 9 n Y r P b I m o J M Q L w 2 r E 7 L T m x B k 4 X C U b L D c 0 j 6 e u k 0 I 1 5 a N 4 5 9 + 7 t w R H 0 M 2 3 b s o o 6 b Q C J G D E 9 W g 4 b 8 m l S S B A d b E E y o s i X B z y T A / g 9 P Y s q a i I W P A r u e m E k 9 c a 2 C 3 S 4 9 C 9 d 9 4 I y B a n n 1 a Z 0 c E Y 2 T u T m Z k g I B e b l 6 L K O l w 4 u M t J v A N P A c Z S o b F 1 r E W N 0 B k 6 c F y 7 7 + N J Z / W 0 q C L Y V N X 0 t W c 5 a I s R q + Q R L s 1 O 9 N V z 8 m f 1 v A p n u + R s J M J 8 J W e k + b 2 J + X N a d t / k e k E 2 Y A + 8 G Z V B r O h R 6 k L F y r Q h q H D N 2 3 k s + W b P g k t D G i T V V W + q H A E T + t s g 6 k C K Z 6 c j i L 1 / K U w 3 1 3 v Q R D 3 g U H a T a P x o a g h o h b T 0 x F j T f p T P B H 6 5 D O 6 E W I W C X g B D i j Q a x p k j O q y 0 G T L k h d J a u A 6 Z x 9 H 3 1 a K e l F H W I m t U 3 n Z o O F E D y b T T m u E y y D C 5 G o l m l N w T z 6 P C J N 3 x T v u T i S y B q g S / J r 6 2 A J I f K E I 2 l h T i o 9 X P C u g S L 8 y 8 i E 4 b B k Y T b p 4 W 1 o h X 3 y d h z 7 k d O x c M E c E c 4 + k g a e f U s 9 E z g x A 2 f N j 8 S q y G K Q T K Q I E T / P 1 n O k s A h s p u X T 0 + b b c i g 2 Y d k f 5 f k s Z S 1 W j X k x q s 2 S z 6 g g T 8 w Z I 4 Z S k C 7 x H 9 k p Z 3 A e X C l a W x t h X 3 w q l n 9 D k v I a P f d j e c J l v H f z p W J y l 7 c 3 N X j n k B W t 0 v 4 8 i U 1 c F h 4 b Q J W F z O 2 u b v G X G a / j K 7 M z 9 b h Q D m v P 0 q 2 K u F I X W w n J V E a 8 S p G z E m 2 S i 2 E a e V E + c m i U j f J x y S R / q r B a t R y Y s 9 M h J 9 5 / f y 3 a O 9 r w / H M v i Z h 9 M 5 k i / f 2 D o l r q O e d 9 F B m d X 6 j Q c W I q X n L B H d H D V U K d 1 H k 6 G p S 0 j 8 y D R F n G 4 q X e e f I p 2 F z K p J e T h i l U 6 L T 3 3 o Z I W / E + s K O d 5 L + 0 c n i Z T t R z E I L O L T E j O R t b R x 3 L i b W G y f V I 1 X 1 s p r E W T O h L j C C a i p L k 9 o q I J + d 4 O S y L 5 T M O A 3 J 0 c S D y A Z r t x 4 p D v H S + b v x W Y m r p W X h R I q 8 z C n Z F 4 Z p T r A 1 5 L Z W 6 I A i D 1 1 + x s J j G X C X Q J P u p L 1 s w O e k T W 1 7 2 0 O / K 5 f f l 0 y P w 5 Y v T r 8 q B F 5 H y p P B M 8 B j n V t Q A C t h E X P O b C 1 C L f s F I 8 7 9 b s u 0 m + S V v / v 6 z I q g R 9 P u Q M l a J 8 m L 2 + a e j 7 g w p c b k c y v l 2 t n Q c 0 T J B C Q / R Z 4 o Y i g N r B i V y V w L 7 + N 8 Q q Z m + I r k U 0 x i K b d r E t P m h 6 T C S T Z z i r f d V 4 M C A Q U f q V W W j M r y 8 H D 4 x h H u v 4 Y R V D Z L 1 / f j q 7 y 8 g 8 a b M i h d D k u T E f E Q A f Z G 1 q L c e h e 1 D D h z T X A g N O y b + j A H 7 9 S J 9 x x + J Y 0 W z p E 2 2 P D m I l Z d J E 9 F T Y C d 5 4 C / I k 9 O b q j 4 N G d c R J H F J 0 h M x V + n H q A 0 z Z y d P 0 O A Q C w o T Q w E X c n G Z p B r v 5 a A O h 0 + h Q m U e + 8 H f I N j 8 H W j 1 e i R y f m R 9 V t h r L Q h 3 m + B Q 7 e w w E / Z P 6 L F A H U x h 7 S 5 P G T A 4 r K 4 l B 5 o J n J d y B J O G a c w Z I C G a Z S F E M J B p m V Y F b G Y H 7 h + p n 9 j v Y r A w D a b 6 4 R J p Y t P x 7 q / P R 3 O V B i l f D y w N y z D / / G v F p m 0 C m R B C B 9 Z h 4 z N / F N G 8 k U A K z R 5 p n O d V q D e h I J t L i W z 6 2 Y K Z K p f l w q w z C A D S B u b B R 5 F o / r T 8 k a 2 Z Y q F S 9 I m d Z 2 a m S R + Z S l k b 1 m / j z a n S J B l y i E W Z S e h m O Q P S S T O G 5 c L p 4 + M Z + A M 5 s v f N S P j d 8 I V 0 S C V M 8 v k K N A g F m G i l x g 5 2 T S I T 7 S / L T A y e y G N m 4 o B D q / 1 E x F O W I m Z i Z B N G M U f T a h s T z M Q T v t a e O 3 H U i X s R H z 5 A v p k P O v 9 O c e 5 Q 2 I B o y z c R 6 / g C 1 k e O o 2 b o h F Q X 2 Q V k W i k B k n e 7 5 L k Y A p t F r E 1 H 4 9 2 i 1 a W R r g w R H k t B v 6 r O g h r T m I l / X 8 J M S u W j a N v 1 I v l W o y V y D p p h I Q J j M D M F e g o m F Q d z K q G 9 q v h + e f J N B g e l q B g z E 4 f U F W 3 B i Z y l z D R C z 6 k w E 4 N L X B 8 + p O s r z G T V 1 m H H 7 r 0 k e F q F z 8 h a Q H x L 7 e A X 7 8 n E t f S T k z 1 i Y r v t i 4 8 g 7 V y J U E J 6 l v f / e B W M 7 3 w P p 1 U P k q n X B T 0 J B B 6 F Q z E T I 5 2 X V x L M A H V g h Q N w M z I T g 9 r M z K R J + m A e f n I a M z G 0 v E 5 G S Z G R i E a D a p I C W v K F j l 8 x H + 4 a E 6 r o s 0 2 2 y 3 X a N I z m N G o 4 w Z M u W F d r h t d l g N W W h q U m A r d b B 5 M p R 5 9 V J g i Z E V a P H v 7 0 s H g x f n b V m + L v j M h M C M L m J R 2 l y M q l p C z j L w j m y R s c i L V / H f n G M 7 B / v Z 1 M S A 9 y N m n R X y O Z l w I 6 F 1 Y 2 q c K h c g o S z 3 U x T p u T F G k 6 4 / E + M n k 5 3 a a T f L e Z T S l O 9 4 9 H J c Z V s H 9 c k u x s L q a m f j 7 9 G R z U T 9 E E E O x 1 I j Q Q B g f C L A 7 S + l x 3 X Q Z X A g r I N Q s 4 m F M J 6 U Q U 4 U h Y V K J l M M E 2 N b W I s g A x O s b b v p S G z / P Z M P z J / Z i k 5 2 T z O 8 2 l h W W U r g n 6 M L C Z 3 O g 6 2 C V 2 3 2 C H / c W X X h F b 0 K x 6 4 W U 8 9 / z L e P m m s 6 E j T c p P Z Z t z k v h N 3 u x F 4 8 g d J E S p D b k s R n V t 6 E w 0 i F z A W r s G e r s 0 6 V w J o j 4 E w a x z i 7 8 M D k o w b Y e T h W X 8 I T + n y x X G J H Y Y A b i 8 y Y N E w 2 X i v W X 8 M W g j v b D 3 3 w L T + E s F k y + c G a L B L 3 C 1 O Z t C g i v 9 E D K k I d 7 d t A 4 O m x 3 B a A j z 2 x a K O m t j / k l y 5 p I 4 / e j l M I 7 M R b q p / J w V B 9 x c 5 n l 4 4 d a t 2 L 9 W i i D 6 q S P 5 e W 5 6 8 m r c + z l p 7 V B P Y h t u f O L z 4 r 2 A v P C O / S 8 h z e k 6 Y p E c q X P H 0 B 0 I N / + 3 C G 5 w k q m q b 4 T k 2 b e 2 E 4 u P T C E v F x b J p s e Q 1 n q o o / V i f V Q D p w 8 p W Q H T a b 2 s D R 5 J k i l m K i / 5 z C T R b a Y 5 8 g Q 0 k Q i Z T L t H D F h S P U n v 6 X O Z W g e 8 l a c r E I e r Q w 5 + U L t 5 e U e 5 y d n A w S Q s t R q Y H N O / Y x N O l M V W g Y X k V D l 3 B S J C m K Q / Q f j A x W h Y U 0 j C h B H i g v 4 E F 7 V V m V O c C R z Y i I Y T c L i s w l X g i J 0 a b O 5 V Q m h o H z b e 8 1 / k O / X B 5 G 3 H / K / z R g S s K Y K w R Y b w x p 3 f Q 4 t Y o Q A c H J h E a 4 M U + l 9 4 3 a G 1 k 4 J y Y 8 i 0 Y S A X Y N y f R J W 8 b F 0 B a 9 Z y 1 b o O B 0 I M c Q B C z U w M h Z k Y T q 0 f H z t x B Y 4 9 Y i 7 O P H E l 2 h q t m N v m w Y l H L s D 5 R 8 1 F f s B T k Z k Y H K 1 m 0 + i C 6 x t l w s / D Q u Y P a 9 w / 3 S B P 9 h E 4 f W n r 2 6 o i L n I 4 n T c G X p B b i 2 X Z e 2 E e e Z x a b U T A c b n 4 z k r a h e s m q M G S J 5 3 I g j e n V q A j x s m R u c r n 1 i j a U 0 6 x K Y U / p U Q Q i 1 G O m Z J p K S K V E H K W m U n 8 S 4 0 w Y k k D f e B M E C J Q T Z L 9 x w I 4 G C F O z R T 6 m Q M M m g q Z D s 4 5 J s F M k / u m B w x Y + p d C Y a a i O S X 2 i b Q 2 w U z i o 4 q Z e J W A 0 1 Q n X k x w a u w 8 6 M d X 7 / J h U G x u X Q D f l 5 l J I F 1 u e U T 5 Z T 6 M z f d 9 B y 5 t X N B A x 9 X 3 S w d T E y T w X B h a + 0 c S T N K 4 d v c O g e u d 8 3 k L v l 6 g l Q 8 L p o 2 M V l + U u a G A t Z i 6 z W q T c L b Q M h c r h d A V K C s V F c T 0 5 S c x b Z k 4 I u M N 0 L a p M 7 z L o 8 o 8 R 4 R / 3 f o G Z I b s S K S D i I a i G O s d I 2 0 1 R E R M 9 j 5 J 0 K f + + J b 8 C w K r Y d J G K 7 z r k f A c i 4 3 5 L 2 C 8 6 l N C c 9 m j a + h 8 y b z h b O V S L P / Y I m x 7 R m 6 X X E q M m Y / n o p Q Q P C P M U S 3 y H b k f l B e X R Z 4 t T I Z C n Q a x W 0 Q F 5 E 0 q f 5 H 6 l x N k W z h j X m Z S X q b R 4 S X P R X 4 U Z j g 1 l O P e h X a E u o u D Q Y r p w l t j l k K Z U 1 L g T 5 V m m U j g Q B K H E 6 z Z J F J E c G r 8 7 l / b q c v H M e Y r P G s p b P I E s R q i S G k Z R C d 6 h d I 2 Z M e F d t L L G w S I 4 F B y C D s 3 b E G 9 g y e + 6 Z i 9 H t W O F D Q m 3 g O a B k 6 9 4 n o G 8 B z a T E h w t C 9 a z t o o M J E 2 U V k g V I L W q a + D X V e H 1 G C S G q y D P m y B N l V D 4 + x C 9 5 u b i A G a k R s y Q N f b h l y P H b l J I / T 9 8 0 V E L 0 s D q W k I w J D w o 2 3 s G V j C k h P M j a o b e w v N I 8 9 D S w N U D e 5 s a Z D Y h z L W D L F 4 I 2 n k I O f e A B 8 v E Y E O V W I x m x 4 / u f S f E p P r q 8 l R N 8 B G 2 p N 3 D + f l E + x 3 s O b S Z M j e l y c s z Q Y V 0 R C T Z Z J + + p v E X X 2 k y c h M u + E f h Q W D z F T v q j Y Z z m c D d O / D l 0 Q K x k K F C O E k a T Z F w j F j B m R G n g a R i i X B J v N Z 0 U J D Q m k V W j W c 7 c U C T 0 F b a 2 H q o V i 6 k i C J 7 R K + k r Q 2 t z w 4 N s d j W g q t 3 k T j n c L K e d M j l D O j / L 3 W / + 0 6 k M c r t M 6 8 a 8 n i k H c i E T A 1 Y t G S Z e Q D u 8 i f z Q h N o o c J i z 7 7 S + l 7 1 U o B R Q A G O B u H l / r I n / k V K 5 N m N A 0 2 K y y k F B i c c s Q m q t r k m 6 r Q x b S o L B 8 R f m a x k F J D G 8 q M I p I d h b G J 9 8 v J I u O I I 2 E M I D 1 u Q 9 s R p y K Q G Y C 2 M Y 1 s W y + 0 7 R F o v S m M W 8 g X G p 9 D Z q F E m A m D F 5 2 e y x F 3 K K F R D U Z r P 4 q B + g u I S V q h J X / L N v o 3 W A Y e x v f u r E H O 4 I L b 0 E C q n I h / k J i S x J W f l 2 s T 8 3 n I J N H m I n j n v t f o I T J k q h H T e E 6 n a x Y T m E i w n Y J q 4 I j J 9 C a S e B o T b r i i G i P j Q X z 6 h A I D M U 4 r 3 m T 4 3 0 K t s y A x 2 Y T i B Y t d f s n 5 J T d f / C 0 F l 0 1 m 8 G b I O p P 0 H F x G W B q s 8 l A i k Q L 0 N j R Y e Q a f t V u W + i 4 W Z y Y 6 I L I d I m X K Q J e C x + E L d 0 f w z b 8 X 6 u o F w k n i f w t p l G I i U v y t c k g X I j H T M L z j d R i 0 5 C e m x 2 H 0 t J D 1 T p q i p J Z H 0 + X / Q P a I k 6 l B U q 7 e o q 8 9 W c j m k a F s W 8 T I k k b 1 5 Q p t P h z E u Y Z 6 N g G X o X x Y X 4 C n g b h U H U N k 5 R P V T N W w p P u K y W d m u p I i L S w x c j 4 a Y D q a a x u C t r q c S p R I e 2 F D w d f R 6 X I w 6 D P 0 k I X L 8 e C I e m + k h b L 2 O Y j W f Q X x p i u R 8 R y N Y y + R 5 m + q j E 3 g a s X B f m o M a a x Y M o M c a x 9 9 F d 5 8 d o Q u o k c m n Q Y X 9 F c E r v I 3 0 f w Z 2 A d v k z 5 U w I K G L B b X D E L f J Q V C y i H 9 H 4 h m l c J l l e b x K j n l X I M 8 l 8 k j O h S b m r 0 X Z Y S V J R Q 0 O O o s E Q Y H X 9 R w N l k Q 7 C m Y Y G J x J C + u T A 0 i m 9 u D v p B f 7 O x I 3 0 g n z A C b n F 7 z 9 u Y R Z E I j M B K z m G S z / y d / W k d 9 n s F n z m y g K x W u x b 6 W g D w e a h i 4 T C 8 d r z L S u M v r q x T s X H U r 8 j E O 1 A C L r 6 + c g R B 8 9 w l h 9 m V J P 7 G G L A V v i l Y O X G g l o 6 5 P e A h w C l V c Z 0 Y y X t 4 U n k J p r U o l y G Q g 4 c 0 Z N M x 0 R E t T 1 G S M U Q d m 6 I D n 0 I 1 x V U k X L / U 1 d B z d I u h J 0 x i 0 L t g N J d V y e D z o d f K V 8 2 A w s / T J w 0 7 M 4 2 o 1 I j Q Z R U I v p f Q 4 O P + M u v L H n + C t K a X f K C 9 R w U h + H 2 m + A f a R 2 4 u + 7 x k c k 5 b J 8 w / p / 7 y 5 H a 1 H G U Q k T H 2 e e J E 2 + U + E h w s o U N d M a z f 9 n U l i q B S c b R V y G L n A P u f m c f t 5 i U P W D 0 u e z S I a I 1 X 7 u V a f b 3 8 C 8 U C S f L Q G 9 E V r M I k 4 Y u R T O v V h 0 k r T s w J K Y S Q f N U 6 M z P 7 T G + v 6 h G n 3 w y v b k J T N 0 h s + f x Q J C B 3 O P L a W z u D x L e E g a g d v X 8 Q v K x E y E 3 S V x k r C p I P M K C 1 s t o K Z 2 P X e o y J t y I o k L E 1 c Q p s f p D x O / f 4 b W H b t v Z j 3 1 f J J q q J / u S k l L 5 6 M 5 q X q W t K o 3 K Z y 5 y g v r i V R a 5 O S Y s 2 8 X I m 1 T T n M Y D m U Q n N w + P 2 8 d q A F u W b F / 5 k d J s J O Y i g N v L Y Q a S h u o Q T u U K e l U P F n J t x y h Z Q w y S H 0 P E l g j f C F 8 m Q O S o w Y o O M 1 z W 5 8 6 4 5 L x e e + w V G 8 + 8 7 b u O y y T + D t t 9 / B h g 0 f Y O H C h W j y 5 r B 1 7 6 S o B V 5 f V 4 9 l b U c j Z Y 5 g 3 9 7 d Y j J w N L E S D p s O F o c V Z x + t E / N E C 2 o 4 h J w l c 2 j m F K t K 2 P D W Q R x 7 8 g p k U j l R 7 a j K 6 0 C a B A k H R w 0 a B 1 L p O E x 6 G x x 2 N 5 l 2 p H l J W + j 1 B g w N T u D t d 9 / A B R d d O j X / N V t w 1 I s r O b G / l e c l 2 C U F O i f i B 5 E f J G G k z W D c r k e d q 2 C O p k m g G F S h d d Y 2 i e E o z D Y n Y t E Q M r E Y f v 7 E f o z F d P j j 5 + a Q s C W z M Z W m 0 c i j Z m m 7 y D x Q w J o v W 0 Y Q M V N y x g G / K 4 d 3 / n g V z J N b i V 7 0 O O a n W + S j l a E 7 e D + y c 6 + S P x W D 5 5 s q + q h l I B h + a n m Q B h F Z 4 z j 1 X L p M H e T h M V G 1 n 0 0 5 1 j 4 z g P f X U k r Q a V K 7 f 5 Z P J g w Y a 2 A / p R h c M k t X M r E 5 3 B 9 A Q 0 v x Q K r h o d 9 o L J V T c k q h Z q r E g A 4 m n n h N 6 1 F l k 5 z P Q H o E N z 3 5 R W w e N O G 4 9 r x Y o s 0 p I r z A i 5 e p i 5 A x P X Q u t B e + d D 2 e + g b 5 e s j g / F v a o U 2 Z U N O Y x Q u b 7 Q j G M h h 6 e R B H e v O w X L 4 Y p 8 w h q U N E M n k Y 6 S k K g u M Z W I x u U d W n s a k e / X 1 D 8 P t 8 O P f 8 s + C o 0 u J f d z + L L 1 / 7 Z f z 9 7 3 / H a R 8 5 D S 6 n C 6 0 t T U g H 8 t h y Y A u G h o Z w y d k r 0 R d v F m u n u A g N Y + + Y D o t q s y K L X M n N 2 z Z o Q J 1 + Q N Q 1 m A 5 5 8 O U N m d k Z V 5 A d M 0 N X K 1 k b E 6 N h a B 1 6 W I i h L F O 7 / O V h J l 8 2 n Y n B a H C Q m R Q X e 2 N l S S A a y Q R C K k H 6 0 E n m R h j J N G 8 G c G j m d 2 j m k E a y I p M h v 4 v u x f s / K X t B 8 T j x v F X f 8 7 + A r q o V z a d c j c c e f x q f / v Q n B f l m e S M B g v o + t r 5 b E W 3 9 L / n T d I j n P X S z Z o Q 5 X w + b p Y y l k A n T s 3 N e 6 O F B a C i x w X N R N a L K K F 3 q X o q Z J v P K g d f C 3 P J p i a l 8 q V H E h 3 K w N W n g 0 t e K c D B r K c Y n b v 8 q V r a w y c O l y P T I y p n k f A 4 P g j a 4 F z n X I m L Q l 8 k P N C E V o e s c H c K 3 / y x p t 4 1 P 7 s e u Z 6 R N w T o z O / G L R 6 V d 3 n 3 J A z Q m l Z / n w 0 L d D 6 H + G O x N Z I b I / h K D d 4 n g / a r K Y S w C 1 F a w B i u C p G 8 w M 0 G m b l L 4 R F G S w N m Q A T q n 1 E 8 D v T 4 S L g 5 Y S B C Z a b x j z D R l Y C E t G 5 e D T b O F h U w i v a k d e o 0 N q 5 5 / E d F I F D X V X u w 7 0 I l L L 7 k I 6 9 Z / g C s + y a W + s t i 7 e y + q y Y r w u J 0 Y G B p G K B Q S 2 8 h O i K R d L 1 Y e W S h Y q q 4 M X A o O S g g / q g J D + e K S / + 8 p E 8 5 X I x k 2 o 7 F m e m L 2 F D h a W L E q l w r s c 5 K Z r P v 2 d 6 + 5 k V W a P h 1 D r i T Z t R Q 8 K 2 7 i V X 4 E g 8 a O N 1 / c h A U L O + A f y + D l V a t x y p H H k A P J E 7 a z F x v M E E z O / b t 9 M G k t y N v j C P u o L a Y k z D q 7 e C V z U b x 1 5 + s 4 5 9 q T 8 f D D j 6 C 1 r Q 0 H u 3 r w 6 G N P k M a K Y / W a 9 7 H 8 2 I 9 g I m Y k 8 0 6 P w I Y Q S c c 8 / K k R n P G Z l e I + e m s W Y 6 M + D J P Z G E v 5 c c a n p R 3 D z d R Z y j 6 4 a q f 7 3 w U v G m T 4 9 6 X h n m M W z 8 k I J a R a e h o O B B D R D 4 2 H Y L c a p 7 5 n 2 G T Z x r X I e T d 9 B d y r 5 V r I / c 3 h / 2 Q u R D 6 n F n o y y X j y U m / I I B v R Q 2 P K w + m 2 Q E 9 a g z M g e I 1 a J f D 3 f A 0 F D i L q F A l b j o T x N c v B Z V 5 E / j M / A 7 B o 4 X w s X 7 4 U c + d 2 4 L h j j 4 a T z P C F C + Z h b G w U J j K / D c F q u B u Z h q h N D h s x n g f 1 9 X W Y M 6 c d D f X s 6 B e e M k f X d E z 8 B S m b l J m v B o e 5 K 8 0 1 h Z L U 1 q w e d i P R t V x P r x K i s R C q H H W 4 5 d Y 7 0 N 4 x B x 9 s 3 I z u n j 7 B 4 J u 3 b E M 0 k S e B s A G L F x X v p C J B D v q k m e k k C S g x F K F x + A W E n D P 7 P k Z V V c X 7 / / 4 C j j 7 q a O z a v h 8 f b N i G j 3 3 s T J J S D r z 6 6 u t Y Q B 1 4 O G h Z 6 s W 6 J w / w a I q t V Q w 0 g B r y E x L 0 P j x A 9 j p J 2 l g 2 h I P 7 A j j 6 0 5 / G 3 F r O I a x B a 0 M r b B k r 3 M l m R P 0 R j M d G Y G h o Q d f 6 H c T 8 A U z 6 x 7 H z / R 6 c e u l y 2 N w 2 N C 6 2 Y e P z X d Q P F p x 0 6 T z o E C T G s 5 B Z y 8 X 0 o 7 C a 6 5 C J W j D Y G 8 T Y Q A S v v 7 Q e K 4 5 c h H 1 b 6 T p b e j D Y E 0 B t F U n i v A P / / N s T W D j n S H z w / m 5 U 2 Z t I C G S x 6 q m 3 o O O d 1 W G D p 8 q D w e E 0 a t v 1 6 C c m 1 l L f c P d N d S E T J x G F w 2 a C P x C A x T I 9 g K A w 0 3 B I K 2 q o 8 8 Z i v L w / E M 2 S E y 0 R f Z 4 n O k m K + n I x w Q w M h f D 5 c y 5 q g N a c h S 6 W 5 7 z m I s Y t B z U z M Z i Z G H x N H W + e V v K 9 l 7 P I D 5 G V z p q Z g x P 8 N z Y Z h s V b r A F F C l O E T E 9 h j h b a x 0 0 N Y R H 0 c r W h U r D Q i i Z H U P P K d 6 E P D S D Z K A l J E / W b d R b M x N D q u D 5 9 N U 4 8 8 X h i c A f a 2 1 o w p 6 M N L d U Z L J g / F 4 3 N 7 Z g 3 b 1 4 F q 0 w + x v 4 Y z 6 W R i S h M P u k o M O i v x X G p e z F Y N 7 1 I h j X S B 3 e q E 0 O e j 4 n P m 9 / v F R L v 6 O M X 4 o 2 X N u E T n 7 i I R o M k 5 S y 0 U + e E X t R t 4 C K R n P W t j P H v r 3 h B / A 2 S m R c j f 8 r S T M 4 8 + c L Z c S s x V J A k U h j X 3 f h p e D q 0 a F 5 U R z S p F d U 7 G b w 0 3 j b 2 F t L 1 p y I f G 8 I P P / o e m Q V 0 D 2 s A f 3 z n e k S j M a x 9 c Q s S o y b s e K s X P 3 z y M o w n 9 q N G R 0 6 8 v E S c i S 2 a H U e C z T H V c / A M P X / W E 3 G l y V H X y p O w W l L x P H e n Z J p k i W L 1 2 o x U R 4 9 c B 5 e + B U n 6 z 2 E v Y 7 + p n F 1 O o k 2 T r x E K h + g v m W O J F O a T h J 8 J w W A I Y w e 3 o m X h c p g d T i S S Y c Q R Q K Q r I C q 7 R g I T c C + W / C 5 D / w I k j H 0 w J p u Q q t s N n a k 8 g b I W 4 h B y J Z i 0 D m j T 4 1 P n 2 D X 1 M B o t R F a H J t x y 4 G i s W d U W X o Z f Z y l s 6 s b b x e T 1 b p h H n k S i + U v y 0 Q I 4 g X b z 3 6 / F K X X D Q q 8 N n / M X s S z H Z q w 8 R 1 c K H u Z q y 3 Q F 0 B d e S 2 N p R a N N 3 u d 3 l i h i K I 7 a c b H D p v 5 V Z C b o S L K R i R C I o L / 1 M r F c W 8 8 5 O 9 Q C z / g 2 / O s t c l r T a W H 3 e j x e n H 3 W W S T l 0 1 O + z U z g y k C F + u U S O F K S M z X g D 1 d I S Z J q p s q Q T 5 S N a u H P D A k l + 6 t 3 f 4 B 6 Z x a x W A x W q 2 I j 8 2 M U p M g t n 1 + F 0 b 1 h c q z J p 2 j J 4 + d P f g k 7 n v F h + S U l 9 j B P y q l K / 4 b S Q 7 A b S F P l 6 P m y E d K S h T q A f S + G s O n x D M b M u / H V O 0 + R j 0 5 H f N Q B c 0 1 Y D F S C u o O r I i 2 p L w 7 u q H G 4 V V 8 Z y e h 2 R M i 8 z m Q y I k C j o O A D c V 9 M D a 1 A O k l t m H T C U B 8 l a S A f l M H h c 0 U b z R a W D D G g S E v T k s 9 Y s i 9 t G f g P x l A 1 d 2 a f h t u c z 3 C d Q o e Y 6 o i R f 1 U V 3 4 5 M z U m S 4 C F h x W U Q l L W N n O 7 l 2 7 6 K b E 1 m R G n 8 m a k M J N j K I R S 3 w 2 7 m u T G m d a n P u a j l d B T T 0 2 x R x F C V U L o 6 k / 2 t j E H q G M X 5 l q T 4 o Y l i 6 5 A B R z Z O Z z p N r A d 5 a z s y q S x u / c z L w g f i g M R Y n x / u O g c w I U n 5 8 e Q Q q p o 8 u O X F a 4 S p V M W l r g j 2 7 t 8 g 0 v E D 8 V 7 B b z / 1 H L Q 5 L T n r I 7 j p 8 S 9 h 6 6 v b c P R 5 k k 8 1 B S I k X 7 o f e 4 f n 4 I Q 2 r q 5 U 3 o / k O Z i J L h / u / / 5 q + L K T + D / S c E n S Z K w F 1 d D 3 z U W m V Z r 0 z m T 0 s O j b y Q S J k b Q z I J I e R k a e 4 e d M b 4 + p j Q Y / L n w f D q u 7 K y z C K 0 U i v h t R F f E P 9 f v R 2 F J + f 6 q y 4 B H v J U e 8 X c r 9 4 0 L 4 S V U y 9 E x g 3 0 S v y 9 B v S P e W B C 8 8 p g 4 i w c r a K r C f n n F B C S c r y C W R T / Z A I y c 0 j 4 y O o b 5 O l b x M v h w q B C i i X H 8 j O 3 N B o a S f a O m x m 7 C y W Y + J 8 2 + X j 9 L x D P l p h r a p b Y m 4 V I M 6 1 / N w w E p h V j / 1 j R d n O D M z t U 4 8 D 7 s q M 2 I 2 z M Q o x 0 w M Z i a G n m z f j 1 y 9 S N j V 2 Z A O N U 1 u c c z Q J G U m e w 2 N C A 5 N I h F L w u 0 q R M l i N V L U T o 3 v P 0 p m K F G P S 1 + H H 1 / + D x q w M s x C h M n 5 W y f S 7 S s x E 4 M n E m v m V C N H j O H U V c O s q S I G K F R f y v X U w p h I T j E T Q 6 / P k I b s R I Q 0 a 1 9 4 g 2 A m r r E x H q o T U x K c 1 R 7 J j C K a 4 i y T 2 U 0 e R m L F z M R g Z h o Z L O + g l w U L X m I m T X 8 j D W b + k M z E p q A C N m m 5 u l U p M z F 8 y W 4 E K m T q 8 z g 4 O m a Q 3 T y 5 L D M T m 9 c K M 6 X z U W p i A r a B v y F M g l G d r 6 e 8 e N / n m R C f G M L e e 2 8 U S 1 o O T u R Q / c K 3 x I t h 0 q e m m I m h Z i Y u j j p b 5 J K j Y i 6 q L E N x y a j A Z C H t K F e i P V c 9 u g 5 D 3 v P g i u 0 A l 4 t 6 + t l V Y s c F E b G j V 3 4 W f M q L x 8 q h c 1 0 v D K S K 2 T / y k D n J b g b P T z E 0 T l 4 U x k F u L b 5 + 0 m 0 I J 6 X j 9 3 5 m I + 7 5 q g / R Y G H g h 0 b G B N 2 c / 3 + n C O 3 C A x p T t n k p w d p 1 H 2 B s f B I + f x B h c o 5 9 g S C G h k f I 3 E i Q n 1 c Q F G v + 1 i / 8 p V A 4 g j W r N 5 D Z Q d + l 9 M j 3 k m / R P o a U u b x v I k E y w W I p D o I k h Z R n 5 E i D G v W S k K m 0 b G Q K r M 1 K i D 9 O 2 p J R T 1 p b Q b k s b 5 7 u K E W + Z Y j M X Q 0 y A w U f j z W n P + o W a 7 8 U s M + k r E D g T c n S J F R M m u I d S h S w x m Y i L 4 W / M y 6 2 W i 2 P 4 r a p A y d a G B B M D W D M c R T 5 y d O X r s w G e x 7 + P U w k K 2 0 m D X r 9 W Q w E Z i f 8 i 3 b D n A E Z G p e + R A Q 9 w Y M F y l c 7 4 T o i Z r d X 6 l D e l a 2 u u d B 5 x m w d I p E I O v c k s D t 4 F A b 2 v I R l y 5 b j 1 l t v x 8 b N 2 / H k 0 8 / h X / + S 1 7 d U Q D Q 1 Q c T T T a Z k Y f a 9 8 4 N O 9 O 3 o x 7 w T 2 n D k B f P x 3 U c u E P 3 M 2 s X S k k W U r B O 9 k w 6 Q K e g m H 4 f Z 9 k c f l 3 L 5 o o l + k v Q + / O Y L j 4 j P D A 7 B p j M a L D 6 S 1 9 K k 4 D L U 4 K n 7 3 x D P y X 6 H A s 6 l a 2 l p J l + w G p s 2 b c b B g 1 3 Y v H k L 3 n 5 n N d x u D 9 5 6 q 7 C c p G d t A J Z U N U n N J P l v Y d z / 0 F P Q m U m I t J X f 3 Z 7 B z C w l k u Y F o T o t E R r Y g r B K Z g p a k V O 5 m B i Z g B j j 6 r V M h M n 0 I J L p Y q a 1 c F B F B U 5 i T e d i 0 0 x R L p l V F k S 7 u q Y I s n F Z a J H A q r I F p t Z + K e l l e v p r I 7 N L 2 d Y l m T 9 U 3 Z E S B u a K T W W Q F 3 1 T Y K B S c D i e k b A 3 o d U v B a 2 4 T e F Z b K a m Y M n n f g C 7 x Y R + f 4 b G H 4 i k 8 h g 5 o X K B l w I q t 0 s N r j e i Q P P u u h f y T W 2 S / T 0 S 9 K D e V W w 6 x C I p W H l r b h l p s q E b H X N F w u o U S G o 5 h u 9 A M t W I n L 0 N W X p 4 k e x Z p k F c a l i B 4 g x u f 3 0 n j j h z G d m g v N N H P e 7 9 r L S C N 9 s + D N 9 + i e k C m T F E Q 3 F Y H W a k B t k R z p P v M 4 T r b / 0 E + j a E 0 b V x B H 4 6 h 5 e Q X / f X z 4 H 3 f R s O U l u N B 8 k k a M S t V 6 / C k L 8 X t 7 9 R P P M e i 9 I 1 b d N D 1 s M j o 8 S U d c L 0 1 B v 0 + N v f 7 s F X v n I N 4 l F i E L 8 f z 7 / 6 P C 6 / 7 D J U e Z z C l 0 v p i p e X q 5 H K h E k L T Z 9 1 5 x S e D P k c T M T l o S E f V V p C M B m l f p s 5 O i 1 g z C R J a Z p I w I z A o q 0 m b a g X 9 R U i P m K U k h W q a u Q S R B a 8 8 r l k G c m H R 6 H t j P B B H R x z K z D 1 I a D W e O 0 T z 2 K H 8 3 j x n m u s m 9 X p V 4 d o + g e / / x o a X T r U X f F T 6 F 0 F / 6 x 8 U E K C 2 C a 2 a G K X + i g T I O 1 F g m z K R e A b E 6 2 T f 6 + F s z B h V c p M D G Y m t b l Q R + q / i J k Y Z J e F G 2 9 A q v 0 K Z K q P J 2 b i m W e Z m V S a r x w + e H K v Y C Y G M 5 M a v b t H 8 V 8 P n i + a a 9 b a Y X U S I 9 H 1 j I 3 k T 9 E x T d 6 A O 2 5 4 E p f 8 z 9 H g g q 8 u Q y 2 Z q h G Y 5 G T G B h d J J E s b T D Y D j j y 7 F R 8 7 m x M y i z H F T C U 7 3 T E z M b j s W D y Z F X + 7 O v v g D 4 1 j 9 b o 1 O O X k U 7 B l y 2 a E Q z E 8 8 v D j 4 t x K K M d M D D 3 Z 0 m p m G v Z L 9 + S i k x J I q y U P Y j z e N S t m E p C z M R I h L e K 5 C a G t y A M V W d U z Q W v O I R e u 7 E O W Q q n d U I o w b z I h U D z u G n t B K x 8 O W D C o 0 V N 9 M T w k 1 I 2 Z N D 3 b 7 L P K G c d + 9 6 9 o + v K f i 5 h p O n n m o E m Q f x n b j 3 i M a I J d E 1 4 F M P U y I 8 + J t E X + t k z r X H t x N l E + B W 5 D M w a H J t H a 3 E T a R K r z d i g Y R 1 4 h U a x F q u Y s 8 X k y Q X a m R k 9 q O 4 3 e 5 4 0 4 6 v L p Z X f v v e F d + I e i 8 K f H a F j y W L x s H g b 2 T o J T a 9 j 0 s z T R Q 4 a N S I U 0 m E y R V C C i v G f r / + L m K 1 Y h k o i S j R / G r 5 6 5 l q 6 k E b l / Z j K g 9 6 / u w 5 L T 2 6 h D i o m G r 9 9 z Y B d s D i d q 6 8 u X A G b 4 D y R R N V 8 y W 0 b G R l F f W 5 x b V 8 5 v O B R K 0 3 x 8 E T c 8 9 g B i 6 U l Y S 8 o n K 9 G 1 Q 4 F N 4 U I q l R A 7 0 l s Z z G D p P G l l Y S p O / z 4 3 6 I S 2 6 d B l 5 N R I c T 6 g X n I R 1 K W 1 j D o b H P o G u U 4 G S 4 T i e 4 F L d P M G E j L Y H F f 7 T 7 y S m p + m H C J k 8 j U H B x C o O V o + Q p g 1 J R e Q T K Z J a y 2 m 3 1 L f c v K s a t s g C d P 7 q B w 0 i T 5 S J K 0 F H + p Q 8 B r n E l + Y B T M x S p l p O F 4 + e z h V f 7 Z g J n P / g 9 D 7 N 4 k 6 0 l 0 v p a D f + h 5 O O + 4 J a d t 9 B e R b M b 5 w 2 2 l E + B p i Y J Y k e e z Z u R 9 a P e f 3 e W E l Z o o P 0 A M 6 k q K z P c Y G M R f x 4 r 1 r c c n 3 j i H / x E I W a A o / u v w f 4 l o m c o T Z r 4 i N k + 0 v M x O H N x k j w w N k w i V Q 1 z g X s Z A P Q 8 O S X a 7 V 0 e D T w C b J l A t 2 J d D f P Q H P 3 A x 6 u / a I l B T O a C / F T D m M 4 X h 5 D c X M p F 5 D x s z E Y G a a D B e H w S s x U z p s h k n j J f P H R i Y k L x M 3 g D e 7 C 9 A j m g w u v P z U R h i V D c k I B q 1 V C D P 2 7 T j U r F 6 o x 2 B m 0 v S X z 2 1 T V r c q i G f 8 Q i N x 2 D 8 j W w U K M z F S s t Y P D 7 E 2 K y F K J m A V M z G 4 Q p M a M x V M s R v r E F P X u P + Q M B K j s 0 Y S 2 R 4 l z K Q p q c l f F p x 2 x L m w r L X o r z Y n 1 4 Z T I 5 s o m A e c 3 y a I R Z Y c 7 F O U 2 8 j Y o i r b x B j t 7 c e W 5 / Z g 2 7 N D 2 P x E P 9 Z t P R 7 b t r g x t q 8 T x 5 x X A 9 c J V y P S + h 1 E G r 4 J a 8 9 f 6 R c k C V Q F J / / r k Y + L Q X f r P K L m X i S 6 m y R Y F i 6 t E 7 Z a H 5 L B C Z j r 6 G F I q j k M 1 X j s 1 j d R t 7 Q G i V g c 2 k g V U v G U z C B 5 6 L K T a D j S S G Y P P T h J U A 5 v s u / k d H q R J X N u p K c b z c 3 z 8 N b b 7 + D + B x / B h g 0 b y S 8 K 4 8 D Q C K o 6 d J i z s B H 3 P 7 I K 7 f O X 4 9 n n n s e / 7 n t A J L f y S 9 0 X l Z j K Y S k O W g x M k q a U w W H 0 c m i x V P b J 1 E i T z z T Y N 4 n X X 1 y P 0 Y E I H r j 7 J U S p W 8 b H / H j m 0 T d h s V r I s S / W y j a 9 N H G d Q 7 Z s y D l b V f 7 e c d X 6 K g 4 K K E z E Y O Y q h 1 Q u r C S E T C H P A q 0 k X Y n n n d h X L c V M g i p l 8 a J 1 8 G l B A w K H V i T T I K L S w k W Z D t 5 + q d S s Z M u s C L z L I k 9 j y C 9 N 9 4 a + f C r K J W h t m O g L w d W o h X Z O P 3 0 n t a 7 0 g W 5 + P I I l H X Y E Q m m s m G N A Q 3 Y f B g / G k Q m 7 Y N J V Q e e d w L w T 2 s t 2 z o z I p W H p u 5 e Y y o S U / T j k b B 3 I k w T / / R X P E 0 v k R e b E + d e c i H f + J R W W D P I S Z D L 1 u H Z i b s R E 3 w / i l 8 9 8 D Q 0 d 1 e j c F 8 E 7 f 1 u L q 3 9 z O k n t B I a 7 I n B X u 5 C O E 4 v G D N Q 2 O 8 a T 6 9 E + d y 4 9 p z y X x f N o J X l q D F 1 g N x H Y U t W g U b + U G t 7 M V I Z i g c J t V j Z F L o U 9 6 0 V E J 4 W 7 A z E H 3 N Z i h u N 5 H g 5 N / 7 s w k c R M 0 i B z + W g l W s f M V R o Z L A d d 7 x x k 2 6 Y X K a l K h + A 3 O O U 5 t S j R s E 7 M E 7 H w c 6 j 2 F F N D 1 z c P 7 v k 0 T t S G f C 4 K n a 5 8 l n 0 p K p n R L F j V O 2 g w d O k o 6 s b f w l D D B f K R 2 W P G o A S Z c r C 0 Q p M N I 6 e V N J h g w l I a k K E Z 6 u n J W 5 2 F O Y f I a A z W a j P 2 r N m H 0 E i c a I z n l r R k c p j h a r X i L + s d S K S Y X P K 4 7 S s 2 m K w F H + D f A k m 7 4 X E / q p x u m C 2 F f L J E I o k 7 r n p V J M p G a T C v + / U n 8 N B P V 2 M s N o 7 M u B a 2 p h y s e T f 5 7 E n 8 7 6 o v w L L / 9 8 i S W Z m q P w N 5 v R 2 9 4 b X w v d I K 5 0 f b Y d H n 0 K D f D 4 2 t g i n B 2 9 u o o k a W v b / F Q M d l s B l q i D G N Z E p N j w a q k S X J q 5 M X m i l g s 0 q 9 i 4 n H 2 C z W e C k E n k i Z Y D Y W T + o W + 0 H / O S S y f j G W J m 0 x Q b P j z 7 s Y l s K 4 L 4 q Y p Q G 6 Z t I y W o m A e D 4 q N U t m 5 x g m l 1 j R 9 n n J / y y f y c F b 6 i i 7 g K g R z / h I E E w P k h 0 K h r g f a X P 5 e 8 W j K V j k V H 6 p h 6 U + 5 r 8 e o h n G H X / 6 K 7 7 8 l W v x 9 N P P 4 M g j V 2 D N m v f x l W u / g J d f f Q M j I 6 O w W i w 4 9 b R T 8 c 4 7 7 2 D F i h V 4 9 9 1 3 6 f s v i t 8 y y m 4 W w J s p s 0 T h W x W D G h H v R d L Y D l N a c s L + I 6 B r + p O u q T S i U n R t H s V D N 6 3 G S K i f n P M U F i 9 Y h u 5 9 f d C 7 c k g O 6 W F t z 8 C 0 f B J H H 3 M s w s F J f P J T V 4 K 3 + p + Y m B A r e 5 d 7 l 2 P Z m f L u E i T d p t k g C k i i C 9 V N s A / d h l 6 v J O 3 y u Q x i O d + 0 Q o 4 M t Q b f N 6 b D w q p x u j 7 b 4 3 b 6 W 9 B 4 w f Q A n I Z G a H n + h P y m J B F o i u z v B P k 0 G k 3 B P + K J T J P O O T V h O 1 u w F r L q p k 9 E 8 v x R i J i a i b s c 0 y h g E 5 B 9 o e J n z M O Q D J K 2 z C J L z 5 M d d s O G Z t L 0 U e i r R 5 B x 5 k Q C a T 6 t R 9 b A W l Y i J Z 4 7 k q K A 9 J l z 7 8 D z b 5 J W Z M G e J r N C W b m Q T K b E Q t F S z B T k Y b + t k j b s i L 6 E b u u 5 8 q c C S g M e C k Y G A 6 h v c k s B F C 4 c p O e A W Y a 0 q F H 4 3 p z y l O O 9 w O i 3 / H t + Z T M k K H g p D H 1 f q q n K M 1 R f F O 7 W E q n B E Z D S D d H Y o Z U n 3 j 4 0 i I g P d g 9 h 7 t y Z H c w H f v Q u B v f 5 M J k Y R j K r Q 6 O 9 B t k s r 3 k a x N d u v U S s h q i t c c G i T S C Q M K G q q k o k V + Y 5 r Y f + m u 0 F r V c J v D G c h u x m 8 9 D D G P Q W r 8 F R S z Q 1 1 A z F B T n n V h P D l u s r G X 3 R 9 8 W y g 2 r T I h o o A + 7 5 x 9 8 x M D C I i y 6 6 A I O D Q 7 j w / I + T C c V b r E S x 9 v 3 N m J y Y R E t r I x Y e W W n W P k / n J 0 s 2 g M u L l C Z u r 1 v r m Z X 5 q I S n z d o q Y p K C 1 W G K j i I m 6 u a R c V f i i z G / b H 5 v A M 1 N 1 G d k q j / x 9 J M i W Z l L E V x y / i W 4 8 R c 3 4 d e / / A U + 2 L Q B D Q 3 N G B k Y x s D o E D x u j 1 g l s H f f H q w 4 Y g V O O O E E s o C K y X A m h o q m x 4 X V U A n 6 V A Q Z M u v V G B 8 N o 4 Z z Q k u g p b 5 W 6 o r w c / O m B r 3 R N f S s J j R b p 6 / D O h Q 0 D z x w f / 4 j p 5 8 K B 6 n d 5 1 a 9 R A N 7 P u L + G P Q O g 3 D O T z 5 u C Q 2 Y T Q Q j e C 6 G Q 9 D / O X A n z t 6 0 + d 2 n n g F n b v h S 4 / j 1 U 9 e i c x M 5 x t k I l p 7 E 2 i c v Q v K l 9 v C m V T t x 9 I X S P B d H b c Q + v z M h 0 U t U 1 T a r M L i O t J n b U N D S f X 4 t W q t I q v H u I b x z e S l I 8 v F / C v E r W f e K T Z 7 O k X 7 i d C Z C O E d m Y T Y t R + T I l M k m q a f y w i d S g x n H r l e H 8 K U + l Z J u g + J e 6 j r f H w Y N 4 6 + j y 7 O y r O 8 l T Y G Q R C d m 4 y C H l n w q T s / i B Y C c r c F 1 g D i V z W A 0 i l J d / K w D k Y 1 o s B 9 B Z 0 o l D D L p D D a v 2 Y O j T + M t g g r 0 8 G G m I h j u y e 1 I k Z 8 X c x Q L 6 V g 0 C a u t 2 E W x Z u O I l Z j y D m M j j H I 0 l P M 7 Z 0 U 3 M r R e j x d / u / s f 2 L h p q 3 j Y V I o G M W P C 3 X f f g x 0 7 d m D M l 8 Y 4 S c n x S d I O P l U k R y 4 9 p Y D N h c N C N i Y 0 z O H g + 4 9 e Q r Y 1 Y N M 5 M J Y Y w Y L j G g Q z c a G U B 7 6 + G b v e n F 5 o x p Q v + D S z 6 R T L 5 G o i S Y m o D w U 1 M + 0 a 0 U v M x K D B K A d N a q x I k 7 j k J R u K 2 S C Y S d R 7 Y 3 O Q p C z 5 l Z y F z p F J 9 l t K m Y l R z E w 8 D h G h b Z i Z 2 M T j g E H p 5 O j h Y r j m T C z y v y 9 / K o b i C 7 K J x + 0 U f 5 m 1 Z J O P m c t j b S W m l t L X + F l Z 6 G n z v J Y s L 6 w H 9 t O X H z 9 P 0 E O o c 3 p g 6 H A R 8 B w h m K l p 8 m V o e Q c G G W p m Y u F k p v 4 t Z S Z G O D U k M n r 8 y T 4 5 i l s w y W c C k 7 M w + T i x V V n H x P U a J v Z F U D W v 2 E R K Z 1 I w i J 3 o Z K j 8 j c O F J t Y N X 7 w K V d 7 Z S 0 4 u 3 s i b A v S F p c i Z g Q i s y S E R 9 N q 7 d m P v O 0 l U L X s H l / x v 8 S Z s e 9 b s x e J T Z l e F i W E d u A c D N R + Z J V O x N O V K P z M v W 5 g C l 6 n i O m 6 H A B c 5 C W a n C w f G T A G L y Y g b X n k u S 2 2 i R k m L c a j 8 3 4 X d v x + R q u K d D h k z + T S M 6 a F v S Y u q w R a Q U n M j H U 8 j z O U i 2 m d f 1 a g I J X K 6 I / 0 a R q y X I 5 4 O o v / A E F r m N 8 r f c L k B D 9 G W D y Z e f 8 W a F i Z y K Q I w a j x I 5 X 3 U 9 j Z q 6 u y t M v E E 6 k W B X H 1 G V 7 J 3 E E P N T J p c 7 E M z E w c F e i f 0 h 8 V M H / Q b R W l i u b 8 F G u 0 F b X P S 1 V 5 8 + b c D U 8 w U o w 5 i T A 5 P S s w k S 9 F Z g e 4 x W w 2 l j F x p I m p F l O m z 0 g K W j E r M x G A 2 M Z P 5 V w 4 K M z H U F o O R C 4 6 W A T 9 n a W a 6 o n H K I S t n Q 5 R i J m b K x c o J m u n P r C 5 g k z c l B T P F D 5 A f n y k v P G Z E y U + 6 D W d h 0 / p O 7 N l w E H Z H C 1 5 + e h O e f P B d 8 r c 9 + P m N t y M w r M P z T 6 3 B I / 9 6 B Y m w F s 8 + 8 j 7 p C / I J 7 3 9 X L F c 5 H J Q N S g R 7 4 n C 1 z x w i / r A I h c N i 7 f 5 s w U v b l T J b a k z G x u G 1 y o 4 p L y 0 o 4 3 h v e W I I K y 9 h T U v f V c i n K 4 V t 4 E 7 0 y W l S s 4 V Z 7 y I z t L K T P I U K O z Y K Z M M 0 G k b h I I / F B + G L V K H O N f v 1 O L G k B V Z T s R l e Q L F G 4 H k c n t B V 8 v E s u i o R 3 m c t l i U z S K c K S p S i P f o y e m w f l z 8 d G j n e C t Z z 6 N W 8 p V D 8 p 0 Q 0 A 9 N E I z R t c u n j C u B s + m A g A Z f b D D 0 v E 6 F H 1 t H z 9 f W F 0 d T m Q T z n g 1 s / F / m c H 9 p Y R o T W 2 Z z W 6 J M w a y 3 U F + T 7 a V L k M 2 m R T G T w 3 J N v 4 u J P n 0 J 9 w 5 W i Z j G 2 M l Q y v 4 C c a g 1 Q W c g 2 f y p Z a Q A r 4 3 C Y i V G p K Q o z 2 c b + U Z a Z O N K W z v O 8 k m f W z M R g 7 c u O N o P 3 P J o N L F r y D 3 I J 8 p F G o e E a e X T v T C 6 K e K p X E E Y s t h M B 3 k S g H D O R R h j i g r k 0 c M H s G P z 0 G 0 4 z O h x m Y l R m J k a x y O Z J U X W A g a s + s Y n I 2 i m Z j / I 7 + R v + b p J M o M I m 3 c x M p r F N 4 n y O t h 0 S u b I k N m u Y b X r B T L r e m f 1 f Z i K n w k y E f D q F L J l q z E w M 1 k Y x 6 l 9 O t E p Y 9 a i d e B p 5 X V Q 8 c 4 y E W Z I E T J r 8 + m Q m Q h d L 4 K J P n S R 8 Q q 5 j c k j Q e Y b x t + E Y v K U 8 Q z n b L E g R F 1 c E z + U Q u B g I O 5 a K U 8 2 Y m J g s + s z Q y I X l O U p 4 O F j T Z R K 7 Z c y E l K a w e T Q T N I 0 g R q P D 6 A 4 M Y s U F l X P B K k F D v 6 8 y t o u J R W V O R h 1 G L o c Q O f 2 T 6 Q F M 5 M O Y Q E K s W w q m h x G T N Q A v 0 M v K R J p X 7 6 K X o O 4 n 5 m 1 w S d u L T u X D i X / / M + B K v p X A A Q 1 m L h Y g H M D g v 1 a d p 2 j 8 T F q 3 S K Z V Q 2 u V 6 p z P F L p W U E I K A m X W O k 6 D q I t P S M o E n W 3 r R 9 + m m Q W 4 Q e R t k m t A B E 6 c J R 8 t Q D 3 t M V x 7 J t q D 0 v o q h r J C o R S e k k l w N e w D f 4 R p 8 G l o y A R P k 9 8 d b v p O e Y b S G U j t j R Q H J d T Q 5 I L o 7 J T S U p T J L g X V 1 V 7 p M w c t 6 M H G x s b R O S B 1 B O + + P l v w j u e i u u s M 0 J C T m a 6 R t p K M R I N S P X B 6 p H g m h v H N Q Z g s M z N C O e T l B X T N t u O E M 8 0 v D v c 6 D X X w G g o 5 X x w c 0 B G x 8 k Z l W X k 1 6 6 G Q J c 2 l M R U m T p 2 6 C U w k e A u c D 1 c O e j b I q C a X p 4 O Y g k z V 0 g l h D n k z W H r z U J Z O C M f t j b B E e G P x W Y D X 1 Z S g U p 1 U j i Y r 4 L r 4 3 P c m V c J q 6 9 E W j G y r 7 L s z 8 1 o 5 R 5 G f W c s b t h U L E 8 X y U L D X c Q o J 4 Q j a / S 9 U L l B T k v U v w G l y P f 9 A p P n b S D Z d i r w q x 7 F i b z v m p B H k U n n l p E l i G P P m z W A X Z 0 J I s 6 1 G D 1 Z b W 3 P I S d t S v N 1 p m r a p c j n w F j k K 7 D Y X N H F p C X m 1 x Q 1 9 4 M N F t V h D q c G Z I b y r h V 5 r E 1 p I A Q c H e B u V 0 h 3 v Z 0 J U r s U t w r G E Q H a C C P b w n N 5 S c M F 7 R t l x I p T W 0 T s c x M j c S 5 d M j y j Q c a n i 2 S B b / v 7 h x H S u 4 m q z p d Z N a Y S w f k U K I 1 v l D y W I T E 5 O J f B y m Q R d C Q O p w b m I Z t I + e a M d P V X n o 2 V M q r a l R u n G g 6 w g 7 A N k 1 q U C i L d f I x 8 s x g y 9 r Y F r P m m K f W H B W L z D Q y Z B 0 j h D x o t N q p 0 m E g d V B K h J D k l v u A Z B n q S N y N S t M N J l w G W i J q I 6 f G T e z J p p C n K l W 5 4 Q Z e Q t x L h k 1 9 u N 3 i k p e 7 j I c w B D B V 6 g y F J q p u 0 t Z w u l Y m s 0 P Y r + o K 9 s w f 3 D B R e z N J A k T q R N Y k f J / y S k O a 7 y 4 x d x L 0 L 7 5 H P i P a e D V U Q F h n K Y y 1 + X r R t m K q 7 e K m H 6 e f V H 0 m V H y C R U y T 5 D J g E H M e R s o S / J 8 B n 3 n o 0 a 3 z r 5 k w T 1 G Q b / Z h h G 3 i a t 9 B 3 k z J V N X a 2 f T K u Z 4 F 3 k E I x l c Z u g N + s Q 6 C T n W z b x p F w + L T E S p / u T L 2 W S 4 / v U 2 D x n C o h N 0 c g k 5 H U x J W n w p e j x 6 8 k k 5 J 3 O i 8 O 4 R a D 7 a B L E t J z E S t B 6 p P Q o J b t A Q L b r k 2 Q O f j i o 7 i / 7 Q O X A V Y p 4 5 / A M T y E c B j i 6 1 m w / F j Z T I W H 2 3 w V v 4 V K l C 2 E 8 K 8 1 x 8 Y b j / y k Y S 9 Y I q d H j v R C G 6 C E C N 8 R Q 7 B + W y 3 q I J M v b f k x f z U 0 N x F j s W 5 b P 2 N f V R 8 j y 0 k H f 1 4 F M M o d 0 u W 1 r K 5 i W a n C O I 5 d 0 5 h q M k 8 4 V R Z r e J C 9 9 t w 3 8 C W n n U q Q b p C K v M 0 F b N Q v T q g i 5 6 W p U 2 s q j c u v z O i J 8 Z i 4 5 m F E O 7 V U V T B 9 R 6 U Z + S r p P 3 k x M y x n h p H 4 j m e L w r b o z j C V L r v k 7 / l r 9 U s A Z 6 Y O R b f B F i a P l X S A E 5 A m 9 c p t 7 8 U Q u p / T w o s v Z l g B j 5 O I D C M X 2 F J l i p U s R P g y k 3 S S l M e A N x 7 l u H j v n / L K R T 8 l z V 7 w J 3 n 8 W G t T H P o B + p j J k u c K z l T K V 3 U R + T o U m 5 X U J + F K S V Z B K Z p B M c C a G e t T o 7 s Y s 4 v U H U R X Y C 1 3 / X B j 9 h / 9 8 n A 1 v 0 X m Q I a s m R + Z i k + 8 N + R s C W S a O / l s Q b b 6 e O H h 2 / r i W q / 7 w Q k n O l j g U t u / c D V 9 u H G O j k 4 j R A 4 Z D U c Q T h y E N B e E U d w p j x 3 C Z e 3 N Q g 8 F Z 2 2 W Y 1 T z w O J m e x a F U V p w j Y b 3 o e F t t 8 c Q x f 8 d X U b 8 U t N i P Q Z N 9 B T w 2 n u h U d Z z s P 5 S b 6 G U H l 1 + S r T 6 9 s 1 9 7 b g v + d t s z 5 E 6 6 8 d 5 r + 2 D R 1 i I X 8 W L v g Q x e W L U L L z / 9 A d a 9 e Q C b 3 u v G P X 9 6 F m 5 r C 0 a 6 / z 3 N o v A L V 3 T l u n n s n P O L 0 5 a Y 4 U r 9 K W Y 2 E 5 m J m r S P N O 3 h 1 W d Q M G o 7 T n 5 X H h X r z 8 h Q 1 U 8 t Q p j M Y m W U O D O d N 6 k Q l p H q e v x x f u h 5 h O u W I N t y E E F H E L n e e m g P N e 0 z A 4 a 8 Z 6 B 1 / H n Y J 3 b B M L 4 W 4 Z b v y N / M D r p z z v n 4 j S + 8 8 A K S y a S o T f f K q 6 8 i E o l j 4 6 b N W L Z s S Z F U e O S R x + H 2 O L B j 9 y 6 s X L E c G 7 d s F a W Y z W X S 7 y u C z T X e Z Y M u + + Y B M 7 p 9 e p z Q V o a Q D i G 1 L a k 3 k L K d I H 8 q w G 4 i p s i R + Z n o h s 0 r m 6 B M L B z x 4 b 9 l o j l 9 k Q 8 w c D A K h 0 W H k U w H e v p H 0 N D A q f x m s e q 3 c 1 8 / G h s a e X 2 r / I t D 4 8 j l R 4 l C L j k S D D w 3 M j 4 W F P X L 9 + 3 b h 1 S K C D 6 Z R m 1 t N Y 5 a e R Q 2 b d q C t u Y O + I K T 8 N R + + A n 1 R M Y C l z a M R I n 5 k 6 v Q l + x / Z X k O T 2 e Z i o B Z i R l n 2 p 2 j F F m D D e b I I J z + P Y j b p 6 9 8 z Q X p 2 q 5 C v y m 7 k h w K 8 S y b 9 W W 4 U S U J N b k M I v p G 0 i z S 8 / J a r 6 R t E H H e c K J 7 L j T e 4 s I 7 s 0 U s c C G S s V a Y 2 q V p F y 4 T M F u f X G R K R O M 8 6 B Y Y d D l S 3 z p R F o s X f e n K x D c D P V G 4 2 6 c v C D s c M D N p u L K P v n y x x E M j T 3 6 b j 0 z N 8 k 5 o N B A V i y C 9 M 2 y y l C e / T s O m K C G b j m P d x u 3 Y v n 0 b X C 4 3 r r 7 q c t x 1 9 w P 4 0 p e + g H f f X Y O T T j o e Y x N D M L k q m 3 Z a G l w j S f w U E a O y H E A N L t P F l Y U Y S l Y D 1 2 h Q N M l / A n Y y 7 S b z b p g M 0 w U U h / c P J y J 5 q I 0 D y q F u 9 C 2 M 1 n 1 U / i T B O L g Y q a Y 9 8 i e 6 r r 5 K L h B T A J t 9 5 T R V O b 9 L j f b Q i + h x T t / Y Q s l 2 j w 3 l 4 M Z S p B o K 9 5 8 R R J f 6 g b l w z Z f o n o N x H D 8 I p c l M T w + h 2 T q z N m Y U p R 7 l c m T A y C s z K y H Q H 4 G 7 g e 9 8 e B k P a n z Q Z 8 S x r f K g l 6 b j s N 1 C B J Y h m z + Y l n L a S p d k 2 I f / j E j D N + R P J c g E s e f 9 M S w 6 Z Z 7 I Y j 4 U x M Z n 5 K c Z f H u Q a z l H Z D 8 r g l G r 1 y F H 9 n A + O Y S A J i X m Z U p R b o M y L Q 0 o a w W u u 2 f O p h H U W E l Q S f 5 j l J j J V i a r Q W E u 1 h q V k l 8 P B d 5 o 2 p d 2 l r 3 + T E m 1 M + F w l + M 3 j 7 + M g Z q C b 5 s Z s k D f W N y e 6 c m y p F 3 T G p h L J v E 5 s l o p r 7 L d t w o 9 n g v l T z N D 3 z c P m R a J O V m L v f b c Z t T V 1 a J j T h 2 q G 6 p E 1 S Y 9 a I z 8 t b A 2 S j v P 5 z k L n s Y i c I C Y c r 7 E 7 Q O x D Y d k q i K 5 c C h m Y u h z E / 8 W M z G m m I m h M J M S U a M H F j W y m Z l 4 / O m V U 7 a L z J H k i f Z X Z i b e K 0 n v Q n i I S I e Y i T P U S z E Q 2 S S / k y B 2 E T Q 1 Y e O A F c l M i H z C B O 5 / 4 G E 8 / + L L 5 A g n c d + D D 0 J v r h P Z E 6 V g J i i 3 2 5 9 i Y m X p b 5 S + V 5 i p Z 6 J J E H u m T G C H 5 0 9 Y U 1 U i e o 5 4 K W D W K A f e a J q v z + W U S 8 H X 5 e D E 4 U J h J i U h V 9 q g W g p 2 8 E u N V D a G g 5 4 T h a Z S U G 4 T d N Y 8 4 c w o P S 8 9 k z z G Z m O e + k V 6 r 7 w 8 5 v J b + r S O P z d r Z m K E m z Z A 1 z 9 H X J P 7 7 u P n n o F k K o W x s Q j u / 8 c q 3 H P n c 3 A Z W / H P Z + 5 G J B T H Y 4 8 9 B d 9 k E M G e J N E R 0 e N e r o V B f r m + R j D V T C i b H D s T Y u N x W G s + v J 3 P m y 7 z n l C V w A / c F x y C 3 R y H Q 9 t Q V A K L Y e 2 + E 8 m q U 5 B 1 l x S t T E + K q A y X B R v v G k f r 8 t k t C F N g G n 0 N g 7 p j U V P r R C K R Q 1 9 f P 5 m 9 D i S S M X Q 0 e x D K k Q / E K 3 F l 2 D N R s Z 1 M J S i L 0 z 4 s T J k k k v o C s 3 L 2 u E n r n L a 2 q T S L g X 2 g W L k Q 8 v 9 H W E m w x F T Z A l J 0 R F A v c R R z x 8 z g 0 n I S F 9 F P 6 D c c b G C o q w x L y K N 5 + A U c q D l Z P l t P / m g W T m v l l Q v R p J W E T E w w u z l p h m Z i A T F J H q n 8 J M y 6 e i S N I 8 j o E w h G w q h p N s F j m o N 4 M o F s R g O 7 v H 5 q I N w F Q 9 Y E w 4 Q T n n k O a k U W E 8 n 9 c O q b 5 E w O j b B e B s g X P 2 z j X W c m B z u i R a y M 9 J 8 N N v Q W i I z X 5 A f l r A E G S y 6 u F N R i J 4 1 g m D u N m c z 9 9 y H W 8 X V k n Y v J B 1 N J W y 7 n J a e I H H g 1 P I 2 Z R k K H f s x U 1 X F o T r 5 O b d L C Z N R j / r w O N N R X o 6 O t V Q y e u m Q W Y y Z m Y i Q q J F X G E r M T R s x M a o 3 C z M R E U Y p S b c X M x L / L V k h K Z Q 3 z n 0 Y R M z F I 0 z Z N v A 5 j t K B V Z w K v t P Y l l F Q 2 8 W c a O O T f 1 L s K A w 0 X C D / M L F 4 O w U y D / Z W T d J U 6 8 k a d F T m r F t n W T m S a D y J h j U H b Q H 6 8 J Q + r w 4 6 D e / f B g i b s 3 d + J Z 5 5 5 b o q Z G L y j Z l q X F M w U 6 S G m h A 4 1 p s W i 9 k c s 4 x P + F T M T Q / R 6 M F 7 8 F E F y o L s m y j i w x I U 8 u V t j z 8 F K K v r D 4 K Q 5 B X O P 1 a n L V F j 1 q u T O c a H J o i 0 Y 6 b 7 G k d e Q a P m 8 9 J k c f 9 s w 1 / I j i E p F U g L j 5 m f 2 Y f n F 0 w M V b u u h 2 5 o 3 u p C s L i w s 7 A u v F 3 8 F 0 j 5 U 8 a b M M y S a K s i T Z m L t p E S z + H p J 1 a 4 R V t K 8 h 4 L S B m m F L s v D t L h G q q h A P 9 d 4 M I p K R q W I 6 q 3 k g 5 a P 1 P 3 n 5 6 K K o Z i G y b Q Z q f D s L R l + Z t Z I G d F / 9 H v S E N U a L + r 7 X 0 Z 7 6 H l 4 R 9 Z h s I 2 3 J y p G O D 2 C p p Y a U Q r g c O C o z s P M D J b N 4 a k n n k P H g g X Y u m U t 9 h J j e T 3 V 5 F c V I o R 1 N i l 6 y Z r K 3 p 6 A f 3 + C f C y J p q x 6 z s r h X R P Z d S H D u m d w I l + 6 m 2 A l 5 N K 8 f q Q 4 G f b D g D v L N M u i 9 L r g P i K C J D L u I + Q j M r g A / 8 j b S D V f i O 3 9 e s R i K f z z h Q D u + s 7 0 s O x k V A u v 7 d D P a B l 4 E L H m z x C p F j + f q C m g M 2 O S z L 5 D I Z E N E l F I T M M V j F i D m H R 2 p H J R G D R m k n a V N R s X W 1 E Y R D H l t L k 0 I r n J C q 4 5 S W D e L b + M o c H L u x M V s u T t a T J X S 7 T / f x q c B 5 f r c i I z 7 9 A C R A E z u 3 N i O 1 y a f v h 0 i x G p k o I X h Z 0 S J R T K n v E 4 f T j B r s C e j l F f F B Z O 1 o e H k P Y c S / 3 N 9 S 5 0 Z O b H a M x Y M B T T R C q S Q S q U g r 2 R f y s J v W w u h f 8 H R v a o D 5 / 2 N W k 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 N a m e = " T o t a l   S a m p l e s "   G u i d = " 2 9 a c 6 1 1 b - a 9 7 6 - 4 2 6 6 - a d d 3 - f e 7 4 e f 3 1 3 4 9 3 "   R e v = " 5 "   R e v G u i d = " d 0 c 9 1 6 8 8 - 5 b c e - 4 4 e 3 - 8 5 d 3 - f 8 e 4 3 5 0 1 c f 1 f " 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 N a m e = " E C   U U I D "   V i s i b l e = " t r u e "   D a t a T y p e = " S t r i n g "   M o d e l Q u e r y N a m e = " ' A l l D a t a M a p ' [ E C   U U I D ] " & g t ; & l t ; T a b l e   M o d e l N a m e = " A l l D a t a M a p "   N a m e I n S o u r c e = " A l l D a t a M a p "   V i s i b l e = " t r u e "   L a s t R e f r e s h = " 0 0 0 1 - 0 1 - 0 1 T 0 0 : 0 0 : 0 0 "   / & g t ; & l t ; / M e a s u r e & g t ; & l t ; / M e a s u r e s & g t ; & l t ; M e a s u r e A F s & g t ; & l t ; A g g r e g a t i o n F u n c t i o n & g t ; C o u n t & l t ; / A g g r e g a t i o n F u n c t i o n & g t ; & l t ; / M e a s u r e A F s & g t ; & l t ; C a t e g o r y   N a m e = " D i s t r i c t "   V i s i b l e = " t r u e "   D a t a T y p e = " S t r i n g "   M o d e l Q u e r y N a m e = " ' A l l D a t a M a p ' [ D i s t r i c t ] " & g t ; & l t ; T a b l e 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D i s t r i c t ] C a t V a l W y c h a v o n M s r M s r A F M s r V a l M s r C a l c F n A n y M e a s F A L S E A n y C a t V a l F A L S E # X C o o r d X C o o r d V a l Y C o o r d Y C o o r d V a l # # C u s t R e g C u s t R e g V a l C u s t R e g S r c C u s t R e g S r c V a l # " & g t ; & l t ; C o l o r S e t & g t ; t r u e & l t ; / C o l o r S e t & g t ; & l t ; C o l o r & g t ; & l t ; R & g t ; 0 & l t ; / R & g t ; & l t ; G & g t ; 0 . 6 9 0 1 9 6 1 & l t ; / G & g t ; & l t ; B & g t ; 0 . 3 1 3 7 2 5 5 & 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3 & l t ; / X & g t ; & l t ; Y & g t ; 2 5 9 & l t ; / Y & g t ; & l t ; D i s t a n c e T o N e a r e s t C o r n e r X & g t ; 3 & l t ; / D i s t a n c e T o N e a r e s t C o r n e r X & g t ; & l t ; D i s t a n c e T o N e a r e s t C o r n e r Y & g t ; 2 5 9 & l t ; / D i s t a n c e T o N e a r e s t C o r n e r Y & g t ; & l t ; Z O r d e r & g t ; 0 & l t ; / Z O r d e r & g t ; & l t ; W i d t h & g t ; 4 3 0 & l t ; / W i d t h & g t ; & l t ; H e i g h t & g t ; 8 1 . 2 2 0 0 0 0 0 0 0 0 0 0 0 2 7 & l t ; / H e i g h t & g t ; & l t ; A c t u a l W i d t h & g t ; 4 3 0 & l t ; / A c t u a l W i d t h & g t ; & l t ; A c t u a l H e i g h t & g t ; 8 1 . 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1 0 4 8 & l t ; / X & g t ; & l t ; Y & g t ; 1 3 7 . 5 & l t ; / Y & g t ; & l t ; D i s t a n c e T o N e a r e s t C o r n e r X & g t ; 1 9 & l t ; / D i s t a n c e T o N e a r e s t C o r n e r X & g t ; & l t ; D i s t a n c e T o N e a r e s t C o r n e r Y & g t ; 1 3 7 . 5 & l t ; / D i s t a n c e T o N e a r e s t C o r n e r Y & g t ; & l t ; Z O r d e r & g t ; 1 & l t ; / Z O r d e r & g t ; & l t ; W i d t h & g t ; 2 4 5 & l t ; / W i d t h & g t ; & l t ; H e i g h t & g t ; 1 4 6 & l t ; / H e i g h t & g t ; & l t ; A c t u a l W i d t h & g t ; 2 4 5 & l t ; / A c t u a l W i d t h & g t ; & l t ; A c t u a l H e i g h t & g t ; 1 4 6 & l t ; / A c t u a l H e i g h t & g t ; & l t ; I s V i s i b l e & g t ; t r u e & l t ; / I s V i s i b l e & g t ; & l t ; S e t F o c u s O n L o a d V i e w & g t ; f a l s e & l t ; / S e t F o c u s O n L o a d V i e w & g t ; & l t ; L a b e l & g t ; & l t ; B a c k g r o u n d C o l o r 4 F & g t ; & l t ; R & g t ; 1 & l t ; / R & g t ; & l t ; G & g t ; 1 & l t ; / G & g t ; & l t ; B & g t ; 1 & l t ; / B & g t ; & l t ; A & g t ; 0 . 9 & l t ; / A & g t ; & l t ; / B a c k g r o u n d C o l o r 4 F & g t ; & l t ; T i t l e & g t ; & l t ; F o r m a t T y p e & g t ; S t a t i c & l t ; / F o r m a t T y p e & g t ; & l t ; T e x t & g t ; 1 , 2 3 7 & l t ; / T e x t & g t ; & l t ; F o n t S i z e & g t ; 4 8 & 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T O T A L   S A M P L E S & l t ; / T e x t & g t ; & l t ; F o n t S i z e & g t ; 2 6 & l t ; / F o n t S i z e & g t ; & l t ; F o n t F a m i l y & g t ; S e g o e 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0 8 5 & l t ; / X & g t ; & l t ; Y & g t ; 2 8 . 5 & l t ; / Y & g t ; & l t ; D i s t a n c e T o N e a r e s t C o r n e r X & g t ; 1 7 & l t ; / D i s t a n c e T o N e a r e s t C o r n e r X & g t ; & l t ; D i s t a n c e T o N e a r e s t C o r n e r Y & g t ; 2 8 . 5 & l t ; / D i s t a n c e T o N e a r e s t C o r n e r Y & g t ; & l t ; Z O r d e r & g t ; 2 & l t ; / Z O r d e r & g t ; & l t ; W i d t h & g t ; 2 1 0 & l t ; / W i d t h & g t ; & l t ; H e i g h t & g t ; 1 0 9 & l t ; / H e i g h t & g t ; & l t ; A c t u a l W i d t h & g t ; 2 1 0 & l t ; / A c t u a l W i d t h & g t ; & l t ; A c t u a l H e i g h t & g t ; 1 0 9 & 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3 & l t ; / X & g t ; & l t ; Y & g t ; 6 & l t ; / Y & g t ; & l t ; D i s t a n c e T o N e a r e s t C o r n e r X & g t ; 3 & l t ; / D i s t a n c e T o N e a r e s t C o r n e r X & g t ; & l t ; D i s t a n c e T o N e a r e s t C o r n e r Y & g t ; 6 & l t ; / D i s t a n c e T o N e a r e s t C o r n e r Y & g t ; & l t ; Z O r d e r & g t ; 3 & l t ; / Z O r d e r & g t ; & l t ; W i d t h & g t ; 4 3 1 & l t ; / W i d t h & g t ; & l t ; H e i g h t & g t ; 2 6 0 & l t ; / H e i g h t & g t ; & l t ; A c t u a l W i d t h & g t ; 4 3 1 & l t ; / A c t u a l W i d t h & g t ; & l t ; A c t u a l H e i g h t & g t ; 2 6 0 & 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9 & l t ; / M a x i m u m & g t ; & l t ; / L e g e n d & g t ; & l t ; D o c k & g t ; T o p L e f t & l t ; / D o c k & g t ; & l t ; / D e c o r a t o r & g t ; & l t ; / D e c o r a t o r s & g t ; & l t ; / S e r i a l i z e d L a y e r M a n a g e r & g t ; < / L a y e r s C o n t e n t > < / S c e n e > < S c e n e   N a m e = " N i t r a t e   P o l l u t i o n   C a t e g o r y "   C u s t o m M a p G u i d = " 0 0 0 0 0 0 0 0 - 0 0 0 0 - 0 0 0 0 - 0 0 0 0 - 0 0 0 0 0 0 0 0 0 0 0 0 "   C u s t o m M a p I d = " 0 0 0 0 0 0 0 0 - 0 0 0 0 - 0 0 0 0 - 0 0 0 0 - 0 0 0 0 0 0 0 0 0 0 0 0 "   S c e n e I d = " 7 f 4 a 9 8 b 0 - 5 5 9 8 - 4 5 d 9 - a d f a - 7 c 6 7 6 2 d 8 1 e 5 d " > < T r a n s i t i o n > M o v e T o < / T r a n s i t i o n > < E f f e c t > F i g u r e 8 < / 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R m S U R B V H h e t b 0 H g G R V l T 7 + V c 6 d c + 7 J A w N D z j k L i B h X U X 9 m d 8 3 L u u 6 6 i z m h L o q K C o J K E g U U y T k N M A O T Z 5 h h c v d 0 z r l y r v 9 3 7 n u v K 3 R 1 T w / 6 / 4 a i q 1 6 9 e u + + e 0 + + 5 5 5 r O j y 8 K Q O i s W I N L B Y 7 I J 9 M 6 p A O E 1 / q I M w m M 9 L p D P / y m B w W a F 9 p f 4 l k G r C a t f c a t B P k / + l M H B Y T 7 6 E f l c 9 m f p a f p / g + F 3 J e O p P g e f q F 1 f 1 t s 7 c 1 k P 1 W k E E q C Z i t x v 3 Y l n S Y 1 3 b C w k Z l w M a B j e P x j H y Z M c F k y c D E 5 5 H z 1 T V S E a T M V t 7 f K p + I w j v y u i k e t W S / 0 X 4 r L U 0 j G Q N 6 p j Y i m p x B i + 9 0 Z D J p m B L j i I R K k Y q n E e d j u k r M i I 2 4 Y W k J w m d L I A E r 7 O k I 4 k k f / F 0 W t j u E c I 0 V r e W 8 k d X H a 6 T Y R t 6 Q m N y b R s U x Z k w F O x B I m d B S u l Q d N 8 W H 0 J 8 c Q I W t D S 5 b B U w p P y Y P l a F s a Z D 9 l k Q o F Y U / O Y o G s w N p 5 3 K 2 a Q B v v h x E 1 f I K W G u D q B 9 5 F q k l n 1 P X S k b H Y X V W q / e h u A k e u z w h k G B z 7 O l R Z G w 1 6 n M m k 8 H w 4 c O o b 6 v m 8 6 e R s Z S y / 6 I w p Q P 6 O e x b P l c m k + T 3 P C M T 4 1 i w l 8 x 2 z O y 3 o W o l x 9 5 q Z d t 7 k L E 2 c G h s c P X c g U j r Z 2 B i / w 3 v M S H W 3 o s 2 h x d p W x 3 p K g n / 1 B i m L d W o 9 p r h D P T D N f M I D m a + h V C T m X 2 U R 3 h z k e b g 8 P m P h I l g G p W 8 / i w 4 h q F 4 D B 6 H C 7 E p 0 m F J G D a L k 1 + Y 0 J b s g N V e i 2 Q k j s h U G L M M 5 U w 3 o 6 K i H I l E E j a b T Q 7 B y o e N R q N k N D O P k c D T a a R S K f V X z p H 3 A o d D Z 0 R i l j B 1 4 k 0 q 6 m P H q s 8 a h D G E W Q w Y T F b I V B p k K O Q P S T Z D Q u d z y v 2 l 8 4 Q R 4 q R Q u 9 3 O d i f Y J i v i s R i P k x n 4 o w z v r T q Z 7 + U q Z r M J S b Z Z f u N 2 u / X r m N T z G e 1 H K s Q G e f Q P B u R L a b / B Q p p g Y T + T U Y 1 j G h L R F G I J P w Y C O + G 1 1 C H d 3 w h n f S c c r t r Z w T Q l J k h 8 Z f x s U c y W s V Y g N D S K A I n P X h 5 C N L Y M j d 4 Z Z D h Q u U i E k z D b L W w v 2 5 2 a Y r P Y B l s l v z G j L 7 g D t a 4 V G A 7 Y y G Q U P I l B f l d F A v A j M O p B V f s k E u x 3 j i L S v O 7 u J 0 a x 6 g I X 3 K U l C I T 9 8 L o r Y B l 6 D v G q 8 z A V d a D c n c b 6 9 R t x w Q X n I J l M k t n Z f + l B E k 8 9 O W 6 G x F H K 2 7 M D Y u O Y H r K g v F 3 a o Y N M R U 5 i s 9 x s o y Z 9 u g O v s 7 / M q H a 3 w W c i M W a i C E 8 k E J w i 4 7 Z O o D w R x l h q E C m 7 F 0 3 u Y z V G t P g w t j e F 9 p J b Q A r G t P t 9 i N j Z n + Y R W C 0 l p K E k J g 6 Q L p p 9 G P e Q m X k v c 3 I K Z v Z p 0 r 1 K b 4 w G S 6 Q H K W c j 2 2 I I y i z i F E x C A m Z F p 1 k k U y L Q T b w X m V 4 J d w s S A Q o V C k S B U E V j K s x x j l P Y W O C 0 8 W y D o R o q j u U P N c I 2 Y E 6 R o 3 V O F M k t U j h J o s h K 7 7 m Q i 5 l J l B k L O 5 O / 4 P A p C Z U L Y S i R 5 i J 5 j w 5 2 / p Z X J R M I A 6 X J M M k k O 9 F M 7 U P i E l j 4 3 m a 3 k W k S i u H l u M v p I u F T 8 p O B h J n k t y I s 5 K W E h / y W H Q P V 5 v k g 1 8 9 n H j m S S b I T N e V B z c X 3 7 O v N T 2 7 C q r O X w 3 / Y g r L l K Y w E B x E j k Z k t 0 6 o v 5 H c t r j U k y i z j j u y a g W v l N D X b E t R 4 9 H 5 J + n l O i f a e S M a S G O 4 e h q 8 1 g V I y k o k S N 2 O r x l h o C L F k G M 1 u E h U 1 c t D U q m s V E Q L a 4 E / 1 k a G m 7 a h e 4 8 G O x 7 p x 0 r v a 2 R 4 L O j u 7 V N 8 0 1 D f g n n v v R T r q R 9 / Q N G w O G / v S g g s v v B C n n n 4 6 A s F 9 K P M u V 9 f K g u 1 k G 5 K B S c Q T 5 f C U T F E 4 i O D Q B D L S F J B K o J F e Z K y p o U x K g 8 0 g 7 W j j C V p / 9 k x 2 o 2 a 0 A 5 H M h a h Y T S E T 6 0 L S 1 s T 7 2 z D y Z h S 1 x / F 6 b E s g 2 g O f s 5 n X I R 1 S 2 w d 7 n H D V R + D 3 + t C R 8 q p r G T A J z Q l j s 7 c z V v l O 6 U h F x 3 L b j D B 7 w X g W g 9 B o h g x H k l M C 1 G w T W k t R + F t I i y m c Y v X D I c J D h 2 m 4 8 5 F M 2 F O P x v L V + M K d P 8 I z 7 i 4 e N W 5 k Q m X I j h 2 f + S N C o R B S J M g S n 4 8 d E s L 4 Z B C V l V W Y m B h H V R k J Q y i d S J s 1 I l G f R N W z E 0 O B I E 2 I E l g o X S c m J l F T V a f O E V D n 8 V w x B / K Z z k B 3 T w / C w S i O W 3 M c m S e B w 9 0 9 W L a k n c w B d H V 3 w u V 2 o a m B n W w Q v G g 5 2 n 0 p O L V O M G c w P T m N g Y E B H H / 8 8 e q a + e C F 0 t S W i z A F j g w O H p v R s 2 U E F S t t Z A 4 / n G S I i e h h 2 C m V p + J 9 q H W c g P G I C 4 2 l 2 i C 8 c N C B i 5 b H 4 O 8 w w 7 2 E I o P a J x e m + C D b 5 i Z R l P H a 0 t Y o R t + M o / Y k a j j e z 5 S Y J J F S m 1 F i p 3 g v S 2 I M / Z E m N L t 6 e T 4 H 3 9 G g + v b w 5 A 5 4 X C 6 M v V i F 4 6 8 q x 2 Q s g g o n G d A w k y j V Q Y 1 m i k 1 T y k / j Q H g Z l l V r Y 6 L 3 7 C x M v I c w c i G G 3 / S j b m 1 W A G g o / L U O P k e a f Z K k I C s 7 e B P C x 3 x L H R Z T d X B P h E L b R 2 H n 4 R i a E S b D y n V c v g p a A H 7 + r Y J v S R R 7 h u 0 4 t i 6 O n n g A A + Z m P i d 1 C J l X x k D G f n J k C O s f f w j v + v Q X V C u K t o M w U Q G Y q J 2 U G y A K h B K S j o 3 G B j y U Z j e Y r B k 8 d v t v 8 K 7 P f k 5 9 Z 1 x r e W Q H q n w t 6 r 3 A 8 v n / v f 4 7 8 p X X X Y t H 9 m 3 A a 6 V D 8 D t o q + o v G w f l + u P e g 1 / 8 8 p f Y u 3 c v T j v t N F 7 L j r P O P h e n 8 v 3 / 3 f Q z n H z q m d i 4 Z Q e W L F 2 p b i O E f v D g I b h c H k o 6 J 7 r 6 B 2 g q 2 P D S i + v w 2 9 / c h r P P P B m v v 7 E R t b V 1 e O m l l + A r 8 W J g c I D X 3 4 f G x g Y 8 / f S z W L Z s G X n U j h / f + B O 8 5 9 3 v x t T U N G 7 8 8 U 8 w P j 6 G 7 d t 3 o K G h C d / 7 3 n d x 2 q m n K Q 3 1 7 H P P o 6 m p C a + v f 5 k d m 6 L Z l M E r r 7 y C k Z F h V F Z V 4 k 9 / u g 8 X n H + + 0 i J C l y Y R A B x U U F s W M w M W D 4 1 g 5 P 8 p O h l p a q z g B L V N h Q 0 2 U K C Q O N 3 0 G e Q e Q Z o j y f Q E 6 k u y A s X D r + w W E / a O J 1 H n S S i h k w e a P c F o P 4 b D U / D Z f b C k J h H z V 8 F V b U L v z G H M J G I o 8 Z I T 2 Q K T m M 5 8 n l L L B P o i r S i z i m n p w 2 B o N 8 p d 9 Q h 3 O F C x 3 A Z v Z h x O b w M Z Y 1 h d X w Q f L J q E N 2 X 8 9 L E a U e F J w 3 X 4 1 0 i W n z a X D M U k F n + k o N 9 i o T h K p + 5 E u u I U / Y i A 4 j I x M n v 9 W f C 3 Q r B W m n Y h s w t B X s p J o S G C z V f j p j 9 C B m f T K l t 4 z e o J e G v T s F a 6 4 a q x 0 U y d R G j G h J K g G 4 G R G d h q K j G Z F o G Y w Z 9 / / k M 4 K T h 2 v P o i 9 m / b h E g g g O 3 r X s D W F 5 9 C / 6 E D e O 3 x v y H k 9 + P p e 2 7 H S F 8 3 n r 3 v j x j p H 0 R F X S u e u u 9 u v L V x A z Y + 8 w Q O b N + E o a 7 D V C R B b H 7 + M U w M 9 W P P 5 t c x 2 N O F V S e d r l t H S Q z s 2 I W a O j I / t Z W J 4 2 z 5 y n 9 + 5 j v y f D 5 X D R 7 f v Q F v O k f l 4 y x K 4 j b F U G 6 P G 3 1 9 f R p D E T t 2 7 s S u X b u V y X X g w A F M T 1 O y k b A b S d R f + P w X s e 7 l d e j o 7 M S L L 7 7 M 8 9 5 C T 3 e v M i 2 6 u r r x y q s b s P 6 1 9 d i 2 d S M s N i u e f / 5 5 7 O a 1 L r 7 k I v z m l l v J F G 9 g Z i a A 5 c u X 4 4 k n n l B a 6 N v f + Q 6 q q 6 u x c s V K T P F e a 0 9 Y S 1 / C g n v u u R d 7 9 + 2 l T + T B n X + 4 n f 5 A A k 8 8 9 R x e X v e S k l Q S j H h l 3 a v K z F u y d A n K y s o 4 k D R E U 2 K K S G R B 9 O N i I C y j M U 8 W o k 3 M S M S o 4 X g d K / 0 p s z L G J + h v j C l z T T S H E I + F 7 + O U h N X u Y 2 j j 8 z s S W P + 0 G W N B / t 7 0 B p b X u R H s o g C q l E B N P q H a + b n E 7 o S F A k D 8 o t A o f c A a K 8 o s S Z Q 5 S I R k I j 9 9 p g S J c z p W j d G Q C a 0 + m l / 2 B k T J 5 M F o I / p f 7 E L N 0 h p U 8 3 f e k T u Q 8 B w 7 6 6 P J U 4 1 F 9 s E j W i f H f 9 w U P A c r J r + P u J e a X Z n + O T D a m A r y e e 2 Y 7 g n A X U G T v P 4 M d d g 6 t Q u u 0 X u R d K 3 m f a p 0 4 Z V 9 r m C C f l j G h d K B X y H V 8 C H a E 2 w F G U s w f i D A f o z D 2 8 Q + C g 6 j 1 N t O 0 S S / p Y m e E i H g Q Y w v X 1 U C o Y k g Q h y D g F 2 Y 3 A x f a S m e v P s 2 l F a y H / p 7 1 V 9 f e Q W s N O 1 F u I s g n R 4 b h b e s H C 6 a i r E I T e X l K z F O h g n O k I Z J U w 6 n m 2 6 D g / S T R D Q c x v T 4 q L p W N B x C e X U d W l Y f B 4 f D Q X q 3 4 M 1 n H 8 M 5 p 5 / K 9 7 p / L D 6 U K L C m y p P w y f u + i 3 v K 3 l J f G G g K u N B 7 3 Z + w Y 8 d 2 v P D i i 5 T y 5 + H U U 0 / H v 3 3 u c / h / / + + j + O E P f 4 h V q 1 a j v 7 8 f 3 / j G D c o 0 + 9 B 1 1 2 H 1 6 t X 4 w A f e j 2 / c 8 A 1 c f s U V y l 8 R j R F h A 2 v r 6 p R f U 1 J S g u U r l 5 K Z 9 q C j o 0 P 9 R p h k b G x M X f u k E 0 / C / 9 5 w A 3 7 w / e + j 8 3 A n H n z w r + i h C X j m m W e g t b U V d 9 5 5 p / K B h N E m x k d I L I 3 Y R + Y S T S X S Q 3 5 / 3 P F r s G 3 b d v W 7 n 9 z 4 f c X 0 S i v p z K D Y R A 8 w i N p X D H G U S E Q 5 3 E 6 L c t x j t O 1 v v K c f k / 4 E X A 4 z v v t h i U 5 K B E w k N K U Y i V 4 i W B m a O x l 7 D Q 5 t 7 a G 1 Z U Y k S d O 5 s Y a a 3 I y Z y X 6 k / E 1 Y f V k 1 C U E n Q m p d U 3 K C f z M Y O e B F z X E 0 h 1 R A o w S B + D D c t n r l c w j 2 j d i w u p Y a h E R r S v v R v d 8 E u g F o P 6 6 Z z 0 g B k t Q i b 7 D R f I / 1 0 S w U k 1 k g v U E I 8 Z O 4 k 2 k K C Z r M n o 4 f I r T s B u 2 7 X E i n 8 R W e 4 f l 0 y t 1 V G k M U w h L q h W v o T w g u + 1 / 1 O c b n d 7 D d r m 4 K w M b P 8 B n N G A n v Q p 2 t A a M H P K h c T T 8 9 P Y W o q Y r n 6 W 0 S U 1 5 R K k E z M M b 7 G d + N p e w 4 G H e T X y m c y F R 2 C 4 + z n 8 T 3 A d u v r J F F g L 3 E H q C v T S u j a + 9 2 b H 7 h K V z y w Y + j p q G R x 7 V 7 S 7 f l y r u V 6 U 5 U 2 M s w 3 R 1 G K E L z e 3 p y V L X K 6 y t f k K F y o Z G i B v l x Y X P 5 K K L o 9 U 9 z k U q m l e Y o R J p y S A s u a N 9 Z q E G 2 b N 2 C U k q d F c t X q J C r R R m 2 A h K p Y o g U v k / t 9 d G P f x Y z 0 + P Y s O F 1 f P E L X 9 D P Y V v o m A a p t d a 9 9 A z e + a 7 3 6 0 c F 2 Z Z r f p z W k d J u I 5 S + G I i G l i i h R P 3 o 6 p F h T f j R 3 X 2 w 2 0 w 4 2 B v F b f 9 e j r 3 r 9 t M X q l I S D Z k E g r F R t J / S h J J K L 0 I p G 8 q t o 5 h O V y D e F U L V y p J Z A o i F Y z i 8 p Y 8 E S 0 e a c N E M y 1 j s c N B M i 6 c C S P g 9 Z M p p N K 3 m t a 1 u e C s 9 s D v J V B J B F a G h R y z f e n I U a 6 6 s Z B u G M Y 0 E z X g X a o J / Q b D q 3 9 V 1 Z 6 F 8 S Y 0 p B S k O t C F f z J F B W G f 2 I l 5 3 C a I 8 z 2 k m V a k u Z F v p Z A y 9 O Y P 6 E 3 M i f Y Q p I g E A m s N O X b u l 4 3 D u + w 3 N 2 j j C j R 9 G i B Y L n w C B j B 1 T 9 I 0 8 o Q r Y q O 1 8 N b y p 2 U n t S j N Q b 4 7 4 7 W k 5 m 7 c L x s w o c Q o V 8 n g y C v / M q 9 h d 8 n 6 O t U V N m c w F G 8 r / V M B Z x l y i e T S z 8 5 F D D 6 Q D i a Q K 4 8 r R 7 H f 0 9 f l d 7 j 1 O T u 0 j 4 6 c o e B x w W y v I U B N D c n X F U H / f / D y 6 M + I A Z m G j 1 P 3 K u R / U P 2 W R v f 1 i o L F g i o 0 R F I a a N W j f y V U X Y s i 5 8 1 w C g 7 m S / H + O + C C k E 8 3 m B A c k p s 7 R I n n Z 1 m s t y 4 V 2 R B h b R e 2 E I P h e 6 M Z E 6 s p t V Y o U l y J D 2 a m J t O t p z x i J T J N 2 J L R M J 0 B H I O a H g 1 r I 7 q G / o y J e F H V k i k z C z w G y q 6 j U 9 M A q j N K P W l b L 7 w q e X 5 g h Y 8 / 6 X q N v B l G z N u u X 9 M 5 0 o q V 0 C c 3 P J H Y 9 u 5 3 S u 0 F i M 7 C L 3 2 W x Y X q m G 9 V L P N R S N B F t Z b B 3 / w 0 z N Z f Q z x W T V P o u j c n g D p S 5 T y Q T U a v G B 5 G 2 5 Y T t d b H s 7 f k R T t j j x 7 d O + C A u a z h B H R M M b Z t G w 1 q O A 4 n K Q m s k n U p h 1 3 k X 4 k z 2 X f i F u 9 U 8 k l j G g e g A W s f u Q b j t q + z q O E 3 Y C v V X z M Z g D 8 2 y + l 6 E k w 3 w O T M c y Q R i 1 D g D g V 6 0 u v i d i Q K X m j N j r Y R r 7 0 0 q U H O g / m T y 3 g q M m O t V O 6 h T k Y p k Y H P n + K K F a i U H 8 X C S z 8 v + t y U U r S j F n f t b g R J Q c s y M Z J R 3 c F D 7 y / h Q a B 1 j 4 b i y 7 7 r 9 G + C z t c D U M b A + U + V a o R j q 4 K H 9 G B 4 e l C t o P y C c l C 5 n n H 6 O e i + Q Q I g i L v 1 z L h R L 8 H / C E A r y X u i T b y z q e e Z w w i x i 8 b i y S 4 P B o D L 7 7 H Y b / 7 J z O D D y E h N O 2 h K h 1 B O z T T 5 7 v V 7 F K J G Y a D y r C o l 7 v R 6 e E y W h u F R k U k x N C a X H 6 U P J 7 2 M x + i F s l 5 t + m f z N f w 5 p d 7 E n y 0 K 0 q 0 A x P U + V t m b Z U p g Q v O 8 0 2 x S A k 3 a 9 B C V k 4 P v 8 h 9 F c I s E D A 1 r n p N O U q q K 4 e G R y T w K V x 2 Y 1 h A F x 6 j O 5 x E 0 o B t h L p / 0 Y 3 p d U k E 4 E M M p 7 1 n l q 2 B Q n z L E u p B 3 t + t k a Z m I D O P D U I D V A G V a f v R z O v r 8 g 2 v w h J a Q k B C x s F U / b N J O J U P 1 T 0 B 2 3 v f R b 3 D e + A 5 v O e g f i j e 9 W J 0 z R p C x f x f 4 g E 4 r f J v 7 K / / z v t / C l d S + T i Z J I f j M F p 8 O O P f g u N r z + G u 4 / b U w 5 9 Y 8 v + w 8 s o 1 / b 2 9 u P E l 8 Z N m 1 5 A 7 v e f B M z / g B + 9 L 1 v I J m Y Q j h T j R J b i C b x B E 1 o M U 1 N 8 B y + E a E l X 1 f t 8 8 d 7 1 T G K A J Q 4 G t V 7 w U S H H + X t X s 2 E V / b 8 / L Q n Z m / K 0 s j 7 p W h y h u B x 0 c / 2 z K C k w a e 5 C G q s U i g Z u g n j t V 9 k / + Q H W B J i G o v W 4 6 1 z T L 4 y v P r a I 7 j w w t x B B 7 q 7 J 9 D a c o k i 4 O 6 e b r S 3 L 1 E E K p i c n M T M z A x a m 9 s o A O b T K Q t D f u / z + Z C k O B V m 8 f l K 2 N l p W M W M Y o 9 J p 8 V i M c V g c n 1 x G q X T 0 s k 4 n n 9 p H U 4 + 6 U T 4 p 6 f Q v m S Z m r T t 6 j q M c j q h N T X V q o P 8 Z F C X 0 0 7 G E g a 1 8 K F F 4 5 A B 1 c R h 1 g H f v G U z 1 h 6 / V j H 1 Y p A k E 4 v Z o J 6 Z d n q G n R q O 0 M T i g Z / / / O c 4 6 6 w z E e X z n H j S S f Q d 1 8 F D 5 h 8 Z H s H Z Z 5 + J Q 4 c 6 U U a n + O C B g 2 r y s K + / D 9 d c f Q 2 6 D 3 W h p K o M Z 5 1 x B t u r b q O Q G 6 a O 0 G 9 y 2 e j k c 5 C j 0 1 G E R s i E y 9 g 3 G W p g M m 4 o b o b H G l Z M J Q N b b E x E 4 + 5 6 u o O y v B S W k g C W n t w C G z V A L r o n r f R 1 4 l h Z z S v k c N W W B y 9 E X b U Z z R e + S O k S p X / U h 4 G u a t S t J R H q 7 Z Q w / c i f 7 o f 5 j t 8 j e u W V c D 3 1 D B y X X o z y b 3 9 T 3 f v s R 7 + m r r V j b R N C r V + B v z e N 0 l b S F O 8 j Z r H Q m o l j Z K J G L w z P e 3 t v Q r C F 2 k 2 e T J 9 g l m B M O D E K 7 6 w f q b U 3 T l M / M h b i t U u V v y l a K m M t V 9 + Z Z I 4 v I 0 E e L e v D Q J i C a S w 8 i g Z v L Z n E g 9 6 3 + u H v F + 8 q h B W N + + F a d T 5 M 9 J n k F g n a p P s 2 d b I P K q k Q p u G t N c P y 9 f / 6 q o r y 2 R 1 u 9 P T u J 8 N o N z Q w P R 1 B G U 2 J x 5 9 4 E m 9 S e q R I + M 1 N z S r S 9 q 1 v f g t t 7 a 0 o K f F h / Y Y N a o 7 K 7 / f j l V d f x d D w E D x u D 8 Y n x l U U s K m x g V c z 4 a W X X 1 L a Q 7 S O M I p 8 7 7 A 7 c N + f / 4 Q n n 3 y K h F a q j g s 1 P P f 8 8 5 R g S 7 F t + z b F b J F w E A f 2 a 0 E H v z + I + + 6 7 D 0 8 / / Q z 6 B w b h p I M 6 M T W D 2 2 7 7 H Y n 2 L P i 8 P m V Z f e e 7 3 1 Y h 9 2 g 0 w r 9 T S h g 8 / 8 K L Z M A V 2 L b 5 V Y y M T f K 5 d q K t r Q 1 / / / v D O P n k k 7 U H X w C a O U i m l y g 1 r y d M K r 6 T S D O H 0 4 G W 5 g Y 0 l l Y h E K A 5 k X R i 7 c m r s H J Z G x y + a t R U 1 2 J 0 d A h r 1 q x B 0 8 o M K n j s 6 q u u V p p U j o 3 0 U z g s a 1 D 3 m E U O 4 9 t m J 5 / F 9 L A g M m q D u 5 Y N I Q M J l H Y R 8 4 b m p I R x h c E K I / H S 3 r r l l a h Z 7 k F z + k G k q k 5 D z 9 4 h d G + a w t T w B E p r 3 a g s M b N P z Z K g A H N y R J m k p n Q U y e E H + B c o X f o x f m H F 6 E G P m i y W T A I V p a P F Y K I / s f / L / y 5 R b w x 3 d P J v G l V / / L 1 i 8 D 3 P / z s + 6 t q K i 2 M H 0 V x + G E O D Z y P q t 8 J b E 6 d 2 d G i M R G n v p x X o N N M k 5 H O J 2 H L 2 3 k u f b A T R x o / K E 8 h j q G e W e S s z N Y a Z J p n q G 2 E U v S 8 s b L z d E Y Z / O A 1 H O e l a j y I q S F S O / a q l d W W 1 l 8 3 i w J 6 h M n S M l 6 B / x o I x S y W q l p b i F N / 9 M K 3 m v S 1 O T P X N Y O T A B O y l N u w j z 5 z 7 z p P Q c E w 1 n t v w Q n 5 Q 4 t X X H i 6 q o V q o o W S O 5 T + / 9 j V 8 5 9 v f R m k 5 O Z 7 f / d 9 N N 2 H z p k 2 4 7 s M f J v E E 8 P r r r y v p s n L l S j Q 3 N 6 v I 2 s 6 d O 5 W k / v 3 v f 6 / m m n 7 y 4 x / D 6 X I r p h K T T c w w n 8 9 L x m z H 8 8 8 9 r 8 L v S Z p n x x x 7 L O / b w m t 0 o 7 S 0 D B + 7 7 j 3 4 8 l d v y L v W + v U b s G v X L s U E a 9 Y c i x V L W / H i u v V 4 7 b X 1 l P J n c R h T 1 F Z l Z J h d C I c j G B o a U g E O m e O S + w T 9 E + j t G 8 Y Z Z 5 6 J q 6 6 6 E j / + 8 U 9 w 2 6 2 3 a g 8 + D 8 R n E t / K 5 h A V k m P q 0 f Y W P 1 3 e j 0 0 d h s O c F U z + g S D H 2 Y 2 K 1 d m B M 9 A f 3 k y J n k C z 5 0 z 2 q R m h m R h 9 x A j N J j / N W A o F i / Q 1 i V k y O T L U q m b 6 P H o W i m B s 7 w y q j y l F k O a W w 0 K n v j C 8 f Q R z x 7 v v B g R X / 1 D / J D 6 q C s 9 g z 7 r 9 i P h T O O a y e g r G S k r 4 S U r z C n Q + f S G c Z c e i 8 c x f q / M j E y S s s j J Y T M J Q J P D k l J o q 6 D v / E l 6 H p h d f o m P q X n m e 3 4 1 h / f 3 v R 3 O d D f 1 j Q B t d Q n f j k y h b b s b Q 7 g j c d R G U 1 t Q g k B x V f V J q b 5 V b w H P w h w g t / 5 / Z 5 4 i n g 7 C b s 2 a X O d 6 H t L 2 R J u f o r J 8 5 F T G j 3 J W G n z 6 P x 5 J C c C S M 0 q Z 8 U 2 0 + y G S 7 g d X 0 Z x t L U / D 1 / x i B p q / r R z W k E m k 8 Q Y H e 3 d 1 L R d S i L C O z M I q C z v R z o F R v E D + + 8 b s k 9 B B 2 v 7 k R + 3 Z v I T E O I z A z A b f H o 5 j o h R d e 0 E w 1 S l q Z 6 2 l t b Y H H o 0 l T M X s M 5 k n R C T v 7 7 L O x Y s U K x T A C h 8 O J p 5 9 6 W l 2 H I g N n n n W W k v a V l Z X q u 6 1 b N u K e v z y s z j W u V V t T q / w t O 0 2 0 N 9 5 4 Q + U c b t y y E w 8 / 9 F c V k v / Q d R / E h 6 / 7 M H 8 h A Q a T 0 k I C + c 3 G j R t R U V G h z E s x x d r J z M L 8 S 5 b k C 5 N C i F a S E L v G T C K H x O u Q 4 2 Q F m r y 0 o k m K G b j o N A + H 9 8 l P 0 D F C 2 7 7 R q 5 h p p p O a h I h Q + g r G o w e U e d T o O k U x k y D U H 0 X a 6 c Z o 2 E t H V 8 L D Y Y x F 3 l L m X I Y m z W B s v 3 Z r H S o 0 T H j p u 8 x h J o E Q Y T q h / I Q 0 z U s 9 Y D i L c N q J v t D r + i d C x p v a d s 1 F q 9 F 4 0 V p 0 v h h X z x 1 I V 2 L n h s P w 3 g g 0 n v Z L / W T 2 g I s m u k R H J a I o E N N T f D J 5 z / E T 4 9 R c T Z Y S c 4 v t L y + T a G g c d l s G k W i G l g q 1 U i q I + r X l 1 I w N G N 2 T o q n l Q l n G B n O 0 E 5 n w I C J 1 / 5 I n F K w i v X I 6 I W 1 v R o j X S l j r E I h p / S H M Z E p N o 8 R J / 9 1 m J k P F E B Y T m R p b k G C / T Y W 1 8 Z s P Z 7 d N I 2 3 e B N / A T + Y w U y B G 8 4 7 X f f c V x + E r X / 4 3 n L 3 q P J x 1 2 q k w / e E P f 8 i c c / a 5 q K u v x e b N T + K S S 1 b o P 9 F g + F D F Q E G t Y F F J r Z r d K 5 y Z 6 5 s U h y H Z 5 0 I u K V 0 i T r / k B K Z 5 r X z v L P v b e + / 7 M z 7 6 4 e v U e w 3 a r z M 0 S 2 U + w a y H R g 8 c P K D M u a 9 / / e v 4 7 / / + b / w P / 5 a X s o 0 0 i Q z I H N t x N L l q a / O d f w N i g i V i K d i c J A y J V s 4 z Z y U t O D w U U I E S l y 2 F a q / e S T r 8 / S F E J y y o P 1 l 8 R R J G Y p q P F K b Q C i B h b 6 d J a q J G s 8 L X R E l M C e g 0 0 4 S y 0 l S h m Z Z O 0 G c J d s I x / Q o S z l U I V h y P w A E 3 q t Z o j C R S 3 S K J t + I X L K C V Q n G a 4 z z H N v Q k E v V X Y S L W g U r n S v 1 b g d a P 2 / t s O L m 2 F 1 s e D 2 L F p a X Y 9 + m P o 7 Y / g P Z X / s Z 7 1 C q / R J J z R 3 f 7 U U O z T 5 m a x J 5 / / T R K 9 3 V i Z t U q l O / f j / o X n 4 P J Z k P 3 D 3 8 M 6 1 O P I 0 H B a a P g l f 7 z 3 b 0 V v n Z q 3 5 w x n j p g R s W S Y f a 5 C 4 6 R J x B r / h C 1 z 5 C 6 l z a H m E s P O a D 5 J 5 k f Y i 2 L V p f I X C p N Z i L x u 2 y k m 3 i C / R 9 F 9 R J q U w W h V b o Y K Z q G a q q E l + B p k Y T 0 X Q p e h w h J C q u h X 6 O / 7 F M U W m w z 7 5 8 7 7 K b 4 A L V i I z W 7 W B Y U D n t 2 7 8 i 0 t L Q i R L E Z j 4 e o J c L K v 9 H 8 A v m l C W 2 t q 7 V f z w O 5 q T w E a U F B 5 g z k g M Z Y 8 z y 8 D m 3 o N E j k K k 2 m N J M w x A 6 n c U W 2 0 A a p E L m / E 0 g S r p n / x M y j 7 F D h 6 + L h e R 1 H T I b N Q u 6 V j P K 6 9 C l M F t 5 H h V C F 5 a U N c + 8 R D E w p b T 0 f J H p 5 9 1 3 3 w V f i w c T 0 F K V 2 m c q Y l + w Q 8 c V 6 e 3 u x i h p 8 e H Q U A X 8 A H / r Q + y g U O n D s 6 j W o q a l A j J L b 7 m j D + F s J M p O d Y z W X e c R E z I h f Q 6 d 9 P v i 6 v 4 d A m 5 Z D Z y D D 3 1 l 3 n o z M y r u R 8 m b T j k a 7 R t F 5 7 b t Q 6 7 a h / t U n 4 I a W m G u K j / D b N E b 2 l 6 H m e M 1 H e e m U M 9 B q s W D C Y Y f E 3 R p f f V k d 3 3 r e h W g i X X T E 4 2 i n d F 9 O J 7 T v x w 8 i v I p a 3 B 2 G z 9 Y E M 4 W L j E v v r h 5 s 3 f 8 i 3 v O B T / I e 2 S m D S C g A l 8 e n 6 F P 5 m f w r R l Y q n s T u 3 T t x 6 q n 0 g U W w y + S 0 P r 4 p W i g W C k D B + M F p V K 2 Q P M g i k N + I 4 1 1 E I X i 6 / g + h d i 2 Y Y i B J L W d V u Z d Z G r D 8 6 I f f / 4 7 M q J d V 1 G O s d w P M / j d g j h y m A 9 h J e 6 A D y V A f K h q 1 d C M h o W I E J E e E u w W i t c Q Z 1 q Q / P 1 A K m y Q 7 g F p M X u p s E o A w X Y b c r p J i + b D a X z Z Q d Y T G i M I g h d C I m P f h c x g M L N B k i b R O U + N i m g l x G s h / b E K I c A E p b s D Q T G L K U t h R C h m / k Q G l g S f P o h 8 x E I 9 L a F 5 a U R z S V 0 u W t V P j W F D p q 8 R p J 5 + O 3 q F e n H D C a s T p I 5 5 / w Q W o 9 N T T X 4 q p r J Q o i e X k u n 4 S T U j l R 1 r s N X z K B M L j N n h q C y I O h G V q O 6 z T e 5 A q X U M t M p p H I G J C S v Z 7 i Y N M P L 0 R 8 b L s l I i g e / t v E Z z p h 3 f F 1 9 h O i 4 r 2 l d F 8 8 p R 7 Y P 7 L f Y h H 0 w i d d g E m n E t R 4 e L Y K k 1 g h b c 6 h c D E N P z d N r g e v w 8 T k x O o o F a y 0 2 T v P v k 0 R G M 0 8 x 5 4 E K N D w x R O U Z S Q C w a o M c p O r 8 H u q T i 1 Q Q X u + P 2 d e H 3 j d g S C Y a w 4 / h i 1 J O J P f / o L v G W N + N n P f 0 E 3 o g 3 + o E w W 0 z + i y S 4 p b E u X L q e 5 3 o W a 6 g p s e H 0 z R k b G s G z 5 S v Z Z C r f f c S d O O f U U n S I 0 O M v s C E 9 F Y a d g m A P R s K T b p A Q 6 S I c 0 7 m G b 2 g L 3 6 J 8 Q r v 0 4 Y M v 3 w Y Q U E r Q w L J Z s s C M / K P H X T + H C h n v U F w a 6 p 5 r Q e k 2 P 8 m 8 k v N v e l p 3 b m K B D W l 5 e r g I S 8 r 3 4 P H K x G A k g E Z M Q u D S A p g q l 9 T P P P k u C W a u W C R j o O L Q f j c 0 t a n b f Q v t e T Z 5 J 9 K U A u 3 b v o t n Z C m + J S B y t c y Q R d D 5 2 U K l E o u l U i D 3 L h H l Q S w v Y g Q s w V Y L P I b 8 z m S 1 K 2 y n t y f N l L k 7 j 1 a J X n t V Q w e Q w 7 C Y P z Q m f / s 1 c K K a k B A 4 O i O x p p k U z Q K Z y o G y p D x U z t y A e a 6 I w s K G r v A l N X j 3 p l I J p Z P c M q l Z V a M m 0 E o G j f 8 u L U Z K L 6 a U R i 7 f z u w g u / b Z 6 r 5 l n V W o C W N B S 2 g 5 f 7 4 / Q U f 1 O V D m O 0 c P N w J s P X w o f G a X l 0 p c x H r K i r o Q M o 6 O P G q b + r 3 + B q b I a e 5 8 Z R / s 5 X h w O l 5 E Z M i h 1 p l D u z m B 6 / X o E b / g m 8 J G P I v 2 H e + G 5 / p u o v e 5 S / P D z X 8 L H d 7 1 J R 5 5 C j 1 o g 1 t c N z 9 I l a P r 7 F 5 G s f j / 7 l H 3 J 5 z K L I E 5 G M H H I g Y q V 4 s 9 x j J T p 7 8 C G D V t w / v n n w B 9 I K G J 2 m W U h Y z n 7 W j Q Q z X x K K r v N r i L C N i v 7 R Y Y m P o 6 k p W p W Q w m U i X p c Y V Z 8 P l w d P 0 e i 7 G w k q 0 7 X j x S H E a w J x j L K R J y f m m a h N e S p p 5 9 W i a i b N m 9 S n w U 3 f O M b G B 4 Z x k 0 / + 5 k K f 0 t E 7 q W X X s T O 7 Z v x 3 / R T O g 8 f V u c 9 9 t i j G B z s x y c + / g n 1 W S C h 8 D 1 7 9 + O 2 3 / w K e 3 b u w n p K p m l / B I 8 / 8 Y Q K H A g T r d + w X n 2 W h N j f / P Y 3 Z C K N e I u T c R Y S h D C Y K V 8 z 6 Q E Y g Q w c 7 d 5 i E P N R f i e W g y T 0 G q a j M J P c O 6 v 4 F m o F x z I 5 A 1 s R 8 y E X f f 4 u 9 E c j K F n S g L I V K Z T U p e G w 1 8 L f a U a g 5 n r E m t 6 D R O N V J B p 9 q N I J J M N B O E r t 2 c x 0 c f j t p c j o i b I G g k u / B f e e H 8 K 7 / w Z 4 B 2 6 F b / w X W D X 4 F z K T t s o 3 m f G i 1 r V 2 l p k E 1 T c n 4 f w / Y N C f z 0 z 9 d 9 5 G 7 R Z D q M S h + u S 4 q 2 s p C C n N N + 9 D e P s u a l R a B O y O / d / 8 t u q 7 w Q c f U L K x / i O X o X 8 q g / M 3 7 1 D L k / o k t 8 6 a h K O d g o I d 7 I x 3 Y D Q g P U l h 1 b c O 3 u H f w B z Y i 4 h / H O Y Y 6 S f a i 4 h Y L x k z 2 o 6 z Y D z Q A R c J 1 2 X n z a x k C j K n N S H J C L y G W B O 0 D m Q O U y y E j C w Q N E t o X G c m W k o C Y a b R X d l n K 4 R l e h d i d e 8 5 I j M J V K Y H I U J F / L x F M J R G N N e 8 8 0 q V A F t d J f l a 0 m X A o U O H 8 N W v / i c Z I I C b b / 4 F 7 i b D b d 3 + J r Z u k + U V D b j x x h + r 8 / b s 3 Y f L L r s c 7 U u W q N y 8 X / 7 q V 1 i + b D n 2 0 W G 9 + L I r c f O v f o M H a A 7 8 4 H v f R i Q c w G 9 v v V V d 7 6 6 7 7 l b z W i + 9 / D L 9 i j 5 F z G J 0 W q m d j I B I L u S Q D J K Y k A b y S V 4 n Q H W m f J f D Y L n g 4 F l S Q T I w z b m F z E a F e a 5 B V N D R L 5 R Z v Y H N Z A 7 D K S b M o 0 h k q D 1 i G l G Y q W F s L S Q m + l k z 0 W 7 e k G 0 m w b e 6 l 2 E w s A N D O 6 c x 1 W t C W e v 8 v l E W J o S P v Q H B V T + k r / R N B K r + H e H V 3 2 C T K U h o i p s T N M N 5 X 3 v 3 3 + H t + S l 8 U 7 9 G h B I 9 n g l g d e / X Y B t 5 G e b o h D q / 9 2 4 y C J m 1 1 J W d D h D L 4 q R r l 2 H N p c d g z 1 M S I K d f R s 0 s v V u b 0 F a 7 f v P b 3 8 P S e g + q b d R e 4 S k 0 m 6 i 5 J w O Y 8 Y d h / / p / I l Z + C e K T u y k n / H h 4 Z w o j p Z 9 B y H Y C 9 k 2 8 R Y Y K w 3 3 o D l Q c / L W K t N k D Y t K n M R 7 Z q + 4 l E C Z S i b N y V 2 o y U 3 x M + 0 K g T D j n b K p a P K O Z Z r J i u m p V n P 7 U l P q c C 2 E + 5 / j T S H t l A W Q + w o m 5 5 2 d B J r b V 0 v 8 n A f Z N 0 z / I 0 m B R / O S n P 1 N / N 2 7 a o h h E y E u W V / z s Z z f B 6 9 V M G s l 6 2 L L x d X U t C Z 2 L 3 y F Y u n Q p h o e H 1 f t T T z k V X / n y l 5 W G 2 r B + A 4 + P o K u r S / 3 W b H P i + e e e o + l Y o T I W Z M 6 o v b 1 N P a R k p k u A w q p r i W L x B n W I 2 k n n F w U 5 N v f R t B + L D 6 f y y f g + S S m Y o r Q T P 1 G Y K U W 3 W 8 1 g 5 q D I L Q m D S R e H F p + s 3 8 p q h B b f m V h a d r r S f g K R q G O j A 0 g l Q z S j 2 h C I 9 e n H H W j w n Q h v e Q N q j 8 1 P Q p 0 L e Q r 5 l 9 / + q W g H / D E y K c 0 n 0 d C R l B 0 B N C D e 9 h 4 E W / 8 L g f I v o u r l P W h 7 a S t C a 2 9 E o v Z C p J 2 8 F 8 + X 9 Z D m p B / u z v + D K S l R u X w c 8 4 4 K 7 H 5 8 C G L k W 9 9 5 t S L 0 o X A Y H / / Y x / C f n / 1 X e G m K J c l s f f 0 0 a c f H U e Z J 4 X e 7 9 u L X 9 2 z D i v C / I b 7 7 I 5 g c H 4 L d m s b P f v U z 2 L 0 2 p N w N C K 3 + L 4 w u / S y C d V 9 G b c 0 S l D l a 0 D q y j o w z S c Y Y 5 h O a s X O i n f 4 W + 4 / W g E w v S D Z / s V E 3 F L p E C 8 1 2 N 2 x N Z R g b C m B 0 y o + p Q I h 8 Y I Z 9 4 F m E l l z P f j J j Y C Z / b B 1 q 5 e / 8 E A 1 l G h r d n 3 F Z K 5 Q P 9 d R d H 8 V x v v v 1 r z U M B + t x + i f 6 9 U + F k A H L S u D 7 / v x n t W D w e 9 / / I X 2 l 2 l k C F J v 2 6 W e e U Q s F s 5 A H 1 s 6 Q p S C / v f U W f O f b 3 8 c X P v 9 5 1 F b L S l I + j G 6 + C P P J R P A x q 4 9 R P 1 E + j P q m C C h N U 2 m a Q + q n c g + e K b f J 7 V / 1 W Q 5 Q h m Z o h 4 h U F W n G L w I x L Z R u I 8 f K U o x S K d b B U / O f t B C i p b K d f 6 Q o n 2 i o J A W Z X Q h b h y y K 1 J j K R C 0 0 h U y l C T U N J f j B j 2 7 E e 9 / 9 H l h t F g o Z F / 7 6 4 N 8 w P T O N S y 6 + B M c e s w J N T S 1 s X o o M m C T B R h B O T i A Y D 5 K A n f D a m 3 n N + R n e c + j 7 C C 3 / J m J J M 4 k l j a m I L E H J o N Y 3 t + 2 d 9 J 9 K r r w S 1 V / X I l 3 O 4 Y d h j R 1 C w l T H R x d C I 2 H f + F e k X + v G d F M F G t j G 9 l e e o 5 a Z x q Z L L 0 N j K o 2 u V B X a L d T G M g D 8 r / c v B 2 H 9 6 j m o + V Q Y S 0 7 9 O V K V p / E 7 C 4 b e n E D D C R I i p 0 a K 0 7 l U q 8 A p I C R t S A S M v t x E l q E 4 x / 5 O a Z h E p P l j 7 N c k T V U H 6 k v S N G M 5 a B x j m W j u 8 N e o e S c Z 8 X I X T U S a h F P R Q 1 h e 0 Y 6 p A y a U r x D / y 6 L I Q p J / g 6 3 / i x F q w 1 q f R j R v D d l w b F 1 C m r M g T L H e / K C E F i Z f L O R n C 9 8 h 6 7 x r E J m Z j R I u T K L y v Q r 9 G u d I G F 3 C n / w 4 4 w 8 q 7 S c J l 9 F Y T P 2 N x 2 n C 0 G + y i + q i B k j E 6 e D y c 4 J m j T H h L C l O / k A A H m r U h C T J 6 s 8 g I W u 1 B J q D K R O E 0 k J 5 y S S 0 z y 2 p R d k n L f 7 U + U 9 2 J I Z a E L z B + K E Z p M o S e I D M c + 6 Z Z 6 K 0 p A x v b N 6 M 5 p Z G 9 P U M Y C Y 4 j R J f C a 6 8 8 n L 8 + j e 3 4 l v f + B + E J I E 2 V Q q v M z u 5 m 6 A J t J A P Z 5 l 6 C 5 G S N t h I s I N T Z j R W y N P l o y + 0 E X X J 1 e h + 5 7 V Y 9 t L z 2 D F 2 G F / u v g d b U 4 / A W l u P 4 P L n t R M z C b x x 3 s W Q + k d D F B b l A R L 1 r + / C M W d U Y v f F 7 4 U Y q L E Y D b b x P j j r 6 9 D y 0 B 2 0 C 1 f h 4 L l k V H 7 X + D A Z q u p E + j Y R V C 6 P U C l q A S i 1 v N / s R o x C y E H N Y s z 3 F M I 2 + g q s 4 X 2 I t P 0 b o g m T K p g y C 6 l l k e B 1 7 P l 5 e y J T 0 4 k U A t R S Z a 1 l Z K Y f I 9 T 4 B T I u L S 4 J 9 N C U 1 G p P Z D E 0 n U E 5 u 9 R p m 0 s F k h y c x 1 D b b 7 4 Z 1 Z u y Q Q d B w O v F m j / + U b 2 f m p l S O X J S B U Z + N E H V L R k H E u U r L R W z L 5 9 B D I Y y E m A F / s A M z y 1 X x C f Z 4 L J A U A h a I M E I 8 b E u v O B C 9 b m n t w c V 5 Z L R k B 8 l M 6 X J a D k P 2 t X d p a 7 T 1 E h H l 8 p C s r c L I e 1 V h T v E f y H z J O A k I R n t T Z N Z p Q N t F C r Z j k r y A T T 7 e 2 7 n 5 U N 1 I a G d 9 w 8 x F D G y O 4 j a 4 y j 1 V S S S 1 9 Q 1 d a A / C l 9 T l m G k x J f F M g W n p Q y R 5 C T 8 y U H U O t d o 3 y X H 4 L H m J 5 b m Q / U I / R o z S m b W w V x / n n a 4 C A Y e + j t C v 7 w F K 1 5 9 G V v P v x B f + t Q K P P z A P v i + e j 0 8 F 2 W t j k P U Y j K B a 6 L / Z C Z j t z / 3 N K I T 0 + i 5 8 B 3 U g h E K h k p E + j p o a r V h 6 a Z X s O H O R 9 H y h x s 5 d l 7 U v f y C u o Y k N A 9 F K T x o C k s b T b E h V R d D k O D Y 2 X L M 5 a K g h W I f f x b x 2 m v 0 A w W I j 9 L 2 0 x j L K J H W x f 5 e U 3 M P g r W f Y 4 8 U G W s 9 C d f A t j 4 7 T m 6 O o y e 4 H q 3 e n G k H + m 9 k q B H 2 r E k L m 3 / q U 7 j w n o K w e V M T W n t 6 E E / F c c P / f A M / / c l P O M b a T b / 4 p S / h C 1 / 4 P J 5 9 9 j k c f 9 w a H H f c 8 Z i a n s L g 4 C B O P O F E W m 0 W M q A X 3 / 7 2 t 1 V C 6 3 U f + h D G x s d U u F 2 u s W X L V s W M Y m f L q l v J D b z s s k t p K 1 c j n k j i 9 d f f w O H D h / G + 9 7 1 X B S X O P O M M v L Z + v c o w l + R c O S Z L N i 6 4 4 A K V 4 f 2 N G 2 4 g Q 0 k G Q 3 6 n a K S j / Z V J Q M 2 W N j S k T B / L O z P i M n n r k K C H R Q U 9 5 D L a b 4 0 r L A 4 L M V Q o M Y 7 J R A e a 3 d p S 8 W K Y 6 Q l j N D F E U z m G t / b s V Z n z k j B c U 1 O D q q o q 9 H R 3 I x g K 4 x 1 X X K 6 Z N j r 6 w p t 4 3 W x k a i i y E 7 W O N R i L 7 5 9 l t F z E k i a 1 6 j V C G V P R / 0 d E 2 j + p f z M X a f p D Z n s K 2 y 6 6 B p U d n X A t W 4 p a a i y q f v V 9 l D 5 y 7 w c + h M R 5 5 8 L x 6 m u o f v q P K P W 0 Y 8 M F l 6 A h m c I w u 7 o x G U U 4 b I e j x I r x P 7 2 G z E f O h h h v 9 S + / y M 6 m / z L + K s L e s 2 B 1 W t E b e J 3 + 5 V k U y p L 9 Q T P R X o e u m S 4 e a + W p R S S m Z J O r L P w s T P F p / m 7 u J G 6 3 M I L n H J g l y 0 E t + e D P I 0 n Y X N q z z I u c e / R M S d 3 E J H y j t 9 A a o u Z 0 L I U z s h 6 m q Y k R G l J J e E u q y V C f n p e h / v b Q 3 9 D T 0 6 v m n T 7 5 C S 3 8 / f s / / A H b t 2 9 X p a Y e f v h h 5 e d I A O F m E r e E 1 C X n 7 s c 3 3 o h v k a G 0 R N c e 9 T v h x 1 g s r s 6 v r 6 9 X m Q E / / M E P F I P + g l r y u u u u w 5 e + / C V 0 c O A k W v j A A w + o l C A J V M h 1 O j s 7 M T w 0 g N K y C p x B J h N i e 2 3 9 B t x + 2 6 0 k / V z j S 2 M I Q S E 7 q I l l l X 1 s f C O l y U S 9 y d i S v X S h o b G S w X y L w y x D x T k A U k + h A G r m n + a L m h u S O n d E k v 1 h l f q G x O D u G T Q c N 3 8 U b 7 o 7 h L I 2 z Z S b i f e h l L 5 S V m x o S N I 3 t J q c m I 7 3 o s y e r c q j I N M F o v X 0 Q I h g y G / B s o m f I d S u r e K N k t k k g 1 9 b / C d a Q b v 2 M L V Q j O P i I E P V 6 R k Q g m 3 / + n n 4 9 u 2 D x C q F R J f n Z E d U U B P E q Q k y f f 0 0 E x u w b M N L S t i K u e f h Z c s e f R J D B 8 e x 7 P Q W 9 l t G Z a X Y 3 V n i D g d 3 w S 1 1 L R K T 6 I s G q b 0 K n u d I 4 D N Y R 5 6 D 3 T a D q O c C O I P r E K 7 + s F a P j 9 a K u B E S 8 Z 0 Z T i N k 9 n O k M 9 i 5 8 0 2 0 t d Q h 6 h / D G c v 8 S l B L R a m k t Q 7 J 8 r N h H 3 0 e s e o r O H 7 5 8 1 n m a F S c e O n Y 7 G A U Q o h 0 e n o G j z 7 6 q F r C I W a Z 4 K K L L s S h Q w e x d u 3 x i o A k 6 V X M N 7 V k f c W K 2 Y l e I 9 H V w O D g E P b u 3 a P e y 3 H D d x N m k c n j X / 3 q V 4 q B Z H l G m J J x a G h Q F Y g R B p S g h 1 z f Z n e i 1 O d G Y 2 M 9 L F b e s 8 T H h x Z W 0 h l B B R 2 0 p x L T M x f y U f w l D X K G x j J C R L F E l p k E 2 r v s 5 0 J I 3 0 i o X v 4 a / y Q j X c F e S Y L u w U B 4 q 8 q Q V p C w v j C n R B d z F g 0 a z C Q r f W u W 8 i p 6 + z V k E E g O 6 e 9 J g D o z C a x m p 7 r 2 c G S X f k S D M J N g D j M J y F C h R L 6 U r y 9 J K W Z y j D 2 j 2 k h W 1 L 5 Q G S / a 8 0 d G a X 7 x n 5 r j k x S d H J z 8 u 9 8 q k 7 C c P a n N 4 s k p K Z x 1 q A P L u / b z e v y c p F l t F + o 1 Y / + 3 v g s 3 L 1 v + r W / A U + 5 G 7 d o l 2 L D P h G d 3 s N u E m S T Z l g w k K W K K m Q S 2 C o 2 Z V B R v 8 Z h M D C B Z f x X C V R 9 G 2 t W I o d I L E a I / Z z c n 4 J l 4 E u 6 B W z m G Z K N Y E v U V F l p I V b j 8 s o u x c t W x W H v a B Y h U X E P m e R e 2 m T + H e M 3 V S N v K E W 3 8 A N V Q V L 9 D F v m Z E g u Y f I u H R g j X / 8 d X 8 f n P f w 7 L l i 0 v I M c 0 b v n 1 b x V j 3 v 6 7 3 + U F Q g b J O P v 3 7 8 d F F 1 6 k H 9 E g U U B Z V n H H 7 3 + v l m m c e Y b Y 1 4 R I W j q o v X 2 9 K o X + 3 H P O 0 Y d S S I C E z g 9 y e W E Q I d B Z E p W I m r b W I g 9 S 9 d X m L G J O H C U W 4 0 M Z 9 r u C 0 g I a Q x m Y 6 Q 6 j t E 3 z E 3 t C 6 9 X f C t t x 8 N k 1 z T V y c B S h m j 7 U e J r g J W N O x A 6 h 0 l F Y i H J h a M s d s o 6 6 U V 7 A F J t E R s K k d M 5 V l V t r G X r 8 P R j 8 8 B f R O D Z G h e W A 5 7 w L U P 7 d r 5 L I 8 9 f P H b z k c j T d 9 F O k q x v x 1 r / 9 K z z b t k A 8 I D 8 1 W p g 8 6 C z x o P L X j 2 D f J y 5 F E 4 8 3 5 2 g 5 A 3 2 7 R u n P p t G 0 t o 5 9 Q 6 L V 1 z f N g V E I N D Y M O H i u 8 b k A J n 6 f k e 8 L I B p K K + i S o n 8 W Q 3 a t 2 f y Y / U 0 u h P n 1 4 E 8 e Q z 1 2 / f U o p 4 + S i y A l / 5 U v r 1 t A R h 8 Z c g P t 9 9 l 3 u Z B I n R C g t p y c Z 5 A B r B K h o 0 Q T S F q T E b i Q e T O 5 h p T N t c o K P x 0 J H r a Q a V L 8 r Y 1 E Y f h A h T B l w s i Y i n e c s J x o O L l D l s 2 P H v 9 I U E K Z g R x Y W T I T j H v g 8 X K g K K V 7 o j t o 9 5 + t n 0 W G 6 0 y h d K l F L S P w O d L U U G + i z n U 8 m W + D f l 7 x E Z M c S E u 6 O O E J j B H y 9 v 4 C w Z Z s E Z d Y L I W d l 1 y C i s 4 O e J Y t Q c N L 1 G S S B U 9 i P P d 5 C a W n s O M H m p b s v + s Z 1 F v u x v P v / Q N a a Y 2 I L k u 2 t y B F 0 3 H l a y 9 T O w C j F 5 4 P i 9 2 K l n X 0 n + Z B e H A P B g 7 b s P y c / B U Q c y C T u X Y t A J M S n 0 t G 0 J Q f C d y x k 2 a j x 4 s 6 W j 6 B Y A D + G T + 6 6 I t e c v F F p C 0 r u i Y s q P Q n U N q e H X l Z V q J V q 8 r H o X E r l l c V z 7 T Q G I o S 0 l t a m 6 c t / l k o z k I G j p Z 0 8 8 8 X i S r 2 r 0 D u M V + E b x Y q k h e j 7 5 Q 1 m Q x I c R N t n d N C W P h p D B g M Z Q r t Q c Z z r H 5 0 I e Q / l x H 2 7 d 8 5 j K Y T c i R r j k 8 W D y V g 9 0 h y M X / J J o 1 F 9 1 G o R F H j O p b m X r 6 2 E x h S W p 7 A H B u c j Z w V Y i Z q Q q l T z s q H M N Q Y G S p C / 9 V N b W N k k A u + c c N H M V j q w o 8 e P 6 i E Y a 1 8 x 7 7 e 0 L g E j S J Y a m v g + t z H U f t v X 1 b n b 7 j o U t Q n k m h 5 6 A F Y a / J D 2 Q b S k R 7 0 p v r Q 5 j p Z z S s e 3 t a D 5 W f M X a 9 m i v Q i 4 6 I Z K J n 1 e j T U F O n m 8 1 H / S d j b 4 u K Y k z B M V k y T i c q d Z B J n E 0 J + C a O X w m e S T H a t D W k S V C R t y V o O B q R 8 c 0 4 C 7 E I w S 0 c X m h v / D B g S O k t + 2 u d 8 H C 0 D 6 + e L G U A k E z E 1 a S w a T L R Z J B b i f U X P 5 N x L 2 f r 6 Z 8 l 5 K 8 p M N P U c G i c W + l t v G z Q / Z p l J T J E F k e 2 H Q x 1 d m J k a w 6 b N 2 + j A W x C O R D E x O Y P n X i C R G g E O X s / k 0 t K X h J k C i W G a f X W w h l q x / t W t F C o 2 S u S 3 8 L O b f 4 U D h 7 q w d / 8 h p H W T R 8 Z j P m Y S 5 D K T r / / n + j t a d q J n + G O r m M / 6 M X 8 n D 4 V 7 8 M X X + v H 9 R / f z A 7 + j U L Z O b M P G D 3 w E Q l V J f k 7 R 5 z W Y S Z J g T b G 4 n A q U z J / x Y a Y G b f O e g + 7 I N l h s J i w / X V u 9 + 9 Z j o 2 r 1 u A H F T A r Z P s y 4 2 n g j q k H R 9 O q J 5 c W + n a l i P z Q j F Z u B 3 e n G 6 6 + 9 C L M r 2 x d q e Y 7 U G C z E L D N l + y b P x c 3 B r M k n a f Z G O F w 5 x H y f p P l h s 1 U h K Z x O w r T l r s m f B 6 F Y R t m Y N i O B S q A k x B F 8 E 7 F D R c I s w N w y 2 2 3 j t e 3 T r y B e d r 5 + V I P U 5 M 5 Y a W t b n I h N a J n H V o 8 J 7 s D L i F f q P p n + f J L H p q 9 X x 2 j 3 F G r a 6 A d Q S 6 c l g 1 0 / 5 W 1 B G J 2 S u d O / h V I 1 i R J b E 8 r t e k 6 Y 9 I E 8 Y 4 6 p J V n x q s / 1 e 8 5 E z T p B a 8 d l H I Y O T q B h Z Z U 2 J g U I D v n h K g m q 5 F 0 V N Z S + 4 3 3 i a W v W z p c F j D Y t d K x l Y + S M Q 4 5 U N 6 A 0 X j q o S X X 5 P m N T k v z A / 9 w A 5 0 s v I 2 l N w n f G B X B / 7 f v w 1 j m w 7 4 t f Q N m u v Z B c G o k 1 t t 7 + P s R W f Q H r T j w F b S O j S p T F l t R j 9 f p N 9 D 8 y i I / 2 Y u R f P g 5 7 e z u 8 N 9 y G 8 h X z j H d s h H 6 R X t k 2 R c t C K 5 v F D 3 w f G 8 W h n Q m 0 r 7 H B 4 p 1 f O M w L 3 e c x p g 0 K E R y J w l u b 6 7 f J A O W f Z 0 p M s W v K M T S V Q q V P T y j g f 7 N U r 0 w U s Z c 4 k J H 0 B L + Q e n O 1 6 p i N H G q 3 e t X 7 h V 4 J q k u v i 4 M p F Y q M 4 3 I f i 9 S d k 0 W D + e f n v W w l V C B U z / K e w y C 7 G x S e Y 6 d z J H 8 z 5 p o 5 3 5 n s Z C R T A t b Y E O I l E a R L Y q o K q 7 / 0 Q i S C F l V P z T j X E d v L w b V i v C u E s u Z q R b x y b 1 U V K f e a i 3 w F 4 1 b t v d X D 5 y h F k + s M 1 D m P z z K T Q A h Z Z 6 a e w O u Y P k T C E O 6 V s d J h 8 y c R H p a I o Q m 7 d u / F 7 j 3 7 M Z m Y x L b t u / D a h v w J 9 7 i f g 1 7 v w 0 i a z O K o p 7 1 P I h H w P n l O c 0 5 6 0 5 w 0 J D J T z 7 a b 4 T 2 o T a Q L p E l p s 5 f C q Z Q E Q 0 a 2 + 3 g g g c k N r y M 6 N K w y L 5 z X f 0 c x 0 2 h o G O M 7 d i q m k S v L X T M V 2 s p f C 5 l J C Q G v F 5 X v + Z A 6 J j X c t 5 K Z 5 P z m u / 8 4 P z M J d G Y S z D K T Q K w M Z w O W n d F K Z q r H g V c G E A t L c u y R 8 f e H H 0 c o E s N L r 2 5 j n 7 6 J X T t 3 Y H J q r v W Q C m a Z S S b I h / z a I K l C p Y Q a N 3 s F n 8 + E + n I r H N S g S g h R K J v G x 3 s z g 6 E d W F 5 N 5 0 y l e 7 x 9 C F P + / + G H 5 U I G z U w p J b l 3 R l R K O y o P n V F O a Y Z S V Z a S a 9 3 A 7 y S Q I X M u x l v J l I i n 1 X L 2 I 8 O 4 9 m K R R m B m v q x k 7 V q y H m e k J o H j a u e a P C P R t 9 Q k 7 H R H G m X L z A i M h e G r n j s u b 7 y + F W e f c z r N H w o P y H J y C o 2 0 G b Z M g N S c O 7 + 2 M L b 8 9 m o 0 r g q h 4 a K X + I m / K R J x N C X 8 O H z x u x C V + a f m J V i y a Z 0 6 H k 1 G M H j + J b C L Q D K z z 5 P j q H t 9 N z p + e x s G f / A j K C O T / p a E 0 w 3 s P u 9 C C I s b x 2 Y 6 a G Y u U 2 8 L o P V V X 2 A j m n 0 y C Z 6 G c + g H i N b d w M M k 7 I J 2 z o z 6 M T M 8 j Z b j i 8 9 R q Z U D f D x J W x N z 0 F d S g V A 4 B L e L Z m G R r l L W g z D O P D C o o n P c i q U 5 A Q q a j U 6 V 8 S z z J b K j 4 N E g 9 3 Z S X i z L T H K 7 / 3 8 g 9 9 Q S W Q 1 m 4 j E x T / R H l M 3 b b O Y M m S 5 7 T A 2 A + s u B p 5 S U o 5 J s u j j k P u V i U F y g a B a b d i 2 7 y 4 N j q u d O + A q M j A Z h J o G 3 w o W p g 5 q / J J j u 1 u a z z j z r F M Q m B / k 8 D v R O U T v y m N X M Z 1 a h 3 + J t j i X J b A W o / n s I q Q f k H f t G 9 6 e l N r p E T a X / 0 l K f Q y J d c c k g M a t M E j H / p Q 7 F V O 9 2 E h 3 N U t E a l F S u j 3 9 F R c A a L r 0 Y D T y 3 m L g q P W E t W u + 9 U / + k M 1 M O u Q R G d 8 L d d R 2 Z 5 3 v q s 8 Z M w L Y H L 4 a V 5 r v 3 0 G X q s z J H D f D e p T U l i p k i g S g i U h O 7 A N I + c e v H x y d I H z F l 2 g 4 N j y s G C 1 H D F f r O w d 7 i o X r D f T N 6 W J g p 9 7 e z o 1 9 m b y W 9 S R e o n s T t t 9 + O q 6 + + C r f q Z b W M C w j j q D k d v n J D w 4 Y 6 z K h j 7 P Q k z 5 E Y b R H b P x f f / O Y 3 9 X f F k P 9 b j X E 0 P P T g f X j f + 9 6 n V T N K R f H A g w + p 9 r 7 w w v P U U k l s 2 b a D n 6 9 W n + U 6 w k Z P P / 0 0 7 r 3 3 X h W m F x 9 H 1 f r j S 2 p o S F 6 h T C J L g O N o o T Z R 4 y s X i W A E k / s S k E q z B 4 Y t i M b 5 L O y L s b c C Z B Y L N e j 8 / Z L r L 4 k A K F + R 9 X P K 2 r Q w b i Y 6 j g O R R k w f z K D M L + a e P G N x R K Z j C B y 2 I N K j 1 W / P h Z M y 1 K Y V a F J R Q O + + 8 7 D W 8 j s 1 9 S D j K O u y D v 3 m Q V 4 9 B n u D F 6 4 z z y S d W F D p W I b O T 9 1 A r S g u A q 0 C C q v S z 3 4 a H l s G u z / 9 r 3 A u b U e k p R 0 V / + + j a h S F 6 K Y j Z m R + 8 C G M V G h L e Q T n v P p N 1 K 3 / A i 7 c / g P 1 + a 0 X r o c 5 M U T m 0 b S g Q H a i F H Q O A l N 1 t 6 j 3 u c v 6 l f W h 7 g K 4 X D G 4 v E 7 s + H u x u d M 0 2 t u a 4 X S X 0 7 T N Y N m S F p S V e h G H c 4 7 v 7 G u L 0 U f N M q Z q O / + m a e Y V M t / r X T l m t f 5 X Q V s M Z 8 a D D z 6 I J x 5 / X O X H S X k u y d w 2 r i E F R p Q j T V 6 R I o 8 Z O p o Z E s 3 G j Z t x y S W X q G O q J j i d N K k F L l p h I W z O W Q G c D 5 0 x c x o v K f Y C W Q n 8 f z / / F b 7 + 9 f / G B z 7 w L 5 i Y n M S 3 v n k D f v a z n + E z n / k s O 8 e O j 3 z k I + r z J z 6 h 5 a c J u f 3 v / / 4 v L j r / I n a 6 k 5 r M p j I v 5 C W + k 8 f j U d u E G m u 4 j g a p T P Y 3 I k h 6 R j K w e V 2 o W E 0 z i G p 0 Z V 0 K n r 7 D s O z e j e o 1 9 E k W Q C Q 1 p f X v E W B y V m F N f R J l K 4 D y J Q u b 6 q 4 y B 3 x L U i h b 6 q Z J k r 1 2 P B L i 2 J L 5 q d X i f o 4 x B c s e M t 7 g 4 I D 6 P k H J n Y y l M P K 3 2 x E e G E T a V Y 2 W r 2 R z E M t S c q 0 M G l W Y X r t u o 6 M H V g 6 a D N u x G 1 9 B 1 a c / C a n S K m k 7 p Z Z h U M E h E 6 j G s 8 + / h D v + c D c i e 4 Z R 3 h 1 H s G 8 S O 3 f t R Z D 3 3 L w n j C 1 7 w 2 p b I s H W v 1 6 C x m r + j h e 1 l R y D b K a E 3 N O E n t 5 + x K k 6 V L 9 Z t Q D M i e 9 p p c B P o n v n 0 G x / 9 v V T o y s t n D 9 H J d u f C k T + 5 8 J b 7 8 T 0 4 a S q v y d 1 N U I 0 5 S W I Y T C f B M l E Y 5 3 d H t M O E K T 4 A n Y j J O t b F a D 0 + n D 9 9 d f D Z r f j q a e e V H l 3 b a 1 t 6 O / r Y 2 f c g R N P P B F 1 D X X 4 5 n e + h Y c f f k j V x 9 u 6 d Q t + f v P P 1 L n y v e T s f e l L X 8 K p p 5 6 q 0 o w k T 0 + + E + 0 i C A S C W L V q l S q M G Y 9 F c d N N N + m / P V k x 8 p e / r P 1 W i l N q T J b G 0 i X t 2 L R x E z x O s 2 K E j s 7 D / H 2 T K r C 5 Y v l y J e E l 4 6 J 9 S Z v q T P n 8 4 I P 3 Y 8 2 x x y j t p Q Z C 7 5 R / B J o w k S Q m I S D e h 6 J L e L 6 u M k 9 O K c T / 5 w Z E v / g V v p v b 3 7 l w W f I z D 9 T c U x F I L Q N B r j Z b F G J D p B w t g G G V b A j y Q s O D d 8 F e Y s f U a + v h + E k G F a 1 f R i K S g C / + C r z B 5 + B N x R S z y V P G G q 7 B 1 E w Q g a g J b m o m S f c S 0 z u 2 u h 2 D o T c R j 5 d i z s y S t Q Q Z e z V M 9 h r U + U 5 H a 8 N S X H b e W q w 9 r g x D l i C m 4 i H Y 6 Y O l v v h v W H u P H V U 3 u 7 H 6 2 k 2 4 + k r N v J M n l M d 0 N b x L f T a C O / v 2 H y T 9 h C i 0 p B S 1 L N O h j 7 Z n L 5 V A j E K 3 m 3 / j q F l Z j n 1 7 D m H T G 9 t U 5 e D x c H F T T i D y v 7 A 7 y 5 Z Y V f 0 9 a Y S 3 N H 9 s J O I s n o P w q 6 y Z E p g P b X k N e 9 Y / i / H + b o 3 G a G t + / B M f x e l n n I b r P n y d I v S + n j 7 8 9 r e / J V E + g B u + c Q N + 8 t O f q o E U L T D Q 3 4 t N m z b i v e 9 9 D 8 4 4 4 3 S c c s r J + P v f H 8 K 6 d S / j 4 o s v x p 1 3 3 a n O / e l P f 4 I / / e l P 6 v 3 A 4 B A f b p K D R J P D 4 V D E f + W V V 2 H L l m 3 8 7 d 9 n f / v H O 7 O / l f 2 j N C 4 w 0 z w L q 2 z z 9 3 / w Y 2 p / q r T s f 0 B i l i R Z 6 Q / J Q B d c 8 8 5 3 4 W t f + 0 / 1 w L + 7 7 X f 4 6 n / 8 J y 6 5 9 F J 1 T W 2 Y 3 h 4 M y 1 P V N h d N T J E l E T Q t a p e B g z Y 6 k l o u 3 I F D n R g e G c M z H / 8 4 b n 7 n N X h j 4 x b s f P M t j I 5 q S 8 a L Y W I y J 6 h R J L l 2 N L J X a W s T m U 2 C L I u C S H U J 6 z v q + V f r n / 5 7 7 1 O 9 Y K n S 7 t H 5 w x v Z l 3 w W y Z V 0 2 R A t u x T R y n f A R 7 9 K s k 5 i K Z r I f K 7 G m f s x c c + v 4 Q 9 F 0 R W X 2 u w D 6 H j v d b j n 1 y / g m Q s v o U m U w e 9 P O A n 7 D n Q q z f H a + o 3 4 3 R 1 / V N W b 7 r z 7 T z j c 3 Y d H n 9 m I c T 7 n v a e / G 3 8 + 4 z 0 q O T h K b S j m u P S h 1 E m f J u M + f 8 e p K H e F M T E 1 j c 3 9 J + D P 9 / 8 V G 9 7 Y r N q 7 e t V y + H x u N J c F K f Q l u J D B s c u X w s Y B b 2 t s g I P W l N s y j V X H L M P p Z 5 6 M V L c N l e V z s 8 9 z o S u z O Z j p S q F / e q 7 f b Z h / H o c 2 E O b l p 5 6 H Y 8 + 5 H F V N b Z o k S J s R C c X x 1 e v / E y + / v E 5 p l E c f f 1 T 5 F s 8 9 9 7 x a b v H e 9 7 5 X / V i D t j e S q u V A i N k Y D I b w x B O a R j v r r H N I w K Q L a j n Z Z V 4 y 0 B N x U Z E m 2 t 9 S d 4 C q M 6 F t Q B 2 l h p L r G 7 8 9 5 5 y z F d 3 b J O y u h p o d T W L w u W i + f f 1 r + O T H P 4 w r 3 n G Z q i c u t C x V Z u U 6 s j b q l l t u U U t G P k + p t 3 3 7 V u z Z s w 8 3 0 C w c H R 3 F s 8 8 + o 5 h B N E w x C M O I / 6 f + i i 9 Y Y D T r l m d R q P G Q 6 J N u e q z k A N f V S v 3 y K / B f 1 3 8 S Z 1 J Q n b B W 6 u s Z E b 6 5 b a i s 4 G 8 p c U 3 R f o 5 Y j v O t o 8 Z G p p C w N p k t m J A 7 a t d I S E 2 7 Q v D 3 3 s u v 5 B v 6 H H p O X F T m 4 N I x 9 N / / g E o L M q j I L i l g 6 l 0 W U 1 u 3 U Q u l Y K m j d f K b 2 + G i d k j x 3 t X f + z 8 c N z m O d q c J D X X l u O L y S / H 1 / / 4 q K q V a M K / 3 3 V / 9 D M e 0 2 m C n C D / 3 n D P w r 5 / 5 p B q j T 3 z s I 1 h C P + b 8 k 2 l e U y v K 7 h z f P r g Z v / z 5 m 2 i x J i G V g G u f I 6 P b q p V / Y + M 4 x c i 0 B 6 b P Q M e h D t R U V f C a u s m m S 7 a M W y s 6 I z D r K W q z M L Y A 4 r k n v n M F n y W N 4 J Q + x X A U K F 1 i Q b 0 7 O x a S S C 0 w z L / 2 C q 0 t c 2 w T I Z Z f / P I X q C e H n 0 k H 9 L H H H s O / f O A D e P / 7 P 4 C 7 7 r p L 1 R U 3 H P k 7 7 r g D J 9 C s O + W U U 1 S Z L 0 l 5 f 5 1 m 3 + W X X 6 6 C G b f d d h v c L t l a U Y Z J u 7 P 4 K 7 I M Q z Y p E 1 U t N c Y v u + w y E v m z O O f s s 3 H F F V e o 3 8 n L 5 S A R y M + U x j U j S c 5 M 0 g H d v u s A f v / H u / H T m 9 j O u k a c e P w a j E 9 M 4 o Q T T s A U / S m L K a U q x D 7 2 2 O N o r G 9 h e x N q i 9 K b b 7 5 Z L T 8 5 8 / Q z t L H g t b U x m c s w a i 8 o + a t r I C 3 D r z g D 5 k J M v 3 l R t O h k / v k i X N Q x + i W S I q M t n e B H m m r y U t B 3 k A h P R O B V t K V d w 5 a z 6 F I D + 4 t a p J P j F Z f i o 0 R v 6 H U E J X O d f o Q z M p P 3 R G X 8 F J M a i t E + q q N B 1 T m 7 a a q G q Y F M b v q b a y X r 2 4 x Y / X t R S v / E Q d 9 Z t I H J W Q J 3 9 2 + Q 4 F j K N K t x z Y w z J 4 Q d G y E j Z H 3 N z t e / B 8 / Q d 1 A 6 8 F 3 e J k l a E P N J a / 9 k S l v i v v H + S 7 C 0 2 Q N v i R P v / d S t + N y / f Z p + + s U 4 9 Z Q T e H G O R 4 F k 6 w 1 t R I q a z o B F z + B X i G t 9 J 9 V q v e U e + M e P l L 0 y F 2 a p t K R D L W 0 p g t l M C Y f T p Z a I G 4 7 / k b B t 2 1 b F V K e e d r J + J A t a 1 f q 7 Y p D b c R D U X B K 9 j w z f 6 + 3 U v u F f a g U t M p 5 9 A I G q L W 5 O k 2 F y g g C q 9 U l e w 0 r / K K 7 C 5 g L R Z F L P T p g h G U v C O p u n Z 9 x F g 7 h U O Z e D S Y I C J K S 0 N W t q q V 3 C k 0 G k z B W Q F a k L I 4 P A j O b f F E W R 7 I R c S B B I / N f F w N 9 p g a U p T X O D / V W w I Z u B 4 N 6 9 C P z b F 1 B f k N U t G e y h y / 9 D M e H y d R I J T a H r A p p 3 V 7 4 D V V / / L + 0 k 4 o 3 z L o S z o x P O J U v V G i f l L 0 0 H M H b N N S T g E O p s M V Q / / T B 8 5 U t U j l 5 D I o a 6 X / 0 S L g r a Q k g f Z q x e J W C 3 / O 1 s V H v j i C / 7 C p K 7 x 5 H 4 2 Y O o s 7 h Q l 7 N o 8 f X 7 L k R T d R r e 5 m t R s f p 6 H s k f O 2 O 1 g Y F Z Z u K Y W 2 b H S Q R h j t 7 Q B 1 x 2 h 7 S 7 p P R B P o 0 J Z A 1 Z J D W J e l d 2 Q z k D U 4 c i K F / u w q F R E 5 Z X S R S Q E l k 1 i y Y 4 / d r Z O 0 k I P E m C T S W i S C U l 3 M s X J U d S / U 2 o N U z j Y 2 P q m H w n Q Y K T T j q J 6 j h M t R 1 G d 1 c v / w b 5 C m m / l b 9 8 D f T 3 q x W 6 E p L u 7 u 5 W j q G s 6 B 0 a G V f 7 J a W T g d n 7 p f m S n T d k a 1 A p O i K q 3 v h O X v E g G 0 8 z T S Y z U 7 E A T c Q Q p s P a b h j y f S Q 2 Q 2 d 5 R L 2 X c G 5 0 O q a u B z J h 9 j p a + 4 1 X M h X P + x y c 6 s V 0 P 5 3 r m e n Z Y 3 j p d a S f 3 Y T x 9 e u 1 Y / E A I r 2 D W t / M e X H A d P 8 p D x Q + / M E s M x n a R v w 9 z a e D C t 0 v h p l k M a D A X h W B S 0 / k V M y k q V s N + j z N w J / v l 9 q u v F F O e S 3 C F D + f f e S F + R 3 v R i J j R 7 h v h O 1 I o f K r + d u E V r B t j m X L s e q l Z x U z S T D i z a 9 + j b 9 J I u H x I G U r U c w k z 2 B R z 2 d B V e U b + q / z I c w k 2 P r g R a i y 9 p P u Z b K 1 G a F f P I 7 K B I W 5 f K k z 0 x s P X q 1 F 9 k i i i p m E E X T f L 6 z M X I L M p J W C J n S X Q 7 S S w U z K Z M 5 l J g G Z S Z a t O N w O H N q g V Z Q q h K w h K 2 Q m S d s S m O s z m O l M Y 3 k N W y v M L F a B a F a + z 0 j G i q G h i k G c R i E Q Y b Y S O q q y c G 7 b 9 h 2 4 6 I J z 0 T t 8 S F U W c j r t i I a T k J 0 l y + 3 z 7 1 5 h V C 5 V k G R R N k I 5 1 v w 3 d T C O S P 0 w G r w 0 E X I E h q T U i 4 0 q R U C t Z I q x n c / T b K A 0 t j m p s k d Q 0 7 w U j c v W w E p V P N z V h Z B / E u 1 r T k X 3 3 u 2 Y H O z H q p M u R Z o S y F e t S c X 5 k L d s n o Q / R M e 6 k 7 8 7 5 x X J H g C G L 7 4 M y X 3 7 M b p 0 C U 5 6 b R 3 M v L b r X z 6 K 0 G v 5 U l 9 c L W m v i U z i u f g S B F 9 7 V Y X B J X L n v P r d 7 O x p R N b n / 8 Z F H z O y f h 1 / a M W h 4 U 2 o 9 i x H m U 8 r n p i F D F F O x x C y 0 Z q n N q v p x i O H E E t N o 8 m 5 H K q m P B l 3 Z O Y Q D l / 7 G V T T T 1 l W s C x H k F v M Z N M X r k f F 7 p 3 a S t v k D E a j F a h w y 9 6 x 6 u s 8 p P z T m A j R X P / A V T C n A l j 2 O v 0 s + l / d l 1 6 h v l + i a 0 P b 4 K 0 Y r L g A 1 c 7 8 2 v i b H 7 g Q l b Y O V V m q p P V 6 H P z S Y 2 i g V V L 9 y 5 v g O P U U X t u M 3 Q + d i d Y a O 7 y N l 6 H 6 u P 8 h L 4 1 h M H 4 Y L v N a V F i D G E z 2 o t F 9 k r q e h M J T 1 m q V L Z L F 3 D 4 z I I G R V a t W a o K Y l r C n S q Z P H D h m 1 Q L L R I R m 9 e j i S M A M + 2 A U 5 S s L / D V i D k N J o U A J c S 4 E y e a e l K q e B T C T a N M y m 0 5 p V W a p o b A S D s 5 K 3 G L X H j 8 Y Q b B 2 A G 3 F 8 0 / m I B 5 M I D x k Q t l y K 3 o m r R y U D B o 8 Q Q T 6 P H D W J m B z Z T t 1 3 6 s d O O Y 0 F 2 1 5 r W 6 A A S l o M p 3 o o x R a q z 5 P H 0 q r P Y r I d U i k o h i + 6 E q 1 l P t 0 n T B S 1 K i D p 5 y B Y f o R p 3 Y c U M e K Y T Y V i t e J 7 9 8 M + 2 q t v k M 2 R W o u w g P r 4 W 4 8 h 8 y Y R F 9 4 I x n S i k C / G 8 e s 0 F e p F l k 6 I J O t 6 1 / Z h M q a c l X J 9 9 3 X v k t Z F m U V V R g Z 7 K P 0 L U F 5 W Q n + 8 s D f c N K v f o F Y N I H y R x 9 G U 6 O 2 3 L 4 Q o i 0 P / v I + W D q 7 M f m N 2 3 F S U 1 w J h v l g o j + U c d R i P 8 3 B t t / d C n e L C 6 + 9 5 3 O o o 6 9 W / q U v o O L 9 2 p S I w B I 8 i K T X W G R q Q s c b P 4 B 5 9 E 6 a 5 g k 4 S p a i 9 z t m N E m 8 m 1 T Y o A u o X S 9 8 F e b I 6 3 B b n V j y D u 3 Y W G S / q s c h D S u x N q H C K d n n O U y j J 7 w e D W S F g v j y P T v 6 0 X 5 S C / q C m 5 S W F i G v F Y l Z G M G J K O I u N w V P V l h r w 5 z S 0 l k E x Z h p a j r f J 5 i K a v W x C y H M p P 0 1 Y T J N E 6 N g p W X h t Q P D M 6 h a 4 V o U M 6 V i K W V W d I V d c L Z b s a + P T D W R w v i o 7 N b g g q + N H h O Z y R T c r c 7 f 8 c h + r D 5 v 2 R x m E k g d Q o O Z J I I l z J S W X B u 2 2 2 a V T Z G t W h 6 a D k t D g 3 q m V D i C G M 3 e k e B c P 7 O L z J 2 i m c k m q u s Y z C Q Y 1 k 0 0 g f q e k I W B g j o q 9 R K H p j 1 U 4 R D + m 2 U m Q Q E z C S Q d 6 M y z T 0 Z z b Q s + 9 o G L U e L z o K y 8 A j 0 z G 1 B H b e z w l G I w 0 I 8 z L j 8 B c d 7 Q 5 f P N M p N I / 8 M T V h W l 6 p O U p d B + Z a o s / 6 / / x J L f / R q n N C / M T L y 7 Y i b B K g q c z L L V s E + + r H Z 8 l / H J Z S Y h 9 o C 1 H X v 3 7 K P p H c X 4 x A x 6 9 j y m o r x a 5 N T M v 5 I M T P P 1 o u w q 7 e n B 7 R w j J 1 y V m g Y S E 7 r a t Q p t J e e g z X s 2 S i 3 G m O o N F d M u l 5 l y 6 L k Q f 3 3 o E a z f s A n b d u x C F 9 2 U 5 5 5 7 G Q + 9 / D D 6 + o f w 3 A M H s f u 1 A H z 2 Q p r R B 6 0 A q W n H L D P J u P Z N s z 8 X M v k M j I y O o l Z f C C Z a Z j y T X d N v J U c n i w Q y h M s r H N l w p o L u E K r O Z F 8 U z Q j Q W z P d 6 4 c l X c G P t F 2 p 4 k u a t A 7 L l f Z y q t r R w 2 R H B 4 m k p Y x t 4 e m H X x j B m i v 1 6 U W 5 p z i m y Z D K o D 4 8 q S 3 R a C 5 L 5 m m N + F Q 3 b G U t b J M Z C a l h 8 c E P Y 3 L t W p x y y y / U 9 / 1 n n o N k T y 8 G 1 h y L s 6 U 8 F g k y N 9 K T t 6 R d h 9 j w E q n b R X d p V T W d Y G v W g T b Q s + E z Z F Y H 2 s / S d g S U 2 X 3 R U g t B C i r 6 J / l 8 F R Q k D u 2 e M p j N f H 4 F t W x c z J G c B 1 w A 3 f 4 O a g y T M r k l g 0 S h G F N J C F + P O g r E U p F p E h n O w + e c S V P T O V u c x Y C k p I m 5 L c w m g a K N D 1 5 G c + 8 w P O X L M P n X Y 1 C 6 R 6 s t 4 r 3 3 C Z S 1 e t C / 9 2 + Y O f Q b m v b A 8 i v z r 2 V g v i R s U 1 S q G J H Z 2 X 9 D 4 V 2 o d + c I p g U w M t i L S G g G b U u X Y c c T Q z j x m g L X R f y n I j Q u K K y W N E + P 5 x N G b S W l p O 6 U i Z a R P C 4 D / p A + i D m Q T p 7 D T M R M p 3 Y 7 F Y a e h 5 l k L Y q g r I X O b l s S J W 2 Z W W Y S h E m 4 x r R Q h D 6 A N b h f v V 9 W m V T L F l z p P q y 4 M G f y T j q C D B c g c w q z L P N R v V f k M 5 P A 7 n U h I U U P C B s 1 k r y b e v N N 9 V l g F i 3 F v + m o 1 r 4 A J X I u c p l J 8 r 4 E K u x N l L g 6 M R j s Z 7 s 1 a Z a L 1 r P v m G U m Q S g U w e T U F G Q n d M k i K Y Q 4 4 W M 9 d f B J W g z v E 4 g B Q w E T a r y 8 N v 2 Z L O Y Z W h 2 9 4 e y u h W 0 l y + C g T y u 1 y 2 e R T w I K k e h B / Z 0 2 5 y X j L H j j m n c h T W a q + a q 2 i D A X M i 9 o B F 3 e e P A q u g K H y Q w y b 5 l B g M w k 3 5 j o n 3 u q N W H T s e U 3 t B L Y e n u F N s 6 J S V X H Q b + E Q s L Y O E G H F F z x R 6 n t x B o h n S Z S Y Y 2 Z p L + l D t 8 R U N v Q g r b 2 Z t 7 U h a e C N X j h z Q y e 2 Z Y z V v M w k 6 C w 9 F j x X i / o z H C c P 9 I v G k 3 T I Y 1 J 1 o I G t 3 e u Y 5 b K S Y q K + e O I T G j R m d K 2 u d n O g n F 9 o P x d m Y K F X Y U g c z m 1 X C r Z Q 1 U 6 O e k 7 T v 9 O w 9 7 n P S o c a k S 1 T D E t S V J q 8 c n A D M X Y 6 c k i y y s s p W p J u X 8 g r K 6 7 7 M X n c O l P f g T P B 7 U d E m t + d b N i K H N / H z I H D 6 H 5 0 o s x 1 L k P 3 b u 3 Y M / 6 Z 3 B 4 Z z a y J X l f P c E N a s v P X P T O d K m / s z W z O f j i 4 O Z C i n p W l J e r K k 7 a d k A 5 y C Q w 2 V d C M 9 m O O D W k E J y P d F j v y 8 B q o i b W t 8 3 J W d A 6 L 5 r d Z 6 I n v J 4 9 q o 2 V T x a Y q n f z w + X O L u e X c P t 4 T H u + 2 L Q 2 p 1 P 2 j o v Z x g L i y U G G 2 l e + N Z F w w 1 u W o F x f y V x 5 / 3 2 w O i 2 Y e u U 1 V M o h K s K l l z y k m Z 6 2 C i U o c + W v z I D k 3 k W m D U q s 4 p Z Q Y y Z l x x N 9 P k 5 c k N x q s X K / x N w M F V n y Y 8 w R 3 n C d D 8 2 V J n j D Y 6 S X + R k p F z P d W e F q V s S l b / M h 4 U Q F c f 5 y 4 H a 5 l J o V O M 1 l N L s 0 K T 0 f 9 M R z + H t n 6 H j a a Q s L g Y + o R q u N 3 A p g 7 d O 0 W U l 7 w Z D m p u g r Z L 8 X 0 8 + b m W S b a U / p G Q I S h V x 1 h U Z U U r R D S u N C L 6 c l S Y 0 y M H U + U p s + M Z o H 3 d 8 r a X I j z e u E / S m 4 H n k U p s E h W j o J W B v J i H Y 7 p T S F w 9 I l i G x 4 F b V t K 9 C 8 Y i 3 a j z 8 b S 0 7 Q n F j x p Q S t t P W r 8 r b Z p C Y o W 4 r J M L v c I H g K q W J 1 x G c R 1 2 r K S z h d o q S x U A a W e o 4 F q a l j 3 I T W 8 i z n S P a 0 a G y B z a Y 9 y 5 D O r D J Z L H O G w j x S r 0 / Q F 3 5 D r S g W T R V L B 1 U k U v X X f C g i 6 a s c 2 v M 1 8 r a S d K L V q J M 5 s b k C q 2 / X X S i 3 9 2 k R W 3 c j x p 8 6 D L e 1 h C O a g N P j w e T B E D q + + S 1 U / x U o v 1 9 f h U t N M x / U k 6 r v d d Z S m S k U s r k M V A j e L 2 H 4 p B L s 0 a H M X C P 8 z u u t p G F x z r m 1 G N 7 X q x 9 b G K V t L g T 6 N T f I r I h L X 9 o + 2 5 g i j n C u z e o u k l + W C 0 u v Z o O W t B i Z A R x 4 u 7 6 c 2 Z V v C o b H Y i h b z l 7 O F T k C Z b f m m i B Z 4 h E h W O 1 J w x L q Y Z v Z + Z R 8 M s m 3 / 9 k A r E Y 9 O U L 2 m t X m Z 4 Q x d c I N a 9 q w n 6 c N R n f w W j x e M G 8 k 2 / F 7 K p 0 Y / s Q P I G d v p j + l j j c 1 q m X e b 3 z y X 8 k L d E D Z J z I X F Y u G E K K Z J h B z s h D C S P I S i P Z q 1 d N U F o I p Q U F h 1 0 x G j 5 v m X b 8 X D l o D t E w R j C Z w T J 0 8 j 1 A x r 0 U B J x u T m W Q D J g M 8 X u + T l c + 8 F i W 1 W o 0 s w 6 0 L m F r 7 2 S i 3 t a H e u R Y O f U d 1 Y 5 1 Z U R S p / m N g J f 2 m 1 X q E L p i U 4 p 3 l 8 I 7 9 R n 0 2 0 L v 7 L q R T F E Y y k Z 9 u k L 1 N 1 J A 3 U S s J 0 h M z E K q T Y 9 X U W A q G p i k K n q m + z w r Z W e i a r x h m s 0 k K a F z 8 u 0 K 0 r G l E P B x D 3 2 7 N s p B 7 m q K 0 e E h r k k c p 7 1 P i V 5 I g X Z W a W 1 L c 5 F u g Q Q K f p Y 4 S s Y g 6 7 N Z i Y 6 m W w x x A K 3 r 3 b k P n m 5 s w 3 s d G k H A l 7 W N i s A v 7 N 7 2 I k Z 4 D G D y 4 F z 0 d r 6 p s 9 j n I v b 5 o R P 2 z s q v 1 P r R F 9 / M R e Y C S J z C d w L F X y U 7 p O c y u / y a R z j r o s k x d 0 E S B 1 u A 8 U R G b k X d X i N J V V j U p G u r X p J f j 2 G P V g E e 6 N C 2 7 d 8 S G q V Q J L a 0 G O t l F t B 6 h 2 p s D M W P y t k k p Y G Z l M Z E Z M p K v p y P Q 4 0 Z p u 8 Y I B 4 Y S 9 M l s u i n L i 8 k z 6 t r V 6 X R w g N P w T 9 D c T W n X l e k 1 K 9 W C a C j J w j A Q j C Q Q S c 3 A b t Y 1 O q G l V 8 2 D B Y k 7 C 6 9 s m E 0 E q 7 + A W J I m / N A t F G K H U O b V 6 s T b S 5 a g 5 4 e D k B 6 X s X v o k c c x P j m D N 7 9 4 L S z 0 G w f o N z 7 z 7 I s 4 e K g L o 2 N F M k 7 i x l q q I o x k Q M 0 X F X T 8 E R C i K B Z X J t e d E Y S s Q 6 h a l s T 2 p w 7 S Q k j Q T 2 u F b C 0 k e Z T y X m 1 W R 3 s 0 m o o h M p m Y P 8 o n z q + m s Y o 3 X A r T i / N n 7 m l C u l U z T X J h D p a i v F I L k w d o l v m E a H V N K O W a g o M B X Y P J I P I e l F x H Q j B O 2 z b H + T e p y J 3 G I G + 9 8 h b W n D + 3 f r d A i F r Z 4 / M h y Y G z V v C Z p T B 9 / l z N 4 f O 0 e g v V 9 z 8 G C 9 m r + 5 S 1 C N X W 4 N Q d W y F b + B t R t o U g 5 q n c f 9 4 2 S J g 3 V w P o l 5 w 6 S L O z L g U n z e b x k B k O S x o + j X c w E + V J G b P y H + a b 4 8 q F h M q X V O Z r z + l E L 8 p s L Q i H I 3 C 7 O T Z C r L n p S 0 Z 7 C 4 8 f J d 6 4 c y 3 b P Q U 7 F a C j b D n 6 v 5 9 W 5 Z p b n n 6 C 5 o 6 D o s 6 C r e d d h F r e r + 6 l F + E Y 2 4 B M 2 R J a M 4 X h 6 0 V A 3 J V c o X o E B J O j K s 9 R 5 p 8 s I s h E r I i Q z c F U s A z R u B 1 r 6 k u w + 6 l B H H s 5 F Q q V g 4 G B g S F V w V h S 4 + Y d i o w y 0 e Z S Q K A v p W r C 2 f y V i l J z m U m y w Q P T m t 1 r M B N i A 2 S m C p 4 r W 4 p M Y v p g n E L V h J J G M e d I F K I N d W a S O R K J 4 h l R s k I I M w 3 q f o E 5 1 D v L T A M H B v K Y a V T m i R L Z V J u h Q I 5 G y P U P j e x s P f + v k J k E 3 v e + R 2 k p d 6 U D 7 o Z y p N m R I y O j m D l M B 3 t E T B j t v E J I 4 U k D Q v D F m E k Y T T C T 0 G b g F e J j C A x F V P 5 h + Q q L Y i Z B F U 1 c g 5 k E p U 4 T S l 2 L Y y Z B W x F T V J h J E D d 5 1 G O Y x J c u E o n 8 R 5 h J k O T 4 y / V t n i b 0 / 9 i i m E l g p u 8 k U w Q b z r 8 I V V T N 1 i V L I N W y 0 v X n K m a y z B y E b f x V / W x C p R I d A Y Z J J 5 j 1 i + Z H L O V X z C S w 0 X X I Z S a 7 n u l f 7 p 1 G f c U o t V c n j r u y Q T H T z o d 7 V F x h m K 6 T M J N A j h c d j l Q s p t Z / + A / H k Y 5 P Q u q g T X d q T p y v 2 Q K b 2 4 K w p 2 8 O l c j y Y F + Z 9 k A Z 2 X 1 c I L s b s L P 8 / S V I 0 1 / z t E 3 T 1 v c j F J Z t H f n 7 H H O r k k T j J t O I n 6 G h C L X q z J d h x / c H t c j a 6 P 5 s 8 E L y v G q 8 7 C B b N T W o f m 7 u Z W w U B A b R G J 2 v M 5 R C w a R g z V e + p A q K S I 6 Y t + d m W F r b l B + V q b d T w 4 q 6 5 z h P R 5 U 2 k d W t R i m A O s c q 9 V c Q 6 E v Q b I s i 5 o 8 h F U + o I I f A Y I Z S p 9 4 e D q x / t B S + e h f M F O c b e + 1 q j s h 4 y W N E 0 9 k 5 w P n Q N a k L k J w g w 3 z a c X B 4 R P W 3 f J 2 x l H C s k 3 q d d N 5 N b i h l y I 4 E P Q S n z O c C 9 O / 9 K 0 r N n d q z 0 l Q y h w b V Z e t + e b P 6 X i C f k 5 R N 9 X f 9 Q X 2 W A I w g V b o C i a r z S F g J W I N 7 Y a X w t U 5 v h m f w d z B H y C x F / J 4 8 0 1 S U g l E N q g i U u 6 B j z 9 Y R + K M + m m 0 u x A M 0 q c n o 8 Z w 5 N 4 f 4 f z x f m E p e z V d S o N J B 3 b v 5 N f T 1 D y s f t a d 3 A J a v / / f X v h O d j i M 0 Y I E 5 3 c X 2 l M J s t c F Z T h O j n I 4 s n T f h P G c 5 B 1 0 5 r R l M x u e m H Q m M 0 K Z o q m Q q o j b I m j 6 U g b P K R l W v z T 1 Z L B 6 a V h O U V h r B m Z I T W c K e g y w V d E 5 Y O P B a 2 F w x h L U U J f q u E 4 M H B 9 G w U r P d 9 9 C v q f O J N O a 9 9 P F V v y E C 0 Q 4 4 r J W 8 P 4 W B D L 4 k N w p E M s t E q N x O N J u e s 2 X A 0 3 0 L E m W n Y 2 e y A o k D U 4 h O D O H w 6 u V 4 Y + N W W K y 0 v f 3 T a F 1 d g 1 t u v U 1 l 7 X d 0 9 m D P 3 o O Q n V Q G / N V o a j R h x 4 w b 9 Z V m h L q C c F D b S U B D 6 v D l L Q O g 6 R k e d a E / Q 2 Z l m y W K V + a o U C 9 T 0 g m n 3 a Z V h Z X o F t s r J m e x Y r f l 7 C e F n N 3 n h 6 n Z Z W N l A 7 I O q a N 7 A O 0 t 2 b p 2 O 3 Y f Z P u d G O g f R U 1 5 L f r C m 3 n v J v a L R l i b t 2 7 H X X f d C 7 v D h V 2 7 3 8 L D 9 H / O O f s s J U T + f P + D G B k d Z 3 / Y 1 b K c + / 7 8 F 7 V g 1 D z 6 B z j N N P f c l Z h 5 r B r V U 1 a Y y T D h L / 4 n B Y k D r 1 5 w M R o p 8 U w V t S i / 7 v 3 q P r l M o Z a s 2 0 q R t l d r L 2 c j E r 5 T 6 G N 6 4 e 6 4 F o 6 p e x G v + I h 2 s v i j 0 t Z M k k I 7 D P f A v X Q o f J T B f O 4 i 2 3 l O k j E E s n 1 p f Q 2 v m 0 j D K i a 0 z Y x Y w A 6 r F N z Q k d I F Z a W t G W 4 K a z e 1 r v D F 0 u X t e P C + h 1 B e V Y F Y n N b X Y j I l T D T b Z B + d c G p c r d h c C I W Z E 1 U U P R n P M d o H k S h q B t 8 A b y 0 b A Y t J W B R p N R c g 4 e 4 3 h 2 x Y S h 9 A V n Q m Q S l C n m k h w Z l i / d j 2 0 j h O e s f c V H t 1 f Z 0 p R 4 N m b f I z D y K j 0 s i E D 5 K n V x u n K o l o Z A R 4 L 7 y E A 5 X E n i f + g l C 0 G c f U 5 p t O M h 9 k J 1 O E q B m l Q M l i 4 D 9 s h a 2 F / l E u M 1 E z m p I B 2 v P V q r y Z z C W J 6 S o Z G f L c G T q 9 k h s p Z k a G f W q x 5 9 h / h M z L l c 9 q 9 i M j Q p N y / / 5 9 F H B m t W 3 Q s p V r s G Z 5 N Z I Z C o T D X W r v r o 9 9 5 E O z f a I y H X I n g x Y B m X d 6 4 7 5 z U G o b h K N 0 K Y Z u 1 L a 6 c a x e h a Z f f p 9 O f R V e o Y 8 q x 6 r v e w q l z e L H U a C R c W Z p Q 9 9 l v R C j h 5 / D x F s 3 4 l T K 5 d D S x 6 h d K T z E d M s N Z u X A N v I K U r 4 l S L u 1 t V a F w Y c 5 4 O 3 H R 4 K o L W m j / x S D r S x A L e v k s z T B T C a X S r z S J / J 6 e i u w d r k L P c M c o y M x l G w M n L F p N n S x R i Q j V o w M B N C 0 X N u + X j o 9 k 3 D A 5 q A G 6 G 4 A t b Y 6 b s 5 E y E 8 0 p 1 R n E T I 2 o k Z z z S 0 D q m P M S v U P R u t Q 7 0 v N p v q Y g 7 1 I S 1 a 6 j h j N u k P r d 2 d 9 K J m 4 E 7 M u B x J V a y z V 7 G S F Q s d V M g z M L h L 0 G J + 1 m h J L 9 s B 1 w T H x G k z v + g p C c O P w T + / G q n O 1 0 P c o f b I a m c / S I b P 0 J Y b Z l g N h i m L V y i R N S R j A O 5 p E 2 X I T e m m i N Z c E M b E / j c p j q c H 1 8 w Q S i J H y g d Y M f U 1 d 4 / S H t q H B f f L 8 Q Y 4 c y N x S f 6 Q 5 7 / l l Q + Y S f c l 2 H m i K g 2 a f I B A M w e t x Y z I x d 9 5 Q 5 m 2 k S t a R s O 7 u C 5 W 5 Z 2 P 7 a 9 q / h 6 n / u l u t l F t K E 9 q U k M 0 Q H O i 9 / D L S j B m r X n u R b k U I Z U u z W T E a S F N S i 1 0 C Z D n T K B s / f i E a t N k M t F x a P E W p O D J w d / 8 C f f X v 1 D / n I z c L q B C S g 2 i z 6 1 a N K J Y c d 0 U E / / j M A k E J A 8 J M M l c z H 0 d P j c X R 3 N y G x x 9 4 H c N d c T z x 4 E Z V O f Y 3 P / s T D v m 3 4 3 e / + y N N o G 7 8 9 v b 7 8 L P f / B n 7 D 3 b g u 9 + / E W / t P a A N Y B 5 k k M n f S s q Q M U n 0 l e 4 0 n f d s 3 p w p k Z 9 t 4 a D 2 W n q M m A g i 0 S j d c p l J v / 4 s s U s 0 T 8 7 L Y S Z J 6 t D y A a 0 c N D q X / D s y Q X O V P l O w 7 C y 8 d s z J 6 K H P s + / z 7 8 O m L d v x y K N P 5 D G T o D A 0 b m C 7 V j x o D i R N q Y k E X r q M H E G t V B a h d r K 6 U H W s C 4 l g g p I 9 e 0 E J x M j S l V z z r c m 5 o i g z p f R a G r n I W E r z h Q l R l J k E Z K Z g S P M 5 h J n m 1 0 h H J B s N / L m 4 v P a S p d j 3 3 / e o 6 r L G e i c x 2 T z 0 x V c / f q d i J g 1 z c x 3 l I m q X Q T K T k R T w 5 r v e A z e 9 D s e P g O u c 5 + K c b d / j B e c + e 3 G Y Z p n J G R 5 G y 8 j j 6 r 2 g e W y d U M e 8 M J h p b I x C W 5 h J 5 Y l q s F t S a K g g 8 8 + r o X J C p Y s x 9 a S u R O 7 + t B n a 9 1 X s S E F / 4 A 1 l Q j W b q 9 i R Q v B y S 7 6 U U 8 n f i H k l P Z + J s d X 5 G e k y + y + b V X v t a U W 4 9 r E N S N Z k t 3 U x E J j w w 1 d J 6 a r m 0 G g K s o P V g + m b m k n R D 9 E + C u K D U S r 6 2 c Y S w 6 / I N p 3 f p 2 A J d t J E W K H M l k P L j k G H w 4 F 3 7 N 1 N I t P P K Q C V 8 J z v N n Y 7 c E a b 1 M + Y H w d G r V h Z o w 2 M i a Z m h n 2 R k P k O C q U I t X K x n T C K I Z e Z L M X m 9 Y q g c z K E S u 8 4 v N Y 6 M q 1 O z B J M 0 u e S p D x B y p 2 f N S O w 0 f S R L I t o J A S n q 1 C j a O i 7 7 X Y k v / c D m H m p 2 A 9 X Y u g n S b U 8 X p J n + + m b N b l P 0 0 4 U 8 L m j K T v 9 w f Q C T K y D / v f W S 9 6 n 9 p Z 6 3 / 8 7 V h o D V F j x 4 9 M + g 3 N q 8 9 d d 5 U P 6 0 Y R I c D f C t v x J 3 V y 0 T L 6 M q c q P q R o o C y G Z T K n 5 P Q W V j K y Z 4 M V F T V J M s 2 y o 9 E j M J B B m s u j p S Q L z o G a r S m p T v e d k N H n o S D p 5 z O p D W m 4 u u V N C 4 K I t K E W j s k 9 4 D j N 1 T k j H Z u C i X 9 I 9 q W U 0 C 7 8 m J a V f T M I C d K 7 X t Z 2 1 B O O x S q S s U p e d 9 9 H T p G a Z S a B H o x Q z 5 U g Z g b v n 1 + i Y c C h m E k g G Q v y C K 7 D 8 3 V e R 4 A s i R s K Y J I b D E 5 Z Z Z p K Q v + T n 7 R + 1 H Z G Z B M J M 4 h 8 J h J k m o h 0 Y T z o R H Q q j z G 2 i c z 0 5 G 1 4 3 o m j R 1 N x h s 5 A B t d f i m E n g c h / E T L I v m 2 E u E G a S 5 4 o P o a y M U p i E X g j Z N k c s l v m Y S T D 4 5 7 + o B G O b v R E T f y i D B J Y N 0 S D M N B D Z S k H J 5 2 b / 2 8 Y 3 I d o f w n n 3 f 1 V p m 3 N F 4 8 y D z W S m W l 6 J 7 i x / y y u W U B A k L U d g J o E 2 Q A s x k 6 C 3 4 k K 4 4 k d O O T K Y K a 5 W h D u R D G n m y O z I y J 4 6 s 2 o z J y J y R O c t B 1 I 9 V G C L J O F a G d J + a y 3 X Z p O l O 3 W H 0 Z w T m J D S v Q J l 0 u k 5 h Y K l l d L 9 J K j E E N b U y Z I G a i F q F E k Z s f g P a S f N g s 4 h p b n g 8 K R V T S D K + W L u F K 7 J m g M V u d R g 6 7 0 L 4 d Y v Y l n B Z l p r / v g r L P / R j 7 F z N K C W g M v u 3 y o n T g i c z 7 a k M s v g 5 Z k O l Z + 3 q i Y b y j 8 S I p k Q L J P a F E C Z o 0 W Z u S X N b s i m 1 U + 9 s B 3 b d + z A T C C M W 3 9 3 B 6 x 2 J 9 7 c s R W 9 / Y P Y t n M 3 / K G I e k l f a a 8 s Z m v o 6 w V K C i G Z I t W m k 2 Y Z d R b y W d / 7 t 9 L d I r 2 r 3 h d C x r c Y f U g N P 2 9 3 j 2 p N y u l E b F z T c i u M z d X I k I 2 u U 8 j I Z A b 2 f 6 L m H J j T X n Q M a Y R c / G 4 U J L 2 9 6 j t J o h p / F 2 m m 1 I o T T F N Y / + 7 / 0 0 4 4 A j L K 5 M + H 8 p n 0 q R i B Z A B R F u r F c o 4 M u 7 7 c 3 u q h W Z q Y 1 k w + U + Q w M q 4 l v L C Y Q t m B i a a m E U r O V f n F I I E H J 6 W 1 j d o j P F 2 K d J U 2 m j J Z 5 j P R H s + p g C O z / u J H z E a 5 C j M F i k C i d O V u i a q I p R 1 R a 2 8 U d E d 6 / 2 s H s P K c F b M m w 6 D f g o a S u Z o s D z m O p W f g F k z U f V n N l 1 i L l k k W N W F W s + r 2 I n t M F Y V u W k p 4 N p m O o c a l R z s J I W J Z M T o a t K G B P s 5 U 1 0 s o b 7 8 I m 3 r s O L 1 F 6 7 t g t x 3 e t q w p N y + k W I k 8 i 5 4 v m Y t g c g J e 8 b + K B H + k 3 J t X d k g k R i J 7 Y M k c h y o y 8 w j 7 u n Y 2 I p r B R J z m L 9 W k V M E V 9 H V N o K l N l s N k C d F A h X 0 J X r v o M l Q c O A g b / a X 2 V 1 9 C 1 / / 7 G N u Y x s r 1 r + l n Z R F K j s J t r s Y F v 7 8 O B x x m L C v X w v j r r 5 n L J B v P P Q 9 N J P j h T / M D h 7 + J y r R 0 9 Q 1 w 1 V 6 i n T A P Z P t X q Z h 7 c P N r q G 5 b j o Q 7 O 5 l b Y V 9 a 9 D k c Q 3 9 F r F 4 P 4 y 8 S a p 2 W 1 A 9 Q z C R Q k o o X l 9 g / s V h m E k i j r I k 4 w v 3 L k K i I Y T K s Z S E k J G k z t 5 w U I b P + T o t G t C b J q D 4 C M w l k Z a R s A i C v m a R L b e q l I M R C M 2 n V u S u x 5 + X s c o n C f X / 6 Z y x q P 6 A 8 C D N R K 3 r J T K G m L / E Z M g h S C w r T y i s f 7 J t U e P H M J N A l v 6 w N q z W L E 5 t l c H 8 g R D s 8 j d g k J T k 1 9 t M b x 3 D g 4 G E c X x f G m 7 v 3 s O P G E Q 2 T S W g 1 m O j X x G M U H G J B i I m q W x L y T A r i / w g z 6 Z p I h I 8 B r 5 U + a 7 F I K m E w k + x + K B k D w k w C g 5 m k 8 o 8 w k y B j y U r s 5 v Z K J L X d B O Z A 5 i i T S Z k n M 8 O 8 f B n s b W 1 Y 8 c L z W P l a T s Z D D j z W G l r N K Q Q D 0 / j l i i v w r u o V W H f 1 j / V v s 9 j 1 S T I l m U m G J c 3 H N U o z H 4 m Z B L J o M x l P o G R l B e K u q V l m S v K + 8 / l s w k z m M G k z J y v 9 S J A E c n P R W n G O O j q c 8 9 d O M H D P 7 5 6 m R i q F D 1 Z U m D y Y M Z G 4 r W Q q N t 5 h c W A q V E s p b F U p R Y Y f Y E A y G t S a J j 2 j u h h M i W z q i J F V I B 0 q v o 8 1 Q R N V g R 3 i p N r m u a m Z 7 J y F m E 1 S R c m A l M 3 N W a Y 1 C + f I E w g 2 f k m 9 l 0 0 M V d Y A L y m v n Q M F h C g T j t T C k l R 6 t J B d A 2 U + T y E Z g M + V g t N h R W V 9 C 7 w T v 8 K p F 5 y P l S u W w M V j J 3 D g x b e 0 C o G T G S R r f j h c T o t B M 5 G C J H 6 Z r Z d I Y R 7 E T M s k 5 s y 3 S R W p X I g / K t L U W I s l R V S q n P k F S j J k z j A Z y k C i w H 8 U p 1 x g 1 P v L x c o b P o + K P / 8 c y 1 / U a p O b x K + b h 3 A F l / 7 + q 2 L r 4 h z T B l z n m e R Y 6 4 J C I J P Y 5 J x g R 6 8 K a g x + j g K K Z C b u e v 2 F W h G d I 0 E K 5 Y h p K p P p u Y h G p O o V h V p c K m z l 9 5 E g 7 S Z t 0 s V w D D + l H z k y V K a E / n 4 W U j L J f 4 Q U F + H s Y 1 e c j F f X v c H O d u L 3 d / 4 N n Y c G a d 5 M Y s v 6 3 Z g e C e L 4 1 S 0 c / z A q X e W Y C G t m n k i V 7 i m L m s 3 3 2 D k o i Q n l e B v z H 7 k w q a T V U l V 6 e C Z S p 0 z F C p p 9 A u f E c 4 i X Z Q v X i 5 Y z 2 Y Y o d c l E Q v A m 2 Z G R 1 9 c d b g k / y 5 y Q Z G P L r v C S W G s f W 4 9 Y 3 d U 8 R 5 0 y B 3 U 0 G Y U J J y L D G A u N U O u Z 4 U 8 O 8 b c z c B R E I x c F Z X q Z 0 B / e h R J n u z o k g s Y z s x 6 + B k 3 S y q J E t 6 M N M 4 d D K G v P a m 7 J 2 5 P 5 L g n S 2 M 1 u N V M v k P V X M q 9 l Z I M U m 9 i U Z R u m W J / q y 4 m J S X j c L v R M 2 d B k L J k n j G U N m c Q w J l P D N K r z f Y j C 3 S s l C K U C U U W 0 n 7 W 9 C d a m W m 2 N 1 Q K M J B B X o W F q L 7 5 S t V t l U D S c 8 X v 9 G x 2 p E N Z f e K U K a v h P I 7 m Q q 8 p J K q 6 6 i + C u y d / F M h f C Q K J h 5 Z X Q f X N P g k 8 l p b p 0 2 C m 8 Y u k p e B 1 V a l G s t M V S w H S C l H c 5 v G O 3 I + 6 Z W 4 O y E H P C 5 m L T R u f M D 8 2 F P Z V A P K d x A g k M 2 C x U r w W D W i n L 4 a O D 8 F 4 m M 3 E m v L 5 8 O Y 7 / / e 0 U b 8 a s e D 4 0 S c 4 H d D S j N / g G 6 t w n Y d e g D 6 c 0 Z f 0 J 3 / h v 0 O / 9 o k r f m Q p G s L Z J G 9 g d D w 3 g x P f K 3 H s O K C A 8 / b 9 F J p Z G v O o 8 J E u P Z y d T 0 p M Q y 6 2 j b M P C 2 c n j H B y S J L V j t q u s d I 1 L H R p T F E N u O H w W 8 1 T m 8 X b + G D N N / 0 E 7 3 4 o o B z g 1 6 Y a 3 x o V A l w O + n J 0 d F s L B c S t W 5 A Z T R L v r U w Y C C a u b 6 U A L g c t S j p m Y L a 9 a j 2 A 6 3 g W K E P X e R t M y k R O w W R y k f 7 R + o s h S R 8 T p n 4 n 3 o V S l i c 3 F 1 v s v g O e Y T 8 I 3 e i f M 9 j K 0 r f o C 4 j W 6 G Z f 0 I 3 J w C 3 Z 8 8 f u o J 2 0 N / S v N T S 2 i j + Y j T O a m 0 n G V T b 9 Y V L C d U l b M Y p S T K w Y y n H P g A U S b P q h / F G s m n w H z P o n z L M w 0 M S l S 3 o N N b 3 Z g Z j y B m a k 0 w i F h E t 4 s b U M i 5 s S Q X j h 9 b C y J q e k 0 7 X 0 n o l N l m P R b E I 8 6 9 P M N U J q N a 5 0 t C B 0 6 h E y Q J l s R Z h L I R J 4 w k w Q c W r x n I h J 3 5 T G T I B W 1 q z m a F s + o Y i a Z 8 H V 3 3 4 q T z t y P y N A h + m a T s E y 9 p c 4 d D N g Q a v 4 S w u 0 f x 6 Y g x R w Z X k x A l a p D 0 8 p Y 6 f r q Y Z p U O s Q s E m 0 6 E u l S r S 6 M d C V J e C I F p 3 L q L O R i D j P J 7 w u Y y a h 8 F G r 9 o k q + N Z l J z j N O u M q 1 9 g g z T X d n T S r R 0 P O h r T z / f h n 6 J g M D W i F H Y S Y J q R v a Q h I 5 C 5 l p m M 9 p M J M g l U 8 a i 4 R 2 f Y O Z 3 O Z a 7 N 6 7 n 4 K n R f m M c W V W 8 V u x E P h K 0 3 w O T R + G c / C P y h J o O O 9 h J E p O p C b W n u W V P 7 8 b 1 Q e v w w V f O 4 y B z y i 3 T I 3 L k Z h J k M j o K w k W g G g k A x K A W 5 C Z B G y z M J O J V p h z 6 K E 5 z C Q w b T 8 0 m Z E K Q G I O a S F Q r T s k 2 1 Z q x a m H Z + d K 9 S G 5 v 7 i F a R K k K c N j N K n k O / W U 6 g + d M h M 1 S 1 q + y 5 o M l b J n a 7 o c o 3 o h R C O 1 9 s x X j t A x s c N I 2 5 f Q 1 r e g v i B i 5 x h 6 i o 7 j l X A N 3 o N o 1 d X 0 x b L + 0 5 u P D G H t t f V k q g E e z 9 d W x n y W g p G C l N O P k q Z k t 3 d x 8 B Y R X d P h T k b h 8 m S X j x w c o 7 a o J s u R S G T F r N S z m A + h K M 8 Z Y O c 5 Z u C p c W p c T M z O J / H j d E 8 E Z W 0 L z 5 / I M n k p A u O w O / I m J a U s Q D h K k 4 f X 8 T k C b I w W D h d k U g F M 0 4 Q 1 l i w k 0 j G a d l m h 8 o + i 2 r U S D z / 6 O C o q K n H i C c f j h R d e w s q V K 9 T + X v K Y 3 u F v o s I 1 D l d J I z z l q 9 B 4 9 h 3 q d 9 7 u m z H W c D 3 2 X H U h K u h e S W x M 1 i 4 0 c q i s r j o 0 n / 8 X d V 4 x S H 0 I Y 1 7 N C O l L U E L t h R w b Y x 9 o K s 4 / F U F J e X 6 f L p R 2 N B 9 c Y w 8 i 5 j o d 7 q m H k K A v O m v y B Z K D i I s D q M O Z i i N q 0 Q Y m S Q 3 x 6 r a N 8 H m 8 m A n 5 s b x 1 p a q z N j o 1 Q W c u h v N P P g 7 2 4 a V I N B a f s 5 K A W 6 m T q v 8 H P 0 L k O a m j T d u f L 5 m 3 O m v d S / C e r y 3 i e 4 E i 6 I y X j T Q U Q g + n j 1 E y K 2 n O 6 6 h F c l T n v s F b E G j 6 q g p u S P i d l 5 q F S J 4 D b 3 R g 9 Q l x Z P T C I q n E K B L m C j g t V r U + S v I D Z 7 M C i g g m Y z B y E Y z R F H M U l 3 x O S h S P Y 4 n O s O Q k C q O 9 w z Y c U z X B 9 / x c p N a B b O V Z O h 1 B a b v B P B R b c R J E k c n Z 6 c 4 Y X D U m O H x z v x M T T r R O L o r m E a o I Y Y x / Z j A J K U Y j m k I N v 4 J f d l 4 n S t l W Y 0 5 x I U h g I x S I w l f q V q 6 C R O x y s R C B B i c P Y O t v L 0 X j S V o 2 j V E y L E r / 1 x M c x P p 3 f h 7 G l t + H P g 0 0 6 c a M U f h y M S g 2 h k I b M r U z N h V D u b 5 s 3 Y C o j m L V u o 4 G S j R N 0 X b O Z S a B w U y C E v M U L j p z L U 4 9 f i k u O f N E t D a 4 s b S 1 A m e e s A J X s U M y / R X z M p N A o t V i G p X 9 N 3 t G d / r U 7 A 8 f b u f H t R 0 G B V L 0 c O y Z Z / V P h B 5 O 7 x y 3 Y E X 6 D a x J 3 Q X n 8 F 9 5 D T u m f V p B R T e d d N E C u R C t m o h S o 1 J C G r C Q c d I 0 V + X c a o + u 7 f Q U m 0 J M x Y 0 I Y j 6 K M V M s o c 2 H R d U 8 l a H 9 + I x 0 1 o + p 5 w f R g C R Q E 6 V j L i S Q o E 5 N Z v t Z A g w q I l Y E J U s c i p k m D l D I F K B Y j T q D m W R O a R b i E 5 k 9 i p n U x x x m k l U C J Y 5 a 9 R K C y 0 V 4 b B + a u v 8 f b A U Z B H J f Y S a F x N y p j 2 L V h Q 2 8 + f D H U B X w o O S n w L L z n 9 A O x s c p 8 E o x c v / P 1 T i J j X P o I 6 Q L / p X P S 6 7 I E b Z v E 0 I b S b O V F s / c P h O z P r f N u S b h Y m E W L j Y K o R s w V i o a C F u L Z x t 4 k h E E x + p h b p 1 b m q k Q 5 c 4 l K v y 7 7 P Y 0 2 v 6 n E 9 P / m k A 8 P I 5 Q 5 y F 0 s u G d I j 0 l b + 5 H 2 l 6 r C q L r q Y 3 W V m 5 C t O J U b M 1 8 H G P l / 6 I 0 l z e 0 n k + s m W V J f S F h L o 6 7 a B V N P 7 1 d e i k x Y T 6 Z i z J C 8 I K A R L X o O 0 o / G C 8 x d R c L h y 1 b p 8 H Y C 7 Y Y M o 4 c f 5 H 9 K x H P Z q l a p D O p Z N O 3 V 9 J z 0 R 9 F G C 4 X x v H K l V 7 4 u / K D Q U I k A t k a s x D Z C V o N U / H C L B M N E k i S c I I 7 F U O c B J e L r n U 3 o m e Y 3 R 7 N h t E L 4 X F l 1 z A Z U E V K i y A y 0 4 P o 4 C C q 3 q h T y t v k 0 T W F B I d i g 9 h 3 9 0 Y 0 8 J F k F G T O q a o 8 S l l A h h X T V M z 0 R U C i e w s h K i l I o W L W R p a J z N H 5 B c J 8 M J d Y a + G 1 1 C I + E O P A W G A N u G C O V 3 O c S 9 H 1 0 j a U W Z u Q H r T B 0 t O K d L c X 6 Q k 7 r H 3 L V U Q v x Y E 0 1 U / D F p 1 C 6 + g j c A W M 3 Q w y q B 1 9 G U 3 D T 8 D M A a p S N W 6 0 Q e o Y o K l j q S L R W u A + 2 8 4 u t 0 J 0 W 4 a f l 0 i K E q X o 6 + d d o D G 5 t Y p 9 a I O H 2 l M 2 3 p K 1 S D 7 J l J Y Q e T L G c z V p 7 r T l E A 2 Z L B m b 4 t 8 Y f t d L T U Y z 7 d / / k A 3 J C 1 O 9 m r P J c C Y 1 z d Y e v S Q y M O r P R g g n q N k M C S e M O a 0 z 8 h y o V C w N H p 3 P 8 h Y a E s J w 8 6 G k L V / g G W h t y c 7 p 5 U t X C p L w H r a P w q K Y f a t D Y n M y p o V w s 7 v 8 p L 1 0 S b E 1 Z w u h + L 2 2 / O 1 D q O i r V O x W + / w z Z K K c 1 C h H A 0 7 6 5 D u Q K K v A K J 9 h 9 Z 0 0 Q R 9 0 Y P m 5 v 9 S + F 4 2 v w x C A 0 5 H 9 y C Q m Z j / L K 1 w k z W g O P G 6 4 q B Q E k n I k J m q u y T d b o U t o k b 6 Z g m S l 6 N Z I M Z j 9 y R E E U y O w N 8 r G a C k k f R F E 7 d N I j H n Q e v y 5 d F r 7 Y W 5 I I N X a A 3 N b E O b K O M Z c O + l 4 L 6 F Z q B F m 1 F a J j o r 3 I e I z Q q M m j N R c i P 6 6 q 1 H u a I G Z / p Z n 5 H a 4 + v + C p u N v 4 v 1 K 1 e p V / y o P G j s P K M n Y S V G V Y W O X J n m P d B A D t 9 3 E h 0 j S V C P T V M h 8 Q z 6 B q Q T b W e Q M H J n M 6 i j n X w f + / Q N V G B 6 b w Q f P y H e 0 z 8 v f Z P g f Q k 1 J V m K K C S U L F g 9 P a c v / U w V z O Q a k b L J A N k O 2 O L T n k D L C 2 m A V h x G J V O B b / 8 D 8 M / i i 3 W Q v 4 X B E m O i Q y n Y I F i k D X Q g T x 6 C 6 9 9 P K v D O Q m J h G 3 a / I 8 D / S D + g w / K 1 i S M S L a y b B 4 I G H k R r q Q 8 V b J c o S M D n Y r o J a H p 5 P / x T J j 1 2 g / L g 4 a b f x j m e y 2 T w 6 Z C 8 w A y l q 1 M n 0 3 F q A i 0 F E a q i n o i i 1 F Q / r K 5 D Z V K k 6 g Q r a k G p m a 1 j y v m r y W Z i u Y D 2 U C L X 0 J A e Y R 9 O t g z B X F V O J G m m v r M 8 u P L N Y 0 r B Z k 3 z I 7 O V k c F S 9 N 4 s P K e 8 S h G o / i 0 j j h 5 C s O B n 1 8 e v h u Z F m 2 V 8 s G F 2 + E v b O L m T o V I f Z e 7 K H k I W / 6 b 2 f k o v a S u 0 X R a f b E L j G 3 2 j T d f A O a H X H 5 8 O K + h R W V w / A e l h L p S q G R J H Q 5 z + K U r c 2 j z e f U y 4 1 y N P J D E K D 4 d n Z e 1 V G 2 I i w c X B y s 0 Q E E n z J R U m j C z P d W X N T F f y U x Z X x A a T S + 9 D r n 4 J F 7 K l 5 t E Q u P H p 6 j f + V L T h I q 7 F 7 q h k O 3 e z v / N + b I G x u / s J H e K X s t c T X U s i X c w o 2 C W v y u G x v J N H H X O x 5 6 j v w v d q q a o I 0 v 1 o 8 H U l g 3 f A 6 5 A 5 x m w O m I n t m y a Z o x S C 5 o 8 n c + o R H g K R Q R S x O x C L F T e F Z F N a q N I J M N g p v y a A R p i M t z V K T P c w O T P J A x Z E b U 6 q H G w t 9 D Y t E t w g r z T y b u R R e f a X v L G Q 8 + H J e c x X g c q q x E N k U X 7 a U D D + G Q X a c H B P D R b T l + v M v p J T S f m O 8 V A U j / X 2 w 6 d / h H a b 4 z P m + e 2 B U W y Y v P + R / G W c b W k 6 y q U h Y 7 n n q R W 1 S W D L q H 0 O W u t R 0 w j y Y 6 o i R o e I o a Z 3 r y C u Y L V B V p 6 T 9 s s R B 9 p j K i F n E M c p p v 9 T q m z w Y R W Q 6 R h + t H r 2 h a k w g g j B 9 y h J r g F p p 4 V C 7 w E 4 f N U J G F i t h 4 L d / Q v J R j t / K / 0 B M N 0 u X / N d n k V p C B n v 3 Z T x D x r e A g 9 g O 2 b 5 I X m 4 S s h B 0 u c l N Y d J O M 0 r b p d / A w D 1 / g o c S v U R y E H 1 a 1 s h 8 W P n z v 2 D J M w + h P j d I l Q P V v 9 K U g p d M R s t S d b N k x I j 0 L f g + 9 y W 1 J G o 8 y 5 T g c 8 p y J d E 2 x b C A 5 V A I U + f Q 6 x l z f z P S T Y b / s z i M B 0 R l m 1 D p 8 V O j S A s 1 S I e W u L I V f x b C s F 7 z T r w O C 5 k g I e q f M J S 7 H H e 3 t u K k e + 9 S n 3 s H R v D q K + v U j v P r 1 r 2 C z Z u 3 Y O X K l W i s T G P n / g l V C 7 y u t g 6 n n n Y K Z m Y C O L B / L 6 w 2 G 0 a i J 8 L n s c D l c + O y k y 2 z 8 0 S i C S b i R l X Q o 8 P m l z t x 6 t l r k a R W l W p H 5 Z U + J C h I J D h q M / k Q T 0 T g s H r g 8 5 a p S k I y R 2 S 1 2 j A 4 M I 5 1 r 7 6 I q 6 9 5 t 0 o j O h q o y B e Z R f y t T H K a C l z L l D c w H u l E Z q C S F J 7 E m N e K 2 t K s O Z q g Q L H l h N Z F 2 0 S H Q n B 6 S h A O + Z E M h z H 1 2 3 t g 3 3 8 A r l / 8 g M K W Z m M 8 Q b r L o P r Y N p V 5 Y E A 0 X 6 q I I B K m l I w D e V c M + 7 / z P W R e e Q n m s A k r N x 0 5 / G 3 p v B e p p R / V P + V D 5 p v m 9 V G L Q D H 8 7 P I g E 4 K 6 x i m x t t K 6 y g 3 y y J j k t F 9 M O d E + C 0 D 2 1 z J K 0 J n i e 7 + X i U V t G K 2 f m x e V S l t g M e f b w 0 N 9 0 6 h v z h / I X F T w N y b X / C k 5 h T C Y S g z I q o 5 O j C x d C k 8 0 g j q X 9 s B C 7 m e / / A K 2 D b p w W l t G L d G W F B F Z 4 C X L 1 F X I m A + d 9 u 9 H 0 N S C q i u u h p W a s u e B + 5 F O e F H d k M K T 2 7 2 Y C S d R W z 6 N a 8 9 L 4 5 m d r T h n C a U O i W T i K N J T D M y M J e G y l 6 m q P g 2 N d e j r H V S b Z b / j q k v h K z f j 7 j s e x W c + / R m 1 w f d 5 F 5 y H 0 p J S t D Q 3 I j G d w Y 5 D O 9 S W q N d e d i J 6 I 0 1 q 7 Z Q U o R H s H 7 V g V U 1 K Z Z E b i a 9 v D t h Q a + 2 n o M i m E W W h D 3 6 M d p q j S T n j B l K j T l h q N G t j f C Q A s 8 8 K F x n K x T 7 T k I H T V o p E M g y 7 z a e q V M n e W C k K R L s s j Y l H q Q 9 L q K 4 C i C U C 1 J R H Z n 6 f a Q k 1 k h v J Z I x K l n R A T Z t U O / 6 T o D l O M m 8 1 + P U b Y F 7 S h v p / / S w e / O v D + O A H 3 6 / I V 7 a a F e T e x 9 N 7 M 0 I t s r d u c a j n P X K z F o Q z U w e P q 4 i l k A z w 2 a l F j x J K Q 0 l d 5 0 x e N a L 5 U b j U v R B H P d v M T h 6 6 4 G L 1 9 h A 7 p 6 S 7 C 4 H 2 d r S x Y y U c L D N C 0 m e + + 1 7 D C c 3 s d B 6 T M s + y n 6 1 A z p F B M M / s R 7 p 0 F T x k U D M J 1 h 8 I 4 8 1 L L s Q J 9 9 2 j z t v 6 0 E F c e H k Q J k r i R z 5 y E y 5 6 7 h F 1 f D J 2 i N e f / 3 n e L n L 7 w d 8 X h r e R Z k j O f J E k 2 M p + V c U w G g R q 5 r E G 5 w W l 7 0 x y n K Z u T P l E I U r g l N 8 G S 4 n W T / 0 9 k x Q u P r g o i J w c 7 7 C x n q w A L m r Z i B 5 s W i x c N I m s j j Y K M g 8 e f + I p h I I h V F d V 4 s C h D r z 7 2 m u w c d M W f O D 9 s r Y o h f 1 7 9 6 O K V k R F W Q n 6 B 4 f g 9 / v p v 0 T U L v 6 V l Z J R k c 0 4 y a 0 M X A g J S i g / a h 6 G m o x o / n 9 F k X B + L m I B J x q q 5 1 / x Y F Q V P i L E 5 6 S Z r B h K P l s T Y S R t C 9 9 c Z s U 9 e v l S m 8 m L 5 5 9 8 A 5 d d f T o l Y A Q v v / g q P v W R 9 8 B k q y C P 5 G u 1 I y F w 5 9 1 8 3 a X m H U R f x M Y n Y O O A G H p O m C r c e R g X 9 P T i Q W q e a 6 5 5 J / r 7 B / D S S y / h 2 G O P 5 f t + f P T D H 8 R 4 2 I 6 O O x / B e T / 4 N 3 E H s b 6 1 B W e / o e 0 O O N o 9 C t f j f 0 X w k U f Q Q V P m 3 N f W q e P a Z J 4 W Y B E z 6 B 8 J o e f C Y K i p A w m U r 8 y a F P 6 o l h l u o r 2 e o U M 7 O O Z H f Z V P C Y Z C F O 4 I L y 0 r x v o i U D J k J n 9 q k q Y Y t Z D O F O J H J E M 2 a q f F j 4 e U I 5 Z r G P C R q A M k a o m E i f N e D E c S o u K / S p Z 7 Z U U F g t 1 W l C 5 b q I + z T y l Z J y X j v 0 W w + v P q c y H m 0 1 D + W B T x p A W y 1 Y 8 j z 5 y b i 5 m p M J b U H 4 + f 3 3 w L P v S h D 2 L f f m 2 / M X E f h o d H 0 N j Y g J 6 e H r z 7 X c W q J I l P S U J L k O n 0 c m e z D N X U / w j 6 m 6 5 V B x e D + 3 7 / P C 4 4 / 3 w M D P S i q 6 s P l 1 1 2 G W p q q u n j v I q r r 9 J y 9 o 4 G g 9 R S k i k h J p 6 N E i t G k 0 8 a 1 k J G I s V A V m d 5 L n s X H N + 7 H a e 1 y J y Z m e b n C M K j Y f j 7 M / B W W + H 3 x T C d a k P D Z y 6 G u 7 + T v y H x n n w S T n 9 c 0 0 Y z 4 z O Y f s + 1 i C Q y W P 7 y M 7 B Y a V N b y x F L z y A S J 8 M 5 6 x C e o c k 1 M I R I K I x t 2 3 f i u o 9 f j n 0 7 h z A 4 N E w z 0 4 q T e T 3 Z q P v O O + / B v / z L + 7 F z 5 5 s 4 / v j j E K M P K L l q x x + / B n X 1 1 V j W v g w D Q w k 0 1 l v R R 9 + v r K o + v w 6 6 z G v o O W e y w Z r s C T U f h v x m 1 J e k 1 e J H K V Y 5 H U q h j D 6 h I C M T n d R O E 5 T Y u Z k P B l K T d l j K 4 7 C E M 0 h K M G q B Q M C R Y K G g N A o + G q i U L H J Z y r 5 I T B 4 K o G J 5 v i k l p m A 4 F I H X N 1 c b R U M B + n n z m 1 6 y E i D J d t m O 4 O f M B 0 n Y r S / R i 6 6 S p k Q Z S B + Z 4 3 1 I m y n o 7 O V I J F K w G l V T 5 4 P M p d G P m m U o w c B U D U 6 L 3 4 W B 2 i v 1 I 1 m 4 g 7 0 o i 3 d g s E L b C 3 X 7 6 z 2 8 i Q U n n 7 4 S L z 6 9 D e 9 5 z z W K 8 B d j a 3 e M W 1 X d B i k S K V n f x h j 3 6 / 6 U a K R K + l O j y 5 b C G o 2 h n h p I 3 G t 5 1 f 1 m P S q W 0 M d Y V Q u z 1 a y q d w p k M z X P 6 M t I 1 J 1 L d d a P 7 u X n Q t z o 3 t J S X L J v N 0 J k k D e e 2 o F j D 7 0 G / 9 P P Y C U 1 1 F j 0 I K o t d O L 1 0 m P S k a H U G K J i j u U 8 h 3 S 0 f L b S L E 7 H I t Q s 2 u C Z q e I l G m l k m q T S N p 6 T 5 A B T 1 9 F 1 K L U 2 I 8 Z / P m 8 R + y 3 H 2 Z U k W q n 5 5 g / 4 + Z f m W D S O 5 U s X 9 k N n Z v w Y 7 d y J 5 p X H w e k r Q T Q W Q A T T C B 6 e V p V d g 9 P j K F u t + V 2 2 v h W I 2 n t h j z U i X r s X F j 3 4 U 4 i F t J D A Q Q I z J 8 Z m z / G a 6 m C 3 u y i 2 3 h 4 x S z T W m d M W W Y Z f 6 8 p u 6 i b b x W S s Z X A O P 4 R o U z Z F z U C E A / y x R 7 6 D v i U p / G r J e 9 B k r 1 D L c j z 2 + e f o C i H D X O W a q 2 F 7 A 2 9 w L N 1 o 8 G h 7 M S 8 W e Q w l U T v Z u K u x 7 3 E K H Q v M T g s y 0 0 H 0 t b x X L d e 2 S s 4 O W 1 A x 9 i b u f p l O a y K h 7 F 7 J J r 7 s 0 k u p 2 h O z v s 1 C k M p A 2 f r l G i R S k i a H D + h M J Z q q g k w 1 R q a q o u p 1 z g R w 0 C I m G X D y / g G 1 + C 9 M f 8 j t N s x U + S Y r f T u v u A r Y t R s R m w 2 T 7 W 0 4 b 9 2 L 2 P 3 I J I 6 7 t s A e l k m 5 n N K / / s Q g v L Z a M g W f L x V E N J 2 t A 1 j 5 w G N w 3 f E 3 v F R V g R X 3 z z 8 H F h n x w V k d U A M V Z X d I V a R j 6 u Y 3 u 4 6 2 6 q s g F t q F I E 2 x Z D I 5 W 4 F H k P W B p C + y Q k G Q i L E N E y W w 1 Y W U p Z I L C Z / H F + l H G 3 A l y Y A q L c 1 M s y 9 / 4 r U Y p j r D K F + 6 s F s h b c 4 k p U 6 h T 5 m K Y d l Z P r I L y e q z N M F D Y S V l E A y F k a J G + d v h D b i 4 q W F 2 9 I W p b B R s x e C P e O F 1 y t y Y 0 L r W 5 5 W y 4 n s O 8 u l p s c h j q P k g q x m l Z K + B X H / L s J 8 1 K X 5 k o t g 5 a M M J D X O Z z h T u R s b d h g y l V t 8 l V y i t J U w V H B y h A q l C e 5 + W s L q f r b W 1 L M H l m 9 Z h a n o a 5 V L q i v B 2 / R j B 9 q + r 9 w Y O X 3 A J b K k k D v N i 5 7 3 0 P L Y / t x s n X 3 m i / q 0 O E t J k o g / 7 h 5 b g j F a p r l T c 5 p Y 5 m N T h D o x 9 9 G M 4 Z L H h 1 H W P I k Z N J h k J u b D 2 L k W y R f P J k k k r X N Y 2 2 v F h S j s b g o k h J P U Z f s n 0 r n C 0 c v B p 3 q b 9 K q x e N s 8 i v E J E I 3 s R y i H + w b 4 p N D T P b z L O g Y x 4 D x 3 x N i 3 3 T w r h x 3 K S o R d C M m W l Z Z L k b 6 h 7 C 4 I X F Y 5 2 k u D 8 2 m r 6 I J 9 x R Q E n G 0 j H O P b d M O k J z c M j o 6 i r z U l e p i + H e Q I U I a m / k V q 4 1 F 0 s M I T p j f + N k 1 f Q E m r V A l W C W N I O n 6 1 1 1 h y X F d S 5 u Z 5 H A 1 E K i 2 K o s W E / q u v y l 6 i 3 j D + B y c p r 4 H A e W T I d L Q L 3 P 4 D J X 9 + K / k A S a a + Z d j u f k E z R S I 0 l j u o h M t t l h / b D 5 q a 5 o d u L 5 i B t X m 8 + Q S q 6 y Z n r K r n + F p z y 7 u J 7 S E k w I j c T Y D 7 0 8 X p J E n / 7 q + t U m 4 x Q d b q 7 B s 6 6 P s S d x c 0 p S d W R 7 A K p s T E d r k S 5 Z 0 I R p i C e t M F u p b Z f R I Q 0 G N 5 b l P i H B y Z R 1 7 i I a F Q O T H 0 N y N Q P k I I W f u 4 8 U 5 C d a q P / l 8 j J R 8 y F x W S l Y D A W X u Q i o 6 V a z V l T M h d i X h v j m s i E F J O W 9 t y K 4 a Y P 0 b S f m 2 2 v s A A V R 7 v 7 c e h v / 4 u S 1 U A 1 5 e 8 H f W f Q P 3 L j i T U f V 9 8 X 1 1 D s n 9 z i q E d A m u N r 5 v g W 5 U U p G T U 9 k U 0 7 M t K Y D D z + w E Y M V l 6 J 0 v B u m C i h Z R G Z 7 L g g n S C v T P H L 5 m G + S G D H x h 5 0 e k + i y r e g u d S G N P 2 0 q s 7 D q r 8 m K q V 0 l W a t P L N s F Q I x b X C 8 5 5 w L 9 5 X / D w l q L A O D w 6 O K P T w 3 3 a L 3 N Q d 0 v H g W y B s b t 2 B 0 b A K T U z M I B M O Y n J 5 R Q Y h w R K J F W a 3 r + M 2 t K j t v h u d I T T y L l E i O W 5 H p o W / R N j o v M 2 m Q 1 m Q Q j r v 4 u 9 g s M 6 X T Z s V M g v m W j c x C t F k B M 0 V S W k Z 9 L j M V y / K W 6 Y 5 C Z J o H h Q O Q 7 M / 6 e K I 5 p 0 J l a u 2 X A W E m Y w W C R A G F m R y m u T V A B K K x c + f D D E x 1 R B Z g p v y 2 G c w k M M O G m X g / R n 0 n z c 9 M R 0 D X N 3 6 O i m f p 0 2 6 k Q J Q U v M G Z O U t R i i F v N 8 w F k O S 4 9 E a D 6 J 7 p z F J + r h M u 9 d f K K r U O l V 3 Z a p u y n W d P 1 S I Y D K J j X x R 7 Z 0 5 C / 7 6 n s W b N c b j 5 5 l 9 h 6 / Z d e O j h x 3 D 3 3 f f q Z x d H K D 6 u 1 m C l 1 J 4 7 G j q 2 d K B 3 d x + W n d G K E 6 5 e j h b 6 P N I i k X X j 9 K P K y F S R 8 n J K F r O W S c E + f + O U 4 + U d h m l z S 2 L O 5 m v e r T 4 L 6 u t q q A 1 M q D p t j R r k F v 5 g 5 J Z / V 8 8 p f o c B y a V r b m 6 i L 1 i F b d u 2 o 5 P 3 2 b 5 9 B 9 a 9 8 h r K y i r w 8 s v Z G X 3 b I 4 9 i S S C I g c 9 + G j O T 0 7 j 3 z 3 + H x U k h 0 p p f b z 0 X Y i p q i a Q Z R a g l r i A 8 O e u q Y t R O B i S V S 4 h R C E g w l r u W i Z h I D C C W y G d a l w R V c i C R 0 k Q 6 P M c U l Z J Z R c F + t D Q G k Y p o x C 6 R w n L P 9 O z a L y O 9 z M q / H p p d R p Q v J p s X L I g C B p a K T U W Q U X 2 T Z a B C G E V g o t 5 G t E w 9 q d 5 L m w K L 2 E z N w K q 7 b 0 L 5 J 9 6 H 7 u a U 8 s P + 7 N m H h 1 Z k E 4 D n x / z t y o X U G z F g e n X j k 5 n G V s 3 + H p 6 p Q F 1 p f t p 7 O B i H 2 5 u V i g n a 0 A 2 + p W S 0 n A G i 1 P I N 3 Y J Y v I F m V y t S f H i V 7 F m k Q V J q 2 I C h a n e 9 8 B a O v 2 Q N b d B h Z B x 1 8 O p m 2 q b j j 4 d n l 2 z + p U X + 4 i H 6 I h 4 3 G s T 0 4 2 d J Z z z 9 j 3 f A s e 4 V R D d s Q C f 9 O E t J C V Y / + C h k 3 7 e h G b b V 3 k n G r U T H l e / E 3 k A E 1 + 6 g m M q B h G v d n r k 5 b 0 P D I 2 T K W h X S t d q s u P 3 2 P + K z n / 0 U I i E y y N Q U n n j u C b z v v e 9 F e U W J 8 u X i l p w l C A W I J w P U Q n N D v 5 L C k 6 Q 5 U y z c r c F E M 1 B b Q j A R Y r 8 t o m a K P R m j 0 n Q g m B y G y 1 x F b W h V 9 R W C k 2 S U g h W q u U h H S R a y 8 r l g G c n b R 7 b t g k C n B b 6 l 8 z D 1 E Z C r 8 d r G H 8 X u k t P V e 6 m x 7 s x N v z p C 0 / e / 4 1 M o / 1 I C V R f c B I s 7 6 5 / N Z / I J 1 D a x e R O 7 7 K P k N L W X 1 D s 0 h K H c m L Q e G y R z l W R X t R Y y k 0 C Y K d d c q K X 6 z 2 M m g c m C Q M O / I 9 7 2 A S S r T i c z y c y z z k w 5 m q 8 Y t j y 0 X z G T Q J g p F z N k p t Y X n l X N l W 6 z k Z n k e o N L l 6 i r S y r c x k 9 + B u U / / p H K L R N t F h y f g D e l a Y z 6 0 i Q y r l a Y v V 6 4 r n 0 3 T r 3 y X H U 8 F 7 P M V L D T n T C T Q M q O R W I i 2 d I 4 3 N G L K f 8 Y X t u 4 H u e c f Q 5 2 7 N i O g D + M + / / y V 3 X u f C j G T A I r b e l c Z h q a 0 u 4 p R S c 1 U K v F O j E W o Q e 4 2 A J E e j Z G 1 G 9 G J D 2 u t J W F Z t N 8 h S k N m J 1 p p A P F / a J i k F y 6 Y g j M b i q d P + 4 m b 1 Y r H w 1 E M O S i u + p d q K B Q t y f p x + l 1 6 x e L V U / / A b V X 3 p P H T H P J M w 1 T t B + m 8 E F E w q Q J c U 1 k F c D s y 4 m M J N L m B a 9 0 W p f a i 4 s J S h g o s z V h Y H A C L U 2 N 1 C Z 9 Z I A j R 6 X s w z R e L W b E q y 9 V n y e i t D P p u K Y 5 I D 1 P 2 H H S + / K r y g r G P / z / k O z r U 4 E E I Y O l x x + H 6 K 7 d k P T d E p p k E 2 S o i s l J O C a n c I C t J y / h 2 o F e F Y C Y i i U w 6 b D h o l e l C K J J 5 f 4 5 + f n g a 7 0 4 5 v x W d k g + 0 U g w o v v Q H n h 8 J a i p m 9 s W A 1 O H Y i h f r p k t w 6 M j q K v J z 6 0 r 5 j c c C Y V p P p P B M l R 4 p x F O T M C d u y 0 P Y U T X j g Q t 1 8 O w D G R o j f c a h M E S G W p l Z S r O / T 4 9 U A J z 4 5 H L y O U i L v m A V s 1 F y C 2 t Z b d 4 4 L P W 6 3 U y R C L k 3 w t R j q h s I K E j N x g h k A w W e Z p i C N L k a 5 r p x 3 R 1 T q 2 8 R V N y F j H S S 0 P p a v 6 W f U t f K H f b I A 1 z + 6 g Y T N F e K p K W r A 9 1 J F T a l 5 I v n I q Z B I X M N B T Z o b / L R 7 z u M s V M z r 7 7 Y J 3 a R v W 6 F I e f j s O 6 c w P O O + 1 v 2 r b 7 B u h b C a r u u w c Z S l p j a r O D z A S r V S 3 r m B R m o s k 3 U V G h F q C t k G e l p D / 0 2 9 t Q + a M f o p T M k 0 4 l 8 N J F l 6 v f O u g I i 1 8 R H q P t r z O T h D c F w 0 P 9 N O G i q G 1 Y i r B / E o N D m l 1 u t n D w e e 0 Y T b m Z w 1 H 0 d Y 2 j Y m k S P Y f 3 q Z w z y W g v x E I R u k C k u I Y S Z s p d Q y b M J B B m m g j k h 8 H n Y 6 Z E w A m H q Z L m j 4 c m p J f N t s F G Q p 6 W i X t b K Z 7 5 + 1 b Y b V l T T w p a i j A T 3 0 5 C z b k L 9 Q T C T K a + 4 r l t x u p W A 5 H k l N J I E v a X 2 u 0 C g 5 k E c V 3 r B w Z F m x U Q p R B w D j M J p E J T L h Y q m O K 1 1 y L s L R Z N P D r Y y e i i k W j r z m E m k z D 8 k Z h J 0 o 4 k F 1 a 0 F v + a D n V v z J g L N u B K R d N 0 t r W O k V B y 7 o O J T 2 E W k 8 S W Y 7 s S U i S x z J 6 d 3 R / p 6 c P g m 0 G Y M 7 I R M n / j i N F k M 6 G 6 M Y P a 9 i o 2 I P t 7 d / d t C L f 9 K 9 / l N 1 4 y J 2 T P p C 5 R 7 a Y E 6 s 2 l b A A 1 W y q C e J D + V E k 5 a r u H E C V 5 9 P G 3 l 3 Q c x v B 5 Z y E d D K G 3 v A J r / v 4 3 V F e W w J K a x B D 7 p r a 9 G r I n r g y 6 + E 6 C F M 2 5 s a F e t L S 3 4 I F H n 1 L P t 3 r V K i x d t g w D A / 0 4 f j U F i c O D O + + 6 B x / 9 6 E f w + 9 / / U U 2 k f v x D V 6 v f q 2 B O T l 8 s R l P 1 T 7 S i q V J b e h B N 2 O G 0 5 R O 1 Q E q T z V f L I x f h K R P 9 3 A z 2 7 H k L x x 6 7 B s 8 9 + z z e 9 / 5 r 0 d P d j 4 7 O T r j d L l x x z d m I x L M R U J H 6 E p k S 3 0 o Y y 2 P J L 1 a T D l p o J i / s 7 2 h B g X y V 4 M v Z A s m A z 1 a L y I A F p c 3 Z q G F G 5 m s K V u n O m X f K w U J 9 2 j L w M H o b r i V 9 6 L T z N r T U Q j 6 U m J X i q x k 4 k m V m 6 t r c m 4 m H T L B Z P R j v 9 a O 0 w Q z z k j 6 Y 7 V o D C y X v / / 0 1 i G P a v Z j 2 J 7 B 2 i Q 3 1 q Q M Y 6 I w g G S i F w 1 I O S + U 4 l p 3 R p h z 5 o w I Z x d V 7 F 0 W G A 3 H v a U h 7 2 p G h B J d 5 H 2 F 3 C U q s + K + v I v T T n 6 n T e 0 j 4 E v G T j Y a b e r r Q T Y l 3 V d d h C g I n x v Z 0 w 1 v C Z 6 q r p 9 S O Y u h w E G V V p U h E S D 5 h G 9 v m x V h s E 9 q W L u V z 6 h n f M i m d I 1 0 N W K b 3 I l V + L L / X R 0 o G r t D w l p 3 S C w S M E K 2 R d F s I b 6 o S Q Y s W 7 p 4 O + 1 D m z o 8 S 2 t g X 8 8 3 z H A 0 c l J g x s 1 1 t m G d E 6 6 R m X W F k s B g s P U u Q a h W j O x / l C T + m b C V q g j q R 1 O a I Z G s f Y c x i D C W w 9 C 5 D 2 X I O M d u Q S Y d g k W 2 G F o H 5 G E n S v a T + S S 4 s i R B q x 1 7 G Y L 0 m 6 I 4 G C w Y l a M r B 1 Q I T / X L J 7 V P H S A O 5 U f F c m A a 7 u z P u k q z 0 C I 6 E 4 a 5 y Y t / 6 A / A P R 9 R C M 5 H o V o s T p S 1 u / H a T D 9 G 4 k E s G v / i s B w 6 p 4 P H P A E 2 G o b E p l J e U w e n K S o R o N I a R y 6 6 A r K U c T 6 V x 1 q 9 / i Y G v X I 8 D b E N d X x e m y B T 1 8 T h s p h h W b d o G 1 8 G b k K J Z G a + 7 G L K c v i f w B i a f b U H J h W 1 w W d O o t x 6 E y T O P K S F b w u R E j V z 7 f 4 L + 9 v f C Y 6 N m y 9 h p S i 2 8 A j Z F y W s p k L y F W w J V 2 J s w n R i e J f B o 3 A G n P X 9 F a L 4 f 9 M 9 D N D W l x t I h m j 4 H 4 v j L L o a F s B 8 I I e y i U G o K k A 4 0 A p L 5 q P g i m V 1 i m K Q c m H s r 6 X 8 W z + T I 3 V I n F 5 H k Z N 5 m B Y u F L T K F h L P 4 v S K h O F w e L W K t 9 b D W x 8 o K I 8 0 I b v n 1 b f j M Z z + N h x 9 + B C e c s B b r 1 7 + O z 3 7 6 4 3 j m u R d V 9 r n b 5 c K 5 5 5 2 L V 1 5 5 B W v X r s W r r 7 7 K 7 z + h f i s o u i X o 9 K G M k i h y q 3 y w E Z E e x O x t c C Q 0 J + y f A l 5 z K l Y 6 m 0 Z U i P A b G 9 H 3 H / + J A 6 E w 7 f U 0 T l i + D E N 7 9 y F I P 6 q q q w s j p 5 + G L S e c g J N P O R W B m Q m 8 / 1 8 + B N n q f 3 x 8 X K 3 s P a 7 y O K y 5 R N 9 d I i c p d Q 4 o 0 Y 1 d 6 r 2 D v 0 B P p W 7 W 0 U c L p y f n F H I U 5 G r w A 6 M W r C w f 4 / X F H v f y b 1 b j z S T 6 U W J r g F l M J f p N M R J o n P Z 3 l D 6 N y Z T 1 j 2 Q i 0 2 E p m Z 2 w X S x E C 7 k t c y c i Z f 7 I T 6 Y W 4 i 7 G N A Y k d 1 F 8 o f x n z M A W m 6 G 2 T C H F 5 0 k N l c F D T z Y R C c F a N Y x k S V o l k G Y S V q R s o m U 1 U p K 5 I y 0 K y M + S e w e Z f 9 O 0 o g j 2 R D y p C v U L Y r G 4 W i h a i I X M P P H b 5 t O G 7 a G n 0 e V + h / 4 p i 8 K A h 4 H h g W n U N Z Z p A R Q b h Q d d A h F 2 F o t d + d 6 S 8 p Q 2 U c D z t / J 7 e a W S F B Q W z T c v 1 F T F G a o 3 h L K W A q k h E Z C C H R h U X T x 9 4 u 1 t g 0 T c 2 T W I p U s X d j A H P v 9 F R N / a g 8 5 U i p L W i l X 0 8 S T H s I s S 8 4 S H H k K M m q y m u h Q u c x T T U Q f K y 8 t V c m W G g y d / n d 4 j + y M Z O q E m O s r O w b 9 g o P J U / a i G X I m W i 1 y G k o K c S 6 v I s M X 6 S k d v 6 H W 1 c 0 a V Y x U H y o Y / / u H 3 a m 3 X N d d c T Z 9 t E O + 8 6 g q V 2 h S L h / D G 6 9 s x M T 6 B 5 p Y G r D x h v l l 7 + k O Z G K w y 6 L P I U O u M q P a W m S s W Z T 4 a 4 W m n u Z x M k r U 6 H K E R h N 0 i 8 W n c 5 Y W K C V L O 9 g 3 9 a G p k n 9 F U / 9 v D D 6 l k Z V l L d O 1 V 1 + I 7 P / g u b v z h D 7 B l 2 2 b U 1 z d h u H 8 I / S O D q C i r U K s E 9 h / Y h 7 X H r 8 U Z Z 5 x B C y i f D B d i q F B i T F k N 8 8 E a D y J J s z 4 X Y y M B V N f O D Q 6 Z 2 d d G X R F 5 b t n U o C e 0 n s / q Q J M 7 n w Y W A 9 O f / n R v 5 o L z z 4 W P a v e x x 5 / m w F 6 F y B Q d f p 8 N m z d v x d m n H c M B 8 y h n X e Z i J A T 9 z 4 N 0 4 u J N m 0 M X X k I F k 8 J h C o 4 r X n s J g d d e Q z I V Q v m F I p E y K i R f a A 9 v e / w t n P x O b Z 5 L o j Z q n 9 + F E O 0 h V b U u K r h g o T Y r s 2 W 1 d O + U G S 3 l b J z s H i I 7 l x e C k k / + G c R v Z N 0 b N n k i T f 0 k 6 U x E I E 2 z M J X Q I 3 I 0 Z V I x 9 l R G + U S 5 E M b x W n N D + F q f a k m 3 M + p e T k t x z b 9 Y 1 I + 9 g M M V J x b 1 v b Q p E E p 0 M h s p h B r W w s 9 S s N O i s j W k D p C k s t n s d l W q S 5 6 1 P 7 g V 9 d 7 j e a Z W w i C Z S G L 7 + n 0 4 + T z Z J z d L D 4 s Z g 2 I o m 9 i F O P 2 8 s C 9 f S I d D M b g 9 + S 6 K O x V B u M C U 9 9 k b 1 J Z B 0 v e S L L 0 o u t F h r q y o x O 1 3 / A F b t + 1 U D x u P c x C T D t x x x x + x e / d u j E 4 m M E Y p O T Y x i Y n J n K o w e u k p A 2 I u H B V S Y W q O f K l 0 J C x / + Q W 1 M 3 o j N e N Q a B D e c 8 9 V z G S K R e G g h J 9 6 e m 7 h D 0 c m 6 9 M s p l N c E 6 + R J D W i P h J y m W n P s F V j J g E H o x h M 8 d E 8 T V K q L 9 k w z A b F T K r e m 5 i D l L L 0 K y U L X e Z 2 x G 8 p Z C Z B P j P J O A S V t h F m E h N P A g a F k 6 N H i 6 H q S 7 B q 6 n X 9 U z 4 M X 1 B M P G m n + i u s p Z t 8 w l w V 7 h Y y t Z a + J s 8 q Q s + c k b V k G W U 9 i J 9 + 3 O n L F D 3 4 O + Y G h o 4 W 0 x X H K 2 Z q n H g G Z g o l A 7 n M J M L J y f 4 t Z C Z B I D 6 o M n q m Y r 1 a w I l C c D E Q c l Y m n y S 2 G u u Y p F 7 D + I E g y p f l m 0 i J J B 1 / a 8 6 A 5 v g b R w t T u A u T k X K U V y 5 e c k r x R t k U o D e g R c 5 s J L B G n 0 b Q z h u / D c t T 6 7 D 3 / c e g 9 c u 3 q m M G 9 q 3 f j 9 X n L K 4 K k 8 D d / 0 f 0 V 1 + w S K Y S a S q V f h Z e t j A L K V M l d d y O A C l y M p O S O Z C 5 W C h g M R E s Q 6 U + l 5 V r o o a o x T w F j P d 2 4 J 0 6 i G B 5 / k 6 H g o V 8 G s H c O T p N i + Z C T c f o W R 6 J S A I B K R f R t v i q R n k o k N P t i e c x 7 H 4 f I o k Z 9 B 0 a R P N y b R 9 f g c d e Q d q a h E P W X 4 m m h Q O x 1 D T s p g r E M 5 N s e y u b u n i r T D 1 B 7 q J A q T 5 j K d g 7 S J D L T K Z 0 + G 0 z k w Q F e s a t R 8 V M W / r s q j S x 3 t 8 K D T l L N W L X f x 6 J P 3 9 1 l p n C 7 C D B x N C E x k y 6 F F 0 U e I / F a i h j 5 A o T U e d F k T 4 r L G A p m I + Z B M I m T p p / x W A w k y D X Y r B L w d E i k O c s z E w 3 N E 4 x p P R s i E I s x E z p c D F B M / e Z c w v Y Z B w x x U y R Q / T j a Z E c N Q p + 0 m W 7 F N s 2 d W D f 5 k 5 4 f c 1 4 5 u F t e O i + V + l v V + D 7 3 / k V p o c s e O L v 6 3 H / 3 c 8 i G j D j 0 f t f p 7 6 g T 3 j v q / S r j o J 2 i K J B i Z n u C E q P s B / R 2 4 U / E E C J F D l c J G R p u 1 F m K x c T 4 T F U u n X H N E 2 B U M T x 3 v G 3 Q Z x 4 r W h a f r f I k l C e / l v R q 6 d J L R Z O a y k 8 l k W s m 5 l n x 0 a F V I C j Y V c O 8 m h k A J P B c t S W 5 u / Y s R D C M R f c j n w z P I t 8 j S D z O N G 0 Z E l o g l S 2 7 p T w v m i x F M 0 g S 0 5 Q o h B t o W f Q 7 V l 8 z Z B 0 y I z q i q N f M 2 f 4 T 9 F Q E o 7 x B p h a 9 d L H 8 0 C y 6 W e m o y g t c 8 I q y 0 T 4 y B Y + X 2 9 v A I 2 t F Y i k J 1 F m X Y p M e g r m c F K F 1 s W c N l l j c J p d 7 A v 6 f q Y 4 f S Y z Y t E k H n v o J b z r g + e w b 6 R S 1 O L W R A l y Z H 4 W 6 Z w 1 Q E W h 2 / z x 2 H w D O D + O h p k E 8 z X F Y C b P 6 B + K M p N E 2 h I Z m V e q W D Q z C U T 7 i q M t k D 2 P F g O X m f 5 B O k o f a Y T + X L + 6 d z I d Q i T e o w g j H H 4 L 0 7 K J Q D F m o k Y Y l O 2 M O X A z q V F M 8 T e S Z n Q 0 z C S Y n 5 k E + S J b J k V z A w y y q b O Y i K K d Y p m Q v N O / k e 8 m a A J l 9 1 s W Z n K M b l P n S 7 T t i E g X J b F F w + m x K m a y 9 C z s / w o T l R j M R G Q S c a R o q g k z C U Q b h d m / k p M S d V t R M / 4 w M h b Z p C 7 J 4 w F q 9 G k k 6 N f H k k F e L I p r / u U s 5 R N G R N A d C T z P N r Y O v o G f F 2 e o k l Y X 4 u T i e S F z O Y Q U A x H H 0 n C q B e P j E 3 m f B S a 9 s L x E C Y 8 G 6 w 8 7 1 G 4 Z C y F u k s i Q B i F o j i B G Q k P o m h 7 A 2 q v n z w W b D y b + v t z e p i Y W j T m Z 3 D B y M f j p 9 E 8 k + j G e C W A c U b V u a S Y x h L C u A W S B X k o n 0 k w s y 6 S y C b X M W d W X a t u L z u b D q f / / c y C V f O e D B D S E u U S A S A B D / r o t F X n j 5 z C X q W T a X J j d 9 W y j a c H Q t Y E C U l A o s t Z x D l R d f C K m E 3 S q t Q + 9 2 x Y W 4 D a V t 0 n X g A R O z t K P Z p E 7 7 T F U c w n a Z r T 1 V Q K H 3 v e F q C i Y B M + F t / + X c A w 8 D B N N 8 A T 9 7 k D j f x R n K I u N a m 8 4 P y i R C 1 N 6 B h 0 d W l q K M d l l o K q q U v s s Q Q s + 2 O j o G D r 6 t Y 4 o t s P 2 f J g M m 7 X q r g v A R C c z U X 2 W e h 8 M z W j 1 w P l I k W Q Y Y 9 t n 4 H A t z A j F k N E X 0 D V 5 T l P O t L w k 3 F t i q 0 W l L Z s 0 K s E B C 4 l V N i p L i c m 5 C K S o u U z 6 l p S C E s s 4 x q O y B c 7 b K w e 9 G C R z J p f n g k x B U 7 V w Q l h C 3 g K R 3 j K U h R P C E W 8 D X M E B / d M R k J 4 r H u a r k y r R Z A N S F 1 / 6 3 p G T s N p y s g v D b 8 7 v u w v z u m k p q H k l M 7 3 D A n / Q s D w M 7 P e d Q y E c R N v U k / M X q C n I + l f g e L u 6 / 4 B g 0 1 c Q a 3 w 3 M j k 1 5 O f t b d + S B G Y O F Z c w i A 5 h 2 b I F 7 O K k H w m x 1 f h g U q v v S J O 2 h V j X 4 Z i z q X I x y B Y 5 B r y e U p g i 2 h L y K l c Z r N N v L 6 o l G i o X k h k i u 1 p Y z R 6 l h Q x I c E C 2 U S n c 8 X 4 h h P R a 3 C o c S 0 y n x k m w R + f 0 F s K k D 1 D R c S I y C z L U w g j T 3 E s U T I 8 Y s E i p 4 s U g V f z + g e h c r p J q s 4 X W T W G E s G 5 t H M M 7 9 Q 8 F C E 5 M I K I T t 2 w m I P U t 5 o P k I j q p f T J 2 L 7 r L r 0 L z q L 6 L Y g 4 K N x 4 U B e H t p 1 k X n 0 a k 7 V P 6 w X w s 0 N s m l C 6 n p j g Q U I w l O z w k o 5 T G S R o v H q 1 2 m k o c z C F A U 2 x Q e y M 1 C D K U N p I l T t J b L G R 5 8 n j I g g u W L a y Z Z m H R 1 L p M i A o y L j I u 7 X q v v X J W y h 4 t M h L A y I E s U B Q p t d D 2 l o t F g g w o C C V G 0 D c j V V 7 f P r E b k C U s N k r i a M K h d p T 8 Z 0 K b 4 y o + f s G y V W i b e E y 9 T + a U M p i D e R j K 5 y x + X b F u h K m 6 u j W h U + z + d S f w s s M 0 C X N k n y 0 Z h Y 8 M u V h Y C z J 8 x i o v Q / V k / m r u 3 D N s U 9 t h G 1 5 H r f Q f S D v n N 3 X N U z S t F k L l K p 9 i L F e Z A 1 a n B d M d d L 5 1 E 0 / L 5 T O T k W R 9 E X 0 p h x 7 f Z 2 M z k i m g 0 t 5 p E s q 6 G M V c 8 6 N 7 y k q T k N r F 2 P + 2 G C T t P 0 q m l S R W w l y h p U c Z 2 Q U K u l 0 f o z n 4 9 p B z f 9 0 H K o Z U J o a w 1 B K X K Y S j g E T X m r y n w u P I J s z + o 5 A t X M o t f o y l t D k u 2 X D 8 n w X 7 n A V 3 W X R X v h O 2 0 B E C N 2 Q o 8 Q + L Z T 1 I J d x i E P p q a q w n Y 4 l v W T x j 3 1 I X p O V l g b W 3 H c l Y G o l i S 1 3 m M S 1 z I T m O s n 2 o 1 G C c K F m b p + k d + t J 3 T / + v k S g 5 F o l 6 r c j r Q j C X L 8 K 0 y k N 6 r h r V t v K Y v / U Z C w l f m E s P Z h R D W / k 8 p o + q d K M / J e + T c Z J p J S O c 6 j e Y z A / f 5 n a G v W D J t X w n X + e + D E h G + k D w T U y G y N H 6 L h A K + o R e s c 2 9 Z C J X U n p k 0 a U w 1 2 K R j v T D H 9 6 X Z 4 o V L k V 4 O 9 B 2 k 9 T G Q D Y c l 7 p 5 4 p z L y 0 O f U u a u Z B O 8 f y 5 M q A t v g X W h m n 7 p 7 L M V M p W U l R a r p B g y l i g m 4 5 p V E I 8 l E Y t K J k b u q P H u 9 h Q i d Z 0 o n 9 4 P S 9 9 S 2 K e O / v k k G 9 5 l q U C S V k 2 a 5 m L j Z M 7 G 2 L R M f H 0 / R 6 j p i + T g x f n j Z q n 6 I w s l J V v i S N j 1 1 l 5 M p s c w O j K B M B 8 w 4 A 8 h E j 0 K a a g I J 7 9 T B L u H i t x b g h o C t R P 8 X G Z 1 9 v + V p m d + K F U U 5 3 D A q j r e U 5 M / c S z f y V V y X w a a v a e g 0 b s W F R 6 Z 6 M z p O N 1 / K D b R K w 6 u v D R b f W 5 n P / / Y D t z + i 0 f o T p Z h w / M H 4 D L X I B 2 s x P 5 D S T z 5 + B 4 8 8 / A W b H z p E L Z t 6 M I f f y 1 F Z Z o x 3 P W P a R a D X 6 S i q x S h F O d c X p K 2 J A x X 6 E 8 J s z l o J p o S k 9 S 0 R 1 e f w c C I 5 z T 9 X X H M W 3 9 G R 0 7 9 1 D w E 1 A 6 O 2 i h J Z r r D q Z W p y y U f + b j c / w Q C t c c g 1 d y J G d 8 M 0 j 1 1 M B 9 p 2 m c B D F Z e j J a x J + A d 3 w P b 2 B s I N P + H / s 3 i Y L n 8 8 i u + 8 + S T T 6 p i 9 6 N j E 3 j 2 u e c Q D E a w d d t 2 r F l z T J 5 U u P / + v 6 K s w o f d e / f g x L X H Y e u O n a o U s 7 N I + v 2 8 E H P N L O F 2 4 K V D T n R N W n F G a x F C O o L U d s V f R N x z h v 4 p C 6 + D T J G m + R n t g q d S N 0 G F W C T i I 3 + L R H N 6 g 1 v Q 3 x m C z 2 X B c L I d 3 X 3 D q K + X V H 6 n W h b f c a A P D f U N N A Y X T 3 Q n H H e S K u S S p m C Q u Z G x 0 R l V v / z A g Q O I x 0 n w s Q R q a q p w 0 o k n Y d u 2 H W h t a s f k z A Q q a t 7 + h H o 0 6 U K p O Y B o g f m T n q c v x f 9 K y R y e x T U b A Z O V w o a v t x i k b B 4 4 g w M o m d q H i H f u 0 v n 0 D K 9 d m u 0 3 y b R f D C I p M e u L c G O O J D S l k w h a G 6 h Z t O e V t V 4 x z w A i 6 S B s X U t h q s w v v L N Y h K f f i V i 4 B Y 4 2 b d p F y g Q s 1 i d X m R K h i A y 6 C z Z L m u r b o s p i y a I v S 5 H 4 5 n R 3 C G V t c x e E H Q 2 E m U y y j N 5 a v F j i k Z G h 3 z Z J U 7 O 4 E x q a D q l F k J U L b L K U o V 9 n E l O U S C U i 2 L h 1 F 3 b t e h O l p W X 4 2 E f f h 9 / d 8 S d 8 8 p M f x 6 u v r s d Z Z 5 2 O 0 f F B O E r n N + 3 M H F w 7 J X 6 c x G g s B 8 i F l O m S y k I C I 6 t B a j Q Y m u S f A S 9 N u 4 l M G R x F l t R L e P 9 o I p J H 2 j i g G G p H X s Z I r V Y C z o B 9 Y D X i j f v 0 T 7 y u t V w v E J O F m H 3 F N F U x v y s X b f 6 n 0 F 0 y d 2 M L I 9 s 9 P J h G G Y 5 F v D 5 7 / w V B u r T 2 L 0 X p c o 3 u J R g n 8 Q N / g m Z 6 Y h B N 7 o W 1 s S A v 9 S i d p g G j r 8 y c D 9 N 9 Q Z T V y 5 2 P L u M h F 1 t 6 7 T i 1 R R / 0 w n Q c s V t I Y E n a / D M J L a e t c E m G d + g 3 C N Z / Q f 9 U g O Q M 9 r 0 + i l X n L F N Z z E e C 2 v i M f p p t c h / S z Z e r 7 G d D M J q t F q R p D 2 d i g 5 g 2 x d W 8 T C G K b V B m 5 o C K V p C 6 e 8 5 U A j M m N w W V 5 j + G y E y e I l k N B n O J 1 p g v + f V I k I 2 m J x M l R a + / U F L t Q j j a 5 f h N Y 8 + g v z r r 2 y Y H X b A 2 5 L d n b r I s t W v C B G f B J L 5 E V u f L q 2 y b f B z d F c X 2 b J o L a + 8 y J J s 1 5 h Q t 9 v x j 2 1 F b W 4 P 2 J b W o q i 9 X V Z u s 4 B h N 1 c D d Y F b D L 8 u E x M S c P k S m X K 5 x e 3 9 4 8 x G Z K k 8 u H I m Z B N b 0 + D / E T I J Z Z h I Y z G R E 1 P j A M t E 5 L c w k 4 8 9 X 2 t g u M k 3 J E + q b n 5 l k r y R r K Q K D J B 0 y k 2 S o F 6 I / u E 1 / p 0 H t I u h o x N Z + N 2 J J P 3 3 C K O 7 9 0 1 / w x F P P q E W L 9 9 x 3 H 6 z O W p U 9 U Q h h g k J m E h g m l m x c F u L 3 B j N 1 j z c q Y k 8 W C e z I / I l o q v m I X i J e B o Q 1 i k E 2 m p b r S z n l Q s h 1 J T h x t D C Y y U j I 1 T a o 1 o I d 8 s p F P B V G Z 8 W Z S l M Z K L Y J u m i e Q H K E z 8 t n 0 s f Y a Z f C M d p 7 4 1 X h L L 6 l T 8 v Y Y 4 t m J k G g c T M s f U v U N a X v r n j H x Y j F 4 x g d D e L e P z y O P 9 7 6 G E r t L b j z k T s Q 9 E f w 4 I N / x + T E D G a 6 Y 6 Q j 0 u N + q Y V B v 9 x a r Z h q I R R N j l 0 I 4 b E I 3 N V v 3 8 6 X T Z d l T 6 j 5 I A / c O z M I r z M C n 7 k + r w S W w N 1 1 K 2 L l 5 y B V d p x + R E d i Q k V l p C z Y 2 O E x t B y 3 u A V h B h w j z 2 P A c i q q a 0 o Q j a b R 2 9 t H s 9 e H a C y M 9 q Y K + N P 0 g W Q l r g 5 v M q S 2 k 5 k P x u K 0 t w t H M o a Y N c u s k j 3 u M J f M W d t U m M W w 2 G p J / 0 y 4 K V j C O d k C W n R E U S 8 5 S r h j Y U h p O Y 2 L + B P + R o I N g t w q w x o y a B p 6 E o e q z 9 b P t t I f T a H E P f / K h V D M T S E T V s z u j D l h G l 9 B J s k g n p m A 0 1 K H m H 0 Y S W s U M 8 E A q p s c q H A s Q S Q W R S p p g l d f P 9 U f O A x b y g H b e A k q l v n Y i h T G Y w d R Y m 3 U M z l M y n r p p y 9 + 1 M a 7 x U k H O 2 h G u I j 0 X w w 2 9 2 S J T N b k z + h Z A w K R X F I p q N l L j W B b O o e Z n H 3 3 I N z + O a R K V t M H y 5 G 2 N N u M F J F D z w X m M N O w / 8 i P G S 8 / D U 2 x F 9 g m M x x 2 K 5 Y v a 0 d 9 X R X a W 6 U q O m 9 R k O u 1 E D M J o v M k V Y a j i x N G w k y 5 G k W Y S Y i i E I X a S p h J f p e a J y l V N M w / G 3 n M J K C m b R x / A f Z Q V q s u B F l p P R k 1 U t n U n z m Q k H 9 j z + P o r 7 9 a + W F O 9 f I p Z h r o m z 9 J 1 6 g j b 7 e 4 k X a b k W r p Q L K p E 1 F 3 G O Z 6 + v G u D N w + L z p l 9 3 s 0 Y v / B D j z y y G O z z C S w m e 1 I W G K K m Y L d Z E p Y U O 1 Y r W p / h J O T y r 8 S Z h K o X p + J 5 D / F D B 3 o w + N F H F h y o U z u V n v T c F N F v x 2 c t S R r 7 o k 6 L X V k V 7 0 a u X N S a D J v Y 2 z e 1 z 7 8 P K L N e o F 3 O v 6 e o d u 0 9 6 p S k Z b A u P 2 R A z j u X X M D F W X u I 7 c 1 Y y 9 F r C q 7 s L A 3 s E n 9 V U h M o l w 2 Z V 4 g 0 d R A h p p J t J M R z Z L r x X J 2 j X B T 8 x 4 J R h u 0 F b o i D x P q G v G 8 A v 1 S 4 8 G u K h k V I m R 1 q 0 q z x f D P n 4 v K h 2 E a x h J O x A O L t 2 T k m U U j J V X / 8 f e y 0 Y O p E n V 9 z 6 D N / w Q q h z d i o P U a / e w s A o l h N D Z X q 1 I A R w N f V Q Z O Y b B U G n / / 2 2 N o X 7 E C O 3 e 8 g f 1 k r M q K K v p V 2 Q h h r U e L X o q m 8 r Z F M X U w S h 9 L o y m 3 V b J y Z N d E c V 1 o W H c P j G c K d x O c D + m E r B / J T 4 Z 9 O 5 D O c i y y K L 1 l 5 g C J I I Z k m b b T x i y k A P / w O s S b 3 o l d f V a E w 3 H c + e Q 0 f v c f c 8 O y E y E z K j 1 H f k Z X / 3 0 I N 1 1 H U s 1 / P l V T w O L E B M 2 + I y G a m i F R a E w j F Y x E g z g s X s T T I d h M T k q 7 + T W b F F s x G M Q w 5 c z p B I L p i X l c c 0 p g a w 1 b O 1 c b y f L u 6 D x Z 8 t 4 E z d U C 7 f / P h u T B p Q + X I L n s y A L E g D B 7 y f g u l J r 6 M G l Z j W C 5 F r z I 7 p S o I V v 2 T M b p 7 Q l 2 A 9 5 E m H 2 R X T h Z F x h E o u J U 9 r f U u 7 D Q z A 9 z z E Q w 5 N N E P J h E 3 B + H t 0 F + q w m 9 V D q O / w 9 u R / y B A K Y h D 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 P o l l u t i o n   C a t e g o r y "   G u i d = " 2 9 a c 6 1 1 b - a 9 7 6 - 4 2 6 6 - a d d 3 - f e 7 4 e f 3 1 3 4 9 3 "   R e v = " 1 9 "   R e v G u i d = " 4 c 3 7 0 5 e c - 6 5 5 d - 4 9 f 9 - 9 9 8 c - 6 1 3 7 3 b a a 8 f f 5 "   V i s i b l e = " t r u e "   I n s t O n l y = " f a l s e " & g t ; & l t ; G e o V i s   V i s i b l e = " t r u e "   L a y e r C o l o r S e t = " f a l s e "   R e g i o n S h a d i n g M o d e S e t = " f a l s e "   R e g i o n S h a d i n g M o d e = " G l o b a l "   T T T e m p l a t e = " B a s i c "   V i s u a l T y p e = " S t a c k e d C o l u m n C h a r t " 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9 & l t ; / C o l o r I n d e x & g t ; & l t ; C o l o r I n d e x & g t ; 1 0 & l t ; / C o l o r I n d e x & g t ; & l t ; C o l o r I n d e x & g t ; 1 1 & 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C o u n t & l t ; / A g g r e g a t i o n F u n c t i o n & g t ; & l t ; / M e a s u r e A F s & g t ; & l t ; C a t e g o r y   N a m e = " N i t r a t e   P o l l u t i o n   C a t e g o r y "   V i s i b l e = " t r u e "   D a t a T y p e = " S t r i n g "   M o d e l Q u e r y N a m e = " ' A l l D a t a M a p ' [ N i t r a t e 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A l l D a t a M a p ' [ P h o s p h a t e   P o l l u t i o n   C a t e g o r y ] C a t V a l S o m e   e v i d e n c e   ( 0 . 0 5 - 0 . 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5 & l t ; / X & g t ; & l t ; Y & g t ; 2 6 0 & l t ; / Y & g t ; & l t ; D i s t a n c e T o N e a r e s t C o r n e r X & g t ; 5 & l t ; / D i s t a n c e T o N e a r e s t C o r n e r X & g t ; & l t ; D i s t a n c e T o N e a r e s t C o r n e r Y & g t ; 2 6 0 & l t ; / D i s t a n c e T o N e a r e s t C o r n e r Y & g t ; & l t ; Z O r d e r & g t ; 0 & l t ; / Z O r d e r & g t ; & l t ; W i d t h & g t ; 5 3 1 & l t ; / W i d t h & g t ; & l t ; H e i g h t & g t ; 7 6 . 2 2 0 0 0 0 0 0 0 0 0 0 0 2 7 & l t ; / H e i g h t & g t ; & l t ; A c t u a l W i d t h & g t ; 5 3 1 & l t ; / A c t u a l W i d t h & g t ; & l t ; A c t u a l H e i g h t & g t ; 7 6 . 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3 4 & l t ; / W i d t h & g t ; & l t ; H e i g h t & g t ; 2 6 1 & l t ; / H e i g h t & g t ; & l t ; A c t u a l W i d t h & g t ; 5 3 4 & l t ; / A c t u a l W i d t h & g t ; & l t ; A c t u a l H e i g h t & g t ; 2 6 1 & 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9 & l t ; / M a x i m u m & g t ; & l t ; / L e g e n d & g t ; & l t ; D o c k & g t ; T o p L e f t & l t ; / D o c k & g t ; & l t ; / D e c o r a t o r & g t ; & l t ; D e c o r a t o r & g t ; & l t ; X & g t ; 1 0 8 9 & l t ; / X & g t ; & l t ; Y & g t ; 1 6 . 5 & l t ; / Y & g t ; & l t ; D i s t a n c e T o N e a r e s t C o r n e r X & g t ; 1 4 & l t ; / D i s t a n c e T o N e a r e s t C o r n e r X & g t ; & l t ; D i s t a n c e T o N e a r e s t C o r n e r Y & g t ; 1 6 . 5 & l t ; / D i s t a n c e T o N e a r e s t C o r n e r Y & g t ; & l t ; Z O r d e r & g t ; 2 & l t ; / Z O r d e r & g t ; & l t ; W i d t h & g t ; 2 0 9 & l t ; / W i d t h & g t ; & l t ; H e i g h t & g t ; 1 1 0 & l t ; / H e i g h t & g t ; & l t ; A c t u a l W i d t h & g t ; 2 0 9 & l t ; / A c t u a l W i d t h & g t ; & l t ; A c t u a l H e i g h t & g t ; 1 1 0 & 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N i t r a t e s "   C u s t o m M a p G u i d = " 0 0 0 0 0 0 0 0 - 0 0 0 0 - 0 0 0 0 - 0 0 0 0 - 0 0 0 0 0 0 0 0 0 0 0 0 "   C u s t o m M a p I d = " 0 0 0 0 0 0 0 0 - 0 0 0 0 - 0 0 0 0 - 0 0 0 0 - 0 0 0 0 0 0 0 0 0 0 0 0 "   S c e n e I d = " 2 6 f 8 c b c e - f a d 9 - 4 4 6 3 - 9 a c 6 - 4 7 0 0 5 3 b 1 9 3 3 0 " > < T r a n s i t i o n > M o v e T o < / T r a n s i t i o n > < E f f e c t > D o l l y < / E f f e c t > < T h e m e > B i n g R o a d < / T h e m e > < T h e m e W i t h L a b e l > t r u e < / T h e m e W i t h L a b e l > < F l a t M o d e E n a b l e d > f a l s e < / F l a t M o d e E n a b l e d > < D u r a t i o n > 2 0 0 0 0 0 0 0 0 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A M S U R B V H h e r b 0 H g C R H d T 7 + T c 6 b c 9 7 L Q a d T R D k H h A R C E l E k Y 2 y w s c E G / L e N j c 0 P D D Y 2 O Y M k Q E i I Z F D O O Z 3 C S b r T B V 3 c 2 9 u c 4 + Q 8 8 / 9 e d f d O z + x s O J l P m t u Z n u n u 6 q q X 6 9 U r y / H x n X k Q r T U n w W Z z A v L J o g 7 p s P C l D s J q s S K X y / M v j 8 l h g f a V 9 p f I 5 A C 7 V X u v Q f u B / J v L p 2 C z 8 B 7 6 U f l s 5 W c 5 P c v 3 Z s j v c v k 0 f 6 d f W N 3 f s X B b A 4 V v B X l k M 4 D V b t y P b c n F e G 0 3 b G x U H m w c 2 D g e z 8 u X e Q s s t j w s f B 7 5 v b p G N o 6 s 1 c 7 7 2 + W T e t 5 I e E 6 9 N z B / 1 I K K d R l Y r T b 1 W a 5 r y W c Q T 4 2 h 5 z E b a i + Z 5 j 2 T 6 A i c h X y e 3 6 W n E Y 9 W I p v K I c X H 9 F R Y k Z z w w t Y R Q c C R R h p 2 O H N x p D I B h P p s b H c U s Q Y 7 O q u z f I A A r 5 F l G 7 V 7 z R 7 M o W a L F X O R Y w h n L e i o X K u O W 3 j v 4 c w I a h x d 8 D h q Y M m G M N t T h a q 1 E f Z b B t F s A q H M J F q s L u T c 6 9 m m E e x 9 O o K 6 9 T W w N 0 b Q P P E o s m s + q a 6 V S U z D 7 q 5 X 7 6 M p C 3 x O 6 R 0 g z e Y 4 c 5 P I O x r U 5 3 w + j / H j x 9 H c V c + + y y F v q 2 T / J W D J h f X f s G / 5 X H n 2 D X s a k / f c g 9 x 3 b 4 Z t 0 0 b k P / N 9 1 G 3 k 2 N v t b P s A 8 v Y W D o 0 D n o F b E O / 8 O C y Z I M Y P W J D s H k S X y 4 + c o 4 l 0 l U F o b g r z t n r U + 6 1 w h 4 f h C d 6 D g c w X k O n k 6 d Y i w l s M 0 g K s X v 3 D 0 h i a y 6 G 9 2 n S t X B a z i R h q v A F E x 6 y w 1 c / D x X G R Z / K l R + F 1 1 i A T T y E + F 8 M C Q 7 l z 7 a i p q U Y 6 n Y H D 4 V D X s f N h E 4 k E G c 3 K Y y T w X A 7 Z b F b 9 l d / I e 4 H L p T M i s U C Y O v F m 2 B h h U O l w A 8 I Y w i w G D C Y r Z S o N 0 m z 5 Q 6 L P k 9 D 5 n H J / C 5 l b G C F F C n U 6 n W x 3 m m 2 y I 5 V M 8 j i Z g S f l e W / 5 n b y X q 1 i t F m T Y Z j n H 6 / X q 1 7 G o 5 z P a j 2 y U D f L p H 7 R 7 R Y I T H O A J N p z E L R e z V y I 0 H E V 8 J o v G 7 R X 8 V e G p d 9 / d h 9 O u 7 8 Z Y d B / 8 t i b k h l v h b u 6 F y 9 P I 8 1 3 q N 5 b 0 D I m v i p 9 t i t n y 9 h o O 1 C T C J D 5 n d R S J 5 D q 0 + o P I O 3 m O C e k Y m d h p Y 3 v Z 7 i y Z n A S d d 9 T y G y u G I q + j 0 b M B 4 2 E H m Y y C h w O d d 9 Q h O R d C e N K H u u 5 Z p N n v H E X k e N 3 9 D 0 x i 0 8 U e e C s r E I 6 F 4 P f W w D b 2 G F J 1 F 2 I u 4 U K 1 N 4 c d O 1 7 G x R e f j 0 w m Q 2 Z n / + V G Y X c 2 k + O C q g 9 E W C A 5 j f k x G 6 q 7 p R 0 6 y F T k J D a L x E t h Q K m F / v C L G H v b 5 9 D F N r Q 8 f T + P J x C b S S M y R 8 b t n E F 1 O o a p 7 C i y T j / a v F s 1 R r Q F M H U w i + 6 K H w A O G + a 9 7 0 b c y f 6 0 T s B u q y A N Z T B z h P 3 e 7 k e v V 5 i a 4 5 B L k 9 y S y P F c M y x Z M p P N o 4 1 f C d i N a v h K v 1 H P x 6 N C I 0 p g y L + 6 w D b Q k E u g w x a m s L H B 7 e A v D I Z q q d n K R m q E b c C a T b I R b r 7 j B S i 5 p c E Z E o U h v c t B L m Y l U e Z t I g m k G W w I H 9 w M Y S i R 6 i J 5 T w x O n s u r 8 g G F g X J k m E w m q y S T S E u B j e 8 d T g e Z J q 0 Y X o 5 7 3 B 5 q K E p + M o c w k 5 w r w k J e S n j I u a r D F 0 s v x V C i o d h x s E p f F C D X n j 2 Y h r e F H U l N F x p K w F V t w f F 9 A 9 h + x T a E j t t Q t T 6 L i c g o k i Q y q 2 2 e 5 2 R U H 3 V 4 T i J R F h h 3 Y l 8 Q n o 3 z S G T W o M G n 9 0 s m x N 8 I w 2 r I J D M Y 7 x 9 H o D O N S j K S J Z c k 0 9 R j K j q G Z C a G d i 8 1 B K V w x N K p a x V N q A n m h s h Q 8 0 7 U n + T D 6 / f 1 4 7 R 3 d r M 9 N v T 2 9 q m + a W l u w e 2 / + h U f M 4 S h s X k 4 X A 7 2 p Q 2 X X H I J z j z r L I Q j h 1 D l X 6 + u V Q D b y T Z k w r N I p a v h q 5 i j c B D B o Q l k 5 C g g l U A j v X C s h y + 6 F A 7 2 W f M T t y H n 6 u I P N M I c m O 1 H w + Q x x P O X o G Y z h U y y D x l H G + / v w M T e B B q 3 8 X p s S z g x g I C 7 X Y 1 X h t o + M u C G p z m O Z M C H A 5 l C P w n E Y l C M z d 7 O 2 / 1 y R F G j 0 L H c N q 8 0 l X b / 5 S A 0 m q c l Q J K j g J Z H E 1 r L U v j b S I t Z d N q S a L P y m j o s 4 7 3 3 5 G O + Z r R W b 8 Z j n / w 0 T n r 0 c R 7 V b n T o I 3 + G q 7 7 y F U Q i E f V Z h k i + C X j J W h a R t h Z + F 0 b A w w 4 T S i f 2 H + q n x n K h s a E B k x N j a K y v 4 J C y Q Q 4 f n n n + W b z 1 r V e i 7 / g g a m t q 4 f P 5 2 L A M 3 C 6 3 k j Y i C Y U J 5 H w z D A 0 m L c j R T L N S 4 5 H O E Y 1 H F F N V B i j t 9 d Y d P L A P A Z 8 b L W 3 r t E 6 w s k M 5 7 k I 0 W g t L w Q t R q h n a o x Q L D L U a k I B i k Q w i / V Y 0 n O w m c 4 T g J k P M J I 7 D a X F j L j W E R t c p m I 5 7 0 F o p x A 4 8 c d S F S 9 c n E T p m h X c N R Q a 1 j x m W 1 C j b 5 i V R V H E g p a 0 J T O 5 N o f E 0 7 Z k t 6 V l K X 2 o z S u w s 7 2 V L T 2 E 4 3 o Z 2 z y B / z 8 F 3 t a i + P T 7 7 O n w e D 6 a e r M P J 1 1 R j N h l H j Z s M K A Q v o K Y E N Z o l O Q 9 r Z h 5 H Y u u w r l 4 T h M a 4 G 7 D w H s L I p R j f G 0 K T 0 t h m a G f n a O l M X v k 2 P o s V T c 8 8 q Z 4 j x z 7 J U J B V H f 0 m Y l u + q H 4 t p u r o g T j H P E B h 5 + M Y W h E j w 8 p 1 P I E a p M n w n k A d A m s S O D D u x N a m F M Z S M + i z r u V z 5 p W w F / m o k z D u + P q X 8 O F / + n + q F c V P U Y C F C s B C m l J u g C g Q a l Q 6 N t o 1 e E i 0 k s W e x 3 0 3 / w j v / M Q n 1 X f G t e o 5 p u t o 7 R h Q G k q + a q a G e v E v P 4 l L b v + V 9 g 3 x 9 D / 9 E y 7 + 2 t d w z d u v w Z V X v h W t r a 0 4 c u S I k u x n n f U W v j + K g Y F + n H n m W 5 R p u H 3 7 y R g a G s Z L L 7 2 A Q K B S M a L f 7 + X n l 5 X W u P j i i / H + 9 7 4 f v / 7 V r Z i d D / P u V j S 3 N F F K H s O / / u v n c d 9 9 D 2 B m Z g Z V V V U I B U M 8 P 8 r 3 Y o a m U F / f g L m 5 O Q w P D 5 E p r 8 K L L 7 y E c D S E 0 0 4 9 D e F w W J l 9 g 4 O D O O f M k 7 H / j Y P 4 5 C c / y 4 7 l o 4 s C U l 2 g + S C 5 L H u I / y u 1 X U b r l E J j K B l Q w e I B E Q J Q x E w H o 3 / 3 E Y R m c m j r 6 k D 9 l g p q E J q P Y k I S S b Z g P E H T j 9 q 5 0 X + a O i a Y C F O L e f L Y 2 5 P B K R 1 Z O H 2 6 d D c h E j u G 2 b Q F r Y F 2 2 D P T m D n W T D / K g s F g L 7 8 V P 4 q c K P e R Z 6 H G k D Y N k a k 6 3 L 0 0 7 9 o w I u Y n f Z r g 0 R y 8 9 S 4 0 e M P I V a x V f l d e T D i R 5 r r V Y U k X f C T P 8 R 8 i v u Z T 6 v 0 i 8 D 6 l Q m i m N 4 w m / B r p t X + t H 9 F g S U 9 g 9 / W f Q H M o h M b H H o b F X e h z C 4 V O c m 4 v 4 h U d q H T R E R J Q c E w f G Y c l E E B d E w k 7 M 0 W x R 7 O e J r T A i T D H h E J 4 v g p J m p z O T V V 4 I y 3 m e B Z 3 / v i 7 2 H r m O f S 1 Z j D W 1 4 t E P M 4 x m V Y + 9 P r t Z + D l R + / H 1 R / 5 O B 6 6 / R Z c e O 2 7 8 d Q f f 4 s z L r s K 2 8 + 9 E M 8 / c J d i o h D p z E N h v + 2 c i 3 B 0 3 2 4 4 K I z X b T s V j / 3 2 l 6 i q b 8 R H P v 8 f Z F 5 x f 3 L I D B 7 B W 7 p 9 8 J E n r H Q V l H j S u F e w m G A E 5 5 9 / A X b v 3 o 3 x 8 X F 4 K O V E s + z Y 8 Y I i 4 L q 6 e t x 7 7 7 3 q v U g G T T r Y 8 L n P f l a d + 7 n P / g N 9 s 1 o 0 N X L g 9 O v n r U 4 0 0 c T I Z e I 4 f r w X 8 X i C D J n E 4 4 8 / g a e e f B q j w x M Y 6 B / C 7 O w c X n / 9 d W z c u A k P P v g g D h 8 + r J h M 7 n f o 8 E F 4 q N l 6 e n o w y 8 7 r 7 + + n H + D A v o O 9 v L 6 L D M O 7 U R q K o j e Y S W C 1 8 T O 1 g E i d P F y m Z 1 8 O w n y 0 z e n 7 K H W n w 5 I i 8 Z G Z d j 3 4 O q Z H Z 7 D u t F p s v b A L 1 R 0 p S v o h / o C m L Y l T n H U n p b + H f l O D b z v P o z 9 G D M + T y U I W + l s v 4 5 T 1 8 4 g M 2 u l z k l B L 4 H c 2 o N 1 X A 7 s w r 6 O R T K 7 9 p p N O c q e f x M 9 O D 5 H o I u l x T M b 9 O B 6 q o B 8 y T r O q E 4 k 0 B z 5 9 K o 4 9 M g 1 f T Q D 1 d S 7 4 Z n / N Z 6 H v J s x E i L i Z j B 3 U 3 u v M J N j h + B z 8 f f 9 F 7 U W f q R Q G M 2 U 1 6 2 V + I A x f H Y l e Z y b 7 3 D 7 4 B r 7 J f q A Z y D b b Q 9 S i P G 4 w U 4 T X F L / M N 3 I T n P U X o J L 9 a G D 6 S E Q s P P g b H f S 9 J p R 5 m L F V q + 8 c 2 X F a R / T B v R 4 E u u l n W Z K I T F I 4 i 2 K n H 3 P e 2 6 7 D 7 m c e w + H X d i I 0 O w t / R S V N 0 Q o y 0 + k I k r G 6 N 2 8 j E / 0 G 6 0 4 + n U z m g I v a p W P D J u x 9 8 T l 1 f a v N A b f X j 8 q a e i R j Y U w N D S A e j e D A K y 8 s 0 E q M T G q j u S z u w t j o K M 1 r v 2 I m g d J Q w l V t t a f h o Q 9 / G N t + 9 z v 1 h e A Q m e K q b 3 5 T v R c p r 7 M D X 7 q Z o M O 4 k X x / 4 O A B b N 2 y V T t Q A u O 7 Y 9 R I 7 a 0 d S t P B l l k w 6 b T r 5 L F z 5 0 7 s 3 b s P b n Z + R 0 c 7 L r n 4 E v 2 b P L 7 2 t f / G B 2 5 8 P 7 q 6 u m k u S l B B O 8 t G R z Q D L 0 a o w W q q q 6 k Z f U o b W W z C V D q M Q A g H R B s B i f z x M F W 9 W F N y L a s E K E x Y 0 e Q j g + 2 + + z h O u r Y J L x z 0 4 Z G X w 5 p g 4 X 8 e l x V f / q C Y q B I B E z s + q 5 x t i W D l a e 7 k y S g 9 r w 3 Q 2 r I i T s 1 T 1 9 p A p 9 + K 4 O w w s q E 2 b L 6 y H n a H p j n k P p a M M H Q e E 0 f 8 a N h G c 0 g F N C o Q T o 3 D 6 2 h W P o f g 0 I Q D m x v J d C R a S y 6 E / s M W 0 A 1 A 9 7 Z 2 P i N F D A W Z 8 m s d A c X 4 e R f 9 E g V 9 J J X m 9 p C 5 L b D T Z P Y d + 0 9 E 1 3 1 B + 8 4 M 6 T S + Y k H + n s T s r f P o X x T D G u 7 H 6 B X X U F s 2 o O W 5 p + n v B e F i u z 3 9 N y P c + n E + o x U T s X 1 o c r R g 8 o g P t Z v p p + f m k L D U 8 X d 6 m y R g p S i V o G W T 5 P 2 M 7 0 I 5 G / Y n + S z U Q u m c l W a z D A B H Q B 6 a 7 b f o 7 s h K Y C + x B + h r Z + g b T w z g m b t / j 6 1 n X Y g t Z 5 7 F 4 9 q 9 T c p c o S E 3 h b U c s / n + G F 0 Q m t / z s 5 O q V f 5 A 9 U L Y U Q 4 s 1 w S N F D W U + 6 3 G f E t f I Z v J K R V c C i p Q 9 o N c U f v O p o e K D W T 5 n c 0 w j v l r e U h R 8 9 Z s C h m L R 0 U A F 7 V F w r i 0 i 8 V O z p u i d + a W U 4 b z n d a R 0 m 4 j l K 6 + W 4 G h + l 7 v Q + O a R k T m o v j y v X b U V T s o w b J o q n X g 6 G A C P / 1 M N Q 4 + c 5 h a q Y 7 9 y + c h U 0 e S k + g + o w 0 V t X 5 E s w 5 U 2 y c x n 6 t B q i + K u o 0 0 F X U C S M a S O P 7 q E A l W c 3 o 9 P m F M J 1 y 2 A F L Z M N I h H 5 l y H m 2 b e W 2 7 F / 5 a H 5 x u s X E p O E R o i B n I Z 3 7 j w U m c d H U t 2 z C O e a T h y H v Q E P k t I n W f U d d d g P I l C y Y n L R r V p w J r f B T 2 4 E G k m i 7 X D k j / q S 5 k W 6 n u x / Y G 0 X y q K d J n w s A P f g T H H / 6 I q n / 5 R 9 R 0 H I H N S V + z 9 Y O I 0 p T i E y C c d 2 K O v p E v W g M H r Z d A A 2 9 K 8 z X B 5 s j j C M R 8 z s m v e b t I 0 o o K t 1 A h j 2 c S S M / d h 1 e q P s 6 x t h V F 4 A r Q 2 q o C z j L m E n W m p V I M E z 2 Q D i S S K o w r R w v f S Z S P V G e 6 R 0 d u H A F M U / C 4 4 L X X k K F m x u T q J 8 R Q g t X 8 p g C N B b N s j M C 2 1 E M r S C x x a Y Z c P M 8 l M J g r w 3 9 N 4 o O Q T r R a a a 7 R T F J S R k X y C q 3 X W m a G d k Q Y W z R c L k P f 6 L V + O P w 2 V H e R 2 B c Y G h j t m c T I w V G c + d Y q 9 r 1 X a Z z J v Q k 0 b K d Z k 6 E Z Y g / o v w T C y R B c 1 E J O H / 0 d M R t F 1 J E p 8 u k Q B 8 i p o l L z I 5 s w 6 U t j X S O / K 3 l + Y Y a 8 U / M h B J N 7 I 7 y P a D 0 N 4 k + J L 5 V O Z r D v 0 d 2 U 3 i 1 q T s 7 p D J A 4 H J g P 9 q N + j Y 9 a q o q a q Q r O / j 8 i 2 H A 5 T X i a W o p w c p i N v I 4 q 7 6 l k I m r V 1 C h y N N U W o I v l w M B / I d z 5 r + q 9 G W O 7 5 t G y n e N A o r L R 8 s h l s + p v J p 3 G z g s v Q R t / U / X I g 9 T E E + i c u h 2 x r n 9 g V 6 d o D t a o v y A j R Q Y c c D Q P I p Z p Q c C d 5 0 i m k a T G G Q k P o t P D 7 y w U u N S c e X s t P A e / q Q I 1 R 5 p P h 5 s m 4 Z h V M 1 9 t F h d S o R z c l Q X B A F o v U E G 0 x U j M p 9 h O N 2 z u J C i X a R 6 T i c 3 n E p Z 8 Q p m Z v D r S E Q u c X g o q 0 k G e Q r z B m k Q 9 z c 7 + 0 A s I O D p g O T a y I 1 / n 2 V D E U M t B A i F C U + X I X b E E / x G G U J D 3 Q p 9 8 Y 1 P j s f T 1 k 6 m U i u 5 J I E P s U 6 f T w b 9 2 F f W T l 0 Q A x Q S M 0 3 6 V d s p n v 9 + v G C W e F I 1 n V y F x M f X E J x N f L x q N K r N S Q u k p D q y c n 0 y y c 9 g u L 2 1 w + V v 8 H N L u 4 i O l G m p 8 3 z z N Q g s i m T n 4 K y 1 o 6 O q k l J R w M Q k 1 G 8 N s r w X V 6 z 1 I p m N w O 2 m W Z e b V d 0 O h 4 2 i v I D M t Q O u c H M 0 V p b h 4 Z P Z A G r V b i w d T I E 6 9 + C F m K A a g 2 1 O 7 h X 1 K Z s y l w 5 h M h t H k o w 9 E 6 W 5 N 9 t H 3 6 N Z / r S G Y H M G R h 0 a p A a q w + b z 1 c A / 9 F o n 2 G 5 W Q k h C w s F U q 5 9 B M J k L 1 T 5 m B d g 7 d z S / 4 2 9 b r 1 Q / m a F J W b 6 I Q J B P m n S 0 0 4 R z 4 w r 9 9 C V / 5 j y 9 i / / 5 D c H / s z + l D O n H k y 1 / G C y 8 + j + a m V s z T 7 7 3 u + h u w b u 0 a + t / D q A h U Y e e r L 2 H f 3 r 0 I h s L 4 r / / 4 N z L j H G L 5 e l Q 4 o m T E G Z r Q Y p r S 7 z r + N U T X f F 6 1 L 5 Q a V M f E U 6 5 w t a r 3 g p l j I V R 3 i 2 8 j / c M H p N B Y C m L 2 Z m 2 t v F + W J m c U P g 8 F p C + I i p a A z h M y V l l U j H 0 T 0 4 2 f Y v 8 U B J k g L a a x a D 3 e e s H k 8 / o q 9 J P L 9 K A J 8 m P z L 4 R 5 s g l K E 7 c c X e 7 c 0 j O L I V F C t 8 e t I i c y T + S h r k 9 z p K X T 5 u f n U F G h z S X I w M j f V D K C L K W V m A T Z V I x K 1 s s H k k l a m 8 6 c T s R j C V o w L r g c F s R i M b i c L v W M O X a O g / 5 H z i V E a r R p s a 4 S y G 9 j k Z D + q Y B D j 8 y j r t 3 O s + 1 w V M e Q m H T h B 3 d + S 0 U z h Q m v v v p t K s J 0 6 m m n 4 d l n n 4 G P z D 8 x P o H z z j s H P T 2 9 K n p 5 9 M h R Z C g S h + j 3 X f v 2 a 9 H f 0 4 e K u i q c e / b Z F A T 6 j Q h z m D r O d n s c d X y X p 3 R N I D p B J l z n I H 1 T A 5 N x o y k r f H b J C K C P J u e q s 4 o h 2 n f f w 8 f Y 8 k r Y K s J Y e 3 o H H N Q A Z v T P 2 u n r p L C x n l c o x 1 U C m t O 2 6 B B G + u r R t J 1 E q L d T w v R 2 a t 0 c h c r 4 7 + 9 F 9 i c 3 w X X W m W j 4 1 j d U m 2 R Q p Q 2 + g e 8 j 2 v n 3 C A 3 m U N n J v u d 9 x C w W Y W k h E 1 i o 0 U v D 8 / 7 B b y L S Q e 0 m T 6 Z P M K f p l 8 b S k / A v + J F a e 1 O x N O J T U V 6 7 U v m b o m X z d i 2 4 I d F F m V w 2 B 2 E E M Q q m q d g k W v y N Z B I f B t 8 Y R m h Y v K s o N r Q e h m f T R b A 4 K T x 5 i z R t 0 k M 7 e 9 k H t a S 5 e f g b 6 a / P z 4 z z G Z f p N B 1 q o J x K 3 S j k 0 j n M 9 M R Q t 4 l S e B V O n 4 q I 0 S R a C u O x X W j y n q 5 / W g z J r L A G D 8 P B A c z U n 8 5 r a R J b U m P 8 9 i T c w 7 9 F r P 3 P i h 5 j 9 D W a I W f w 4 U s k V D x j h c e e Q + D 4 f y C 8 5 o s L A 7 N a p O I p H H i y F 6 d d W c V 2 S N h Z k Q n 2 v H o U n R t a q C E 5 i D Y P j v S N o r 6 6 C Y 1 d f k p X O 4 4 M T K G 5 o Q 6 7 d + 3 E q a e e x i E 6 g r l h Y O 2 a T R Q a Y V R V V O O 1 n W / g v I t P V S b T i u B z z R z K U 0 s V + 5 o K N C d B S a q N m 9 a + c v D 0 / x S x z r / C w M E x z B / P w F W R w d q 3 t M L p o b W Q 1 N K O r J I l o p t M S h O b M L U / Q a 1 K Q U X z T N G R + G 8 U b n 6 a e Y I n O C C t b G f 7 M 0 + R y b U x W B A Q P D 7 5 R h i S P 9 B 8 C q 0 I S w V 9 K H 5 P a R 9 K 5 t m H 8 8 j x f q J / 3 I O / Q p Z j n m 6 6 U l 3 D g D F t I T 6 l U 7 I j S s Y y F 5 9 F e N q J y v Z i r W L A n N Z l 4 I W + H A W X B w 5 q 6 n T W o l L A T g 5 9 H / G 1 f 6 O G e m 4 o i N B 4 B L U b q v D i K z t x z T V X K Q H x 6 9 / 8 r q C h H J T e b k / 5 m w r y 9 C f k Y k K w i x 2 6 1 U N m q 5 U v Y 4 K Y L 9 o V i 4 8 L j N 9 b s x H k S C D l z j d g o c T M 2 2 T g a d / S f 7 C q K J B B T O K b y U v e a b C K D 0 O n f a n r G Y h F Q / R H h G C A 4 U M j m O o L 4 t S r t 5 A w Z k k Y k j d H q X b I h b o t f I 5 c D F H e 3 G u S f K G R C D I h L 2 o 2 L 7 7 P c O w V J S z a f e e w X V Z E g 0 n 6 i H G a T S G a s Q G 2 j 9 K V v q F K n c n H 6 U P Q 5 9 G z U A R T B 4 O o 3 1 K J C M 0 t l 4 1 O v c p s M a F E m J T C f + g L i G z + T / 2 T + K g q P I M D z x x G P J T F l i u b 4 f P W L j x r K e I z M 3 B W V d F 3 Y f 9 Q K y r z l w Q + d u a 5 b K Y X I / y N 6 N P 2 Z x / n d 1 P q n L x D f E F p f x 7 B Y y T 2 N W G M 7 Y / D 2 x R H Z U M D w p l J 1 S e V T m 1 e y n f 0 P x F d / y 8 L z 5 H K R e C 0 F m j V m h p C z t m q C 2 3 N z 5 y L W 1 H t y S G U o F C w Z R G Z i K G y b W n 6 N k M m 2 w 1 s p j / b W p l F Y P i / E W 7 7 v H 5 U Q 5 Z K 5 Y G H H 0 F / / y C 6 u z t Q X V 1 D m p K M R 0 L m b B T I N c o h F 8 O a f y 1 0 r u V l z d O 3 A V / 8 K 8 R t 5 U O p Q V 4 g 2 H J Y / F 0 5 4 h V C K s d M g i y d N m s + q p h J U H q + + H Q G 8 n o 0 T 7 S n + N A a A 0 k + o X g H G g E a z C S Q E O l K z G T G 9 O A 0 Y l M 0 4 8 h M I o m F w D K J D O b 7 a l B 3 k p N O q h P z Z C 5 h p v H Y I X X O s Q n a 9 q 1 + x U z B X m 1 6 g A p O Y T p x R J l H r Z 4 z 9 D 6 g x h 1 O I O f 2 Y j L m p 6 M r 4 e E Y p u J v K M 2 Q p 0 k z m j w s D V + A C g 0 T f v o u i 5 h J I E Q o c 2 j 0 E 3 I 0 L / W A 4 Q J i O T e G o i / q n w g y o F g c J 1 2 6 G a 2 X b k f v k y m e l 0 M 4 V 4 t 9 o z S n K N H N s H o q V O R L + l 2 B p u f o L 2 6 H f X S M Z s c E V K Z h P b W R m F t s / w B N 7 + H g g J a 3 m U s g k 0 r w 3 A i a t 1 e j s r E F k w e y N L U 8 q M o 7 Y E 3 0 I h 8 b R b z p f d p z 6 L D L J K K p E 3 L O d k T p d q T t T Q h T q w q E m S z Z e V S 4 O c p U e 5 G J J G J i I l N j C 0 T z z M W E L p b G e V 3 U k N a d C I z 8 z y J m C i e t 6 r r X X 7 U N f / 9 3 f 4 3 z N l 2 I c 9 9 y J m w b N 2 / 5 U m 1 t I 6 a n Z u h H e Z V j L z 7 A f f f f h 3 / 9 w r / i 8 N E + n H / B p f R F P O w Z l 5 o 0 l Y l Z I Z 6 c T F w K K b A T J T g g f z X V Y K Q K m c m 3 A N E y x n f f + M Y 3 s G X z Z h V E K A Z J X S Y N q X H k X g a M c 1 9 4 Y Q c + + 9 n P o r I i g P X r 1 6 v P f / f p T y M a z + D 0 U 0 9 G H 6 X G J z 7 + c Z V F c f r p W m b C o U O H c P v t t + P c c 8 9 l e 1 O K A V e D d D p J a R 3 D k e d H s O X i t Z g 9 m q T Z R 5 + v S i a Q b X D X S J v Y K q p v l 6 0 K Y 2 E 7 z 2 m k G Z J H e 0 1 h y N w 1 W Z V U G 6 P P U N H m h d d e i y p q H G u O A i s 1 h o y 1 E o E G F + J j T t Q 2 y v d O e K x 5 + N 0 d S u D l M 0 l U J S L w T N w J 0 I e M u y q Q n n H D 2 6 A 5 X M o s p j m l k l L N t q + Y N D S D L P R P x O e M 8 l 5 O / s Y x 9 g C y a / 6 C A i f B e 4 k e 4 a k m 8 7 1 n 0 o 5 T t w e x 6 7 4 J 1 H R y X D 2 7 M T L v R I N T 8 h 5 p L d A v s b n 9 N D s j 8 D X R 3 B K i 5 / F 9 7 3 s / / O k M + j r a I d O 1 b f f f w y Z o Z l V Q J n r 5 n 0 Q 9 J b / R n W q B s 7 b g 9 / j 4 L J E e H z w 1 M Y 5 7 F d x T j y P T Q L + F b V a T y b y H h b 6 z 8 X s D T j u t m F y I / j J p k 1 0 u W l 3 m 0 r L U u O G E F Z U t H o q s P K K D U f g q o x S l c X h s k t f n Y j v I H L y c d J l M F T Q F 8 m i r S s P n c q D C R U E V 3 Y N J + z Y 9 u i w 5 f C j M j y k a r Y C z O k + / k U L g 7 L e c h p b m O u U Y S 9 R M X i M j I / j W t 7 6 F r 3 z l K + j s 7 M T Q 0 J B 2 c g n k w v I S J h u e C O K 0 s y 5 R J p R o L 8 U M f I B y M G u F X b t 2 q Y C B h p w i C h q + 7 B B J x B W C 5 w 1 M k H O D 8 / N k p s / h X / 7 l 8 / j n f / 6 8 y r b 4 F J n p H / / p H 3 H r r b d i 9 9 5 9 + P B H P o x P / s 0 n 8 b O f / Q y 7 d + 9 S 5 / 7 b F 7 6 A b d t O U u 8 V 4 6 8 W H K F D T 4 y i c 1 0 n g u k J m n a U o O 0 e C v P F 1 5 B B a a E f 0 l G d Q b 1 / 8 f N X t P n Q f J o f t 9 3 6 K 9 x z 9 3 3 4 + R 3 3 4 q 6 H X s X 9 z x z H 7 / 9 w D 3 7 H 1 0 9 / 9 2 3 c f 9 8 D u O 2 2 X + K b 3 7 s Z w 6 M j e P L p Z z A 5 E 0 G 2 c j P m G q 9 A q u E C h A 5 7 6 b 8 U h I 1 K O h a T R 4 h O r A f x J 8 r A J 3 4 f m c y d 2 q P + 1 r o 3 q u N 5 + j 2 G 7 y M 4 t Z 1 a m L 8 9 4 1 3 r k Z i h e f l E D R J J F 2 L w 6 H 5 Q n T K z G j f G M L l f M 4 k F l Z G Y E s o C 6 Q G L v n p B 0 B r o Q m I q D x f H t r l q D Z L h O Q z N z y G Y G t a s D b a 7 e m M O A 4 f i u O u e P y D Z f i P v I V M G 0 m a n y l o Q L E x f 8 K 9 E 2 R K J L F 7 d 3 S M H F O 2 I V m a P q H k 0 P 7 W U k z L H 6 Z V 2 Z K n t a / R X N X 9 u V c y h L k f B Y q M 1 5 H f l + N K u L / 9 G m z + F t v E f 0 g K Q h G F 1 W C F D L S d R T Y H M Q w m s k p + X o 9 S 4 6 M L z l K k n X S A X l 7 Q K C W P / + Z / / O b r X r M G R I 4 d p J 3 a j r a 0 N T z 3 1 p C L S L V u 2 q M 8 3 3 n g j n n z i C R w 8 e J B E c D v u v v 9 J t H Z t p u b Y g L 7 e o / j Z T T / A K d u 3 o a G h H j d c f x 2 6 u r p w 9 l l n 8 n 6 S / Z 3 E 2 6 6 5 G i 0 t z d i z Z w 8 e u O d O t H d u w L r 1 G z H Q N 4 R b b r k F p 5 x y C j o 6 O h T j C C p p s 7 / 4 8 i v o 7 u p W U T s J j 8 s a r f P O O x + n n X a a M l G e e + Y 5 X H z x J W p g J V y + b 9 8 + h M I h n L z t Z B V F W i o Z d h H Y J w e e P I 6 O D Z 2 Y b g R q A x K a J a i F o 9 E p S l r t 4 4 l A n v v 6 d 7 0 D X e 3 r c N L a b b j s / C u E G 3 D W 2 a e g r q Y C 7 3 / / e 7 F 1 3 a n o 6 m y j w 3 s N g u E 4 L l o X h C t + i K b b D F z O D l o D K Y 6 T n S / T C O u w z e 2 G Y + J Z T S u l J / W j G s S E H A k N q P e S e m W G / P L w 9 A x N V M 1 3 E W K S a J + g o b s B p 7 9 z M 7 K 7 R z C 2 b w Q 9 Q Q n G k G n E G i F z N G 5 J I j w 1 j q n 9 M V B X q W U y N Q l a L j Y 7 9 u 8 / j I H B U Q y P T O D z n / 9 3 / O / v 7 4 Q v W Y N 7 7 3 s I F e 2 D 6 N l z A K F J C 7 7 1 7 e / h G 9 + 9 B Y 8 8 9 h S q 1 z S h f c 0 p + J + v f x t 7 D s / i H / / 5 C z h y t B d D o 9 O Y m W V f 0 C x + 4 c V X S K c e j I 4 M w U t m 6 R 8 Y x l N P P 0 9 T z M P n d O D H P / 0 Z t Z x o n 4 J g q 1 l b g e h M i d 1 r Q A Q 4 F U I m G 1 L C S J b / 2 G d 3 w j / w 3 4 g 1 f U T / U Q F 2 C V q k 5 / V P G p Y I S u T x 6 z v u w G 9 / + z v s J S G K p H z w w Y e w c e N G M l U X f v q T n y p z 8 O a b b 8 F P f v I T X H H F 5 f j V 7 b / C O 6 6 9 V m m c d 7 3 7 3 T S 3 / h L D w 8 N 4 4 4 0 D 2 E y T T s L i E k r + 6 7 / + a z z x x J N 4 9 7 v e h e 9 9 9 1 v 4 z O f + E V / / x t f w 0 P 3 3 0 w l 3 4 M k n n 8 F f q n N H e O 4 b C + f + 3 d / 9 n d J e Y i 4 I L H D g 2 n e 8 H V d d 9 T Y y 6 f U L 9 5 b f f e i D H 8 K Z p 5 + O z / z D 5 x T z / O h H P 8 I n P v E J l Z x 7 + + 2 3 4 a t f / S r O P G 0 7 L 0 K 7 v g x B G s i k N A 0 0 f n A a l Z 0 2 z C e D q P J U 0 w + h C e H m d 7 J g T f f t y i G S G Y f T 4 t O i T 0 t A m C t P C R y h 9 5 7 L t F O a j 9 C c d K F q b Q A 1 w R 8 g l W y j 3 n a g r 7 o N b f 4 z 9 J N S m N g f R N 2 m G t i c M o m V I e P Q h y H z 5 5 0 + P p e m E f y 9 X 0 Z k 7 f 9 T 7 1 W a E j W K l l A L d F R 2 I z D 4 X z h W / w 7 U u b a o c P M E t V P y G P 0 W f t 8 6 N I j p q B 1 N 1 L Y G 3 F / 8 E h J f / i K y N G U P P j K N 7 v P 9 O B 6 r o j T P s z + y q P b m c e z z / w r 3 r + 6 A j Y I 6 Q Q K t + O y / o / E D V 3 C M v 4 1 / / P 8 + i / C w j c 5 8 E J W t F A i u a r h m 7 k K y 5 l 0 c W 9 6 V z 2 U V B s 3 E M d P j Q g 0 1 l U W S M s U v p u n / w g u v 4 q K L z q d g p G n L Y f N Y w 3 y m a g p N C 5 k m w 7 H U p l V k r l I S W p V E S E 0 j Y 6 s r Y q r J / S E 0 b C v N i i + G 5 9 i 3 k a 4 6 D 5 m 6 s / Q j 5 W E E a y J J m u b U a m W p S e a C 3 k c 7 + I E H H 8 T X / + e / c d d d d y v C f O W V V y h t 3 s B H / u z P 9 F 9 q 0 D S b e q f + T Z E B n q a J E g y G c M M N 1 / O I L E i 0 w U s / S R J l B T I R K / a q Z A h Y x T w Q v 4 z 2 q T C P d m 5 Q P 1 f T l u I 7 m b M U f k p G b m l p x a c + 9 S k 1 9 6 T N o X E s R P v k L X j q 2 a d x 7 F g P v v + D H 2 B y Y g K P P v o o m f 5 2 1 f 5 n n n l W + Y E q Y 7 o M J O o o T y I C W J Z 9 1 K y n T 8 L r C z M l q e Y r 6 f C K q b A c M w l S l H K O o n S n x R g K 9 W E 4 E U f F m h Z U b c i i o i l H D d S I U K 8 V 4 Y b P I t l 2 A 9 K t 1 5 B o 9 K G i K Z O J R e C q d G r M J B D B 4 K x E 3 i X z I w X z K r L 2 i / A e + E / 4 D 3 8 B / p G f I P D P 1 2 H T f 3 6 J z K S t 8 s 3 k / W j 0 b N f m b o Q Z e S x P z Z J k P 4 + G i p l p 9 N a f 4 t i T j y G Y C K o + 2 f b 2 R j j d T m R e O Y T Y 7 n 2 o 9 d E Y 5 / C M 3 v F r d Z 1 + L 3 0 W K s D m D 1 2 J 4 b k 8 P n b t x z B 3 G E h U J e g n T Z P I 5 s k / 7 J / 4 U U h u q 4 y v d e g Z + M d / B G v 4 I H 3 W a V i T x 3 n C I O J i n u e t 6 N p m w 3 T 4 G D w k X I + T N 5 O 1 Y n l q k f S o a q O F z 5 B O J a g 5 6 C 3 J 8 2 Q p g K 2 + A n 3 S l R A I M 0 3 u K z x b K W z z + 5 B s u m F F Z h I Y k U 8 R K u L n l W W o 5 5 5 7 V p l 5 5 5 x z D j X R v + H D H / 4 Q 3 v u e d y m i v P X W X y y Y X v L 5 7 L P P V m u f a m p q V I b C L 3 5 5 O 6 6 / 4 Q b 8 5 j e / w c 9 / / n O V H U 5 q 1 F 8 F h h C I A 5 x I Z v C B D / + 5 8 t n O O X M 7 r r v + H S X n a h D f S e s X C 2 Y m 5 / C l L 3 0 J d 9 9 9 N 5 q a m j A + M Y 4 2 S s T t 2 7 e z T Y + g s 6 s D n / 7 0 3 + H l l 3 e i t a U F D z 7 0 E J n 0 K X z v + 9 / D u n X r V J B C 7 G z l u J a B r C O y Z c P K n D L P s Y X o 3 L r 0 L A I D l q Q 2 m O V Q Q 9 + k V G Y N h l 8 h c x T 8 D V g n k c 5 T e + j X s V L D O D p I T D S V g o l + 3 o B M Q 4 L v 9 K 7 D a P h 1 j O 2 Z x 9 y g B V W d q 5 k 3 s y C 2 9 Q u I b P p P h L v + H d m X 6 F O 9 P A x b 6 B i J i 4 I s L V n x o 3 D 2 3 w X n G 1 + B N T N N Z u L z t f i x e f A f a T Y + D a s 4 T 9 k k R m 7 7 P S / n o D D R J k Y F k j d 4 2 n U 0 W 6 / Y g g M P 8 X d E h 8 6 Y E r y W H v 7 3 / / c f W N t M M 4 q M d O v D P 4 A j H 8 Z L O 4 7 i 9 7 9 9 m l I 9 h W T 1 5 U j N 7 q e c C O H u P V l M V H 4 c U c c p O D T z B h k q B m / P L a g 5 + k M V a X O G x T / K Y T q u Z c Y L h I l U 4 q z c l Z r M k t J C 8 w o S 6 q W W N F L V U n k t 8 C W r B u o 2 p T B 9 d H G O p j C f e / p h 5 P y y A L I Y s f R y 6 + J I n 4 5 G W O Z m x v P D Q S f a a u y o C C w v T c 3 Y 9 d q r + M W t v 1 T m V C l E 8 5 i d t 6 U g R C 2 d b o Y 2 3 y T t K D 5 u w M g I X g p a r Q h e d Y U G a I 6 r F r + W o I o s d F Q J L M J E m S i y F q / y x e z 0 Z o 1 5 K L m 0 i b / + p F j I 1 W M 7 B k d 6 4 A 1 2 o W 6 r h z 7 a E A K S c i P a l O 0 M 9 5 G o 1 2 p l C J a G R t T y 1 8 z Q o + e f R y F B r f H 8 C + q z 9 c h 3 E e r 6 D K U r c I z m n J + a 2 / 7 D n 6 H u Z E 2 D m X F E A h a p e a z / 9 Q c Q 7 / x b O v S F R X U C I c Q X T 7 s Y l 0 7 0 o a e 2 F p n q K o z H 4 m i 9 6 0 7 8 m C 7 C N 7 / x d d x 1 5 9 2 4 6 5 6 7 8 e 7 n n 8 c N 9 U 5 8 + d o P o q r C j x v f e w 1 2 v H I Q U 7 Q k P v K R D + B / v v F 9 X H D + O b j o 7 I 0 c G w 8 i 2 Q T 8 k g k j m Q 0 2 L U s 9 0 f p + 6 T R k 7 c 3 Y P 2 b H l s a M m o i V M b V Q E 0 k W / l I 0 Z C A Y y y M V j C D v z i s T M Z I N Y E 3 k I a R b L k U o 7 U Y 4 Y V F z U A a y d D l s J g u g F J b k C A V Q d h 7 t V R k 4 j T D g K i G m 2 / b t 2 / R P x V j d l Y q Z y V g m r y Z v 2 Y E W i f a V h c w d L Q 1 x 1 s V U 0 4 h J I z q T p a i w 8 J m S 3 0 L b W y Z 4 7 d J Z f I X p F o X S P q S y V k T T Z C 7 9 p + G k F i 4 t B 2 u C p s k J Q D R U S t I D T M i q F B s + G a W q Y 7 o J q Y o k n e M c v v V 1 m q l v H M K h n g E c 7 x / C j / / w d f z z v / w 7 n n z q e Y y P T 8 B u d y n z W Z A h I Y V S w x i N H G F 7 B x S R m y H + i c U 0 B S E + i D B T M m N F k M w k U 4 / Z 7 t J l 7 h o k 3 u q + 7 g O I r f 1 H x U z u 8 b v p r H 8 d r s H b 4 R q 5 C + 7 R e 1 E R H k Y P p c 4 g N Z d E Q M / d + T S 6 6 6 z 4 5 x 3 3 w n f G O p y 7 5 m L c + e U N O K v O j h G O z S U 3 / j s + + Y e 7 0 H H d + 3 H d W T X 4 2 E c / T E H s x J 9 f 9 e e 4 k M w v 2 R S y G j l A P 0 p L r a J 5 R b M q 3 v 0 3 F D 5 8 b 6 m E b / w O n J 3 9 m W K m H O 8 5 H P I g Y 5 V s D g 6 W C F b 6 O L 0 z d h y e d O A Q X + N h K 6 Z j d v T M 9 q H S a 4 E 9 V I G G K h + q q E z a q 2 h u Z 3 e z o + i H p f I L z P T G G J + H X b k c M 2 n I w u q R R r 4 J d K / p p q N f v D L T g K F i S 8 a T K B x Q G s I E V V h F R 9 4 m q p k E L G Z X N q a 9 a C t r U j m H E P 0 r i e x l a S P H o t R o 2 Z R y R C V i K E E G W f c v N S U y d J 4 T 9 E / E d E w m N Q I O h a h t e J l 4 I o l Y P I k o z b i M x Y c c C S 2 r y I b t Y s P l X I H 6 w 1 f A p X V u I r 2 Y q 3 K O B m q v p W 3 y U l j J y E 6 V 0 V G A V a W / C B H Q Z / T S 5 H R l K N l v x j u v f j t 8 L i 9 2 v 7 Y X w 0 N D a G t p Q 3 t 7 G 8 b G a K q 5 X P g i T d 8 s / c Z o e g K J l A U V z j Z a b J t Q 4 e r i c 0 p N B Q 2 5 l K a N L a b l 2 o m 6 6 8 n Y E b Y l i z o 2 X 9 z Q x o A m h A w M R V 9 G m v 0 t T 1 / 7 T 5 J D p y H R d D 0 i n f + E Z M d H k G y 9 A Y n 6 K + G L 8 R 6 8 R p b t i o V z O P T i M J n C h W l L L X q c D W j 6 0 X / i 0 F 8 8 g o y 9 G g 3 3 / B H n d K X Q w 8 E 4 p u a V 2 B 9 k n K k 3 E m j c x I v I n K b 4 P O w X G d O E J i W R M W W g 5 O 0 e x J s / i H j 7 n 8 E x + S x 8 g z 9 D W 1 V W V W d S o O Q U H 2 d t T R S b q 0 a w u S G N J j 5 f n T e D 9 T X d i j 4 r u j O Y H y S d 8 e c S z Y u 2 f l q d 2 u i X F Q r a d M 5 J z X y v D / v Y P G k q r d H G I p C G F 6 J 8 I u U c z u U n O h M Z c e p o Y 4 q 6 Z 2 t U h S S n x r W W L N W s Y o Q C k i Q + l 6 P 4 5 j K J a B c p K U 7 9 a i G d a f q 9 I 7 w P 6 c D J + q d i p I N W O P R 6 D U V g M 6 y p G b 6 k e l E O Y 1 i L e i 8 H U a 5 L c y q c m Y U r X Q u n T 5 f g v K e Y B J X e H F K 0 9 a W c 2 J K Q L A G R X i I U T u S 5 l s D E / g g a t / m F C 3 g 9 j q Q u G c P D C Q T a C m M k e Y w 2 2 x z c t i r E 2 f 5 Q Z h S N b m 2 e L Z q Z g s 9 e S C w N v / 4 6 o n / / O V R 8 5 u / g V c E e e R 4 L 5 m N W V A S f w d j 7 t G h g 6 3 N P q 7 9 m T D 7 5 F I J f / g r W G 9 9 R u F n o T + S d 2 m S w 4 O g / / Q t c d / y a g o m e 6 d o 1 c N F X 7 f j F L U j M z G P s k r c p 2 m m s q E V s 6 B i y b V 3 o 3 P k s X r j 1 X n T + / G u w O / x o e v o J d R 3 J + B 5 L v I L 2 w D n 8 R A 2 T H F N 1 M Q R p a n a H B F C W A z W / c / p R p B q v 1 Q + U I D V J 5 0 9 j S u k / y V X s Y 3 + f 1 H A 7 I o 2 f Z I 8 s F p i l + Y G 7 h p w 4 v T 2 F g c g O d P r P 1 4 8 S 9 N / I U B P s 2 T I X K U H f / D F 0 V 6 1 D L B a F 1 1 v G 1 y q p 0 C O Q 9 A y v I 0 s 1 v v L 1 z Z A l 4 q U l t M y w p G n 3 c h A M m H 2 b y F A a / v b i T k 9 k L B Q C 1 D r k s 1 c H b Z S M F G E 0 J S B 5 c s l B R E g g P n b y a / f 0 o + 5 S N 7 q q 1 m K S D n B D I K / 5 g 3 k y z A r R u m J o x G r A Q m 2 a l 0 w Q m T N L T 2 M 2 f Q z t 3 r P 1 b x c j O B D D Z J q m D T X o G w c O q v k 7 0 b A N D Q 2 o q 6 v D Q H 8 / I t E Y 3 n b V W 9 m 3 B U Y f i u 3 k d Q u R q b H 4 H j S 6 T s J U 6 j B C X / 1 f + J 9 7 H s 1 P P i Z h U / V 9 k v 0 i k 5 p x W t f z F 2 x H z l O P V p 2 w i 0 D h m Z N l M 0 7 2 m 2 m N l x k 7 z 7 k A j Q M D m K f l 4 u V z N j 7 8 C 1 T 6 u r H z 4 s v R k s l i g n K m L Z N A K O a E q 8 K O y T u e R / 5 D 5 0 E W Z D Q / / S T 7 1 0 p G e A 4 x / 7 m w u + 0 Y D L + I j s C 5 a q r E J i F / + p d 9 w T 4 e 6 + R P y / j Q k k 2 u s v A L s N D n y 0 t m e A n 6 h R F 8 5 1 O 4 j p B Z t X n F d J z K Q Y o N L Q f T P Q b m p G 5 i B o H J H y C d o s / o W g t 3 f I c E J S b y E u 2 S m n f L Z Y 1 n 2 R m y E O v N Q N I / z A N v z I m U h 2 i X l a W 8 Y / Z l T H v P Q S U d S i H g 3 c N O n N a W R i 6 d o s l X 8 B O E a C Q + I U u 5 z Q j M f A / h A B 1 b l c 7 P 7 + j w H 9 h 1 H O l 6 F z p r a 1 D t 0 7 S t m A U S / V q 6 v c s g x Q G g F J f s g 5 G T t q L y x z 9 U h 1 U A Q s q A K U J p V s c y 1 I J 2 q W 9 I j O 4 P o m X b 0 l G 8 + f 4 o q r o 0 B g + m h l D p F L K U 5 y u M X 4 Y O v N 3 i x n x q E F X O D u x / 1 3 t R N z W F Z t E y E u B Q G l X r 5 y y Z Z e j y a 1 B 3 f g X 8 / 3 O P O m Y I I W 3 x n z D g 8 k L x a E s H 5 F c D 6 9 Z C 9 M k G X Z v t 5 b P X U B O k q Q n y g 8 N A U w v W v P A U L T k b e i 6 4 B D 5 e t v L e B z F 2 d B r r z u p Q l k A m k Y X T W y D u W G Q f v H 5 a J P S H h h I R a q 8 O / Z t V g s 9 g n 3 g M T k c Q C d / F c E e e Q a z + g z R 3 Z f 4 q r + h D g l 3 B 8 R y i 1 p D E 6 7 B n z 1 5 0 d T Q h E Z r C 2 e t C d C v 4 u / Q U z d U m Z K r P g 3 P y c S T r r + L 4 F S s R q x R H y e a K w 8 O l y N N H e b P M R O F U x E y C 5 Y l z Z W Y S p G v O R t P 8 7 x F M D m H / q F 0 x U 6 T f v c B M s b j m P 7 g d F s x E p c f 4 f P o r R V M 1 n e t i J 8 p x C U v L U g U r f r e 3 F k / t r F x g J o G c I l H A p Z C h 3 x Y N z p I h E k j T X 8 u Q o b O 8 v o K z l g Q 9 g E P 0 B Y a P H t G O K V + A 9 + U g m x c N G s y U S w X R s J b E J 5 y 8 g D x N 0 j H 9 P R a Y S W C 3 u l X 2 9 X h 8 n 3 5 E g z C T Q J h J 4 J 4 m 8 6 p 3 B B k q m i 5 I + d 7 / + m + a j n n 4 / u P 3 c E 0 9 o t p I V t S + l P k 6 n Z k y M g c m y 1 o J c f Y N i H / m I y M 5 + a q m Q J R 5 P I H M a V W x L x L 0 h a U 1 u W w G F q f 0 u R W H v / h l e H j Z q i / + G 3 z V X j R u X 4 M X D l n w 6 O u S I k R m E j N a 7 k H / W T G T g P 6 Q Y q Y l U q q W w m x 6 B J n m a x C r + y C 1 c C v G K i 9 B N G m B 0 5 q G b + Z B e E d + Q k 1 I N k p m 0 F x j Q 2 N D H d 5 6 5 W X Y u G k r t r / l Y s R r r i X z v B O 7 r J 9 E q u H t 9 J m r k W h 9 L 9 V Q w U c 1 Y P V 4 3 G p i d D l Y b M U m 1 L I Q 0 4 + d o F 6 E O L p F y B S n a i w C z S 8 h o N U g S 8 a s d L V j W 0 t W B Q t c D R F M R a w Y n L N R o 2 Z x a C i K U J j + S C C n F h u G w 1 F E a S o l 5 o 7 T i X 4 n p Y t k Q W v P L v l b 1 1 f N 4 H P v K T N Z K 5 k O S w Q d 7 E 4 X f J U 1 Z A g 3 H G 4 P / Q E n b A 5 D u l p I 0 J 0 k e g + l t H 4 + i U n W h U W z v I / h b 4 k W 0 G F 1 V s L u r U J o o J A e M x B 9 A b P J X o T J b A Y m j k 7 i + P w u M l 5 O L W V w S E L s M v C S Q R d 6 l a a 5 + A 6 S h y e Y 2 6 G F 0 b M O l 5 K 6 Y i o p p i e M S k 8 D w e M Y D g 8 i m K G J r E q N 1 Z D g t X m Z 1 6 5 + h 7 p 2 v q q K j G N F + / e / j 8 j I N F 6 9 7 r 0 U c H b M e P y K x T I d X b J U G s G + L O a e e U a d 4 7 3 8 M r k E A u 4 M z t u c x 9 t O t 2 B o 3 y S G 3 w g r B l r o I z M M f 0 Z o T Z A c 1 / 4 a n 0 t Q C x G Q m l A Q V D p b 4 H N p q 5 M T 9 W S 0 l k + o C G l l J 3 9 X s t 7 L j M 1 N E p 0 t X M d m r O 8 z M u 2 J M q 0 t h a y g N c I m q 4 D 4 U b J e R 6 3 Z 4 Q 1 4 / 4 X T J e p U p s G P P P Y k b r 3 t 1 3 j m u R 1 4 5 v m X 8 N r u f Z i Z m e b n F 9 S x m 2 7 + O f b u P 6 j q 7 e 1 4 4 W V + v w d 9 B 1 5 A q u Y i / Q r A s W k 7 o u M Z j A R t 6 K j O I m 6 p w O Z 2 H w J + a U c e H o 9 L v W 9 K 3 Y q K h g 3 a S S U 4 9 R 2 a 5 p Q 1 N I u g o p C a 5 D 1 R K G L T 3 i 5 A C H o B S g t o U C t L c z F U t U Q Q 1 S e 2 O 9 2 S L W 9 B g M x m w G 2 r x Z q q 0 6 l M N J M x r S J S e T L f D v W 3 F E Y b x C c 0 C M 9 Y 8 N m k L 2 a U 6 K z 6 n a s G / t G f q 2 O q 1 D O F T p O 7 E 8 1 u T a v 7 R c C I E K C k F m Y T D S X n t f 7 h d 9 j w 7 N N I V W x C f e Y u 5 K i 5 5 X Y i o t L x m B K u a x 5 5 E I 4 2 O 5 p l N b a o / z J o P 7 k B b d u b E B s 9 g J 4 X Z Y n 7 E j B 8 d l 0 o y m e Z K 1 I R Q h P y r i a 8 v m c f j v Q c R z A U x f D o O A 4 e O o r H H 3 s U S Q q 6 P M 8 f m g + Q 0 Y v H V 5 a V l E L K A / S Q 1 o p g 8 q + 1 K J 9 0 j m l Q i y A a w 2 j w m 4 B 0 d P l u I 2 R W W 7 T E K l F c q C S P I 5 M O r K / P q K C E E M N 8 D z X C e r l j e d j C h + G N P 4 Z w w 9 / p R w r Y 9 + h R n P z W 8 o y 2 A J F E J x C c s E Q P I O / b i o m P f g z p 4 3 1 o K x N B 0 y A D W Z B t o m 2 l T v b w n n G 0 n W I 8 L 6 H 7 Z O p t N K 2 K Y h o B m a n E I T J V A g 2 e r V o U t Q T D 5 5 / P H z p U F M + a H F 2 I n A k G 9 Q z z D n 4 X p D D R / N J i J J M F o e p y F d P D E M / P J H L o p G + k K g K J V q F G 7 7 / o C g r j N F w O B z w 3 X o f 6 T / 6 9 + v 0 L l 1 6 B Z p q C H X f + H v a G Q h j c j F x 8 A I P Z I X R 5 T q c Q c O L 4 r g G s P 9 t c k 0 O D J T 6 I v I d m o D C S H g 2 1 x P v 5 f G 0 8 J k t 0 P G r K R Q T i f D C E a r d M 5 L Y h K n U C K a A C F q E p r Q 2 y B j C e s x U L O 4 G U b y 6 J Y C 8 F q 0 X U 5 V L M J H i T z D Q z o 9 n Y C 8 x U L m 1 D m O k E 5 m 8 M Z n K N 3 s l / L T j 6 y g O 4 4 9 e / x d E j P d i 9 5 w 3 c 9 v A P E R q J I 5 4 p 3 M s W 7 S M j a q Z S N r A J 4 f r F l V D 3 3 T u G k 6 / Q M q y V v 7 U U l D m 6 S l A L C D M J P O e f o w T L 0 i j c s + d Y H 4 J z U 9 j 5 y i 7 Y G 2 3 K F 5 T s 6 s e e I D M a Y W p e 2 + L R J r 6 F m c L p c f h l d 4 p o J 3 Y 8 9 x q k W O P r 7 I 9 v f e f 7 l M p 9 O H i 4 h 3 6 g Q 1 V i l f E w M 5 N A 2 m b x a Y L C z E y B 4 W / r 7 z Q m M l 4 G Q r 3 0 v 7 7 x P + p 8 q 8 d G f u V 3 Z C b 7 z C 6 8 8 t 4 P q e M T Z C Y R F w Y z S R K s J S m Z 8 v x Q U b 7 s m M B K b d P l P x / 9 8 V 0 0 o S 1 Y f 5 Y 2 P m / c N 0 k f t T A O i p k U C n 2 Y 9 9 C 0 l M C L Z F e o J 9 a o s C d Y h x x d h G w y C K f b i x e f f 5 L t L v S F l V L Z I j U G S 7 H A T I W + K X J x T V i Y h z J D 7 H J 5 4 m S 8 B 2 7 P B u X 0 i i r 1 6 N U 7 l 8 N M O A u v M w e P y + R 3 6 W k z y 0 F F v F T 6 f B k f R o c R e f I P f Q u R 9 s I k o 8 A a o a R y V y B P + z p 8 P I k c B 9 Z T Z 0 X N x N c R W f v P 2 o 8 M 4 Z B l p + m L C 4 + 8 O I C N 5 3 K w q H 1 k g t e Y l H 5 T y A b h f d 9 f Y s 8 / X w v X l m 5 U O N p Q 7 e x C Z m Q E o z d + C B 1 P 3 k M z q W C 2 S Z q U S v j V x p v a Q b L Y Z T i 0 4 x K Y G D s 6 g 5 a N d S V B C g 2 R s R A 8 F R F I W T Y V N R T B S K Z P 5 e z K N F F I z y M d y W P 8 n T e g 4 U f f h 2 u b K b u F Y 5 p L 5 T B 4 x V V o + s 6 3 4 D 7 9 N E 3 j c b y V V F f m k 6 y x K r R 5 O L Y T b d 6 z E B l P w t / k w v G L L k R 1 3 o b 8 R / 8 M N R / 7 K L y j v 6 R P 8 l E 8 R 6 0 l A W k x W t 0 0 R z f s 2 E n / g 3 7 L 5 C A m 3 v d R O L u 7 4 f / C T 1 G 9 Y Q l h n p w g F 2 t B m 7 w E M 7 S y W f z A 9 8 l J 9 O x J o / s k B 8 m l W D i s C r q l Y U w b l C I y k Y C / 0 R y E k w E q / p 2 a h 6 P J O z a X R W 3 A B q f S z G a 2 1 i G M M x Z / X d m P w k w C c X p X w 0 y y v F o u X s R M k r g o z G S K C p W D i v w Z z M R 7 x 8 t k J K g w L p F J a X 6 Y + R H z T i e m M z N w z D y H m Z o R R O r G e d s s j t f 9 P U J 9 V h J A Q R P 6 p 2 / G b M y K P f c N o P 6 U b h I 2 i Y c d / G a Z a X B O P 9 E S w P z k N H L 3 9 t D n O F k x k 6 C K z C R G R T q q t X g g / C L N U x K G q B f T Y z p C G c T G J U p m w T 7 x G Q 8 c x i z 7 b R d 9 y u d f 2 K n / S k M q x E F v D m A i x 7 5 w N X O 8 d M e Y Q m O B m Q Q 2 F 8 I H D 6 m + c n S V J H z S R O r 5 + j f V d 8 J M A m l S j u M t g k n G J O 8 U f 0 n T h g J h p t B w T D H T Z H Q c k 5 m s m k s S Z h J k 7 F K B D x D P L p O T 0 p R 8 / r d d p 4 4 5 b R a 8 R m Y S j d V + 2 y + W Z i a B z k y C B W Y S 0 H T L u 1 u w 7 u x O k k s z j j w 7 g q R k a K w C d 9 1 9 P 6 L x J J 5 6 b h f 7 d C / 2 7 X k d s 3 O L A x n Z S I G Z Z I J 8 L K Q N k r E f m B o 3 Z w 2 F n A X N 1 X Z V V U s J I b p O V s l c G A y / p H 4 o k H y l F q k + t M L S h H J I R M q Y d Y Y 9 r 6 e 5 r w q 8 9 0 I d G B V m L k B m t 9 O N F 6 r 3 h y d 0 x i U D i j l Y 6 + x A L x k r H G 9 G t a s D U s a 4 P m D h 4 I / C T e s i m U g h T G K Y t b 0 P f Q / 1 4 J R r O 1 H j l T U 3 y 5 i 1 Y j + v g I 7 q n J J 2 4 n X P U o K m X 3 w J L l t h f k J y 8 + U V 6 d N y / j z 9 J 2 G o Y n H o 1 9 t g R b j q A N k p j 3 b 3 R m z b u g k d D a 0 4 7 d R t u O C 8 4 q U E u 9 5 4 g 7 e j c + + V 2 o V k Q v Z v m v a / F l 0 1 M Z T V g + k n n 1 J H r D T 5 S j H z v A Q x B P o 5 Q h R G 3 y v Q D D L 1 w W x P X C 3 f F 1 S 4 K l V W + T G d 4 f y D 3 0 G q 4 X I c + / F P 1 d X G R c v y b 8 M X / k V 9 L x A j z 9 Q 6 B I / p b x Z B + 9 V Q + G X 1 d x F U Z N S C j R e 1 w u V 1 I j g Z w u C + p Q M Y s n L g 3 e 9 6 J 6 S a 1 J m n b 8 P p p 5 2 C L V s 2 o L q q e B 5 J I K t b V J I 1 I d k m z R U a D c p O L w L 5 T p m u l j x 6 p 6 m d + T 4 n y 0 T I O z Q b 3 e g I n K M K d c h M u 3 a G n F j U q w p S M E W k p w H z + q R j v X 1 o r K / W w o o q n f 7 / h o V k 3 Z K w q T i M K a + W w L m 5 U Q t j 2 i L D W g f T T 2 j 0 n I O T a 6 P w 5 Q Z 4 T M o w e 2 H 1 t q r w t s v t R K D N Q 8 f T T Z t 8 6 U y M A t i G V T q j h u m Q p w S t k z V Z J s g 3 I k 6 G K S E F T o 8 P W + r L z 8 U Z q U N V 6 7 T n 9 t d 4 M H e 0 o C H m + 7 X I 0 z n n n o H k 7 C i f z 6 W m C W Q k 7 F b R t E L s x W O X f O 5 5 7 a 9 U s y 1 B T c L w G e h t 6 P 6 0 1 E Z P K x o i o d D c y j s q E O 1 3 K q e 9 Z r 0 U C M 1 i J n k M B 7 / 4 z 3 D 3 D W I N + 9 1 / 0 S W I d H x W R c D W / t X H E b d 7 0 E D 6 K B a H f H a + 2 r 7 / H e 0 D U b m O / + h D X Q z t G d o D S 2 S U i D l q g E K 3 s q E C H S d 3 I B 5 O I B 5 Z 7 A e J G y O p o N P T t G K s d A l 4 z 7 H x a Q R D E U S p 4 X T + W U B k 0 G z y F W C 4 b 0 Y P r 6 3 T g m I G F q h V y l j V O v l 0 U u S j T C B C 1 J 2 s X z p 2 r B f z w T D m + J q e m V V M J q i p r e M g U M L O T / K m N s w e j S I 4 E F Q p H W Y o / 6 x 8 D y 5 G S d j S I u u D e K 4 w t X f g J 2 p 9 k s O a g 2 v 4 b h y c 1 J x q F 6 2 D w V Q / U n Y a W U Z E j j 6 c V E 6 S N U a / u P U O 3 P / 4 I z g + O 4 B f 3 f F b 3 H b 7 b y g M + v G d 7 / 5 Q h e f f O K h P w C o U E + Z S m E k c U y + B P J 2 8 0 p E 4 Z g + l I X X c x X y V b g q / / B K m 3 g i T W W y L J r v N M P t L F q r q 6 g 0 F E 7 q q S 7 M c 8 o l p H I m 3 Y v 5 o H l U h M f f M o q 4 Y W Z o 5 k t w e H 9 D q t 5 s h B G 4 c k f C y 9 0 M f w d b 5 A 6 o + n j y / 9 N l s b w K + z g Q C P d p S H a l j V + t a h / n b 7 l F T m 0 9 m U z i u t 9 k n u / j Z b N j + 1 E P U n B b U f O i D 6 v r y / P N x K 9 w P / D e m 1 x Y T / F x P M X O s C u Z o q x K 6 2 v 0 9 n i Q 8 f j d e v 0 t b 5 l + M H L q 7 2 u H 2 V l M L 5 7 F u T Q e q K v 1 I y e x Z S e c F u p L 0 U Q v t l L Z r z 6 G N p R k v 9 h X i A 2 W D E q t B a D B N a W 9 H s C / N P k h g y l 1 J c 9 2 C r s o 0 J i e z a G 5 3 K u 1 B g 0 Q r h 3 s i E A 0 p 6 / r t 1 W X D u F I q q j I / i p x b m 4 M J T P 0 A 8 7 W f I p F K r 8 h v S 3 p H s p Z V R j P w 2 p 0 H c e o 7 1 y M s u w t u O M F 2 l Y E w S 9 8 0 N U t 1 D 2 r d 6 z D 6 g Y 8 h 0 d + H N S 8 W Q u S T f / l X S B 8 9 S g c 9 j w 3 P P a M f L Y 9 4 d m 5 V / u q J o E 8 P i 3 e X h O 1 T 8 S g G L n k 7 8 h 4 v u u 6 9 G w 6 f D f Z L L o f l i s u R + f c v I E 3 J L c w R + K f P I H n X A / B 2 d y H 9 u 8 8 i 2 a I l n u 5 t 6 Y D s y u R Y s 0 4 x Y B O v b 0 k M q 7 B 0 E S Q q S a E m 3 u F E s g / J c B 0 O H x j A 3 N y 8 W i A 6 M j K M r V t l B 0 2 7 K s E t 2 8 U c O 3 Y M b r c H b 7 + 6 u L C l w k K y q j b O A 4 N D a G 5 u g o v n a n y t 0 Y s s 5 x j c N 4 X u U 1 u U k B o a H k V H P R m D g q M c V N 5 m C U l I 8 c 9 A u 1 U r R R a U 8 t u F s Z F S Z H I v 8 b 0 N Y 4 1 v l + Y n 0 9 w 6 P / A T W X P + m K b z K j o c y j n z d 1 p R v b 4 C G 1 p T W F u f I V P Z F D M J x D m O R H M q N 0 s Q n c g g O p V C M p S m 5 i p j F s r E r 0 A 0 p F 4 y t 4 i Z Z E J S S u 7 a 4 y Q C m n G D t 6 j D e d o n i p l 4 f j 6 h z f 5 L B 8 4 l + t R 7 Y V C p 0 j P w 7 F 0 4 4 4 a N k N o V M o P / Z m A d H V 2 o D B Q e z i B + P I E O S w S Z j B f z 0 2 l 4 P / g h E g Z v a V o A 6 L 7 4 I q W 1 N B 1 S 3 K d I m 6 Q z s Y i Z Z O 6 p D I z U n 3 L R v 3 K Q z a E V k m O k H C 2 A Y b d x D D l U a 3 5 / K 5 w V T s z R n y I 7 I P V 3 n + L 4 U G C m n o U / 8 h i O 7 t q N E H 2 P Y / x O m G k u G M H E g V 7 4 + T l G y 0 W I M N l U g 9 H o X j 6 A E c Y 2 w V 5 B H 7 e e 9 2 p A U + A s d L a s x Z U X b s e N N 1 y G i 8 / Z h K t P f R c 2 b j 4 J J 6 2 r x I b 1 a 3 D K y V v x 7 h v e W Z 6 Z B P q E 7 q H D R 1 X 2 i 4 y n h W 6 G d P n + A w c h 6 X S 9 x / v 5 N 4 W G j d U 4 d K A H O 1 / a p T b s m 4 6 V N + U E 8 h y l 3 V m 1 x q 6 Y S Y b N z E w C W Y O l Z g o 4 r L J m S m D t e f V 5 H N j x K I 7 t 2 k E p w g 6 L h D A W 2 4 s x d s 5 Y Z A 9 t 6 B x V H w e d Z w k D i b l i Q A b T n t M D E b S j Z 1 J 0 u l N T K s x u w O Z 2 w O 7 W z v E 1 2 p H 0 u R C 2 u X n M i d B A H h m a h P I Q x 0 c y C E + W q v u S z 7 w H H A 3 4 5 n d v w n / / z z c x V / N B 3 P z T H 2 P E 9 z E 8 R c f 7 v o e e x m T I j p 2 v 7 G Z b y e j u b i 2 D g G a E P X w I C f v J G r M K 7 H p U 7 A Q x 8 c l P o Y f m U 5 7 9 I h q 6 Z q M L / i Y f G v 0 t q K p z o O r y k + h H U Z A c 1 E q X H e n p R f j S S 1 U B / N 9 d c Q V e e v l V 7 N n 7 B r X 4 D J x 3 / B r + y x Y T z c y s K b h j W i J h Y D J + U M 3 u W 8 h s q 7 G Q h E a c G 2 R u h g L L R a 2 u H H p q r l t + r r 6 z S y F K o v c / v 8 b P N P M q K 1 W t 8 0 T V F U j U v o 0 S 2 I l Z E k 0 8 K 3 N 8 8 2 g N / g 4 H P v w + 9 m 0 O Y / U N l P w j O P S X n 8 T t P 3 w C 9 z 3 w s M o + + M a 3 v o d D R 3 q R o t P x / I 6 X c d M t v 0 C C x 2 + 9 7 Q 6 1 U P L e R 1 7 G s y 8 d w H M 7 j 2 L O M Y r h g T 6 8 s n 8 c + / b v g y U z q w T g P B n 3 t V 1 7 V J T z v v s f x u N P P I P f / O 4 P e O G l V 1 R 7 N 2 9 a j 0 D A i / a q C B x O q W 2 f x 9 b 1 a + E g r X a 1 t s B F j e e 1 z W P T l n U 4 6 5 z T k e 1 3 o L Z 6 6 d Q i g a F p S i H p U s P z B d o 3 Y J h / P p c 2 E I t M v i A 1 k M 2 b J c G z 7 6 s 0 L V S K 0 b E J t L H B U o l U 7 F f p 5 F h W a g r k U e f e Q A b R C q o I w 0 l K k K S x b W j I K N V 4 z 7 0 P U p W 7 E O f B r o 5 W 1 N H 3 m p q a w v H j x 9 m B Q V x w / n l Y 1 9 W 9 U I A k O B B B P u V D T e c s r 0 7 N E j w A j / U Q M l E X J U c E Y z X X o s L Z C P v 0 T m T q Z Q 1 N A a H U K O a T A 7 D R x o 8 d b c T 6 t 2 z S v 9 E Q 7 E u h s l u P Q p o Q o m L L Z Y O w 2 W p U 8 q u r N g d 3 l R 2 O B x + E 5 1 v f x l H 5 z e W X Y d M X / 0 0 7 w Q Q p R X z 8 0 h s w 6 H b j o s c e 1 g 6 S 8 P o v v g z 1 P / 8 2 f O t P 1 Y 4 R k Z / 9 A p H b f 6 V M p W J w S O h 0 y 3 y L W s Y i g s Q M m b j W N X i I P C L V U X l n J T w W 5 f T l 0 u i 9 + E o 0 f e X L 8 F 2 k R U d V s i p V 0 3 N v f S e a k 8 m F d U 5 7 q H k l C t d u a k / 4 j Q O Y + 6 t P k h e T a P r 5 z X C f s k 1 N r N 9 7 x j + g i w L P 0 d W q s s w 7 h M g N 8 S 5 U y f e W h M w N F j S W J C U 7 D c s g E 0 Y 2 T 9 + D v 7 M 5 X f Q t Q 0 h 0 H k I 7 N Z g s J T e W V b x I A S T F f g Y H B 5 R w X 7 + u G 5 V V t T j z j F N 4 L i 0 f Q 0 C a k E 0 W r B + b n n R s / F a u E Q v F 4 a 8 2 + W C r R D Z F S 0 i S e 4 m F b P w S v C k f S s L M L + 9 8 V d m / j z / + O D w k n q r q C s R p x s l e u J d c f L 7 a x u T k 7 d t w 9 G g P b e R R X H T h u U V m k E A 4 X l Z Y L g V x V q v X O 5 C K p t T C v 8 F 5 d i r I i F V r + U Q j s K f m M U 7 1 3 x S f Q q Z W m 0 d x D d 6 F T M V G Z K s K u y g m w x m M H 5 t E J 2 1 p 2 U 0 j M T 3 N 8 W y B 1 R d H N m J H o C N D m l 3 M W K X I H D 2 A 6 b / 8 F I 7 T Z k 9 3 d e G i Z 8 q s H a L 0 7 7 v 4 r Z C a 3 u e b C F P 8 m O y N 7 8 O 6 T x Z W O c e f f Q 4 z / / 7 / i l K S J F V H 7 U x f A l l o J 8 i L h t E R m 4 n D X e N Z 5 F A X Q A s g H M H A N d e i 5 Q + 3 w t P Y h c H o i 6 p K b J 1 r A 1 4 9 / x x U W t 0 L S y 0 G L r x Y L Q B d 9 8 Q f l A Y E m f n F K 6 5 G d Q / 9 m Y 5 2 z Q d T z J L D o Z Z 2 I Q T 4 u k n 4 r g A 2 3 X o 9 Y p 1 / o 6 5 T F q a J 2 i I I o Y s A U b m S G q R E c r W 3 Q C t T i S O o 1 4 t x L k B U c 0 k E e D D 6 M l r t h f 2 L F 5 h J k B z m / Q u + X W g 6 h I q 6 x S H z 5 a C F w 5 b s b I W i F l k S S 1 f w M U M m Q s 8 6 8 z R 0 t r f g + g + e h 6 v e d T r O v n Q 9 L r l m K 0 5 6 S z 2 l Q B Z b t 2 x A N p 3 E 2 u 4 O X H j + 2 Q V m 0 r P Q L f E + N A e S K u h g Q O a Y B D O H Y h z Y p G I m g b G K 1 j 1 t U t f u F j L O V k r k T k z p 9 Q Q H w y 8 j 2 X G D Y i b H z K u I j G o + W c 9 L g 4 q Z B B I G d l M r V q z J w t / o 5 H j S x C l h J t s h r S 5 5 K e w b t s r Q q + 1 y 6 o 0 5 C X X E B L H l + a d A 9 h r k 2 N Q 9 9 / H 7 g s / k P p c a 9 Z h W Q c q A 7 I V V D s J I Z m Y S Z O b 9 1 P R a n 0 m e 4 2 J Y E C E z S A u F m Q Q d v n M V M 0 k S r U c t b O e 3 M o 9 E R q J d g c q 3 3 0 C t Q m a R 9 C Q y l Z 3 P K k y e l F V z f A m S w S g c 6 z d g e t 0 6 9 l 8 c 1 X + 8 S W M m 5 a s u s b S C z G T J F F y B i c R + p D N B a s s o B m I v Y y T 8 u v 4 N i p h J I r 0 F Z j L 1 t T C T Z O C Y s M B M l D A F Z t K v Z T C T n u r m 8 r q U B V U O s o Z M F m e W Q p h p r k e b k + u Z Z F / I / c W l E J r m e x F 6 R Q w l M 9 D m V H T x Q 5 S N S K n 0 2 B P P 4 d V X X + d b 7 Z R j x / v 4 H d V 1 3 g P Z N e 7 h u 1 7 h c 9 B B 1 S d y V d Z 0 e g Y P P v Q I 9 u w 7 g K m Z O f z 2 9 3 / E G 0 e G 8 O j j T + G p V 0 a w 4 4 V X K C E L 6 3 x k j k n m O m o 3 e 2 k e a t u p m O F C l a a d J G o U H c N 8 b A Y j 1 H L V X i 2 j w w p q M X 0 i M F 1 7 J p J z M o + S w 6 a L C 2 a H z S Z 7 R B X M B F 9 r c V j f 8 f A j 8 P z V 3 y B G E 7 Q c Z H j a O L A W q n y p N 7 F I Y t n 8 s L c 1 G c O 4 A P n s i H M w j A R O 0 T g 8 X w W 8 d W E j d T K k y u 1 K G A t p 7 X f W x e H R E z m 1 i k k m Z t Q Z d + S u u z U y N J f X I i y p i 2 i J + m F 9 2 / V I 5 5 2 I D U 2 Q w L K o / Y f i b U K r O c Z O W i I N n / 6 k M t m l E t C e f / h H j r 3 W b x l H B Q I 1 a z T i 5 P j n H Z X w D f 5 Y f V e K v F 1 P F i A j N V p p p t s q 6 O f 4 1 O p Z 1 5 B M S J W B k W A g 9 9 N 9 v 5 i R R U M a M T Y A V x q L E E a y 6 R p e I o 4 l O o M H 7 T x n U j F U z w v l S 4 z L G r J m D 0 1 K E 8 S y E V i b 8 w j 2 0 v R s 4 P N K B p C Y 2 D L 3 x / c i 8 J Y 1 + a b p H E s B E C m O U k F H V d Y Y 7 d r 9 O i 6 9 + A I M j v e w 4 Z S y b i c S s Q x k Z 8 l q 5 + J s Y A N F q 3 Q l W s d G K M d a u P 5 o C v H m c b T 4 S f g m + u y b 0 S o N S d T M b s 1 h a s / j t M F J z A 4 3 V f Y E G t r X o n X d S b A 7 L R j v 6 0 M 0 N I v u k 8 5 E / 8 H d m B 0 d x q b T r l A 1 D g L 1 f g 5 4 K Y k X I K s x Z V d C B W q I s U s u R y / P O / / Z p 9 Q h 2 7 5 9 8 H z q 7 z H 2 k x 9 h / m 8 / j R w J P + 7 2 Y N P z B V N N I M J H 2 j t / 1 z 2 Y / M 6 3 s e H 5 5 x b C 4 A c v u F Q R 3 d Y d x e d E t 2 1 H 5 b 9 8 H p k P 3 I i e 8 Z 2 o 9 6 1 H V a A 0 q 0 S G y N Q x h G y 0 5 m s s m I b T 8 R 4 k s / N o c 6 9 X 9 e W F c S e C P T h y 3 c d R T 9 9 l 8 w 4 j I 6 I A I 6 t d s P N v P 4 u a / X s 0 f 4 o E P 5 m o Q Q 1 9 a V t O 8 u g 4 A G L q 6 c i G 5 j H 4 k 9 u R e e A u V U h n 7 Y t a A K Y U j t G f Y L T m Y m q Y z f o R E 4 y V B q Q t 3 3 t v x M x 3 b 4 K 7 T b N A J E H Z Y u t B j b t Q z i z H 3 4 + m j t N / 3 o 4 a e w S j m U G 0 e j W N J B P S W X s 9 x 7 A g K M v 1 m Q E J j G z a t F G N u + g P X 5 1 H L e / Z s m m Z 1 Q Z C s 3 p 0 c S J M 0 U 3 r p 3 p j s W U j W M R Q U i h Q L b x b B p T 7 m J W q n i W w k m g l K d V K w q m y N b B T h I M L E r f c t a e P x h F p H E G X m j J f G a l I G r E x W a Z h x 8 C s H Q 4 6 h i 2 + C M J D P r g b 6 X 9 4 C p 1 6 6 L l j 2 P I W D z W v 5 u A a k I I m 8 + k h S q H t 6 v N 8 T 4 7 X o y R j u 9 P Z B C Y u v R p i / L 5 F 9 y 2 y 4 x O Y f u / 7 0 W u 3 Y / u / f Q H T X / o y 6 n 7 5 C / j W F G + 5 S e W q p L i s V B 3 8 5 F + g 8 + Z f F h 0 v B / 8 F F y N M Y s 0 / + z i G a P p Y K U H D w 1 5 s 2 a C v U i 2 z d E A m W 3 c 8 u x O 1 D d X Y + c p O X H / d O 2 l e J 1 B V U 4 e J 0 S F K 3 w q V U i M W w c n f / y 6 S i T T q 7 7 0 b b a 2 l h q g G 0 Z a H v n Y L s k 8 8 j f h v X 8 B p b a X p R 8 W w 0 B / K 0 4 Q 7 T L + w 6 6 a f w N v h w Z E P f g 6 n z s 4 i 9 P T j q n 0 G b J G j y P j X 6 6 S t X 1 S 0 j e 4 z 7 b r o U l w k / d 7 e i e S v t f 4 S H J k 5 i A 0 1 G 8 n H 2 n h O x Q + r e h z S s A p 7 G 5 l N s s 9 N T C O c Y Z 7 s X Q X S V B Y 2 m x U D r w + j + 7 Q O D E V 2 K i 0 t Q l 4 r E r M 8 I j M J p D x e l b 5 m Q G M o y U h Y J n d v b n 6 W A 1 S Q m r O J H m q X Z X p c h 8 y m L 4 f w e B C B p k I m 8 3 L I J r O w O q 0 4 O u V A Z 0 0 G f W S q F r p I A 5 Y E T l 5 n m q m O 7 E f e v w 2 v 3 3 M Y p 1 5 X H N U r B / H 3 R L L J n l J S f k w w e O k V H P M M O n W G E o y T e I T J T u O x Y + d d i r H a S l x w 3 9 3 a l 0 Q f m b u l I q v m 3 k q 7 x h x 8 U Z Y R v 5 c C N g F X D s M X X 6 Z M v l Y y l D D T S O w V S t 6 3 q N 8 u B 7 l O P J S B z z O r / B P R f g O h l 9 D l 3 Y I Y q j G f G K L G S i B 8 9 Z / B 5 f R g A w l d I N J f s t p b K r O Y o q T t c M q a r Z X 7 q Q A h n o J 0 k I n t 6 v F b 8 f I H b 0 M z 2 9 D 4 v H n i 2 o J Y I o W + 3 h 5 s 3 N C N + V B K l c e u q a l G a 1 u 7 2 v Z 1 N x l K v J v G Z 5 6 i i 7 E E T c k q b 9 P C V C k x U F g V T Y h p Z 5 5 M X o a e / 3 D n P W h u a o b H 6 0 H A 7 8 d x u i 5 S Q / 9 9 7 3 s v H n v 0 C T Q 1 N + C 8 y z a j y m W e T y u v 7 Y K 9 e V S u 1 Y 7 L e A w H a X G t J s o 3 M T m p y i 0 L R M t M 5 w u O p 5 0 c n d G l i B n C 5 T W u g s p W 0 C W T S j x k O 8 y 5 g A v Q W z M / G K K 5 U c O P J E S q e N k G R m C W 9 u o x J W + Q f t u x G T s 6 S L R S w + L 4 E x M 4 6 W p 9 4 Z q y 9 X l S J q o y q I / P O p X 0 l e K e Z q 2 R m u u H o 6 q D b b I i M z a K o f d / E D P b t + O M H 3 x X f T 9 K h r I e 6 8 X A t q 2 o j y c w y J t f b D L 5 J K B S u j D N y B r Y R 3 d p U 3 0 S T n u B 8 Q 3 0 v v M G Z O f m F i J t M r s v j L U c p F J T a J b P V 0 O i c G n 3 H C L T t h s R U 5 l v U m v c l l C L J e g P H a P v S w F F k 3 u h m G O Z o V H B C 1 M I X y w V W c E r w z k u a 7 5 s 7 k V l y M R f F X N b G F 4 V I Z X r 8 5 j Q x 6 t X X Y 3 W i B a o c P / q A V R 1 r k 7 D i A t i 1 L I 3 w 5 K Q c H s j 3 9 g x F t u H Z m / 5 U n O l m B g d R D w a R N f a d X j 9 g T G c e m 2 J 6 y L + U x k a F 5 R W S 1 q i x 4 s J o 7 G W J o f u l I n J Z t Y 8 o a g + i C Z I J y 9 i J i L Y q 9 1 O J N F S z C R r U Q R V H X R 2 u z K o 6 M o v M J M g R s I 1 J t N E O t o j h 9 X 7 d b U Z p R 0 8 u S F s u M Q U D Z S O I M O F y Z z C L O s C V O / U c K U m m N P v Q T q m P Y u 9 p U V V P b 9 4 7 1 6 A E l Q g u / B J T C l H Z h I Z 3 S Q i y Q Q z M 0 n e l 8 B I w a n w 9 G I 0 I v s f F U w D A 2 v v v W u B m Q T R a B y z Z D C Z C A 6 H C 1 E x A + K E T w 0 0 I d D s V v e R 7 X T G w h Y 0 + H l t + j M F L D G 0 O g Z j h V 0 L u y r W w S V J x A Y z C Y o f T y G e k B k 4 D T L n J e M s e O X a d y J D Z q r 8 h 8 U r o S V D 2 4 i m S T F R e W e J j a v j G T K T 9 E j j E 4 / C V 7 9 Y 2 K h x T s + q F D Z z d 0 v O q B l S c E X y O p V p T z p N Z 2 M a M 0 l / 6 3 U z l k N j S w e 6 u t v Z Z R 4 8 F G n A E 3 v z e G S X a a y W Y C Z B a e m x 8 r 1 e 0 p m x F E / S L 5 r I z a t M Y w N e / 2 L H T J Y T G E h S z c d n t O h M Z d f i b G f B t D 5 Q o b 5 8 y c K u U p C 5 3 N o u D 7 K H q n R y J l B c D v r g 4 z 4 4 P W w T N a n A k t S S J G W e W A Z m L M l O N 6 3 o X Y C t U i 0 p D 4 3 E 1 H X r / u 5 T k K c c 1 E e y 7 v v f 0 Y y d 4 S F k 3 G 5 I r f O x 3 k P o 3 / 8 q D u x 4 B M f 3 F J b A V H l y G I i 8 o L b 8 N G M w q K V C S d 0 L B Q 6 + O L h m B A I B 1 F R X q 5 0 Z A 4 E S s y W f x u x Q B e o 2 O J H K a I I l Q D p s D u R h t 1 A E 6 N v m r K Y E S L v 3 H A z E d r B H t b E K u N x k k O X h 8 R b m 9 m Q C e T q p P V 9 i P q S 2 r A 6 8 7 T K 2 s Y R 4 F o H t d j d g / P e / Q R s d f b l 7 M p 1 e y K Y x Q 1 m A j p p F Z r Q k Q J v v I g V X K u y S i k W N m Z E d T / T J b Y l I G 4 V U B C p 1 T d v U w A x V h 0 I v / P K F D w T Q X m u B P z Z F e l m a k c w I 9 h e W t 9 C + I X F J 8 i h h V M F R B f 1 M k G 1 o j O L 0 b m u V m v x b D k Z U O j Q Y h K v C C U + t E P i E a r Q l X j z v I r A P a d q s o r t k S E 1 z N h o K 3 4 v p 5 8 / P s s 2 0 p 2 Q u g J A o 5 K a r N K K S C J I l R a 9 H L 6 c l y y t k Y J o C p D Y 9 y 6 A I e v B E 1 v r k e B 3 n J d c g Z 7 e r b Q l y M u C t r d T O T k T o E 2 x 8 + A F s e e E 5 N H Z t Q P u G 7 e g + + T y s O U V z Y s W X E n T 6 z 0 N d y W S k h P x l Y a O Y p Q o U U q W l j 4 u Q k r C v a K 2 o i p I m o 3 n Y m j k W p K Z j 0 9 r u 5 A Y k e 9 p Y l O l w a M 8 y p j O r z C P J / J Y w j 9 T r E w z F X l I r i k V T J X M R F Y l U / b U U y k j 6 O p f 2 f C 2 8 r V Q n 1 m r U k f h T Z Q R W C f p + d A v 7 t w J N 3 / p H u H 0 + t T p h E f Q 5 y 3 J Q T 2 p e + 6 V 8 L K 2 i 1 J L g / d J G g M e 0 x k u Z u U b 4 n d f b S M P i / A s a M X 5 o m Q I x J l R 2 e R A e 1 t w g q y I u P R N 7 o T F l 1 g C Z b V Z v m f w y M 2 y D m g 1 a 0 W E E H D j w k k J D 5 D 3 F p m B s K o m q 9 S T b U s G m 7 F a z C V I g H h G C 9 b 4 c b N E B t r m F F E / p n E v i 8 K N h 2 I 1 6 c k T e 0 c D v Z X 5 G G F M n 3 J i m D Y f 5 s 9 H E 6 7 w W j 5 e U N r M 5 b P D V u u H 7 8 c P q r J 3 0 p w T W 9 j a I q 7 r z z z 9 B X q A f w D 7 J U F M l E 1 F E a a Y J x J w s h T C S m j 8 j R H t 1 1 h S e Z S l Y 0 h Q U T s 1 k 9 H l p 3 g 3 7 4 a I 1 Q M u U T J 3 G l i Z p m V A x r 0 U B J x u T y S Y L C + D x Z j K r m i u j p J Z S c W K i G f X 6 G p 3 n o d r R h W b 3 d r j 0 H d V l L d e S W C Z o J S a r M Y U Q k a K g z m r 4 p 0 p 2 Z W F 7 1 H a v R C 6 Z h O g Q e Q L 7 m V e r Y 3 b T 3 O A C D E 1 T F n w w 9 X 2 J E B a I J l o C C 6 l Z J T Q u q 2 1 L 0 X F S K 1 K x J I b 2 6 0 n W v K c l I e v s k h Q a 0 + p 9 V v x K E q S n V n N L y p t 8 y z R I E L A 1 U S K W 6 Y B + L S 0 + 2 3 G c A 2 j H 4 M F d 6 N 2 7 E 9 N D b A Q J V 5 Z x z I z 2 4 f D O J z E x c A S j R w 9 i 4 N h z c F D y L 4 L 5 + q I R 9 c / K r t b 7 0 J E 4 z E f k A U q e 8 H w a W 6 + R n d J N z K 6 f k 8 4 V H H S L X X t w m f J o c Z + q i K 1 c a T N B 5 S a 7 8 q U i w 5 r 0 c m 7 d o n I L 4 v 3 a l M H B C Q f m s h W 0 t F r g o 5 l W D q q 9 J o g Z s 2 D y C U q Y W V l M J L 6 8 o x D i D g 9 4 U d m t M c K R s T R 9 M o d u y v J i 8 o y 6 d p U c y S w t i d A M z d 2 s d l 2 Z X r P b b U p D y W Z 2 B i L x N O L Z I J x W X a M T N M b 0 d 2 W w L H E X 4 N e L + U f q / x b J D E 3 4 s R / Q K m F / s Z 2 G j / b 6 F V f h P P 6 1 r + n G n X f f h + n Z I F 4 Z 2 q n K y d 3 y s 5 / j k U e f x N G e P k x O l S m b s J A R U o a R D K j 5 o p K O X w F R i m J x Z c z u j C B q H 0 P d u g x 2 P 3 S U F k K a f l q n K n w q d d 3 l v d q s j v Z o I p t E f D a 9 d J R P q y 8 u n V O + 4 V K Y X p w / 6 0 A b c p 2 a a W K G N V K J 6 l p t z i l M s y w g R K t r Q s m G i I y G d Q 0 m g 8 h 7 6 G k t y y G S o m 1 r c v 5 l H 6 e 8 z i B v P P s G T r p I 3 5 C 6 B E L U y h 5 f C h k O n L 2 G z y y F 6 Y v n a o 5 d q C 3 V a P z d f T T / M h g 4 Y z t i j Y 0 4 / f V X 1 b o s I 8 q 2 H M Q 8 l f s v 2 Y b S M K 9 + y b m j W X i a s n D T b J 6 O y m Z v O Q Q 0 3 k E w w R / l r c p / W G q O y 4 z j M 3 a s q S 3 W n v P p Q V Q 5 O h C L x e H 1 c m y E W B f K t B F G e 0 u P n y B 8 Q z 9 C t P 1 v 9 U / A L v a p 6 N 7 6 + + + l G S P B E L u i C a k 6 l O Z f 1 9 Q L y F e t U U t 0 T h j i r p i F 6 g q I Z C a R y p G O K M R s I s h E r I i Q N W E u U o V E y o m T m i u w / 6 F R b H 0 r F Y p p 4 d T I y B h a W 5 s h W T l L D o V W r H 8 x B Y S H s q o m n C N U q y j V z E x S Q S A 8 r 9 m 9 B j M h O U J m q u F v q S b T s 5 g / K o v W L K h o F W l F o h B t q D O T z J F I F M + I k p V C m G l U 9 w u s 0 c E F Z h o 5 M l L E T J M R S m 1 Z e a x j L G z S C G b / U P e 9 j L o X p c w E m i Y n z c w i E o n A W + u C t 6 U a O X b k + M Q E g s c z y E / Q T F i C n 8 b j e / V 3 5 F U 2 u R w z C a M J g m l T k m Z q C u G x O D L J D K o 3 2 B Q z C e p o 4 h r M J K h 0 y 9 a k q 2 M m Q V c Z U 1 S Y S Z C y + N R j W M S X L h O J / L 8 w k 0 C Y S T Z 4 s C Y m 8 B q 1 k 7 C J 3 M 9 a W a G Y S Z B J a v d 1 8 I F y z R c o Z r I F j 8 I x / Z w 6 r q B S i V a A Y d I J F v y i p Z H M h h Q z C R x 0 H c z M 5 N R r Z V T 7 5 9 F c M 0 n t 1 Y t t V 7 c o Z t p z 9 4 C K K 4 z T d R J m E s j x s s O R J S H J + o / Q 8 R R y q V l V B 2 2 + V 3 P i A u 0 2 O L w 2 x H x D i 6 h E l g c H q r Q H y h u 7 j 0 s a P u 2 Y 0 H A F n d B q + L r m a e u H E I 3 J t o 4 8 3 2 R u 1 Z J o v G Q a 8 T M 0 l K F W n f n y 7 P j h i B Z Z m z x c C F 5 I n l e D n x 3 k q N d X V K r b F y C V U A 2 i M T p f Z y g F 0 7 J 7 C 8 0 k e 2 0 N o h U 0 6 1 z 0 X w a + A 2 t n l 5 K u + W a n W m Q p j 5 C Y T y h t k p H J Z 9 0 X a H I V J k v D Q 2 m a b Q k k Q 0 l k U 7 K h g d Z e g x k q 3 X p 7 O L C h y U o E m j 2 w O u 1 4 e d C p 5 o i M l z x G I r d E 8 q k J f b O 6 A D E F G Z b S j q P j E 6 q / 5 W v Z H V A m T b U 6 6 b y b 3 L B k l / O y 0 E N w R p 5 n O a T p p + X c F N J h W c I I 1 H z n W 9 o X O q J D h U F S e a B E t n I D 0 n U X k r D S s E c O w k 7 h a 5 9 / B b 7 R m 2 C N k 1 n K + D 1 F p q k o B V N u a i n M i c 0 H X p t A K B G g 2 e Z B K k y T m o y e M s 2 5 u V R N 9 7 x i K n m 1 X 0 2 B S g f 1 4 C v P Y 2 h 4 X P m o A 4 M j G k M l 5 l O Q z c F T 0 + J 8 0 d l 3 u W i z 2 1 C x x s m B r V F O e t U a o 7 P y m J W F h G V g h D a V p l K h 6 b x K 6 5 E a e B V d V n 5 v o b / U o L K O f Q F t R 3 N L Z n E Y s 4 A C F f T O 2 J T p J t k I w h B S G b T N r + 0 h l L M U O u 3 o l E g 8 X d r Z t A 5 r 0 3 e i C 6 u 6 D x a a d p R 0 5 j k b c 1 E Z W V 6 t Q 6 6 i z t B X A b / i u x r J q k b E a m r w y g t P 4 o 7 f / A E H D h 1 B z 0 i / 0 i Y / u v k m 7 N 6 z D z t e f B U P P / Y 8 B q a P 4 8 C 4 n U L I g Q O g F v K 6 E Z Y Q q x 7 g k Y y F I r D P s t T S U u g k k 7 P g 7 I 6 U m i O S V 7 W t R f W G W 3 w e n U j E 5 C y H b i P o I Q E b H b J z n x l J M s 7 h 3 i G 0 N G n B I s H r B 4 Y w H w 5 j r C + u c j g H R G C Z N o Z 7 5 b X d + M / / + j p e f m U 3 H n r k c X z 9 m 9 9 V T C R C R N K c n n j q W Q w M j S E c l b 2 W f 4 W b b v 6 F f i a F B 3 m 8 / 3 s / Q L O k n p F h x t d q c 5 m v X X y Z W g F t N T b g J s x + s F Y 4 x o G M f 4 v 2 q n o L o i 1 / h Z y H 7 S 4 t 0 C r + q G g b M p o l E 4 Z 3 6 G e w h f v 5 s O U 1 l d S L F 1 g o c b d v 3 8 D z r H B Q u D h c N i T m T O Y A k b R p 9 6 p 1 t K H W t V a 9 h C 8 u f + t F e P S B x 9 B 7 f A A J K q J V Z U o Y C 7 5 i 2 W m 1 m H A 5 l G Z O 1 G V S y P u 2 a B 9 E o h R 1 A m 8 t F W W X 3 E U x p + Y C J N y 9 d 8 y B t f Q B p N E Z U I r Q g p E a 5 p b k M H Y 9 N Y 3 T 3 l a c H a x B H k 0 j u s m I V Z v 8 L I L I K D J n 7 C i V 1 W b j p 7 w t N Y g u n S R D o o 8 d 3 n b / b x F N t q u 9 X M 2 Q + S C p 0 B S l Z p Q C J a t B 6 L g d j g 7 6 R + Y F a t S M Q g S p X D 0 c b r u a S x L T V R a y y X P n 6 f R K b q S Y G X n 2 q a 1 k c z y Z l 6 t e 0 O w r I 0 6 T 8 v D h Q y q X T Q r v r N t 4 E k 5 a X 4 9 M 3 q N W E r z 6 6 m v 4 s w / d u N A n M j l b d j L + B P C S 7 j u 5 T j 0 F j f / z B T r 1 d X i F x 8 T w 9 P z 6 I V S 2 i x + n J 8 0 a t H E i 5 e e E m U y 0 Z 4 Z j 4 l l k A 2 u Q 8 0 o V Q b o X J c G H R e D t p y c i a K z o o v + U h K M q T I v C j U o y l J V M n n M 1 q T 6 R 1 8 O v A d v X e z A w v g q G s q R l L y P N h i 7 X i E z c j o m R M N r W a 9 v X S 6 f n 0 y 5 y O S V i f w u o t d V x a z 5 O f q I 5 p T q L k L E R N W o 2 t w y o j q F G o y Q b T T S h O Z B d W C E p F W J z k p W u I 0 m z r m f H / o I P J R N 3 Y t a Z I F E 1 Y 7 9 U h V L H V b S V 1 U O C n u K z 1 l N i p R V h u W a e R 9 8 7 / x 4 p e D F 2 y d t x / n 9 9 X v 1 8 k j 5 Z g 8 x n 6 Z B Z + g r D b D N B m E J q D p R C 0 p S E A f y T G V S t t 2 C Q J l p 7 R Q Q z h 3 O o 3 e p b 4 G u B B G L I X x R U 9 D X 1 i d v h 6 C 5 V O 3 H J I I c J M r c 0 H G 8 v e v 5 Q k u 3 V l 2 w X Q Q r j 0 O w T h C N R + H 1 e z K Y X z x v K v I 3 s K n I i k F B 5 H / 0 n E V N S Q 1 1 8 q p m h e c x + 5 M N q r N c 9 / y T d i i i q 1 h a y Y j S Q p q Q W u w T I z N M o b x p 5 e P u / i 6 H m d + i f i 7 F c / m l a G M u p a + y S / E I R / N P B Z Y I S B o S Z Z K 5 m K Y 6 e m 0 q h v b 0 L 9 / / + R Y z 3 p f D A / 7 6 s K t f 8 6 F t 3 o C e 0 G z f d 9 A t V p u v H N / 8 a 3 / r R b 3 D 4 6 D F 8 + S t f 0 8 p 1 y Q A W Q Q a Z / K 2 k D B m T R F / r z S n z x 1 h u b E k X Z 1 u 4 q L 3 W b h G 7 W S Q a p Z u Z m f T r L x C 7 R P P k d y Z m k q Q O L R / Q z k G j c 8 m / E z N x u O g z R a r O x e C W 0 9 h Z W Y w 9 8 L / Y + e p u 3 H P v A 0 X M J C g N j R v Y L c t 2 y 0 D S l M Q M r V x H j q B W q o p T O 9 k 9 a t f 3 d E S q S B U u K I E Y W b p i M J O g z b 2 h L D N l 9 X 1 0 z c j b K o u F C V G W m Q R k p k h U M y e F m Z b W S C u S z S K 8 e O X b 1 C R 5 X i 8 W I z t Q 1 n S 3 Y N 3 9 t y p m 0 r A 4 / U j R g f j h Z K Z y S Q E L M J v t y 8 K y w E z u 2 D g 6 J r R a i Y L 2 K W 2 L n a V g M N P U F I W 2 M J O + J k w g + x S 3 1 J D 5 l 9 R Q p l D p a k w 9 2 X l O 6 v Y Z y N O + r 6 v Q J j O H p T I t T a h 2 a x 0 7 U g h e b s m X c i p 5 j p h X E m y Q b U j U b u g F y O x / l t / 5 n T l F u M 6 p F 5 B p k F m M Y o R n Q g j U U r q q O T S a g p K I K V / o m 5 p J 0 Q / R P g o S l K B U D L G N F U b Y 2 0 w 7 1 J C 2 S C 9 N h A 3 8 a Q a 9 F 1 + O Y 2 T q t z 5 P y b o E j V E J L / r u 5 X 4 X z u 4 q X l V a i i O T d m x s 0 A b G Q l N T i v q n Z b 6 D Q i l O r V x u J 4 x y M D O T r d y 8 X h n 0 z k Z R 6 5 + G 3 9 5 E p t W J W Y J J + l z S / P w 8 s t 7 i r B m B g 6 a P Z F k k 4 l G 4 P a U a p T x 2 0 L S T 6 J 4 s o x + O v Y I 2 c 0 Y 9 n z u R d c J l 1 2 q R L I s y F g h k p b k s j l 0 W 0 o 8 W x C P 7 E X M U T + q a 0 T H 7 N O Z q / 4 x K Y f k + z G S y a n 5 P Q S U j a y Z 4 e V E j S 5 V N o d K V m E k g z G T T 0 5 M E 1 l H N V h V H u 9 l 3 O t p 8 Z 9 B m 5 j F 7 g L 4 f b y 6 5 U 0 L g o i 0 o R R P Q P + v o n Z G O z c N D v 6 R / V s t o F n 5 V t S P E J C x B 7 w 5 d 2 9 k r M J 2 s R d b e S J 7 h f f Q 0 q Q V m E u j R K M V M J i k j 8 A 7 8 E M d m X I q Z B J K B k C Q z t W / o J M G X R I y E M U k M x 2 d s C 8 w k I X / J z 5 N t / F d i J o E w k / h H A m E m K Z g 5 n X E j M R Z D l d c C S 3 Z 2 I b x u R N E S 2 c X D Z i M D a q / V M Z P A 4 z 2 K Y G a o k G E u E G a S 5 0 q N o a q K U p i E X g r Z N k c s l t U y 0 6 s f / q g q C W B Q h z D T S P w 1 C k o + N / v f M b 0 T i e H o y s w k U F F a Y / y F S f h a k Z k E 2 r W X Y y b B Y M 0 l 8 K R W T j k y m C k l E V v S W S a q m S M L I y N 7 6 i y o T W O p M r G i 8 2 a C s U b K E c / A s z G q n W u v 1 m a T 5 c F 1 h 9 F q C k w Y m 1 c p k 0 7 P K R S s r Z X O I k G l x 3 B S k y x p 0 K N a N g 9 s o R 7 t R w u g c 0 h p L j g + a 4 e T l 5 T f i 7 l j X u B Y F v o 8 i M A x + E v E O j + F d X X F T C a r b L f + 4 p f Y M x l W S 8 B l 9 2 + V E y c E z m d b U 1 t g 8 O r 8 M Z W f t 6 m h E M p f C f F 8 F L Z Z b Q p A 1 u G I m V v R 7 l W b V j / 0 x G 7 s f v 1 1 B M M x / O S m W 2 B 3 u r H 3 9 d c w O D y K X X v 2 I x S N q 5 f 0 l f Y q Y K G G v u Q 7 l o F k i t R b T l t g 1 A X I Z 3 3 v 3 1 p v h / S u e l 8 K G d 9 y 9 C E L L P 0 X X U q a 0 s Y z O i D F d T i m z + i m H R m y 1 X M G G Z l a k f 2 f b j g f 1 l w A s 9 H i 9 p d H g Y 7 U + 5 J n X g 5 5 Z f I X Q / l M + l S M Q D K A K A t V / u N q 4 N S X 2 9 t 9 1 L / p e c 3 k k 9 S Q v G c N L 8 z H V k y h 3 S C R n U c 0 s 1 j l l 4 M E H t y U 1 g 5 K j 9 h 8 J X J 1 2 m j K Z F n A Q n v c V E 5 K Z v 3 F j 1 i I c q 2 w w F E g U b p q r 0 R V x N K O q 7 U 3 C r o j f f j 5 I 9 h 4 / o Y F K T c a s m k h 9 u V g c i x 9 I z / A T N P f q b m h 0 g 2 u N Q h J W N W s u t O 6 O s l s m J Y S n p W i M w 0 e P d p J C B H L i t H J i E M t 9 p v r e w r V 3 Z d i 5 4 A T Z 3 V o f R f p d 8 L f V T D l l g S v r Z 5 F z 5 c 0 I 5 K Z 0 X Y c L B P 8 i U j g w a 8 9 y 0 T 8 A G z 5 b a g j M 0 + w r x s X I q J 5 z K R o / l J N 2 v S J s 6 G + G b R 1 y X K Y x c R c 4 1 y D n Z d e i Q v J V L w 4 U g / e h 6 M X X c w 2 5 r B h x / P 6 r w q I Z i b h t d Y j M H c T I r W F i l B l I c U 9 T y T q p 0 M 2 V Z C N 4 I 6 + 8 j z q u 9 Y j 7 S 1 M 5 t Y 4 1 5 Z 9 D t f Y H 5 B s f o / + a X V Q 6 7 R k 3 k U x k 0 B J K l 5 c Y v / E a p l J I I 2 y p 1 O I D a 9 D u i a J 2 Z i W h Z C W p E 0 T M w l k 1 t + t z x G p O a E V m E k g y 4 w d J H R 5 B T M e t a m X g h A L z a R N F 2 z E g a c L y y V K 9 / 2 R 1 Z R q h w w z h J m o F f 1 k p m j b p / k M e V U Y R p h W X s V g 3 2 R j q 2 c m g S 7 5 Z W 1 Y o 1 W c 2 A K D h 8 J R 2 u E 5 J G c H + D M n H n 5 5 C k e O H s f J T T H s 3 X + A H T e N R I x M Q q v B Q r 8 m l a T g E A t C T F T d k p B n U h D / R 5 h J 1 0 Q i f A z 4 7 T S R y k V S C Y O Z Z P d D y R g Q Z h I Y z B S n u S n M J M j b C h K 7 v b s W G W 0 3 g U W Q O c p k J q b N 3 1 1 4 v h A G 1 j / x u K q v U Q 4 + e w O t 5 q x i p l A 8 r 4 J E Z S F C 9 0 0 w k 0 A W b W Z S a V R s r E H K M 7 f A T B n e d y k z U 5 j J G p P 5 y o L V t B I k g d y 6 s A G w G a 4 m O p z F a 3 n K 4 f a b H q Z G q k Q A d t R Y f A h a S N x 2 M h U b 7 7 K 5 M B d t p B S 2 q 5 Q i w w 8 w I B k N a k 2 T n l F d D p Z 0 Y U L O y C o Q O h f f x 5 6 W j Q M E 7 B A 3 1 T Z / m w 0 W O l z M p l y m Q A Q y y V t u s N w T D y D S + m n 1 X j b n U 1 k D v K S 8 9 o y U E K L M w l M L S 1 L p i U J 2 D Z T 5 P I V M G A F P F m 6 X H b X N H f D P f B 9 n X n w R N m 5 Y A w + P n c K B F 9 / S L g R O Z p C s + f F Y N S 0 G z U S K k P h l t t 6 Y s F 6 A m G n 5 9 K L 5 N q l l a I b 4 o y J N j b V Y U k R F C p S a k S d z x s h Q B t I l / q M 4 5 Q L R 2 K V o X t O O 5 O Z O J D + v b X R n E b 9 u C c I V R E c 0 v 6 Z x 9 j Y S p X p b g C z R o H T z 3 f h x O H 9 W m C g + E U i h H D F N Z X W A G Y m 4 7 G p P o Z b K q F c p c l 7 S J l 0 M 1 / h D + p G V U T b K J y W T 5 l J G y n p 5 C G e n Q x V 4 8 c W X 0 N X d i Q f u e x h V 1 V V o a 2 v B 0 N A I m h r r 8 d a r L 0 H G N q f s 1 C k y l S y 5 E M n f P 2 d D W w U 1 j o 2 D Q j V u o T 9 S j r F k q X e e P o W U H s 6 k t 1 H y F b I A / A P f R a S z u O T V x D H 6 L x 0 S X u Y P 7 R K E 4 G / 1 h F w D k o 1 t Y 8 d K Y q 1 j Z i d S j Z f y R v q X Z S B M O J s Y R z Q V p e S u V R F P y f E K e M p U 8 l k J u g k 4 H H k V b f 4 z 1 S G Z k 2 q c + g 6 Z W n s W W Z Q o 6 4 y C x 6 O o X F O s D W U t l b k g i E D W X 4 m w W M R c J b A k h 9 i X 7 W q r 1 t r a G v T z v H L 5 f f n 0 O G b z 1 A Y r Q B a R y q T w c l j K n C p F b D o B b 5 0 E k M T B N w V I B P R L X r 3 s e m g p y k D E t L p 5 O Z T z 7 X z p O K J l g h I 1 p M 8 U G U o C a w 4 j c l c C / 9 T N i N R / Q v + 0 N B Y x l N i 0 i U X z Q 4 v h z K a R k j p i J k h g w G G j e i 2 Z r Z Y 0 D R X a d O m T c 8 Y d F 2 b F i 6 F J c k k v a s d g 5 C U 0 e U / D v t E A z m g r + B O B 6 R 9 h 2 P 8 p l b 4 z F 4 l j e 5 u m T V 6 / c w S n v k s C t C Z Q Q P i G f 4 x 8 M o d U 3 Y X I V J 5 M i U t J T 2 K u t k + y D c t n J 0 9 z c M i C b H a h q 2 T p Y a W r u O q R G e Z w + A K W q M z j 7 / 1 v B N s + R z v f j k R u D t l Z L / w N H o T 7 X A h 0 r x w p F B y d t m O D O Z g i 2 l 2 f M h B I W N 1 K B 1 o I X J Z y B J O O R c w 5 T y G a V Q t U e C p N y 7 Q p Y L M 6 S P 9 o / S Q 1 I w Q i T I O p I V Q 6 9 a h v C Z L B J F y V e s i e c E 4 + o T Z t U 8 i E E D 7 Y j 0 O f + n u V T V H / m 1 / B 1 r a 0 R W N G N p d S 2 f S r h T C V l B W z L e z 0 V w b U B u 6 R 3 y P R 9 n 7 9 o 1 g z x U K l i K H E e Z b O m J l N o 7 a y C j v f 2 I t N r Z 0 k A h s c T g e 8 1 D A g I a b T N o Q i M U o 6 K 6 a m M r A 7 r P A 4 v c h H P U g 7 5 2 j K u K h K M / y 9 N j i L Z p 9 5 R 5 n B V 4 s D l 4 M e c N D 2 n i 0 e f O / w L Y i 1 f Z y E o 8 1 L y I S v Z + Q O x J 0 b E L N 0 w F t b C 2 t 0 F N n q k z A a s q J F d q G j q b Z r r A 6 n t x V H c G S + R 8 L z z x 1 3 4 c I 1 G g G L W S R d O 5 n o o 7 m 5 t P S X 0 m n V J e Z S e W j E Z o Z R + U h y G 1 U R S J p r k Z k U P B U 2 2 P R V t / P 9 U V R 1 a U w o w R z x P 8 s h x S a a 0 u E 4 2 H m M j g 6 j t b V d M Z O E 1 E v v b 8 Z 4 v E + z G H Q Y J e H + L / B a G 3 G s Z w T b t m 5 G K B R R d C G T / o b S E m s l N s L P t R F 4 3 J p A t C R m E E Q l K i Q 9 h H h R T 0 0 S W 7 D N i B K u A q s J q B m Z P Q I p T + 2 x a Q G q l W B J z s I 1 + z Q S z e / S j x R g 2 d 0 z m 5 c K Q J I i o 6 l J T b Z I t q 1 U B 5 U b y k p P q T 4 k H W D j u x w 1 k C X P Y x a p Y c Z O V 5 N E 8 o d O m Y W a J S f f F Y i 2 V l a E 6 u l L y u y R H 6 8 G y e P I O d f Q 1 r e h u S R i 5 x p 7 i I 7 j 1 f C M 3 o 5 E 3 d v J n A X / a e 8 9 Y 9 h + X T O Z d o T H i 7 W V M Z + l Y K Q g m e h M 0 p S c z j 6 O 3 y q i a z q 8 m Q Q 8 v s L y E U n Q 3 V C f U e a i r J g 1 E 3 o p o g n + Z o T 9 4 Q r C 1 0 A m k k 4 m F u a T + H F + I E 6 m W n 7 + R J b J S x E Y l 1 O I t u D 7 S V m A W I K O N a 8 T c I X Z G C 0 c L s h n w 5 j P j C 0 w T j q X h M O Y 4 P 0 T o N 6 z E X f f e z 9 q a m p x 6 i k n 4 4 k n n s L G j R v Q e / y 4 e s z 2 t l Y M D w 3 i 9 D P O R E t z g y J w g b / / O 5 h q + R x e v + 7 t c E U i E P v B X N J t O U h 9 C G N e z T D 7 J C g h 9 f g j y S n 2 g T Z p H Z q L o 6 K 6 u E + X S z t a C p 6 p / 0 X S c x a 8 c 3 c i T V 9 0 Q U O F M 6 O U c v r 6 I M K d T S G h Z 9 h m U h 4 8 t + t l B H x + B K M h r O / c S J 8 m g c m 5 G T p z S V x 0 + j Y 4 x 9 c i 3 b r Y b h V I w K 1 S A g d 6 6 F k J 6 9 V A D 6 e L / y X S X M 5 T i + S o z g O j P 0 C 4 7 R 9 U c E P C 7 2 Z T X Q b m y E v H s P m U F P J 6 Y Z F s e h J p a w 3 c N r t a H y X 5 g Q t Z A a Z z D Z S z w S N J m m K u Q h + Z 4 e Z z + V x r d I b l c 1 I Y H R x 3 Y E s d N a g I k T K 1 D m Q r z 8 r 5 e G E H E L Z b l n e U m 5 y d 7 0 3 C 0 2 C B K 7 D 4 O z H h Z P m A G W X z C F W E M M k / Q c x C i t F Q W F o K g x H S s 7 I r 2 d b V 1 F 2 U w E Y 0 n E C g 0 q t c B Y n Y m b E S g U p B n I p W 0 3 I L I k E r w h c Z h e v j / 0 G 1 O Y 4 3 e K z q A z e i 5 q 9 X 9 l 9 K U W 4 M h T Z k a m d q L o l q f d m 6 A V E d 5 a p 1 n Q g U Q 0 k A w q j d X A 4 i g W O y v 8 0 i W O D L x B A e a Y O 1 k 4 S z D M S E q K F K z Z d 0 + m r w 8 o A D 5 / t e h D N 3 h I P o Q q L p P b T e B m C r 1 B I 0 J Y J o R A E N 7 H / q M L b T b P f + 5 S c h J R 7 P e f Z p x X w S T h d B W P T 7 E t q Z S / W z P x Y 7 7 O W Q T L v h c m j Z G M s R k I X S M e 8 q + I s S j J i l o K i Y z q J S 2 z J Y l Z 6 W e h M l j 6 J g a N a Z I x H U b i y e Z j C b L q U o n l P S M J N a T G j G K o H Y a / u x 4 V + / h e F H b 2 W j V 2 Y q A 9 F 4 D D 5 P M X O I 9 V J D I b M U p A R 3 0 U 7 w s r k c / d m Z m z 6 O i T u O 4 S 2 8 / W 4 e N p d Z O x G U Y y g D 7 n Q c i T I B C n O b l + v X p W C V m 5 Y y k 7 F S 0 U B 5 Z g K Z K Y 7 I V P O K z C S o d q 9 R 4 V 8 N b G h q T J l k W t U i m W u Z 4 P t x d q o 2 B 6 Y g N j C / 2 1 6 7 E 4 m a M / F a / q O Y q n 6 f 0 l z + 6 A 5 e R j P L M v p C Q j O 2 X b o J h / 7 5 m 2 r 3 d b l G O h i E l 3 6 S z E W Z m S k s U S 3 6 j t I P x m u 1 z C Q w m E k g u 5 I s B T M z S T R L J r b b p W q R r v E k m 7 6 7 l s y k P 4 o w n B n G c W G m U F 9 x M M g Y 9 I H B x S t a S 5 l p L l W a Z a J B m E n C C e N f / C 7 b l 4 N t f P V z k I J S Z h K I m 7 A U Z M l 7 9 f o S b S v B o e Q o D t 1 G a 4 i P d I h a V 5 h p P F F Y / V y 0 4 n o Z y B z a c l D M F C 1 n b R Q 0 t j V R f t 3 f c r B W 2 B v h t z U i N Z L k w N h g D 3 t g T d V z n C v R 9 9 Q u V N n b k B t 1 w D b Q i V y / H 7 k Z J + x D 6 1 V E L 8 u B t D T P w 5 G Y Q + f k P f C E j d 0 M 8 m i c f B p t 4 w / A m k 3 S B p b O L k S M 3 K N 3 k w r 8 y r + Z y b T S Z M l z Q O k Q y p 6 5 z k a a Z 7 J L N w e D j q L F 6 o C P p q j D Z l F r k c S J F z P Q k k n y G t q A u B 0 m o i G T Z Z J z / J v E 9 y 7 6 B t L 0 6 x y U / D u v v U 5 9 L U z 1 n G m T 4 X x 2 n q 0 t d O K J Y j J U i B D O U L M Z N d + F M W W z t 7 I w h Y Z 9 O p + V b t 5 l L p x Z i o q u Y o F n o L O j E A E z / B E N F C S x A 0 o z a W t z y 4 N i D r l k C s J y 2 a b C c 7 V d / h E 0 / u W / 6 J 9 O B E v f K z x A e 9 T 4 W t / 7 S s H V g v W X b k e 8 q o b + X U Y t P m x y b t I K v Q h M K w U M A T g f P 4 x 8 e m b h s 7 x i Z d K M F s H n h Y d K Q S A p R 2 J h m E 2 + h Q p d Q o v 0 z R Q k K 0 W 5 L u V h D W U m E M l O w N k q + + V Q 7 Q e o C p 3 z S E / 5 0 H n y B X y o Y V h b 0 s h 2 D s D a F Y G 1 N o U p z x 4 6 3 m v o Y 2 m E m X D U 4 l j N u x E P G K F R C y Y a L s F w 0 9 t R 7 e q A l f 6 W b + J m e I Z / C / v s L i R a b q C 2 C t A M m k Z H + P t w W J J a g Y x Q H 1 y z j 8 M X f g b 2 m F R K k h r W Z J q a i 3 j N Y g J T C b Y L M A 0 c m c z u q u Z f F z 7 z 3 j r E v v p 9 V P m 0 7 / M c I M G F p l B 0 O f P q R N B Q U Z C Y 4 o / I g s X j c 9 o K 3 6 w q / 7 g Y U j Z Z k J W 9 g V 3 a c 0 g Z Y W 2 w y s O o u a f A t 6 G R p W f w R b t l 2 X e x u D B R j 8 p 2 i J Q p A 1 0 K C 8 3 y J g p J p V d 0 r Z e Z 0 R K j H f 3 F a 1 E M f 6 s c 0 h J y X A q 5 B P z n n 4 / m D 1 9 I a 0 S / R k k t j 8 a v 3 o H 0 n 1 2 M O N u g L A y Z 3 D a y e X R k d e t E k L X a M W t s T X u C i N P 6 8 m Q T q H S U D + s r k N l U q T q B C t q Q a h Z q W P K + a v J Z m K 5 k P Z Q I t d w s B 5 h H c 5 2 j s N a V d 8 C F t D c 2 F 9 a m 2 G w 5 O O w Z P m T h c j I 4 q t 6 b L Y C s f w 2 i j Z 9 A v P V G Z G p O 1 3 / B 6 7 j q E G n 8 l C p 4 C I c X e V 8 X k j V X 0 r x 7 K 3 I + d q D F j k w 6 D S n o b w h c 4 2 + i 7 Q P w j 2 h 1 x 5 f C h u Y s N p 7 l o 9 L K Q L Y b e / 6 y K 7 Q v T E j / H 0 P D 5 V D p 1 e b x l v K p p A Z 5 L p N H d D S 2 M H u v y g g b E T Y O j j l L R C D + n x k V r R 4 E + w v m p j K d Z Q q B Z n Q 2 d w i D o T k K K Z G k x e e V g 0 9 P r 5 l 5 5 H m V U 5 G 1 2 + D S z f 4 D H / n / I N U / j v / t h 3 i l w r U q j N 0 I i + W c g k P C m j w u 2 x t J 9 N G M k d / c x a 8 c q s J R u d x D A + G f / w 7 i I E Q d 7 B O d u c 2 Q T d H K Q X J H M + b 6 h C t A U q j i N j e S 8 f K m 8 A J K a 1 U a Q S Y H h b d k 0 A j T k Z Y W q M k Z Y w d m e K B m 5 c Z U 6 u H G U l / D J t E t w k 4 z z 2 G t h N 8 I l R u Q f u F L 2 d b 6 e / N L 0 b b x W W o 7 8 K 9 K B D a 9 V A U j / X 2 k 7 T P w j 3 9 / 4 b P / o k t g P / t 8 b Z m 8 n M j / 8 + 4 u 1 P 3 H / 0 f v n A Q 6 J Z s 8 m + 5 N b f J / n W s p R o G 6 1 H T C E p g 7 R p M 2 k 0 J F 5 x I 5 j F Y b z W E S m 7 R f l j j I H l N 5 M Y s 4 R k b b + Z J a f b N H E 4 j P J y m c m j E Y r c c M 4 o j R p 6 y w h 6 m V F j v d p X D S v 4 y T k c V / m r r v S c V Q l T / / G p K 6 W b r p W / + C 9 J p 2 O K + / k r + Q 8 S 3 h I L Z D t i + S l 5 e E L A R d b f F S m H T T j L L C 5 y u O p P X f f A s O k Y h 7 A p L R s j T O f u g F d D 1 y J 5 o e e V Q / U g z V v 9 K U k p d M R s t S d a s k q o r 0 L f n e / J J a E g 2 + d U r w u W W 5 k m i b c l j G c i i F G n X r c D t S X g c s Z l 9 k G U j K y X S 4 g q 9 a + j 8 y u g V I h 1 Z 6 t y K w j P Q x 9 v x Z E q I + H V q O o f n q g y M T e O r B 3 y C e T O P h R 5 9 Q K 3 9 / 9 n w b n n / y j / j B j 2 7 C 7 O w c U s k E X r 3 8 S g w O D u H h R x 7 D 4 0 8 + j X t s l 5 I / I + i c C + K F S y 7 X C 7 k I p G f f H F 5 5 u p e a z 4 9 0 x I v 4 j A t u e o q 2 b A W c 1 M g + e w v s + U o k M w k 4 3 W 7 2 l 1 1 p I l n x O T U V x h N 7 H 0 b a y J Z f A R b R W v Z q e P 3 0 L S n Z J X g h y O t r 1 G o 2 0 m S p 1 j S b 1 9 2 D 3 B D b M V m L y X j x I r y 0 Z H + b I N o m O R Z T 7 Y + O J x D q n Y F 1 P o 4 0 i T 0 Y s / H z N O Y O j S G a 9 6 D h Z 9 9 Y O E t e m u Y r Q D a 1 k 1 e c L k C F Z y O s M m F f Z o x 9 7 3 k / x G V M k + y a H 7 x P O 7 g M b G M P K p + 3 H J b K v D A g g t L s L w p z + W m a a S 9 N I 4 v P K L l 8 A o t U U B Z t U 0 o T Q o s r z M 0 Z + x 8 L b N / 8 i 8 4 v u X I H E A 1 o e 7 C a k c 1 J t c / i G 4 w N z S N Q 6 Y b X l Y S P r 5 J 8 Q 1 T l h T H L V 1 F d D V Q U r k z 6 x 2 t D T m z t r M D a d W t V i s j a N W t w 2 a W X 4 O R t J 6 F z z W a c u c m P y f u f R d D q 5 M u C 1 v e / D 8 0 1 6 7 D t p C a M h A I Y i T t R G R 5 D 3 G l B 9 O q P q w I v 4 q P F V 1 G W q x T B q Q z a 2 7 q w 8 6 V d y g Q 9 d K g H r 7 2 6 B 1 1 d 3 X B 5 L L j 1 l v / F W W e c h 5 / / 7 F Y y l A u J R B K V l R V I z m Z x u O 8 g Y r E Y t q 3 x Y y h S B Q 8 V g Z E S d 3 j S h j p f X m W R a z u 7 A 3 t H + I P 4 G P x + v 4 r 0 G R F K t X h S D T 4 P y o b M N J v j u V l Y K m l G V i T g C V F C + z Q L Y n o i T A b m b 3 M 0 t h Z y 1 U h g N X X U h G n 1 1 1 X j R c u N 7 0 L l x 9 6 H 6 q Z m V F Q F 4 G 3 o R q C l g k R X 7 K 8 t N U c V s K y F 2 0 3 T n U R o k 7 r w d o c y 1 w W S i Z 1 6 z 7 u Q P N I D 1 2 U X I H D G G f j D H + / B y S d v 4 / P L l j e L Q 9 T e y F N I V 5 b f + E y C C C t F 8 s y Q N k t Z M O N l w J L 1 w F m 0 x 7 L e h o z U G R F z s 4 T A y 8 F e 0 L a W 3 r E X 8 1 L X O V 9 a k m k J l C 5 1 L 8 V K k 3 n L Q Z Z O + O 0 y m b s 4 3 0 0 y v 0 9 p p S P K j h G J L 7 t f C G Q Q Z D C s w c P I V W 7 C 8 I W X q C 7 Z T z P o q n 2 F L V t e u / M o m r 7 3 V + r 9 G 1 k r r n p B S 2 O Z T f Y o S b U S v E + / j O p v / Q z D 9 9 5 E 4 b u C h i X M / R A a o l R s p R l i k j 6 y S 4 T s V 1 U O k + y C h i W s w S W R i y O Y m a a p S 0 F H B o j S 5 s + G H L B V a P 0 0 P D C L + p Y A P G Q o N 8 c 7 t o S G 9 E h J Y V P p s N X A Q 5 P I 7 u q C 3 e L D / Q 8 8 h G g k i v q 6 W h z p O Y b r r 7 s W L + 9 8 F e 9 9 j 6 w t o k A 5 e B h 1 j U 2 o q a r A 8 O g Y Q q E Q / Z c 4 p l X S r m R U F D J O z J W B S y F B C e V H F c v 7 B c z G N f + / p k w 4 3 4 x k 2 I 2 W + m X y A / W q w i t C T + x V D C W f 7 e k Y M o 7 l b y 6 z 4 j 6 9 f K n D 4 s f j D 7 6 E K 9 9 + F i V g H E 8 / + R z + 4 k M 3 U D v V k O m K z Y s / F U R 7 / e / v f 4 d r r 3 0 H h o d H 8 N R T T 2 H r 1 q 1 8 P 4 w P f / D 9 m I 4 5 c f T W e 1 B 9 2 z c w R f f h r N / 9 B u 4 W L Y I 0 2 T 8 J 3 P x 9 x H a 8 g O N k w E v 1 n f Y k L r d Q n 4 3 / L R V C b / j b L 8 F 5 5 D g e J 1 N s f q y w d e V S M B h q 7 k g a 1 R s L E j G U o H 9 D 7 W O h v Z 6 n J h + d C q G 5 L r B I O g u k F r l 5 E 2 t d H y 2 C C J Q 8 m S l E i Z 2 l 5 D a Y Q v y I T N Q B a 0 l R m e U g 0 V a 5 h o E A i T p M o p Z I m D j v 5 b C S E J V M D p X l X l O D S L 8 d l e u W 4 A K F w l P K Z H b F 9 I 8 R q f 8 b 9 b k U E h 4 v N 1 w h m v 2 p j A 2 y 1 Y + L W n I 5 B O d i W N N 8 M r 7 9 n R / g x h v f j 0 O H t f 3 G Z C u h 8 f E J t L a 2 Y G B g A N e / s 1 y V J D E X K S R N C x 8 X G K p t + B 4 M t 2 l z N a v B r 3 / 2 O C 6 + 6 C K M j A y i r 2 8 I V 1 5 5 J R o a 6 v H c s 8 / h 7 d d c p f / q x G A s r V g K g 3 N 2 j I d t e E u H z J l Z a X 5 O I D Y Z Q 2 i Y 5 k u 9 H a F A E v P Z L j R / 4 j I 6 m V n 0 0 U G 9 1 D T L H p w O Y u q G 6 5 B I 5 7 H 5 m U e p 6 S j F a D s n a f b F U 5 P w u J s Q C 2 Y x P E L T M B r D r t 1 7 8 I G P v h X T P / w D G n 9 6 M 8 Z J 9 M O U o t s e u g + 3 3 n o 7 3 v e + 9 2 D P n r 3 K b E k m k y p X 7 e S T T 0 J T c z 3 W d a / D y F g a r c 1 2 D N H 3 q 6 p r 5 g C b R l / m N f S c M 9 l g T f a E W g p j I f o c F T l N g / M a 8 9 E s q n w a 0 e d l o p P a a Y Y S 2 5 x G Z C A 7 6 4 S t O g V b L I + M B K P K M O 5 q Y a O g z O q V c Q 3 U i i 8 j S 9 l X i d m e M G r W F w c k J I U p F o 3 D H 1 i s j R L R M N y + p Q M Y M 4 k e W F I Z m q 7 L M 8 5 S k G U b z R V a l V + h K V E G 0 k f W 1 B B y V g o 6 Z z X 9 y i z d k B V M P / G j X M 0 F h h K M z D X g L a l f Y q R R 2 2 L E D G 9 k E F W p Y x i t 0 X b 0 2 / 3 i A G 9 i w + l n b c S T D + / C D T d c K 6 J S S c u V c G z a r u o 2 S J F I W c t z I m O 8 + 5 4 h 1 H R b 0 b a p U Y V e j a L t s p m a b / J p p J s u A G L D 6 H 3 b R y H T q q 3 v e T c 2 f v p v E S W D v P T Q 6 z j p 2 A 6 E n 3 s W 6 x 9 + C F O J o 6 i 3 0 X n X q + h I R 0 a z U 3 T 8 a Y 6 Z n q P p o / 8 E + / A 4 d g 1 P I N D W B C 8 1 l A Q Z r F T x 4 i 8 Y m S b Z n I M + T k a V P b M k 6 T j b 2 5 H k f 7 K X 6 y L I O b o m E L 9 Y a r 6 F w i H + p T m W S G H 9 2 q W X h g i C w R A m e / e g f e M 2 u A M V S C T D i G M e k e P z c L o 8 i M x P o 2 q z F h h y D G 1 A w j k I Z 7 I V q c a D q j J w O S y n h Q Q u E p g 1 P b X w G 7 + l C U 6 n h / p k Z R O 4 H C Q a K x n o B m Q Z f q O n s K m b b B e T t 1 f B P X 4 n E m 0 f 0 4 8 W E K c H c O A j H 8 Q F I w O Y e 9 + 1 m P v o + 9 S y H J 9 z 6 T m 6 k X / 5 B s 5 6 d b 9 6 P / z E 7 U K y q P M s 1 r C D 4 Z c 4 l v Q r f d r G 5 q t F E U N J b X I J Q r Q O 3 U + h Y 4 P V T W d x P o K h j n e p 5 d p 2 8 Y j Z g p q p v b j t 6 Y Q q Z C F 2 r 2 Q T X 3 n F F V T t 6 Q X f Z j l I Z a B C / X I N E i n J C Y f r n 0 s h 6 5 z O + + X f I r z p Z E z 9 + 3 + i q S K r n H u v 1 z B T 5 T E K Z x + 7 8 m 3 I 0 W T a Q m q 1 X 3 E Z E l / 6 I v b f M 4 t t 1 5 X Y w z I p Z 6 q H H U q P w u 9 o J F P w + b I R J H J h 5 O e C S L z n 0 x j l L R p 4 i 4 H 6 G p z 0 2 6 X n w O I T A b j r w 2 q g E u w O q Y q 0 p W l p s + t E q 7 4 K k t F 9 i N A U y 2 Q y h X J W R M E H k r 4 o C A V B O s k 2 z F T A 0 R R V l o o Z E j 5 P r d K P N u D J k A F V W p q V Z t / S O X s G 5 n p j q F 6 7 v F s h b c 5 n p E 5 h Q J m K M f p X 1 f F 9 y N S f q w k e C i s p g 2 A o D C k I E 7 r z L m T e c Q o f W R t / Y S o H B V s p h r / 0 P Y S f 3 4 N u i z Y B 6 3 z i N n W 8 V i V u l 6 K Y n l a L I o Z a C q W r M 8 3 + l m E / i 7 q U B V c r Y c + o A 6 e 0 L G Y 6 S 6 w f e a 8 W a R R f y a g J M d 4 7 i T T s a F 9 b o 9 J Q E m k L H q N m v H T H 4 5 i b n 0 e 1 l L o i / H 3 / j U i 3 V t n V Q M + T z + L U L 3 8 J k h 3 o e + p x 7 H 5 s P 0 6 / + l T t S w M k p N n 0 E A 6 P r c H Z n V J d q b z p I M E O E S a J 0 C w G K q t w 7 j P 3 s p 1 B l Z F g h n 1 w L T I d m k + W y d j h s X f x W W K U d g 5 E 0 m P I 6 D P 8 k u l d 4 + r k 4 M d p c o Y o z H K o W i E U b C A R P 4 i o i f h H h + b Q 0 n 4 C k V X p 2 g E 6 4 l 1 a 7 p 8 U w j d q d 6 + E T N Z O y y T D c 6 h 7 S 4 I X N a 7 u Z b X V / F E + 4 4 Y S T j a Q S y K f 7 I f F o + 2 K O D 4 x i a Z G U y I 1 f T k s E a C I S v 2 N r D a N s B S S Q 2 P o / f N / h r C / 6 G 0 f t Z M 6 n n E i 4 O h c M M f L J V q v F q I U V n X q 7 F R E f 6 d B m K l j + g H 4 T Z k R q 2 E m Q T l m E h j M J B B m S k Q S 2 H v P C J r W N i h m E g i Z S v 6 w m 9 I n F Y u j q r I Q J Y v V a 7 s M m r H u s o v U 7 6 X 1 O y 6 9 g g N W h l l I m J K / d Q 5 v v x Q z C W z r 1 q n c x e h M C B 1 k B o + l i g x Q a H O u v w H O R H K B m Q R 2 e 4 b C 4 B g i m V G a E K 8 o Z p I a G 1 O h R j U l I V n t k c w E o r T j V Y 2 6 V S A S K 2 Y m g T D T + M j q Q 8 h K 8 J K Z L E M t H M z 8 i s w k p q A B M W k d u f Q i Z h L M J v s w z 2 c q j z w C 3 c v I b p l c 1 p l J z G 2 D m d L 5 K J u Y g G / 4 Z o Q z 4 0 X 5 e s Z L 9 n 1 e D o n + E R z R m U m M e + 9 9 N 6 n j A p c 9 V e T b m p l J i q O u F r n k h J p c L 8 t Q U j J q f q a Q d m S k M R m 4 / / c v Y 7 T 2 a l T G 9 s N C C S 2 L y G T O Q X w Q e e V X w a d L R Q K P v T y A P Q / 0 0 B F 1 Y f t 1 x Y s D 6 x + 4 F y 5 H X k p i 4 v n L r 0 E 4 q U l D S 2 I c O X + x d B 8 d n 1 R 0 Y / / m D 1 R G n U T v c j P l i f a l l 1 / F 5 N Q M Z m n a h S M x z M 4 H M T o 2 T n N D o k W a o G j + + c 0 q x 2 1 u T b f 6 z c 5 n d 9 D s 4 H c p O / I D 9 C 2 6 J p F y l / d N N G g m W C z l 4 X l J J e U F u Z w V T r s m Z I T B l o V o s x L i j 2 e 1 T P + m 1 o I p W y 7 L W 6 Y 7 S p F v H 6 W k s C A z X P D x R H P O R a v U 2 i 8 D 4 j M Z K x A k C p i m t n V Z T H t a m S A a W 4 i 8 F H P H 4 m q 3 i v I o b p s 5 c G K F A 8 H U M C Y D U h K 7 W L C v F o f / + t 8 g O S P S 4 p Z T t 8 J 9 3 E j i X h 5 F u 2 E u g w z H Z T A R Q X + w t 0 D 5 Z i d c 6 q 9 V 1 W o d K r u y N b Y V O s + Z b V Q b k B 0 7 l M D B 4 G k Y P v Q w T j p p G 7 7 z n e / j t d 3 7 1 B a P t 9 3 2 K / 3 X 5 R F N T a s i M F m 1 5 4 6 G Y 6 8 e w + D + I a w 7 u x O n v H 2 9 9 K r + T Q H W i g p Y W 1 s R I B 2 L F t v 7 N i 1 A 4 p x 4 C q 7 / + T r c / / F V 9 V n Q 3 N R A b W B B 7 V t O U o P c Q Y K e / P 7 f q + c U v 8 O A B B f a 2 9 v o C 9 Z h 1 6 7 d 6 O 0 9 j t 2 7 X 8 c z z z 6 P q q o a P P 2 0 H i V k e y Q b I B C m X 8 W P 8 9 R G v / r N X b C 5 K U Q 6 i + u t m y H p O l o i a V 4 R a o U n A p 9 p k W I y U 9 C K k s o l x C g E J J g y l Q M T z K R H k E w X M 6 1 H g i o m 5 H M 5 m p G x R a a o l M w q C 3 a z r T W C b F w X T v S h q 3 3 z C w s p j f Q y O / / 6 a H Y Z U b 6 k b F 6 w L E o Y W C o 2 l U F e 9 c 3 i s T Z g 0 1 c U J P y t 6 J h 7 U L 2 X N o V X s Z m a g c 0 / / x o q X E 5 I O m v 1 6 w d Q / 5 k C n S y P p d t l h t Q b M W B 5 7 u U H 8 6 2 d m v 0 9 H q x B U 2 W x 6 R C L p O D 1 F 6 R i m j Z 0 S 0 C y F U w D R K k V G P s B k q k W a o p O Z P n w K t m z T I O k 1 L A B w x n c 9 8 Q b O P n y k 2 i D j l N t N s F / 8 W U i U r H z l F O w 9 f v f U b / x f u D D s A 4 P q 8 W C r f p Y 9 f P y m 7 7 4 b 2 i 4 / D L 4 z z 6 X o + 7 A o w 4 H t j 7 4 B G T f t 7 E g 2 + r s J e P W 4 v j V 7 8 D B c B z X v v 6 y d r I O C d d 6 f Y t z 3 s b G J 8 i U j W x G j p e 1 4 + a b f 4 F P f O I v E I + S Q e b m 8 M B j D + D d 7 3 o X q m s q l C + X s p m W I J Q g l Q l T C y 0 O / U o K T 4 Y + R 7 l w t w Y K B H 0 5 w U y U / b a K m i n O T J J K 0 0 V T c h w e a x 2 1 o Z 1 m U w y R W T J K y Q p V M 3 I J k g W F l L z + N C i 0 X R D u t S G w d g m m X g F m j d c 1 f S / 2 V 5 y l 3 k u N d b d p B 4 x S H i 7 F v s s / o u p T V N z 2 D Q r m Q m p c + a C E B r V N b N H E L v s o M 0 / t R U G 2 4 C L I j U m M y V E y V 0 V h 6 / 9 S Z h I I M 5 n N h U a q / y J m E l h s C L d 8 B q m u 9 y J T d x a Z S W a e d W Y y a b 5 y e P X O w 4 q Z B M J M C i R i Q W j P n o X z + 0 Z G 0 M v 3 8 m n Q S q 0 Q n E d X T y + O 6 V r p 8 N A I D h / v Q 5 J m m j u o E X d z Z Q Z 5 T y e s f j 9 c 1 1 2 P 0 6 + + Q B 0 3 Y 4 G Z S n a 6 E 2 Y S y N x Y P J l V f 4 8 f G 8 R c a A r P v 7 w D 5 5 9 3 P l 5 / f T f C o R h + 9 9 s / q N 8 u h X L M J L D T l j Y z 0 9 i c d k 8 p O q m B W i 3 Z i y l Z C 7 Q K Z l L Q 5 / E S I S v i u W m l r W w 0 m 5 Y q T G n A 6 s 4 h F 1 7 a h y y F 1 G 4 o h / D C A t H i c b f 4 C 1 r 5 R C C C w Y z + u n e i h k L d m U n z 2 V a f V S 4 4 + Y n b U c W X m Z k W k 2 e O L g T 9 y 9 h R x G O k C X F N J A V p 4 e V G X h J p i / x t n d a l 9 u J q o n w G q h x t G B m d Q U d b K 7 W J V u d t J T j H H 6 U o t i J V r y 2 d m E n Q z l Q F Y N I Y e M C J 0 9 6 t a t o U Y f q D H 0 F m a A i y p E w a d 9 5 z T 8 P 9 1 f 9 C 7 o E H c X B o G O N r 1 6 C b T C 3 z Y G + k L X D a 0 r h g x / P o a + m g 5 H B g s L M D F z / 3 F M + 0 q O 1 Z 3 C 4 H j j 4 / i C 0 X d b J D i o l G W L S / 5 w B 8 g Q o 0 N C 1 u i 4 G 5 n i S q 1 2 t m y / j k B J o a C o M i K O c 3 r I T S N J / Z S B V q / P O I p W f g 1 e f G D B j R t Z W g 5 X o Y l o H 0 n v F e g z B Y O k + t r E z F x d / n R s S s X r m M n B m p T I x C Q 3 M R z K W 1 n D Y f A v Z m v U 6 G S I T i e y F B X 0 Y 2 k N A h 5 r j Z f z K q c J V D h C Z f W 3 A Y 8 / W F 5 U B L / H R Z J J N p t F R u 5 r n s W / p C 5 m 2 D N C z u o 3 K w J A a p S D p W E T 3 Q U e t c S 7 5 w K 2 Y S l D L T W P x 1 / V 0 x U k 1 X K m Z y D / 0 a 9 r l d V K 9 r c f z h F O x 7 X s C F b / m j 2 n Z / A V J T g K j 7 9 e 3 I U 9 L K 1 K Y 8 z v M X X o L o 0 8 8 g 5 q Q d T G a q O 9 a L X j K T k N c m B w c h G 8 T x W 2 9 D 3 S 9 + h q x a P 5 X G I 5 e + V S 4 F F x 1 h 8 S t i U 7 T 9 d W Y y s o P H x 4 Z p w i X Q 2 L I W s d A s R s c 0 u 9 x q 4 + B z Y J M 0 5 Y L H E x j q m 0 b N 2 g w G j h 9 S O W d N j S X L U o j l 0 m / C 8 f I a S p j J v I Z M m E k g z D Q T L g 6 D L 8 V M 6 b A b L k s t z R 8 f T U g / m + 2 A g 4 Q 8 L x P 3 j k o 8 c t d r c D o K p p 7 D 6 l X C T H w 7 C T W b F + o J h J k s Q + V z 2 4 z V r Q b i m T m l k S T s L 7 X b B e Y 6 d S l j 6 9 J R 0 W Y l R C k E b G I m g V R o M m O 5 g i l + Z y N i / s U J 3 S c K J x l d N J K s v S t l J o s w / E r M J G l H k g s r W o t / L T 3 9 L + e t J R t w Z R M 5 O t t a x 9 C 4 K n o w V R B d T B J H c Q 0 z K Z J Y 5 S z M 7 k 8 M D G F 0 b w T W v G y E z H N c S T h 8 F t T T A W r s l i z n w v n e / p 8 i 1 i W J q 8 W N V 4 m u u T T 6 R L V b 0 l h r r U Q t t Y M r F M G O x g q k v R X o p g k a 5 2 9 G S J x n P v I 4 R r Z s 5 H N R + 3 V 2 4 p S 7 / o j 6 2 g r Y s r M Y Y 9 8 0 d t e r L G g Z d P G d B F m a c 1 N j g + j o 7 s D v 7 3 1 I P d / m T Z u w d t 0 6 j I w M 4 + T N F C Q u H 2 7 9 5 e 3 4 8 I c / h J / 9 7 B d q I v W j N 7 5 d n a + C O a a + W I 2 m G p 7 p R F u t t j w + k X b C 7 S g m a s H S h X G K E Z u z 0 M / N 4 8 C B N 7 B 1 6 0 l 4 7 N H H 8 e 7 3 X I e B / m E c 6 + 2 F 1 + v B V d e e h 3 i q E F o W q S + R K f G t h L F 8 N t N 8 D 5 G L 2 G g m L + / v a E G B Y p U Q M G 2 B Z C D g a E R 8 x I b K 9 k L U M E + B Z i l Z p b t o 3 s m E 5 f q 0 Y + R u D L Z c R / r Q a e d N a K n l f C g x K 8 V X M 7 C S Z W b p e 2 U w n 4 p K C V o f p g d D q G y x w r p m C F a n 1 s B S y f u N P 0 S w p d u P + V A a 2 9 c 4 0 J w 9 g p H e O D L h S r h s 1 b D V T m P d 2 V 3 K k T 8 h k C k 8 g 7 + k y H A h 5 X 8 L c r 5 u 5 M k k Q 2 Q q Y X c J K G / 4 p 3 9 A 1 y e 0 R M k H + P K s W 0 s b O 4 f 1 d i s G q N 3 O u O 1 O u o Q b M H W g H + F v f g U d N / + E U j u B s e M R V N V V I h 0 n + c Q c b J s f U 8 m d 6 F q 7 l s + p z 2 X J P J p J u h q w z R 9 E t n o r v 9 d H S g a u 1 P C W n d J L B I w Q r Z F 0 W w p / t h Y R m x b u n o 8 F U O U t j h L K P I + E p v + v c F F i J q 1 O V T 7 a i N Z J z b r S y G A 5 2 A b W I N u 5 u E h J d T q E O U e F P q c W p Q i k p S C l t D l K 5 R h K Y B t c h 6 r 1 H G K 2 I Z + L w i b b D K 0 C S z G S p H u V r q m z p a N o n H o a o 8 2 a o D s R L B u U o C k H T w e t o L D K 7 V P H S A P m q L g Z l t H + / r y 3 o i A 9 I h M x V W f 6 0 I 4 j C I 3 H S W M y t 2 S l y e F G Z Y c X P 9 4 Z Q C I l 5 J L H d z / h g 8 t b 8 A H + T 6 D J M D Y 1 h + q K K r g 9 B Y k g a 4 k m r r w K s p Z y O p v D e T / 8 H q a u u R Z J P k 8 v a d t N T d J A x 9 F O i b v x 5 d f g O f p N Z G l W p p o u g 1 R j H Q i / h N l H O 1 B x S R c 8 9 h y a 7 U d h 8 S 1 h S p i 2 t x F 4 D v 8 P h r v f B Z + D m i 3 v p C m 1 / A r Y L C W v r U T y l l Y w r X G 2 Y T 4 9 v k D g i Z Q L b m f x / F i x H / S n Q y I 7 p 8 b S R U 1 v h j j + s o t h K Z x H o o h 5 m m F r C 5 M O N A K S + S j z e q L l I D F M U g 6 s g 7 X 0 P 8 t n c p i 3 1 D E j n p k t 2 q x g t X D E 5 5 B 2 l 7 9 X P J q C x 6 d F r L U e 1 v p Y W W G k G c E P f v h T f P w T f 4 m 7 7 7 4 H p 5 y y H T t 2 v I h P / O V H 8 c h j T 6 r s c 6 / H g w s u v A D P P v s s t m / f j u e e e 4 7 f / 7 k 6 V 1 B 2 s 4 D 5 n r y S K H K r Y r A R 8 Q E k n V 1 w p T U n 7 E 8 C X n M u W b m Q R l S K 2 E s v Y / h z / x 8 O R 2 O 0 1 3 M 4 g 0 y U e f F F z N O P m q C k y G / e h F c v v F B V I A 0 H Z / C e 9 9 0 I 2 e p / e n o a z z z z L L b V b s N J l + v l k k 1 J q Y t A i W 7 s U u 8 f / S 4 G a n W z L p d B L D e 7 q J C j w K z B j 0 z a s L F 6 i t c X e 9 z P v w W N F 0 w P o 8 L R A q u Y S v S b k i T Q F O 3 v B H 0 a i 6 X g H 8 l E p s t W s T B h u 1 q I F v L a F k 9 E y v x R i E w t x F 2 O a Q x I 7 q L 4 Q s X P m I c j G a S 2 z C L L 5 8 m O V c G H N m r 6 K O x 1 4 8 h U 5 F Q C a T 5 t R 9 Y h W l Y j J Z k 7 0 q K A / C y 5 d 5 D 5 N 0 0 r i m B P p z I 0 R D Q L J p l M q f 2 M S 7 G c m S d + 2 1 L a s D v 6 M P q 8 b 9 M / F V A a 8 D A w P j K P p t Y q L Y D i o P C g S y D C z m Z z K t 9 b U p 5 y F g p 4 n i v n y y u b o a A g 7 c n 3 p Z q q P E M N R l H V U S I 1 J A J S s p O F q o u n T 7 y 9 a Z C I e / t G s X b t 8 g 7 m y N 9 8 C o k 3 D q A 3 m 6 W k t W M L f a r 8 w A C O c 9 C s X V 1 Y 9 5 v f o K G + E h 5 r A v M J F 6 q r q 1 V y p R R o k b 9 u / 8 r + S J 5 O q I W O s n v 0 t x i p 1 X b H M G C W a G a Y G a p 3 2 o a 1 d W T Y c n 2 l Y z D 6 I r z 2 G t S 5 N n G g H P j F z 3 + m 1 n Z d e + 3 b 6 b O N 4 h 3 X X E U T S r Z Y i e K l F 3 d j Z n o G 7 R 0 t 2 H j K U r P 2 9 I f y S d h l 0 B e Q V y l N 0 t 4 q a 8 2 q z E c j P O 2 2 V p N J C l a H K z q B m F c k P o 2 7 o l A x Q c r Z / c I w 2 l r Z Z z T V / 3 j 3 n S p Z W d Y S X X f N d f j S V 7 + M r / 3 n V / H q r l f Q 3 N y G 8 e E x D E + M o q a q R q 0 S O H z k E L a f v B 1 n n 3 0 2 L a B i M l y O o a L p K W U 1 L A V 7 K o I M z X o z p i b C q G 9 c H B w y 1 3 C X 5 5 a l 9 Q P R H X x W F 9 q 8 x T S w G l j u u O N X + Y s v u g A B q t 3 7 7 n + Y A 3 s N 4 n M x 2 A M O v P L K a z j v L V s 4 Y D 7 l r M t c j I S g / 3 S Q T l y 9 a d N z y e U q u / g 4 B c e V T z + G / o s u Q y 4 a x l B l l U q 2 O f W x W x b Z w 7 v u f w O n v 0 O b 5 5 K o j d r n d z k k B k h V n a s K L t i o z a o c B S 0 9 O G d F R z U b J 7 u H y M 7 l p a D k k / 8 M 4 j e y 7 g 2 b P J 2 j f p J 0 J i K c o 1 m Y T e s R O Z o y 2 S R 7 K q 9 8 I j O E c f x 2 c w h f 6 1 M t 6 T a o 7 u V e Z R H 8 p d A 8 9 Q S O 1 5 x a 1 v f S p k A o 0 c l s p B B q W B s / S 8 F O m 8 r W k D p A k s r m c D p V q S 5 5 1 u H I a 2 j 2 n 8 x f O t U q 5 k w 6 g 9 0 7 D u H 0 C 2 W L o A I 9 r G Y M y q F q Z h 9 S 9 P N i J W U d Y t E k v L 5 i F 8 W b j S N W Y s o H n C 1 w 6 t F Q y e 9 c F d 3 o s N b W 1 O L m W 3 6 O 1 3 b t U Q + b S n E Q M y 7 c c s s v s H / / f k z O p j F F K T k 1 M 4 u Z W V N V m J I 6 A 2 I u n B C y M W q O Y q m 0 E t Y / / Y T a K a O V m n E i O Y n u F 5 6 F h c w k J C 3 b l / R / + + f a D 0 1 w 5 Q s + z W o 6 x T P z P E l S I + q V Y G a m A + N 2 j Z k E H I x y s K Q m i z R J p b 5 k w z A b F D O p e m 9 i D l L K 0 q + U L H S Z 2 x G / p Z S Z B M X M J O M Q U d p G m E l M P A k Y l E 6 O n i j G 6 i / H p r l C O Q E z D F 9 Q T D x p p / o r r K W b f M J c N d 4 O M r W W v i b P K k L P m p e 1 Z H l l P Y i f v u 2 s d Y o e Q s c W B 4 Z O F P M 1 J y t m a p 1 5 B F Y K J Q N m Z h L h 5 G b / l j K T I J w a V R k 9 c 8 l B L e C k J m h W h p C z M v k k s d V Y x y T 1 G q a P R F C 9 r t h E S m d S c N h N A 2 r y N 0 4 U l l g f Z u P V q K 5 d v e S U 4 o 2 y K c B g W I u c O U h g r Q G N o H v O P 4 9 q m 5 L y o n Z s / u o d 6 p i B Q z s O Y / P 5 2 o r M 1 c A 7 / A s M 1 1 + 8 S q Y S a Z p f c d n C A q R M 1 S o K 2 G Q y S Q S z 5 R M 4 l w t Y z E S q U K v P Z Z l N 1 C i 1 m K + E 8 d 4 M / H N H E a l e v H X P c j 6 N Y P E c n a Z F z V D T M X q W R z q e R l j K R X Q t U X l 3 J Z T I 6 e 7 0 4 x j 3 v h v x d B B D P a N o X 1 / Y R s n n r C F t z c I l 6 6 9 E 0 8 K F Z H Y e T k s N U v l Z t r 2 T T V 2 9 V a a e w L w o M J v l R U s 2 4 h K Y m c m S i 7 1 p Z p K g w M C 0 / Y S Y 6 d U h p y p N r P e 3 Q o s p u 3 z D E 3 f h p F 9 / b o G Z Y u w g w c z Y j M Z M u h R d F X i P 1 W o o Y + R K E 1 G X R J k + K y 1 g K V i K m Q T C J m 6 a f + V g M J P A b D E 4 p e B o G c h z l m a m G x q n H L J 6 N k Q p l m O m X K y c o F n 8 z O Y C N n l X U j F T v I d + P C 2 S E 0 b J K X 2 O K 7 B r 5 z E c e q U X / k A 7 H r l 7 F + 7 8 9 X P 0 t 2 v w l S 9 9 H / N j N j x w 1 w 7 8 7 r Z H k Q h b c e / v X q S + o E / 4 q + f U c p U T Q d m g R L A / j s o V 9 i N 6 s w i F w 6 h Y o c i h G b K 0 3 V n i s A p m Y l O o 9 e q O a Y 4 C o Y z j / f o f R 3 H q d a J p + d 0 S + X S l 8 A 3 / B I N 6 m t R q 4 b Z X w m d b 2 k l e w B I 7 N i p k w x w N p 3 K Q J + M j m I 1 U o 7 F y 9 e t x Y k k P v K 5 i M 7 y A Y o 0 g 8 z i y h s j I x / P Y q l V 4 X 7 R Y l m a Q z R S U K E V X 9 B H 0 + 1 Z f M y Q n W 8 H W r L y a t x S G / 5 S I Z u C a b o G l U y 9 9 v A Q k m z 4 4 n 0 B l l R t 2 W S b C R 7 b x + Q Y H w 2 j t r F E l 1 q r s a 5 H P z c E a y 6 j Q u p j T F n s S b q u H f U H f z 5 K i z 2 R F M p H B f X c + h X e + / 3 z 2 j V S K W s X Y 6 j D J / A J k Z 4 R l o d v 8 q e R S A 7 g 0 T o S Z B E s 1 x W A m 3 y T 9 p n J R L J U J I P N K N a t m J o F o X 3 G 0 B b L n 0 W r g s d I / y C X o I 0 3 A I j X y e O 9 M L o p 4 a k A R R i z 2 B u Z l E 4 F y z E S N M C q l A T l w w e w k 5 n i O p B m d C D M J l m Y m Q b H I l k l R c 4 B B N n U W E 1 G 0 U z I f l X f 6 N / L d D E 2 g Q u 1 C Y S b X 5 C 7 1 e 4 m 2 r Y h c W R J b N d w + u 2 I m 2 8 D y / q 8 w U Y X B T E Q + n U K W p p o w k 0 C 0 U Y z 9 K z k p C a 8 d D d N 3 I 2 + T T e o y P B 6 m R p 9 H m n 5 9 M h P h x R K 4 9 n 3 n K p 8 w L o J u J f B 3 j q l n E B j 5 d n m G q u j 0 I E U u X h I y l 0 N I M R B x L A 2 n W j A 9 P V P 0 W W D R C 8 t L l P B E s O O 4 a 8 n K o Q Z S l s L m 0 U L Q H E F M R M f Q N z + C 7 W 9 f O h d s K V h 4 f r W z S 0 0 s G n M y 5 j B y O Y T o 9 M + k h z G d D 2 M a C b V u K Z g e Q 0 z X A L J A L 6 s T a T 5 Z Y N J Q g t 1 P 5 m 2 u z C r G W 8 i H U / / + a S C V f J e C B D S E u U S A S A B D / n p t N U X j 5 7 J W q W R a M 6 x e q f 1 h W T Z 0 b a C E F B T K r H V c B F U X n 0 j q B J 3 t H M L g r u U F u E P l b d I 1 I I G T s / S j B Z i n P c Y a L k d X U F t f J X D p f V + K m p J J c D P 8 w 9 + D a + R u W G i C p + l 3 h 1 s / V 5 6 h b A 6 q v f H i o I Q Z l l w Q x 4 5 p a S n G Z J e B u r p a 7 b M E L f h g k 5 N T O D a s d c R y J c J K I T u e n 6 / v d 7 s U L H Q y 0 / X n q v e R a B C q H j g f K Z 6 J Y W p 3 E C 7 P 8 o x Q D n l 9 A V 2 b 7 y 3 K m Z a X h H s r H I 2 o d R S S R i U 4 Y C O x y k Z l W T E 5 V 4 E s N Z d F 3 5 J S U G G b x n R C t s B Z f s f 9 / w s y p s n l x S B T 0 F Q t n R C W k L d A p L c M Z e m E c N z f A k + k e D e O J Z F b L B 6 W q p M q 0 W Q D U h d f + t 5 l S l j t O N 2 D 8 b 1 L + + 7 C v F 5 a C m p e y U r v s M Q f N C w P A 4 c D 5 1 M I R 9 A 1 9 + D S B W p K s v 4 V J E 2 u / + e I t P 0 9 k q 3 X I 2 + q I b 9 k b w f W p B H s K S 9 h k B j D u n X L 2 M W Z E N J i q / H B p F b f S p O 2 p X j m m G v R D u X l I F v k G P D 7 K m G J a 0 v I 6 z x V s M + / u a i W a C g z J D N E d r W w W 3 1 K C x m Q 4 I B s o 1 K 6 4 / 1 y i O r 7 R a l w L D G f n S b B n p j T W w o p e C 8 o O 0 5 E f l m G W h 4 x m n v p k u k R A z Y p V b w a Z M v f P 5 x Y z F V S b b b U u i m N E D Z t T 2 F 8 j / 6 h B J G Z G c R 1 4 p b N B G w l D G S G 5 C K 6 q X 3 y T j / 6 q 6 9 B + 6 R k h x a j d O N B U R D + Y Z p 1 q X n E u / 5 C P 1 i M Z X r b o r a q n D 0 S V o w l O z x k E p T G G R o v P q 1 2 m k o c N B G g J T m q v a G J 4 8 x T 2 k i W O E l v t Z A y U d N R G y 5 e t 7 x m W o B N U + s y I S r I e 8 i 4 t O v 9 z t o F K X u i k K 1 W z J A F i i K l j I 3 U / i 9 I k w E F 0 f Q E h o J S 5 f X N E 7 s B q d n t o C R O p F 1 q R 8 k / J b Q 5 r v L j F 6 n a h K 4 Z r e B / x l T K Y B G W Y K i A X r u 9 F G L d C F P 1 9 W t C p 9 z 9 m 0 7 h Z c d p E p p k n y O T Q I A M u V r Y S z J 8 p m q v R P 1 s 8 W p u 8 y 8 c c 7 v h G H + G W u l z y L m X N n W t c z S t l k P t p o B i L E + V C 3 a 3 D f P H 6 H z r J p 6 W y 2 f V 1 x f R l 3 L p 8 X 0 2 N i + Z A i r t n S a h r I t R z L U 0 + u f s N A m p X X z F Y d w i S N p / g k y r 7 z x h r d H S o 4 z s A g X d r k / S H H x z M N 1 f 9 4 H K Q a o U x a S W u E w h n A A k u t b m P x M + 1 + q 2 t l w N Z A u X a l s I U 1 l t j k s 2 H P 9 T Q X Y T W Q r 9 t e + A I 7 p C 4 I Y M J f 5 h u a w H q Y R b D k J f b a 3 N Z C z x L c t n 7 N u a I r S 8 b L A P d i O T z C F d b q n L E q a l G Z L j K J s O S A 3 G m Y r t R Z r e p S 9 9 9 w 3 / E O m K r U g 3 a z V M l o O 1 e h W m V R F y i 9 W o l E 9 a r v V 5 K f 4 v z K U H M 8 q h q 3 o J 0 0 d V u t G f k v f J u 8 m 0 k h F O 9 R v J F I d v z Z 3 h L F l y L d / J 1 + a X A c l I H 4 n s V Z t I U w X r R w l 9 Q q / c 5 l 4 y k S s p P b L o c r U l w A S 5 + D B C s U N F p t i K 2 / u s A t p u k t o Y y O 7 9 U j d P n H N 5 y c b i M n c l m + D 9 a W F B U + x V 2 J c r Q 5 Y r P F s p U 0 l Z a b F K y i F v S 2 A 2 p V k F q W Q G y Y R k Y p h H j X d 3 Z h F v 6 k X 1 / G H Y h t b C O X f i z y f Z 8 B 5 b D T K 0 a n I 0 F 1 t n t U 0 k F G i Z B I a + j W j b p 8 j B q / P H r V L 1 R x Z K S r b E S t j 3 x k H M 5 q Y w O T G D G B 8 w H I o i n j g B a a g I p 7 h T B P v H y t x b g h o C y d o u w 6 z u 4 T / Q 9 C w O p Y r i H A / b V c f 7 G o o n j u U 7 u Y r 5 Z a D d f w Z a / d t R 4 5 O J T l P H 6 f 5 D u Y l e c X D l p d n q i z v 7 8 f t e x 8 3 f v Y f u Z B V e e P w I P N Y G 5 C K 1 O N y T w Y P 3 H 8 A j d 7 + K l 5 / q w a 4 X + v C L H 9 6 L K m 8 7 x v v + b 5 r F 4 B e p 6 C p 1 8 9 Q e S X x J 2 p I w X K k / J c z m o p l o S c 9 S 0 5 5 Y f Q Y D E 7 6 3 6 O / K Y 8 n 6 M z p M 9 V O L E F Y 7 O G q j J J n p L r d W p s 5 M P v J x f e g B h B u 3 I N v e i 2 A g i N x A E 6 w r T f s s g 9 H a y 9 A x 9 Q D 8 0 w f g m H o J 4 f b P 6 d + s D r a 3 v v W q L z 3 4 4 I O q 2 P 3 k 1 A w e f e w x R C J x v L Z r N 0 4 6 a U u R V P j d 7 / 6 A q p o A 9 h 8 8 g F O 3 b 8 N r r + 9 R p Z j d Z d L v l 4 S Y a 1 Y J t w N P 9 b j R N 2 v H 2 Z 1 l C G k F q e 1 J P Y m U 7 2 z 9 U w F + F 5 k i R / M z 0 Q d f r W 6 C C r F I x E f + l o n m D E Z e x X B v F A G P D e O Z b v Q P j a O 5 W V L 5 3 W p Z / L E j Q 2 h p b q E x u H q i O 2 X b a a q Q S 4 6 C Q e Z G p i a D q n 7 5 k S N H k E q R 4 J N p N D T U 4 b R T T 8 O u X a + j s 6 0 b s 8 E Z 1 D S 8 + Q n 1 R M a D S m s Y i R L z J 7 d E X 4 r / l Z U 5 P J t n I Q I m K 4 U N X 2 8 1 y D p 8 c E d G U D F 3 C H H / 4 q X z u S C v X V n o N 8 m 0 X w 3 i W T H r y 3 C j S R J a c h l E 7 C 3 U L N r z y l q v p G 8 E 8 V w E j r 6 1 s N Q W F 9 5 Z L W L z 7 0 A y 1 g F X l z b t I m U C V u u T q 0 y J a F w G 3 Q O H L U f 1 b V N l s W T R l 6 1 M f H O + P 4 q q r s U L w k 4 E w k w W W U Y v e + u + K e T p t 8 3 S 1 C z v h E b n o 2 o R Z O 0 y m y z l 6 d d Z 9 H 2 o s u k 4 X n 5 t H / b t 2 4 v K y i r 8 2 Y f f j Z t u u Q M f + 9 h H 8 d x z O 3 D u u W d h c n o U r s q l T T s r B 9 d J i Z 8 i M R r L A c y Q M l 1 S W U h g Z D V I j Q Z D k / w p 4 K d p N 5 O v g q v M k n o J 7 5 9 I R H K l j Q P K o X H i a U w 0 X q J / 0 u A c 2 Y x U 6 y H 9 E 6 8 r u z G W Z K 2 L 2 V d O U 5 X z u 8 z o C j 2 E / o r F G 1 s Y 2 e 6 x 0 R y q s B W p 5 s L 9 l w X p 0 j 6 8 F p X r N b q X Y J z E D 0 J p m u n p U b R 5 l 9 f G g q L U o 1 y O B o y + M n M p z A 9 F U N U s d z 6 x j A c z X h 1 0 4 s w O f d B L 0 3 H E b i G B Z W j z B 9 N a T l v p k g z / 2 I 8 Q a f 5 b / V M J M k E c e n E S m 8 5 f p 7 K Y V 4 L a + I x + m m P 2 E H L t b 1 X Z z 4 Z g t N p t y N E e z i d H M W 9 J q X m Z U p T b o M z K A R W t I H X 3 3 N k 0 g h Y v B Z X m P 0 b J T L 4 y W Q 0 G c 4 n W W C r 5 d S X I R t O z 6 Y q y 1 1 8 u q X Y 5 n O h y / L a p R z B c X / B t M 6 M e 2 F u K 2 7 M 4 W Z b a N W 2 B u 2 Q S X y K r S + V V d s 3 e j / 6 a c n s 2 L Y Z 9 c B 0 y 7 R p z i h Z 7 / L 7 d a G x s Q P e a R t Q 1 V 6 u q T X Z w j O Y a 4 G 2 x q u G X Z U J i Y s 7 3 k C n X a 9 w + H H t l R a Y q k g s r M Z P A n p v + P z G T Y I G Z B A Y z G R E 1 P r C q k S 3 M J O P P V 0 4 P F M i G 0 9 b o 0 N L M J H s l 2 S s R H i X p k J k k Q 7 0 U w 5 F d + j s N a h d B V y t e G / Y i m Q n R J 0 z g V 3 f 8 F g 8 8 9 A g d 4 S R u / / W v Y X c 3 q u y J U g g T l D K T w D C x Z O O y K L 8 3 m K l / u l U R e 6 Z M Y E f m T 0 R T L U X 0 E v E y I K x R D r L R t F x f y i m X Q q 4 r w Y k T h c F M R k K u t k G 1 F u y Q l x m p b A y 9 N e c o T W W g 3 C b o o n n C m Q k + L 5 9 J H 2 O 3 U w r H a O + N V 4 2 7 / J Y + H V P 3 r Z q Z B O H W V 2 A b W q O u K X 1 3 1 d s u Q z K V w u R k B L / 6 + f 3 4 x U / u Q 6 W z A 7 f e c w s i o T j + 9 3 / v w u x M E M H + J O m I 9 H h Y a m H Q L 7 f X K 6 Z a D m W T Y 5 d D b C o O b / 2 b t / P T W W 1 P q K U g D z w Y H I X f H U f A 2 l x U A k v g 7 f s J k t X n I 1 u 1 T T + i I z 2 j o j J S F m z q + B Q 6 t q 1 u Q Z g B 1 8 T j G L G d i f q G C i Q S O b X p t d 8 f Q C I Z Q 3 d b D U I 5 + k C y E l e H P x N V 2 8 k s B W N x 2 p u F K 5 N E 0 l 5 g V s k e d 1 k r F q 1 t K s 1 i W G 2 1 p D 8 l v B Q s M V O 2 g B Y d U d R L j h L u W B 5 S W k 7 j I p 7 C c y T Y I D B X G d a Q R 9 v Y g + i p P 0 / / t Z 3 + a B Y V 3 q V X L k S T X g q Z m G J 2 d 9 I N y / Q G M k k e q f w M 3 L Y m J J 3 j y N g T C E b C q G 9 z o c a 1 B v F k A t m M B X 5 9 / d R w + D g c W R c c 0 x W o W R d g K 7 K Y T h 5 F h b 1 V z + S w K O t l m L 7 4 C R v v N j c d 7 I g V s T L S f z V 4 Z a B A Z L I m P 6 h n D Q h E c k m l o H Y / N Y J j 7 S J m c g / d j l j 3 J 5 G t 2 E w f z C R t a b Y Z K S I 9 j 4 U X M d N 4 a O X H T F W / B W 3 J J 9 g m K 1 x O O 9 a v 6 0 Z z U x 2 6 O 6 U q O m 9 R k u u 1 H D M J E k s k V c Y S q x N G w k x m j S L M J E R R i l J t J c w k 5 2 W X S E o V D f O n R h E z C a h p W 6 e f g D N a 0 K r L Q Y q f z i a M V D b 1 Z x E k 5 N 8 6 c D + G m 9 + u / D C 3 e g U U M 4 0 M L Z 2 k a 9 S R d 9 q 8 y H m t y H Y c Q 6 a t F w l v D N Z m + v G e P L w B P 3 o P H 4 E H r T h 8 9 B j u u e e + B W Y S O K x O p G 1 J x U y R f j I l b K h 3 b V a 1 P 2 K Z W e V f C T M J V K 8 H 4 8 V P E a Q D f X y 6 j A N L L p T J 3 X p / D l 6 q 6 D e D c 9 c U z D 1 R p 5 W u w q p X I 3 d O C k 0 W b Y z N + z r H H 0 e i / S P a Z z r + v r G f a u 9 V p S I t g X H 3 P U e w 7 Z 2 L A x V V 3 p X b m n d W I l l X W F g 4 G N 6 p / i q k Z 1 E t m z I v k 2 h q I E / N J N r J i G b J 9 Z K m X S O 8 1 L w r w W i D t k J X 5 G F a X S N V V K B f a j w 4 V S W j U k T t X l V p t h z + 9 H N R x T B M w 2 T a j V R 4 9 Z a M P L N o p I z q P 5 5 P D V F n q U X T 0 C P o C j 2 A 2 v G X M d J 5 r f 7 r A s L p c b S 2 1 6 t S A C e C Q F 0 e b m G w b A 5 3 / f E + d G / Y g D 2 v v 4 T D Z K z a m j r 6 V Y U I Y a N P i 1 6 K p v J 3 J T B 3 N E E f S 6 M p r 1 2 y c m T X R H F d a F j 3 j 0 z n S 3 c T X A q 5 t K w f K U 6 G f T M w b 6 i 2 E m z B I y S C J D J V J + t H d E g B / v F n k G p 7 B / Y N 2 R G L p X D r g / O 4 6 X O L w 7 I z U S t q f S s / o 2 f 4 1 4 i 1 f Y C k W v x 8 q q a A z Y 0 Z m n 0 r I Z E N k i g 0 p p E K R q J B X D Y / U r k o H B Y 3 p d 3 S m k 2 K r R g M Y p h y 1 l w a k d z M E q 4 5 J b C 9 g a 1 d r I 1 k e X d i i S x 5 f 5 r m a o n 2 / 1 N D 8 u B y x y u Q W b e y A D E g z F 4 x v Q + V l i H M 2 j Y j U q 0 F L w o 7 J W o o l D 2 T c X p z g t 2 A P x 1 j X x Q W T j a F R 5 G u O Z P 9 L f U u b D T z Y x w z E Q z F N J G K Z J A K p e B v k X M 1 o Z f N p f D / A / f G N d c 7 v S q m 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 C o n c e n t r a t i o n "   G u i d = " 2 9 a c 6 1 1 b - a 9 7 6 - 4 2 6 6 - a d d 3 - f e 7 4 e f 3 1 3 4 9 3 "   R e v = " 2 7 "   R e v G u i d = " 9 6 3 1 9 9 f d - 8 6 9 6 - 4 4 5 d - b b 4 e - 5 c 0 d 2 7 8 3 1 0 b 2 " 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N o n e M s r V a l 0 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6 & l t ; / X & g t ; & l t ; Y & g t ; 1 3 4 & l t ; / Y & g t ; & l t ; D i s t a n c e T o N e a r e s t C o r n e r X & g t ; 6 & l t ; / D i s t a n c e T o N e a r e s t C o r n e r X & g t ; & l t ; D i s t a n c e T o N e a r e s t C o r n e r Y & g t ; 1 3 4 & l t ; / D i s t a n c e T o N e a r e s t C o r n e r Y & g t ; & l t ; Z O r d e r & g t ; 0 & l t ; / Z O r d e r & g t ; & l t ; W i d t h & g t ; 4 5 7 & l t ; / W i d t h & g t ; & l t ; H e i g h t & g t ; 8 4 . 2 2 0 0 0 0 0 0 0 0 0 0 0 2 7 & l t ; / H e i g h t & g t ; & l t ; A c t u a l W i d t h & g t ; 4 5 7 & l t ; / A c t u a l W i d t h & g t ; & l t ; A c t u a l H e i g h t & g t ; 8 4 . 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4 5 8 & l t ; / W i d t h & g t ; & l t ; H e i g h t & g t ; 1 3 3 & l t ; / H e i g h t & g t ; & l t ; A c t u a l W i d t h & g t ; 4 5 8 & l t ; / A c t u a l W i d t h & g t ; & l t ; A c t u a l H e i g h t & g t ; 1 3 3 & 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l t ; / M i n i m u m & g t ; & l t ; M a x i m u m & g t ; 2 5 & l t ; / M a x i m u m & g t ; & l t ; / L e g e n d & g t ; & l t ; D o c k & g t ; T o p L e f t & l t ; / D o c k & g t ; & l t ; / D e c o r a t o r & g t ; & l t ; D e c o r a t o r & g t ; & l t ; X & g t ; 1 0 9 0 & l t ; / X & g t ; & l t ; Y & g t ; 1 4 . 5 & l t ; / Y & g t ; & l t ; D i s t a n c e T o N e a r e s t C o r n e r X & g t ; 1 2 & l t ; / D i s t a n c e T o N e a r e s t C o r n e r X & g t ; & l t ; D i s t a n c e T o N e a r e s t C o r n e r Y & g t ; 1 4 . 5 & l t ; / D i s t a n c e T o N e a r e s t C o r n e r Y & g t ; & l t ; Z O r d e r & g t ; 2 & l t ; / Z O r d e r & g t ; & l t ; W i d t h & g t ; 2 1 0 & l t ; / W i d t h & g t ; & l t ; H e i g h t & g t ; 1 1 1 & l t ; / H e i g h t & g t ; & l t ; A c t u a l W i d t h & g t ; 2 1 0 & l t ; / A c t u a l W i d t h & g t ; & l t ; A c t u a l H e i g h t & g t ; 1 1 1 & 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P h o s p h a t e   P o l l u t i o n   C a t e g o r y "   C u s t o m M a p G u i d = " 0 0 0 0 0 0 0 0 - 0 0 0 0 - 0 0 0 0 - 0 0 0 0 - 0 0 0 0 0 0 0 0 0 0 0 0 "   C u s t o m M a p I d = " 0 0 0 0 0 0 0 0 - 0 0 0 0 - 0 0 0 0 - 0 0 0 0 - 0 0 0 0 0 0 0 0 0 0 0 0 "   S c e n e I d = " a d 8 9 6 3 7 a - 2 a 0 c - 4 7 0 d - 8 5 e 2 - 7 2 4 3 c 6 d 0 a 6 5 b " > < T r a n s i t i o n > M o v e T o < / T r a n s i t i o n > < E f f e c t > F i g u r e 8 < / E f f e c t > < T h e m e > B i n g R o a d < / T h e m e > < T h e m e W i t h L a b e l > t r u e < / T h e m e W i t h L a b e l > < F l a t M o d e E n a b l e d > f a l s e < / F l a t M o d e E n a b l e d > < D u r a t i o n > 1 0 0 0 0 0 0 0 0 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V g S U R B V H h e t X 0 F o B z V 1 f 9 v 3 e X t c 9 c Y S Q j u F t w r 1 O W r C 3 V v v 4 + 6 G 9 A C L W 0 p F C n u E C A Q S C B C 3 D 1 5 7 r 7 u 9 j / n z s z b 2 X 3 7 J L T / H 2 z e 7 u z s z J 1 7 j 9 9 z z 9 V 0 D m / N g l D r W Q a d z g j w J 4 0 4 J E N D L 3 E Q W o 0 W m U y W / t I x P s y Q v p L + E l I Z Q K + V 3 k u Q T u B / M 9 k E d B q 6 h 3 y U P 2 v p M / 8 8 T e / V 4 P M y 2 S S d J 1 9 Y 3 N 8 w d V s F u W 8 Z W a R T g F a v 3 I / a k o n Q t c 3 Q U a O y o M a B G k f H s / x l V g O N L g s N P Q + f L 6 6 R j i K t 1 d P 9 9 f y J U H h H u m 6 a j u p y 3 0 i / 5 Z Z m k I o D P d 4 t i K X 8 a H C c j W w 2 A 0 1 y H N G w C + l E B g l 6 T I t T i / i I F b q G E B y G J J L Q w 5 i J I p F y I N C l o 3 a H E a n Q o 7 G E b q R 3 0 D X S 1 E a 6 I W H y U A a e k 7 T w h t o R T G v Q 4 G o V x z W J I f S n B u A x N M F i 8 E C T D m D y u B v u 1 h D 1 W w r h d A y B 1 C h q t C Z k z A u o T Q P Y u y 6 E s g U e 6 C t D q B 5 5 F e m W m 8 W 1 U r F x 6 M 3 l 4 n 0 4 o Y H N y E 8 I J K k 5 x s w o s o Y K 8 T m b z W K 4 s x P V T e X 0 / B l k d S 7 q v x g 0 m a B 8 D v U t P V c 2 m 6 L v 6 Y x s n M a C e k l r h P + I A W W L a O z 1 e m p 7 D 7 L 6 G h o a A y w 9 9 y D a + D l o q P + G D 2 o Q b + 5 F k 8 m O j K G K 6 C q F g H c M P l 0 5 y u 1 a m I P 9 s P i f w w 7 L L 5 D y 8 B h M H 6 s 8 E D 2 B a G g u B G J Z O M 3 q a 2 U R T S V h 0 R u R D N F d b D H o N S a U a J K o T b U j a 6 x B K p p A 1 B v B F E O Z M / X w e E q Q T K Z g M E g 3 1 d P D x m I x Y j Q t H S M C z 2 S Q T q f F X z 6 H 3 z N M J p k R C V O E K R N v S l A f d a z 4 L I E Z g 5 l F g c J k h U w l Q e 4 m J v o s E T r x A 9 9 f Q 8 z N j J A g C j U a 6 U G T S W q T H o l 4 n I 4 T M 9 C P s n R v P o / f 8 1 W 0 W g 1 S 1 G b + j d V q l a + j E c + n t B / p M D X I J n 9 Q w F 9 y + 5 V O l g Q L 8 Q o x q n J M Q j K W R j w Z w E B w D + y 6 K m T 6 a 2 G u 7 o D J U k k / M 4 l z N M k J I j 4 3 f d Y J Z s v q P Q g P j S J I x G c s C S M W b 0 O t 3 U 8 D R b 9 R I R l J Q W v U U X u p 3 W k v N Y v a Y C i l b 7 T o C + 1 G p W U h h o M G Y j I S P M l B + q 4 M c W 8 A w V E b y p o n k a R + p 1 F E h q 6 7 f 9 U o F l 9 i g d X l R D A S g N 3 q g W 7 o N S T K L o I 3 R s R i z W D j x i 2 4 5 J I L k E q l i N m p / z K D 0 B u r i e P 8 R B w u u j 1 1 Q H w c v i E d S p q 5 H T K I q Y i T q F l W a q M k f b q D b 1 N / a V F u b Y J D Y 6 b j M U Q m k g h 5 i X E b J 1 C S j G A s P Y i 0 0 Y 4 6 6 1 K J E X U O j B 1 K o 9 l 5 J 2 D Q w W d 9 H 6 J G 6 k / t C P Q 6 J 9 F Q C h N H i Q Y a q C 9 t 1 L f p J H T x P u j j X Y i X X C Y 3 R o L B u w N J 1 / K p M V A j n C D 6 J h I w c L + q h j M e p z Z Q 2 4 1 E + 9 p M j K j A g M g Y 3 a p K E m 4 W p G E k K W P W k 1 B M 6 2 A 2 E J 0 r D F X j W U q N l A h b g T Z N 4 l Z H D 8 + E R J K b p X C K G p S T 3 t P B F 9 M S U W Z 1 1 J n 0 C x o + I a H U Y I Z i a c 6 S 9 8 R A D 8 b M Q U / N D J Q h h k m l 0 s Q o p H 2 I u B g 6 e m 8 w G o h p k o L h + b j F b C H C J 8 l P D M T M x L 9 l Y c E v I T z 4 t + k I / Z j b P B P 4 + v n M w 0 e y K e p E q X 9 J c 9 F 7 G p h t L 2 3 F 4 v M X I N C p g 3 t B G i O h Q c S J y L Q 6 n + g L / l 2 D Z R k R Z Y 5 x R / b 5 Y V n k I 8 3 W g g q b 3 C + p A J 3 j l N 4 T U v E U h r u H 4 W h M w k W M p M n E i W n K M R Y e Q j w V Q b 2 V N A R p 5 J C m U d Y q L A S o Q Q R v H z G U z 4 j y Z T b s f q E b p 7 2 r m d q j Q 0 d H l + i b m u o a P P j Q Q 8 j E A u g b 8 s F g M l B f 6 r B y 5 U q c e f b Z C I Y O w 2 1 f I K 6 V A 7 W T 2 p A K T i K R L I H N 6 S X h w I J D 1 g I Z E p B C o B G 9 8 F i T h t I I D e Z H x t R E J 0 j 9 2 T P Z j Y r R d k S z K + F Z Q k K G G C J l q K P 7 G z C y N 4 b K 5 X Q 9 a k s w 1 g O H u Z 6 u Q 3 R I 2 j 7 U Y 4 a l O o p 2 a x k C 2 X z N o 2 G a Y 8 a m 3 s 7 q 7 X x E U C P T M d 8 2 y 8 x e M J 7 F w D S a J U u A G Y 3 l h 5 Y 4 j 4 + l s z o 4 M + N Y k a f J 6 I r D H c 9 l I 7 Z q 1 J Y s w Z f / 9 W u s t n b R U e U k D U r D R u z + 3 H 0 I h 8 N I E 0 E 6 H Q 7 q k D D G J 0 M o L S 3 D x M Q 4 y t x E G E z p h I z W h p 6 e H u L u G G q q K u C 0 k 0 w k C R e I p G F 3 2 e H 3 + + F 2 l g o m E O f T o I h H L W A 6 B c w E a 1 5 b h 2 u v u Y Y + Z T E w N A w z M U x J S S k m v e M k z W M o c X n Q 3 9 + P m p o a O O w s q V J 0 V b P U C V r q U B p L J h p u Y V d 3 l 2 C i u t o 6 c X 1 u A T K k L Y t I r h M H 3 Y v o u G f 7 C D y L D M Q c A Z J e T k z E O m E k q e x N 9 K H S d A r G o x b U u p j Y g d e P m X D p g j g C 7 V p Y W 0 h k k J R U Q 5 M Y p L Z Z i S j c d G 1 u a w y j e x O o P I 2 k M t 1 P k 5 w k I i V t R h I 7 T f f S J c f Q H 6 1 D v a W X z q f B N 9 W I v u 2 c 3 A 2 b x Y K x N 8 p w 8 n U l m C T p 6 z E T A z L B M 0 h T g j S a J u 6 D N u X D 0 U g b 2 s q l M S k U J R q 6 B z N y I Y b 3 B l C 1 I i c A J B T + W g Y 9 R 4 b 6 J E W C z H 3 s j 4 i c 9 G N x m E 3 V w Y N R E t o O G i c b j a E W E W J Y v o 7 F 4 S E L I E B / y + B o i e H g s B F L q x L Y k 9 Q j o i G z k D q f h T 2 P g V r T S O a 4 9 K 4 Y N K Q A N G R F C T e A F Q h J S H J s p G v Q o Q x 1 g 0 Z P K o C E p 4 7 + 8 n d 8 r X J t H B W h P X A 6 2 8 R 1 G F p m J v E 7 a n j C r E O / M 4 5 + R 0 x + R T F h k 8 y w v / z 1 r 3 j w w Q f F + y w x z W V X X I 2 d u / f g l h / 9 B I N j Q a x Z t 0 U c 5 2 v 9 5 K c / E e c F w 1 G S n D o M T A Q w R s S / c + c e f P 9 7 t 6 C 7 8 w h W r X o B 0 W g U e / f s x e a t m 4 V Z 8 f z z L y I Y D G L d u j c x N j 5 B 1 z L g p V W v 8 h 3 F 9 z t 3 7 c I f / / B 7 f O / 7 P x A P + o M f / C 9 u v + 3 P u O 3 2 2 / H K 6 t V C I x 0 / e g h v r F u L S C S K 1 a t f x e j I C P Y f o H t s f l u c U 1 1 Z g 3 / d d 7 9 o H w 8 q d c F / y E z S U P G / K V L / q Q Q J C D I B G B Z h 0 o 2 i T G e H i f w G h i 9 x c I q Z G M u r U 2 Q u a H G M n o + k g 3 w 0 B 7 b P g 4 l x 9 P o 7 B G N o 0 6 Q 9 m B E I v f 5 O 9 E R I 2 p t b q O 8 t 9 C R E C L o S 1 F m G 0 B t t p v 6 j a x I T D o U P k M 9 R i 2 S H G z V n 6 q A N k a 9 l K a G 2 j Y j r k J o V z C S g T S B t a x L M Z O m 8 S x w q J E P B T K S Z C m G w 0 4 h 1 / E 3 + p I D E p X I f N b R m I Y N N 1 E Z f + U r 4 4 z 3 i M A u G 6 u X l p A l 8 y D g C K G k L o G 6 5 F z X L I 7 C 3 p l C y 1 A p n w w j C 3 j g a o j q M H w m T u c a m J T E A / T 5 N z 6 I w 0 6 Z V T 6 F 9 7 w 4 a G 1 k 7 z Y A s m f g Z r Z 2 E F v m r z J D M T H Q + C + I I 0 S g z k 3 d 4 A J t e f p o E A J 1 P j J c m o d 3 f P 4 g t 2 / o Q j N M Y s K t A 0 H 3 9 O 5 / 7 K b 9 x W C r w 4 v 5 N 2 G s e F V 8 o c C Y M + O b y 9 8 J q s 6 K v r w 9 n n X W W O L 5 7 z x 7 s 2 7 d f m F x H j x 6 F z 0 e S j b R O b V 0 d 7 r r r L n R 2 d q G + v h 5 3 3 H k X D h 4 4 h N 2 7 9 u L 4 s W P C 3 + n u 6 c e 6 N 9 / C x v V r s e / A Q b z 9 9 m b S a A n S e B 5 M j H t x z 9 / v x d q 1 6 3 D F F V f g 2 W e f x R l n n I m P f e x j O P 3 0 M z A 8 P C w Y 8 Z K V l 2 D N m j W k q U p w 7 r n s / A N v r H k Z L 7 y 0 B q N j X m z b v o 3 a o 8 O / H 3 4 Y h w 8 f w f r 1 6 9 H Y 2 I h o L I I N G z f g 2 q u v F 5 K I e 7 + Q Y I q D W Y Z f 6 r N 5 k L R I x t n Z 1 Z A J S X 4 G + 2 P a C b K 5 y d g m j c E E w i a P j t 4 n q N P L r S d B S x I e x G T 9 P i 3 G Q v R 7 z W Y s q L I i 1 G W D o Z Q D N f k m t Z E + O 4 1 m 6 N i O J 8 I P j 5 I P W K G H W 5 e C 2 0 S a i k z o A P l M S f I 7 f P F y j I Y 1 a H S Q + U X M G C M m D 8 V q 0 f 9 G F y p a K 1 B O v 7 O P 3 I O k b e m U j 8 Z P N R Y 9 D B s z i s p / 3 B q 6 A A s n f 4 G E / W R J c q u h t D E d o u c 1 w t c T h N V D J n n 1 O e K w 3 r s P l t G H k L I s o f s Q s 7 L w U j 1 X K E l + W N Y C 1 8 A d S N d 8 m O w J a g U J B c b 4 0 S D 1 Y w L 2 O u q j 0 D B c 9 m Z i O / 4 t m e j p Y d H G O L 0 c Z U m E J 0 L w W W x I k n k Y D Y T x 5 J 2 / E 6 b 8 u m c e R d D r R f e R g 9 i 3 6 U 2 0 7 9 + D X W + t Q c / h A 9 i 8 + g U M 9 3 T i 9 S c e Q t + x I z i y Y 4 t g w v 1 v v 4 U 3 n 3 k M B 9 5 e j y M 7 t 2 P 3 h j V o W b I U u 9 a 9 i m 1 r X 0 U n C W a r 0 0 X 3 r Y D J Z E K 5 R Y / 1 L z y D i y + 8 k G h N E s p C 3 / M / H L W Y F U S x 0 W g E 2 7 d v F R / Z j / n I R z 6 M g Y F + h E I h b N u 2 D T Z i O i Y 3 / t v U 1 A S X y 4 W e 7 m 5 c e e U V 4 j e D g 0 M 4 d O i g C A g Y 9 A a s O O U M 2 O 0 2 m I h Y 7 D Y n H n n 4 c e w h R s 2 Q V L 3 4 4 o v J f L N j 8 e L F 5 P M k 8 O I L L 8 B D z N N N 1 4 t G I n T e b u E P d X V 1 Y n x i A q + 9 + j L s z j K 6 x y D 6 i f E t Z N 6 s I 0 3 l d D r p H n Z q k w 0 L 2 1 p I g 8 T h c D i h 1 Z M D q p i p L H F I n W f S M 0 s x e m J 6 i e 5 S Q f 6 c Z U b S k D b W I h j N 4 n f P 6 f G d + x 3 4 0 Q P E A M k g m c h E T C T u y i 3 k t 2 R C Z N + T L 5 E Y R Z 0 7 A + t Q B y K b q 7 F / d Q / 5 C I M Y O T y J Q x u 2 Y / 9 L Q 6 T x J J O L G V P D j E k M z E G M D I t O A T L p i J i D Z E r a D L W w k 8 N e Y c 8 g l i Y N Z v C Q G e e F J T u I b G 8 v S p p L 4 K l x k R R 2 I V T 3 X S J f a b w 1 5 M S z W V V B j C 6 x F r 2 I M R k r a p M I N f 8 f b D 2 S p p o G N k H J b I t 4 Q z D a 9 D C 7 c j S U K j k Z 4 c b v k M l Z A l 2 4 F / b O 2 + R v y N l P + W E 3 O O H q / x t 8 N d 8 W x 0 b o G f j Z x g 6 Q K b r A j t I m v p Y F j W 6 y g w l 6 8 v c M W r o f R w 9 J u x l 1 3 F a g f J E H B g v 5 5 O Q a 6 I x 6 N J x 0 K p 7 9 x 5 2 w 2 h 2 I h c I w m i x Y e t Z 5 8 I 4 O w 0 S + d M j v Q 1 U D + 2 9 0 K T L 9 K 0 g B p F N J Y j B y d e h 5 9 H S s p o l N u D T C g Q B 6 j h 3 G Q F c 7 f d 8 t 3 A 8 9 9 T f T E t O D 3 q D H z V / 7 K A l A H X z d E Q w c 7 o f G N z k q W m Z 3 l O D T D / 8 M D 7 o P 8 M c p 1 A U t 6 P 3 I v + V P E i S 5 L I F / r J b Z D L Y y Z 5 P 7 6 R Q 9 f H 5 s X S B D c k g K L k j f 6 a i h r I 3 Y V H v v e 9 4 j Q q 4 6 R Z + z S m a C o g f X p h N I a S w i A n j z z T f j b 3 f f j X v + + U 8 s W 7 Y U 5 5 x 5 K h E j + V M i U G J D b 1 + v 8 P E u v O A C u o b M U M K P 0 w k b m d u t h N L n A 9 b Q H C V k p g w R 3 3 A k 8 d c P 9 M F o 0 O B Y b w x / + 0 Y J D r 1 5 h B i o T G h M D t 2 G 4 q N o P q M O z l I 7 w m n y B / W j 8 G U 8 S H S F U b a I m E d m 9 H g k j s 7 t f Y j 4 J Q K 3 2 D g 0 b Y R J 5 y B t F 0 Q y Y C P p 7 0 P d E r q 2 3 g p 7 q Q 1 G M w d Z 5 P A w m y H 0 z A d e G s W y a 0 u p D c P w I Q k D a Y a K 0 K M I l X 1 D X H c K w p f M O f c s X 7 h P G d r o I P T + Q 0 h U X S 4 E R J Y l s h h 8 a i s 5 G U N 7 / a g + V R X p I 2 h S p I m 1 Z E Y R A w h k E j A f / g s R f g K R 2 o 8 i T H 4 t P Q G C W S O 8 5 B v Z w s Q c R L C O C r o p / S Z G z e H H Y b D f n u G z 6 X a h u B Z O s y T 8 N K k Y j p D f N 2 F c R D K L z N m C q K s E a i j 9 L w L O P O Y c d S Y B m I 8 c J T M d b F z 1 O M Y G B 3 D T l 7 6 l + o 4 M Q f p O u Q f 7 U A u T Z J 2 R Q N J T f 1 j 1 H m K o i S G + u m C o Z 7 a t Q X e W H c A c D C k N v n 7 h h + R P O e R u P x 9 I L M h a g F E Y a p Y g f c d X n Y 0 h p 8 9 z M R T m I h 9 D m A Y 5 c C d q t U k a k L g 4 R 4 r k q T q P X v m X k 4 4 w Y 4 u o H R E M v 2 e 6 0 R B 1 q V u V J o p L E 0 M Z T X w F / k Z 6 x m i U 7 P 8 E h 5 Y d 4 j x G M B 6 A K T V O k p w k L m s Y 9 l u I K b L J A A 2 Q U U S l f A O L M W p L o q 2 S N V P + 8 z M z Z I 1 V 8 i d g d G 8 I F S s 4 e i W B f a w G V w u Z n y n s e 3 U X T P o a a g u Z i 0 Y H M b w B P n 8 3 y l t s a F 5 O J q L B D W P 3 U / B X X E 6 a n E 1 S 7 r s M J k O 7 4 b a e S k x E G j c x i I x B F b a X z T V H z 6 / R 3 r U G 7 q U / h a n 8 Y n G M M b T T h 5 o V N A 5 E V D o y u T L k z / a + t h J L G r O I N D 0 g 5 p H Y M g 7 G B t A 4 9 i A d I 8 1 E D J Z l T c r R Q G K k U I 8 B h u p e R F I 1 c J i z N J J J x D N a D A R 7 0 U h a y K A h g U t m Y V Z f C s u h P 4 p A z d H q 0 + G 1 n C u C E g x q O c k F G m m O g 8 s Q / l D B K C v I J D l U T u O q o 3 N o 6 P m l / i 1 D Q w J X 0 A S 9 4 2 H T 6 v k z U K Z N o U 1 L J i + h O 7 A J D k M D N O 0 D G 7 N l l o W C o Y 4 d P 0 I + y i B 9 n S M 4 s 9 m M c 8 5 m a S 6 B A y G C u O T P a g i W o H + U m I p 4 z / R J b 3 R i P I o / F C N O 5 h v b p W w + 6 k i 9 G 4 0 G + q s X g Q Z + c V C C 2 8 I a i 3 0 1 / s y m H D N K N M 4 a T y 9 M Q D Y h o 9 G Y M P k 4 M s n 2 N I f S E 8 m k + D 1 H H 1 k J W q 0 0 M P Q 3 / z m 4 3 c W e L A f W r g z B 9 H Q q t 1 V h Q j 7 K D B w O + 6 h N Q Z i N N p K g P j H w f Y F O 1 D s l 8 0 W C 1 D m Z D E l V V l x 0 Z P J g E q V L 8 8 O / D H b q s 2 r i J g g G O A S U n k T 3 p V H O k G k 5 S v e s s k k m k T b e h Y y p W T 5 b g j 8 + g K M v D 5 I G c G P J + Q t g 7 n s U s f o P C y G l 1 Z C m p 6 s m M o Y p c 0 r 0 T 0 F 3 b P j r N W i o H 8 G C U 3 + I R O 1 7 x A n e I x q U L K b + I C Z k v 4 3 N p l t + + F N 8 6 e I 3 R L 9 r h C l l x I H s z 7 D p 7 Q 3 4 w W V P S E 5 9 1 S q 0 t b a g t 7 c f T o c b W 7 d v x r 6 9 e + E P B P H r n / + Q T F 4 v I t l y O A 1 h R F M T s J j q q Q U a 2 D p / g 3 D L D 0 T 7 A o l e 0 h A e Y j 0 T z G T O K g i P x 4 V P J 7 R 9 s Q d R g 0 z Q r M Z J G p m s D P J P j Q a y a I w x Y c J O W S r 0 D K b A W w g 7 z h d m H 8 N K f e b R J M h 3 J f O P t R 6 d q j L 5 3 F i / 4 T m s X K k e d O K 8 7 g k 0 N l w u C L i b 7 M j m 5 h Z B o I z J y U k R B m + s b y I B N p u R N z P 4 9 w 6 H A y n q Y G Y W 9 m + E r c p m F H U E 9 0 U 8 H h c M x t f n u R P u 1 E w q g T V r 3 8 T p p 5 2 K g M + L 5 p Y 2 c X 4 P t Z H n V E b H R s V c F B 8 n y 0 J M W P e S L 1 F Z W S m Y a X y o B + X V 1 O 6 p j u Z u m P 4 E 6 z e s x 0 U X X i R / y i F F T M x m g / g F h + a p U y N R M r H o w G 2 3 3 Y b z z j s X M X q e U 0 8 7 D W + 9 9 S Z s x P w j w y M 4 / / x z c f x 4 B 9 x u E m B H j 9 F z J 9 H X 3 4 c b r 7 8 R 3 c e 7 4 C x z 4 7 x z z i F B I G 4 j o A 5 T R 8 n P s I i I X B Y x X w z h E W L C N u o b 8 s u Y c X m S 0 q a P C K Y q / k R M X 1 n s e 6 W d N I A L O m c Q r a c 3 C D 9 E j e 5 J P f k 6 C S w q p y u o i H H n R S t R T U 2 p e X o d S Z c Y + U d 9 5 G O U o 2 q F e 6 q d H I 2 c 7 F 6 D Z N f v k H C + C + b Q i z B 6 z k T p K X 8 Q 9 x 5 + 8 x L R 3 S 3 N 7 y E / 6 + s I 9 G b g a i S a o v u w W c y 0 x k y o I Y 1 e G J 6 3 9 / 4 R o Q b 2 u 6 h N 8 g Q z B 2 M i y V H y y 6 q J N v k 5 p P Y m I k l E x 8 J 0 b Z f w z 1 j L Z v U l 4 j s N z / F l O c g j Z X 0 o i J B g G o u M o s Z e S U x C L s K B f g T 6 W U e F s b D 2 C C y L L y Z m 4 0 A Q T + I n c X h r B / V B K S k E H + y V W u h + 8 L 1 v i y i f 0 W R F T + 8 R Y h j p h g p 8 v i j c Z E q 8 u O o l 7 C X p w Z K l v q 4 e X p 8 P P / 7 R j 9 H U 3 E i O v w M b N 2 0 S c 1 Q B c u T e W r 8 e Q 8 N D s F l t G J 8 Y F 1 H A u t o a u p o G a 9 e t F d q D t Q 4 z C n 9 v M p r w 8 C P / x k s v v U y E 5 h L H u c N f W 7 O G J F g r d u 7 a K Z g t G g n h 6 J F D q C N H M h A I 4 e G H H 8 Y r r 6 x G / 8 A g S a c s 3 l i 3 H g c P H h S / e + y x x 3 H q i l N R X 1 8 r n u P t t z f h 9 d f f w O O P P 4 6 z z z 4 b N 3 / 5 a z j j 1 C X Y s m 0 X y s p K 0 d X d j Y O H D q K 0 t B R v r F 2 L U D i E o a E h I v 5 2 o f U 8 J W S a y J D M Q W J 6 E l Q a E i 7 M l O w 7 s e Y 0 m U 0 k w W t Q 6 y p D M J i C L m X G i t M X Y 1 F b E 0 y O c l S U V 2 J 0 d I j 8 u 2 W o W 5 S F h 4 5 d f 9 3 1 Q p P y s Z F + E g 5 t N e I e U y A / S I F h a v K Z p K K J f M x R A 6 y V 1 B D Z T x H a h c 0 z M i c 1 J E m Z w Y w s g 1 T g 9 l Y t K E X F A h v q M 6 Q t y s 5 C z 6 E h d G / 1 w j s 8 A V e l F a V O L f W p l h M U o E 2 N C J O U f S f N A 4 9 D E 9 X A / q l P 0 B d 6 j B 6 z i c l i D f t t H K U j i 0 F D / s T + V 7 8 A O 3 0 c H j g G h z W D i r M f E g x + Z O 0 3 Y M E g t k d c + L j W g / P G F k I b z M B e k S D t S B q B G Y m k f Y C s Q L O W T E J 6 L h Z b 5 t 6 H 6 L 4 j i N V + n J 9 A P A c / M 8 9 b a X V 2 E R g Q f c O M I v e F j h p v N E U Q G C b t U k J 0 L U c R B d g H p H 6 V 0 r p y l p N B Z 8 L B I T f a x 5 3 o 9 + s w p i t F W a s L Z z g e g 2 Y J 3 Z v 8 c W + f H y N H J 2 B 0 G X C Y e O b C G 0 5 D z U n l e G 3 T 6 8 R Q P / j e T 1 k y c D R k J o Z y E U O 1 k a R / 9 N H H 8 P 6 b 3 g + T x Q w L m U 8 H D x 3 C 0 0 8 9 D Y f T i Y m J C T F P 9 c Y b b w h i Y E n z 5 p t v 4 t / / f h h v r n s T V 1 x x J d o 7 2 n H n H X e Q 1 N 8 g X h w Z P E T X 2 H 9 g P 6 p r a n D g w A E R L n / t 1 V f R 0 d k p o j A v v P g C x s b G c d 6 Z y / H t 7 / + Q r r l e X K t / o F 9 o t 5 G R E b S 1 t a G 8 s g r D g 3 0 o r 6 g U o f W L L 7 w Y q 1 5 e B b v N i q e f e U Z E Z p j g O f T / w Q 9 8 A H v 3 7 R O R Q j s J g d W r X 8 P L L 7 8 s J o c 3 b 9 4 s T M 8 3 3 l i L 9 v Y O n H L K C u z f f w C n r F g h + o N 9 J j b 7 D C Z F h f D g E o O R b a 0 n 2 5 u J I a 3 x w W J 3 o 7 q u H K 5 S M j 2 H o w j 1 G 1 D b Z o e R N H l j Q z 2 Z F X q S q J W I W X o Q T P W h 2 r 1 A B D c 8 b j f R Z I A I a 5 R M M L L r N U R k Z N B o m E E 4 3 Y h N S 0 U K 0 7 i F x 4 K w l Z s R I n O L 5 + 1 0 R O Q C I o x L 4 8 q R M T p v J p i H n k W y / D K 4 K x y o W u R C S Y O H m F u L g + u O Y O j g M N y N R K j m c r p 3 h K R 5 C U L / e g D m l Z e I F 0 O r 9 x O N m Y T J y P f U Z M i n 0 B i R G n x Q 3 J a M B D L V N H C 2 f J y 0 w g i 6 d v w Z T j t p P 1 8 K a 4 I e f L j 6 B t Q u 0 2 H o Q I I Y c R J m m 4 X 6 g / x F e G E i v 4 u Z y X b s V 4 g 2 f w k Z h z S B m q B 7 K O l q f E 9 t o o + 6 h I M u I 8 Q R 0 n y a N 6 o l T Z 5 F M G 2 F 3 a l H c C g M s 1 P + j Q p q Z l J w b E x i y E x W g y X k z z Z 5 0 r B E y H x 1 X i C e y e I y w 1 3 r J M t H j 0 N H j p B Q f 0 3 Q X A X R n j b N G Y + M m f p c q N 4 Q f v u b n 5 F N G 8 b + v V t w e P 9 2 h A L D C P o n Y C V C Z R X 9 + u u v S 6 Y a S V o 3 E U V j Y 4 M I n z P Y 7 G F / h 3 0 Y t l P P P / 9 8 L F y 4 E A 0 N D e J 7 k 8 m M V 1 5 + R V y H u B H n n n e e I H 7 W F v z d j u 1 b 8 O C j z 4 p z l W t V U u P Z 3 z I S 8 T M T c M 7 h p C + I 1 1 a / T E x k x 6 t r X h U m K c 9 h f e 3 r 3 0 J t b S 0 2 E B O z d m Q z T o K G 2 r 1 W z G X 1 k 9 n F z M n M V F Z W J k L + b B 5 2 d H T i 1 F N P E W e z V u J J P Y m Z W N 6 y 1 8 H H S T s R o 7 D T y u 6 v h Z z m 4 c h h / g n a R 7 R w 1 t r h W a K F v 0 M a 0 K i c s j g e O y r M o 1 r L G f R L a W D D / T F k z F a M R u z k 6 G o R J 0 I e i x 4 Q 5 l y W T J r B + B H p 1 j I 4 L Y Z h J 9 / F U D h X x G C C y R B D x v u o n U n I A c M p R D J m 9 I X f l j 8 R e L x J 2 y 6 7 d A l q L 1 2 B j j c S 4 r m D m V L s 2 d Q p v E X X j 2 6 R z i V o L W S i c 3 R U n t j k 9 C J u H h O e x l h G m o 4 O c c S R z S 1 q f 3 l p V p i S b k s a T 5 X s g J V 8 S E 0 6 h O o V J a Q Z y V Q / m C Z T y w J 3 1 g B t r A P Z y C C i V R + U n k O G n q W X q h M y x n q E Y 1 k k 9 V U I x q X + K L H Q c 6 R 9 c J r J f y d B F x q J I 8 I m M m l s R p L 6 z R u R x m 8 m n N / k Q 0 a 7 F Y 6 B 3 y F Y 9 w P 5 q I R g n M w 7 u u 5 7 r l 6 O r 3 / t i z h / 8 U U 4 7 6 w z o b n 3 3 n u z F 5 x / I a q q K 0 l j v I T L L 1 8 o / 0 S C 4 k M V Q 1 p u j U 4 k t U p 2 L z 2 5 C E / P D s W J n w 4 x G O I v a T k a p A x d K 9 8 7 y / 3 2 o Y c f w c c / + h H x X o L 0 6 y y Z p d S N Y m 5 I D e X a A p k E b v v z X 3 D 1 1 V f h p C U n 4 Y t y u L 0 Q j 5 G J y B q N k Y y n S V o T Y X C 0 k j S R m M Q t A N + j c y g o A i U W Q x r l d j 6 S Q 6 A / j N i E D t W n s 6 9 I h J H 0 U V s i J L S C S B q b R Y Q t M K C H o 4 6 l e 4 b M H j K h 9 G S q E I V m k u S z h D p g 8 r 2 F p H k x Q p 6 T E T x q R d k y R a I m o e P E W / Y L i k h e B e E E m e N 0 j m H o J S S r r 8 N E v B 2 l 5 k X y t w y p p 3 b 1 G X B 6 Z S + 2 v x j C w i t c O P T Z T 6 K 8 P 4 i 2 t 5 6 i e 1 Q K v 4 S T c 0 f 3 B 1 B B Z p 8 w N Q l 7 X / k s n N o O B L K L 4 d Y e Q c P l r 1 F z D G j f / E v o g 6 8 g Q Y 9 t Z i u V 2 u h q 2 Q F H M / l 8 q j H 2 H i V N 3 U J a K m u B a W Q V 4 v U f J u 0 z J O 4 l Z Y v n j + s U y P y D j r P z + Q y 6 C Z m B 6 Q w x E x G / x U B 0 Q + o y Q A K r v I X U p g D T K r k Y a T I N x V Q J X Y J O i y a 5 7 9 K w k 2 b l n r A P 3 Y V + 9 2 d I a O m p z W w F i B 8 L a B I D y B p r k S J T l 0 P n m o P 7 d 2 c b G h o R J r G Z S I R J S 0 S E f y P 5 B f x L D Z o a l 0 i / n g F 8 U 3 4 I D q g w e M 6 A D 0 i M N c P D y 5 C G T g J H r n h S V 0 u E w X Z 4 m j 7 r C s L g C t S / Y 3 A S r p b + 4 z k l T s H h 8 H X x 8 L y M O Z N h c + B 7 p W J 0 X T K F O L z K 9 j o f l d o w / R 6 h o F d o 6 5 n A 0 c s H 7 n + Y T G U b J n x e l J B G 5 w w S v z 9 I f a 4 R w Z P F p M G H R 0 c R D A T x 4 Q + / D 0 e P t W P p k m V k V n g Q J 8 l t N D V h / E C S m M l I Y z W d e Y S J x n 6 N K v J V C E f 3 z x F s k n L o F G T D E e g 3 n Y 7 s e Q 8 g b T 9 r 6 u l G u 0 Z x / N 3 v Q r n V g P r 1 q 2 C F l J g r z C z q 9 Z E j b l S c L P k o r / 7 j H D R U 6 j A Z M q K G L L D m q 9 a J 4 1 s f X Y n a 8 i y 6 B p N o r C F z q s G A v t i T C D e Q F r d G 4 D D U Q U v C h c e l d 1 8 P d h x 5 A + / 9 w K f p H r k p g 2 g 4 C I v N I e h T + J n 0 l 4 2 s N H H p / v 1 7 c O a Z p 9 N D U N / z Z L o 8 v m k y 3 X Q k A B n j x 3 w o W 8 h 5 k E U g T 8 C r f V Y F t q 4 / I N z 8 X f m T h B R p O b 3 I v c z R g O 7 X v / r F T 5 H 0 w + 2 p x l j v J m g D m 6 G N d p I D 2 E H 2 Q D t S 4 T 5 4 a q V 0 I y a h Y g T E R 5 i 7 G a y 1 2 B n m e Q X + B T s X m k y U B D r Z y E K T 0 Y l E A M x 0 b A q I p F h 6 W O k v N V B 0 h M S I z C C F k I i Y 7 k P P o T A w Q 5 I l 3 D p J j b N p x s S p I P + x C U y E s 0 h x B T x o r J n Y l C V h R 1 J I + Q 0 P K P s 4 9 C z y E Q W J B I f m u R X F w X 3 V 0 t Z M G k e H U k c p z j r 9 b P Q O 9 Z K / t g S J a B Q X X 3 I J S m 3 V 5 J D H i U D O R o y I 5 f S q f i K a M J m s N u i M F f S U S U T G D b A R 4 R Z C 5 9 0 F v e 8 g 0 q 5 l p E V G 8 w i E T U j O f n e a i I l 9 W 5 B w 5 6 Z E G D 1 3 3 Y X w 3 w d g + / x 3 q Z 0 6 E e 1 z k / l k K y F L 4 d G H q X 1 p R M + + B B P m V n g s N L Z C E 5 A / W J 5 G c M K H Q L c B + v j D G B 8 f R 6 n b S H 6 w G f 3 R s x C L J 6 C d e A K j o 8 M 0 G A m S / l n 0 j y b g q C 3 B w W M p + u z B P f / 8 F 9 7 e s g v B U A Q L T z 5 J L I n 4 9 7 8 f h d 1 d i 1 t v + x O 5 E U 0 I h D h b X I s S j w d v r d + E 1 t Y F 6 O n p Q k W 5 B 5 v e 3 k Z m + x j a F i y i P k v j H / f 8 C 2 e c e Y Z M E R L M 1 K a I N w Y j C Y Z p Y A 1 L d J v i Q A d P X p N P a v B u h 3 X 0 3 4 h U f p L 8 s 9 y 8 H 4 N J I U k W h k 6 X C 3 b k Z U q s f / I z W F k j J c A q 6 P b W o f H G H u H f c H i 3 u S k 3 t 8 G B C P Y / O K G V v 2 e f h y 8 W J w J I x j k E L q X N s 7 R e / e q r O P W U U 4 Q k 5 v N 4 j i i T j s P m J N + A t I p 3 Z J g e J I u q m g Y x G B O T E 2 h t a R W E r C D N E l f u H A 0 5 p U z a H A F c s n i J S G d S w M z E x C 6 F 2 H N M m A e e T O Q O n I W p k v Q c / D u N V i e 0 n d C e d D 5 d X m b m o l e e 0 l A h c q 6 N G h u Z E w 7 5 m + k Q T E k S O D T A s q e e L J o B I l o T 3 K 0 O e P x 3 I h G v I 2 F g Q F d J H e r s Z 8 g / S m B k v x 9 l i z 3 E X P S M H I E j / 5 Y u R p K c T S + J W O w d P 0 O o V U p U l s y z M j E B z G h w N c P R + 2 u 0 l 9 + A M t N J c r g Z O L j y c j j J Q q l e t w 7 j Y T 2 q n M Q w M n o u I g 3 z 5 K P Q l J b j 0 O p x N F 9 g R 2 f E L Z j D Z U 6 j x J r F 0 J F n E O 6 8 E + a G L y D a / n e U N P 8 A V a d d i 7 t / 9 1 F c c w r 5 c W R O M R P G w l 2 w e 1 r R e t r X E P f c R H 1 K f U n P p W V B n I p i 4 r g J n k X s z 9 E Y C d P f h E 2 b t u P i i y 9 A I J g U x G z R 8 k L G E u p r 1 k B k 5 p O k 4 r V L H B E 2 8 F w J D 0 1 i H C l d 2 Z S G Y g g T d X l h V n w + L O 2 3 I e k + H 6 m y s + U j x c H Z / j w 5 H Y p n h Y k 4 M z V N Q W r I y 6 + 8 g g c f f A h b t 0 m 5 f I x b f v h D D B M j / P H W W 0 X 4 m + e A 1 q 5 9 A 3 t 2 b c P 3 f / A D E a l j v P D C 8 y Q 5 h v D 7 P / x B H G d w 9 v r 9 D z 4 M L Z m Y O i K + 7 9 / y M / z m 9 7 c J J v 3 t 7 3 6 H A w c O C i b d v m M 7 d u 3 e R U w 2 h h e e f 1 E E H 7 b v 2 I k d 2 7 e J l C Q O H D w g Z 8 E r y J K K V 5 g p X z P J A R g G D x z Z v c X A 5 i P / j i 0 H X v a h m I 7 M T N w b O c U 3 n Z n U S K T 8 M B Q x H 9 T o C 3 S h P x a F s 6 U G 7 o V p O K s y M B k r E e j Q I l j x T c T r 3 o t k 7 X V E N P J Q Z Z J I R U I w u Y w S M z H Y 4 T e 6 k J U T Z R W E W n 8 M 6 8 F f w X 7 k F t g H 7 o Z j / E 9 Y P P j o 1 C r f V N a O S s u K K W Z i W H k S n S 4 7 G M h n p r 5 / / Q 0 J E o B h p 0 n 0 y f L r K 2 E k R y i 1 7 T A i u / a R R i W L g L p j + O a / w P F P 8 i N 3 3 8 P B P t S c c R 3 6 v V k s L u l l P k H f B H d q C k Z 7 P Y 0 v i Y r o M Y w G u S d J W P W 9 C f v w X 6 A N H k I 0 M A 5 t n O g n 1 o s o W y 9 Z L Z q W 6 z A e b B d R Q 4 u R b q b n i A d Z D 0 l O R q B r s D V B 1 g H P Y b K F k E 0 n 6 W c c G p e Z S c 5 R Z G Y a 3 Z d 7 t k L o f P s Q r 3 r v n M z E E J k e B B Y q 7 O f N g 6 E k o r n x h m t F W L m 8 j P O 1 m N y A 4 8 e P 4 9 v f / g 5 C o S B u v / 1 P R N g P Y c e u v d i x c 7 d Y m / S b 3 / x W n H f w 0 G E s W r R Y R O c U j X P F F V K g 4 4 9 / / j s 2 b 9 s l Q u Q 2 C w 1 Q M o r r r r s W X V 1 d I h / v 2 W e f w 1 / / e j f + 8 M d b M U Z M d e s f b 8 c z T z 2 H P 9 9 x J w Y G B s S 8 F 8 + P M b j b W I u w C a k g n + R l A p S F h J R S U g Q 0 e L p 0 i L Q g S d P Z z E a B G a 5 B 8 J C j X y i z e o P b i D k U p 5 i g H U U y S 9 o j L h G F l j S M o Y G I i f w s f 6 y b b k h t J o J v t L Z h M L g b Q 3 t 8 8 P Z q 4 G 6 c 2 T f K Q Y P I 0 l s Q W v w r 8 p V + h G D Z N x B Z 8 k N q M g k S M s W 1 S T L D 6 b 7 G 7 m d g 7 / k 9 H N 6 7 k C K J r t U E s a T 3 u z C M r I M 2 N i H O 7 3 3 g c T p u g M u S m 1 b h v M H T 3 t 2 G Z V e c h I M v 0 3 k E J w l H D b 1 d f G 8 W 7 l s 1 + N F P f o 7 W a h v K y j M Y 8 4 + R D 5 U h i y a E C W 8 Y h p b v I V 5 y O R K T + 0 l O B P D s n j R G X J 9 D 2 H A K D k 8 c I I a K w H r 8 H n i O 3 S U i b c Y g m / Q Z j E c P i X s x m I l Y s 4 k x J U 2 m S Y x J X z C E C W e e S l V L Z C X T j F d M l y 1 O k D / F 0 x D 5 Y O Y z j 7 + C j F 1 K o F U j k p x + f g 7 E x I Z K 8 v + J A P t 8 5 B / k a L A o f v f 7 W 8 X f L V u 3 C w Z h 8 l q w Y A F u v f W P x C i S S c P z Q t u 3 v C 2 u x a F z h X l a W 1 u J 8 I M i U 5 x N P T b T O O T N j u V 3 v v 1 t n H v O u e J z 3 8 A w D u 7 f S 6 p 9 E 3 b s 2 E H m p J s 0 1 X 4 R J I l E I n h 7 0 x Z h L n J m B W e i t 7 W 1 E l M N i m U Z D E H s p J 1 k f h H g Y 9 M f T W I L E c 7 l f D J 6 n y I p m C Z p x 3 4 i M 1 O a 3 G 5 y 9 M R 5 C q Y z E 0 N h 0 v m h w X E W m S s 5 j d D g O B e t 7 r O F 9 m O w R B 0 b H U A 6 F S Y z q g n B e J 9 8 3 I Q a x 6 m w l 9 S g c m l + E u p 0 8 F P w f / n t 9 8 b a E Y g T k 5 L 5 x B o 6 m j Y i i B o k m t 6 L U O P 3 E C z 5 C i r W H U T j 2 h 0 I r / g N k p U r k T H T v e h 8 X s K l T Q V g 7 f g D N G R V F O K k a z z Y / + I Q 9 x q y N 1 5 P / 5 C P F I j g k 5 / 4 B L 7 3 n Z u F s O R A U 1 / f A J J D Y 3 B b M 7 j / q Q P 4 y 0 M 7 s T D y R S T 2 f w y T 4 0 M w 6 j O 4 9 Y 5 b S Y M Z k L b W I L z k e x h t / T x C V V 9 D Z U U L 3 K Y G N I 6 8 S Y w z S Y w x T E + o x Z 6 J Z r G m T E z U 6 t 3 U P j + 3 Q r R L D U W h c 7 R Q a 7 T C U O f G 2 F A Q o 9 4 A v M E w 8 Y E W x o F X E W 7 5 J v W T F g P + / L E 1 i Z W / M 4 M 1 l G Z o 9 E j W o v c I H + r l + z + O 5 Y 7 H 5 K 8 l D I e q c f a n + u V P h e A B y 0 n g h x 9 5 h E y + t f j 5 L 3 6 F m u r K K Q J U Z 4 z n w A + c I 1 H O N J 9 K b O X A B E n m z u 4 + P P z w I / g R m Z b / d 8 s t + M b X v 4 6 K y g r J h 5 H O J M f 0 L c G w U y t w S Z q m M 2 Q O C Z r l e 9 C Z h V w l P v M B U t N Z u h d J V V 5 Y x l 8 E 4 x x M I f + T z L x 4 I g O X n X 5 P p + Y / a S F Y S + U 6 f 6 4 o H 2 u o F A k y I x O 2 D F 6 S I T G V h r S Q F 9 l S D S p q n P j l r 3 + D m 9 7 z X u g N O p h M F j z 5 x F P w + X 2 4 / L L L s f S k h a i r a 6 D m 8 W R z C i l O w U l N I J Q I w W 4 w w 2 6 s p 2 v O z P C 2 4 7 9 A e M G P x L I T E x G y N 6 o j M z W L S s f 0 t r e T / + S 8 9 l p U / E C K d J m H n 4 U + f h x J T R U 9 O h O a F v t / 8 y S w o R v e O g / q q Y 0 1 b 7 1 G W s a H j Y 9 d i Z q y D L p G y t B c O Q 7 r b 6 T Q V v u j x 5 D Z d A G a y y K o P + 0 2 p E v P o m f R Y W j v B G p O 4 R A 5 n Z c g 5 5 K E D A + C S B t i A S N y + u h r s i H N Y 8 + Q N E w h W v 8 J 6 t c U m a o m V D s z Z M b S o N E Y a 1 J e t A c q x L w T j 3 i J h U x E M g m 9 s e N Y 4 G m G 9 6 g G J Q v Z / 5 J W d N t 7 f k 3 C 5 f 8 w Q t q w 0 i E R z Y E h A 5 Z W J b k 5 s 0 I T 7 8 0 P S k h h 8 v m C f z b 7 H X L O u w S W m b k o 4 e w k y t + L 0 K 9 y D o f R S f v w H I A / E B L a z 2 w y I h a P i 7 + J B D E k J 9 W y v 0 M a I J k g B 5 c + 8 1 o q Z c K Z U 5 w C w S B s p F G T n C Q r P w M H S s Q S a B p M n i D k F v K L J 6 E d V j L 7 6 I P S 6 u J P n f 9 k c z H U r K A b j B / 3 I + 1 O 4 n F i n g v P P R c u p 5 v M 4 m 2 o b 6 h F X 8 8 A / C E f n A 4 n r r 3 2 K t z 1 l 7 v x 4 x / + L 8 K c Q J t 2 w W 7 O T e 4 m y Q S a z Y f T e Q 8 g 6 m y C g Q h 2 0 K t F r Y e f L h 9 9 4 S 2 o S i 1 B 1 w 3 v x o K 1 a x A i 8 6 z a x 0 s a q K n k J I U X 8 I p q / p D E 9 o s u Q w X 1 w i A J i 9 J g B u m 7 7 s d J 5 5 R i 5 / M 3 w U n N i I f J y B 7 t Q v k j d a h + + h 6 g c j F 2 P b U S L v p u 4 Z n E U G W n k m 8 T R e m C K C l F o e u I B v y k n a 2 I k x A y k W Z R 5 n s K Y R h 9 C / r I Y U S b v o h Y U i M K p k y B 1 5 8 l u e h N f t 4 e y 9 R M M o 0 g a S l 3 o 5 u Y 6 b c I 1 3 6 Z G J c s L g 7 0 k C k p 1 Z 7 I Y c i X R Q m 1 1 2 y Y T g W c H J z H U L t u v x 3 l W 3 N B B 0 a Q T K t l 9 9 0 n 3 n v 9 X j K 1 H C L l g n 8 0 M T 4 O j 8 c j o n w u F 5 t 9 + Q y i M J S S A M s I B P 1 0 b o k g P j b / 2 H d i g m a w 2 c d B i J W X r B S f e 3 p 7 R A 4 d / 5 b f M 5 F y l F G T I U Y r e F A F n O 2 9 8 e 3 p C a 3 c X l G 4 g / 0 X Y p 4 k z E R I S n t p 8 E U H G k i o 5 D o q R Q 8 g 2 d / T O y 8 f o g s J 0 n n / E U M R R v a H U L m c p L 6 I R N I 1 5 U B D s D 8 G R 1 2 O Y b j E l 0 7 n h V n n R j Q 1 i U B q E J X m Z d J 3 q T H Y 9 P m J p f k Q P Q J f R A u n / 0 1 o q 6 c n A C s Y e P o Z h P 9 8 J x a u X 4 f t T 6 x E X W m c x l U P S 9 2 7 4 V w o M R e j i 7 S Y h s Z T y x n m J h P q 1 6 x G N D C J 4 6 u u Q 4 y L m l h N i H V 0 o O T J R j R u f Q u b / v U 8 G u / 9 D d G A H Z X r X h f X 4 D I C Q z E S H m Q K c x s 1 8 S F R F 4 O R p L E z q M z l o i A L x T j + K h K V N 8 o H C p A Y J d t P Y i y l R F o X 9 f e y i g c R q r y Z e q T I W M t J u A p 2 9 h l x e n 0 C P a G N a L S r p h 3 I f 9 P 9 4 P v f + S l 3 L O f y H f / n P 3 H q Y 4 / B f f j w 1 C s 6 M Q H 3 N 7 + J R D q B n 5 G D e d W V V 9 I Y S 7 f 9 3 v e / j 5 b W F j z 1 9 N P C x 2 F f a m B w Q O T m c T g 9 S a q Y m e X X v / k N 2 q k j e f X t x O Q k O u g 9 J 8 + y G c g 5 f Q v J F + N c u z / f c Y d I E O X w W m d X F x 5 / / A k 8 8 8 w z u P 7 6 6 / H F L 9 4 s U o A 4 J e i N d R v E X 7 4 X L 8 W v q K z E 2 n X r E I 6 E 0 d P d g 5 H R U T L X 4 q i q k i Y D J d K h v 2 R S J Y l p e H 2 Q F E b l o z x 9 T N K a C I T n m 7 I 6 j l Z p x X y a n p h L 0 j z K u T O B v 8 t 9 P 9 s 8 V D g 5 j p H 4 P r g M S p G Y 6 U j H U u g b 7 6 X n G 6 N n 3 U j P M 4 b D R 4 4 h S v 8 l k i n s 3 b s P B w 4 d w Z K F b W Q 2 S g x m 0 F r g T X R N X d d I W m c o u g c 2 X R l G 4 4 d g 1 + d L Z 2 5 v P K U R 0 a m Y u R H O 3 v u Q K j l V / i 4 f z p O W o O S D H 6 B x j 2 H w 0 K P Q J 3 u g J 9 + q 7 P S / 0 G U k o R Q b H o b / y a c R u / A C 6 H p 6 4 F 5 1 D 8 z G E m x 8 9 H o 4 3 W R K P q i F + f Q Y T H e U Q m / X 4 9 h l n 4 P u x 5 9 H C Q m L q r X E T N T X x v H 1 S B r q S Q M 0 o j f 4 N l z k L 2 X o + b R i L s 2 O 3 k A P n E a n G J 9 p 4 G x y n s j V 6 p G 2 S 1 k f m o S P j h W k Y 5 H G 7 i Z G c B k a Y E q T O a l 3 o q T S i I j u V J F M W x R y s q 1 y j x p X G j 1 e P R p d d X C M 3 g m t t 4 P U b w R W 3 4 v Q e C d G y J B K w e 4 s x / r P f B Y r C 0 L Q 3 X V 1 a K Q O e u r p p 9 D T 0 y s Y 5 d O f + p T 4 7 p / 3 3 o t d u 3 a J U l N c + 4 H z 5 J i Q b r / t N h F S 5 6 j e b 4 m Z f v y T n 4 i 8 P V 4 p y 2 C h y z U k + P z q 6 m q R G f C r X / 4 S X / n q V / E n 0 p I f + c h H c O F F F w n G 5 Y R Z T g l 6 4 s k n R S 4 e Z 5 q X l 5 e j s / 0 Y B o d H R d i c 8 + 8 q K q t x 5 P B B s e T 9 p p v e i 0 2 b 3 s Z X v k z q W 9 x R T e 4 S x M S y y D 5 W v u H S Z K T e a K x 4 e Y o o 5 k m Q W G k u 8 z Q f U x o q Q Q P A 9 R Q K I G b + y X w R c 0 N c 5 4 6 Q o v 7 Q c 3 1 D w u B + P 2 q W z x z F 8 3 W H 4 W 6 S T D l / o g 8 u 8 p V y Y k N C i n x D v c Y M X 6 I X b q O U M z k F n i 5 g r a c i z K G A D m 0 T t y L c L K 3 i j R G z c Q a / 0 J J C K 0 j X 7 n 9 9 J W L + D l j c r a i 9 T M q A Y O z 8 w p f g I A E 8 T O + Z p V t I m z G 2 3 E W + V 7 U G l j / T t f r 6 k a m s Q c u m t e Q i 6 9 B + 4 U r Y 6 L L O 5 1 / C 0 L F x t J 1 N D E R W A W e l G K 2 y P 0 2 I h P b B y n U t k p P o i 4 V I e x U 8 z 1 y g Z 9 C P v A a j w Y + Y 7 R K Y Q 2 8 i U v 5 R U h J S B g W 7 E R z x 9 Q 9 n E N Y G a K S z 2 L N n L 5 o a q h A L j O G c t g B Z P n R e c g w p f R U J n v N h H F 2 D e P n V N H 7 5 8 1 n a W I y d e O 7 Y 3 G A U g j 0 E n 8 + P 5 5 9 / X o S o 2 S x j X H r p S h w / f g w r V p w s C I i T X l k j s f b g 5 F d l o l d J d F W g 1 J Z g 8 H H F d 2 O m 4 8 n j O 0 h T X X X V l d i + f b v w f T i Z d T V p M 0 5 2 5 Q R b D n w 4 3 R 4 M D f a j r 6 9 X 1 A q o K C 8 l X 8 M l t B I v u T j 5 Z B o A A j 8 V m 5 5 q 8 E f 2 l y T w G R L L M B H F k z l m Y k j v Z u 8 b D t X z X + U / z k g X M J Y S Q f d g I L J D Z E g L 0 L m C O T m 6 q F o 0 q D A T r / S t a K W r 5 G m 4 L I K p I f k 9 p p i J o S f p y d c e j u 6 T j 0 h g Z m J M Y y Y G M V Q 4 m S + N q 5 1 p w U y m s d W i j c S K 0 h c i 4 0 V 6 / m h 4 S B A 8 T 3 R n 0 / n T B a f / / a / C J H R T T 6 Z E b 9 J l 6 J y L W 9 q x w n I c L L o 4 c K I 1 M v V q c f T H P 4 e F L u v + 8 Q 9 h K 7 G i c k U L N h 3 W 4 N X d 1 G 3 M T J x s S w z E K W K C m R g G j 8 R M I o o 3 f 0 w m B 5 C q v g 6 R s o 8 i Y 6 n F k G s l w n H O x E / C N v E S r A N 3 0 x g S G 8 V T q P b o U F l R R p b Y Z V i 0 e C l W n H U J o p 4 b i X n e h Z 3 a m 5 G o u B 4 Z Q w l i t R / g 6 W n 5 D j n k Z 0 p 8 5 j M z a q j 5 Q y K E b 3 7 r 2 / j S l 2 5 G W 9 u C A n L M 4 M 6 7 / i o Y 8 x 9 / / 3 t e I G R w a B B H j h z B p S s v l Y 9 M h 1 I r g k P t N 9 / 8 B d x 9 9 9 / F c X F X + o e H 8 o k n n s D 7 3 3 c T v S P m o M s z g z C B T p E o R 9 S U Z Q 4 q c N V X g 3 n m q N h 8 M R 8 f S l 3 i W N I C E k M p 8 H d H 4 G q S / M S e 8 E b x 1 2 N Y D o d R 0 l w j x 0 Y R r u h D h a 1 O L A O Z i B 9 H q a m w E O X s 4 E I x a k d d K S + g i U + S 6 U t a i Z x z U e V W 7 0 Y P m V v d r 3 w F d W 6 u b q W D o / o q l C 3 + M h F 5 / n K f Y 5 d f h b o / / h 6 Z 8 l o c / e I X 4 L x 6 O w l N E l Z / b Y W f e N D k s M L z l + d x 5 F N X g F e q 1 c u a T I 2 + f a P k z 2 Z Q t 4 J M d o 7 4 K i Z X I Z R C o H H S i y Y 6 V / l c A A 1 9 n + X v C 8 A a S q w f I 3 p I k p D J r T W b G V O / U Y O Z X w 7 + 5 D H U C + Q r l W y U B k 9 B y O n A t e v e n E V G z w 2 + g f T 7 3 D s 1 O F L H B C g t J 6 c z i A G 4 y g 3 7 Y A z O m F A C F z x v x t f Q k q r W 8 w o / G U k 6 r C O m S d N v u S Q A + 0 D T 6 n A Q N N k I + V L F O 4 5 Z j j 0 m v k O O z U 8 c / 0 l Q Q p i B N L C 8 Z C a U s M F m p 4 E i K d 0 T 2 4 1 G 2 / n y W c R w H W m 4 W n V i G Y H D l C E N t R d V l p O J + T b J 5 x U f M c 6 B 1 G W K E x 5 D G S F 7 7 5 8 Q a s g V c Y m T f 7 n 1 8 c v h 1 r f D U d q C p s t X k 9 l G e o e I M R 7 d j H J e 9 7 X 9 O 7 D Q k P T r V 6 N a 9 w D W f f u f q L 2 a 5 4 o I 9 9 Q i Z j R j 0 Q b y d c n i H F t 5 s a h S V P / m G + L 6 x R A Z P I i B T g M W X J C / A m I a e D L X K A V g O D 1 N x 3 c s q O K 1 e w + Z j T Y 7 q s h F C I a C C P g D Y l H p 5 Z d d S r S l R 9 e E D q W B J F z N u Z H n Z S V Z M S W Q j + P j e i w o K 5 5 p I T E U S U i 7 q z J P W / y 3 U J y F F J w o 6 e a f z x J V S a X n e 4 i C L L M p G B H J i 5 P v l D O Z F H B x k 9 y i w Z k w + 9 M o U B h K E z 6 I r G 2 p f H Q 2 5 D + X E v b t 3 z O M u l N U k l X l k y X C S R h t n F x M v 6 Q m j c U O k 1 C J o c K y l M y 9 f G 3 H U K Q 0 P 4 E 2 P j g V O S u E P 6 a B y 8 x n 5 Y M Z q m f N 5 Y j 4 O u A s b U X L N T n N c n D L 7 2 G k a z u 8 9 5 E 1 p 0 H l J f Q d 9 f X b v 2 l B L d G 5 5 p A b l k W f R f k X v y b O 3 3 T p F a h J p l D / 9 O P Q V x Q G S y R k o j 3 o T f e h y X K 6 m F f s 3 N m D B e f k l 2 d g a K K 9 y F r I D O Q 8 T z k a q o l 2 0 / O R J 8 d h b 2 J 6 D T E 9 Z 0 3 4 i I l K z M Q k 5 j q E A x x G d 8 G h 4 U x 2 q Q 0 Z I q h o R p e z H B R w + W Z V A u x s 0 H J H F 5 o b / w 0 o E j p H f t L n f J w o A 8 v n s x l A S C X j Y t K Y N R h r s 2 g 8 T P d l P a O 6 F 3 e m 8 p k 6 t T g z k a l n k j i x 0 N 9 6 x y D z Y 4 q Z 2 B S Z F b l + O N 7 e B b 9 3 D F u 3 7 Y S + U o d I N I a J S T 9 e e 5 2 I V A l w 0 P U 0 F i l 9 i Z k p m B w m s 6 8 K + n A j N q 7 f Q U L F Q B L 5 A G 6 9 / Q 4 c P d 6 F Q 0 e O I y O b P D w e M z E T Q 8 1 M j v 5 c L T 2 D m L w m u q J u U v o o 0 M H E 2 4 P S 6 C u w T P x T N I Y j q f q J n d j x k U / C Q P J J p D P v L J 1 i J k 6 C 1 c R 5 O o A + O G f O + N C S B m 2 y X 4 D u 6 E 7 o D B o s O F v K h j n w w i i m F s U S B D M J 5 P o w a 2 m i G 5 E a Z E 0 v b i R R 4 X F / G f V D P d J x P 4 x m K 9 7 e 8 A a 0 l l x f i O U 5 / u l + U Y 6 Z c n 2 T 5 + K q M G X y G U 1 c C 1 y 6 s X C I 6 X 2 K z A + D o Q w p 5 n Q i T A 7 N z o V w P C t s T I O S Q M U Q E m I O 3 4 T t U J Y w s z A 3 z 3 Y b 6 N p G 3 1 t I u H M l r B h c k z u r J 1 t b Z 0 Z 8 Q s o 8 1 t s 0 s A b X I V E q + 2 T y 8 3 E e G 4 d X G a P d X l Q 0 k R 9 A W j r D G e z y K e 8 I z O g k m T s C 2 0 m q p u A 0 1 K H E K O e E c R / w M 6 p M L c 6 K F 3 0 u 3 9 M f 0 8 o E L R 3 n c R g 6 N o G a R W X S m B Q g N B S A x R k S y b s i a s h 9 R / d J Z P Q 5 O 5 8 X M B q k 9 T 9 S N o Z q H F R S X Y H Q e B k u x k n t 5 e + z B i H J 2 / / 3 F t j W r s P k 9 + m 5 q s 5 F S c v v Y a 8 y 4 d C a L 8 O t O 4 Q B s r r q S d A 3 t r 0 P 8 f o v Y / 2 H z k D D p a N C l K U f r M a C j V v J / 8 g i M d q L 0 Q 9 + E s b m Z t h u + R t K F s 4 w 3 v E R 8 o v k y r Z p s i x 0 s v X A V k Z 8 F M f 3 J N G 8 z A C d f W b h M C N k n 4 e n D U w c y S x A a C Q G e 6 X a b + M B y j 9 P k / R S 1 5 R g y J t G q U N O K O D / F Y Z S w D b o S H Q f a k x k t 8 6 y 7 K A Y e H m 1 q 5 D n O H G R T R C O 2 M i Z u X O C b N d o x i F q A h S D u e N e x F o / I x 5 R p k U R i h 7 P h F E V 7 s d x X R 0 x n g G V N C C T k R T M k 1 a S R G T W V k t 2 t X 3 k D v Q 6 v o H e 1 7 v Q c H k z m Q G 8 o H E O h p 8 F v V 4 t G k r y N X A 8 H Y B J V H u d j h 6 e Y x k + C + 4 F + S Z m Z J S u k d H A U q X F g Q O H 6 K E 4 t V a H e C K G c C S C C 8 / P Z T 8 n A j E Y n S Y M B q O o I U e f q 8 Q W B g g E O M N 6 F k H Y s + N W L H W u Q m h h z o Q T T K V 0 L L M E 2 d L b L 7 k S Z d 0 9 s L Y 2 w v L Q S 3 D W W T E a H s a R Z 2 9 C c 6 U R Y 3 6 g i o a 3 a d k t S F R c j v W / a C Q G o w s d d s P R 8 G m U f U v y x 9 7 i J S D 0 t 6 1 I M O L E k c X R t w b R d G Y 5 T N a 5 r a x n n n 0 R V 1 1 9 J b Z u 2 S o i 0 W z N t L a 2 w F O S P 0 6 8 w k V O y B c T 5 I F I p U h n 4 m A M 7 / g i l S a j b q G u E f K Q X + x v E Z 1 r x s d 7 s 4 P h 3 V h c d R V J u n x p d a J g M + / / h x + m B j O R l q Q U 5 9 4 p U S n p K F N A V g i E L E / e 0 k N L N E H f c S C D 5 1 y U t 5 w p k c i I 5 e x z Q 7 n 2 f J F B 0 D 9 T V r J 0 L V 6 P M 1 K R x P L K 6 S b P S O y A y H b w t W f g b t M i O B a B o 3 x 6 E G X z 2 z t w / g V n k / k T p T v q R Z p V K q O F I R u U T Z T 5 t X n H U 1 e h r i y B q k v W 0 i f 6 T Z G I o y Y Z Q O 9 l 7 0 K 8 v Q O W e v K L t r 4 p j s d S U f S R X 2 U k i u J a f F q y a K q v 3 o / 2 v / 4 N g x O / R i V p L N 3 D r X n M s 5 8 Y i s U a h 9 g Z / n Y i 3 t z m F S p I f d U X 3 I J 6 h 1 Q v 3 W z 1 I h a R h U Z B O / 2 j A f i H f W g 4 u c g 0 A U G s H K D H 4 7 Q 1 N g c d T o 9 I B L B a y C w s 0 l X C e p j F X F G o o m N c j 1 Z V g I L M R r P I e I 6 m J 0 g y U S N P A O r b c X m x H D P x 7 f 7 / g O 8 p J b I q z E T H 2 D y R H 5 G r 4 R i 0 W W K 6 3 D H J 3 O S / x G Q 6 K e + B k 0 3 n B / V T z g f F B Y p k s U n X M l p s O K l 8 + o Q v Q 0 k d Y m Z i 2 D 0 W e I 9 J / h L D 1 y 3 N Z 5 1 7 3 h m I T w 7 S 8 5 h I Q 0 q J n X o t P b M I / R Z v c z x F z F a A E m u C c 0 s J 1 D e y P 3 1 4 x C C i p t x / G a 7 P w Z G u B D E N 9 x / X W a C + 5 T o U X t 8 u + l U W I z 4 d E W A G 1 r a v i g h Y z Q c u Q x U 9 H l u d 4 j I q u E 5 Z g c a H / i V / k p l J 9 I 0 E 7 5 t v w f q R j 8 H 8 a 2 n p j 8 J M b 7 / + O x j T B 2 F 3 8 t Q x g c 1 R B S Q l X R V O w U z R Y A x R r o l d A I 4 O s 0 Y Z H 5 8 g + o g L L T w 0 P C 4 Y L B w h c 1 / V B k a o t 3 i o X n H f l B 5 m Z l L / d m r 0 L T q y w Q W h Z o S T / / O f / x z v u v F G k Q H B U C 7 A j C P m d O i l D g 2 L u t 0 E 7 l g + m w u Z Z D l G W 8 T 2 V + D 3 + f C 7 3 / 1 O / l Q M + b + V G I d a S P e 4 4 / Y / 4 H / + 5 3 8 w 0 N + P T D K C 2 / 9 0 B 9 5 3 0 0 3 Y v X s X a a k U n n 7 2 O f r 8 P v G Z r 8 M D / 7 e / / U 3 s w s F h e v Z x R K 0 / e v H y E M 4 r 5 P Q p f v Y T h d h E j V 5 q J E N R T B 5 O g k u O H R 3 W I Z a g Z 6 G + G D s Q J G b R k Q a d u V / U / h I L g J K F O c v B 3 S S F c b O x c R y N 1 s J 3 L A t 3 g H w C 8 Y z F E f X F E e z U I d o j 1 W 9 X g 4 d N I R K O A t q P r c Q K 3 d / F 1 A O P I 6 / L a r / r C a K K O A w 1 D h j P P Z f o R I d S U x u O v n K L 8 G t j 1 G d 8 d 1 f b 5 2 E j M 3 3 P a 1 + A u a 0 V 8 e e a 4 f m f j 4 t R Z K L z R b X I / v L D G P H I T E G 4 Y O O P c e 7 m n 8 N 2 T N p x s P P H P 4 W 2 f w D 6 1 a + J z 4 w s j Z X J u x r t r / 4 I g Q n Z f F U n / Y q M D + m 5 L J Y 4 L H Y z d j 9 T b O 6 U c 0 H r S d O V k E m b R V t L A 9 w u O x K Q t t Z R w 9 E U J x 8 1 x 5 i i 7 f S X S 4 s V M t / b X b k Q f Z 4 4 l R b D a f H L X / 5 S Z C X 8 6 t e / E r t Z C A a S T g E X G B G O N P E K F 3 n M k q O Z J a K 5 9 9 5 / 4 e a b v y S O i Z r g 5 K R x L X D W C j O B V 9 / u 3 L l T / l Q I m T F V j e c U e 8 b z z 7 + A t 7 d s x 1 V X X Y X P f P Y z W L 9 x E 1 5 8 4 T l 8 9 W t f x W c / + z k c P 9 Y p F j x + + S t f x q c / / R n x m 8 l J L 7 X x X q x Y d g p 1 u p k 0 m U G k P v G L 5 7 8 4 l 5 C X 0 S t r u E 4 E 6 W z u N y x I e k a y M N g t 8 C w h 0 5 P U 6 K K q N G x 9 n d D t 3 4 / y Z b P 7 p d G 0 V + r f O a A x l 2 F Z d Q p u c n V L W m a f k L S 4 T X C 0 p O F u J V + S n W c Z i W i Y U 9 C Q S j e R T 5 Y g w k 2 j f R A Y H e 4 W 3 y d J c q f i a Y w 9 / Q 9 E B w a R s Z S j 9 u u S x m C 4 L D Q + R F 0 1 p U b B U I x a U 4 8 I H P G 4 L V 3 9 F s o + + 2 l w l V Z O 2 3 H p h k E K D t l g O V 5 d s x Z 3 3 H M P o g e G E e g a w D c 7 y n H o S L u o P X E g G s N R E n K r X p a Y a u d T V 6 C u X G I Z r c F F D V Y y J f i e G v T 0 9 i N B U k H 0 m 1 4 K w J z 6 3 k Y S v C l 0 7 x m a 6 s + + f t L o Q g v n z 1 H x 9 q c M l v 9 q 2 K v N 8 H W m y K w m 8 9 u S Q Z h M e Q 5 i K M z H w o S F 0 f n N u Z X f R P E F 7 E Z g S c 3 E V V 1 d g y 9 / + c u i Q b f f f r t I 6 + E 6 d 6 F g E N / 6 z r d w 5 p l n o r K 6 E o 8 9 + T h e e X m V W O o + R A z 4 5 a 9 8 S Z x 7 4 w 0 3 C G 1 y E 2 m O F S t W o K K i A h / 6 0 I f E 3 1 t u u U U w a n t 7 O 5 q b m 3 H e e e f R 5 4 z Y P U P 6 7 b v E 9 5 z x w L / l f E G J y T J 4 z 3 v e J R J n 2 c T h 7 P f O z m 6 x I p i 3 w O E K Q v y e 8 / 5 K P C V T E 8 J / v u P P e P e N N y A U 4 R A 2 9 Y j c K f 8 J J G H C S U w s c C T i Y p 6 v K s 2 T U w K J / 7 0 F s a 9 8 n d 5 N 7 2 8 1 L L q C w A L P P R U B 1 z J g q L X Z v B A f I s p h j U a 0 p z P A f T u Z L e f c C q P T i J G O l 4 k w s 3 A u + j a S 0 S Q c i b d g D 7 0 G W z p O z 8 p J x F n E a 2 6 E 1 x 9 C M K Z B 6 a Y k 4 t 1 R Y i B q p q k a g + G 9 S O r c K C e a z m u W 3 o m s s R w a Y w W q H G e j s a Y V V 1 6 0 A i 8 Y D s B C W s 9 p d O H L 5 h F E P v 9 p t J m M Q u D V b l q P 6 6 + 9 U r 6 A 1 G v m K t 7 F k i B H S j l h O B g M C 9 + f l 1 q w c b T / 4 C E S 1 H F 0 E E 3 E Y g l U L C r B 4 Y P H s X X z T n i 9 X o x H Z s i 6 I L D 8 L + x O d 4 t e 1 N / j B t h d + W P D g o O f n f m V 1 0 w x t M e 3 b 8 D B j a 8 i 5 O M d A w l E 1 D / 8 0 f 8 K L X r 9 9 d f h t N N O E 7 P K n M f 3 y i s v 4 7 L L L s U j j z 4 q B v K P f / w D V r 3 4 g i D e a 6 + 7 D j c S w e r I R O H S y + v X v y X y 7 n j l L W u A 5 8 h 0 / O 5 3 v 4 u l y 5 a R V t o l z u E O 4 N W 2 v N y d K 8 d u 3 7 Y D x 4 6 p f 7 t d O N v 8 2 3 X r 2 I n l F m r J P I v g 0 O H D + N k v f o s f / + T H S M N A W l E q 7 c z 9 w X v o R s i E + 9 x n P 4 9 f / O L n i J M m X P P a a 6 T R r s G N 7 3 o X P y W h o O d O A L L l K c w x o Y l J Z H E 4 W j i x Z E q Y y E Z H S s q F O 3 q 8 A 8 M j Y 1 j 9 y U / i 9 h t u x G b S r H v 2 H s D o q L R k v B g m S J t O o U h y 7 W j 0 k N D W G m I 2 D r L M C y z V O a x P h C 8 c e s L A Q w + L 2 S U t l y k m H N 3 y Z y R T 9 C y k B b j W e c x 9 B W K l 1 8 B B f h U / W i J N J j I 9 V 6 3 / M X g f v A v R N 2 M Y J a b s I x O t K / k 5 P H j X 6 3 j l 7 5 e Q p M / i 4 Y 3 N O H y 0 Q 2 i O D R u 3 4 O / 3 3 C e q N / 3 r g X + L h a P P r 9 6 C C V 8 A o U C U R i I p T O 0 Y a U M 2 x 7 k P u U 6 6 j x j 3 j X + e C b c 1 g v E J L 7 Y N n I V H H n s S m z Z v E + 1 d s n g B H A 4 r 6 t 0 h G I w c X M h i 6 Y J W G I j C m 2 p r Y C J r y q r z Y f F J b T j 7 3 N O R 7 j a g t G S G E m I y Z G U 2 D f 6 u N P r J V y y E Y v 7 Z T N J A a B e c e R G W X n A V 7 G 4 p k Z V 3 6 t a Q C f O r n / 8 K m z d v Q Q t p j 0 O H D w o f g + u I s 3 Y 5 l + z o K V A L R O U e m c q 4 Q A p L g l W r X s L Z 5 5 y D + s Y m Y Q Y y Y / D a K T u Z V h x 6 Z I Z k P 4 b B D M C + V y Q a w c T E 5 N R v m + i 3 n K q v I R 3 A C U H s B 2 m I G M h E x v e / 9 2 3 c 9 o d f Y d n y p U I L c V T P a G R V T l L D Y B B L S z 7 y 0 Q / j s i t W 4 r E n H s P g 0 D D + 7 4 f / J z L b 2 9 u P C 2 Z g D V M M / C j s / 4 m / 7 A s W G M 2 y 5 V k U Y j w 4 + i S b H o t o g K s q u X 7 5 1 f j e N z + N c 8 8 5 C 6 e s 4 P p 6 S o R v e h t K P S z i E 9 D E + m n E V M 6 3 j A o D M Y X e R V K / D K E k 3 1 G 6 R p J r 2 h W C f s 9 + k Z b T j e S c u B j P w W X i G H j s c a H z F S o q v 4 d M U 6 n S w R R 8 O 3 Y K Y a U j q 6 H + L / + A h b R D m u 5 d b v o 9 6 j 4 Q I s L V o K a y B F d c f i l + 8 P 1 v k 4 X g o D 7 Q 4 J Z f 3 I e T G g 0 w k g i / 8 I J z 8 I X P f V o w 5 a c + 8 T G 0 k B 9 z y U W n w F r m h N 1 k x j N l e z H 4 c x M a 9 O Q r m U y o e u 1 h c M 0 / 9 m 9 4 V 8 h 4 I o l j / n P R f r w d F W U e u q Z s s i k 0 Z 5 V j 3 A S t b J F M Q d k C i M 4 9 9 Y a F 9 C w Z h L y S h j 4 R u F p 0 q L b m x o I T q R n 8 T I x m j 9 S W a b Y J E 8 s 3 v v k N N L U 0 C + 3 E u w O u O F k y u e 6 / / 3 7 8 8 5 / / p I c 2 C l P u W 9 / 6 N j 7 y k Y / i 7 L O J + J t a R L F / l j A c 2 + f z H i V N Z t R L E S C F 8 5 n Y T Y I B m M n 0 o r b 5 Z Z d d J n y 1 i y 6 6 S G w O w L 4 O / 1 b s S k + / k y L e W q S I C V P 0 4 c F H n s F r Z I N / 8 j N f x B m n n 4 U r L 1 + J N 9 a 9 i a V L l 8 L D d S j 2 7 R H 3 / + 1 v f o c l i 5 b h 7 D P P x c u r X s Z P f v I T Y U 4 2 1 N V L Y 0 H X l s Y k R 9 S h d A x B R K k f i J F Z n c s a S M r w K 8 6 A a i i + R F E U L T q Z f z 4 L F + m h y S 8 x 1 9 E I S a Y E L 7 T j l 4 C 8 g 0 R k I k o E y e + k a 4 i 9 Z v P A e x P H c J j 8 8 5 h W 8 t 1 6 w 2 8 j x J n r 5 E e Y o n 6 o Q y n E o q T N 6 d l j f W Q a k j N F n b P / B / + H C G k g 8 g F g X s F Z 3 1 r E q 2 + C s z w N 1 y k R Q f D Q O W H t / g u S M R + q S U 4 o v Z Q 1 q 0 L Y 8 R F i h J y v 2 d 6 5 G w 9 f / i H 8 + 8 L 3 k w D n 8 m x p G O X k 1 M m 0 t M R 9 2 x O X o 6 3 e B r v D j P d + + m 7 c / M X P 4 v L L L 8 O Z Z 5 x C F 6 f x K J B s v e E t S H M W h g y d n M E v k J D 6 j q v 9 2 k t s C I z P l b 0 y H V q u t C R D L G 0 p g q m J X a u N i 5 9 r p x z / u f C N b 3 w D H / z g B 3 D O u V I R T D U 0 M 1 R 7 l c C 3 I w I V c 0 n E b K T R F G a T v q G / p B W k y H j u A R i i t r g 2 A 1 4 M q E C y e V N 0 D T 3 S J N W V I v K s y b i e H T N D K p 6 C f i p P T 7 m L B A 7 O q S 6 H C V 6 U R i j l L U t k c A F 8 3 n k i r X X R 9 e a a q 8 s i 6 J f 8 m 6 I o k p 2 g B g d q 2 N y d D w I d O u j q M m R u U H + p q q u q E S K B F f z e l 1 G 9 K n 8 i l T P Y I 1 d 9 C 0 Z i w t Y 3 1 9 C R N P o u u Q b W a 6 9 B 6 Q + + J 5 1 E 2 H z R S p j b O 2 B u a c W C 9 e v E V E U 8 F s T Y x h v R N R B G r T u O s s u e g t O + A O s f u h w 1 n g R q z / k z L K X T F y t y w m 9 W b x f W y b b d z 6 C B z P x M 5 1 8 x s b s K 6 U c 2 o E p n Q f V a a o s c G J I q z W Z g r 3 s 3 3 I u / S U f y x 0 6 k F 6 k C D F P M R G O u I 8 E t g Q W h S m / I A 8 6 7 Q x q 5 c E w R G 4 / X k E X T k 6 i 2 S D X t 1 f A e j 6 J k g Q X H R z V Y U M Z R Q D Z j 6 A / R M v u 1 e R p K Y i Z B o Q L q W / G C Q J a e y j H W B m W l Z N 8 T Q / C Z M X J i J U h n S B I 9 I / y a V C o p N J q U d y f 5 O v F k R u z f p O F d G 2 Q o 1 2 a t w J 9 y L Z E g 8 g Y E 9 Z P G I + n J p i Z b b V K 4 n 7 / X C K Z i 8 N 6 z o g k E 3 v Y l B + U u E n j 7 T z U 8 p A F L i E E 5 V K t A b I F J 9 0 v 5 p X k c c e 8 i O 7 Z L o O v L / l M e y G y i h 6 e v c x q H k U h w W p f U B j a r 5 8 N M v B i Q Y S y L w i I n c g p m k t S t B H m e Z v C R x 5 B l Y a w u r 0 X Q J C 5 G K m M H r n k P k l k j I n 0 j 1 H d p e L 6 d v 0 1 o K b X N 1 L Y A i 9 e + K p i J g x F 7 X / s u 0 U K K S M m G N G k n Z i Z + B h 5 L L p 5 d F t 4 s / z o f z E y M b d u e Q z 1 Z C t k s X T D a h 9 j j O 1 C a N E n j L T P T t i e v F 2 W c + R z B T M w I s u 8 X E W Y u g Z h J K g V N k J 1 J 1 k o K M w m T O Z / E 6 a C e f j M K k 9 W E 4 5 u k i l K F 4 D V k h c z E a V s M b X U W / o 4 M F n A W C D M z W w W s W e l 9 l v z T g r s x c g S X J i Z g R u A X b 3 j G I W X e a Z D P + M x n P o X W N i n 7 l 3 0 M M z m x r J n Y 3 x H H x K W 1 w i b W 6 z l z g e c I L O I a J h P X k V B q S Z C W I o 2 k N F g N u q 0 I Z b I L w 6 8 0 V z R K 8 i s l E S I R q V 7 L R p Y 8 A c k R N 9 J Q v A k x F 2 H h J o j I m 2 j x D C i Q U B q D k w a R T K 9 A b h F b K k O M m q H n 4 g Y x 6 H t d a P o k q Q J N x g q 7 X N O C w + A M 8 7 v e B 8 s l 0 u b d D O 5 8 h p v M U a U F g 8 E D 8 A W L a T e 6 o Q p i M e B I E m Z X L v d w P H o c A + F d p A W I m W U t O O I / j s l N 6 x F j P 0 x e 3 q C g o S S N B W + t Q + v / f l 1 E q w 7 8 / k 9 k T p O U N d C Y p P w Y D X H m B b B w w 5 s 4 a f 0 b Z I F K m p + 3 6 j z 9 6 t 8 A l R 8 g 8 4 7 a J Z c U 4 3 m 4 S l b q d C j c 8 C V x z D B 4 t 8 i C L w S P C N N W O u G H u e R G 8 X Q c z i + 9 9 Q / i + 4 m w l s b X K 4 5 b q 6 T 6 I p m k F / 2 R P Z i I x G D J j m E g w v O L d C 1 j p Q i F c x p R n o l H v x Y m c x H c 9 + h r 2 L x 1 O 8 a 0 w 1 i / Z h t 2 7 t 6 P Q 0 e O y d 8 W B 2 9 c w X D Z r Y h V 6 O E 9 m j M t 1 Z g y + Q z k 0 I t M h x T 9 U D 8 9 I 1 s N D h J H U t M H n o s O c l I q / 7 V o 7 W Q e k b R R 2 1 N F r h 0 e S y F u 9 8 N j m T n z W A 3 e O T B J E t d S r o U 3 o q M 2 Z + E y J h D 3 G a F 3 k P O s q k Y z 0 j m B y n q S V s Q k a i Q 5 W p X x w c n O P S E 6 R u 3 l n f q o J z h Q E v n b P 8 V 6 1 f o v f 1 F 8 n 0 k E 4 O t 6 B K H O D B q u k Y i l G J j p m c D j 0 Q g S R 7 b B u E T K v c u l S E 1 H b O 8 O 8 k 3 O o N + m 0 B f Z Q r / X I 9 h v x U k L 5 V W q R Z Y O s O + 5 8 a 2 t K K 0 o E Z V 8 3 / P u d 5 G Q i c H t K c P I Y B 9 J X y d K 3 E 4 8 + v h T O P 2 O P 5 G J l o T 7 + W d R V y s 9 b y F Y W x 7 7 8 8 P Q d X R j 8 o f / w G l 1 i S l G L Q Y N + U N Z U y V 6 v r E S 1 d + + G 2 a P B T s / 9 H V U m f 2 w f e n r c K 5 8 t 3 w m C 5 5 j S J E G k y 6 n w b H j 2 0 k L s 3 Y n O j n y Q w z 9 S o t a F l T U d 7 U b J L P 0 0 L o f Q B N 5 C 1 a D G Y 1 X S s f G o k d E P Q 5 u m F N f B 4 + Z s 8 + Z d O W G y g m v J w J e o c B 7 c v X s 7 k f z a Q 3 o C 2 0 l w c A b m G v k I j G z I z Q R Q 8 J i h U e e x 2 J I D J U O U W M k d V w M X t 8 k D V A u s X U y d l w w z l z g 2 f T Z E B z 2 w 1 E 1 c + 0 E N d L x N D m F W h w b M 6 D R k 0 L X k A Y 1 p I R 6 N D G c 3 J a z o z W h / c j a l 2 P 3 c 0 d w 6 r s X y 0 d n B k e w O A L J m x c r m x X 3 X 0 q a h D q 7 T p W D d u y l l R g j I X b G x 5 6 A z 1 K F S n u + R u 2 a 1 K O G N I e y L Y o a H G 6 t c 0 v n s / b j 7 5 W F g b Y b b o D G H 0 L g r T W C m Q Y i 2 1 B r n e 6 X F o K v E w 2 k Y L O Q Y C P i Z p O r J 7 A Z T d a T E C G j 1 R f r Q z w d Q / j a T 8 B k t K B t H f t J k v T n r H Y u N D I W 1 K L B y G u 2 5 u 6 n H J h 4 c t I h S u Z X y f C / s O m j D 6 C a 2 l B D G i 0 H D S K x B L o 6 j m P R w m b 4 A g n s 2 P k 8 G h q q h W l r a P 8 p B n + e E c m y 5 p W X o u x n P x K / 2 v Q w + U 5 k 7 l k r L 0 T F K T + n s S D x J k d N G W y h 6 F Q B D r B p p 9 Z G s 9 D z k 0 8 / h + q q a l i s F l E s t b O z S 9 Q t 4 X j A a 6 + + j q r q C p x / 2 R J R U D M H F e O q 4 O 8 g Y d 4 q H e f x 4 B 0 P p 2 W b F w N X E a q U F 4 J x q d v x b M 4 c 0 h N H s 6 l Q C O Z y j y k X z h S Q H U I R h q Z 2 F M 0 I k F v j 6 w 1 A l / H Q R y J E f Q j O O k n 6 q K W 9 e E z 2 m c j M a 5 / Q o 4 G I l s s 5 d L 4 + g m X X y g v X + J 5 M B K Q d s 3 o X O i c l M 6 n e n c r T G g l v N w z u B m q T F q m h Q f R / 6 K O Y W L E C p 9 / 5 J / H 9 M D n n j A 4 i h P N f e y V X x E R G 3 p J 2 G W z D s 9 m x j 9 y l x e X k B O t z j K + g j + 6 T C Q T Q + P K L 4 j P P 7 j N j z Q Y u q B i Y p O c j z e A w S f f s I 6 a t l 5 k W P N 8 k E k d n U I s F 6 A 6 0 k 6 l M A s r e Q H 9 l Z 7 7 I 0 I g Q v i o o Q 4 Y 2 n S Z t n j B 4 w b n I 6 s z T l r R z S p o 0 r U K C h n y g D V t e R E 1 N O f T H f 4 b A M 0 S 4 B 6 X a I v a H V s H d a E P f g Y c R 6 f 4 n 9 R X Q f H X + t R S w C 1 I s C V s T G x C a k 2 l s K L I P 1 V Z Z y 8 + B k c F e R M N + N L W 2 Y f e q I Z x 6 Y 8 F C R n Z H i t A 4 I x l N w W D J j d c M P Z 5 P G J W l Z H L I P g 7 P e K s 1 T y A s D 6 I K 3 M n T m I n g 7 5 B u J 8 L Q M z A T r 0 V h u B u c c D S l 4 G z K T j E T I 0 K E y w P I Y O m o D x 0 R 7 9 t K U 0 I 7 W D J 9 W L g y J 8 2 k 2 L c R Q W J O Z p Y 2 B 6 l 3 0 n C F J p j R b k E y I j 2 L v q Z G h J M n 5 Z r p D G 1 5 u e i V T E T y G Y J R q f C 8 A j U z c d 4 X Q 7 H h n Z Y O D I b 6 q d 0 5 0 0 B B / W M P T z E T I x y O Y t L r F T u h c w 3 w Q r A T P t Z T B Q e n x d B 9 g m Q 9 D Q U 1 q L D T t d N q v 2 6 G o Z X R G 8 n t W t j k b I O J H G u u X T 6 F f B I Q i M Z y f g b P e f E 4 M 7 b e + C 6 k i J l K v i 0 t I l R D m X N k v L n x B V R W l p K G 4 W T U D E L E T P y N x u W C r V w S N t 2 7 J W b S G U u k c U 5 O i j o O 8 i U E k s r G C T K 4 4 E q A t G 7 W T L q O 6 D S Z j k j M x P 3 N d f j m Q G V N A 5 q a 6 6 n L L H g 5 V I H X 9 2 a x e q d q r G Z g J o a a m R j F e 7 2 g M y M J + p F 8 0 R j 5 H p x p r M B q V z u C E t K q p K g 4 q f n o h O T A u Z q K O / L j 8 k A F u r I F C 7 s K Q c x F T j F r G N 5 D l T s 5 5 V g u f y f h 0 B q b C I c q U S 1 N X E q S 5 L r W P D B D c e r 0 V J H l F T q X W F I e G I i I 6 7 a + 8 R q u + N 2 v Y f u Q t E N i 2 b 3 3 S P 4 h a Z P s s e O o v + I y D H U c R v f + 7 T i 4 c T U 6 9 + Q i W 5 z 3 1 R P a J L b 8 V K P X 3 y X + T t X M p s E f I b N L D S 7 q 6 S k p g c v p o P c F Z k s 2 i c k + J 8 o W G p E g D c k E 5 y A 6 r H Z k o d e Q C J D X r y n J r r O h 3 n o u e i I b q U e l s X L w A l P x b m Z Y r L n l / D z n N R 6 X n i / m C w g B 5 L j m M m p j A f G o Y P K v J R O b v g 8 d R X x n C 0 r k l c y l J F T 0 Z h 3 G e z e I C r P 8 X A 2 X P i P G m d f Q F Z r R P A O i v g t P G z j 1 7 N O T x k z x j i f y f B x P Y K q K 0 I i V 0 8 n p G S p i m y R 5 j v C W j z h Q X 6 q B P T J G 9 D I z I 6 n h 7 8 4 J V 7 J v i L j k b T 4 4 n C j A z p 8 K V o t F q F m G W e s m s 0 v S I j N B W a s X 6 P X D 5 D T C U s o E P i I a L T Z y K 4 C + T 9 J m z u a C I Z V D v z n k v m f T z 5 6 d p D a T P S V n C H D 5 r s V X S 0 T F U S 0 u j Q u 5 n B Y n N f L A V D m I 2 u S J 0 T z I W Q S 8 c C 5 D 1 4 k E 0 r A 8 9 z w 0 g 0 N k 6 S S h d b u o 4 2 k Y 3 a T 9 W l s Q 3 b Q e l U 0 L U b 9 w B Z p P P h 8 t p 0 h O L P t S j E b 7 + S j L 2 2 a T N I G 7 F Z M R 6 n K F 4 E l I F a s j P o W E V F O e w + l c v C U e z k J X T W N B z W g f 1 6 C x J M c 5 n D 3 N G p v B m 5 w x h m R m 5 e k O z q h n 5 u F 6 f Y y + y G a x o p g 1 V T w T E j m E o r 9 m Q h F J X 2 a S n q + G b p u k N k k 1 6 o j 4 E 9 M F V s / O 2 9 F k P w z 3 4 M + h H 3 k K E 6 9 0 i q w L + i X M N h s m j 4 V x 8 M 0 f w 0 Z N 1 y v L 0 k n T z A T x p O J 7 m b W E j 0 V C V s 1 A h a D 7 J Z U A D w d 7 Z A g z V w m / 0 / U W k W F x w Y W V G D 7 c K x + b H a 4 m C 4 L 9 k h u k F c Q l r + i c a k x B V I m h t l m t R f L L 1 N D 1 S j a o s 0 E J O N D A G + X l z J Z 8 U z A y F o d 7 A X G g W u Q w h N 2 q N k F y x M N 0 X W 7 L Q B f u o T Z T 5 / O c U S a O I 6 8 G o V f q y R F 4 r 1 l p f o Y Z U y b c i K Q N + + m 0 w d h u u h Y d L 5 g 3 4 g q i t l I z h j / 1 S / D Z 2 8 j P Y X A T 2 V X d / O k v E C + Q A 0 p 9 w n N s 8 V g Y Y T L T G G x O F o I Z i V 8 M 1 l 6 N c p r K b N A k S V A Y J Z P R Z i X z r t 8 O E 1 k D Z J k i F E v i p C p + H q Z i u h Y J O I 6 o a t I q Q U f H q 4 l Z p X k 6 r c i n Z B N N q d d X a T w f J Y Y m V J t X w K S V N K G y z q w o Z g l a L S K / a Y k c o Q u l u H h n C e x j f x G f F Y y 2 P 0 + t p f + 4 P Z k a s U s H o / 6 t D e J v i k P o J H f 5 + 8 Z L H h b H p L V d M 4 F O F N 8 X C G H G L D U 8 p r J J C m i c / b t C N C y r R S I S R 9 9 + y b L g e 2 p i Z P E Q r X E e J b 9 P s 1 9 J j b a U S m 5 J c Z N v l g Y x H L o q k o h F 1 G G 3 N F O f b u i k A d S j 9 9 B O d O z d i v E + a g Q R L q d 9 T A x 2 4 c j W N z D S c x S D x w 6 h p 3 0 9 D I X 5 V w z 1 9 V k j y p + F X S 3 3 o S F 2 R A w S S 5 6 g L 4 m l 1 / F O 6 S p m l 3 + T z P D 1 p U f V y G H 7 O h J o N e Z T B b G p I 0 h q u B b r h S k T 7 p e k l + G k J Y I t o 1 2 S l j 0 0 Y o A 3 7 S R L q w Y 2 O c G 0 E K K 9 K r A Z k 7 d N S g E z M 0 E x M 2 T l k D 4 j 2 G O F q 1 l i h K N D S f L J D L I p S x f j Z 5 S 1 q 9 l s E v M 7 g Q k y d 9 P S d X V 0 i l 6 v E x q K s z A U h K J J R N N + G O W U J I Y 0 G T 8 D Z i X u H O y 8 Y T Y h V P 5 l x F N k w g / d S U L s O D x O a k h W Q 8 K A n v + 3 g + D e 4 r F 7 + r k X M T 7 p x 7 b 1 7 4 Y u G 8 L w a A C r X 3 0 D x 4 5 3 Y X S s y J x c Q l l L J R N B M Q j N V 9 D x c y B M o p h d G b U 7 w w j r h 1 D W l s K u l 4 + R h Z A k P 6 0 R v L U Q 5 1 H y e 7 F Z H d m j s X Q c 0 c n k z F E + d n 4 l j V W 8 4 V y Y n p 0 / b U 8 d M o 3 T t 7 v R h l w o K Z U m E 4 N k l j m Y a G V N y O W a Q o N B W Y P x I E q d P R d C C b J t V c 6 / R k T u J A Y 5 8 N Y B L L t Y W u 1 a C C Z q Y Y / P B J 5 T 0 3 v o m b k w f f 5 c T a c c 3 S t / 7 A X o i L 1 G P v R e j I 2 O 4 q w j B 8 F b + C t R t t n A 5 i n f f 8 Y 2 F I Z 5 5 U t 6 j 5 H Z W Z W G m c z m 8 b A W J l 0 G D o l 3 4 I / R S V m t 8 B 9 m m u N S o 3 N C j 5 b S f O 3 p S / b C b W h A J B K F 1 U p j w 8 S q T l 9 S 2 l t 4 / A S x / c G T U V M r z T N G E z q M / C Y t Q u U N r 6 w i c 8 d E o k 6 H z X d f C g 8 d b L n u D Z j G N i H r b i F r h s 8 6 Q b C 7 o h a q c y C U G k W C y 3 K T E N O x I G O x w k J W B W / I j V j C i G X V T u x / e R B L r y K F w p k K M g Y G h l B b W 0 3 + I S k N + d g 0 8 A x 0 M W Y K 9 q V F T T h D g D q I K F X N T J y x E P R J d q / C T I g P E D N 5 6 F z e U m Q S v m M J E q o a O G v Z n C O i Y G 0 o M x P P k X A U T 4 m S F Y K Z a V D 2 C 7 T h 3 i l m G j g 6 k M d M P M u P Z C 7 V Z i i o 0 g h q / 1 D J z p b z / w q Z i W G / 6 b 1 C S 1 l L T b D W l J A J l Y K f n s 3 f m U J 2 h M y E G f i J C 0 8 q Y I I v x k z M a A x / U j X x n B h D c C g q 8 g 9 L F u o E M z H K y M R V m I n h M m v g s s y P m R h N R U x R Z i Z G Q m M T j 6 F h X 7 p I J P I / Y S Z G 2 l B K l + X V B C S Q / q g F e 0 h 8 P y 3 5 T j x F s P X i S 9 H 4 S B a l z 7 a I a l m Z 6 g s F M + n 8 x 2 A Y X y + u I S B S i e a A Y t I x p v y i m c H F d J S V E g Z y H d T M Z J Q z / U v s P l R 7 R k l 7 d W D 5 t T W C m f Y 8 K + 0 G M 0 y u E z M T g 4 8 X H Y 5 0 P C 7 W f w Q 6 E 8 g k J s F 1 0 H w d k h P n q N f B Y N U h Y u u b R i W 8 P N j h l h 4 o y z s m M E w c y s w i 0 O 9 E h v w 1 W 5 O P b P 0 A w h H e 1 p F + r z K 3 S o l o r M Q 0 7 G d I K E K t M v N l q e P 7 Q 1 J k b f R I L n j B e V 4 V P O l q K C c N K p + r v g w N 7 h T R K J 0 v M 5 Q A a w s V K r 7 + V V F Q h N N a 7 D 2 3 k 1 O v Q z 3 5 T t l q I 2 l Y V v c c 5 Y o J b c K r W 5 V S A F W m 3 G R p s C 9 J Z l s M 8 U A c 6 U R S B D k Y C j O 4 z H J 7 a G A D o y 4 4 q i 3 Q G v X Y 0 m s U c 0 T K i x 8 j l s n N A c 6 E r k l Z g K i C D D N p x 8 H h E d H f / H V W 5 x S T p l K d d L o b 3 5 D L k M 0 F O Q Q n z O c C j L S v E p O 0 o n Y 4 p 6 a F p T Z V / / l 2 8 V d B k m R T 2 f 3 3 i v c c g G G k X Q u R L L u I f p y E P n Q I e h K + e t 8 2 2 A b / D m 2 U m K W I 3 5 N n m r J S k F O G i k G 4 C z I O 7 h h B I O Y g s 8 2 C R J B M a m L 0 h G r O z Z T m e 2 U F U / G r / l o S q O S g H t q 2 A X 3 9 w 8 J H 7 e k d 4 O 1 s v v v T m C + B 8 I A O 2 k w X t c c F r d 4 A c w m Z G C X k y J L z x p x n 5 j J Z w m n N Y j I h b U Z d C C W 0 y Z o q l Y 6 K D b J 8 x 7 M w l x l g c k t z T z q d j U y r C R j k 2 X l N a i J f q u Q h R w U d E z o a e C l s L h h C 7 4 J T 3 n V i 8 N g g a h Z J t v t B 8 m u q H C y N 6 V 7 y + I r f E I K x d p j 0 p X R / E g Y 8 + E q m s i i 1 R U z F t 2 P N J m z w H G z d d y L p P h t 7 U h 4 k j 3 o R P n 4 Q H U s W Y P O W H d D p y f Y O + N C 4 p A J 3 3 v 0 3 s X F B e 0 c P D h 4 6 B k 5 Y H w i U o 6 5 W g 9 1 + K 6 p L t Q h 3 h W A i b c c B D c 5 Y y F s G Q K Z n Z N S C / i w x K 7 W Z o 3 h u k 0 e 8 N C k z O e 0 G q S o s R 7 e o v W x y F i t 2 W 0 L 9 J K A q A z d M m p 2 3 r l E Q J 8 Z p 7 x 5 A c 0 O u r t 3 u / c e o / W Y M 9 I + i o q Q S f Z F t d O 8 6 6 h e J s L b t 2 I X 7 7 3 9 I b H 2 0 b / 8 B P E v + z w X n n y e E y C O P P Y G R 0 X H q D 6 N Y Q f v w I 4 9 i + / a d 0 I / + D V z l T L e L T K e X P C i P k x Q n h o l 8 5 T s k S E z Y d M l l q C G J l / V U w v 2 R 9 4 v 7 q J l C L F k 3 u J A x l k s v c y 2 S j j P I x 7 T D 2 v 5 u m L w P I e H 5 m H Q y + 6 P c V r I i e L M + 6 8 B D 5 F A 4 S A b T c x f Z z n O S G I P B q X L V F X T d Z A Z 6 N q E N W s S D R u j N O Y Z N y 4 K y 1 F A P K w l r K 1 l d z B e t C 5 r x x M N P o 6 T M I + W 5 z i d T Q k N m W 5 Y 0 T S Q 9 L l Z s z o b C z I m y V A J Z 2 0 n S B 5 Y o Y g Z f A d 2 a 6 8 m x S V g U G T E X w O H u v U M G t J I P w O u t U i A p Q j z D C Z 6 a e D 9 2 r h 3 H a d d M T 7 U X 1 5 e Z c j S k l S Y / 8 8 A y K o N s 5 B j x 9 B L l V C E R l Y w A + / H L x Q A d r H w U 4 V g 9 T q r M N 5 1 4 P s h I T B E m z c g F S u a D Q K c e h g b y j 9 T M R J p R k w q S P V 8 u y p v x X B K b r p y R w c + d J a e X K x y x m Z G l P t U Z V f Y f g e f l S q Y 0 + 9 y I k k l 5 5 M h h E n B a t L d 3 o G 3 R M i x b U E 4 a m A R C Z x c x w w 5 8 4 m M f n u o T K Z s 8 J + D m A 8 7 Y 3 / n 0 F S g l + W T 5 F X C c j r F X Z F q y G H V / / g U 5 9 W X Y Q D 4 q x z I 9 D 7 8 M V z 3 7 c S T Q R C K v T B s z 1 H K c 6 F m D s X 2 / x h m L g H D r C 6 R d S X i w 6 a Y O Z q l g G H k L a U c L M l Z p r V V h 8 G E a 6 P b j I y F U O p v I f 4 r D 4 A 6 S R W E W + 2 9 p O R m X y 1 q z I K D X K z u A F Q s s 6 B m m M Z q L o X h j 4 K x B s q G L N S I V 1 W N k I I i 6 B d L 2 9 d z p 2 a Q J B h N p g O 4 a k N Y W x 7 X Z K P E T m V O i s w g 8 N q x G 1 e a W A t E x W q H 6 B 2 N V q H a k p 1 J 9 t K F e Z O y 5 P K s 4 m X X H N + 7 P + V A 8 c c d m n Q o c V a t 1 S X a y Q K H j y h k G W g s R 9 B g 9 a z l J L N 4 D 1 w L T x A Z o B r 6 O a I a I r P Q R L G 6 S y g G P k k 9 W w f N Z M n i W 3 q m Y b S o w U x S r V s Z p S s w A 9 t E U 3 A s 0 6 C U T r d 4 Z w s S R D E q X k g a X z 2 N w I I b L B + p 5 D Y a s c f r D O 1 F j P X 3 m I I c K P L f U H 6 3 P e 3 7 e k N k p L 9 n O A 5 n i v F i Q E Q y F Y b d Z M Z m c P m / I 8 z Z u o 9 Q X s 2 H D Q 8 Q s P N x 0 K 9 3 b F y K 6 f o N Y K d d K J r Q m y Z s h m N B 3 1 Z X U S A 0 W b 1 h L b k U Y 7 l b J L 8 6 B a I p r s X O A T D W N w j s p c q V a R h X X U p 8 3 s r B 2 / w l 9 1 T f I n / M x W / 5 p k h l L r A o n F O Q X s u A f 9 8 8 S l F D A z M R z N T N x t H c s g f r 6 J r z 4 + N s Y 7 k p g 1 R N b x N K M v 9 z 6 b x w P 7 M L f / 3 4 f m U D d + O s / H s a t f 3 k E R 4 6 1 4 2 e / + A 0 O H D o q D W A e e J C J v 4 W U I c Y k o i + 1 Z s h 5 z + X N a Z L 5 2 R Y m 0 l 6 t J 7 G J w B K N p J u a m e T r T x G 7 y J C n 8 1 T M x E k d U j 6 g n g a N n E v 6 O z J B 5 i r 5 T C H 3 e d g 8 e A a O 9 K R x 4 A c 3 Y u v 2 X X j u + V V 5 z M Q o D I 0 r 2 D U g v y k A p y n V E Y G 7 2 o g j S C u 5 o 6 S d 9 B a U L b U g G e J y A L k L c i B G r 2 W K z J l v d e a F R Z k p T S Z H I b I 6 V 7 4 w I R R l J g Y x U y g s + R z M T D N r p D n J Z g r 8 K P r f k V + 3 Y a O 0 s E d e 7 8 Q m m 4 1 8 8 c U v / k s w k 4 T p u Y 6 C D t g P J 2 Z S k g J 2 P f d e 6 O l i b P m 7 T / 8 / e p 6 N 9 G H 6 s x e H Z o q Z z J F h N I z k 0 r 7 q x 9 5 k 6 p g R C j O N j Z H Q Z m Y S e a I S j L o 0 a j z E / D N q K F W o d D 6 m H q 9 H U e 9 P m y X 7 v s w p T W b 2 B z c L E 6 p e W 0 Y d y Q T P t 6 S X c C r p N 2 x e c b A h G 6 d W y x p M B s / + 8 2 b V d m N G D I 5 x b B N S F b l t X R Q E J w J w s G 0 h 5 t D I F K Q O F g 8 m b 2 r G R T 9 Y + w j w S J A G D F A b n Y p f o a Y d 0 p C 6 U A e Z C K R e y W z p b F m M Y x Y L r j q 0 n 4 V p U Z A S n v b d l m 4 T z m m a a S G i h K O j e i y q k A Z G Q 6 Z m l v o i y f M d J J S i p J W L 7 Y R R D G p m 0 h W b 1 y u C j s k w S u 3 j s O u r i G l l Y u Z g k j y X 5 P P 5 k L b m Z 8 0 w D G T 6 c J Z F L B q G 2 V K o U S R 0 7 3 0 A y Y H 7 x X v z b U Z 0 U v v Y W + N V v / 3 k m 9 W p M + r p u W N p I / m D X C p h h g 5 W Q B b I 1 q f e h z p q Y l 9 P B z T L 7 y I f 1 Y O y 0 q U k B I v P B U r g f t Q g G t q P i C F / U l e N h s l 1 8 J Z + Q l 6 r N z N 4 o S z P 7 w m I Z G T J B C 8 u a l J s m u V C p X M x E 4 O Z S S e n J z G 0 g 5 K t y q l N 1 b b T U W c j R 9 J M x / Q O Z P j m n D v F B M 7 a g q R o D P J n G R 0 T 3 L F Z U d + 8 e 1 L K a G Z + T Z W e J g i + E B 0 b Z W 2 n d 2 I 8 X o q 0 v p J 4 h u 4 j p 0 l N M R N D j k Y J Z l J J G Y a 1 5 y 6 0 T 5 g k Z m J o 9 Y h e e i 3 a 3 n M d E X x B x I g Z k 4 i h c 0 I 3 x U w c 8 u f 8 v C O j h j m Z i c H M x P 4 R g 5 l p I t a O 8 Z Q Z s a E I 3 F Y N O d e T U + F 1 J Y o W S 0 8 f N h 0 x o P S a H z M x L N Z j 8 K f 6 c h n m D G Y m f q 7 E E N y c Z k W E X g j e N o c t l p m Y i d G 9 5 3 5 x G d 2 D R P h O B z i w r I g G Z q a B 6 A 4 S l P T c 1 P + G 8 a 2 I 9 Y d x 6 I X L 4 d z f A M e R X A 3 3 Q r z 9 x P t Q U U I + a z g C g 7 0 V T e H b o T / 2 o z m Y i S E N 0 G z M x O j 1 r I Q l M X f K k c J M C Y 7 Y E p 2 l w p I 5 M j U y v K f O l N p U R U T m d N 5 U U N Z I G a I p W B a F p d / q S 6 T Z Z O 5 O 2 W H U q g I T X L q X I U w 6 O a e Q 0 c q r Q a k T O A V n W R U v a S A t R B q F U 0 Z 0 A X Z v 1 S D n k K Q 5 o 3 N S L 7 K V + X w 2 d x T J M S N E 5 F K C o f d + R B q / g r a C z b S W 3 n c H 2 n 7 9 W + w Z D Y o l 4 L z 7 t 8 i J E 5 F C A 1 p K c w x e k m 0 X + X m L K 3 K h / L k Q z Y a h m 5 S m A H g d D p u 5 z n o r o t E 4 X n 5 9 F 3 b t 3 g 1 / M I K 7 / 3 4 P 9 E Y z 9 u 7 e g d 7 + Q e z c s x + B c F S 8 u K + k V w 4 R R W n J B U o K w Z k i 5 Z r T p h h 1 C v x Z 3 v u 3 1 N r A v S v e F 4 L H t x h 9 8 E r q R f c B r j / T h 0 G 6 / b i U k L p Q 2 V y N G L L W c g Y x M m l F 6 v 9 k x Q X Q Z h w I R i T J I d K u i i A a 6 B U t Y e E 9 6 Y u g l n m f P o v 9 q O a B b J F F s c J n k q d i G J w B R L J Q L p Y z N 4 z y c n u 9 j c z S p E 8 y + T T R T m Q t L X R h e i D B F N I N Y m k f w q n p K r 8 Y O P B g J m l t I O 0 R 8 b m Q K Z N G k y f L H B q y x 1 U V c H j W n / 2 I q S j X H A s c G R y l K 7 F y V I U t 7 a h Y e y M g O 9 J H N h z F o g s W T p k M g w G d W P A 3 K 1 S O p W 3 g T k x U f U 3 M D f G y + u n g w d a K W X X e Y X 1 e k E 1 L D s + m M n F U W O R o J 4 G J m F e M j o Y M Y r G f t 2 s t S p o v x d Y e I 8 5 u k P o u 1 G 2 E v S l n y s 0 I L l b C z y L n S 6 o R S k 3 A z v 5 X k e B P i A M P v E M i Y S R 6 E L r s c p Q R M 4 9 Q X 1 d O R U S z m E i Q + U t q k q v g M v q 6 J l D X x M t h 8 h m Y 4 T G 2 4 O 2 V V 6 C R o 5 H 0 u f L B f 6 H r f z 5 B b c x g 0 c Y N 0 k k q h F O j s G r L s e m B F W i q L 0 W C T G 3 W P P W X T 2 e S j Q 9 d R E y k w 2 B / N 4 z 2 J m H 2 u U + 6 B Z b K y + U z i o O 3 f + U l 9 s e 2 b U B 5 0 w I k r b n J X I + x t e h z m I a e R L x a D u P P E 2 K d F t c P E M z E E J K K L s 6 x f 8 J 8 m Y n B j d I n E 4 j 0 t y H p i W N S X j e U 5 K R N d T k p A s / 6 m 3 U S 0 W o 4 o 3 o O Z m L w M m P e B I B f / p R F b O o l w M R C Z t L i C x f h 4 L r c c o n C f X 9 4 N S X v B 5 Q H Z i b S i n Z i p n D d V + k Z s g i R F m S m 5 V c + q G / S k f k z E 0 O W / L w 2 r F L L T m y O w Q P B M N n h G c Q n e + g 0 I 1 7 Z M o a j x z p x c l U E e / c f p I 4 b R y x C T E J W g 4 b 8 m k S c B A d b E G y i y p Y E P 5 M A + z / M T L I m Y u G j w K 4 n n 7 V Y J J W g M B P X f e C M A W Y m h s J M X P m H m Y m R 1 e U k d n 1 z K V L S b g L T w H O U X B C T z 4 6 S 9 D Y 2 N W H h 6 2 u w a I M q 4 0 E F m 7 6 C r O Y 0 U t p S h O 7 q R n I P U H v J y / K 3 O e x 6 k V c e c 0 k 6 1 g Z N Y m d E H q O 5 m I n B i z Z T i S S c i z x I W L x T z J S i + 8 7 k s z E z a S N E m 6 q s 9 L n A C e T a o r X i T F X k c O a v 5 S m G B / / + C m k k F x z Q w 6 O x w a 8 h 4 t Y T U 1 H j T T o T v O F K k s J 6 k V K k + A E K O K N B r G m S M 6 q L Q Z P M p Y 4 o W Q V M 5 + z 7 6 J N S / W 0 6 i + x F U t t 0 b t q f m 7 N g s y m T y h E B F y J R L d O a g n l k F U K 1 X x X v u T i S y B q g S / J r z 0 A B I f K E I 2 l h T i o 9 U f C u g T y f J 5 A K w m F J w 2 z S o 7 S 6 A f a J O 3 D m J R d j 0 c I W W O j Y K T T w 7 F v q m c C J G T h r f j h S Q h a D Z C K F i P h 5 t p 4 j h X l g M y 2 b n D b f x v u y q 8 H + K E t T Z S 1 W u X k J y s y y z y g j S 8 w Z I Y Z S k C z w H 9 k p Z 7 D G L s T C W 7 4 E 8 y + / i o V v S L X J R Y G X G Q i X s e P i K 7 H k n 1 k 4 t s b h W t d G 2 k T l 5 / A k N n F O Y L I X b i K v v t 5 O e O g v u + s 1 l y r R w d n B h X L Y N O X J d D W 4 U l e K i C K e S I l X I T J W o k 1 y M U z D 0 x l 8 J h S N 8 n E F I m 9 C S V k v D u b s Z M C J t 9 / e j K b m R q x 6 4 R W 4 S 9 y o q 6 t B X 9 + A q J Z 6 1 b U r k d J 5 h Z 0 6 R k z F S y 5 Y q n R 7 d a h z k s b R 0 a A k J 6 E h f 6 Q Y Y / F S 7 y z 5 F F x 6 O J V c T h o m V 6 H T 3 v M n h B r z S 1 6 N t J P / 0 k C 9 z Q S k 5 y A E n V u w 2 R h n Y 3 O R T U 6 s N U x s R a L y U r q R / G U R M B N O x o Y R T o R J c p e K i C f n e D k s S + Q z T g C y C d g f 2 o 4 6 + 5 n i E M 9 J V Y 7 d T k w t P Q s v S u R 1 R v 7 O M F w t + d q Q 1 1 K p C 4 I w e P 0 V C 4 t p z F U A T b y P + r J e V O Y t L f W g m 3 5 X L L 8 v m x z G Z D Y / / a o Y e B E p T w r P h p n M K T U 4 x 2 / 7 B Z e i u r u T L B k T 6 j o L / G P y S 3 Z c 9 h 7 Y v 0 s + t H 8 c a V 2 Z V G + i + j K U L v u h f N J 0 F P P t b M k o w k W C E h 6 i z w Q x F P t m B i V y V w D 7 2 D 8 Q K v + 8 / G l m T G M o t m l j 0 + a H p s O Y T i L B W + + r w I E B g 4 7 U a 8 F s d S k v h 4 8 N w t 7 L 6 4 o 0 2 N T e h h X X 3 E P i T Z k V z 4 c k y Y n 5 i A B 6 Q 5 t R Z T 0 N + w Y d O K M u 5 0 8 4 x v + C f v t X R P q O N x T F i j p J m + x + e g C n 3 l S Q p U w C w t b / V 2 T j G S T K L k L K d T J J X J L 0 R M w l + l F q g 2 q S t w j G a X C 4 I L T a O d d D B 5 e p W f 4 0 H e p w + B R m q M x j 7 / g t / H X f I s m s R y z j R X r S C n u F B c E u E x y q n R 1 m w 7 F x P R a q g y m s 3 e U p A w a H 1 b V k g j G B 8 1 I O f 9 w w j T l 9 J E T T L I Q I B j I t k 6 q A z f z A / S P 1 k 0 a W U i x M / Y k + u E S a 2 H R s O f 8 S N B B f p j o 6 Y T p l B e r v / 7 r Y A V E g F U D s 2 H Y c / M o v U E u 0 1 f n p J O p F U j W Z n V f M H o h I Z x I i m 3 6 + Y K b i 1 c R c m 3 9 G k D Y w D z y O W N 2 H 5 I 9 s z e Q L l b x P 7 D w z M 0 1 M k q m U t m H r 3 n b 4 x 5 P w e z O I h J l J 6 G Y Z A 5 J x M 4 b k w u l j Y y l 4 f R m y 9 8 2 I e d 2 Y D O i Q i J n k 8 x V o i P u l z m Y E J 9 u R j f Y U Z S Y G T + Q x M 3 H A o c F + L q I J S x 4 z M d I x o 5 i j a b C N C m b i C V 9 r 9 9 0 4 7 d w j i A 4 d J 9 9 s E j r v A X H u Y N C A c P 1 X E W n + J L a G z q J m 6 I R U F 6 k 6 Z F o p K 1 3 X d 8 p z M Q Q 2 i 1 i b j k S 7 R K s L I 1 1 c 5 p G l o F d V Z 0 G N a c z E v y 9 g J q 5 8 x A g 3 f k U k 3 2 q 0 R M 5 + M y w l U n u Y m X z d O Z O K g z k z o a k k / 3 5 Z 8 k 0 G B q R C j s x M H F J X t A U n c h Y y 0 z A 9 p 8 J M j H Q + a c w T 0 v U V Z r J q K 7 H / 0 B E S P A 3 C Z 2 Q t I L 6 l d v A r w 3 N n G S 0 S x E x w u V D 5 8 o t I O k 9 F I C Y 9 y / Z n 3 w t r z 6 d w 3 n c 7 c f i y D u o j a d f 7 u Z i J k c z K K w l m A Q f S F H A A b l Z m Y l C b m Z k 0 8 U m Y h 5 6 e x k w M L a + T 4 R Q Z h k Q 0 G p R 5 j C Q t E z h 7 x Q K 4 y 0 0 o o c 8 2 2 S 7 X a Z M w m p M o 5 w R P u m B l h R m l L g O s t i Q s 5 S G 4 3 T q Y T B n 6 r D J B y I x I k w l 2 n H w 8 f v F z r H 3 8 k / K X s y A 1 L j q Q l 3 Q U I q 2 T t J B l 7 C X B P F m D A 5 G m m 5 G t u Q z H t t r J h P Q g Y 5 P m J m r I v B T Q u X B q r S o c y i l I B G U v 3 4 t a 4 i J N a S z a S y Z v O z n Y 7 e S 7 z W 5 K c b p / N C w x r o J j Y 5 J k Z 3 M x M f X z 6 c / A Z c T C M c D f 4 0 S g P w h S + r A 4 S A J z R V U Z X A n I J 9 c s 4 G D O T E j G w g i G g q I A K I M J t r a 2 X p Q F i N A x 3 v a l M H y e T Q f h j R / D B D 0 n m 9 9 J j h b K K F w T 9 E 5 g M 7 n R S c z C u 2 + w w / 7 y K 6 + K L W h e f G k 1 X l i 1 G m v P v Q D 6 8 S F B d e b z p R I C W X M p a o b v J C F K b S B N O m h u x Z G + O h j a W l F J r q X O P P t S E l E f g m D W S d F b B g c l m L a D 8 d w y / o A 3 K v p I Q e Q E A n B Z k w e x 6 p v E e 8 v Y E 9 C G e m D v u w 2 m s V d y J l 8 w N U i D n + N q c z q B G B f r J 6 R I Q 6 z f u Q U O m x 3 + c A A L G h e R T x P D q H e C n L k 4 L j 5 9 O Y z D r U j W F p + z 4 o C b y 0 x + 1 L 5 f I z w k 1 Y c 7 T l a d / Q E N z n 1 z L e z H p U V 8 r + / U 4 p w P y X M V D D m c z v 6 X k O Z 0 H b F I j t S 5 Y / B O B O u + L Y I b H H 5 X 9 Y 2 Q P E c 3 t 2 P J K Q l k 5 c I i 6 e Q o k l o P d b R e r I / i / M C p r I A i g q m Y D R 6 K k y l m K i 7 5 z C T R b a Y W I Q C 0 G i J 8 M p k O D R t w U t k E v a f P R W o d 8 F a e L l 8 U r m Y 5 + E H t 5 u U d x S Z n f R 1 x W C o 0 M D m m f 8 c m H G s d N Y r m E Y o I Y Z z + + D E J L k b D m k I M v 0 C A d 1 4 n u K i t 8 6 m 7 y I G N c D A G h 8 s q X A W O 2 K k x W 1 5 c 6 M h R 7 P 3 U F 1 D d 0 w l 9 Q z 0 a t m w S x 2 N p P 2 y h Q b z 1 4 p f Q K F u s H Q c n 0 b h Y C j j N V F q s G I r O k V E f 8 9 T O m D e O E n n Z u g L W r M W q d Z 0 I h B j i A I S a m R g K M z G c W i 8 u P X c F z j y 5 F Z e f e y o a a 6 x o b f T g 3 F M W 4 r r T W p H t 9 8 z I T A y O V r N p V L H k s 4 g R A 8 R J 4 J Z z z I M e 7 u C X P y u d R G C b d K z r V f k T Q Q 6 n d 4 z r s D C z G c v S 9 8 M 8 / C S 1 2 g i f 4 3 3 i O y t p F 6 6 b o A Z L n m Q s j a w l V y R F R 4 y T I X O V z y 1 X t K e c Y l M I b 0 K J I O a j G D P F k 9 J 8 W E z M U z E z i X + p E U a c V E 0 f O B O E C F Q T J 3 9 R B Q 5 G i F N T u X 7 m A I N S 8 r g Q z h a T Y K a J o 9 M D B s V q 1 C n M x H N K U 2 C f S G s T z C Q + q p i J V w k 4 T Z X i x Q S n R m T s M O q 6 / w e G g g w C v i 8 z k 0 C y 2 P K I 4 s t 8 G P s + / 0 U 4 A y H R a 7 U v v S A d T I y T w H M h u O Z v Q r t z K f g j G z u h K y V r g 5 r a d N X r 0 n n / A Z g 2 U l o 9 q p 3 T + 4 y 1 m L r N a p N w v t A y F x f W F V d W K i q I 6 I t n G 9 h S U Y T G q q F t l G b C Z 0 O J u U W E f x d f t x b u 2 4 D q d U k k o + P w 7 z u K 4 3 0 Z d P S z 9 E z h + N u / l H 9 B Y D V M 2 m h F 6 V b E P G d i R / a T G C v 5 o N B c 9 n A u I T I l L y R U Y / m l i 7 H 3 O b l d c i k x Z j 6 e i 1 J C 8 I w g R 7 X I d + R + U F 5 c F n m + M B m k 1 C Y G b 6 k 5 E 7 I m l b 9 I / c s T 2 / V c t U h m U s 6 m b y 4 l z 0 V + F G Y 4 N Z T j p Y v s C H T l B 4 M U 0 4 W 3 x i x E b o J W g j d R m G U i Q d Q 1 J 4 K y p u N I E M G p 0 b f h N + g h 5 Z W O T c 8 0 U G C z 5 N Y w K R B F S o s g 0 t X F s h Q m 7 y j 0 z U 3 E M H J C M w e H 4 o P Y d 9 t a V J N C Y i 1 r b G 1 B W U m M Z I G d n p O k h G y m z w W e Q 5 s N M Y 7 2 h Y t Z G z k m 0 s Z m F g g z Q e v U V 8 K u q 0 R i I C 4 a r A 9 a o E 2 U 0 z i 7 0 L V 2 J 9 z 6 O m Q G D d D 1 N C L T b U d m w g h 9 3 w I R 0 U v T Q G q q f T D E v G g c f Q 6 W o L K b Q R a V o + t Q N 7 w K W h q g M l H j R h o k 8 9 B P s O B u P x p v 6 Y X r Q t I Y d L z r p 1 x j T o f m G i I U k q I b / 3 2 J x O T 6 M n L U D b C R 9 j S Q w 3 h S Z U r 4 H a y 5 N C m y 9 + U J S 7 N B R T T E Z K m 4 l / 7 G 8 f d e 0 m R k p n 3 j 3 t y C Q W a q 9 a p N h r N p H 7 X 2 x C W R g t F A L k I 4 Q Z p N k X D M m D 6 Z k a d B p G J J s M l 8 l r f Q k K A u n F k I Z 1 O + w F P Q 2 J C b e s i X r i R I I g e F r y S t z S 0 O j s 3 x m B a C S 3 t F q b s z z m J r z m Z D 8 X v t + s S n Y R o Z F 7 3 e y N v X K P t e M U w 1 W P H p a 6 D 9 Z z k G x 7 N i v y l O U W q 9 g P O Y C K q V A o o A 9 E W P I J u c m P r M r 2 K 1 9 6 f B Z o W F l A K D U 4 7 Y R F W b f F M V u p g W Z d 9 M Z K X I 1 k g x a A O p E Y T S I z D W m m g Q 0 k g 5 o o g Z f U i O 2 d B 4 8 o X w p f q h r U k i 3 d g D b V M I 2 t I E x i x 7 y P F u I b N Q I s y Y o R T t n v c h 6 l B C o x q M V K x E f 9 X 1 K D E 1 Q E v + l m 3 k H 7 D 0 P 4 q U 6 U Y c G 3 W h m 5 z N 8 G l 2 V I c 4 S p Z F 5 0 + J r I n 5 m s v p H t k Q B n b 8 k Q 5 z D W t i G s / F 4 h w 1 R I L t F F Q D R 0 y m 5 0 R J G o R v f K A M w 2 N + f O i c H A M x L s r f Z P g / Q o U z J z H Z h O I F i 5 0 k e R n k 5 o u / h e C y y Q z e D F l n k p 6 D y w h L g 1 U c S i R S g N 4 G B m a e w W f t x r U v I l F m o u M i 2 y F U p A x 0 I X j j s x r 3 B B p U 8 1 O p I P k 0 J M y V w J U C x d 8 q h m Q u E j M N I 6 t X w 8 A a O k i C u L W R h o n a V V D L w / L Z 3 y P x 8 Q s l P 4 6 G v e 3 q 1 b l s H h n K t k W M N G n U y c z 0 W o D z Q Z S s L 0 s 6 B p e h e F h f g D V j R u 4 T k Z V P V D N V w 5 L u K y a f m e k K 1 k O x U M t M 0 g D T 0 U z j I L R l x V S i R N q L q n M L z 3 S 6 D A z 6 F D 1 k 7 n I 8 O K L e m 8 6 B t L 0 F 4 c r P I 1 r 7 Y a Q 8 p 8 P W I F V j b a n V Y e Q 7 C 2 H 0 k U O l 0 c K / J w H e Q 0 h v c q D n 2 G o 6 p k c q m R T R H k X g K n 9 j d R + B f U C q O z 4 T F l a n s a R 8 A P p O K Z W q G J L / h W h W I V x W a R 5 v J q e c a 5 B n U l m E B y N T s / e i j L C y h I I G R 5 0 l w u D g i x r O W g v 8 3 T l z U x T 8 5 M W V i Q H y P w 6 j N + C F j o M h M 2 g J N W x y e k 3 g r e 3 Y c 3 A U + w 4 O w C S b / Z 3 f + Q O S R E u m 1 o / R l X L X Y l 9 L Q B 4 P N Q x c p p e O l x h p 3 O X 1 V Q q O / P p 3 S P U O I U v P 3 b K + e D o S Q 7 f p b S y 4 l 5 j r T h u 0 S t 6 m C r w p W j F w 7 m h K X Z 9 w D n A K V Z S u H 4 8 W N 4 W n U F i r U g k y G U h 4 c w Y N M x 3 R 0 h Q 1 G S P U g S k 6 4 J m 7 M a 4 S 6 e K F v o a O o 1 s E P W k a g 9 Y F u 7 z S d w o 8 H v S y t 3 y a i M c s m I M 3 1 Y p 9 v x X x 8 C j G X 7 C L g J i o O E V E t e H f K 6 V E Y N V L V D C S 3 4 f q v g H 7 8 B 1 5 3 3 c P j E r L 5 P m H 9 H / W 3 I S G 0 8 i 0 J K Z U n y d e p E 3 + G + H h H H L U p d T 9 L g Z v e 5 w Y K g F n 4 w w 5 j F x g n 3 P z u P 2 8 x C H t h S X L Z h G N k a r 9 X K t v 8 l g M U V + c f L R q 9 I b L M Y E o I u R T O v V B 0 k r T s w I K Y S Q f N U q M z P 7 T w F / / D e 0 d t 6 L E 7 U J c N k u b / / d m G J 6 s h 7 X h S j q D x 7 e A g 6 g d W h p I f l m J k J m g S z R W E i b N Z E Z p Y b P l I m k 9 D z w k 6 v G 5 S E i a l i + j 3 / K D F M e i 2 x 5 F 3 e q n U b r q J f l I P k T / c l M K X j w Z z U v V t R n S F k x g B d + r X 1 x L o s L W J g S f m Z c r s b Y p h l k s h 0 J o O o b e z m r 7 6 5 G p K 7 6 b 2 0 w Y D z q J o T Q o t Q V I Q 3 E L J X C H O i 3 z 2 x 5 l 4 A 0 p X N 5 F t G I Y i C H 5 k i S J G n 8 s / o j j F m c j z n y X t F C t d 2 A E 6 9 9 6 E z f d 9 F 6 8 + e Z b 2 L Z t O x Y t W k Q M m M G e I x O i F n h V Z R V W 1 l R h w O H C 0 S O H o D c Y M B I 7 F Q 6 b D h a H F V e e r h P z R A v L S R g Q 0 0 7 M k W I 1 E 7 a t 6 8 C Z 5 6 9 A K p E R 1 Y 5 K S h 1 k F s X B w V G D x o F E M g q T 3 g a H 3 S 0 q C X F x f N 5 4 b n B g H G + u f w P X 3 / i e q f m v + Y I j l F z J i f 2 t b M p H C j w 3 1 8 I Y j 3 Y g O 0 D S S J v C m F 2 P S l f O H E 2 S Q D G o Q u u s b W J D Y Z h t T k T C A a Q i E X j / + i C M R 4 7 C 8 q d f k r A l s z G R J L r L o n x p k 8 g 8 U M C a L 1 1 E E D F T c s Y B v y u G r R / / J I x v r K U x M W J 5 z 8 x R Y Q W 6 j o e Q b v 2 4 / C k f P N 8 0 o 4 9 a B I L h p 5 Y H a R C S N Y 5 T 3 0 j W l T r I w 2 O i a j + b c q x 9 Z g H v r 6 W U o N M k D v 0 8 G 4 8 Z M F r N f k o + e N c + X c H E 5 l C f D 9 X 1 + Q O p h o d + o 7 H M n J J T i P 7 X c 0 x V + c d O j D h b y P L x o u H 7 0 q R s J x 2 / 6 O O v Y 2 e / B W c 1 Z c U S b U 4 R 4 Q V e v E x d h I z p o T O B I 5 h M V q H m h v e Q p k y j 9 4 k n k E n a U V 6 T x k u 7 7 P B H U m h + 7 G + 4 z D m A N T f / C R e 0 k N Q h I p k 4 g f Q U B f 6 x F C x G t 6 j q U 1 N b h b 7 e Q X g n J 3 H N d V f A U a L F A / c 8 j 8 9 9 9 n N i 4 + y L L r k I L q c L D f W 1 S P q y 2 H 1 8 t 9 i g + 9 1 X n o r e a J 1 Y O 8 V F a B h H R n V Y X J E W W e R K b t 7 e A Q M q 9 f 0 k K H J p R D n I g x / v J 5 u s T j j j C t K j Z u g q J G t j f C Q I r U M P C z G U Z W q X v y z M B h e Z c x E Y D Q 5 R p c p A G o 0 3 n D O y i Z U g A Q c n m R t B x J N B 0 p R z M 7 9 D 0 0 I a y Y p U K k 5 K l u i A N G 0 q I U l 3 H i e e t x r 8 w S 3 Q t j S h + g u f x x N P P o s P f e j 9 g n z T a c n a U d / H 1 n s 7 w g 2 8 t 2 5 x i O e d u 1 m z w p y t I h + x i K W Q C t K z c 1 7 o i U F o K K 7 r L P a k n Q c K l 7 o X Y r b J v G L g u a f + 1 y 8 T 7 9 s H A f c f y I H 2 t K L u G + S w O 7 S C 0 b i P 3 Z d v x C m c 5 U B m A p d 5 5 m 0 / G R w y 5 k H Q + o 8 g 4 1 q M o Y t W o u o D 9 K O m M P b g E p x 6 / U P i v B 1 P H 8 M l d 9 7 M D 4 D n z C 5 c / t p z 4 v h k / D i N y c z P 8 0 6 h 7 o d A X w T 2 W j J D Z H + J w b t E 8 H 5 V x T A a A i p m s A Z n B E l f f 2 q c T N 2 4 8 I n C J I H T A Q N 0 T q m f + n s m S b g 4 Y C F B Z K b x j h T x S x g W 0 r J R O d g 0 X 1 j I J N K b m q D X 2 P D i q p c R D o V R X l a K o 8 f b 8 Z 5 3 3 4 g t W 7 f j A + / n t U V p H D l 0 B G V k R X j c T v Q P D i E Q C J D / E s W 4 S N o t x a m n 5 A q W q i s D F 4 K D E s K P m o G h J q O S / + 8 p E s 5 X I x 4 0 o 6 Z 8 5 h U P S l X h O c E + J 5 n J u q 9 / 5 z M / Z Z W m T 0 a Q K U h 2 L Q T P i p v M 0 j k G j R 1 r X 9 6 J h Y u a 4 R 1 N Y f W L G 3 D B K W d A S x 1 w I h N i Y g 6 F X j H v H j j p 2 U d X e J D Y M I L I L g e c F x E j E W H 5 i M D G d 9 y C x j O / h U c f f Q w N j Y 3 o 6 O z G 4 0 8 8 R R o r i g 0 b 3 8 b y M y / B e M S I j m Q p m h u f p U 7 Q o G M s i 4 Z T y F 8 j 6 K 1 p B E c G M N L X B 1 8 y h q Z P S 6 l P Z u o s Z R 9 c t d P 9 n 4 L r t j G 8 R 5 N w t 5 i l 5 y Q E Y l I t P Q 0 H A o j o B 8 c C s F v z d y O 3 y b K N a 5 H z n s Q K u F e L t Z D 7 m 8 P / 8 U y A f E 4 t 9 C S k e P J S b 0 g h H d J D Y 8 r C 6 b Z A T 1 q D I 2 e 8 R m 0 m 8 P d 8 D Q U O I u o E C V u O h P E 1 i 8 F l X k x W A T 8 D s H j R A i x f v h S t r c 0 4 6 8 z T 4 S Q z f N H C N o y O j s B E 5 r f B X w Y 3 T 4 / Q 0 z g d N m I 8 D 6 q q K t H C W q u K H f 3 c U 2 b o m o 7 x v y J h k z L z 1 e A w 9 0 x z T Y E 4 t T W t h 9 1 I d C 3 X 0 5 s J 4 U g A J Y 5 K 3 H b 7 n W h q b s H 2 H b v Q 1 d 0 r G H z X 7 r 0 I x 7 I k E L Z h y e L 8 n V Q k y E G f J D O d J A G F h u I 3 d f 3 P o b 8 u t z f q X H j 4 n 2 t w y c U X Y 2 C g F 1 1 d f b j y y i t R U V F O P s 5 6 X H / d 1 f J Z 8 0 f P a 5 c J b d X N d Q 3 7 Y 8 i 8 a h Z d W / 0 1 K Z p 4 l F w 8 S 9 1 1 c J x 9 H 8 5 q 4 D k z L Z m f x H i j E Q T 6 s 7 C X 6 x F w x O F L N 6 H u q y t h / n g X 2 k c 1 s C w 4 F e d + 4 H l x D f + 4 H 5 P v f T d i y S w W r l s N n Z 6 I W l 9 C h O h H N D E K i 7 k K E T + Z X A N D i I Y j 2 L l r D z 7 y y a t w e M 8 Q B o e G B X G f f v p p M J u N + N e / H s Q H P / h + 7 N m z F y e f v F z s b P / 6 6 2 v p / T J U V Z e j r b k N A 0 N J 1 F b r 0 U e + n 7 u s O r 8 O O s 9 r y L U c e I M 1 3 h N q J g w F t K h 2 Z s T i R y 5 W 6 Q u n 4 S a f k J H l i U 7 S T h M k s d W Z D w r S k 0 b o S h L Q R b J I c T B K x b g n C l 0 m P V X w U U E p Z 5 H z U v Z 5 Y v J 4 E J 4 F + a Y U m 4 I R E o x 2 Y r B C x M J B 8 v N m N r 3 G I 4 d Q 3 / d Z J A 1 1 G K n 5 t X x 0 / u C E 3 W q n X H S V a I o 3 i O M + 0 i b 6 k N E 6 o D G W I J l M k z C a 7 j P m g e f S y I + a Y i j G g L c C Z y X u x 0 D l t f K R H K y h X r g T 7 R j 0 X C o + 7 3 q 7 R 0 i 8 0 8 9 e h D d e 2 Y n 3 v v d G G l 2 S l P P Q T u 3 j e l G 3 g Y t E c t a 3 M s Z d q y V / i p m q 7 L 4 + e F E P b U k M 5 R 8 b A P G C e N W 3 b o K n W Y u 6 x Z W k D b W i e i e D N 1 O z j a 5 D s u p C I N K P z n 9 f C H a j + y J u X P H N f a K o x + a X d 2 P p 8 Q 0 I v L I a i z a 8 i b H Y M Z T r y I m X S 4 9 x R 4 b T Y 4 i x O a Z 6 D u 5 o / q w n S c 2 R T W Z 8 h p Z U P M / d K Z k m 6 Y y B z k m J s m c a c h 1 c + n r E 6 T / e y 3 U a V M 4 u p 9 l w z b d A M E B / y R y L J b C A J P x s 8 P s D G O 3 Y g / p F y 2 F 2 O B G L B x G F D 6 F O n 6 j s G v K N w 7 1 E 8 r s M f Q s R M / b C G K 9 F o v I Q d D z 3 U w S s h T i E P B N M R G D a 5 N j U O X Z N F Y x G C 8 n o 2 b X A T O B o r F n V F l 6 G X 2 n J b e r G 2 8 V k 9 W 6 Y h 5 9 G r E 6 y N N T g B N p 9 L 3 0 U l 5 x E 5 9 F / X b W P i G U 5 N u P M c 3 S F 4 G E u s 0 x 3 U 3 q D m 2 k s r a i x r Z C P z A 9 5 D M V R O 9 6 4 q 7 b v R R I 6 O m j N Z C K Q v d X X c J N Y r q 3 n n B 1 q g W d s L x 5 Y R 0 5 r M i n s X o + n F F d e c Q U 5 l s k p 3 2 Y 2 c G W g X P 1 y C R w p y R C H d 7 0 i B y m I q S p v 7 c A E + V M V n / e S O T p B P h Z x H l l n Z 3 9 v A F X O N C K R C K x W x U b m x 8 h J 3 4 6 r r 0 P m X f s R I S 0 w a W n C y k + 8 g f 3 P T W L 5 u w v s Y Z 6 U U 5 X + D S Q H Y T d U E l P Q 8 6 V D i G V y d Q C r S F B a N E N Y 8 / i f 0 H b N 7 + S j 0 x E d c c B c H h Q D F a P u 4 K p I J 1 X l B 3 f U O N G q r 4 x 4 e B 9 C Z F 6 n U i k R o F G Q 8 4 G 4 L / K F W z J O b Z h w w l A V J m k g H 5 T B 4 X M 2 7 U 4 E l h Q x o E h L 0 5 L P W L A v b R F 4 O y I o a Z 3 d p + E 2 Z 1 N c p 9 A h p j o i 5 F + V R P c h V X 6 e J H h I W H E Z B E V h c L q X v + c Z p K s 5 i 0 M a f 2 Y q A w m 2 Y g h E 7 b C b e W 6 M a V 3 q 8 1 J e 8 T 0 N + f Q 0 X + Q x 1 E w o X J 3 J / l b K I H W M 4 n x L U n x u o t g z a M A p N d O Z T h P p R t b a R I I 7 j v b V V / M c G b p J i 8 Z v 6 4 b R V o + a r 0 k J q 8 c O k M S d c O P 6 f + y D 1 + d D C Z e 6 I t i 7 f o t Q 8 w / E e w V H X 7 o U R m 0 G X S M a r P y f N d i 1 e j 9 O v / Z U + V s Z R E i T y T 4 c G W r B O Y 1 c X a m 4 H y l 2 / 0 s E 0 X 3 8 J Q z u / B v O + t j z i J M m 4 4 w E N f S 9 r U g 1 S G Z q K q W H R d 9 E P l O E p J 0 B o e Q Q U v I M P 2 d 6 e 0 y N N P h R 4 f t w W N 0 9 w y K 8 Q s S i h x B W E f 9 g n x c 1 9 T O b j N P A I 9 5 D j n i T l P v H h f D j q m T o 2 c C + i V 6 X o t + Q 7 i 0 I X n h M z U S C M 2 s r 3 z F 6 x o U F n K w g E 0 c 2 3 g 2 N n N A 8 P D K K q k p V 8 j L 5 c p g h Q B H m + h v p 2 U v d J U L D 8 G 7 + H k 5 f C P Q 3 P i g f J f p K k Z 9 m a J w y x 7 l U g z r X 8 0 T A S m F e P 5 0 c y 8 9 w Z m Z q G F 8 F u y o z Y j 7 M x C j G T A x m J g b X 7 y 5 f 9 j V i Y p J C i S S s n 6 i F g b T l 2 N 9 b o S F 3 o a W c 7 l / m Q y I S h d u V i 5 J F y q V d B t V Y e N 1 a k E W M B r J 8 1 t x 3 B Q 1 Y E W Y h w u T 8 r X P p 9 j M x E 4 M n E g 1 G F z R d 9 6 C G p K R F 4 y Y G k N r M y H R X w B i L T z E T Q 6 9 P I Y l 2 h F K D Z E J s E 8 z E N T b G A p V i S o K z 2 k O p E Y T J j h c 1 6 u a B E P k M a m Z i M D M N D 8 w j d 0 0 B C 1 5 i J k 1 f D X V m d k 5 m Y l N Q A Z u 0 n D p U y E y M y X g X f D N k 6 j M X O 5 p n k d 0 8 u S w z E 5 v X C j M l s 2 F q Y g y 2 / n 8 g m B q e y t V T v 3 j f 5 9 k Q 8 w / g + O r v g c h J r M e r K z O I F 8 O k T + T 5 t m p m 4 u K o 8 0 U m P i L m o o o y F J e M 8 k 3 k 0 o 6 U N C Y F L z 6 + B Y O l 1 8 I V 2 Q 8 N S e h n n 3 9 R 7 L j A P g i / s v P g U 3 b + i q F 9 S w + 6 9 y + j 6 + h Q W 2 d A q s S A i n a J S C c 2 O 4 S q 5 8 W / b 7 Y u Q j A u S U P 7 0 Q t h H f w f J G O 5 j h 0 c H h V 0 4 z j 5 N m J O s u o G S c d M F C f a z V u 2 Y 3 R s A p N e P 4 K h C C Z 9 f h G E i E R j 5 O f l B I X p L 3 f D 9 H u S a n + O i J p 4 O i 6 R n N A j 2 0 O + R d M o E u b i v o k E y Q S L J C z 0 u 7 i Q 8 o x M R g u j X h I y M y 0 b m Q J r s w L i j 6 a l j P q q 2 p w p W y z L m 6 c 7 C p G t H 6 S O 0 S D V n / P x W H N 6 w 2 6 x 9 k s B + 0 z K C g T e l C x J 2 t a k y S U c q 8 E a m 4 m 8 E N 7 2 q N h q t T j y 2 6 Y O n J A Y g z / R j 1 H H a e Q n 5 w v 2 + a L 3 y 7 f C R P z D O Y k D k y b 0 d h 6 R v 5 k d e b t h z o I U j U t v L I R u f 0 e O 8 t V O O N d f c 5 d K H c q 7 s l X W 5 T r P m K 5 E K B R C + + E Y D v l P Q / / h V 7 B s 2 X L c f v s d 2 L F r H 5 5 + 9 g U 8 8 I A 0 9 z M T w o l x s Q Y r L f b c k d C + v R 2 9 + / v Q d k 4 j T r l + A W m X N 0 Q g j F 1 z f 1 s r 3 B 2 d S A 1 W w P a 8 D s v f Y G 0 C b D / j Z P H b 4 R H y 8 0 a B r U + 9 R 3 x m c A g 2 m d K g o v Z U O H 6 X w p L X N R i / 4 + v i O d n v U M C 5 d P X 1 d e Q L l m H n z l 3 o o P v s 2 r U b b 7 6 1 A W 6 3 B + v W 5 R a 0 G Z 5 7 H v X B E H o + / 1 n 4 J 3 1 4 6 J F n o D O T E G k s v r s 9 g 0 1 F K Z E 0 K w j V a Q n B p l p X F U / l t C I H P J g Y m Y A Y Y + q 1 T I S J 5 A D i y X y m t X B Q R Q U u e p L M R K a Z o l w y q y i o H 3 W 1 I a S j E r F z p L D E 5 p t a + 6 W k l + n p r 4 3 M L i X K F + f N C 2 Z F A Q N z x a Y i y I q + y T F Q I T g c z 4 j Z a 9 H g l d K Q u E 3 B e W y m p m D B A 3 9 E X f j 9 6 C V 5 l U 7 F E W l / h N y J / B z D 4 p i 5 X W p w v R E F m v V b X s r W N k r 2 9 7 D f g y p X v u k Q C S V g t e e k Y p J s 6 B p H K z G a a o B I a j m G 7 k Q 8 U Y O M v R F p e n i R 7 F m k Q V x q W I H i D O 5 7 / Q B O v p y 0 U n y Y 1 G Y V H N Z D 0 J B f s f 2 N N + D 6 X 2 l R G e u o s N 8 P P Z l 5 b a S x e L h Y z q y 4 7 x 6 Y 6 r Y h M v w 6 O o e I A A 1 O L L / x e f C + b 0 N + a q u x g x i 3 F D 3 X 3 o A D w S h u 2 L 2 F L z c F D t d a W X Q V Y G h 4 h J i y U o R 0 9 Q Y 9 / v G P + / D 5 z 3 8 G 0 T A x i N e L V a + t w v t u u g k l H q f w 5 R I 6 c v h m Q C I V J C 0 0 P f T L K T w p 8 j m K h b s l a M h H l Z Y Q T I S p 3 2 a e P p q C k Q g m o T e R K T k M i 7 a M t K F e 1 F c I T R K j F K x Q V S M T I 7 L g l c 8 F y 0 j e O X J t Z w Q 7 d H C 0 z s D U c 0 C t 8 Z r G n 8 d + p 1 S q m W u s m 9 X p V 3 M 0 / c g 1 n 4 H n q 0 m U X v J H 6 K w 5 / 6 x 4 U E K C 2 C Y 2 b 2 K X + i j l I + 1 F g m z K R e A b E 6 3 H B 4 m 5 n L k J q 0 J m Y j A z q c 2 F S l L / e c z E I P M s W P M N J J o + Q P 7 N 2 c R M P P M s M 5 N K 8 x X D 9 q e P C G Z i M D M x u J 4 3 L 9 2 Y 6 H 4 d l W + 8 K q b P m O W t 7 D P R 9 d p b W 8 Q x H v u d n / 4 c S p b 9 i N S u V v h K o c A E b D p J Y 1 S 7 U s h a G q G 1 2 2 F 4 9 3 t w 2 r U X i u N q T D F T w U 5 3 z E w M L j s W j a f F 3 8 7 2 X n g D Y 9 i w Z S M u O P 8 C 7 N 6 9 C 8 F A B I 8 9 + q Q 4 d y Y U Y y a G n m x p N T M N e a V 7 c t F J C a T V 4 h 0 Y i 3 b O i 5 k E 5 G y M W E C L a G Z c a C s d m U 0 z F a Z U o D V n k A n O 7 E M W Q q n d U I j g 1 K b S + e O u s e e 0 8 o m A B Y M a 3 W X v g o e E u j G V p G e b f 1 Y 5 Y / E r 9 6 L i 2 g f z m G k 6 e W a g i Z F / G T m G a I R o g l 0 T X g U w 9 T I j y 4 m 0 e f 6 2 T O t c e 3 E + U T 4 F b k M d B g Y n 0 F B X S 9 p E q v M 2 F 4 z D r 5 I o 1 i J R f o X 4 P B E j O 1 O j J 7 W d R M 8 q I 0 5 7 X 3 5 V W c b 4 t v 9 B K t K H j g E y V e h 5 l u 4 8 B f H d e 8 B Z d 1 Y y y c a J o S o n J m E h T X G Y W s + x k R s G e t H + y k o i e O r o u w 0 4 7 0 0 u g q g R u X 9 m M q C P b e j F S R c 3 U o f k E w 3 P X 3 Q f P w i b w 4 m K q u l t U e A 9 H k f J A s l s G R 4 d Q V W F R P w K i v k N c 6 E w z W c y 5 I b H 7 k M k O Q G r e l s e g h J d m w v s w e Z S q X h o 8 6 0 E Z r B k l r S y M B W n f 5 8 Z c E J b O 3 c Z O T U S n A + o l 1 w E D k 5 x x J d h 1 N n g 0 F f L d T J Y I u T f C 7 E + g D e Q k M H m u N p / 4 p X U / D T F E C K T r 8 7 f D 1 / 5 6 f I R w r w p O Y d 4 P I k a 1 x L 6 L f U t + U L q b Y M k T O + j Y t D E e k m R N M w j e i C j 1 N h K f G E W z M Q o Z K a h 6 G 7 5 X T 4 S V V c K Z j L 3 P Q y 9 d y e p 1 1 Z 0 v p K A f s 8 m X H T W U 9 K 2 + w r I t 2 K U n f U g + T + k c U i Q s A T Z s 2 I P q V 2 9 2 O n O T 8 z k I Z N v u N Q j V p c u 5 G c l S X / 8 r 3 9 D Q 9 s 9 q P + b A e l k E m v u l y a n T e Q I i w 2 T x 8 j 2 l 5 m J w 5 u M 4 a F + M u F i q K x p R S Q w i c E h y S 7 X 6 m j w 6 d p x M u X 8 n T H 0 d Y 3 D 0 5 p C T + d h k Z L C G e 2 F m C 2 H M R g t r q G Y m d R r y J i Z G M x M E 8 H 8 M P h M z J Q M m m H S l J L 5 Y y M T k p e J G 2 A g Q v b x x L 3 B h d X P 7 I D R k D P 1 D F q r E G b s 2 3 G o W b 1 Q j 8 H M p O k r n t u m r G 5 V E E 1 5 h U b i s D / X b m c o z M R I y F o / O M j a r I A o m Y B V z M T g C k 1 q z F Y w x W 6 s R M S e i 7 K + U x i J 0 V k j 8 d q 7 Q m b S M M P P x U y c d s S 5 s K y 1 6 K / m e P e W r L Z g A 6 5 0 L E P O t t Q x n N + m f j D 2 K b R s k h j y M 8 6 5 S K L b m J v d H + n p w + B e X n 3 L G y H T b 0 x x G G w a l N d m U d l c R g 3 I / d 7 a / T d E m r 5 A 7 / I b 3 8 G T v J k k u v t j s D + Y Q J X W L f Z Q 6 k 5 H E Q 2 F o X N 6 U N s 9 x F s H k P b S 4 N L 2 T g T u u A w a o x a H u l N Y + r 9 P o b z U C R 2 Z k E P U N 5 X N 5 e A 9 c X n Q 2 X d i p M m c G x v q R U N z A x 5 / / m X x f E s W L 0 Z r W x s G B v p x 8 h I S J C Y b / n X / g / j 4 x z + G f / 7 z P j G R + s k P X y 9 + L 4 I 5 q r 6 Y j 6 b q n 2 h E X a m 0 9 C C W N M J s y C d q h j U V m 7 G W h x o R r 4 b 8 3 C w O H j y A p U u X 4 b V X 1 + B 9 7 3 8 3 e r r 7 0 d 7 R A a v V g q t v P B / R R C 4 C y l K f I 1 P s W z F j 2 X S q + R 5 C J q Q j M 3 l 2 f 0 c K C u S r B I d q C y Q F D k M l o g M 6 u O p z U c M s C T S N v N x B w b R 5 J x V m 6 9 O G g W f R W / N u I h 2 Z d t 6 B l p r N h 2 K z k n 0 1 B X N Z Z p q u b b 3 Z R J h L 0 N o w 3 h u A q 0 Y L b U s f t E a p g Y W S 9 w 9 P h n B S s x 0 + M q 1 W t B h Q n T 6 K g Y 4 o U k E X T L o S 6 E r H 0 X Z O k 3 D k T w j E K J b e + 0 l k m J C w n 4 W M r R l Z k u C 9 X 1 k J H d F e t x 9 o / d 6 3 E f 3 9 r e L 0 b i L 8 F P k L v N F w Q 0 8 X u k n i X d P V S Y L A j L G D 3 b A 7 6 Z m q q k l q x z D U G Y K 7 z I V k l M g n Y q C 2 2 T E W 3 4 q m 1 l Z 6 T n k u i + f R V N J V g c 5 3 C O m S p f S 9 P F I 8 c I W G N + + U X i B g m G i V T Z E L Y U + X I q S T w t 2 + i A N u a 3 6 U k O d 5 O D T 9 n 8 J E E j O u N Y r y 0 U q 0 j v e C K o w M F o O u p w X p x u l F S k q S A X g N T n l O L U x i T C f m i Z g x i z E U Q 9 f b B v c C G m J q Q z Z D g l B X P M u + E D M x E q d 7 i Y I t K u i S Y V S O r c N g t S T o T g S z B i X I l I O l g f z 6 o M j t E 8 e I B t R R c T U 0 g 9 3 d W S u n e c s I j U R g L T P j 8 M a j C A x H x U I z l u h 6 n R m u B i v + u t W B W I L J J Y s / f d 4 G k z X n A / x H I J N h a M y L E q c b Z k t O I s R i c U x e e T V n H G E 0 n c H Z d / 0 Z w 1 / / J o 5 Q G y r 7 u j B J T F G T T J D b H c e i r T t h O f Z H p M m s T F R d R m a i H T 3 B z Z h 8 t Q H O l U 2 w 6 D O o 1 h + D x j a D K a H a 3 o Z h O f I 7 9 D f f B J u B N F v W S K b U 7 C t g 0 y R 5 d Q W S t 3 B L I I + x D r 7 k 8 B S B x x I m m I 3 5 8 2 P 5 f t B / D 7 G 0 V 4 y l S Z t P 0 O z 4 8 y 6 G h T A e D S N i I a F U F y Q 6 k A i I 5 6 M S 8 2 R 2 j m E S 5 U D b W 0 r + Z / F M D v W W O m p E U 5 N 5 m x X M F 4 a o F 0 l z 8 X t F w w l Y 5 F R + q Y e l P h Z W G N E M 4 8 6 7 / o b P f f 6 z e P b Z 5 3 D K K S u w c e P b + P x n P 4 n V r 7 2 B 4 e E R W C 0 W X H j R h X j r r b e w Y s U K r F + / n r 7 / l P g t o + h m A b 7 j W S F R + F b 5 o E Z E e x A 3 N s G U l J y w / w r o m t 6 4 a y q N q B C x z V s w 8 K 3 v 4 G g 4 g h h p p h U L 2 j B 8 6 D C C n E f Y 2 Y m R s 8 / C 9 l N O w e l n n I m g f w L v / + C H w V v 9 j 4 + P i 5 W 9 y 0 u X Y 9 n l 8 u 4 S q q T U a S C J z p k T D P v g n 9 B T K p t 1 5 K N F M p P T C j k y 1 B r 8 6 K g O i 0 r G 6 P p s j 9 v p b 0 7 j + Z P 9 c B p q o G V T i f y m O B F o g u z v G P k 0 G k 3 O P + K J T J P O O T V h O 1 + w F r L q p k 9 E 8 v x R g J i a i b s Y 0 y j g 3 E X 2 h f K f M Q t D 3 E / a M o 0 0 P U 9 6 y A 0 b e b L J a B j 6 s m G k n B m R Q J p N 6 p E 2 s J a V S I n n j q Q o I H 3 m 3 D v w / J u k F V m w J x M p M k Q k C y Y e T 4 i F o o W Y z c x j v 2 0 m b d g c f g V d 1 m v k T z k U B j w U D A / 4 U F X r l g I o B h I e 5 B K w s N P p j M L 3 5 p S n j I Y E P P 2 W f 8 + v d I o E B S + F o e 8 L N V V x h u o N w 9 1 Q I D U 4 A l K w k 4 W o i y d P v L 1 j E B F 3 d A 2 i t X V 2 B 3 P o S 1 9 B / M B B H E + n S d L q s Z h 8 P J 5 0 7 i S J u e L p p x E n T V Z R 7 o J F G 4 M v Z k J J S Q k 4 u T L L a T 3 0 1 2 y f 2 x / J k h O q I U f Z P P g o B k r z 1 + C o J Z o a a o b i g p y t Z c S w x f p K R m / 4 b b F W q s y 0 m A b K g P v u / S f 6 + w d w 4 4 3 X k 8 8 2 i B u u u 5 p M K N 5 i J Y z N b + / C x P g E 6 h t q s O i U m W b t y R / K x q H n Q Z 9 C V q Q 0 c X v d W s + 8 z E c l P G 3 W l h C T 5 K w O U 3 g E E S t L f D L u 8 k L F B K K c X Z v 6 U V d L f U a m + l P P P i 2 S l b k U w b u v e z d + + s u f 4 T e / + i W 2 7 9 y G 6 u o 6 D P c P o X 9 k E B 6 3 R 6 w S O H L 0 M F a c v A L n n H M O W U D 5 Z D g b Q 4 W T Y 8 J q m A n 6 R A g p M u v V G B s J o r x y e n B I S 3 2 t 1 B X h 5 + Z N D X r C G + l Z T a i z T l + H N R c 0 / / 7 3 Q 9 l L L r 4 Q D l K 7 L 7 z 4 C g 3 s d Y h 6 I 9 A 7 D N i 2 b Q f O P + s k G j C b c N Z 5 L o Z D 0 P 8 9 c C f O 3 7 T p W H k 5 K Z g 0 O k h w X L V h L Y I b N i C V D q N k J U u k r A j J F 9 r D O 1 8 8 g N N v k O a 5 O G o j 9 v m d D T F y 2 M y N 8 w o u 6 E i b u Q 0 5 L d 3 r 1 a K h h B r H u 4 f w z u W F I M n H / y n E r 2 T d K z Z 5 M k P 6 i d O Z C M E M m Y X p p B y R I 1 M m H a e e y g q f S A 1 m H L t e H c K X + l R K u v W L e 6 n r f L 8 T V I + 9 j k 7 P q U V 9 L 2 k K h C Q 6 M R t R C G l Y H X 3 m g p 0 6 k a 3 B d Y A 4 l c 1 g N I p S X f y s / a E d q L a f T G d K J Q x S y R R 2 b T y M 0 y / i L Y J y 9 D C f M S g G 9 8 Q + J M j P i z j y h X Q k H I f V l u + i W N N R R A p M e Y e x B k Y 5 G s r 5 n f O i G x n a U k 8 p / n H P v d i x c 4 9 4 2 E S C B j F l w j 3 3 3 I f 9 + / d j d D K J M Z K S Y x O T m J h U V Y X h F a c q s L l w Q k h H S H P k S 6 W 5 0 L r u d f J H N K g h z T g U H o T 9 w g s F M 2 n i M Z h I w n t f m V 7 3 2 p T N + T T z 6 R T L x A Y i S Y m o 5 4 K a m Q 4 O 6 y V m Y t B g F I M m M Z q n S V z y k g 3 F b B D M J O q 9 s T l I U p b 8 S s 5 C 5 7 k d 9 l s K m Y m R z 0 w 8 D i G h b Z i Z 2 M T j g E H h 5 O i J Y q j 8 c i z 2 v i 1 / y o f i C 7 K J x + 0 U f 5 m 1 Z J O P m c t j b S C m l t L X + F l Z 6 G m z v J Y s K 6 w H 9 t O X n 9 0 m 6 C H Q P j 0 w d K L w e U 4 W z F Q 7 s R p a 3 o F B h p q Z W D i Z q X 8 L m Y k R T A y K j B 5 v v F c K O J E Q n A + Y n I X J x 4 m t y j o m r t c w f j S E k r Z 8 E y m Z I s d f r x p Q l b 9 x o t B E u j A Z L U F J 6 f w l J x d v 5 E 0 B e o N S 5 M x A B F b r k A j a / J u f Q P f y m z j 0 / p P Q + L W 7 x T E F h z c e w Z I L 5 l e F i W H t v w / 9 5 Z f M k 6 l Y m n K l n 9 m X L U y B y 1 R x H b c 5 w E V O / G m e A 5 m O 2 Q I W E y E 3 S u W 5 L L W J G i Y t Z i t g v H c C u / c Y Q i X 5 O x 0 y Z v N p G N P n 6 C Q t q o a Y j p G z P J L R J I J c L q J p / l W N 8 l A g p 5 u T a z B s f R + i S T / 6 j g + i f k G N / A 2 X G / A Q b U 3 C x O u v W N P C h H j a B 6 P G g 0 R 2 k t r e S E 2 d v 1 U m n k C 9 K J C r z + g K 9 g 5 i q J l J k 4 m 8 Y 2 b i o E D P u P 6 E m G l 7 n 1 G U J p b 7 W 6 D G n t M 2 8 W 9 + C c l H v j 3 F T B H q I M b E 0 I T E T L I U n R f o H v P V U M r I F S a i z o g i f V Z Y w J I x E z M x m E 3 M Z P 4 V g 8 J M D L X F Y O S C o 0 X A z 1 m Y m a 5 o n G J I y 9 k Q h Z i N m T K R Y o J m + j O r C 9 h k T X H B T N H j 5 M e T R X L C K P h J l + E K 7 N z a j s P b O m B 3 1 G P 1 s z v x 9 M P r y d / 2 4 B c / v Q O + I R 1 W P b M R j z 3 w K m J B L Z 5 / 7 G 3 S F + Q T P r R e L F c 5 E R Q N S v i 7 o 3 A 1 z R 4 i f q c I B I N w O q Y 7 h z O B l 7 Y r Z b b U m I i M o d Q q O 6 Y Z E g h F H O / d T w 3 i 1 H e z p q X v 5 l k S y t Z / N 3 r l N K n 5 w q x 3 w a a b 2 U m e w g w 7 N g q k g z Q a R u E g j 0 Y H M B k q Q a V r / u t x I n E L r K Z 8 M z y H f I 3 A 8 z i 8 h k j J x 7 P o S k R 4 n 7 V Y m s w g n S o o U Y i m 8 G p 0 2 + Z f M y T D W 8 F 6 5 l 7 N W w j F f 4 q F U z C N 1 0 D T K J c + n g G c T e / 3 x e B y m 6 H n Z S L 0 y D p 6 v t 7 e I G o b P Y h m J u H W t y K b 8 U I b S Y n Q O p v T G n 0 c Z q 2 F + o J 8 P 0 2 C f C Y t 4 r E U X n h 6 L d 7 1 o Q u o b 7 h S 1 D z G V o Z K 5 u e Q U a 0 B K g r Z 5 k / w v j Q n i B N h J s Z M T V G Y y T Z 6 b 1 F m 4 k h b M s v z S p 5 5 M x O D t S 8 7 2 g z e 8 2 g + s G j J P 8 j E y E c a I X + u X 9 w 7 l Q k j m u g R h B G J H I C P N x E o x k y k E Q Z 5 D 2 w a O H 9 6 F F 7 6 D a c Z n Q g z M W Z m J k a + y O Z J U X W A g a s + s Y n I 2 i m e D f M 7 + R v + b o J M o N w m 3 c x M p t G d 4 n y O t s 2 J T F E S m z f M N r 1 g J l 3 P 7 P 4 v M 5 F T Y S Z C N p l A m k w 1 Z i Y G a 6 M I 9 S / n p M S s e l S M P 4 u s L i y e O U L C L E 4 C J k l + f T w V o o v F c O M H z x M + Y Z Q F 3 V y g 8 w x j b 8 I x c F t x h n I 2 W p A g L p 4 R P J d D 4 G I g 7 F g q T j V j f H w i 7 z N D I x e W 5 y j h i W B j p 0 n s l j E b E p r c 5 t F M 0 D S C G A k P o c s 3 g B X X z 5 w L N h M 0 9 P s S Y 5 O Y W F T m Z N R h 5 G I I k N M / k e z H e D a I c c T E u i V / c g g R W Q P w A r 2 0 T K R Z 9 S 5 6 M e p + Y t 5 q l 7 S 9 6 F Q + n P j 3 v w O u 5 D s T O K D B z M U C h A M Y / N e q 8 + S N n 0 n r F s m 0 a m i t 1 d R G z a y h a w U F p C B Q Z K 3 j N I i 6 + I S 4 T N D p x j 7 0 7 p x d g B t E 3 i a 5 B k T g x F n y 0 R z U 0 x 5 D F Z e j y Z 8 r 8 2 y S + 7 4 Q n o J J c D X s / X + G a e B Z a M g E T 5 L f H a z 9 V n G G 0 h l I 7 Q 3 n B y X U 0 G T 8 a G + X 0 l K U y S 4 F Z W W l 0 m c O W t C D j Y 6 O o b 1 f 6 g j e f X 2 + 4 B 3 P R X X X W a A h J z N Z f p 5 4 H w r 7 p X r g 9 E j R V A R j u / w w W W Z n h G L I y g v o 6 m x n C W e a X x z u d R o q U W r I J Y 1 y c E B H x M o b l a X Z 5 J w H 0 q S 5 N K b c x K l T N 4 7 x G G + B 8 8 7 K Q c 8 H K d X k 8 n Q Q U 5 C p W j g h z C F v B k t v H s r C C e G o v Q a W 0 I D 8 a Q 5 k p o u H m e q k c j R Z A d f F 5 7 4 3 q R J W G 0 6 3 Y H j v z L 4 7 M 6 + V L A U x r 6 T l j f j y h Y l i e S g 4 4 r i A h H A I T d 6 X Z i 5 Q U 5 D 1 L 0 D j b e m + F 6 G 6 r y N e + x 5 k V T X k Z + x t R 0 s S / u P F J Q x i Q 2 h r m 8 U u T g W Q Z F u N H o x r 9 c 0 1 a V u I N 9 t N 0 z Z V L g b e I k e B 3 e a C J i o t I S + z u K H 3 v b O o F m s o N T g z h H e 1 0 G t t Q g s p 4 O A A b 6 N S u O P 9 b A j L t b h F O J b g S 4 8 T w Z 6 Y 0 1 s I L n j P K D p O B H X R y h N F h M y 9 Z M H 0 i A I d l y q e D 9 L F 7 x + M T e c q r j Z b a N 0 U R g i r V i Q w v E f + U I D Q x A S i M n F z D R B d A Q O p w b m I Z t I + W a M d 3 S X X o X 5 0 l f x N D o U b D 7 K C s P e T W Z f w I d r 0 G f l g P m b p b Q 1 c C 0 h T H A 0 K x u I d H l I x k s Y p M l 5 s U u 0 0 k T i o I k B N f F B 6 w z U I s i R t x A K w G U a 6 C L h M 1 H h Y h 0 v a Z t d M U 5 A r 3 f K E K C N r I c Y l u 9 5 u L J 2 S s i e K L A c w V O A F i i y l Z t v e c r 5 Q K r a G k y P o 8 0 8 W L b h / o u B K r w a S x L G k S e w o + d + E N M d V f P x C 7 s V o m p C 2 8 k y p S h l M w w w M 5 T A X v y 5 b N 8 x U X L 1 V w v T z q k 6 h y w 6 T S a i S f Y Z U D A 5 i y P l C X 5 D h M 1 Z 6 J c o n 8 1 d z q 8 8 w e H f B M P w m a a V v I W O e 2 d T V e s m 0 m g 2 l i x 2 C s S x u E / R m H X z t 5 H z L J p 6 U y 6 c l R u L 1 R e R L m e T 4 P j U 2 y 5 k C I u 2 d T E J e F y O Y a 2 Z 0 e / V k E p J 2 U e 8 e X w h O + 4 8 R 0 3 I S K 0 H r k d K j l O w C A d m u j 5 M 5 + M 6 g u r / s A x U D V y n i n c N T P I V w A u D o W p 3 9 T N h M u Y T Z / x S 8 h U u J L o C x t D T H x R u O / 7 d g n L b g L o f u 0 h t g C M 8 R u C G G Y v + w W N Y D V 8 I t B q a v u t p q Y i z 2 L Y t n 7 O u q Q m R 5 6 a D v b U Y q n k G y 2 F K X G U x L N T j H k U s 6 c w 3 G C e e K P E 1 v k p e + 2 / r v Q t K 5 F M l q q c j r b N C W z M O 0 y k N m u h q V t v K Y u f V Z H R E + M 5 c c z C i G p p I Z T B 9 R 6 U Z + S r p P 1 k x M y x n h p H 5 D q f z w r b o z j A V L r v k 7 / l r 9 U s A Z 6 Q O h v Z g M E 0 f L u 0 A I y B N 6 x T b 3 4 o l c T u n h R Z f z L Q H G y E T 7 E Y g c z j P F C p c i v B N I u 0 l K Y 8 A b j n P d P H b O + W U j n 5 L n r n g T v P 8 u N K i K b I d + t j J k m d y z F T I V l 5 V m q 6 Q Y s r o Y J h O S V Z C I p x C P c S a G e t T o 7 s Y 0 o l U d K P E d g a 6 v F U b v i T 8 f Z 8 N b d B 6 k y K r J k L l Y O / m G / A 2 B L B N H 3 2 0 I 1 3 2 F O H h + / r i W q / 7 w Q k n O l p g L + w 4 c w m R m D K M j E 4 j Q A w Y D Y U R j J y A N B e H k d w p j / 1 C R e 3 N Q g y F 2 g p / O r O b + J 8 n 0 z A + l s u I c D u p F x 9 s q 8 i e O + T u + i v q l o N 5 + B m r t K + C x 8 U S n q u N k / 6 H Y R C 8 7 u P y S b P X p n b 3 m h d 3 4 x 5 + e I 3 f S j U 1 r j s K i r U A m V I o j x 1 N 4 6 c W D W P 3 s d m x Z e x w 7 N 3 X h v r u 4 q E w 9 h r v + M 8 2 i 8 A t X d O W 6 e e y c 8 4 v T l p j h C v 0 p Z j Y T m Y m a 5 C R p 2 h O r z 6 B g x H a W / K 4 4 Z q w / I 0 N V P z U P Q b G D o z R K n J n O m 1 Q I y 0 h 1 P f 6 4 I L A K w c q T k K 7 v g N / h R 6 a n C t q 5 p n 1 m w W D p Z W g Y W w X 7 + E E Y x j Y j W P 8 t + Z v 5 Q X f V V V f / 9 K W X X h L F 7 k f H J v D q a 6 8 h F I p i x 8 5 d W L b s p D y p 8 N h j T 8 L t c W D / o Y M 4 d c V y 7 N i 9 R 5 R i N h d J v 5 8 R b K 5 p O d w O r D 1 u R t e k H u c 0 F i G k O a S 2 J f E G E r Z z 5 E 8 5 2 E 3 E F B k y P 2 N d s J X K J i g T C 0 d 8 + G + R a E 5 v a D v 6 O 8 J w W H Q Y T j W j u 2 8 Y 1 d W c y m 8 W y + L b j / a h p r q G j M H 5 E 9 0 p y 0 8 T h V w y J B h 4 b m R s 1 C / q l x 8 9 e h S J B B F 8 P I m K i j K c d u p p 2 L l z N x r r m j H p n 4 C n 4 p 1 P q M d S F r i 0 Q c Q K z J / M D H 3 J / l e a 5 / B 0 l q k I G K 8 U n m 1 3 j k K k D T a Y Q w N w e g 8 j a p + + d D 7 j p 2 u 7 c v 2 m 7 E o y F 6 J p N u u L c K N K E m o y K Y T 0 N a R Z p O f l t V 5 x 2 w C i m R A M X a 3 Q l M 6 n V N h 0 R H w 3 I B 5 p g K l J m n b h M g H z 9 c l F p k Q 4 y o N u g U G X I f W t E 2 W x e N G X r k h 8 0 9 c d h r t p + o K w E w E z k 4 a X 0 e u L F 0 u c G 1 n y 2 y b J 1 C z u h I Z 9 Y b E I s n S W T Z a y 5 N d p 2 B Q l p J N R b N m x D / v 2 7 Y X L 5 c Y n P v 4 + / P 2 e f + P T n / 4 k 1 q / f i P P O O x u j 4 4 M w u W Y 2 7 b Q 0 u E a S + A k i R m U 5 g B p c p o s r C z G U r A a u 0 a B o k v 8 G 7 G T a T W T d M B V Z U s / h / R O J S M 6 1 c U A x V I 6 s w 0 i l V J t e g X F g C R K 1 h + V P d F 1 9 i V w g J g c 2 + 4 p p q m J + l x p N g Z f R 7 Z y + s Y W S 7 R 4 Z z M C N p U h U 5 + 4 / K 4 g u 9 f 2 t c C 2 Q 6 J 6 D c R w / C C T J T E 8 O o s 4 6 u z Z m 5 K U e Z T J k w M g r M 2 e C r y 8 E d z X f + c Q y H t T Y 3 m v E m Q 3 y o B e m 4 7 D d Q g S W I p v f n 5 R y 2 g q X Z N i H / o J Q 9 Z f l T w V I + X H 4 7 V E s v q B N Z D H P B b H x G f l p h s n D y N R f J b K f F c G o 1 e u Q I X s 4 G x + E T 5 M Q 8 z K F K L Z B m Z Y G l L U C 1 9 0 z p 5 P w a 6 w k q C T / M U z M Z C u S 1 a A w l 9 i f K c 8 g n T 9 4 o + n J p L P o 9 W d L q p 0 N J 7 o c v 2 5 s N f r L c 7 5 t a t A C f U 1 + e 6 Y n y 5 J 2 T W p g L p j E 5 8 j q T H m V T Z M v o t t z g / x p d u h 7 2 5 C q l 5 i T t d i a F 3 a h s r I C z S 2 V K K s u E V W b 9 K A x 8 l b A W q M V w 8 / L h N j E 9 B 0 n p l w g c X t / Z N u c T J U n F + Z i J o Y + M / 4 f M R N j i p k Y C j M p E T V 6 Y F E j m 5 m J x 5 9 e G W W 7 y A x J n n D f z M z E e y X p X Q g O E u k Q M 3 G G e i H 6 Q z v l d x L E L o K m W u z o t y K e C p B P G M N D / 3 4 U q 1 5 e L R Y t P v j w w 9 C b K 0 X 2 R C G Y C Y r t 9 q e Y W G n 6 G 6 b v F W b q H q 8 V x J 4 q E t j h + R P W V D M R P U e 8 F D B r F A N v N M 3 X 5 3 L K h e D r c n D i R K E w k 5 K Q K 2 1 Q L Q U 7 + K V G I h 1 B h + d c o a k U F N s E n T V P M D V C z 0 v P J I + x 2 c i F Y 6 T 3 y s t j L r 6 l T 8 P Y C / N m J k a w d h t 0 f S 3 i m t x 3 V 1 9 z G e K J B E Z H Q 3 j o 3 h d x 3 9 0 v w G V s w L + e u w e h Q B R P P P E M J i f 8 8 H f H i Y 6 I H o 9 w L Q z y y / X l g q l m Q 9 H k 2 N k Q G Y v C W v 7 O 7 X z e d J n 3 h J o J / M C 9 / k H Y z V E 4 t N V 5 J b A Y 1 q 6 7 E S + 5 A G n 3 c v m I j O S E i M p w W b C x z j E 0 L J / f g j A F p p E 1 G N C d i f I K J 2 K x D H p 7 + 8 j s d S A W j 6 C 5 z o N A h n w g X o k r w 5 4 K i + 1 k Z o K y O O 2 d w p S K I 6 7 P M S t n j 5 u 0 z m l r m w q z G O Z b L e m / C S s J l o g q W 0 C K j g j q J Y 5 i 7 p g d X F p O 4 i L 6 C f 2 G g w 0 M d Z V h C V n U D b 2 E 4 + X n y 2 f r y R 9 N w 2 m d e e V C O G 4 l I R M R z G 6 O m 6 E Z X 0 h M k k U i O w G z r g p x 4 z B S + h j 8 o S D K 6 0 z w m F o Q j c e Q T m l g l 9 d P 9 Q c 7 Y U i b Y B h 3 w t P m o F a k M R 4 / B q e + V s 7 k 0 A j r p Z 9 8 8 R M 2 3 n V m c r B D W k S K S P / 5 Y F t P j s h 4 T b 5 f z h p g s O T i S k H 1 d t I I h t Z p z G T u e x C R 5 p u R d i 4 h H 0 w l b c l s U 1 J E j r 8 W n M Z M w 4 G 5 H z N R c h b q 4 q 9 T m 7 Q w G f V Y 0 N a M 6 q o y N D c 2 i M F T 8 u w U z M Z M j N g M S Z W R 2 P y E E T O T W q M w M z F R F K J Q W z E z 8 e / S M y S l s o b 5 b y O P m R i k a W v H X 4 c x n N O q s 4 F X W k / G l F Q 2 8 W c a O O R f 2 / M i + q u v F 3 6 Y W b w c g p k G + m Z O 0 l X q y B t 1 V m S s W q Q b 2 p G q 6 0 D M G o G 2 m v x 4 S x Z W h x 0 d v P s 9 a n H k W D u e e + 6 F K W Z i G L R G J H V x w U y h b m J K 6 F B u W i J q f 0 R S k 8 K / Y m Z i i F 7 3 R / O f w k 8 O d O d 4 E Q e W u J A n d 8 v t G V h J R b 8 T n N e S M / d Y n b p M u V W v S u 4 c F 5 r M 2 x i b 7 m s c X o N Y / f 9 I n 8 n x t w 3 9 T X o v K h V J C Y y 7 n j u K 5 e + a H q h w W + d u a 9 b o Q r w s t 7 C w N 7 h V / B V I T q K E N 2 W e J d F U Q Z Y 0 E 2 s n J Z r F 1 4 u r d o 2 w k u a d C 0 o b p B W 6 L A + T 4 h q J v A L 9 X O P B K C o Z F S K s t 4 p K s 8 X w 3 5 + L y o d i G s a T Z i S C 8 7 d k + J l Z I 6 V E / 9 H v S U O U a U p R 1 b c a T Y F V K B 3 e g o H G G + W z c w g m h 1 F b X y 5 K A Z w I H G V Z m J n B 0 h k 8 8 9 Q L a F 6 4 E H t 2 b 8 Y R Y q x S T x n 5 V b k I Y a V N i l 6 y p r I 3 x e A 9 F i M f S 6 I p q 5 6 z c n j X R H Z d y L D u H h j P F u 4 m O B M y S V 4 / k p 8 M + 0 7 A n W W a Z 1 F 6 n f 8 o E U E c K b e 0 0 8 Y U u A D / 8 J t I 1 N 2 A f X 1 6 R C I J / O s l H / 7 + r e l h 2 Y m w F q W 2 u Z / R 0 v 8 w I n U f I V L N f z 5 R U 0 B n x g S Z f X M h l v Y T U U h M w x W M W I O Y d H Y k M m E Y N G a S d j N r N i 6 2 o j C I Y s p p M 0 m E M h M z u O Y k g f U V 1 N r p 2 o i X d 8 d m y J K 3 J 8 l c L d D + / 2 1 w H l y m 0 4 l U 2 9 w C R A E z u 3 N 8 H 1 y a P k z q l i B U I g U v c j s l S s i V P e N x e m e C X Y E 9 G a G + y C 2 c r A o O I u k 5 k / q b 6 1 3 o y M y P 0 J i x Y M i n i U Q o h U Q g A X s N / 1 Y S e u l M A v 8 P Z 5 N J c k q E D f 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 P o l l u t i o n   C a t e g o r y "   G u i d = " 2 9 a c 6 1 1 b - a 9 7 6 - 4 2 6 6 - a d d 3 - f e 7 4 e f 3 1 3 4 9 3 "   R e v = " 1 2 "   R e v G u i d = " 0 c f f 6 5 3 d - 8 0 9 a - 4 6 d d - b d 4 3 - 4 7 c c c 2 3 d f 0 c 9 "   V i s i b l e = " t r u e "   I n s t O n l y = " f a l s e " & g t ; & l t ; G e o V i s   V i s i b l e = " t r u e "   L a y e r C o l o r S e t = " f a l s e "   R e g i o n S h a d i n g M o d e S e t = " f a l s e "   R e g i o n S h a d i n g M o d e = " G l o b a l "   T T T e m p l a t e = " B a s i c "   V i s u a l T y p e = " S t a c k e d C o l u m n C h a r t " 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9 & l t ; / C o l o r I n d e x & g t ; & l t ; C o l o r I n d e x & g t ; 1 0 & l t ; / C o l o r I n d e x & g t ; & l t ; C o l o r I n d e x & g t ; 1 1 & l t ; / C o l o r I n d e x & g t ; & l t ; / C o l o r I n d i c e s & g t ; & l t ; G e o F i e l d W e l l D e f i n i t i o n   T i m e C h u n k = " D a y "   A c c u m u l a t e = " t r u e "   D e c a y = " H o l d T i l l R e p l a c e d " 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C o u n t & l t ; / A g g r e g a t i o n F u n c t i o n & g t ; & l t ; / M e a s u r e A F s & g t ; & l t ; C a t e g o r y   N a m e = " P h o s p h a t e   P o l l u t i o n   C a t e g o r y "   V i s i b l e = " t r u e "   D a t a T y p e = " S t r i n g "   M o d e l Q u e r y N a m e = " ' A l l D a t a M a p ' [ P h o s p h a t e 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P h o s p h a t e   P o l l u t i o n   C a t e g o r y ] C a t V a l S o m e   e v i d e n c e   ( 0 . 0 5 - 0 . 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P h o s p h a t e   P o l l u t i o n   C a t e g o r y ] C a t V a l H i g h 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4 & l t ; / X & g t ; & l t ; Y & g t ; 2 6 4 & l t ; / Y & g t ; & l t ; D i s t a n c e T o N e a r e s t C o r n e r X & g t ; 4 & l t ; / D i s t a n c e T o N e a r e s t C o r n e r X & g t ; & l t ; D i s t a n c e T o N e a r e s t C o r n e r Y & g t ; 2 6 4 & l t ; / D i s t a n c e T o N e a r e s t C o r n e r Y & g t ; & l t ; Z O r d e r & g t ; 0 & l t ; / Z O r d e r & g t ; & l t ; W i d t h & g t ; 5 3 2 & l t ; / W i d t h & g t ; & l t ; H e i g h t & g t ; 8 3 . 2 2 0 0 0 0 0 0 0 0 0 0 0 2 7 & l t ; / H e i g h t & g t ; & l t ; A c t u a l W i d t h & g t ; 5 3 2 & l t ; / A c t u a l W i d t h & g t ; & l t ; A c t u a l H e i g h t & g t ; 8 3 . 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3 4 & l t ; / W i d t h & g t ; & l t ; H e i g h t & g t ; 2 6 1 & l t ; / H e i g h t & g t ; & l t ; A c t u a l W i d t h & g t ; 5 3 4 & l t ; / A c t u a l W i d t h & g t ; & l t ; A c t u a l H e i g h t & g t ; 2 6 1 & 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1 & l t ; / M i n i m u m & g t ; & l t ; M a x i m u m & g t ; 5 5 & l t ; / M a x i m u m & g t ; & l t ; / L e g e n d & g t ; & l t ; D o c k & g t ; T o p L e f t & l t ; / D o c k & g t ; & l t ; / D e c o r a t o r & g t ; & l t ; D e c o r a t o r & g t ; & l t ; X & g t ; 1 0 8 7 & l t ; / X & g t ; & l t ; Y & g t ; 1 7 . 5 & l t ; / Y & g t ; & l t ; D i s t a n c e T o N e a r e s t C o r n e r X & g t ; 1 7 & l t ; / D i s t a n c e T o N e a r e s t C o r n e r X & g t ; & l t ; D i s t a n c e T o N e a r e s t C o r n e r Y & g t ; 1 7 . 5 & l t ; / D i s t a n c e T o N e a r e s t C o r n e r Y & g t ; & l t ; Z O r d e r & g t ; 2 & l t ; / Z O r d e r & g t ; & l t ; W i d t h & g t ; 2 0 8 & l t ; / W i d t h & g t ; & l t ; H e i g h t & g t ; 1 1 3 & l t ; / H e i g h t & g t ; & l t ; A c t u a l W i d t h & g t ; 2 0 8 & l t ; / A c t u a l W i d t h & g t ; & l t ; A c t u a l H e i g h t & g t ; 1 1 3 & 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P h o s p h a t e s "   C u s t o m M a p G u i d = " 0 0 0 0 0 0 0 0 - 0 0 0 0 - 0 0 0 0 - 0 0 0 0 - 0 0 0 0 0 0 0 0 0 0 0 0 "   C u s t o m M a p I d = " 0 0 0 0 0 0 0 0 - 0 0 0 0 - 0 0 0 0 - 0 0 0 0 - 0 0 0 0 0 0 0 0 0 0 0 0 "   S c e n e I d = " 8 6 0 1 9 5 e a - e a d a - 4 1 d 8 - b d d 1 - 7 3 c 1 2 f c 2 9 2 0 2 " > < T r a n s i t i o n > M o v e T o < / T r a n s i t i o n > < E f f e c t > D o l l y < / E f f e c t > < T h e m e > B i n g R o a d < / T h e m e > < T h e m e W i t h L a b e l > t r u e < / T h e m e W i t h L a b e l > < F l a t M o d e E n a b l e d > f a l s e < / F l a t M o d e E n a b l e d > < D u r a t i o n > 2 0 0 0 0 0 0 0 0 < / D u r a t i o n > < T r a n s i t i o n D u r a t i o n > 3 0 0 0 0 0 0 0 < / T r a n s i t i o n D u r a t i o n > < S p e e d > 0 . 5 < / S p e e d > < F r a m e > < C a m e r a > < L a t i t u d e > 5 2 . 1 0 8 7 1 6 0 8 8 8 4 1 3 6 2 < / L a t i t u d e > < L o n g i t u d e > - 1 . 9 0 9 7 4 2 1 0 4 8 6 8 4 0 2 2 < / L o n g i t u d e > < R o t a t i o n > 0 < / R o t a t i o n > < P i v o t A n g l e > - 0 . 5 9 6 5 4 5 3 3 7 7 7 3 7 1 3 7 7 < / P i v o t A n g l e > < D i s t a n c e > 0 . 0 0 9 0 0 7 1 9 9 2 5 4 7 4 0 9 9 2 6 < / D i s t a n c e > < / C a m e r a > < I m a g e > i V B O R w 0 K G g o A A A A N S U h E U g A A A N Q A A A B 1 C A Y A A A A 2 n s 9 T A A A A A X N S R 0 I A r s 4 c 6 Q A A A A R n Q U 1 B A A C x j w v 8 Y Q U A A A A J c E h Z c w A A A m I A A A J i A W y J d J c A A K J 4 S U R B V H h e t b 0 F g B z H l T 7 + D f M s M 4 p l k C U z y R Q 7 s W M 7 z H A X p r v k k s t d 7 p d c 6 H J h z i V x 4 p A D t i 9 o Z i b Z l i y w w G K t l h m H e e b / v e r u n Z 7 Z 2 d X K l / 9 n j 3 a m Z 7 q 7 u u p x v X p l O T 6 2 r Q C i r f Z 0 2 G x O Q D 5 Z 1 C E d F r 7 U Q V g t V u T z B f 7 l M T k s 0 L 7 S / h L Z P G C 3 a u 8 1 a D + Q f / O F N G w W 3 k M / K p + t / C y n 5 / j e D P l d v p D h 7 / Q L q / s 7 5 m 9 r o P i t o I B c F r D a j f u x L f k 4 r + 2 G j Y 0 q g I 0 D G 8 f j B f m y Y I H F V o C F z y O / V 9 f I J Z C z 2 n l / u 3 w i y u / I 6 + Z 4 1 F b 8 J p 1 J I h m b R S I 9 i q M P 2 1 B 3 x R T v m U J n 4 H w U C n l Y M l N I x K q Q S + e R 5 m N 6 g l a k x r 2 w d U Y R c G S Q g R 3 O f A L p b A D h X h v b H U O 8 0 Y 6 u G t 7 I H u A 1 c m w j b 0 j M H M i j 9 l Q r Z q P H E M l Z 0 F m 1 S h 2 3 8 N 5 D 2 W H U O r r h c d T C k g t j 5 m g 1 q l d F 2 W 9 Z x H J J h L M T a L W 6 k H e v Y Z u G s e e J K O r X 1 M L e F E X L + E P I r f y Y u l Y 2 O Q W 7 u 0 G 9 j 6 U t 8 D m l d 4 A M m + P M T 6 D g a F S f C 4 U C x o 4 f R 0 t 3 A / s i j 4 K t i v 2 X h C U f 0 X / D v u V z F Q p Z f s 9 f s E 9 y P C d v d S J 0 y I H 6 d R x 7 u 5 1 t 7 0 f B 3 s q h c c D T / y s k u j 4 E S z a E s f 0 W p F Y M o N v l R 9 7 R T L r K I j w 7 i T l b A x r 8 V r g j Q / C E 7 s R w 6 j 9 R W J l H h u c v C d I C r F 7 9 w + I Y n M 2 j o 8 Z E x B z w m W Q c t d 4 A Y q N W 2 B r m 4 O K 4 y D O 5 2 K d B R x D Z R B q J 2 T j m G c q d 7 0 B t b Q 0 y m S w c D q 1 h d j 5 s M p k k o 1 l 5 j A S e z y O X y 6 m / 8 h t 5 L 3 C 5 d E Y k 5 g l T J 9 6 s o j 5 2 r P q s Q R h D m M W A w W T l T K V B m i 1 / S P Q F E j q f U + 5 v I X M L I 6 R J o U 6 n k + 3 O s E 1 2 p F M p H i c z 8 K Q C 7 y 2 / k / d y F a v V g i z b L O d 4 v V 7 9 O h b 1 f E b 7 k Y u x Q T 7 9 g w H 5 U t p v s J A m W M g r Z F S 2 Q R g q z v O I X X f 0 4 q w 3 r M B o b C / 8 t m b k h 9 r g b u m B y 9 P E 0 1 z q N 5 b M N I m v m p 9 t i t k K 9 l o O 1 A Q i J D 5 n T Q z J 1 G q 0 + U M o O H m O C Z l 4 F l a n j e 1 l u 3 O z b B b b 4 K j j N 1 Y M R l 9 E k 2 c t x i I O M h k F T 2 a E 3 9 U j N R t G Z M K H + h U z y L D f O Y r I 8 7 r 7 7 p 3 A + s s 9 8 F Y F E Y m H 4 f f W w j b 6 M N L 1 l 2 I 2 6 U K N N 4 8 t W 7 b i 8 s s 3 I 5 v N k t n Z f / k R 2 J 0 t 5 L g Q i a O K t 2 c H p K Y w N 2 p D z Q p p h w 4 y F T m J z S L x U h i I 9 O m L P M f + s q L B 2 4 2 A x c 3 j S c S n M 4 j O k n G 7 p l G T i W M y N 4 K c 0 4 9 2 7 2 k a I 9 o C m D y Q w 4 r g T w C H D X P e N y P h Z H 9 a x 2 G 3 B U l D W U w f J s O 3 O D F a X Y + p P O k o n y G 5 p Z D n u W Z Y c m Q m m 0 d Y X D 9 S B L t R D W 3 5 N + r 5 e F R o R A k M + V c X 2 A a 8 b M O p 1 l k K G x v c D v 7 C Y K j W 2 t P Y S I 2 w D V h z K T a C D y + 3 o u Q W O Z 4 l U R S l 9 0 L I x a w k y o J N J I E 0 g w 3 h T c 0 Q h h J t I Z L 3 5 O D k u b w q H 1 A Y K E + G y W Z z Z B R q H 9 U r b C 7 f O 5 w O M k 1 G M b w c 9 7 g 9 J H x K f j K Q M J O c K 8 J C X k p 4 y L m q w 5 e S X n q v m y B H C t k C U o k E I n O z C A 8 m 4 a q x 4 P j e f m x 8 5 Q a E j 9 t Q v S a H 8 e g I U i Q y q 2 1 O 9 Y W c 1 + k 5 n U R Z Z N z x v S F 4 1 s 0 h m V 2 J R p / e L 9 k w f x P U 3 h P Z V B Z j f W M I d G V Q R U a y 5 F N k m g Z M x k a R y s b R 4 a W G o B S O W r p 0 r S I E o U n a 2 U E y 1 J w T D a f 7 8 O L d f T j r d S v Y H h t 6 e n p V 3 7 S 2 t O I P N 9 + M f D K M w d E 5 O F w O 9 q U N V 1 x x B c 4 9 / 3 x E o g d R 7 V + j r l U E 2 8 k 2 Z C M z F C o 1 8 A V n K R x E c O i a I k 8 B q Q Q a 6 U X G m o R u U R o s h L y r m z / Q + r N / p g + N E 8 e Q K F y B 2 l M o Z F K 9 y D r a e X 8 H x v c k 0 b S B 1 2 N b I s l + B N w d v A 7 p k N o + 2 u + G p y U B V 8 C J Y 3 k / J v O a w B J Y h O a E s d n b B b t f j i h q F D q W 2 x a U p i o d z 0 o Q G i 3 Q E i D J K Q F q d Q i t 5 S j 8 b a T F H K q t e Z x m 4 z j p s I z 1 3 F m I + 1 r Q V n M K / v m 7 f 8 K D 0 5 Q 0 c j b x j 6 t S + N p H 3 4 p j P c d Q X V U N f y A A t 8 v F D i H D W K T x 8 j u a W a k o b 5 C n p q I 5 Y f U h H o / D R w 1 A a l P S 4 t D B Q w j U N J K L N e 0 n S k u u Z + O A b n t h K 8 4 7 7 z w l 6 Q 8 f O Y L V q 1 Y p g v f 7 p R M 0 J G J p / T P Z k G a a l R q P v C G f 1 H h R C a v v p D 1 Z S r p I a A 6 B q i a l k Q p W d i j v 9 9 j j j + L q V 1 0 t l y s D L 0 S p Z m i P l 4 N 0 J k U N F V U E F I 9 m E e 2 z o v E M N 5 k j D D c Z Y j p 5 H E 5 K 5 d n 0 I J p c m z C V 8 K C t S o g d e P S I C 6 9 Y k 0 L 4 m B X e l R Q Z 1 D 5 m W N I j b J u X R F H N g Z S 2 J j G x J 4 2 m s 6 j h + M y W z A y J l N q M E j v H e 9 k y k x h K t K P D M 8 D f c / B d r U q S H 5 9 5 E T 6 P B 5 O P 1 e O M 6 2 o w k 0 q g 1 k 0 G l A 4 U U F O C G s 2 S m o M 1 O 4 f D 8 d V Y 3 a A J w n J R Y u E 9 h J H L M b Y n j O a N R Q G g o f x s H X y O P P s k S 0 F W f e R 7 i J / 6 J X V Y T N W R / Q k K 7 Q B p x U d S t C J O h p X r e A K 1 y J D h P Y F 6 B F Y m s X / M i d O a 0 w i l + j F s 6 c S M h T R F 5 h X 5 q J M w D u 3 c i p n R E V x 0 / R v 4 q U I 7 C A s V g I U 0 p d w A U S D U q H R s t G v w k G g l i 5 1 M T I H 2 0 B 9 / j e v e + 1 E 5 S 5 3 r p a W w 0 V U c M 6 W h 5 K s W a q g P / + A u / G G s T f u G + I 8 1 U / j W R 9 + A r / z 3 f 2 N 8 f B w e D s j 1 1 1 + H R x 9 9 D K e d d h q a m h p x 8 O B B J B J J j I 2 N 4 f 3 v f x / u u + 9 + h C M h R b x b t 2 7 D v 3 3 6 k 7 j h 5 z 9 H k r + R r s 2 k s 7 Q / L d j 6 w g 5 4 v D 5 8 6 U t f w L P P P a t M s E D A j 9 t v v x M b N p y u T M 1 z z j 4 P Z 2 7 a h E 9 / + t P 4 6 M c + i r v u u h v d 3 V 2 8 h m i n A l p a m 9 H b 2 6 d M v v r 6 e r j d b v Q e O 4 j Z u T l c f P E r s H f f X j Q 1 N y q N F Y 8 l 8 L 7 3 v p d S T 6 Q l a V T U N g c V V t H A / x c U y F B p x E I h 9 O 0 6 j P B 0 H u 3 d n W g 4 N a g E j z I h i R Q H a C x J 0 4 / a u c l / l j o m G I 9 Q i 3 k K 2 H M 0 i 0 2 d O T h 9 C / 2 A a P w Y Z j I W t A U 6 Y M 9 O Y f p Y C / 0 o C w Z C P f x W / C h y o t x H n o U a Q 4 h y k E z V 6 e 6 h e d e O Y T E / 6 d O E j u T h b X C h 0 R t B P r h K + V 0 F M e F E m u t W h y V T 9 J E 8 x 3 + K x M q P q / c L w P u U C 6 H p n g i a c S s y q 4 T g i r B k x n n N U v P V g I V C J z W 7 B 4 l g J 6 p c X d p B C o 6 p w 2 O w U I D X N 5 O w s 5 M U e z T r a U I L n I g g G n E j P 1 e N F E 3 O + v U + 7 E 9 5 M E f f L E 9 u u u V b X 8 E l r 3 k T d j / z O C + V p 0 C O w u V 2 I R q O K I H u r 6 6 l w q M f S 8 s i E Y 3 S j H X Q J P f i y j e 9 E 8 / c 8 z f + L s z j I X g D N Y i R l t / / h a / j g Z t / T b p L o v / w I W y 6 5 A p s 5 v V z O b p A o S m c W 5 u E j 9 a O l a 6 C E k 9 C 6 B o q c 7 D g Q x / 6 I F a s W I G n n 3 6 G D E T z j z / 9 0 5 / + j L 6 + f h w + f F h 9 d / P N t + D o 0 a P w + w J 4 4 Y X t 2 L l z J 2 8 q V x V u t + E j H / 6 w 0 m I f / u g / Y 8 3 a d Z S Y 1 F Z i N p h w x o Y z M N A 3 j H A o i t 2 7 d + P 3 f / g D p m d m 8 L e / 3 Y Y w H 3 R 8 f A L D I y O K i E d H x 7 B 9 + 3 b E q B 2 O 0 z l + 5 q n H 0 D 8 0 j l A k i Z 7 e H k Q i U c z w 3 L l Z 2 v w 6 r D a 2 h l p A p E 4 B L t O z n w j y y 1 L t o X 2 2 Y K J 3 E l M j 0 1 h 9 V h 1 O u 7 Q b N Z 1 p S v p B f k X T l s Q p z r q T 0 t 9 D v 6 n R t 5 G E P K 7 O H p o j k 4 U t 9 L e 2 Y t O a O U Q H 7 P Q 5 S a h l 8 D s b 0 e G r h Z 2 M I o S Z 1 3 / T R S e 5 y 0 / i J x G F S X T R z B g m E n 4 c D w f p h 4 z R r O p C M s M e z p y J Y w 9 O w V c b Q E O 9 C 7 6 Z W 0 n k 9 N 2 E m Q i R x h P x A 9 p 7 n Z k E W x y f h r / 3 G 5 S C x f 6 b h 8 F M O W p m Y q 4 / A l 8 9 i V 5 n J v v s X v j 6 v 8 d + o B k o z C T C y 4 Q o r y l + m W / 4 F 3 A 2 X I I q a l g D U 4 e j Y u H B 3 + S g 7 z W u z M O s r U Z 9 5 8 i N 0 T o i 3 X g 9 C K y g n 2 V J Y W 5 o D o h x L O j H 2 G D H O Z d f h d 9 / 4 4 t o X b E K E 0 M D i l k 6 1 5 2 G d J J a u b l N + b v e A L W z X I / C u L q + C U 6 X G 8 c P 7 l X H b K T V p g 4 K K W q t L O m s d / 8 e z E 6 O Y Y D M l M t S m J M U x L o S 5 g x R k P r o 9 w k z C Z S G E q 5 q r z s L 7 / 7 a 7 / C n w a I z 9 6 8 b c v j + v 7 x d v a d C 1 N l N C E s 3 E 4 g H H 3 o I V 1 + t m V K L s e M h N m Q d G U h 8 H w P 5 H K 9 I Q j h y / B D W r F y r j v X 2 9 W L 1 6 t W 8 z s I r j Y 6 O K u Y 6 7 7 x z F d N + 5 M M f U W a m q O q H H 3 o E c z P j e M v b 3 6 M Y X W s d D U L e w 0 J J J F f b f 2 A / T j t F u 4 8 Q u s Y M E v n j L / U A g 1 x L J N f J Y v j g O F y N C T x 7 w I c H t 0 a U y S H 9 5 X F Z 8 Z V 3 i Y k q E T A x W X P K 2 Z Y I V o H m T o G M c n R H P 6 0 t K x L U P P V t j Z S W V o R m h p A L t + O U V z X A 7 t D 9 V d q t l u w 0 / x Y w f t i P x g 0 0 h 1 R A I 4 h I e g x e R 4 v y O Q Q H x x 0 4 p Y l M R 6 K 1 5 M P o O 2 Q B 3 Q C s 2 N C h x s C S 1 S J v c A Q U 4 x d c 9 E s U p D c I p b k 9 Z G 4 L 7 D S Z f c e + j t j q z 2 v f m S G d x l c 8 x N + T m L 3 1 H v 2 L U t h i A / C M 3 o L o 6 v 9 U n 1 N 8 f h f b 7 e n 7 J S J t H + I z W j E e 3 4 t m R y s m D v t Q d w r 9 9 P w s k p Z 6 / k 5 v k w S s F K U S N A N T v N / 8 d 9 R C L 0 3 a E J a g W t 5 K s 1 k G g C M g D 8 3 2 W 8 T x X g b Y S + w B + t r 0 i 2 3 2 P H Y 8 / h A O 7 n w B / / C Z L / G 4 T l V F Z a 7 g R R Q b 7 W T q v j h i C Z r f c z M T q l V + q j d x 7 g V y Y K k m a K S o o d J v N e Z b / A q 5 b J 4 N X k i 4 e d B h F 2 r U r y 6 S w g w J u d r m m V K i L s I Q O V h z a W Q t H h J U h b a I E 0 y 7 W O z k Q k n 0 r t h y 0 Z I W v S O l 3 U Y o f T m Q o E i a 5 u l I z y C + c p c d 9 T U 0 L x M 5 N N c 5 c G Q g i R s / V Y M D T x 6 i V q p n / / J 5 C h l E U x N Y c U 4 7 g n V + x H I O 1 N g n M J e v R b o 3 h v p 1 N B V 1 A k j F U z i + f Z A E S 0 e a 8 P i E M Z 1 w 2 Q J I 5 y L I h H 1 k y j m 0 n 8 J r 2 7 3 w 1 / n g d J O p J I I q Q k P M Q D 7 z S / d N 4 P R r 6 9 i G M c w h A 0 f B g 8 b o H x G t / 5 S 6 7 j y U L 1 k 0 O W n R q D 4 V W B M j s I c O I N 1 8 l X Z A + k 9 1 I d t K d T + 6 J 4 S W M 0 2 R v k q g j + k + e A N s T v q a b e 9 C z G 4 D n w C R g h O z 9 I 1 8 s V o 4 a L Y F G n l T m q 9 J N k c e R y D m c 1 5 + z d t F U 1 Y E 3 U K F P J 6 l u T X + E 2 y v / 1 f M F B p L I n B F a G 1 V A W c Z c w p O C y 2 V U p j o Q R h K f F k y r h w t f i d R P l K d 6 R 5 V h T D a C w M U P C 5 4 7 b V k q O l R u f p J M Z R g O b 8 p Q m P B H B s j k A D E Q m j f y V W X Y s i F 8 1 w C g 7 m y / N c k P g j p R K s 1 w w F J q d 9 o k b x i 6 7 W W m a E d E c Z W G o 4 E I + + F b g x t Z 0 D Z 0 G Q o G v N I R c W E a s T E n i Q a N 9 K X y U b Y 0 I D + S y C S C s N F L e T 0 0 Z R Q E S + K O j J F I R P m A D l V V G p u e D 0 m f B m s b u J 3 Z c 8 v z F B w a j 6 E Y G J P l P c p B m 7 E n x J f K k P H e e 9 D u y i 9 W 9 W c n N M Z I H E 4 M B f q Q 8 N K H 7 V U N T V T N Z x 9 f 0 O o 8 S r 6 x T S 1 F O H k M R N 9 E d X e M 8 l E F l x y 4 x E 8 8 x F t j k t B F 8 u B / m 8 g 0 q V p G j N G d 8 6 h d S P H g U R l o z + R p 6 0 v f 7 O Z 4 v R I K p 1 G J D m M r s k / I N 7 9 b + y 3 N M 3 B W v U X Z K R o v w O O l g H E s 6 0 I u A s c y Q x S 1 D j D k Q F 0 0 T 1 w W C h w q T k L 9 j p 4 D n x P B W o O t 5 y N a l c T a M Q h Y 3 H x N w H E B r O o X l E U n u K n i S a v h N n e C P 0 r 9 k c V f b m Y B Z l Y A d X d p d M m l u w s 2 + f l v V 2 I j V r g r 5 / U + o z P K t M Q V Z Y M + s L P I u D o h O X Y 8 J Z C v W d t C U M t B b E f F X H p n 8 1 Q L M F / h C E U 5 L 3 Q J 9 / Y 1 H g s f n 3 p b P G v o n Q S x T 5 1 0 l G 0 8 S Q J f c t L 5 k I k 6 C D + m 7 R T P k v k T x g l k R K N Z 1 c h c b / f p 4 I k E k C J x W I q N C 6 h 9 D Q H V s 5 P p Z J i D c B L G 1 z + l j 6 H t L v S k x U h 2 l W g m J 4 / l b Z m U i E k R J z m 4 p j p s a B m j Q e p T B x u J 8 2 y 7 J w a + M H w c X Q E y U z z 0 D o n n 7 c p f 0 H u P L M / g 7 r T i h r C Q C W n X j E A 3 Z 6 6 U 9 m n Z M Z 8 J o K J V A T N P v p A l O 7 W V C 9 9 j x X 6 r z W E U s M 4 f P 8 I N U A 1 T r l 4 D d y D f 0 S y 4 x 1 K S E k I W N g q n a f f R 4 1 z 5 Q + f x z O f 2 a y e s R z O w T v Y K P 6 2 7 Q 3 8 a 8 E s T c q a 9 e y P 9 A i Z v p U m n A O f / 8 J / 4 a v / / S X s 2 3 e Q 4 5 L C m j V r s X X b N j z 7 3 D N o o R 8 z N z u N 1 7 / h j V i 9 a i U G B o Y Q D F R j 2 / b n s X f P H o T C E X z j v 7 9 A Z p x F v N C A o C N G k 3 i a J r S Y p v S 7 j n 8 T s Z W f V e M X T g + o Y + K n B 1 0 S U N M a P H 0 s j J o V 4 t t I / / A B y Q C L Q c z e n K 2 N 9 8 v R 5 I z R t 6 + G x R d C s D W g 8 4 S M V Q 7 B 0 e 9 h q u n j N C m L g k y Q E d N Y t B 5 v P W / y q Q 9 L 3 N S A 2 Q w Q i B Q P 9 V I i r H Q s 1 e Y T o q e n D 6 v X r E I s H M P E 9 C R W d T d h a i 6 l m O n R R x 7 F R Z s 3 q Z B o Y 2 M 7 O 9 K C y b 4 X E f K v x o p a K 6 K j B 2 G r W k / m c X B g v B g c G k N n V x u O H D w O d 3 0 n O u v t O H D g I N r a 2 9 W c V C I d R t P U 7 U h 0 v K f Y 0 e X G 8 Q l w 9 M k w a l v t H D 4 6 w o E 4 4 q N 2 / O S 2 7 6 u I o s x 3 X X v t q 5 E k 8 5 9 5 1 l l 4 6 q k n 4 S P z j 4 + N 4 + K L L 6 Q P 2 I P q 6 h o c O X w E 2 V y G 7 R 3 E a 6 9 / L f q O 9 i J Y X 4 2 L L r i A z 6 L f i D C H q R P 0 m z y O e r 4 r I D m X R G y c T L i a f V + g B i b j x t J W + O y S E U A f T c 5 V Z 5 V C N O 7 e B 4 5 R A 1 T B F o x g 1 d m d c F A D G P j i n 7 f i 4 Z 4 M / v D B i 7 G u Q R G G / k 0 Z a E 7 b Y o M Y 7 m 1 A 8 0 Y S o d 5 O C d P b q X X z F C o y v W J o L C F O R W y 8 v 7 T B 1 / 9 j x L o + i f A A p X w X x 4 H 3 E b N Y h K W F T G C h R i 8 P z / s H v o d o J 7 W b P J k + w Z y h X x r P T M A / 7 0 d q 7 U 3 H M 0 h M x n j t K u V v y v g W 7 F p w Q 7 S W T C 6 b g z C C O A X T Z H w C r f 4 m M o k P A y 8 N I T w k 3 l U M a 9 s O w b P + M l i c 1 P K 8 R Y Z C 9 O C 2 H v Z B H R X C H P x N t G D m p s f 4 j B Y V C X G 6 F p / Y r D Q 4 5 f b k U t B m m h f n O M m c k A n f x c E W c K A s Y i 7 R P D C u J e 1 S w 5 S T m f X S 9 u c z e T U R t x i s N L m 0 G X X R O o v / b g F I D J l 0 j v 0 l 5 q k N 8 W i I m i u D 3 d u P o G t t K z U k B 9 H m w e H e E T T U N K O p 2 0 / p a s f h / k m 0 N N Z j 1 8 5 t O P P M s z h E h z E 7 B K x a u R 5 z c x F U B 2 u w Y 9 t L u P j y M x U B n h A k u u m D B W q p U l 9 T g c 8 G S l L F Y H r q U C V 4 + m 5 E v O s j 6 D 8 w i r n j W b i C W X z k 0 V 3 I + x r w 4 L 9 e r s 6 1 Z s c 5 g F p U T 5 j W j M l 9 S W p V F 3 t P T D v S g v h v 5 n F Q J g r v b / K H 5 w U E v 5 t 4 K Q L J H 2 j Z R C v C E q Q P x e 8 p 7 c O p A v t w D n n e T / S P e + B m 5 J x N y D S / S r + K B p k i k D k 4 8 S m d M p Y 6 k x n I J 2 Y Q m X K i q q N U q x g w p 3 U Z e L Y 3 T 8 H l g Y O + d C Z n U S l g Z 4 R / j M S q f 5 K h x + x g C O G x K O r W V u O 5 F 7 b h u u u u U Q L i 1 v / 9 U 1 F D u S i 5 l 2 Q o F Z W T h 5 W + W R 4 T V U I l x h L z R b v i Q q I 2 f m / N R U n 8 N P G W Y E y Z h S / Y t A l n U T h W F Q V S j 0 c I 8 c t L 3 m k Q h p J A x W L X q 4 Q 8 f a Y c + 8 J B B j H a k g i P Y W x f A f W n 8 j n y c c R 4 c 6 9 J 8 o W H o 8 i G v a g 9 Z e F 9 h u I v K G H S 4 b u Q 1 7 M i F k r R R 0 z Q b A p T s g f Y P k p X + o Y q d a Z A o W G l L 6 B n o Q g m D 4 T Q c G o V o j S 3 X D Y 6 9 S q z x Y Q T m D v + g 5 9 H 9 J S v 6 5 / E R 7 X g 8 m 8 8 i G S y g J + f 0 4 5 T X 9 U C n 7 e O T D B D J q C / U 4 b E 9 D S c 1 T K h S k a i V h R / Q w j c z E A K I g y z 9 D 3 k r U N 8 Q W k / r Z t j J P a V E Y z u S 8 D b n E B V Y y M i 2 Q n V J 1 V O b V 7 K d + T r i K 3 5 3 P x z p P N R O K 1 F B r G m B 5 F 3 t t H k n J j 3 M 2 c T V t R 4 8 g g n a S L a c o i O x 1 H V X p m p y i G T 7 Q Z O o T / b V p V D Y O h b i L R / V j + q I U e B f e 8 D D 6 K v b w A r V n S i p q a W N C U Z j 4 T F 8 J / I N c J t N / 7 8 R p o t 1 + L n P / k B O y I C a 4 G + D f j i X y F u K x 9 K D b I i 0 c W w 8 L t y 4 v 3 C F 7 6 g C K k S M w l y d N q s h Z h i J o F x / l / / + l e 8 + U 1 v w q 5 d u + c / X / v a N + L R B + 9 R m m n n 7 u 2 4 9 r r r 8 D D N x S w d W 2 G m + + + / H 3 / 5 8 5 / V 7 w W i X U 6 K m W j v S o h d m E n O V u e y r 6 K j Q d S f T q 1 p c W K O T C r M N B Y / q M 4 5 N k 7 b v s 2 v m C n U o 6 V 2 J f S U x a n k Y W U e t X n O 0 f s A i A 0 l k X d 7 M R H 3 0 9 G V 8 H A c k 4 m X l G Y o 0 K Q Z S R 2 S W 8 9 D h Y Y J P 3 2 X B c w k E C K U / D b 6 C X m a l 3 r A c B 7 x v B u D s e f 0 T 4 Q w o M 2 J s 9 c 0 o O 0 V G 9 H z W F o 9 d y R f h 7 0 j t C D E Q j D B 6 g k q S 0 W i q A o 0 P R c w k 0 D M L b a / P x 7 H U K h f y 9 v M J 5 F N J 3 l u F C 0 b a 1 D V 1 I q J / T m a W h 5 U F x y w J n t Q i I 8 g 0 f y 2 e W Y S 2 G U S 0 d Q J e W c H Y h Q A G X s z I i m t P 4 S Z L L k 5 B N 0 c Z a q 9 6 H g K c T G R q b E F o n l m 4 7 o J u g g u 7 q a G t G 5 D Y P j b C 5 g p k r K q 6 7 7 h m g 3 4 5 L 9 8 F B e v v x Q X n X c u r H f e e z / G J + b o G A 4 r J z 7 K 1 6 2 3 3 o p 7 7 r 0 H P / r R D 5 H M W i g R X B x Q S k u + 8 v I i c e c p I X J W L w m C C j m f w v b n n 8 I r r 7 q i 2 L E K h i 4 o h U h 2 A 9 u 3 v 6 C / K w f J l c Q p d n e e t q w B O b f 3 + H F 8 / / v f x 2 f + 3 + f w j n e 8 D d N T U 4 o x f 8 B j H / r Y J 3 l O D u 9 + 1 7 v x g x / 8 A O 9 / / w f m f b 7 P f / 7 z u O L y y 9 V 7 i 0 S Y l s z d K w M Z R y S S z a G F 1 0 V j K 1 B l + 9 p l g O U t m Y d S d S Q s S b o b M B m 1 Y H V T 8 V m r V q V p j 8 c Q O U j f g z 5 G g / c U d L l P h z 0 3 C 2 v i K D V f F o 2 n + p E Z d 6 G 5 t g 4 t g S A 8 J M Q m 3 9 m a c 5 x L o y P j h X f g F 3 C M P 4 k U t Y Z k 6 x s Q q S 7 R Q M 3 M M o F + h c w 1 W W 0 O V H k k g 3 y U v 8 n B M X I 3 8 q f + J 7 y 2 Y r j b L t Y H z / / W W 8 7 A W M i K j V c D u + 7 s Q T 4 1 j u q q J 3 F g c o L a S p u Y F r / E 5 b V j 9 k i M t K G Z W a J 9 r O r 7 x U l V p i m G w 4 M U G p N w e v w 8 p 3 j / x t N d S P b w s 5 V + l 7 U R 7 u m n k A + u 5 n N J m 0 U S k S 6 U 2 V l K W z 6 3 D f Z C G A E X h Z 6 Y U u w L l Y 7 F r g h R W z V s r I P d a U O i L 0 Q F M Q N n Y R q 1 z m n l q 6 V I 4 3 K K Q H 5 / Q V e G r y Q 8 T g / a A + e o d L p Z + s M Z C i T 5 X i D 3 E R g C u W q V g 3 L I B u s F 5 5 2 F 1 p Z 6 l V o k U T N 5 S S R N o m Q B f w D / + q / / q m a T R b q 3 t L S g u 7 s b Q 4 O D + O U v f 4 m z z z o T L c 1 N + P y X v o q / 3 H E f n n v + B W x / 8 Q C + / 9 1 v 8 L f N 9 B M 2 0 d d I 4 x O f + A T O P f d c 1 N X V 4 Z 3 v f C e a W 9 r w l j e / W T U k E o l g / f r 1 6 O j o Q C q V w H e / 9 2 3 9 3 D M R z 9 l 4 7 r + o c 2 X C V y A P s G L l S m z d u l U F I H w + n 8 o 1 b G 9 v x 7 r 1 p 2 D N m j U 0 i + w 4 s P 8 Q f Z N V J H L p r A L + 8 p e / Y M O G D S q l S b u Q x g T L R S Y l Y W D R a P T L 6 D d q Z u 9 C o h G T u J V + S G d N F g 3 + h d 8 H 2 3 1 o P t O H 9 q + 8 g M / d e B d + c 8 t d u P 3 + 7 b j n y e P 4 8 1 / v x J / 4 u v F P P 8 A 9 d 9 + L 3 / / + d / j e / / w S Q y P D e O y J J z E x H U W u 6 h T M N r 0 S 6 c Z L E D 7 k p f 9 S Z C i V d C w m D x l b W Q / i T 1 S A T z I k q E X c a W p 3 / q 1 z r 9 O / A a I S r e R z 1 X g d O L O D R M n f n v O m N U h O A 6 + / o R p f e D i O O D y 6 H 1 S v z K y m d X F M 7 J P z N O w 9 P I O e Y / 3 q f f l 8 X l u g G 8 n J A l w 0 D 1 u q V y I V m c X g 3 C x C 6 S E K B P 6 A 7 a 5 Z l 0 f / w Q R u v / O v S H W 8 Q w k J l d V B 4 S F p R I L 5 6 / K v R N m S y R y 2 7 z o q B / g f L y R z a q Q V E a Z + a i k n j Q o n n 4 k 3 I P P X 6 q 8 a / t y q J o j V 5 a g x b b S G / G Q W P / 1 j g f w b a / k 4 2 s d + S g t A E o b V Y Y U s t Z x E N Q U y D y W w t r W 1 U f r M 4 p y z N 2 m c z c Z 8 6 E M f w k U X X Y R 3 v f v d i t C F g X 7 2 s x t I l H 9 W U v 7 b 3 / m O + u 2 7 + f 3 w 0 B C 2 b d t K 8 + u N u P D C C 3 D W 2 e f i t j v u x Z N P P o k r r 7 w S N 9 3 0 a z Y 0 j e 9 + 8 y u 4 9 Q + / 4 u V z G B s d w c y M 2 N P s W J c L B w + 9 R P P s 1 d i x Y w f u u O 1 2 / d y r 8 P v f 3 q z u 8 5 3 v f B v H j h 1 T D T a Q T G f x l r e 8 l Z r q e + q z M W z S M c Z z X P + a 6 / G Z z 3 x G d f 6 N N 9 7 I 9 / + O q 1 7 5 S u 3 7 s j y 0 R c H f Z h J a d j o t R 1 7 L M G e E U c W H O n l M R l N I z Y 5 j Y j a O 0 1 d t w J W b X y n c g P M v 2 I T 6 2 i D e / v a 3 4 r T V Z 6 K 7 q 5 0 O 7 3 U I R R K 4 b H U I r s R B m m 7 T c D k 7 a Q a n 2 R b 6 c S Z T y I B t d h c 1 2 F P K O Z f c P D P E h B w O a 8 Q u q V f l u P H B 3 T g 2 p Q k d 6 d O + G S 3 c 2 L i i E V 7 M Y v h Q L 0 b 3 D u N o S H I A K a W t Z G g y R 9 O p K U Q m x z C 5 n z 4 g T c / f 3 3 I L 9 h 8 4 Q m H s w b 5 9 h 9 A / M I K h 4 X F 8 9 r N f p N l 9 G 3 y p W t x 1 9 / 0 I d g z g 6 O 7 9 C E 9 Y 8 P 0 f / A + + + 6 N f 4 c G H H 0 f N y m Z 0 r N x E W v s B d h + a o T X y e R w + 0 o P B k S l M z 7 A v a B Y / + 9 w L c D g 8 G B k e h J f M 0 t c / h M e f e I Z W h I f P 6 c D P b v w 1 z X A y l a U 4 S r W r g o h N l 9 m 9 B v g c M h G e z Y W V M J L l P / a Z b f D 3 f w v x 5 n / U f 1 S E X Y I W m T n 9 k w Y 1 G m L K F W F B I h 5 T S a 1 P P P 6 o 0 i h 3 3 n W X C m U + / P A j S q O 8 5 S 2 a d j G g E b A G 0 o X K o b v 3 3 v u o a V q x + Z J L + V A O O G h r 1 9 S 3 I l h V w 4 G 0 K J P H o m x h T Y O I 6 q U t R Z M z o Z / b g s 2 b L 1 b X l O R X g Z g 0 Y n v L 6 1 8 / + Q m 8 7 3 3 v w x V X v E L 7 X u c o t W S D o u 6 n N / y E W q t D a c c X X 3 w R B w 4 c 4 G B + F h M T E 3 j o o Q f Z 6 J x 2 z y W Q J d P K 3 I S E f S W i b g y M 8 b h C z A Y j V 0 I 0 O 6 a i T + W o 8 Q h T F l D V s R r n X n w G r Y I Z X L L m d N S l 1 + F c M p g n 7 E X n q k a 8 a e N L 2 O j d h T M 8 + z B S 1 Y K q r o t p u s l q g A L G X o q i Z q 1 + d 3 H 4 0 z R l U h x c 6 a O a s 5 B u f T X 8 P V + h F t G C I y p s T I x H R 9 l / 0 u / 0 M a w Z j C f 2 0 I w p a p f b d g z K g 5 O o g D G a r t 2 1 J k 3 O / r r 7 P y 5 G 1 8 a 1 S G w d R p Q O 2 Z 6 J R v S E G j C V q o G v v h k N p 7 m w / t S V + P I X P o 9 W 5 0 p M H 4 t h 4 8 b T l I / b 0 d 6 C L 3 / y u / j E u z 4 B f 1 U K r 7 n + a g S x H 1 d e c Z m y M P 7 9 0 / + E / / j 3 T + H V V 1 6 E z J A T 5 5 6 9 E Z / 9 f / + G T a d 3 U 6 j + N y a n J n H K q W v g 9 g Y x G 4 r i 4 v P W q 0 z / 9 v Z u N V X x 5 r e 8 H l d f f Z W y d N w u J / 7 5 n z 5 E 8 3 O S z 1 s c J Z m X i o 0 U n 7 c S Z K 2 V p + 8 3 c M z s Q L b 2 f E S 7 P o u C r G e r A I k 3 C 6 I p 7 e 9 C 8 U b 8 4 I c / o l n W j g s u v B h 3 3 3 0 X 3 v b W t y p t 8 L v f / Q 6 / / v W v 6 W t J M A L q / V l n n 4 3 z z 7 8 A q 1 e t x u 7 d e 6 h l t u O a a 1 6 l N I K 8 f F 7 x f 3 g z I V 4 T 4 w k k t i c T f F d e c R X u f + B h n H P u h S o v s P R c D e I 7 G W p e k m Z / 8 5 v f 4 L v f / S 6 a m 5 u x a d O Z m J q a 5 t 9 N m J 2 d E 0 W P z 3 7 u c 2 z 7 3 e r 7 R C K O Z 5 5 5 G j / 8 w f d R U 1 O D i y 6 8 i G Y h m b B C I q p A z D p p q T R Z z D y r Q 7 u v o Q 3 0 Z h D F g a q E N K W c o y T d S Y P x H M 8 f H c d g u B d D y Q S C K 1 t R v T a H Y H O e G q g J 4 R 4 r I o 3 / i l T 7 G 5 F p u 4 4 E o w 8 V i T 8 b j 8 J V 5 V Q 2 u 4 I 4 / M 4 q M p v M j x S n H q K r v g T v / q / D f + j z 8 A / / H I G p H 2 H 9 y B 9 h r P L N F v x o 8 m z U 5 2 4 0 T M R F 3 B W U H 9 h M 0 9 X A 7 x / d j k w 2 C b d D / D 8 b N l z f B K f b i e w L B x H f t R d 1 P h r j R n d w n F 1 u B 2 p W 2 1 G z w o G h 2 Q L e / 9 r 3 Y / Y Q L Y v q J H y N Z O 7 c H F 0 i 9 k / i C C Y o c 2 R 8 r Y N P w j 9 2 A 6 y R A 0 i E p 2 B N H e c J A 0 i I A C h Y 0 b 3 B h q n I M X h o j n m c v J l k P 1 A w 2 j M j 6 r Y W 3 l c y w u 1 k G h H S B f o 8 B f o / 8 w I / r 2 m m x g 1 B T O w 1 C Y o y 2 O b 2 I t X 8 R m T r z 9 e P L A 4 j 8 u l 3 s d / o 5 y 0 7 b C 5 T W / I v L 6 H + 3 v i L X 6 n M B N E A R l K h Q D K I n U b S 4 g l g h J 0 N W L J R m l U y Q V z Z H J O I m M T W b C Q a c Q 7 N 9 q w G i V C K p q P m W C K 0 r 2 x s + a t C 8 W b t r E F s e X s + w m f x w e 4 q 3 k T G p c h M G t S U X y y m 5 q G W g 4 H I C 2 j 3 n Y n W z z w K F 5 / 3 m a + 1 0 9 m 1 Y q W n A x Z X K 9 s U o u 9 I n 6 C 3 G t a u 4 6 h y y 0 I 8 6 Z s w h h M 9 s B x t h 9 1 j R 8 M p 2 g T l y 4 J M / P B B f M d / h H j H u + E Y 3 Q q n 5 R g s Q S 9 W f L 0 a X n b / v r f u R 7 r 5 V f T Z z k D e 4 c d l X 7 4 D G U 8 D n v v 8 l f p F S r H / / m m c d m 0 x u H D V b / t w / 3 t W 4 p t f / x q + 9 c 1 v o r / / O G 6 9 9 S 9 4 / w f f h e 3 b 9 y A e C e E V 1 E S 1 1 n 7 0 T t K f o g C / + 4 H n 8 a p X X Q k r f e c t T z + F a y 6 q h W v w N h R o Q l q D V h y 3 X A V n b S 3 S 9 H U a v a d q N + K g W N L D F C Z t y v 9 S O Z v O 0 s l a A 2 m S s M g g W T G d K 3 g w 0 5 d C / d r S f h T m 8 / d 8 B 7 H V / 0 8 / U k Q 8 M w u v Y 4 l + J + 1 Z Z q f H C k M h J 7 o a n N Q I l b O F K + H Z L c / Q L M j h s s u 0 q J k Z l Y l 9 I Y S w R R 6 a o c 0 3 i V S v z B B m 5 q 0 E t U h M O v k E D V B M J T l k h O R o i R m k E l j E j M u S Q S x e F S 6 2 i z d 7 A s R j 4 W U z l I H m f 3 t A / R 3 7 / q v V 3 / l c P b Z j Y P g o v K F u 1 J / m Q S Q 1 i I C k 3 I g 2 Z T s j v Q 5 U r d L K E C w O 6 V f t r x G O F 8 w m j 1 E Y 2 R F U q 2 V 5 u c M / Q r j 7 U 5 S u 6 q O C R M S q P A u v v f m / 7 4 e V E n 7 H P x x H o u u f 6 S a U C l 8 h x J f u G 6 f m a i Z d 5 H H 5 9 5 9 D K j K D v 3 3 o b P z s 5 z e S q b 6 B u + + 6 B 7 f f e Q e a G h t x w y c 6 8 f m b 5 1 A d 9 O O t b 3 4 1 n t 9 x C J P j 4 / j H f 3 w n v v 3 d H + O S z R f i s g v W c W w 8 i O a S 8 N u 8 1 E A y z 6 h l q S f b 3 i 6 d h p y 9 B f t G 7 T i 1 K a s m Y m V M L W y n l r u 3 u F A V h K i N 0 z Q d C + 4 C H N S 6 0 V w A K 6 P 3 I 9 P 6 C o Q z b k S S F j U H Z S B H c 1 q E + W K w p I Z h G Z 0 4 V P D Y K Q l O o K E q o V z D G K i c w F o O G f L i A 6 t C H u K o E B Z Z p m y l G V O h 8 X K G D P d i X W W h 9 M 3 l H c p M 0 x i W D M I f i 3 Y x o L S M O k C C K / B e J M 6 C u r c F 4 S S p i 9 8 7 q O F S m T y q f d p c R W l r S 5 G c P Y i M t b J U r I Q 8 z b b W z z z C d 5 Z 5 h s r T d B F m l m O j u 2 d R q L O g s T W I r 3 3 j m 3 j T G 9 4 I u 8 M G l 8 u D v / 7 l b 5 g L z e G q K 6 / C a a e u p f / Q y b b l y N D 0 9 y Q F J z u N a D o K v 8 M N v 7 O D 1 1 x c + P i O f h W x N V 9 E K i u R r j x m E z Z q 5 Q K a A h U Y 6 h u P 4 P q N b f j s d Z p m c I / d A X v q K D I W C g E 1 R 6 j 1 0 / a d Z + F r e 7 d h 1 F a L L f 9 x E c 2 2 O X i H b 6 I J Z E d v 6 B N Y U X U D z r r 7 U j z 8 6 h f w o u 3 f c E F X A o 6 5 f T T P k s j V n s N r 2 D C 6 Z x q t m 8 R X 5 B h S + 4 B m m 4 y A i s r J O j N 9 u Y k s Q 3 F P 3 k 6 C y 6 o 0 s j x 9 8 J G w C y 3 B P A U 6 W y O C N T u L Y 2 F Z L a 7 Z J T U e m o g U t r P J o 1 h T u w K z h y 3 0 R W n 5 s J 9 k f P 3 9 3 6 D P 9 J 8 Y j 1 j Y D 3 I G 8 N K o A 6 c 1 Z z S 6 W Q K W 1 E D R 5 J N 5 D o t k a S 4 X e o b w U p B Z a p l Y M y D L n e 3 6 3 I 8 U G S n o i 8 Y q w Z K e h W f 6 T u S s k s t F 2 7 j q Q k z F a e p U 2 / H d H 9 2 E z s 4 O X H L h R m x 5 f j s u v f B 0 7 H p p C A 3 1 9 T h 9 Z R D O 4 H r s e W k P G h r r c f T Q H o x N R l S 4 / / z z z s F P b 7 g R 7 3 z f P 2 P f j s e R S l L i k W n P P e d M e O w 5 R A t N u O 3 J s N K u L j L k 2 E w W H 3 l d t S a x 9 c 5 M 0 / Q u V 1 p 5 + g I 5 i 9 S 7 W K j N N v / i O N 7 V F c X H r j l D P 6 K h + d / u V 3 / H v n + t + j s P d t f U U V 6 v O o M / k 3 k u u f B C V A W r 8 f w L L 6 C j s w 2 D / c M I R e c Q D A R x 7 b V X 8 3 l + j i 9 9 4 X O I S Q J t r g p + d 3 F y N 0 P z p 5 I P Z 8 A 2 + x I S w W 4 4 S L A j s 1 a 0 1 R b H y s B g b C u C O B P X / f A p P P m 5 q x Q x V o T M g c k c J P v h o i / e i W S h H r d c u w K n X l A 3 7 2 e E e h z 4 j 8 f u w f 4 Z F x 7 6 0 E r 4 6 r q U l W O h 8 H R O 7 0 K u / k z 6 N g n U r U n A p o Q 7 G U K W 9 1 u 9 S F E I u R x 1 F B q S S b L Q J X B M P A V 7 / C A S 3 R 9 F M m N R B V P m I b U s M r x O m S k o M j W f y S E y G k F 1 V 7 W K 5 s X a R P v S D R A B X 0 i r e 5 s x O l d A D b v U r f v V Z k h y 8 D x D L Q f T y S k 2 I o d 6 T x P / F l R w Q r K 7 B Z a 0 L F + Q p M 0 i Z u J W 1 H p L p V 0 i N w O X N V i R + B Y F 7 y n z J Q Z 8 Q z c i 1 l 6 6 z N p A 5 L g d g Z U L H U 6 x B B 3 h A 3 C G d 1 B 9 p v E 8 X o d N z W R o a U c 2 h I H E Q V T H T 0 O w S f e p e M + e i R x W N d C U s 9 A U 1 g M S F a E I i d p U r l X 2 u 8 3 f 2 Y I u Z w S 3 f k r T R A a a P 3 2 f + j v 2 g + v U X z P G 9 0 X R t I F S X 4 S W i E V d U 0 e G k g i 0 F x l G S n z Z b L N w 2 6 q R y M 4 g n B 1 B k / t 0 7 b v s J H z 2 h X U f i p B h t 2 C O Y x Q M P Q l r y 6 X a 4 Q p 4 b E 8 f v n z 3 I W z 5 4 j X a A f a N h f 5 E + X i L 8 L h 8 h Q 9 P 7 j x A 4 r f i s X + / T N V h 2 P v A U T S t r 0 E V T c 1 r f v 0 H 5 F w N e P 5 L V 2 D 7 U B R t d U f Q 6 i m W B J C o 6 m i S w i N w I T + R o V K j 9 I + 0 u Z 4 M m c p h C q B U B C 0 U 5 9 R D S D e 9 V j 9 Q h v Q E J a L G W E a J t F 7 2 9 + m N f 0 C 0 6 W P s k Q p q q C w / c O e g E 2 d 3 p N E f 5 d j 6 N + t H i f S k 2 G v L 4 6 f e u W O o c 9 f D W 9 B S g C R S Z T C T Q E X N y k A r h e Z X 6 f U 9 N A V O x E z G E v F 5 l J k t 8 a Z 3 6 + 8 0 m G 9 h c S y c Y 5 B s D 4 l A p Q K n 4 v H c + 5 B o + S A 2 N U q o 3 a 7 U d I z E 2 O n b g C P P D q B v T u o 0 A B N R O 1 Y 1 O W l M 8 R n 1 6 N C i E C 0 g z z / P T O Z n L m A k U X z e W G Y K g / G t + q f K c N M B P 3 q s B 3 v 3 H 8 P / / v k u P P r 4 U 7 j v g Y d x a P w Q e v u H 8 O R T W 3 D v / Q / D z c s K M w n E b E 9 L D Q s d w k y j i d 3 K D B p P v q Q f N Y M m L f u l m g I v V X 8 p P L 0 0 y x b B K 8 7 o x s P / 7 y o S l j 4 F w P E o Z 6 a x W d 5 7 Z g C Y P M Z H z u E v / 6 w t V c n Z H O h + 1 W l o W 9 8 E b 9 V W p A p 1 c J I n t g 8 4 c W 6 7 v 4 S Z n F N P 8 4 S C Y q a B i K R D 0 W N 2 N p A e R v m + g K H I I O m p 6 N O U Q J 8 W o G q b Z y Z L u n S O S I H M 1 E d G E O 3 k L w y p Q y s o v O a C H 6 7 M T A K D m f R 7 K G a a t S t m C k z 8 B O 6 h / 4 V 9 c h v 8 Y 3 + Q o M R 4 Q Z I v p e b d U k u F c 1 k J l 1 b I F V s G c n l K U r F p d a i l 2 2 o J Q i W I R l t C G + h w z G z F l J f m k D I p C 9 g 1 5 M R Z 7 R m q 8 D T 9 p y J z C 9 G I l S J L u c 0 I T P 8 P I g E 6 t i q d n 9 / R j N i / 8 z g y D S 5 0 1 d V S r W s B G u l 4 q 1 p G s F h 7 l w C 1 9 u Y f a r U a t v y / o g a Q A E T X F 3 f R N M l R Q 7 1 G H c u m 0 r B L f U N i Z F 8 I r R u K E r E c c 3 2 x + U V w o f Q g q u g r q W c w E U S W D r z d 4 s Z c e g D V z k 7 9 q A 4 J c C i N W u z n 0 b A N q 6 e / j 9 g K b R W v C C G 3 R G u V a S 9 a Y X H a E F z 3 1 b 8 i Z C V z R y d J q Q 3 Y 8 v l X 6 t / Q 9 O + x 0 W r I 4 R 9 / / B C O z d m w 5 U t X 0 r m 3 I E H T z E P T L D Y b x + i R K a w + v 5 M C o I B s M g e n t y i E 4 t G 9 8 P p p M m d m M J i M k u H K n u d E 4 D P Y x x 8 m I 4 e Q 9 F 0 O d / R J x B v e h T T 9 K p l b F P q Q Y F d o L I + Y N a y 8 Q Z k C 6 u 5 s R j I 8 i Q t W h y H L l K S i V N b e j G z N x X B O P I J U w z U U L K U L F 6 3 J p D j x 4 j 8 t 3 m G F X P p l M 5 N M E J q Z S b A 0 c Z 6 Y m Q S Z 2 g v Q P P d n h O i k 7 h u x K 2 a K 9 r n n m S m e 0 G b 7 x d a d j k m P 8 f n 0 V z q T p f n Q z U 6 U 4 9 R + Z C Z Z V v 2 n P X V 4 f F v V P D M J 5 B S J A i 6 G b D q F W G i G D J F E J p m g y Z J G j t d X c N Z R 4 K Z x b D q J f / i L l p 2 g J r d 4 3 y v W 0 q 8 w T T g a z C T + W O M q O u D C y f M o I J I V K a 3 B v K L U b n W r 7 O u x h F Z g x I A w k 2 A B M w n I U L F M q d Z v C e Y U M 7 k m Z d I 7 D 7 K i 9 o W y P L R 2 Z m U O j L Q g k O x z M + 7 7 4 l s U E x V c M u + j R T z l G S a H 2 e 6 O Q d W P v W M z o M K S M g / 0 r 6 2 K m Q S + G i + a N q 7 E s w c t e O h F d p s w k 5 j R c g / 6 3 Y q Z B P T F F D M t k l K 1 G G Y y w 8 i 2 X I d 4 / b u Q 9 7 R h t O o K x F I W O K 0 Z + K b v g 3 f 4 5 7 R y y E Y 0 T 1 t q b W i i 7 3 3 1 q 6 7 E u v W n Y e N 5 l y N R + 1 o y z + u w 0 / o x p B u v R 9 5 R g 2 T b W 6 m G 9 D Q 2 E 6 w e j 1 u t O l 0 K F u m F 5 U I W b r E T 1 I s w k t j n k a 2 g h s 0 Q f 0 l J 2 x M j R 8 a s c n V g Q 2 t O O a K u x i g m o 1 Y M z N q o U X M 4 O B h D O E J / J J B H I p 5 E J B J T f l 9 y 9 j i S 7 K A C z Q n D n J T 8 r T d U T + P T b 6 m Q 4 i 9 z V X R S K 8 H u d M F X V U u G c M P h 9 s B O h r Y 5 D O k q E p B 9 l 8 + j d 0 h b u i B a Q Z z j 6 z c J o R c 0 k 1 i 0 g A 6 r s w p 2 b z X C / U U z s z / 2 L G Z S P Y i Q 2 Q y M H 5 n A 8 b m d J N q 8 W s r g K H O e l 4 Q 9 q H w H y c M z Q 6 K z I n U 1 U 0 k b O J m z k T H p D x 2 n y T W A U H Y A U V V q j A K B f l Q 5 L G T A H 7 3 z P E S H p 5 B L 5 9 D Q 1 o K g s 1 W N a M Z d x / t a E e r N U d D J 9 E c R A X c W F 5 9 S w K v P t m B w 7 w S G X q J 5 K f e o 5 L s a J p j Q m i A 1 p v 0 1 P p e h D i I g i 8 K r i u 3 x u b T V y c k G M l r r h 1 W E t K q L v y t b 7 2 X G K c 0 Z p d U M 2 I w g h z C / j g q t L U c e G X 2 J x 7 I g 8 X + J 5 O n R P F F 8 8 6 d L N Z 0 K D X 7 w 4 c f w 2 9 / f i i e f 3 o I n n 3 k e O 3 b t x f T 0 F D 8 / q 4 7 9 4 p e / w Z 5 9 B 7 D v p Q P Y 8 u x W f r 8 b v f u f R b r 2 M v 0 K w L E p O 2 J j W Q y H b O i s y S F h C e K U D h 8 C f m l H A R 6 P S 7 1 v T v 8 W w U a 9 + l E Z z n y N p j k l O l m O n 2 4 N K a d 7 K W T J H E l 9 i b y B 1 Q 3 i g 7 E D M p q A M d C t V w h S R G X y P 1 W K U D 6 O 6 t Y o Y l F t o L r c 4 m d Y E C C z G X D b 6 r C y + m w q E 6 0 U W E b q d v N q / b E t 6 u 9 i U N n S O u G V R 7 1 k q k P O L L h q 4 R / 5 j T q m M s E p d J r d X W h x a 1 r d L w J G h I B M c i o B W M Q z X 3 w 1 1 i C A h u z t F D J F s 2 3 7 s T 5 q z T w e + v d X w N 7 u w B U 3 H s O r b u r T v y 1 F x x m N a N / Y j P j I f h x 9 T p a 4 L w K j T o T h Y / O z z B W p J S Q m F F z N e H H 3 X h w + e h y h c A x D I 2 M 4 c P A I H n n 4 I a T S W s h 8 c C 5 A R i 8 d O 5 n 4 L 4 d U V D p K W i u B K Z K q R f m U n V w c 1 B J I h x k N f h m Q A V p I n j r S l N q i J Z a J 0 k I l B R y e c G B N Q 1 b L b C A x z B 2 l k 7 1 m c W K y R Q 7 B m 3 g Y k c Z / 0 Y 8 U s f e h I z j j 6 s q M J v j q v U f w 0 P 4 x 3 P V P 5 6 E u U N n 8 f S U J J J H J Y 8 t H N I f c E t u P 2 w 5 X 4 1 N / 2 o u O W g + e / W x x E l y Y r / 3 T 9 2 D H l 6 9 C e 4 1 c r y j b j L D v 0 O 4 x t G 8 y n p e g T w Y 9 G J C O Z V R R T H l 2 E V q T y Y N k q i Q a P a e R c B e O p Y V S X A h L e s e a G p m P n J U j R G G i + a W l S K W K j O N y L a S H m Y M J V K 9 2 q k x 8 p V V E o 5 u C T 8 l c i E J A E w i X f / k 2 p D 0 N u P O f z k d j s L I 5 n U / 0 Y y A 3 i G 7 P 2 R Q C T h z f 2 Y 8 1 F 5 h r c m i w J A Z Q 8 F D b C y P p 0 V B L o o / P 1 8 5 j s k T H A 7 X K m 2 2 Z C 4 V R 4 5 a J 3 H b E w h J G r 0 L A I j S l C Z Y 8 h W E i b 1 P a u w Q y L 8 r r L A d W 6 e h F m U n w M p l p e l q z s e e Z q Y J 5 o J h p E V O q E g x m c o 3 c x n 8 t O P L C v b j l 1 j / i y O G j 2 L X 7 J f z + g Z 8 i P J x A Q q r U 6 L D F e s m I m q m U C 6 x H p G F h J d S 9 d 4 3 i j F d q q 0 O V v 1 U B n 3 2 1 L B / J 4 + 0 / u F c 7 U A H n 1 F B L h G i v y 1 o p a o G C 7 z R c u b 4 R f p o 5 s o m B G d I v L R 1 d e M d f x V w p 3 v P o s V 6 E Z i e x 7 Y W d s D f Z l C 8 o 2 d U P P / r E P D P J t S 0 e z U 8 R Z o p k x u C X 3 S l i X d j y 9 A 6 1 7 u l F 9 s f 3 f / h j S u V e H D h 0 F H k y k 0 D u u x g z C c z M F B j 6 g f 5 O Y y L j Z S D c w + u R o A W 1 p 3 j o v / I 7 M p N 9 e i f + 4 9 Y X S j S 6 w U x S 2 T V J + r a y L 2 u X y E K x U t t 0 + z e j L 7 G T J r Q F a 8 7 X x u e l u y f o o x a Z W z G T Q r E P C 5 5 u 3 o j 9 L d k V 6 o k 1 K j w a q m c / d C C X C s H p 9 u K 5 Z x 6 j z 1 P s C y u l s k V q D J Z j n p m K f V P i 4 p p Q c R 5 K 5 c P R i 0 w l j s L t W a u c X l G l n i U m Y g 1 M R 3 L w O v P w u E x + l 5 4 2 s x R U 5 E + l z 1 f w Y X Q Y k S f / 4 P c R 7 Z B C H U V Y o 5 R U 7 i B k o V v k e A p 5 D q y n 3 o r a 8 e 8 g u k r P y z K E Q 4 6 d p q 9 u P f x c P 9 Z d x M G i H Z y 1 + J S m W w y b v / 0 0 q W g M W 7 7 + V v 1 I K X r H x / E P v 9 2 P L 7 0 + h 3 U d H g Q d 7 a h y d O O C r z + G y O w M D n z r a g r R Y l T I I D h D o 4 X o q B t R S 5 m W E K d + 9 M g 0 W t f V q / f l i I 6 G 4 Q l G I W X Z x D Q T / 0 U s i n T e r h V 7 F M j y A o d m Z m v Z G C Y B a Z L q B p T G k 9 X Y I t W V + S R r r I q m 5 l B 8 G 9 q 9 5 y M 6 l o K / 2 U X N N 6 R p A x 3 e k d / R J 3 k v N n + R Q i 9 A y V / V h l e u m 8 O X L z + L / k c B k 6 F p v O 3 G v V h B U / j H l 5 2 J m r W L C P P U O L l Y y / A u 5 L I c O p 3 5 Z M I 1 N Y G j u z N Y c b q D 5 L K 4 c F g U 4 v P Q T J M I 8 H y x T B O i 4 0 n 4 m 8 x W i B J D 2 l s d a h 6 O J u / o b I 4 W i w 1 O p Z n N b K 1 D G G c 0 8 a K y H 4 W Z B O L 0 L o e Z Z H m 1 X L y E m a h 2 F T O V R Y X K o S J / B j P x 3 h J S L Y c K 4 x L Z t E Y g 5 k c s O J 2 Y y k 7 D M f 0 0 p m u H E a 0 f 4 2 1 z O F 7 / S Y R 7 r S S A o i b 0 T / 1 S T T r v v r s f D Z t W 0 A 8 h 8 b C D T 5 g u J U Q d W J j G P z C r n d j V y O 9 I s E / u c N P n O A M 1 z m 6 l Q Z z 8 J 5 Z M I Z r V B q k / 8 h z N U 7 a H 2 k y 9 d D j C W c T H J J 3 L g r 3 i M + 4 / h B n 2 2 0 7 6 l M 8 8 u 0 3 / l Y Z 0 m I P e E s B 4 n n 3 h a t G y F A S 8 / z w z C V S N D Q 0 L 0 p D K m E k g 7 Z X V 2 C K Y Z E w K T v G X N G 0 o E G Y K D 8 U V M 0 3 E x t D L 5 z I j a 9 e Z y 1 u r p j A w N w R / W h M i T p s F b / v u w + z H H G 7 + 0 P m L M 5 N A Z y b B P D M J a L o V 3 K 1 Y f U E X y a U F h 5 8 a R i p e D O o s h d v v u A e x R A q P P 7 2 T f b o H e 3 e / i J n Z h Y G M X L T I T D J B P h r W a F E V K i V U R N x Z S 3 K w o K X G r r J q l B C i 6 2 T N 0 u 4 e i D y v f i i Q q F S r 9 + w i c Z 8 E k t E K Z p 1 h z + v p J 8 s C 7 z 2 f L K 7 C z E X I 7 H a m S Z v T O T S u E w Q Z U M z B O m c n e s h Y k U Q L a l y d k D L G D Q E L B 3 8 E b v r W q W Q a E R L D j O 1 t 6 L 3 / K D a 9 t k t l c i y Z c i X 2 s 4 6 A W 3 5 X K q k E n T X a M m r p Z 1 n T 9 d z x W b h s p f M T I p 0 H J z X T 0 9 N 3 O g a D t O G F Q U 2 a x 9 t o R a R 6 P 9 m p g A 7 3 O m w 4 b T 0 6 G 9 t w 1 p k b c M n F p U s J d r 7 0 E g f Y j h a v 1 C 4 k E 7 J / M 7 T / t e i q q Y 3 W 5 d n + 8 + c I U R h 9 r 0 A z y N Q H M 0 c T C L Z r A a e g q w r n 3 5 D C 8 K Q W X P A P / B D p x q t w w / 2 7 V D 9 Y Y h J g y e H f X q W t t l Z w S 8 S 0 O K a h 0 n W j J m j t G Y w s M g m u I q M W r L u s D S 6 v E 6 G J M A b 2 L h 7 A k K U 3 b 3 7 T 6 9 i c H M 4 9 e w P O P m s T T j 1 1 L W q q S 8 d J I K t b V J I 1 I R P k k h s o k O 2 T B P K d m K 5 S n a l n y q b G U Z b J S x o b z U Y 3 O g M X q k I d g 1 T n 2 h l y Y k m v K k i I V 6 S n A W N d j + B Y T y + a G m q 0 s K J o p f 8 j 5 p e A l I V N x W F M e 7 V 9 i k 5 p 0 s K Y t u i Q 1 s F W B 5 o 8 F + K M u h h 8 + X 4 e k z L M X l i 9 b S q 8 7 X I 7 E W j 3 0 P F 0 0 y a v v G C s F G y D y R n 9 / t v O U I f 2 D + i z 8 i b M m w 7 U A t m y y T 5 1 E g n p j 0 9 r k 7 x O j w + n N t S r 4 p v q O x O M 1 K H q 1 d p z + 2 s 9 m D 1 S 1 B B z f V r k 6 c K L z k F q Z o S 3 c 6 l p A h k J u 1 U 0 r R D 7 w r E T p I x M h 4 q g t 6 H 7 0 1 I b P a N o i I R C c 6 t A M z X W 5 1 R O e + 0 a K R C a w 3 T q G D 7 / x y d h m e n H 9 5 6 M 0 w Q K I 9 r 5 r y o C 9 t F r z u S p p B Q v t S c Z q w T U M D / 9 B w p s H V X C a 6 V d o E N 7 h o 7 A B e r v A o g 5 a o A M W t U Y R O c Z n U h E k k h E F / p B 4 s Z I g r 6 s m 3 N Y 6 R L w n q N j U w i F o 4 h R w + n 8 M 4 / o g N n k K 8 J w 3 4 w e X l W v B c U M z F O r l L G q c / L p M p P 8 9 U K J L e p O 9 l s 6 d q w H c 6 E I Z v m a m p 7 R 5 l G I 2 r p 6 D g I l 7 N w E b 2 r D z J E Y Q v 0 h Z B K l H a r 8 s 8 o 9 u B B l Y U t L U i S h x t T e / p + r y U G H N Q / X 0 B 0 4 M K G F L i V S O 5 D u Q 9 p O + 9 0 I Z 9 K H k 8 p J V p o O N / 3 2 F t z z y I M 4 T k K 4 + Z Y / 4 v d / + F 8 K g z 7 8 8 E c / V e H 5 l w 4 c 1 s 5 R K B J m K l v A h + 8 m I 7 H 9 n / j V o / p R D d P J Y + q l o G u d T D S B m Y M Z S K X Z l O K b A r Y e H c f k S x E y i 0 1 N d q d k g Y 7 8 v g x m f 0 n W d d W s L Z p m 1 d 2 a 5 V B I T u F w o g 1 z R w q o D o u 5 Z x Z 1 p U j M p e h X 2 p D o 1 w r M L A a J A g p O a U q z X + U d t S 7 7 b K Y n C V 8 3 f a b J m 9 X 3 U g a g z r U a 9 x 5 1 o l D V i k 9 c R T 9 L 3 z z O 5 5 D M A w u 2 f O F V a l L / H + m f y h 2 F T O Y S V t z 6 q V r U 1 p a q p d m j R e a Y j G X 4 W k a g y h S q 1 o S u 9 l w e T w o e v x s v 3 q 5 P p J c g j x X d H X B 7 a 6 i F C 1 i 9 s h P V V X 6 k 4 S 7 T y r R G + L z R 0 S J j S t u 1 5 7 A s Y L 7 n e o t m 9 U k l x 5 o R H s h Q 2 t s R 6 s 2 Q x p K Y d F f R X L e g u y q D i Y k c W j q c S n v Q I F H L j k 8 K o i F l X b + 9 p m I Y V 0 p F V R V G k H d r c z C B y Z 9 g r u 7 j a i C 1 j i 3 r H c n F 0 0 2 f H b c d w J m v W 6 M I r H r t 8 t u V p l n 1 i u 8 / y 5 4 d U Q O 4 5 e t v U c f F 1 + s l n z X V H E W d e z X e f c N W H J m O 4 4 U v v U J 9 L 3 j P r 5 / H Q / t G s b r e g y 1 f L C b J r v / P + 1 E f 9 O K Z z 1 4 + 3 + J E b n Z Z / u r f A + l E j L 6 / C 5 l U m v 6 Y H Y 6 A k 8 y i f 0 l k K L k t N h u u + F 0 f j k 8 n s b 7 R i y 3 X 7 k O q V c u V a / 7 n P 9 O f C W D v l 6 9 D U 1 A b I 0 t y S I W l S y B R S Q o 1 8 Q 7 H U 7 1 I R e p x a H + / W l 0 t K 6 q H h 4 f U f m M y b u 9 / R F b Z 2 v C 5 j q P w e n 2 4 / t r S w p Y K 8 8 m q W m P 7 B w Z V Y R + X k 4 y t m q G 1 R f I Y B / Z O Y s W Z r U p I D Q 6 N o L O B j K E L j n L I H F 0 5 q U r x z 0 C H F a o U W W g W / q r i 2 M i S E L m X + N 5 G v / F t K b G a I b p g H m y Q 2 I 5 z x z S d F + y U l b X 0 T 7 q s q F k T x N q 2 N F Y 1 Z M l U N s V M A n G O o 7 G 8 y s 0 S x M a z i E 2 m k Q p n q L k q m I U y 8 S s Q D a m X z C 1 h J p m Q l J K 7 9 g Q K H p p x A 7 9 S h w t S 3 k u Y i e c X k t r s v 3 T g b L J X v R c G l S o 9 / U / d j n P e u A 4 2 O 2 1 d + l c n A 6 f 0 t I y W S E O f 1 r b I U B a J 4 0 l 0 W q L I Z r 2 Y m 8 r g v e d 3 q I V u Y m M b k H V E a q N v h e J x m V R U 1 z T 9 d g E z y d x T B R i p P 2 Z t t i y k R k k 5 W g B D T M 9 A t x 2 1 6 7 x w B j V m y u q T o l K Y J p B + C v 7 o w y i M 7 U d u q p / O f 1 g x k 9 R z 2 E 3 r g x d g e w t o J D M N h H s x E t v D B z D C 2 C b Y g / R x G + h O N 6 I 5 c D 6 6 W l f h V Z d u x D v e e C U u v 3 A 9 r j 3 z T V h 3 y u n 4 x F 9 f g j c X g S 8 z h 7 e + + Q 2 V m U m g T + g e P H R E Z b / I e M p S C z H p 9 u 0 / A E m n 6 z n e x 7 9 p N K 6 r w c H 9 R 7 H t + Z 1 k 4 F l M x S u b c g J j i M 2 o X m l X z C T D Z m Y m g Y y z m i l g v 8 m a K Y H t T a + 4 4 L / G e g 8 h P D m G u u Y O p G I R T G Y P I Z o e R y Q 9 C p + t S T G C M 0 A 7 n W e 6 a 3 l x H T K Y t h w H V t Q v m W A 6 3 Q M v H b e 0 J B z q w Y g s j 7 v 1 k k x O P 7 m c N n S K z p v f Q / N w g L 9 z k d j J 4 r 0 j W d h p H r r 8 5 s i T m I c G I Q r 4 2 V 6 N 7 / 3 w B j z z z L P Y c O n 7 8 f u b f o X O s 9 6 L 5 5 5 9 F v s O H k N N f Q f 2 7 z + E 9 o 4 2 e P h b y S C w k a E c k Z c w M r M a 9 Z 3 a X E 4 q G o e r a m G U a y n c 9 C x N T p e P f J v D + y 5 b C X e V D Z 5 6 O 5 / L C b 8 z Q F P C h u 7 6 N H 7 3 / C g u 7 r S h v r o a h 4 / 2 Y F W d B 3 f s G M T 1 z v 2 Q K k / T 0 7 P K h H 7 8 M E 1 m D t Q / X N S t a 1 c N 0 z O z 8 H p 0 3 0 3 P O D F j I n G A 4 1 I F V T L A 4 l W C 7 Y Q w 8 t 8 k u 0 G F j T 2 4 6 Y m D + M T D E b z / n C K h G C s B p P 5 g 1 r 0 K W f q r N 2 0 b w 2 y c D G a P 4 d 0 X 1 q N p 6 i 9 4 4 y 9 6 M J m 0 4 1 8 3 Z P G X P 9 y E e n 8 T H r j z W c z O h d X a s x / + 6 C d 0 A x p Q V V W l y s s 9 + N D D O H 3 D B p r Z / 4 u q 6 h o 8 / e x O T E x H c O D I I H w N T o T m Z v D n 7 Q P I 0 S c U s / 3 9 5 / k w F y 3 g J T L I 6 N g E d u z Y h Y H B Y W x 7 Y b t K J + v s a E d D f R 3 7 0 4 E q 2 z i s 7 i Z F 2 A 3 V V R J G Q X U w Q M 1 h h c s 6 i / r m T t J D K 0 Z e m M N K C r e l M C / 3 y i D p U l O k W / P 6 P o G Y f 3 J O j J Z K j Y d m d 7 n J F 6 I G s n l z k F x Y V 7 W m h c o x M j q O 9 r Z W O q y 0 f S m x E 9 k 5 x H P T / K a A e v d a M p p W U E U Y T l K C R B C v b S T D k B f v v O s + u N 0 u J H i w u 7 M N 9 f S 9 J i c n 1 Q 6 E c 6 E Q L t l 8 M V Z 3 r 5 g v Q B L q j 6 K Q 9 q G 2 a 4 Z X p 2 Y J 7 Y f H e h D Z m I u D H s V o 7 W s R d D b B P r U N 2 Q Z Z Q 1 N E O D 2 C u V Q / m T 6 N + J E m r D l v v f 6 N h l B v G l U r F o Z u K W z 5 b C H Y b L U q + d V V l 4 e 7 2 o 5 r f v w c 4 v I w f O 5 X r n T j y + + 4 R D + j C F k h e v G 3 d 8 C d n M S j X 3 2 n O i b a 6 t K v P 4 K b 3 7 c G K 9 q K O 2 J 8 7 e 5 9 e P C l C f z t Y x e g W V a t z Y N D Q q d b 5 l v U T v D l a 4 B k 4 l r X 4 G E q d W 2 Q p T 5 d f G F O X 4 W 5 p i S 1 g J s C 7 / L / v o 8 M 0 4 A t / 6 E 9 x z W / 7 U O j 3 4 4 / v K V o s r 0 0 M I 0 P 3 b x H Z c b / 9 v 3 n Y l N n U E 2 s n 3 v P 2 T R 5 4 t j 5 9 q h K E b X X s e 8 N 8 S 4 U x v e W p M w N F j W W J C U 7 D c s g G 8 F X b t u P R 2 b r K e V t c A 7 t w Z z b z f c + P P v J l T T L N M J / b u t 2 h E J h D A z 0 c 0 z y W L N 6 B R m y D u e e s 4 n 3 o O V T w d / P 0 Y Q 1 Y N O T j o 3 f y j X i 4 Q T 8 J f 2 9 P O T S t I S c m k K Z z 8 Y v Q 1 H d 6 K i i w + x v d V I T 0 Q R Y R P K 1 k Z m e 3 7 Y d / U N j + P V N v 8 f t f 3 k I W x 8 / g i f u 2 6 / y 7 2 R 3 8 Z f 2 H y b B u 2 C J H M f U s S 1 w 6 J M 8 r 3 / d d b j m 6 q v w h t d c g 4 a u T a q 0 1 F l n n o E 3 v + n 1 + O D 7 3 4 N 1 a 1 f P M 5 M 4 q 1 V d f n h b M 8 g 7 6 9 A f n 0 W P o x H R u v c j 2 X g 5 U r 7 N 9 G 3 I q D O 7 5 5 n J N X A 7 b H P 7 1 X t J y p Q I Z r 3 t Y g 6 k Z i b I 5 G Z 8 c l z t 0 C 7 C P 9 S T 1 + Z L T L j 2 4 e O 4 / r F p B F b k U L P O D m + 9 p N R Y 8 b N 3 k C G l D 2 P T e G x 3 5 T w 0 q b I j S J r 8 a s 3 c K + C B 3 S J 0 i l j R I A G G g l q 1 a k A 2 7 B b m k O k G 5 Y v o z C Q L 7 e S l o D N T f J q E o f x h b Z w W J s i y s T o z G W u l B m L P I S q Z 6 1 a X l i t t u n d k c h B H e g 6 Q E Q a p w u k r s q 8 + + e v H M D Q V g m z 9 u 7 F T 5 v + s S L W 8 C d b J / d T 6 0 6 Q R B + y 1 F 8 D b d 4 N 2 E Y H O W G Z m k o n a e W Y S 2 A N 4 5 C X e I z y K z O w Q Y r R s V P t 5 7 k z O 2 F E R u O i C c 3 H O Z e 3 4 y I f e j 4 9 9 9 I O 4 6 q o r d W a i t V L G T A O x r Z W Z S a D W V L H 1 t O u E m c J T l R N p l 4 J V K i 3 p q M R M g h K G s i S 1 c k w n g k y E n n / u W e i i G n 3 D u y 7 G N W 8 6 G x e 8 Y g 2 u u O 4 0 n H 5 e A 6 V A T t U 7 y G V S W L W i E 5 d u v o D n i P l G 6 F n o l k Q v W g I p F X Q w I H N M g u m D c c h S 5 5 o 1 G j E 4 f V r H u K e 0 C V 0 F d y u y w d M 4 C F 2 Y 9 G i R r 4 H I V q Q 6 3 4 h c N Y 9 P b 0 d 0 R P P J j j 4 / g C 4 6 p g I J A 7 u p F Y M r c / A 3 k W j p W J r X T y m E 2 A / y 0 j E T z 6 m s h r E 5 G S x 2 J A k t 7 9 G y B 0 r 8 T I F M G Q h B + f Q 0 I Q M 8 d s c L V H 2 m c O 9 l 6 y R 0 X 8 C v H 9 2 n H S C k r m A l F F w t 6 m V G d s 5 P T a / 1 m S r B v A A W 7 B + L q 7 Y 7 d U b v 9 F 2 E e t d a l U R b s N O M l / b K x K 1 M M X B c X 3 d G F x m B B C 3 p S S T Y V J 6 a j 0 y u N p f T h 3 A 2 n l X V o t 5 1 H v 3 F 8 B 5 E y S z x r n / C K 7 7 9 G D b f K N V b K 8 B F k 4 w m q o G h 6 B 4 U 6 B r k y R g b G i e Q t W o X f / I z l 6 D G v M o 7 F 0 X D f G V b U 1 + L L y s Z O C a 0 2 f X F i l Q E R W b S r 2 V k c + i p b i 6 v i 0 N S m S l k D Z k s z i y H p D H N H t X m 5 I 5 O s N / l / p K U L D T N 9 y L w S h h K Z q D N q e i y g Y A K E V L C P v z o 0 9 i + / U W + 1 U 4 5 d r x X m T K 2 g o f + k g s P 3 P 4 C n 4 N S X / e d V N Z 0 Z h r 3 3 f 8 g d u / d j 0 n 6 D X / 8 8 9 / w 0 u F B P P T I 4 3 j 8 h W F s e f Y F V F l 1 q U v I H J P M d d S d 4 q V 5 K G u U i s w m c K E a 3 d W r S E l h W G K j m I t P Y 3 j O x g H Q M j q s c C q m E m T q z k V q V u Z R 8 l h / e V F S 2 m i j G z P e A l + b S Z X o 8 C q 1 X s D Q t E Y A 4 5 I C Q g b 7 0 h + f 4 2 F 2 i L c G a b Z G / J 8 F q z x t f n T W U B K r 6 Q E z C k h I b T 1 d Y 0 j n N w b d K t D z 7 A F t 5 a i U I 5 N N 4 U 4 E W Q w o c N Y n 4 N E T O b W K S S Z m 1 B n 3 p o d 2 s e 3 D l N D 6 8 h E d l v R l 5 C M 3 r j y 1 A 5 m C E 3 1 T Q h w Z / P v V 2 h z f P F x + t F R 7 8 c l X r V U m u 1 Q C + j S 1 l k x 4 3 3 q k g H M e 2 E w t q Z V E S M f Z X + F x + A Z + p p 9 c i o J d T x a g P / e O b x 2 C x d + o t P e + H p q H V h F A E j F b 2 J 8 K w g h q M p e a 2 c i i I Y 3 M r + 7 W + 1 s Y y e b Q + z g p / V p C 4 j x o 5 z k T i q G O P k t N X A G y h q z F Q y 1 o g l g 2 A m t L Q V k 1 a x r Z 7 5 I B J F p V T B 2 + F 4 F X d j f C F N + f n J p W / o 3 s t n 7 x x e d h 3 f q 1 e P z J p 5 V / 5 P L l M D b b o 2 a P 4 + E M r n v T B a h x r p h f 0 K Z S i R x 1 u O 7 a a 7 D p j N N I P D m 8 4 2 1 v x u m n r s P V V 5 y D K y 6 9 A J d e S j O N h D B 7 J I 2 R y I D 0 p z K t D M j a p v 4 Z m 1 q S I V V o B k c f w Z G t j + D o n j 3 Y s e U 5 R P o G s L 4 2 z o f I Y q L 3 K D L H M + j 0 n o e + f T u w 6 6 E 7 4 W m k v T y b h M O k + p X 1 Z Y J D M r a F M 0 z 4 y 4 f P V Q P 0 9 u 9 p i b C n t H B Q + T k N D o Z I P J o 5 D h V 4 U V / P w 5 i f e N N 5 M t W u M a q E w Q V 5 S v q c K c A g n e / k s + a l / J h P y 7 g f i b y E u U i l F K 3 S 9 q n F g O M Z u K u k M I x 2 b C p x F M O x X d Q C c / w 5 r 0 n G H Q 8 d x b b j o 8 h m q a n L s v p l i c s z X 7 g G / / X 6 U 1 S 0 6 p u 3 b e d 5 E r V i / 5 P g J 6 I 2 t T 7 q y c 9 f j V 1 f u x 5 v v 0 D z / W S r z h 9 / + H J c s 6 G L o p w E O 3 V E H U / L j 2 U i l 4 Q X 6 / w n d c w x 8 n O V B b 8 A k t Y k j 8 R / z p N 9 m 9 S 4 W / B D m T g n J E F 5 J q m V I j C Q z 8 x i K L 4 b 0 / E k P I V J D M c p K A j x M W V C W l b 6 l p h 4 v O i C 8 L 2 O m / 7 4 s H J Z J q 1 j e P q R F 7 D z x X 0 4 c E h 7 j s V g 1 R V N l d 9 L d 8 O O 2 c N F 0 9 K M B Q x l M U m y + t o a N D U 2 q A 0 B f B 4 3 g g E f r r h s s + J W 6 T s X e a 9 g o 6 w O 0 A 8 h w c 0 m j 6 g Z d C n R V J C t + I 0 w O C E M N n 9 t C X u K p O B / U 0 c S C D U N o F V W Y p Y R 6 I q 6 H L p q c 6 o 2 m p R 0 O v 2 S q 9 B 9 + u V o C F 6 I s 6 9 + M / L N 5 2 I s 6 S Z D Z O C x r E P 7 2 n M o E K T C 6 D k 4 6 + r X o / / g K A L + W Y 5 b q b a Q g i a j i T 3 6 J w r V 4 z r B c o A z 2 Q S q p a i 8 N u L a c Q W + 9 9 X g K 2 / Y o N r 5 5 4 9 r Z a L N M B j q 9 W d 3 4 v Q W b b J P w u B C a 8 9 9 + R o 8 / 1 + l h V o E s r g z Q Z N K i n g 6 A x l E b E d w 4 I h p 9 a 1 K + y n t G J l s 3 X N 0 L w 4 f O Y 4 / 3 P J H R K J x 2 J N 1 a A u c j 7 H J G O b C N N 8 o O Z 5 4 a C 9 y 9 B 3 T J M I h W T l b B q M y k G j L 5 m o P T f Q 8 d g w 6 a c 5 V o d G f U x p J I m V l w 4 K g N Y w v v O 5 U m g E p / O o D l 8 I a 6 8 f 1 3 7 h T 9 d k n r 9 B q / g k y r R 9 D c 1 Y 2 W C j t y 0 / 8 + n F e R D N f d x w 4 D v h J G 7 z X u d 2 a b 1 j n y 2 M y l u L l i h p 3 O j f N f m T / 5 H d i l v 5 g m 1 f M O + 2 a M q 9 k X b B 6 t r z V R b z v P e / G h e e f i / P O O w u b r z o H t Y U q n E p l M R j d p m p Z D J p S 8 e a h h + o F s m C 1 Z p 0 T 0 e m k y g k 1 Q / t k y k h Q q 1 j L M D t X K j V n y 6 S H A c n w 1 v 5 a M J M n 8 0 j 2 u A n l 1 4 6 M h V C / 1 o N u l X + y N H K p H D u 4 g N 6 4 B + 4 V d h w c t K B 6 O o e p C d q v N g 8 C 3 X k 4 P P Q J o p o / 8 u K d h 3 D K p a s p p R a G S a W g S Y t n o 3 o v / l 7 1 G m o K y b V h u x 1 2 L V w 9 F q G U 1 w d d M B X L o X c m h Y 3 t Q S k D h 4 / + V C t U a a B 3 x k 4 f Q y K b w t M W 3 P i h Y k 2 F M d 1 E E y g + J W R / I Y F W P 0 5 j + C 7 f Z g 6 I F a e u N Z U c M 6 U + G R A / 8 M K L z 0 Z H U y f e 8 9 Y r l a C r r q l F f + h Z N D f 4 K e i q q O 2 G c M H V m + j 7 Z B D 0 u t H e p j 2 L S P / j 0 3 Y V p R q U l K X Y I a U t v / K O i 8 n w 1 + C c j v J c v n L k + X s t b U u y I T r r q u C c e Y J C g Q f Y l 2 8 5 T 1 t m o c G C i H 0 F D u w / i G w m i a n p E L Z u 2 4 H n D g 5 T o 8 j c I a + m d 8 h V 6 0 t p Y 1 3 d q R w O v d + o d R s 8 6 9 E d 3 I x u / 8 W o s h l j q j d U T D t z 5 k R Z h o 0 Z f 7 3 t T r o a 2 6 i V 9 q K 3 d w A P P / w E b n v i D g w O j e L h P x / B v m c i C D j L a U Y f t D L k 5 l z z V b 3 k M Q b p f i w r U 2 J 8 Y k J V + x S I l p k q 6 H M a h J 1 S R O a a y i H a p 9 Z l 2 k V c I G Y Q N Z N K P G R f i B R d A L 0 1 c w N h 2 P K 1 / E g p Z Y + q b W A E I u 0 N q 1 B + q p x q + m 3 H S C S d 1 W w L f 3 7 8 0 X G c f q 2 + G l W Z X j w p q + 1 h d H x G M 5 M 6 q r U w v o H 0 b B 8 c 1 Z 1 s k 2 x y V s D a L z 1 B y R 3 B + 8 6 t x 5 f f f j E 2 / 1 w z C d x j L y L p q E E h M o F n v 1 2 s v m S U p D L D y B r Y S + W w v i F F E 6 + Y o m L g t d 9 / H D O U x l u + p B e 8 z G f Z P l M 0 r A K k U l N 4 h s 9 X S 0 H i 0 u 4 p g 9 n B 5 1 c Q y 0 C t c T M 9 4 B L o C 0 t F W Q t a / Z 3 8 q / k f B q 2 W Q I I X p h A + P V T + T P O z L / v a v a p k 8 p b / v E r / V o P 4 q 2 I h i D C U H U N m 4 3 l c 9 9 1 H Y P F U Y V 0 g j U N h 7 V n v f c e 5 q O 4 y M c U S E G b U N p M u h S U p J Z n J 7 O y / 0 f h e t H h N g m k J j I 8 M I B E L o X v V a r x 4 7 y j O f G 3 Z Q k b R l B V o X C C p d Q 5 P c b w W 6 f F S w m i q o 5 T U 1 a 9 o G c n j M h C m 5 C 6 H d P I C Z i J C P d r t J B y / G D P J W h R B d W e Q W i e L Y H d h n p k E c R K u Y V p J 2 o 8 9 e k i 9 X 1 1 H k 4 m + g C c / i L V X m K K B 0 h F k u A i Z U 5 h l d W A I K 2 p L m U n g 9 H u Q i W v P 4 q I 9 3 + E v I J n O 4 B E 9 P N 5 Y o C 8 U H k N c V q 6 S Q H L e Y h 1 v g Z m Z J O 9 L Y N j w Q U 8 P R q K y / 5 E m z c y 4 + 9 9 e M c 9 M g l g s g Z n Z W b U T u u x i U g 5 x w i f 7 m x F o c a v 7 R F L A K P 3 L R j + v n T M n v y 4 y t D o G 4 s V d C 7 u D q + G i f 1 e y x 3 E p C S g k a N I b k D k v G W f B a 7 7 2 N 1 X I 5 r P X L F x R K z 6 2 E U 3 L c x y u + + Y 9 7 G B J s M 3 j 0 D A t H 3 5 V 5 3 X S j V w o b N Q 4 Z 2 Z U C p u h 2 Q W S M 2 q G F F y R v E 5 l j Z B O Z X 5 M M Z P 0 d 1 n d j E p o a u 1 E 9 4 o O d p k H 9 0 c b 8 e i e A h 7 c a R q r R Z h J Y G Y m Q e V e L + v M e J o n 6 R d N 5 u e U n 2 T A 6 z c 7 g h o k x G o g F U 4 j M a 0 5 c F X d l b O d p / S B C v c W y h Z 2 l Y P M R a d Y N I z s o S q d n A 3 Q p z H h w C M + O D 1 s k + 6 v W V J a k q R M b c n A j K b Y 6 a Y V v f O g 3 y B L y s P D c X X d j 1 + x E s 0 1 d J j 9 G u P c 9 N 6 z l N C O p T L U C r x Y L o 3 R n o P o 2 7 c d + 7 c 8 i O O 7 i 3 Z 3 t S e P / u i z a s t P M w Z C W i q U B F k U O P j j k d I h C A Q C q K 2 p Q V U w w P d 6 h M t A I Y O Z w S D N Z C d k U w Y h u A D p s I X + p d 1 C T a x v f L C c E i A d 3 g v R H 9 / C H t X G K u B y V 1 R K Z n i 8 k m + n Q e a M p l L a 8 8 1 G y d U k 3 t e c X s + / Z c R T C d Q g L a 4 U S U r u X c C f P 7 A R d r U 0 p h T K 9 H T U K k F p l r + S S W G + i x R c C d r F L a H G z M q O J 3 r w R 1 w Q c 9 0 M l b p W O h c o U H U o V G 4 g 8 P l 3 B t B R Z 4 E / P k l 6 W d i m S g j 1 a a F 0 g V U R l 1 7 I c b 4 K j o S 8 T Z A 0 G K M 4 v d t a T b O r 3 A E s h R G V D g + E 4 A o 6 4 a k T A h 9 X j b Y k F v p f 9 k F N m w V X l A 2 p a c 5 G Q / F 7 M f 3 8 h R m 2 m f a U K l D C j q G 9 t / 4 a j a g k q i W l c a G X 0 5 L l F T I w z Q F S m z 4 x W g L d 3 5 O 1 P r I x 9 W v W t p A x N E G S 4 W c J V M h c W s D j w r 3 / f h W 2 / N d r 0 d S 9 F h 1 r N 2 L F G R d j 5 S Z t Y l l 8 K U E X b f 1 6 0 8 6 A A g n 5 i x M r Z q k C r 1 2 p j v g 8 0 s V w u k x D p G I F 2 F o 4 F q S m Y 1 P a 7 u Q G J H v a W J T p c G j P M q o z q z a P J F W G 8 q p e n 2 A w / r x a U S y a K p W P q u C J 6 q / F U E H S 1 7 u 0 5 7 P 6 a J q z U V q N O h J / u o L A I t 7 1 I / q d E t F k + 0 e n Q t Q o j b A V U n D 7 f G p 1 w g L o c 5 a V o J 5 U f a + z l i r + Q y F b V n i m B P Y g M o Z P a l r j p c z c + e K q B a y j Y b H 5 k i a M H V x 8 f Z U Z V d 0 e R I Y 0 N 8 i q i E v P x J 5 v T A V H 2 G y z e s u q h p b D N q C p / m C n s X S a A y 8 p N E T B U 2 o K x i d T q F 5 D D i w X b M p u N Z s g R e I R I d j g o 1 M b 6 2 e b W 8 l Q l M 7 5 F A 4 9 F I H d q C d H y G Z j 2 v y M M K Z O u H F N G w 7 x Z y P J F 3 k t H i 8 r b S Z 5 b L 4 6 N 2 5 / o 2 S M F / D W b 9 + u f S G / 9 T f i P T + 8 l y Y j z V b 2 S T a b Q S o Z Q 4 x m m k D M y X I I I 6 n 5 M 0 K 0 l 0 Q u T w R L h o L C q Z m M P i / N u y E / X J I z y K G R b T t P b Z b n Y U d I v 8 i k r N U O 2 Q V / H j z e Q m Z V c 2 W U 1 B J N F B P N q N f X 5 L w Y N Y 5 u t L g 3 w m X V N K G 2 Y c I i W G L B q Z i s z 3 5 J K 9 M c l a K g z h r 4 J 0 2 Z E w K 2 p 3 9 S s h M K W C U V n / S V x E 9 8 7 m r 1 1 2 6 a G 5 y H a Z p h I f h g 6 v s y I S w Q T b Q I 5 r N J y m h c V t u W o / P 0 N q T j K Q z u 0 5 O s e U 9 L U t b Z U b u m p 9 R 7 t V k d C d J T p 7 k l l U 2 + J R o k C N i a K R E r d E C f l h a f 6 z z O A b R j 4 M B O 9 O z Z h q l B N o L E K G k f 0 y O 9 O L T t M Y z 3 H 8 b I k Q P o P / a 0 2 s N 3 A c z X F 4 2 o f 1 Z 2 t d 6 H j u Q h P i I P U P J E 5 j I 4 7 T r Z K d 3 E 7 P o 5 m X z R Q b f o 6 3 b a K d B a 3 W c q Y q t U 2 k x Q u 4 7 f s b P G J j R f 5 p Q W 0 X 4 F 9 I 1 r z H N g 3 I H Z X J C W V i t 8 N N M q Q b X X B D F j 5 k 0 + Q R k z K 4 u J x F d w F C O M k X 4 v q l Z o j H B 4 N E O f z K G b s r y Y P K O u X S V H M k c t G p 6 m u Z v T r i t z Z X a 7 T W m o + f 2 F i W g i g 0 Q u B K d V 1 + i E m m N b D E s S d x F + f c f E a M M / q z V k / t G f 0 C o 5 j v 4 p a i C P F P c s o K e X f q l b G D S P O + 6 8 B 1 M z I V x 2 z 1 F s / N 4 e / O r X v 8 G D D z 2 G I 0 d 7 M T E 5 o 7 I 8 L v j 5 c b z / N r 1 U w H x G S A V G M q B C 3 G U d f w L E K I r F l T G 7 M 4 K Y f R T 1 q 7 P Y d f 8 R W g g Z a t U u 5 S 9 K K W p 5 r z a r o z 2 a z K W Q m M k s H u U T 5 1 f T W J U b L o X p x f m z 9 r c j 3 6 W Z J m Z Y o 1 W o q d N C o Z K 1 H h C i 1 T W h Z E N E R y K 6 B p N B 5 D 1 M V V Q X Q z R N 2 9 b k / M s + T s b C t p e e e g m n X 6 a t d i 2 H E L W y x x d D l v a 3 v Z b P L I X p S 9 N 7 N n / 1 Q f X 3 g Q 9 c j K z d i t f 8 6 j l M T E z i y P + 8 U 6 3 L M q J s S 0 H M U 7 n / o m 2 Q M K 9 Z A + i X n D 2 S g 6 c 5 B z f N 5 q m Y F S 7 6 H E Y F s 1 C S P y p Y l f 9 Q H m C p B A m V r 6 w r 1 Z 5 z m Q F U O z o R j y f g l b 3 B h F j 1 y l I K R n v L j 5 8 k f I M 3 4 M y f U 9 D 5 G 9 g H F h z p G 4 S n p h G 7 v 3 w l n 0 f i w T Z c 8 p X 7 a H a s x B M f W Q / X 5 L M o V K / E u 3 5 9 A H 3 p K k T o R w V c 1 v l i N k t C 3 B W z U D 0 B o t k J l e c o c 1 6 y K o E 6 a H 7 6 x 8 B s t B r J t B O n t w S x 7 / 4 R n H Y 1 F Y r E / H U M D 4 + i r a 0 F k p W z 6 F C o L O c K z B Q Z z K m a c I 4 w n X V S q p m Z p B Z C Z E 6 z e w 1 m Q m q Y z E T J J G o y M 4 O 5 I 7 J o z Y J g m 5 h z J A r R h j o z y R y J R P G M K F k 5 h J l G d L / A G h u Y Z 6 b h w 8 M l z C S z / G r l s Y 7 R i E k j m P 1 D 3 f c y 6 l 6 U M 5 P g 9 W d 1 8 I s C v H U u 1 D T y f l T x D Y 4 0 Q s e z K I z T T F i E n 8 Z M E 8 d C 8 J W Y S R h N E M o U J w 0 l m B I Z T a h d K 2 r W 2 h Q z C e p p 4 p r L A V a R E K s 8 y 2 M m Q c l e u T q E m Q R p i 0 8 9 h k V 8 a T F r y / F / Y C Z B t P 2 f 1 X U t N L 1 7 e 4 5 S U 1 U h S 7 + u i p p W p g g u + e L f 2 P c B r P Q k V B J 1 v u U S t d 6 t f 2 y S b t I k x g f o d 0 t u p U o l O g E M k 0 4 w 7 x c t j l Q u r J h J 4 K D r Y G Y m p 5 h z R I 1 / D i 2 1 E 9 R e P d h w b a t i p t 1 3 9 K u 4 w h h d J 2 E m g R y v O B y 5 V E q t / w g f T y O f n l F 1 0 O Z 6 N C c u 0 G G D w 2 t D 3 D e 4 g E p k e X C g W n u g g r H 7 u K T h k y D D Q 0 H k 6 a / 5 u u d o 6 4 c R i 0 t 9 B Z 5 v M r d k h t x L p h E / Q 0 M F a t W Z r 8 C O H 4 p q k b W J Q 8 X g h e R 5 y S w / H A 3 6 i k p 1 + y K k E q p B N E b n 6 w y l U D Y p e O e Q B 3 a v r E a m / 9 L / Q 5 p U 7 L J g M w o t T r X I U h 4 h O Z d U 2 i S b y s 3 n C T a 7 i k t F I o M Z m m 1 J p M I p 5 N K y o Y H W X o M Z q t x 6 e z i w 4 Y k q B F o 8 s D r t 2 D r g V H N E x k s e I 5 k v z g E u h t 4 Z X Y C Y g g y L a c e R s X H V 3 / K 1 7 A 4 o d d m 1 O u m 8 m 9 y w b J f z i t B D c E a e Z z l e / d X b l H a S C q 2 Z r B Y R v M O c a c I B y q f y + M P 7 t V o T E o B 5 9 0 8 e U U U q e 2 k e S 8 D l 2 Y / W w k 7 h a 5 9 7 A b 6 R X 8 C a I L N U 8 H t K T F N R C q b c 1 H K Y E 5 v 3 7 x h H O B m g 2 e Z B O k K T m o y e N s 2 5 u V R N 9 4 J i K n l 1 X E u B S g f 1 w A v P Y H B o T P m o / Q P D G k M l 5 y h x K Q T S U + J 8 0 d l 3 u W i z 2 x B c 6 e T A 1 i o n v X q l 0 V k F z K Q r l y Q 2 Q p t K U 6 n Q d A F z R 0 k s N j e C 3 V Z + b 6 G / 1 K i y j n 2 B c 7 T f Z h e G M Y s o U k H P t E 2 Z b q 1 B M g s H R G r B t f s l s s b B s B Q 7 7 c i k O N Y a g a o t I o l 2 f V v H i K r 7 Q B N D o m f m O R u Z H D Z g L M T T I R G y r L 4 t y g u + a + F 3 e z A 5 O Y 4 X n n 0 M t / z v X 7 H / 4 G E c H e 5 T 2 u S G X / 4 C u 3 b v x Z b n t u O B h 5 + h 3 3 A c + 8 f s F E I O 7 A e 1 k N e N i I R Y 9 Q C P 1 O E r A f s s R y 0 t h U 6 y e Q s u 6 E y r O S J 5 1 d h a V W + 4 x e f R i U R M z k p Y Y Q Q 9 J G C j Y 6 w s P J 8 i 4 x z q G U R r s x Y s E r y 4 f x B z k Q h G e x N q R 8 R + E V i m M m Q v 7 N i F r 3 / j O 9 j 6 w i 7 c / + A j + M 7 3 f q S Y S I S I J D 7 L t j v 9 g 6 O I x J K 4 6 X c 3 4 5 e / u g n v + e s Q x i y 0 V t h U T 4 Z 9 H m y n J s y i U R K I i U v / 8 0 + 0 C e s o B I v E K 3 5 w 3 0 Q Y c Z U h n 8 d q W g a F 4 K n I + v m q P g + x 1 o 8 g L 7 u y l x d o V X m M f H Y y m i U b g X f w 1 7 B F 6 K 9 J j b 8 K k H r x A g s Z e u P G t T z P C g e F i 8 N l Q 3 L W Z A 4 Q K Z t 2 r z p H O + p c q 9 R L + O K q q y / D Q / c + j J 7 j / U h S E S 0 r U 0 L 2 D p U F X / H c l F p M u B T K M y f q s 2 k U f P o G w 6 o y k b k T e O s M G U 9 M w o r I q 7 k A C X f v G X V g F X 0 A a X Q W l C K 0 Y C T B U w o t 7 n x 8 C m e 9 u j Q 7 W I M 8 m k Z 0 E 1 G r N v l Z A p F R Z M 7 4 E S q r U 4 y f 8 r b U I L p 0 2 n y j m B v D u P W j a x B L d q i 9 X M 0 w N u m W F Z t S o G Q 5 C B + 3 w 9 F J / 8 i 8 p o a a U Y g g n W + A w 2 1 X c 0 l i u k q K k D x 3 g U 6 v V D g S M 6 P A P r U 5 S w d c 5 u V q 5 j X 7 i Z G g S X n o 0 E F K V q s q v L N 6 3 e k 4 f U 0 D s g W P W k m w f f s O v O f d 7 5 j v E 5 m c r T g Z v w S y b O v l v 6 T w F c 0 1 x X 7 U t 7 o 5 s 6 s W P 3 2 z L B O p x + b P / a 8 6 d t 8 / b k Z V h / h x k 3 j 1 9 5 5 H J J H B s b g H H h J t 7 7 e 0 S O A J I c x k o j 0 z H O N P I R d Y i b x X W 2 t V H n x Y A A 7 N 1 H g U T c F u + k 8 p O K o j t C j c q C J D W S U Z V 8 p a s 0 / k 9 c A O Y O M a D 0 3 U 1 O I + l A F L R m p i a 7 l N l Z g p m 7 B j + F h C S S r p / Z w Q Y t a j V l 4 6 B t f Q R j x N D Y o V l M x m 6 S 9 j I 4 R b i Z m U T c s B z E x j W k 8 + X N e Q V T 5 U o 2 V M z S U J M w m S 9 o 6 S v Y R K J + 4 0 A p C o W g k z z f t R m k N s V X W w s y o o o f 6 S Z W V Z k n 3 i G b W Q L p N O 4 0 e 3 9 c 4 z 0 4 T J J x N m k l n 6 S s y 0 2 A S r r T 2 n / M W 5 o 9 o 5 A z T R C g U b J o 8 G Y Z d d 1 A j S k Z 4 U T A F F b W W B p k V l + m I 0 s 3 9 B 9 H A x Z p K 5 p Z K o I h F O W e F x 2 X H m x g 0 4 4 / T T 8 M b X v x Z n n L J S m V a y C P D U d W v U M S E W I / I 1 k x Z T R 3 s / l 6 5 U U W g h L v / S 7 b w Z + 5 Q C 6 d J V V d T Q E g k t 4 C f v l r q P b h w d C V P T 1 F F I F B Q z z f V Q 8 z o b y E x p D I e l r y 0 4 o z 2 o B P r C O c k K W I S Z B J m m y 3 R m o j / c 9 0 P t Y A V I F p B 6 u V d j X d c m V N d U o 7 m p S R 3 z F r S 4 g C p r T V 4 Q A S P j c d 1 5 F N b B L F Y 0 G b k j S 6 D g E E 7 M L 8 r R s 5 N p d H R 0 4 5 4 / P 4 e x 3 j T u / c t W O J 0 O 3 P D 9 W 3 A 0 v A u / + M V N q k z X z 3 5 5 K 7 5 / w / / i 0 J F j + M p X v 6 m V 6 5 L K R i U Q o i C l q I 6 h 4 U j V X + f N K 4 I y V k h a x G w w w U X t t e p U s Z v 5 v Q Q i x E c y o F 8 / a P g o E s 2 T 3 5 m i Q J L U o e U D 2 l F w 0 r n k 3 / H p B F z 0 m a L V F 2 E V G V E W S j 5 G M 2 f b 9 l 2 4 8 6 5 7 0 S i T w y a U E 7 e B X c W i s C W Q N C U x Q 6 t W k + G p l a o T 1 E 5 2 j 9 r 1 P R O V K l L F C 4 o Q s c v i O z 0 L Q t D u X l v R J 8 q R 8 c t R s F W V 7 G Q u C L o q M x / o Q 0 V j m j n p 9 3 m X 0 E g n J J s i q K W Q S e C Z v U f Z t z b Y 9 W s W H H 6 s a f H j i U + d j u e + a B R j c e H q r 9 5 F S e Z E w h 5 A H c 3 A u z 5 + o S b Q L f R r K i Q F z M N s t i 8 J C w Z b t E 3 u 3 P E x d I 7 f o 9 4 L O i a f F O p Y F A 6 n Z v 5 O T l J o i + + v 8 k Q 1 O G 0 5 t N Z S C S x q 8 p l C p c s x 9 U T K S N 0 + A w X a 9 / V B b T J z S N L h q b k 6 r P X s S C F 4 u S V f y q n k O a L V J N g g F X c c e n R Q h 8 z + 5 / i d 3 y l L R N i k y W e R b V y 4 d C I y H U a g j n 6 K m k O j K c g O V g / m 0 H w E q X p U M K 4 t Q Q l q 1 D D b G D T C 3 m b a o Y a 0 R X t o I q z l c 2 V x 6 T c f Q 2 5 2 D M 9 9 9 z 0 k M v 0 3 Z a A w X / D d 1 j 4 X L u j m M y 2 B w x N 2 r G v U B s Z C j V 1 g X 2 R k v o N C K U F z r 9 J O G J V g Z i Z b p X m 9 C u i Z i Z F o p + C 3 N 5 N p d V 9 J g k n 6 X N L c 3 B x y 3 t K s G Y G D p o 9 k W S Q T M b g 9 W q S 1 H D c + t A e 3 7 N L m 6 5 y W L N I h + j G + e m z 5 w t U Y i r + A d u 9 5 6 j s F P n c y 5 4 T s R C 8 R v / 6 Z F D L u G t z w r k 1 4 0 9 m a d T Q P s U D M Q l M g K 8 1 l c e y S k H 6 0 I B H d h 7 i j d F L X j M 6 Z J z B b 9 x 4 q h a X 7 M J v N q f k 9 B Z W M r J n g l U W N L F U 2 h U p P x E w C Y S a b S C M d 1 h H N V h V H u 8 V 3 N t p 9 5 9 B m 5 j F K n r z c X H K n h M B F W 1 C K J q F / 1 t E z L d R Z U L v c 9 c 1 o G c 3 C r 9 m 6 s x T B l 6 N n i 6 7 t 7 E F M p e q Q s z e R Z 3 g f P U 1 q n p k E e j R K M Z N J y g i 8 / T / F s W m X Y i a B l D v O Z g o 4 Z Q W v Z 9 r D V k E Y k 8 R w f N o 2 z 0 w S 8 p f 8 v E M T j h M y k 0 C Y S f w j g T C T F M y c y r q R H I 2 j 2 k t T L z c z H 1 4 3 o m j J 3 M J h s 5 E B t d f y m E n g 8 R 5 B K D t Y z D A X C D P J c 9 H 8 r a 6 m F C a h l 0 O 2 z R G L Z T F m E t z y 1 C H t O r k 0 g n m O j S Q T i 9 Q h h J m G E z s o K C X i l 4 V j a h u S Q z F c S m a C 0 6 e Y a V W D b y E z C V S U 1 h h / u R 5 f J 2 Q m g T Z A S z G T Y K D 2 C n j S J 0 4 5 M p h J V f 8 l n W V j m j k y P z K y p 8 6 8 2 j S W K h O L m X q V U N C p y p H I w r M u p p 1 r r 9 F m k + X B d R v X a g p M G J t X K Z P O t D n 0 q j r p L B J U Z h S n N 8 u S B j 2 q Z f P A F i 6 v W 0 D n k N J c c H z G T r 9 G Y z 4 x d 8 r X Z C 2 A K d 3 G M f A 7 x L s + j t X 1 p U y 2 9 b + u w U 3 / f A 1 2 T 0 T U E n D Z / V v l x A m B 8 9 l W 1 h U Z v K Z w T O X n r W 9 c h s 2 v I 1 G I w T a j T Q F U u z q V m R v s 8 C K R S O H + R 3 d h 1 4 s v I h S J 4 + e / + B W t I T f 2 v L g D A 0 M j 2 L l 7 H 8 K x h H p J X 2 m v I u Z r 6 I t v W A G S K d J g O W u e U e c h n 8 X 8 J e q 8 n d K 7 6 n 0 5 Z H w r 0 Y e q J q x q F 5 K h y F R T Y W 2 + 7 2 l q J w U y Z J v n H D I y t S L 7 P 9 O 4 G d Z 8 Q A m O n k k R W g X c 8 8 m L t N 8 u Q J G O 1 P u y Z 1 4 K B W X y l 0 K t n N C n Y g S S A U R Z q B f L O T G c + n J 7 u 4 / M n 5 n T G E p S Q 9 S e O h D i K n Z e M n d i z W R A H F g H p b U / m 0 A u 5 u V g a s G B c O I Q C l J F x / T g M u t v J H K u E e I 1 5 n 4 q F L Y v 6 C k 4 E q V z s + 2 S M Z 7 3 F 1 e F a n 6 S B Z 7 G q G r D y t q s 8 h F G T I v 6 F o V J 8 / q G f o J I 6 / u U v 1 Y Z e W x S 1 U m j a v d v I y e u H A W v a T Z f J D Q h 4 V m p p W e G E H G W D t x I y A a v v R Z T U r e C 2 D H g V 4 E O Q X b U h 1 d f f R X O O / t M V A W 8 + O i H P 4 B s O o n z z z k L n e 2 t O H v T B g R 9 H g Q 9 H M Y K k 5 h e y q 2 o T E u U m 0 g 6 o t E Y v B 5 t 3 m Y 8 s R 9 T e g B o n H 0 9 D / a p h E S k p L S B w d 5 p 1 d c G D M a S l / j b r / j C H 3 m U / c j f 3 P L R z W y I T O x n S K x 6 3 5 q E X C w 7 w W 4 q 4 D W / / C n d x A Y U 6 E u u b v C j V h p f D l X c 0 z w + p n Y u A b E y 7 N T e v S 8 d g T N R w 7 4 v 0 o Y 8 R 5 1 b w u B a M E L K O M h f / 9 S d + i + W j z x 9 U I 5 q i M y k E 4 G S V G y w F I 0 n Y t m F 9 v N i E A f W n k k j P r Q a m d o U Z u K a V M p I 0 q a 5 n B Q h s / 5 u f Y 5 I z Q k t k X h p Q F Z G O q x k W r 5 C W Y / a 1 E t B n H W a S e s v W Y f 9 T x S X S 5 T v + z N E w p U d M k o g j i W 1 o n / 4 J 4 i 1 f 4 L P U F C F Y Y R W T P S i g 3 2 T i 8 9 X D 1 o W d M k v a 8 O a Z I d 0 k 6 k a j s R o h + e R m u n n z 5 x 4 Y O u k W t J + R n M c e / b t Z 8 d N I R k n w 9 N q s N C v S a c o O M S C E B N V t y T k m R T E / 5 F J T F 0 T i f A x 4 L e T m c w T 1 y b 4 / d q z S N 0 H y R i o 1 1 e f N u k R 0 Q T N T S l e K i j Y i h K 7 Y 0 U d z e A i g 5 k h c 5 R p q W F B x n J Q C H W T O R 7 / z 6 v x z J e 1 Q E A 5 f P Z G 8 l q O J n o d j g 1 P k P o K e O w z x R 3 z 5 y F C 9 2 R 2 c D F B / O B s O o P g u l q k P V I S Q R u H L O + 7 W O A l 1 f I W W O M y X 1 m 0 m k 4 E i f h Z j X U g J X A 1 0 + E s X c t T C X / 4 x Q N w F K o Q o G a r t f g Q s p C 4 7 W Q q N t 5 l c 2 E 2 1 o R M 1 q 5 C x C Y B p y A Z D W p N k 5 5 R X Q m W T F H q G l k F Q u f i + 9 g z R l 0 8 d o h b N j k Y R y 5 U 7 H A x m 1 Q B F B 0 y y W t a p j U P 9 / i 9 i L Z 9 Q r 2 X Z U 4 q a 4 C X l N f u 4 T J C l F l 4 S l p J K j 1 Z y K 6 B K v w r y E Y Q 8 O T g d t l R 1 9 I J / / S P c e 7 l l 2 H d 2 p U q n L 2 J A y + + p V 0 I n M w g W f N j 8 R p a D J q J F C X x y 2 y 9 M W E 9 D z H T C p k F 8 2 1 5 l J q w Y p H J f J a x F q v B f Y o q U G p G g c w Z l 6 r A O j J l / q M 4 5 Q K j 3 p 8 Z 7 Z 2 t W N t s w R O f 1 0 w 8 p 5 Q r U + 8 q 4 5 L P 3 4 6 C j 4 x v d 2 B 1 k 5 / C s C g Q 5 p d w L E P o L g Y p l C P a U 1 Y H m J F M y K 7 2 F G r p r F Y W u w x 5 L 2 m T L o Z r 7 H 7 9 y I l R M c o n R V h m 0 0 b K e m U I Z 2 f C Q T z 3 3 P P o X t G F e + 9 + Q M X s 2 2 m K D A 4 O o 7 m p A V d f e w W y t l m l Q i f J V L L k Q i R / 3 6 w N 7 U F K M B s H h W r c Q n + k E m P J U u 8 C f Q o x l 7 K Z D d Q w x S w A f / + P E O 3 6 l H p v Y P w Y / Z d O C S / z h 3 Y J Q v C 3 Z W a k Z G P b 2 L G S W O u Y 3 o Z 0 0 y t 4 I / 3 L C h A m n E m O I Z a O U X L X q Y i n 5 H g F P K f o v z g J i A l I r T U U 3 Y 5 2 / 7 n q k C y d b 5 r 8 I Z l a e x Z Z l C j r j E L H Y 6 h a W a o N Z S 2 V U c P A g K y / E m G x g L n K Y E k N s i 8 7 1 F a t d X W 1 6 O N 5 l f L 7 C p k x z B R K 0 6 8 q Q R a R y q T w U q h 1 r l p U A x i Q 6 P D m z / 4 J x 9 M + + t F W 9 H 3 v e v 0 b H f R L r r 1 1 j s 9 o w V 3 / Y K 5 X s T Q q + X a + T A K x C k G J W t J n m g w l g T W H E b k r g 3 / y l 4 g 2 f F j / t D g W M J T Y t M k F 8 0 M L 4 c x l k L a Z o k O E B A Y c N q p X k 4 0 q k D Q N F d p 0 N f K O P M e 4 o 6 y q r V A U R p P k k l 7 U g Y H o 8 2 j 2 n o W 9 I w G c 0 1 4 M D Q e m b s C Q / + M q f W c 2 m s D G d k 2 b v H j b M M 5 8 U 1 l 0 i A L C N / Q z F F J 5 p O s v R b b q D E p c S n o S c 4 1 9 g m 1 Y O j t 5 i o M j t X / M z r k d N l S 5 i m W V y 2 E O h 8 9 D 1 R R f a D L 6 e 7 6 F U P u n Y b X b k c z P I j f j h b / R g 0 i v C 4 E V J 4 4 U C o 5 M 2 b H W H E w R 7 a 5 P G Q g k r G 6 l A y 0 E L k s 5 Q i n H A u a c o x C l 8 a X e O 2 h a Z k w B m + V B + k f r J / G 7 B C J M Q + l B V D n 1 q G 8 Z L v 4 s / S 3 6 T h K M 2 N R Z j c f f T b p q 1 O t S Z M P Y O 5 z C P / 2 R J n B N 5 / K y z X X k 8 m m V T b 9 c C F N J O T l b e W 0 4 M 6 g N 3 M N / R r L 9 7 f p H s W Z K h U r J J 3 G e h Z m m Z 2 g q 5 X z Y t u c Y Q l M Z h G b z i M e E S X i z v A O Z l B u j c x r T T E 5 m M T u X p 7 3 v R n K 2 G j N h G 9 J J l / 5 7 A z x P 1 v u b w r N q d W g F Z h L I R J 4 w k w Q c O v 0 X I p H 2 l D C T I J d 0 q j m a T t + E Y i a Z 8 P X 2 / R x n X X g I i d G j v P 4 M b L M v q d + O R B y I d X w C 8 R X v x b b o e b y 5 T U l 1 l V 1 A 0 8 o I k D x 9 X J + L I c Q s E m 0 6 n u h V p F E e 6 c q S 8 E Q K S u m 0 S l j A T H J + G T M Z l Y 9 i X R 9 X y b c W K 8 k 5 5 I a n R m u P M N N c X 9 G k k m D O Y u i u K b 1 f g b 7 J 8 L B W y F G Y S U L q h r a Q R M 5 y Z h r j c x r M J M i V k s Y y o V 3 f Y C a v t Q n 7 D h y i 4 O l U P q N o A f U t 2 y G v t J i N O S t 6 J m I I 0 N R 9 8 N O X I R M 8 E 2 G j j r U 9 i H / 6 5 R M 8 x Q J r a B m Z 5 i Z k C r q p u A T M g R U J w C 3 J T A K 2 Q 5 j J k p q B e / Q 2 f l z Y R 5 Z d R 2 c K U g F I U l 0 0 N a l 1 h 2 T b S q 0 4 9 f D s X K k + J P e X K m t 5 E q S l w G M W O n X S 8 U J 9 6 g + d M g s 1 S 1 6 + K / o v d b I i 1 K H P a 6 n I 1 z I H K 3 U c e e d K 2 v o 2 V d z R D N f o / X Q c r 4 V n 5 A 9 I 1 l 9 P k 7 H o P + 2 5 c x Q b X 9 9 C p h r m 8 V J t p Z p q 9 J u x d s b U j 5 K m 4 3 T 2 U v 2 X M v B S 8 N I J 9 / i K y 0 c k Q X d t A 1 m O j y o r Z v V S 7 R U R o / + e G 2 Z / u E L w N b p l l N X x + f k k f p z r T 6 C 6 e + n 5 E 1 k m L 0 V g X E 5 X y a S k l A W I J + l Y 8 z o B V 4 S N 0 a K m g k I u g r n s 6 P y S h U w + B Y f V h e t / q 4 3 d v e 8 r t U B O F g 2 e d b j j r n t Q W 1 u H M z e d g U c f f R z r 1 q 1 F z / H j 6 j G / 9 N A Q w n A j Z v H i 1 W e 0 4 r c f 0 L Y 9 9 f f 9 E J O t n 8 Y b v / V X R O i D y 3 K P L Z + 7 Q n 1 3 I k h 9 C G N e z T D 7 J C g h 2 7 5 G U 5 P s A 2 3 S O j y b Q L C m t E 9 F m 5 4 s P J N / Q c p z P r y z t y F D X 3 T e 5 I t k R 5 A 2 r e F 3 5 9 J I 6 h m 2 W W q I p 3 d u R c D n R y g W x p q u d f R p k p i Y n a Y z l 8 J l Z 2 + A c 2 w V M m 0 L 7 V a B B N y q J H A g 8 x L C T O q O y 4 C + 8 E 7 8 L y X N e Z 5 a J E d 1 H h j 5 C S L t / 6 a C G 5 J k S r 6 f h 0 i e w 8 8 f w y m b 0 i j o h U V y m Q l k r L V w 2 + x q f V S L p A 8 Z W Q E V B F M l G z y a o i n m q i z 5 3 H w u n 2 u l z r B 8 T g q j A 2 M O n F o / z f f 8 X K H W g W z l W T W X K O 4 A w n b L 8 o 5 K k 7 N z P S l 4 G i 1 w B R Z + J y a c a B 0 z J I 9 Q h G Q J V I Q w x T 8 h z E C K 0 Y i m K A 5 G W M / K f u c t Q T 6 E / Y Q M J Y G N W C S J Q J V X u Q o S s T N j K Q I 9 N D S D 9 / / o Q R z P e N B V T 2 t I T z 9 K 5 i h Y o i N 4 4 3 0 + j I b J 2 N P H 8 b 5 L V u I D l 5 a W T l g O K o 2 h 0 I a D L s D k b A o 1 + r J 1 A 6 I 6 K l X r O h k o 0 S Q B C D M z C Q x m E g S t s 3 j F h R t x 7 h m r c N W F Z 6 K r 1 Y t V X b W 4 c N N a X H f W K h S G a h d l J o F E q 8 U 0 U v X O l 8 t M A j 2 y I x s D r 8 0 / j 9 N z v 4 N 7 7 K 9 s t R N z g T e r 7 7 w O E m H Z N U W r Z p L U q J S Q B m x k n D z N V f l t g 0 / X d n q K T T l m 0 0 Y E s R S V m C m V 0 e Z U k k p Y C D O p f 9 k I J 0 5 t 4 Q f R g L J k h d L R D A l G q J 9 m i / 0 s A Q b L I p k O w Z U u x U z T h x c G D C r V q D O Y q W R O S X w i q 0 8 x k / p o Y i Z Z J R B 0 N e F Q P 0 3 P 0 B g 5 + M Q m l t x X m E k h s z A K N 0 M L Y z F 8 8 I Y H E S m I R g b u / 9 f L t Y P p K Q q 8 K t z + z K M Y 6 a U p L V I y 0 I S + 1 M u P 8 J V D a C N L Y d E S X N h n Y t a b 2 2 w 2 C Z c L q 3 C x U Q j d g L F S 0 U B c N o u q A F 8 2 g e h k C 6 x d 2 i T u U q h x r 1 T h X w 3 U K O l R Z Z J p V Y t k r m W c 7 z m Q 8 z U D C J k H 4 3 c b 6 7 Y h W X s u d h T e i 8 m a t y n N 5 Y 9 t 4 W U 0 s y y r L y Q 0 Y 8 M r 1 t P 0 m 8 a v d 8 z g a 4 9 r v o Q w n 8 x F m a O y E Y l q 0 X e U f j B e Y u o u F y 6 H l t o k k F 1 J F k P B Z f I X 2 b + S I N s h G f M 6 k 8 o y D S k 9 b Z i j w n B m G M f r 1 v k R 7 i 3 V H E I k g v 6 B h U x g z C k Z m E 1 X 3 h 1 D A k k S T v j O X w 8 r w l r V c H L m n k + f I D Z D F S m t g O P j M r 9 G / 5 t k t q L B h z q j F J 0 E h 1 I j + M F T Y n F w k K Y p 2 M K j e K R n S p S 3 h v m V A k t D 5 t C W Q l K i f b F K 1 k a R i a z J x Q X C Y r A G 7 U 3 w 2 5 q Q H k 7 x I W y w R z y w p h s 4 z l X o f X w n q u 3 t y I 8 4 Y O v v Q r 7 P j / y 0 E / b B N S q i l + N A W l r m 4 E j O o m v i T n g i x m 4 G B T R N P I H 2 s X t h z a V Q D + n s Y s T I P X I H q c C v / J v p b B t N l g I H t J p f 0 L 5 3 N q n s b s X k d q l 5 7 Y C P 2 l P C p r J 8 I i C Z 0 t R c F l n 5 q U 9 Y u h 0 m o i G T Z V O z / J v C L w a c + M 3 O M H 6 9 N Y F L v / A X 9 b U w 1 d O m T Y Y L u T m 2 9 u Q l k Y G J c D F C O E 3 N Z k g 4 Y U z Z 7 K 0 i V C q W B n 2 f g A X 7 D Z V X o T U j 2 F 0 q 8 A x 0 d R a n H k q l K w V J f D / b R 2 F R y b 7 V I b E 5 K a w i J u q P 3 l W 8 l v h U r / 1 d 5 X s u j c r 3 + s c f 3 Y e Z J P u A b X z i s 1 e S i U y p U a 5 W v O k M P 6 o k z z I m J r k H 9 t B U k b h F 4 + s w B O C c Z O P I U h / 9 s 7 z i F d K M F s D n h Y d K Q W A l 7 Y u J a j b 5 5 i t 0 C S 0 a y 0 f o Z / I f 7 X 0 F W M P Z c U R z 4 3 C 2 y X 4 5 O W Q D C S S d c 8 h M + t B 1 x i V 0 W o d g b c 0 g 1 9 U P a 3 c U 1 r o 0 J j 2 7 6 X i v p F m o E W b S U Y d j t W 9 G I m C E R i 0 Y b 7 w C Q 8 3 X o 8 b V C S v 9 L d / 4 L + E Z + i P s M z u R b H 0 j t V W A Z t A U O i M / h s O S 0 g p k h H v h m n k E v s i T s M e l U l K W p h q Z p v Y y X r O U w F S C 7 T w s + N z D Y / j w n c O K y e y u G v 5 1 4 V N v r Y e V p k t i b g B H p p I w d q y / 1 B S K X q j 4 T w 6 N w a L E F B N K F i w e n 9 W W / + d Q m Q i l b L J A i v P b X N p z S B l h b b A q w 4 h E K v B t e H j x G X z R b j n 2 X T w h T H R U Z T t E K 5 S B L o e F j K Q m W P l X V 3 q Y i d A K o P D K U 8 i Z Y f h b l Z C R 3 e 0 X w Y M 7 e + R G m K E R s L r R T W H I v i i r 5 f E v / / B + v O 1 8 I W I 2 I p f F o 5 / e X M z m 0 Z H T r R N B j i b c T F 7 L b D 9 Z J G h 9 e X J J V D k q h / U V y G y q V J 1 A Z e W T a u Z r W P K + 4 i 4 p p i s r 0 i J C L T / D A e b R f N c I r P W V V C J / x 9 e 6 l u L a F J s t D 4 c 9 y 4 c s X k 4 G R 9 V 7 s w W Q 8 6 9 E r O n D S L S 9 A 9 l a r W 6 A o O C q R 7 T p 4 8 h L 2 S e H l 4 P Z j V T t q 2 j e X Y 2 8 j x 1 I m 1 + K e U h B f 0 P g G n + T 7 e + E f / h H 2 g f i m b 4 4 D k y k 8 K G f P 6 I f A d a 2 5 P D c p 9 o p X E g M / n q s / K i 2 y b U Z m Q q h z / 8 r q r z a P N 5 i T r n U I M 9 T E 8 R G 4 v O z 9 6 q M s L G E g o N j z h I R S P D F j G C b B 6 G + o r m p T G d Z 2 k A z O p c / i I H w L I W U S N L S 8 y r B p 6 f X P L S L R M I O l q 1 6 X L r Z / 6 E f v g C E R v G R s 2 X h Z f F a 4 m 8 p 6 O N h h k P C m j x e 4 + S 4 6 + u r D H z t r 1 s x N K f V J n / m i 9 f p R x f i j o f p Q / l q S I p 5 j e n K I J u i V Y I U W s m a 6 x O e A J J C l b C 5 k U o s s l G c g f J a l U a Q S f Y s l g w a Y T r S 0 j w 1 O e P s w C w P 1 J 6 4 M V V 6 u L H c 1 7 B J d I u w 0 8 x z W K v g N 0 L l B m Q 8 + F K 2 t f 7 e / F K 0 b X y W 1 b 3 8 q x K B T S 9 V w U h / H 2 3 / F P x j P 9 Y + y 6 Z i f L 3 Y M 6 Y t k 5 c T + X / B 3 Y 3 3 X s h 2 k L i k j g J l 8 P z 5 f I I F J a P + b y h S 1 1 J r N 2 e P U e J n 0 w h 2 L e J s W 2 0 0 h 0 m w 0 n 5 Z 4 p C b h a c g Z h H H y G g 7 X 1 K r b + Z I k h o 4 R e H U g o F Y A 6 a R Q J w + Z d A e o V Z a O t Q u c N J H T Z C R x X + 6 + b F e 3 j C H G 9 / X h Z R u l n 7 z g 2 f S / 8 3 j N W d V 8 x c y v m U c x H Z Y y Y T y 8 p K Q h a B r L F 4 K k x U 0 o 6 z w + Y q R t N 8 / t o / a y I + k x Y P T 2 4 L q M R b D H f / 9 c T z + b x f g w c 8 U d z E x Q / W v N K X s J Z P R s l T d m i f T i v Q t + 9 7 8 k l o S j T 4 t K d Y t y 5 V E 2 1 T C E p Z D O d S o W 4 c 6 k P Y 6 Y D H 7 I k t A U k 6 m I k G + 6 u j / l H a L d G i V 9 z Q E h C A W g T n b t y J E f T q 0 H E P z 1 Q e G x / H 4 f f + L R C q D B x 5 6 V K 3 8 / f U z 7 X j m s b / h b b 4 D m J m e x o D / N H R / 6 y X c + 8 I x P P D g w 3 j k s S e w 3 r u a l g P J o a o D X R / 4 u V 7 I R S A 9 + / L w w h M 9 d N f 8 y E S 9 S E y 7 4 K a n a M s F 4 a R G 9 t l b Y S 9 U 0 R 9 J w u l 2 s 7 / s S h P J i s / J y Q g e 3 f M A M p S K y 4 F F t J a 9 B l 4 / f U s 4 V P B C U N A z 5 W v X y U S w p t m 8 7 q P I D 7 I d E 3 W Y S J R m m G d k T b 8 J o m 1 S o 3 H V / t h Y E u G e a X h t T t J O D u 7 p C D 9 P Y f b g K O p D I f z v v x j 1 4 + X e F l 3 z F S H b F 8 k r Q R c g 6 F k H q x S H q T D G 9 2 w / h p 6 p O P v I g o f / X 2 V G M c M z f J f y e S t h s c w L A y I o z f 6 i M J e f p p n 2 0 j S y + I y S y y e w S A V l 0 T b l N C G 0 a F g O i 2 B + 7 2 P C 9 r 0 P d P 2 X K 7 8 f s Y B p S Y S O X F 4 r 4 W T G 6 O A c A l V u e F 0 p + P g q j 9 h W F 4 Q x p W E v D y o K V 2 H G W j Y C O 6 0 r i F W r V 6 k U k V U r V + L K V 1 y B M z a c j q 6 V p + D c 9 X 7 8 b X 8 W U 3 m f M j c P H H g J n 7 7 m K m w 4 v R k j 4 Q B 6 x x I Y j 8 2 h k J j D d R d u 1 m p S U M M m l l G W q x y h y S w 6 2 r u x 7 f m d y g Q 9 e P A o d m z f j e 7 u F X B 5 L P j t r / 6 C 8 8 + 5 G L / 5 9 W / J U C 4 k k y l U V Q W R m s n h U O 8 B x O N x b F j p x 2 C 0 G h 4 q A i M l 7 t C E D f W + g s o i N 7 b v 3 z P M H y R G 4 f f 7 V a T P i F C q x Z N q 8 H k w N c Q v g n y W G V i q a E Y G k / C E K a F 9 m g U x N R 4 h A / O 3 9 C G L u W o k s N p 6 a s K M + u u q 9 e L N l 6 3 D P 1 z e h p r m F g S r A / A 2 r k C g N U i i K / X X j H V v 5 Q h Y V s H t p u l O I r T Z 7 X z J 7 p A a I 4 u J 9 5 a L 1 2 M y m s V r z 2 z D u a s a 8 N e / 3 Y k z z t j A 5 5 e a G h L Z K 7 2 u N / o 4 M l V a z f h y S B D h R J E 8 M 6 T N U h b M e B m w 5 D x w l u y x r L c h G 9 E Y a T k W j F 3 y R z V Y e k a f K 0 h d 5 0 J 5 S a Z F U L 7 U v R w v Z 7 b Z g C y d 8 N t l M n d h v p t k f m 9 q o y P K j h G J n 9 M z y W U Q Z D C s o U P U Q O u x 7 v M P I 5 S k j z L V h 6 v O 6 M T / / p t m p + + 4 7 Q i u f 1 r b H d 4 X n 0 D P r z 6 i 3 s + k j i p J 9 f e G u R / C g 5 S K b T R D T N J H d o m Q / a o q Q S o / N 5 7 s 1 E s + g V B 2 i q Y u B R 0 Z I E a b P x d 2 w B b U + m m o f w Y N r Q F 4 y F B u j n d 8 E Q 3 p k Z L C p t J h y 4 G H J p H d 1 Q 2 7 x Y d 7 7 r 0 f s W g M D f V 1 O H z 0 G N 7 w + t d i 6 7 b t e O t b 3 s J f U q A c O I T 6 p m b U V g c x N D K K c D h M / y W B K Z W 0 K x k V x Y w T c 2 X g c k h Q Q v l R u r z / + u M U j p Q f X 3 u V Z n 3 M J D T / v 7 Z C O N + M V M S N 1 o b F V z w Y V Y V P C P E 5 y a i K o e S z P R N H 1 r H 0 z W V W 3 K e X L 3 V Y / H j k v u f x q u v P p w R M 4 I n H n s Y H 3 v 1 G a q d a M l 2 p e f H 3 g m i v v / z 5 T 3 j t a 1 + D o a F h P P 7 4 4 z j t t N P 4 f g j / 8 K 6 3 Y y r u x C 8 f 7 s X / P L 2 b K j 6 D L m c c 2 7 7 z T n X u R N 8 E / u O R H j y 4 b 4 R O z C D G b t a y u 7 X J P C 3 A I m Z Q p R D 6 Z + 7 L Y j J W w O / e W p R s J 4 L B U L O H M 6 h Z V z w v n K R / Q + 1 j o b 1 e o C Y f m Q y j p T 6 w Q D o L p B a 5 e R N r X R 8 t g A i U A p k p T I m d o + Q 2 m E L 8 i G z M A W t Z U Z m l I N F W u Y a B A I k 6 Q q K W S J g 4 7 5 V w I i E q m R w q y 7 2 2 F t E + O 6 p W L + z j I o p P K U H Z 4 N T P E G 3 Q 9 u w t h 4 T H 5 e c f / M l u j G W D Q E 0 H 7 n 2 v A + F U E u m s D b L V j 4 t a c i m E Z u N Y 2 X I G f v D D n + A d 7 3 g 7 D h 7 S 9 h u T r Y T G x s b R 1 t a K / v 5 + v O F 1 l d Z z i b l I I S k L H / W 1 W r Z P / v s H / k v e t I 7 e h 3 C w W O 2 0 E p y y M Y + O m 3 9 9 H 8 4 + 6 2 z s 3 3 s E 2 1 / Y g 1 e 8 4 i p K q Q A e f v h R r F 3 7 8 r S U L K 2 Y X 9 V Z A S M h O 9 z N Z 2 J V o 1 X t / d v Z 0 g l f 1 o v q V D t i s 1 F M x s f Q U N 2 O 5 4 8 N I J r J I z Q 9 i S d e G s C 7 L j 0 V v m o f r q D J + N M n j t G B D + A T r 1 p H P y d E j e 5 R J k c u F 6 M P 0 k Q C 9 G C 4 P 4 S J o S g e f W A b N m 5 a j 2 8 / G s f U b B K z h 4 7 i z K 7 V P C + A 3 / 7 y b 1 i 3 c h O 2 P 3 c A N f 4 2 R G j O 3 X P 7 E 7 D l / b D D h 9 q a W g y P Z t D Y b c c g f T 8 r 7 y n d N 9 + F V r 4 h 4 Q Z 8 L s z O z c H j W R h A s N N s E o y G r S S O g t p Y T J b 3 z 8 X o 5 6 i d 6 k l P M t F J K T q T j 8 + b Y p I J I J D P e W E o N 0 2 w O H 1 I 0 l Y l x j W j U G b i p H X L R a 5 p k 8 3 T y r 6 v E 1 / m B F n p o p k l O C F / 4 / T P P H W l G l C l M E X p W 6 l N p 4 v t k 6 a G s R 5 2 + p 6 V I C u d Z 5 N T u I l C V I I d S I b x z g t r 2 M d 2 e J 0 2 m s c n 8 N U J K 9 2 L g K s e F 1 5 4 P o K B A L q 7 O r B y R R c 6 6 r N Y u 2 Y V W m n a r 1 6 9 e h G r T D 8 m E U D x o 2 j 6 z W s o w f B s I 8 5 L / w 7 D T d f q R 4 r w R g d Q n T 6 G k V r Z 4 g X Y 9 V w / f R 0 b z j 5 / H R 5 7 Y C f e + M b X c j Q o K c W p O A G O T d l V 3 Q Y p E i l Z 3 y c Y 4 x L s u n M Q t S u s a F / f p H a M N 4 q 2 y 9 J 4 3 8 Q T y D R f g h x 9 j r b / f F G p 4 R p K 7 Y M 3 f B C x W B z P 3 / 8 i t j k D e G D 3 E L Z 8 + V p M J o + g w U b n X V 8 i L s Q W y 0 3 S 8 a c 5 Z n q O 1 / 6 o j 9 K S n + d G c f 9 / X 8 L v N E f W S h U v / o K R a Z I j x d q t W b W M 3 p K i 4 2 z v Q I r / B e j / L I C c o 2 s C 8 Y s z 6 R T C k b C q A R h P p r F m 1 e J L Q w S h U B g T P b v R s W 4 D 3 I E g k q k I E p h D 9 P g c C d O D 6 N w U q k / R A k O O w b V I O g f g T L U h 3 X R A V Q a u h K W 0 k M B l D c C a m Z z / j d / S D K f T Q 7 I 6 M e F W g k R j 3 a a 2 y D L 8 J k 9 x U z f Z L q Z g r 4 Z 7 7 D Y k 2 9 + v H y 0 i Q Q / g P T + 6 E 4 P U + l L g 5 o 5 P n a a W 5 f i c i 8 / R l U O G t d 6 z U A E M R J 7 n W H r R 6 t P 2 Y l 4 u S h h K a p N L E K J t 8 B 5 Y X D Z K N j q L c 1 E M d r 5 J L d e 2 i 0 f M F t R O 7 s H v n 0 i q Q h Z i 9 0 o 2 8 a t e + U p K + c y 8 b 7 M U p D J Q s X 6 5 B o m U 5 F 0 t F U 0 a g a x z 2 v S G V p p e k g U P N A d z y r n 3 e g 0 z V R 6 j e P Z V 3 3 o E L 4 3 G Y S W R r K b J 8 / Q 3 3 4 l 9 d 8 5 g w + v L 7 G G Z l D P V w w 5 n R u B 3 U F P l + X y 5 K J L 5 C J 3 y A l 7 / P 5 S C 0 S n c + y V T + a t F k B g P w N 0 Q U Q O V Z H d I V a R T m x c 3 u 0 6 2 6 q s g F d u L K E 2 x b D Z b L G d F F H 0 g 6 Y v 5 o V X I y H a m 0 0 E 4 m m P K U j F D w u e G N l o u P F k y o E p L s 9 L s O / F a p d m e O G p W L e 1 W S J s L W a l T G F C m Y p z + V U 1 i L 7 I N F 2 m C h 8 J K y i A Y g R y Z r P / b 9 j 5 c e Y Y s Z 9 e O C V M 5 K N j K I f 7 / b M K P G q / 4 V 0 L r W p 9 L U c u F K K W n 5 a K E o R Z D + e p M s 7 9 l 2 M + S e 2 V I 7 q W w e 8 S B T a 0 L m c 4 S 7 0 P B q 0 U a x V c y a k K M 9 U w g Q y O q Y 5 X G C B K c y J G p z 2 7 P K F O p R k p d E f 7 e b y G 6 4 r P q v Y F L v / 6 w 8 g c s 4 V E 8 + f V 3 Y s 9 D e 3 D 2 t W f q 3 + o g I c 1 k B n F o d C U u 6 J L q S p V t 7 s 3 f f J z / F p D 1 1 u L M F X 7 8 4 P p 6 t j O k M h L M s A + s Q r Z T 8 8 m y W T s 8 9 m 4 + S 5 z S z k E z d B R Z f Y Z f M r 1 r X V 0 c / A R S + T C F R B 7 V J w g F G 0 g m D i B m I v 6 R w V m 0 d p x E Z F W 6 t p + O e L e W + y e F 8 I 3 a 3 S d C N m e n Z Z L l O d S 9 Z c G L W t c K k u D i 2 m r u C J 9 x b R k n G 8 i n U E j 1 w a I n N I + N T 6 C 5 y Z S 8 T F 8 O i w Q o Y l J / I 7 d 0 Q a G h 6 Q Q + + r O X g I 5 N e N 8 5 N r z p d K 0 d q a w T A U e X M q k F U q r B n O t 5 M h C l s K x T Z y Z L M 5 y F m T q n 7 o X f l B m x H G Y S V G I m g c F M A m G m Z D S J P X c O o 3 l V 4 z w z C e S x h Z l E M l d X F a N k 8 Y Z 3 6 e + K e O r z r + I A s 1 3 B J l z + n 7 d w w C o w C w l T 8 r c u 5 O 0 X Y y b B G t n K h o w 8 c G A 3 9 t F c d l t q y A D F N u f 7 G u F M p u a Z S W C 3 Z y k M j i G a H a E J 8 Y J i J q m x M R l u o m S 1 q a z 2 a H Y c s b R k m S x v 8 j A a L 2 U m g T D T m G w A v V y I 4 C U z W Q Z b O Z i F E z K T m I I G x K S V 6 l b l z C S Y S f V i b p F M f R m 5 w I o l Z L d M L u v M J O a 2 w U y Z Q o x N T M I 3 9 E t E s m M l + X r G S / Z 9 X g r 9 E 3 F 8 9 K d 0 A W S F + e w Q 3 n B a U f O 4 7 O l 5 Z h K Y m U m K o y 4 X + d S 4 m l y v y F B S M m p u u p h 2 Z K Q x G b j n z 1 s x U n c t q u L 7 Y K G E l k V k M u c g P o g K Y y + D T x e L B B 7 b 2 o / d 9 x 6 F m 8 7 6 x t e X L W U n z m x L q 1 3 t L v x Z D y I p T R p a k m P I + 0 u l + 8 i Y V N A B v v k W m m j S X x y k m U h l 5 / n 5 r d s x M T m N m d k Q I n S O Z + Z C G B k d o 7 k h 0 S J N U N z 0 / v N 5 j T w V W g q R / k N 4 8 r n t N D v 4 X d q O Q j 9 9 i + 4 J p N 2 V f R M N 0 p o C 4 m k J g q S U l B f k 8 1 Y 4 7 Z q Q W W z Z y D x E m 5 U R f y K n Z f o 3 t 5 m F z s K + F X O n H I W O E R K Z B d m h o o 8 n m n M 2 V q 3 W f h k Q n 8 l Y g S B R w A y 1 r c s S V J / L I R p b i L w c s 8 c S a r e K y i h t m z l w Y o U D o f Q Q J g J n 0 U 8 u F e z L x b / 8 f C c 5 h f 3 m 5 D P V t O P f 7 1 v c / D a j Z D f M J Z D l u A w k o + g L 9 R Q p 3 + y E 2 8 i m 1 X V a h 8 q u b E 3 t x c 5 z 5 p o Q j U Z x 7 G A S B 0 J n Y e j g A z j 9 9 A 3 4 4 Q 9 / j B 2 7 9 u K 2 O + 7 G 7 3 9 / s / 7 r y o i l p 9 Q a r J z a c 0 f D s e 3 H M L B v E K s v 6 M K m 6 9 d I r + r f l C K e 0 U o y u + Z 6 8 J q v S f 0 3 t m l c z L F S t D Q 3 U h t Y s H k N t R j N O t n T 6 X N b t q j n F O 1 m Q D I Y O j r a 6 Q v W Y + f O X e j p O Y 5 d u 1 7 E k 0 8 9 g + r q W j z x x B P a 7 9 g c S V W p r 6 1 B P h l C K h r G z f 9 7 O 2 y y A 1 9 X a b 1 1 M y R d R 0 s k p f 1 O Q g 1 6 o v C Z 1 l W l s k W t K K l c Q o x C Q I J J 8 1 o m Y j o z j F S m l G k 9 E l Q x Q T b W z u T j C 0 x R K Z l V E X w u W 1 s U u Y Q u n O h D 1 / j m 5 t d + G e l l d v 7 1 0 e z K 6 Z G z V O F E d U f K G F g q N l V A Q f V N 5 b E W 2 P Q V B U l / G z p n 7 1 P v p U 2 R Z W y m Z u B n H z 8 X T p m P i l H j c A y P T C 0 U L p W x e L v M k H o j B i x P b 7 2 v 0 N a l 2 d 9 j o V o 0 V 5 W a D v F o G l 5 j v Q q R o Q 3 d G p B s B d M A U W o F R n + C V L q V m q I L O T 6 8 S v a s 0 C A p N W z A c A b 3 P v o S z r j q d N q g s t N H W f 4 f I R p J 8 B m 6 P 6 8 7 b y U u / v b T a r w s o R F 8 + e 0 X 4 p U b u 7 D 5 x m M k I i v s Q z t w z + f f C t n 3 b T T E t j p 7 E L a 0 4 t X f f Q z x 4 V 7 s u v F j 6 l o G 4 r E E v L 6 F I e v R s X E y Z Z M K 6 d o d d v z y l z f h w x / + A O L x P C I z s 7 j 3 4 X v x 5 j e 9 C T W 1 Q e X L p W 3 F 9 J N y p L M R a q H i b L o B S e H J 0 u c w L / Q r h Y U + q r a E Y D r G f l s 6 O q 3 g z K a o N F 0 0 J c f g s d Z T G 9 p V f Y X o D B m l b I W q G f k k y U J W P p c t I 3 n 5 K L Z d E O m x I b B q e Z q h H G a N 1 z 1 1 F / Y F t a X y U m P d b d q w r 5 y H y 3 H 9 l 5 8 B A o 3 4 5 Q d X o r W 6 K M g q B y U 0 q G 1 i S y Z 2 2 U f Z O W o v C r J 5 F 0 F u T F p P j Z C 5 g s V V r e X M J B B m M p s L T V T / J c w k o O M f a f 0 U 0 t 1 v R b b + f D K T z D z r z G T S f J W w / b Z D i p k E Z m Y S T T Q W k b o M P F / 8 M 2 q z j 9 3 0 L C 6 + k W o 1 P M a r 5 x F 1 t + I r f 9 q i n R A e R W 9 f L 4 6 M R c j Y m n R t q c q i 4 K H D 6 X b g z Z t a s G E j N V 8 Z 5 p m p b K c 7 Y S a B z I 0 l U j n 1 9 / i x A c y F J v H M 1 i 3 Y f P F m v P j i L k T C c f z p j 3 9 V v 1 0 M l Z h J Y K c t b W a m 0 V n t n l J 0 U g O 1 W q o H k w k K l G U w k 4 K e j Z E M W 5 H I T y l t Z a P Z t F h h S g N W N z V / Z H E f s h x S u 6 E S I v M L R E v H 3 e I v a u W T g Q g G M / r q X 4 d a C n V n N s N n W 3 5 W u e D e r 1 y C e / 9 9 X Q k z L S T P P F 0 I + p f x I 0 j E S R P i m k g K 0 v z L j Y I k 0 p b 4 2 z q t S + 3 F 5 U T 5 D F Q 7 2 j E 8 M o 3 O 9 j Z q E 6 3 O 2 4 n g H H u I o t i K d I O W D D m d J E O o A j A Z 9 N / r x F l v L q 0 q a 8 D Q S h j Y g Y 2 n r s O e o R C O 9 Q 6 Q w f 3 U O i m c 2 t m I + 4 + n k Z 4 b w 7 o 6 O 5 7 5 5 r u w + T v P Y D Y U w / T Q M Y z 9 / p 9 5 s k V t z + J 2 O X D k m Q G c e l k X O 6 S U a C Q z o u / o f v g C Q T Q 2 V 2 6 L Y P Z o C j V r N L N l b G I c z Y 2 l y b + V / I Y T o T z N Z y Z a j V r / H I X J N L x l 5 Z O N 6 N q J o O V 6 G J a B D G 2 p l S A M l i l Q K y t T c e H 3 + e E g r G 0 n L i N n R j o b p 9 D Q X A R z a S 2 n z Y e A v U W v k y E S o f R e k B L d s o G E D j H H z f 6 T Z L D I 0 1 R C l C Z f e 2 g I c w 3 F 5 U C L / H R J p F I Z t F a d w n P Z t / S F z N s G a V j Y R 5 V g S Q 5 Q k X Q u I 3 q g o 8 6 5 i n z h V s w k K G e m 0 c S L + r t S p J t f p Z j J P X g r 7 L M 7 V R 3 p 4 w + k Y d / 9 L C 4 9 7 2 9 q 2 / 1 5 0 L c y Y A 3 T Y Z Y l G e z k P S 8 d p H o H V n e 3 I z 7 L 3 w S b c K B / D N 3 t L V h 7 + p l K B d 9 4 / 0 5 8 6 / W n o M Z P A u X z r / 7 g D e o 6 L j r C 4 l f E J 2 n 7 6 8 x k Z A e P j Q 4 h E U u i q X U V 4 u E Z j I x q d r n V x s H n w K Z o y o W O J z H Y O 4 X a V V n 0 H z + o c s 6 a m x a a p U u l 3 0 Q S l T W U M J N 5 D Z k w k 0 C Y a T p S G g Z f j J k y E T d c l j r 2 j 4 8 m p J / N d k A 2 u 5 v j I 7 o c V X j w 9 h 1 w O o q m n s P q V c J M f D s J N Z s X 6 g m E m S y D l X P b j N W t B h L Z W a W R J O y f 1 Z c 4 m E t r p Y 2 t S 0 d E m 5 U R p R C w i Z k E U q H J j K U K p v i d T Y i b a 9 y / T D j J 6 K K R V L Z H G T N Z y m r y V 4 S k H U k u r G g t / r X m 9 d p w Z u S S R f N A 8 t s U s e i S Q 3 y K S h s Z e 2 w m W 5 Y Y 7 x / E i 3 c f x J 6 7 R r D r b 4 P Y u v t 8 7 H m x G h O H j + G c a x t Q d c F 7 E O 3 8 N K I t n 4 C 3 7 0 a e Q U l g K j j 5 9 G c 2 8 x C l X b C e D M N B n t j N m 2 f R T I Y + d v g g r O l J W A a 2 0 d G c Q s H X g V u e O o g z 2 t k G m o a r 1 6 x D N J H W G a Q A W 2 4 a L Z u c N H v 4 4 L y m h D f F d w o G 6 5 C j O T d G U 7 G 9 f T W e e P I p 3 H z r n / D C C z v o F 0 V w d G Q M N S t s W L m u F T f / 6 R 5 0 r 9 m A u + 6 + F 7 / / w y 0 q u V V e 5 r 5 Y j K k C n t K g x d B 0 s Q K q h N E r o c O z u E 9 m h m w C P T w w j U f v 3 4 b x o S h u + d U D i H G M J y d m c e e f H 4 f H 6 5 k v q 2 X A Z 9 c m r v P I V Q w 5 5 2 o q 3 z t h W l 8 l Q Q G D i Q T C X J W Q z k c W r O Q o i E A r S 1 e S e S f x V c u x l K B K e + r Q O X w H L 6 i r p h M r k g V Q U W n l o i y E b L 9 U b l a K Z V Y C y e G T a Q z 9 Z e l 9 Y a C Q j k k J W h + m B s K o a r X C u n K Q 3 2 m t K 3 + g 7 / 4 1 i l N X + D E X z m D j S g d a c o c x 3 J N A N l I F l 6 0 G t r o p r L 6 g u 2 L n L I l 8 B p 6 B 3 5 G p X E j 7 z 0 P e t w I F S v D N 3 3 p S 6 z D 6 S P / x h v P w n U f 7 c W w i C l t k X B X 4 S G d y c N a 1 w D L 5 E n 7 z b / + I t e 1 1 2 D e U x B f / s g V / + 8 S l l N p J j B 6 P o r q + C p k E 5 X L c w b b 5 M Z n a h u 5 V q / i c + l y W + G l l e W o C 2 9 w B E t h p p k F j v x j v D Q h T O U o F i p g q R t J t O f y 5 O k R t W r h 7 L h 5 A t b e U 4 W S e R 0 L T / 1 e 4 K D F T H G Q p H 2 1 E 6 4 S 5 y i O D l W D r X 4 l c l 2 5 2 m 1 C T C W P W E d T n 1 G K k Y Z u a J x K N F z D t K W a G b W A 1 q u m + S h s K + R h s t s p Z 9 u V Y z I y W d K / y N X W 2 T A x N k 0 9 g p K W s l P M y s G R Q g q Y c P J 2 w 5 C L I y 4 b h c k y Y s J w G d F h G + v o K 3 q B m / w q i 4 3 F 4 6 9 0 4 u O U w w m M J 0 p j M L V l p c r h R 1 e n F z 7 Y F k E w L u R T w o w / 7 4 P I W f Y D / E y j t R i d n U R O s h t t T z C d L p F J 4 5 f e f p b E b Q S 4 e w s 8 + f j 0 + c e t O J I M r a c p Y Y e t 9 H j l P F W y 0 f 7 d 8 9 a 3 w H P k e c j Q r 0 8 1 X o m D 3 o z / y P G Y e 6 k T w i m 5 4 7 H m 0 2 I / A 4 l v E l J B F e 6 a o k e f Q t z G 0 4 k 3 w O R r I m E 6 a U g u j g W b k K H l t Z f U R x K w y 7 2 J S 6 2 z H X G Z s n s C T a R f c 9 A n N K P W D / n 5 I 5 m b V W L q s p Q Q t j r / s Y l g O 5 + E Y 4 p 4 W 2 N q p Z a w a A c l 8 l H k 9 0 V K Q G C Y p B 9 a B O v q f l T M 5 Z E s d Y x c Q M x L Z m Z L N C p Y L R 2 J W b d h W C Y l Y G h 6 f F r H W e l j r Y / l b S 5 o R / O S n N + J D H / 4 g 7 r j j T m z a t B F b t j y H D 3 / w v X j w 4 c d U 9 r n X 4 8 E l l 1 6 C p 5 5 6 C h s 3 b s T T T z / N 7 9 + n z h V U 3 C x A N l M W i S K 3 K g U b k e h H y t k N V 0 Z z w v 4 u 4 D V n U 1 X z a U T l e O 7 Y F P 7 1 l u 2 I T f R R k W W w 6 p Q z c C h k R V 1 t D b L 9 O + G z Z n G Z b w R n n 3 M u I q F p v O V t 7 4 B s 9 T 8 1 N Y U n a c Z t q N u A 0 6 / S d 5 c w J a U u g M x X 6 V k I / p E f o b 9 O k 3 Y F m p r x / M y C Q o 4 C s w Y / P G H D u p p J X l / s c T / / F j V e K D O E o K O V p i r N U P p N K R J o m v Z 3 k j 6 N x V L 0 j 2 Q i 0 2 U L z k / Y L h e i h b y 2 h R O R M n 8 U J l M L c V d i G g N i A o o v V P q M B T h S I W r L H H J 8 n t x o N X x o p 6 a P w V 4 / h m w w r x J I C x k 7 c g 7 R s h o p y d y R F g X k Z 8 m 9 g 8 y / a V p R B H s m n Z 1 f u Z B K p d V + x u V Y K s g j f t t i 2 n B F 7 A H 0 e l + t f y q i P O B h Y G x 4 D s 1 t 1 V o A x U H h Y d c q J t t s T u V 7 S 8 p T X v Y C 4 7 l y v r x y W Q o K m + a b l 2 u q y g w 1 E E N 1 Z 5 n U k A h I + Y Z o 4 t D q E 2 8 v G y T i n t 4 R r F q 1 t I P 5 s d 9 v p y l H J 3 p 2 i M 6 u H b 6 G Z u S s L u R D w x z Q N P 7 4 8 V e g s a E K H m s S c 0 k X a m p q V H J l Q d J 6 + N f t X z y L 2 o B s D G e h 3 e w e + S O G 6 7 T d M Q y Y J Z o Z Z o a S g p y r 6 s m w l f p K x 0 D s O b X s o N 6 1 n g P l w E 2 / + b V a 2 / X a 1 1 6 P 4 e E R v O a 6 a 2 h C y R Y r M T z / 3 C 5 M T 0 2 j o 7 M V 6 z Y t N m t f 4 O 9 T Z R v A F V R K k 7 S 3 2 l q 7 L P P R C E + 7 r T V k k q L V 4 Y q N I 6 5 2 b 6 d x V + a L C b / s e n Y I 7 W 3 s M 5 r q f 7 v j N p W s L G u J X n / d 6 / F f X / s K v v n 1 r 2 H 7 z h f Q 0 t K O s a F R D I 2 P o L a 6 V q 0 S O E R f e O M Z G 3 H B B R f Q A i o l w 6 U Y K p a Z V F b D Y r C n o 8 j S r D d j c j y C h q a F w S E r + 9 q o K y L P L U v r + 2 N b + K w u t H t L a W A 5 s N x y y 8 2 F y y + 7 B A G q 3 b v v e Y A D e x 0 S s 3 H Y A w 7 l n F 9 8 3 q k c M J 8 K R s h c j I S g / 3 6 Q T l y + a X P 5 N x 6 m J K W 1 P j u G p 7 7 9 D 7 j m h 8 8 g k U n B G p Y Z 8 D z u + s q F C + z h n f e 8 h L N f o 8 1 z S d R G 7 f O 7 F J L 9 p K q u Z Y X B b d R m 1 Y 6 i l h 6 Y t a K z h l J N d g + R n c v L Q c k n / x n E b 2 T d G z Z 5 J k / 9 J O l M R C R P s z C X 0 S N y N G V y K f Z U Q f l E Z g j j + O 3 m E L 7 W p 1 r S b U j d y 1 0 W M D p Z t E w + i u O 1 Z 1 b 0 v b Q p E E p 0 M p s E O W i E 8 7 M U 7 L R R S 4 n J Z 1 W p b A 6 n U 5 X q k m c d i u 5 A i / 8 M / t K p 1 k h l M 1 n s 2 n I Q Z 1 8 q W w Q V 6 e H l T E U I q q f 3 I k 0 / L 1 5 W 1 i E e S 8 H r K 3 V R v L k E 4 m W m f M D Z C q c e D Z X 8 z m X R j Q 5 r X W 0 d f v m r 3 2 D H z t 3 q Y d N p D m L W h V / 9 6 i b s 2 7 c P E z M Z T F J K T k 7 P Y H r G F M k p q z M g 5 s J J I R e n 5 i i V S i f C k / / 5 K v o c N F 4 C V Z h K j u L R f 7 + U w 8 U B C D a S 2 V O 4 4 Q 5 t i b s Z r o K p O P 4 y O s U z / Q x J U i P q E 8 H M T P v H 7 B o z C T g Y l W B J T 5 R o k i p 9 y Y Z h N i h m U v X e x B y k l O U z S R a 6 R C b F b y l n J k E p M 8 k 4 R J W 2 E W Y S E 0 8 C B u W T o y e L 0 Y a r s H 7 2 O f 1 T K Q x f U E w 8 a a f 6 K 6 y l m 3 z C X L X e T j K 1 l r 4 m z y p C z 1 q Q t W Q F Z T 2 I n 7 7 h / N W K H s L H F g a G T h Z z t W c o Z m q b f h B W C i U D Z m Y S 4 e R m / 5 Y z k y C S H l E Z P b O p A T 2 K W z T J l 4 K Q s z L 5 J L H V W M c k 9 R q m D k d R s 7 r U R M p k 0 3 B I g q E B k 7 9 x s r D E e z G T q E F N 3 f I l p x R v l E 0 B B i J a 5 M x B A m s L a A S 9 + b / v Q Y G S 8 g 0 t P f j 3 D 3 5 c H T N w c M s h n L J 5 6 Z X I Z n i H b s J Q w + X L Z C q R p o U T L l u Y h 5 S p W k Y B m 2 w 2 h V C u L D y r Y 6 m A x X S 0 G n X 6 X J b Z R I 1 R i 0 m o / P 8 K / + w R R G t K d z o U L O X T C B a G v j U t a o Z Y Q E b N j U w i g 4 i U i + h e p P L u i V A m p 1 d k H s G Y 9 8 2 0 Z k I Y P D q C j j X F X e N 9 z l r S 1 g x c s v 5 K N C 1 c S O X m 4 L T U I l 2 Y Y d u 7 2 N T l W 2 X q C c y L A n M 5 X r R s 7 y C B m Z k s + f j L Z i Y J C v R P 2 U + K m b Y P O l V p Y r 2 / F V p N 2 e X P / s d 5 2 P a + 7 D w z x d l B g u n R a Y 2 Z d C m 6 L P A e y 9 V Q x s i V J 6 I u i g p 9 V l 7 A U r A Y M w m E T d w 0 / y r B Y C a B 2 W J w S s H R C p D n L M 9 M N z R O J e T 0 b I h y L M V M + X g l Q b P w m c 0 F b A q u l G K m x F H 6 8 d n K w m N J l J 3 S 6 3 g l d m 4 7 h o M v 9 M A f 6 M C D d + z E b b c + T X + 7 F l / 9 r x 9 j b t S G e 2 / f g j / 9 / i E k I 1 b c 9 a f n q C / o E 9 7 8 t F q u c j K o G J Q I 9 S V Q d Y L 9 i F 4 u w p G I W r u / X M j S d m e Z w y q Y j k + i z q s 7 p r K 0 o I L j / e L f R n D m 6 0 X T 8 r t F 8 u n K 4 R v 6 O Q b 0 N K n l w m 2 v g s + 2 u J M 8 j 0 V 2 b F T I R T g a T u U g T y S G M R O t Q V P V 8 t f j x F M e e F 2 l Z n g R p R p B 5 n F k Q t f I x / P Y a l R 4 X 7 S Y m M 4 2 U 1 C i H N 2 x B 9 H n u 0 b / d G L k Z S v Y 2 u X v P G j A 8 J + S s S x c U 6 2 w d O m l j x e B Z N O H 5 p K o q n b D L s t E + M g 2 P t / A Q A R t X b W q x F q 1 f R V d 7 V l Y 4 1 k V W h d z 2 m J P w W 3 1 s C / o + 1 n S 9 J m s S C W z u P u 2 x / G 6 t 2 9 m 3 0 i l q G W M r Q 6 T z C 8 i r 6 8 B W h S 6 z Z 9 O L T a A i + N k m E m w W F M M Z v J N / K Y i M 0 m k L V O Q e a X a Z T O T Q L S v O N o C 2 f N o O f B Y 6 R / k k / S R x m G R G n m 8 d z Y f Q y L d r w g j H n 8 J c 7 K J Q C V m o k Y Y k d K A H L h Q b g K z P E f S j E 6 G m Q S L M 5 O g V G T L p K g 5 w C C b O o u J K N o p V Y j J O / 0 b + W 6 a J l C x d q E w k 2 t i p / q 9 R N t O i H x F E l s 2 3 D 6 7 Y i Z b / 9 L + r z B R 0 G A m Q i K / O Z p q w k w C 0 U Z x 9 q 8 k W i W 9 d j R O 3 Y G C T T a p y / J 4 h B p 9 D h n 6 9 a l s l B d L 4 r V v u 0 j 5 h A k R d C c C f + e Y f B K B 4 R 9 U Z q h g l w d p c v G i k L k c Q o q B i G N p O N W C q a n p k s 8 C i 1 5 Y X q K E J 4 M t x 1 2 L V g 4 1 k L Y U N 4 8 W g u Y I Y j w 2 i t 6 5 Y W y 8 f v F c s M U g W e w 1 z m 4 1 s W j M y Z j D y J U Q p t M / n R n C V C G C K S T V u q V Q Z h R x X Q P I A r 2 c T q S F V J F J w 0 l 2 P 5 m 3 p U r b X n Q + H 0 7 9 + / e B V P J d D B L Q E O Y S A S I B D P n r t d W W j J / L W q 2 S a c 2 w e q X 2 h 2 X J 0 L W B M l J Q q L D W c Q F U X X w i p R N 0 r m s Q A z u X F u A O l b d J 1 4 A E T s 7 S j x Z h n v Y Y b b w K 3 S F t f Z X A p f d 9 O W r L J s H N 8 A / 9 D 1 z D d 8 B C E z x D v z v S 9 u n K D G V z U O 2 N l Q Y l z L D k Q z h 2 T E t L M S a 7 D N T X 1 2 m f J W j B B 5 u Y m M S x I a 0 j Z P f 1 5 U J 2 P N + 8 s v J D G r D Q y c w 0 X K T e R 2 M h r R 4 4 H y m R j W N y V w g u z 9 K M U A k F f Q F d u + 8 8 5 U z L S 8 K 9 Q U c T 6 h z F n C 8 J D t h I r L J R W U 5 f z X o i 5 K i 5 L P q W l I K g b Q p T S d k C p 1 c / 8 v d H 1 j S 5 v B B k C p q q 5 R P C E v I W i P S W o S y f E E 7 4 W + G J D u u f T o D 8 Q v G w W J 1 U i S Y b k L r 4 0 v c u U 8 J q 5 9 k e j O 1 Z 3 H c X 5 v V K j q I 8 s 5 X e Y Z k / a F g e B g 4 F N l M I R 9 E 9 e 9 / i B W r K s v 4 V J E 2 u 7 z e I t n 8 S q b Y 3 o G D K c V y 0 t w M r M w g d r S x h k B z F 6 t V L 2 M X Z M D J i q / H B G h s b T j h p W 4 4 n j 7 k W b K p c C b J F j g G / r w q W h L a E v N 5 T D f v c y 4 t q q R o U J k h m i O x q Y b f 6 l B Y y I M E B 2 U a l f M f 7 p R D T 9 4 t S 4 V h i L j d F g j 0 5 p 7 c c s o p Y U H G c i P I 6 e i e D O M 2 9 T N n 0 i A G b l C p e D n K V 7 x 9 J L u Q q q T Z b b t 2 U R w i b N 6 Y x t l v / U I b o 9 P R 8 A q 9 s J m A r Y y A z J B f R T e 1 T c P r R V 3 M d O i b u 1 b 8 p o n z j Q V E Q / i G a d e k 5 J L o / o B 8 s x R K 9 b U H V G m q K w x H F W L L D Q z Z J a Z y l 8 e L T a q e p x E E T A V p S I 9 o b q U F Q o L R R m b q L j H Q F S J m o q Z g N l 6 9 e W j P N Q 4 p u E D I h K i h 4 y L i 0 6 / 3 O u n k p e 7 I o S A D D B F m g K F J q q e 0 t l 4 s M G V A Q y 4 x j M C R V X l 8 + s R u Q Y p Y O S u J k x q V 2 l P x 7 Q p v j q j x + 0 e r 1 6 J 6 + W 7 3 P m k o Z L M A i D B X Q a 7 e X Q 6 w b Y a r e P k 3 o V L p / 8 y Z e d o w m o U n 2 O b J J B M i Q y 4 W 9 L M N n s u 5 V a J j Z q n / S Y P 6 F Y 3 Y X H G N P U i t 9 G n n 3 4 q a u d Z a m 1 V K o W x 9 Q j O W p d s H u t m H u G J 1 v 3 c T T c v m s Z C R J 9 6 c v 5 d L j + 2 x s Q T I F V E F 7 m o S y L q Y s D b 4 c f b N 2 m o T U L s b + t 5 X A + 1 i S Z F p 9 5 w l r r Z Y e Z W Q X K O h 2 f Y r m 4 M u D 6 f 6 6 D 1 Q J U q U o L r X E Z Q r h J C D R t X b / u f C 5 i g m z / 1 f I F i 4 1 t j A m c 9 o c l 2 w 4 / v e C 7 C a y G P r q X g O H 7 D K 4 F M h Q 4 h 9 W y n q Q W v a V I P T V 3 t Z C x h L f s n L G v q 0 5 S s v L B v v A C m R T e W Q q b V u 7 i G l p h u Q 4 y q Y D U o N x O r i x R N O 7 9 K X v v q G f I h M 8 D Z k W r c j r U r D W L M O 0 K k F + o R q V 9 U V L t b 4 g x f + F u f R g R i V 0 1 y x i + q h K N / p T 8 j 4 F N 5 l W M s K p f q P Z 0 v C t u T O c Z U u u 5 T v 5 2 v w y I B n p w 9 E 9 m I m R o 3 O m d u g T e p U 2 9 5 K J X E n p k U W X y y 0 B J s g n h h C O H y w x x U 6 4 v c 8 y o O 0 m q Y 2 B b D g u d f P E O Z e X j z 6 l z F 3 J r i R / X 1 j Q H N 8 O + 1 J l y P L F Z y t n K r + L f s 4 i T S r Y k p h J a 1 Z B O p V F K i m Z G O Z R 4 9 2 d O S S a e 1 A z d w i 2 w V V w z p 7 8 8 0 k 2 v M d W i y y t m j z N x b a Z x / R v C F o m g c E f I N b + c X L w 8 v x x q 1 T 9 k Y W S k i 1 x I u x 9 6 Q B m 8 p O Y G J 9 G n A 8 Y C c e Q S J 6 E N F S E U 9 o p g n 2 j F e 4 t Q Q 2 B 2 g l + I b O 6 h / 5 K 0 7 M 0 l C q K c y x i V x 3 v a y y d O J b v 5 C r m l 4 E O / z l o 8 2 9 E r U 8 m O k 0 d p / s P l S Z 6 x c G V l 2 a r L + z s R + 5 + E b / 8 0 Z 1 0 J 6 v x 7 C O H 4 b E 2 I h + t w 6 G j W d x 3 z 3 4 8 e M d 2 b H 3 8 K H Y + 2 4 u b f n o X q r 0 d G O v 9 v 2 k W g 1 + k o q v U z V N 7 J P E l a U v C c O X + l D C b i 2 a i J T N D T X t y 9 R k M j P u W r q S 7 a P 0 Z H a b 6 q S W I q B 0 c t V G S z H S X W y t T Z y Y f + b g m f C 8 i T a c i 1 9 G D U C C E f H 8 z r C e a 9 l k C I 3 V X o n P y X v i n 9 s M x + T w i H Z / W v 1 k e b F d f f c 1 / 3 X f f f U i l U q o 2 3 U M P P 4 x o N I E d O 3 f h 9 N N P L Z E K f / r T X 1 F d G 8 C + A / t x 5 s Y N 2 P H i b l W K 2 V 0 h / X 5 R i L l m l X A 7 8 P h R N 3 p n 7 L i g q w I h n U B q e 9 K P I e 2 7 Q P 9 U h N 9 F p s j T / E z 2 w l e n m 6 B C L B L x k b 8 V o j k D 0 e 0 Y 6 o k h 4 L F h L L s C f Y N j a G m R V H 6 3 W v V 7 7 P A g W l t a Z X 2 r f s a J s W n D W a q Q S 5 6 C Q e Z G J i d C q n 7 5 4 c O H k U 6 T 4 F M Z N D b W 4 6 w z z 8 L O n S + i q 3 0 F Z k L T q G 1 8 + R P q y a w H V d Y I k m X m T 3 6 R v h T / K y d z e D b P f A T M S 2 Y 0 f L 3 l I O f w w R 0 d R n D 2 I B L + h S t f 8 y F e u 6 r Y b 5 J p v x w k c m L W V + B G k y S 0 5 L O I 2 l u p W b T n l b V e K d 8 w E v k o H L 2 r Y K k r L b y z X M T n X o N U v B O u b m 3 a R c o E L N c n V 5 k S s Y Q M u g c O W 5 7 q 2 6 b K Y s m i L 1 u F + O Z c X w z V 3 Q s X h J 0 M h J k s U t l H 9 t Z 9 W S j Q b 5 u h q V n Z C Y 3 N x d Q i y L o l N l k q 0 K + z 6 P t Q 5 T I J b N 2 x F 3 v 3 7 k F V V T X e 8 w 9 v x i 9 + d Q v e / / 7 3 4 u m n t + C i i 8 7 H x N Q I X F W L m 3 Z W D q 6 T E j 9 N Y j S W A 5 g h Z b q k s p D A y G q Q G g 2 G J v l 7 w E / T b r p Q D Z d j o Y C S 8 P 7 J R C R P t H F A J T S N P 4 H x p i v 0 T x q c w 6 c g 3 X Z Q / 8 T r y m 6 M Z V n r Y v Z V 0 l S V / C 4 z u s P 3 o y + 4 c G M L I 9 s 9 P p J H N U 5 D u q V 4 / y V B u r Q P r U L V G o 3 u J R g n 8 Y N w h m Z 6 Z g T t 3 h P X t S 9 J P c r n a c D o K z M X w 9 x g F N U t c u e T y 3 g w Y / u A E + d 2 6 o N e n o 4 j d g s J L E u b P 5 T R c t r K l 2 T 4 R 2 9 A t E W q G l V A N o S D z 0 1 g / e b V K o v 5 R F A b n 9 F P c 8 w c R L 7 j a p X 9 b A h G q 9 2 G P O 3 h Q m o E c 5 a 0 m p c p R 6 U N y q w c U N E K U n f P n c s g Z P F S U G n + Y 4 z M 5 K u Q 1 W A w l 2 i N x Z J f T w T Z a H o m E 6 x 4 / a W S a p f C y S 7 H b 5 9 8 E E M N R d 8 2 O + K B v b W 0 P Q u T Z a l d M x a 4 y y b x J b K 6 W F 5 l 9 8 w 9 6 K u t t G f T Q t g H V i P b o T G n a L F H 7 t 6 F p q Z G r F j Z h P q W G l W 1 y Q 6 O 0 W w j v K 1 W N f w F y Y L n W M w d J V O u 0 b h 9 K P 7 C C Z m q R C 6 c i J k E 9 v z U / 4 m Z B P P M J D C Y y Y i o 8 Y F V j W x h J h l / v v J 6 o K C Q p + S J D S 7 O T L J X k r 0 K k R G S D p l J M t T L M R T d q b / T o H Y R d L V h x 5 A X q W y Y P m E S N 9 / y R 9 x 7 / 4 N 0 h F P 4 w 6 2 3 w u 5 u U t k T 5 R A m K G c m g W F i y U Y F M X 5 v M F P f V J s i 9 m y F w I 7 M n 4 i m W o z o J e J l Q F i j E m S j a b m + l F M u h 1 x X g h M n C 4 O Z j I R c b Y N q L d g h L z P S u T h 6 a i 9 U m s p A p U 3 Q R f N E s u N 8 X j 6 T P s Z u Z 4 H 9 o r 0 3 X r X u y l v 6 d E 7 e v W x m E k T a X o B t c K W 6 p v T d N a + + E q l 0 G h M T U d z 8 m 3 t w 0 8 / v R p W z E 7 + 9 8 1 e I h h P 4 y 1 9 u x 8 x 0 C K G + F O m I 9 H h I a m H Q L 7 c 3 K K Z a C h W T Y 5 d C f D I B b 8 P L t / M z O W 1 P q M U g D z w Q G o H f n U D A 2 l J S A k v g 7 f 0 5 U j W b k a s 2 N l L W k Z l W U R k p C z Z 5 f B K d G 5 a 3 I M y A a / w R D N v O R U N j E M l k H g M D g z R 7 A 0 i m 4 l j R X o t w n j 6 Q r M T V 4 c / G 1 H Y y i 8 F Y n P Z y 4 c q m k L I X m V W y x 1 3 W 4 I K 1 T e V Z D O I D x S u F k P 9 / h J e C J W 7 K F t C i I 4 p 6 y V H C H U t D S s t p X M R T e I 4 E G w T m K s M a C m g f v Q 9 H G y 7 W f 2 2 n P 5 p D 0 L v 4 y o V Y y k s h E 1 f M 7 k 6 5 Y Z l a S y Y p I F 2 Y h t v W j J R z D F l 7 E q F o B A 3 t L t S 6 V i K R S i K X t c C v r 5 8 a i h y H I + e C Y y q I 2 t U B t i K H q d Q R B O 1 t e i a H R V k v Q / T F T 9 p 4 t 7 n p Y E e t i F e Q / s v B C / 1 F I p M 1 + S E 9 a 0 A g k k s q B X X 4 q R E c q x Y w k 3 v w D 4 i v + B h y w V P o g 5 m k r Z T z 0 l N E j j 4 c W c B M Y + E T P 2 a 6 5 j y 0 p x 5 l m 6 x w O e 1 Y s 3 o F W p r r s a K r U w 2 e u W S W Y C l m E i Q X S a q M J 5 c n j I S Z z B p F m E m I o h z l 2 k q Y S c 7 L L Z K U K h r m 7 4 0 S Z h J Q 0 7 Z N P Q p n r K h V l 4 I U P 5 1 J G q l s 6 s 8 C S M i / r f 8 e D L V c r / w w t 3 o F F D M N D y 6 e p G v U k X f a v M h 7 r c h 1 H k O 2 v Q d J b x z W F v r x n g K 8 A T 9 6 D h 2 G B 2 0 4 d O Q Y 7 r z z 7 n l m E j i s T m R s K c V M 0 T 4 y J W x o c J 2 i a n / E s z P K v x J m E q h e D y V K n y J E B / r 4 V A U H l l w o k 7 s N / j y 8 V N E v B x e t L J p 7 o k 6 r X M V V r 0 b u n B S a L N m C k f d 1 j j 2 C Z M c / a p / p + P t G p Z Y f o S o V a Q m M u + 4 8 j A 2 v W x i o q P a e u K 0 F Z x V S 9 c W F h Q O R b e q v Q m Y G N b I p 8 x K J p g Y K 1 E y i n Y x o l l w v Z d o 1 w k v N e y I Y b d B W 6 I o 8 z K h r p E s K 9 E u N B 6 e q Z F S O m N 2 r K s 1 W w t 9 / L q o U h m m Y y r i R j i z f k p F n F o 2 U V f 3 H 8 6 k h 6 i 1 1 a B 5 8 E N 3 h e 1 E 3 t h X D X a / V f 1 1 E J D O G t o 4 G V Q r g Z B C o L 8 A t D J b L 4 / a / 3 Y 0 V a 9 d i 9 4 v P 4 x A Z q 6 6 2 n n 5 V M U L Y 5 N O i l 6 K p / N 1 J z B 5 J 0 s f S a M p r l 6 w c 2 T V R X B c a 1 n 3 D U 4 X y 3 Q Q X Q z 4 j 6 0 d K k 2 F f D s w b q p 0 I t t B h E k E K 2 e o z 9 C M 6 p A D / 2 J N I t 7 8 G e w f t i M f T + O 1 9 c / j F p x e G Z a d j V t T 5 T v y M n q F b E W 9 / J 0 m 1 9 P l U T Q G b G 9 M 0 + 0 6 E Z C 5 E o t C Y R i o Y i Q Z x 2 f x I 5 2 N w W N y U d o t r N i m 2 Y j C I Y c p Z 8 x l E 8 9 O L u O a U w P Z G t n a h N p L l 3 c l F s u T 9 G Z q r Z d r / 7 w 3 J g 8 s f D y K 7 + s Q C x I A w e 3 B q L 6 o s g 5 i x n Y J o j R a 8 K O 6 U q K F Y 9 k z G 6 e U J d g P + T J x 9 U V w 4 2 R w Z Q a b 2 X P a 3 1 L u w 0 c y P c 8 x E M J T S R D q a R T q c h r 9 V z t W E X i 6 f x v 8 H z 9 b g A k z j m m 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 C o n c e n t r a t i o n "   G u i d = " 2 9 a c 6 1 1 b - a 9 7 6 - 4 2 6 6 - a d d 3 - f e 7 4 e f 3 1 3 4 9 3 "   R e v = " 2 2 "   R e v G u i d = " a 3 c 5 8 9 a 1 - c 0 3 b - 4 5 d 4 - 9 a 4 2 - 3 4 0 a 9 2 f 7 4 6 8 2 " 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0 & 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C a t V a l M s r ' A l l D a t a M a p ' [ P h o s p h a t e   ( P P M ) ] M s r A F N o n e M s r V a l 0 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C a t V a l M s r ' A l l D a t a M a p ' [ P h o s p h a t e   ( P P M ) ] M s r A F A v e r a g e 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5 & l t ; / X & g t ; & l t ; Y & g t ; 1 2 8 & l t ; / Y & g t ; & l t ; D i s t a n c e T o N e a r e s t C o r n e r X & g t ; 5 & l t ; / D i s t a n c e T o N e a r e s t C o r n e r X & g t ; & l t ; D i s t a n c e T o N e a r e s t C o r n e r Y & g t ; 1 2 8 & l t ; / D i s t a n c e T o N e a r e s t C o r n e r Y & g t ; & l t ; Z O r d e r & g t ; 0 & l t ; / Z O r d e r & g t ; & l t ; W i d t h & g t ; 5 0 8 & l t ; / W i d t h & g t ; & l t ; H e i g h t & g t ; 8 1 . 2 2 0 0 0 0 0 0 0 0 0 0 0 2 7 & l t ; / H e i g h t & g t ; & l t ; A c t u a l W i d t h & g t ; 5 0 8 & l t ; / A c t u a l W i d t h & g t ; & l t ; A c t u a l H e i g h t & g t ; 8 1 . 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1 2 & l t ; / W i d t h & g t ; & l t ; H e i g h t & g t ; 1 2 8 & l t ; / H e i g h t & g t ; & l t ; A c t u a l W i d t h & g t ; 5 1 2 & l t ; / A c t u a l W i d t h & g t ; & l t ; A c t u a l H e i g h t & g t ; 1 2 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l t ; / M i n i m u m & g t ; & l t ; M a x i m u m & g t ; 3 & l t ; / M a x i m u m & g t ; & l t ; / L e g e n d & g t ; & l t ; D o c k & g t ; T o p L e f t & l t ; / D o c k & g t ; & l t ; / D e c o r a t o r & g t ; & l t ; D e c o r a t o r & g t ; & l t ; X & g t ; 1 0 9 4 & l t ; / X & g t ; & l t ; Y & g t ; 1 4 . 5 & l t ; / Y & g t ; & l t ; D i s t a n c e T o N e a r e s t C o r n e r X & g t ; 1 0 & l t ; / D i s t a n c e T o N e a r e s t C o r n e r X & g t ; & l t ; D i s t a n c e T o N e a r e s t C o r n e r Y & g t ; 1 4 . 5 & l t ; / D i s t a n c e T o N e a r e s t C o r n e r Y & g t ; & l t ; Z O r d e r & g t ; 2 & l t ; / Z O r d e r & g t ; & l t ; W i d t h & g t ; 2 0 8 & l t ; / W i d t h & g t ; & l t ; H e i g h t & g t ; 1 0 9 & l t ; / H e i g h t & g t ; & l t ; A c t u a l W i d t h & g t ; 2 0 8 & l t ; / A c t u a l W i d t h & g t ; & l t ; A c t u a l H e i g h t & g t ; 1 0 9 & 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C o n d u c t i v i t y "   C u s t o m M a p G u i d = " 0 0 0 0 0 0 0 0 - 0 0 0 0 - 0 0 0 0 - 0 0 0 0 - 0 0 0 0 0 0 0 0 0 0 0 0 "   C u s t o m M a p I d = " 0 0 0 0 0 0 0 0 - 0 0 0 0 - 0 0 0 0 - 0 0 0 0 - 0 0 0 0 0 0 0 0 0 0 0 0 "   S c e n e I d = " e d 6 b 3 0 6 7 - f 1 3 1 - 4 d 2 4 - 9 1 1 0 - c 4 2 f a 4 4 9 c 5 8 6 " > < T r a n s i t i o n > M o v e T o < / T r a n s i t i o n > < E f f e c t > F i g u r e 8 < / E f f e c t > < T h e m e > B i n g R o a d < / T h e m e > < T h e m e W i t h L a b e l > t r u e < / T h e m e W i t h L a b e l > < F l a t M o d e E n a b l e d > f a l s e < / F l a t M o d e E n a b l e d > < D u r a t i o n > 2 0 0 0 0 0 0 0 0 < / D u r a t i o n > < T r a n s i t i o n D u r a t i o n > 3 0 0 0 0 0 0 0 < / T r a n s i t i o n D u r a t i o n > < S p e e d > 0 . 5 < / S p e e d > < F r a m e > < C a m e r a > < L a t i t u d e > 5 2 . 0 9 0 5 4 3 8 0 2 3 1 5 2 5 3 < / L a t i t u d e > < L o n g i t u d e > - 1 . 8 9 2 5 3 7 6 8 7 7 8 3 1 4 8 3 < / L o n g i t u d e > < R o t a t i o n > 0 < / R o t a t i o n > < P i v o t A n g l e > - 0 . 5 9 6 5 4 5 3 3 7 7 7 3 7 1 3 7 7 < / P i v o t A n g l e > < D i s t a n c e > 0 . 0 0 9 0 0 7 1 9 9 2 5 4 7 4 0 9 9 2 6 < / D i s t a n c e > < / C a m e r a > < I m a g e > i V B O R w 0 K G g o A A A A N S U h E U g A A A N Q A A A B 1 C A Y A A A A 2 n s 9 T A A A A A X N S R 0 I A r s 4 c 6 Q A A A A R n Q U 1 B A A C x j w v 8 Y Q U A A A A J c E h Z c w A A A m I A A A J i A W y J d J c A A K B P S U R B V H h e z b 0 H m C R X d T b 8 d s 4 9 O c f N u 1 r t a h V R B o G Q Q A I R D B j b 2 C R j D C b a B B O M y Q I T R T C f C C I I B A K h g B A S C i A J Z W 3 Q 5 j g 5 5 + m c u / / 3 3 K q a r u 7 p n p m V 7 e f 5 3 3 1 6 p 7 u 6 u u r W v S f f c 8 + 1 9 E 8 + X Q D R 4 2 + H 1 R l E w W J D 3 u q E F T Y 5 v A Q 5 y Z J P a B + s H u 2 v H C 3 k + M r A U s g j b / O p o 5 Z 8 i p 8 z v J Y d O Y s F V o s T e X 4 W 2 P h e k E M W F v 4 r y O / N s F h 5 v b z + w X Q + b 2 W z y L s 8 c l m + s e R h 4 b k W q 1 x F R y 7 G b / 3 y R r W X j Y D V a i t + X w Z L L o q C T c 7 / n y G T n M P + B 0 Z Q V 9 + C + m 1 y 9 x S c t g C G I 0 + j 0 d G O + e w k O n z n s 7 3 a + d K 2 o X k 7 e u u z i E 7 G E P L U o K M m q 3 0 p y C d V v 6 o + t N c C q W n M n q p H 4 3 b 7 0 v e W f E y 9 L d g b Y E 0 N I I Q A A s 5 a W L K L K D g a k c / M Y C g 6 y z N S K B z p Q L B h G r W b t 8 L O / l h C h t 8 7 G m C b P 4 B c 3 Z k 4 P u 3 C l h Z T O w h L I a 3 6 t W C v 4 S e O j Q n z f T E E u 9 y w O 0 3 X Z J + i S p 8 K / W T h Q S g 1 j 6 6 Z m x D r / h C P F r B w I o l 8 1 g X Y k 8 i m M / D W O W B x F B B J T c E R 6 l L j C E c S / n U 1 c P N 4 K D U E r 6 M J o W Q I 8 Z Q b D d 4 A Q g 6 + s n Y 4 7 G r k 2 U c p N l d o p 3 T 0 b Y k x W N O z y L G v Y A 0 i 7 + R z C c 0 p y L l 5 x G d y 8 D b a E J / N w t s g t 8 + S T j z I Z t O w W 9 g / N q 9 2 O t F s S S L I Y 4 n F F G m N t D g y d F 8 h 4 6 p D e / 1 2 2 G 3 L G U k g T a x M l H r j T d / m S A R W C z v E 9 F n O s 5 G 5 O M p 6 4 3 z q l 3 k Z r A q w 8 F x r 2 e A J 8 v K j A v + z k p n 4 v Y m V y B w c d B 7 L F 9 z y i Y N D g l T f a M + T z x Y U Q V u F K 4 W J K T j + Z x C m 1 9 q 4 M D W P f f f t x T m v 3 M l O 5 X 2 z C y T A O r Y p j r n k A K J 8 z l b P Z j h 5 T D A e s p I w t N b n + h J o 3 K E J D T O y u Q j G o 9 P s S y s 6 A t 2 I z p J Q + e y L r j k + h w 2 d w V 5 Y 0 h N 8 v A A F l 1 M R / m C o B j 0 1 i 4 q g 0 9 k k G T s J Z 9 6 L v X 8 8 i o t 3 9 i P T 8 1 p Y E y e Q Z 1 v M k H Y W S C T W + D i 8 s z c j 2 v 1 R / Z t S W N K T K D h b 9 U 8 a J g + S O R q f R a b t a v 1 I d S Q p C N 2 2 H N y n b s R U 9 z U U A B 1 8 P l 1 I c E w W T t h R s y 7 K X o 2 R b i i U e T h n a + P / P B J l v 8 7 5 E E v P o X 1 b A L P x K N 9 T e F i i 6 K 3 Z i s E 8 v x M C M a 7 H p z f G f k 0 Q O m U / R q J R e N x u O H j d V M 6 D + Q X 2 J 5 H L 5 0 h D O W S y G b R 2 t c B r 1 5 i q 0 5 p A j U V T F k L U t v f 9 + 3 s / L e 9 r v G 0 k e o c 6 X g 6 N M M 0 Q Y p K j x k t d S / v E w T a f L 0 Q s x w r 8 Z 5 H r i 9 S Q A Z R r K J F d P N t S c L D r 7 M h k M u q V T q d 5 i g W 5 X A 5 p 9 T k F u 8 O O Z C L F 9 x n 1 X r 6 X 6 4 F M m u P 1 b e x D U X B W 0 r r B d H I H J T 3 4 y l P A W G z L m b U 6 5 F m N p x P I e 4 E V m Z R c j M K T 0 j M 1 Y 0 V d h 2 h m a g Q b p Z 7 V R U J d g N f q R o j M U e / Z q P 8 O O D T p 4 H A P 8 I c H 4 c 7 W I 2 2 d g 9 s V 0 L / V Y O X v 8 y S y F r c P V j J L Z M S H 2 l 4 f a t z 1 C L q o i a i B o r x K h u 1 z 2 I M 4 R a m 6 v o n P Z X V g I W 7 H b M y F 9 P g x 9 O 9 e x H l X t c E T f x g Z 7 0 Y U X N 3 q + p l c A l O J w y R q M g h / I y h Q y j 8 X u x T d i z 9 C t u Y c d a w E o n n y F I K 6 M J o 5 H E b T V l o 1 N Z v Y n g j 8 Q 1 9 B L m 1 F w a / d w 4 w s t e q J m Q K a / b R K r D 4 4 3 U 2 8 n k c f H W q 7 E 1 b U b s p h N D a K g L c L t u w M s v Y e a t Q 8 7 I U 4 X I 4 M 3 I 0 O u A M 2 T B 9 Y h G X R D U + i F s 0 t 9 b A V Q h h D H c J w U R / b 1 C v N 8 S G 1 L H 2 u / r I i m b M g m X d w H N h 2 h x s Z P l / S 4 i E z c w x d X u T t L n h r G + A K 1 N E K c 8 B B i 8 L 4 / d x C H l 3 O K f Y h n y U f 4 b i R + u q c v Y q Q 3 / H D / 0 T 3 L W 9 a e n 3 y l 9 9 U D 3 v q 1 C m M j Q 0 j l a I p o q A R Z J T c L O Q V j c W X y E 3 + J h I J C t M C V W Q W j z 3 2 B I + J v i l K i 1 z B Q 0 m Q U J r M y s a L S R i L J R C P x 5 T 2 z Z O B c v y t 1 + M h s d j h d D j Q 1 9 f H E S 8 g n U o h T 2 n h 9 f I B 5 G Y k D B k Y a Y e N Z u B f H n s M y b T c 3 4 L D R 4 6 o N k a j E Y 3 p C K s 9 v 9 T u X J Z m K g V Z X q m + a r B i Y S H E Z 6 c J o S A 3 t e C P f 7 y P d M U n 4 6 t v y o 3 v H 3 X j E z 9 z 4 N O / c O D 2 J 3 i K m G 3 s 0 4 K z B b 2 O F l h S Y 1 o b y C Q X 9 a a R P U E J + 9 h 2 n H r u J K x z G / D c n w 7 g 6 H 0 L 1 H Y L c h O F O k 8 T B y l N b R f g Q B W F n T U 1 i B x N Q Z v V q 0 w f w U y C T J w N K S 1 S 7 5 x H m y u O s R P A 2 d d s Z x u a E O 3 6 N 7 Z J G w N L e h w O 9 l m 7 b 5 f 6 r J n Y 8 g K 2 t X P 8 u t 6 O w M I N 6 v N y 8 B q U S q O 7 p 1 G / 2 c / + 1 G h B m D G 6 / p P I t V y q r u c 5 9 A W 2 R 3 c R 2 N u i i c 6 2 P I M 0 z d B c H d t k o 7 l F a 8 W S 6 s f U c 3 H U b + H 9 c 4 v o C m 7 g u W y j v R E O Z Y k I A 3 p p A t a o M X O 4 7 W g 7 p 4 7 9 b k O 7 8 y Y c n X M r a 0 D G k J f j r b S x F G t F 8 M g d v 8 L g 0 Y P q f T k o q t X / Q i s 2 Z S r m 1 b 3 V / X U z U O j W Q z o U w T 0 7 N o R D j / 9 J H Z d 7 F f J 5 r K u l x W W v x 5 5 R B 8 Y S / W T 0 + W n V A j + 5 7 2 2 / + A x + V n t I / U D w k c S l + N I b P o j P f P a z u P r q q z A 0 N I x D h w 7 h Z S + 7 G h M T k 9 i 7 d y / a 2 9 v V D b u 6 u t R N j x 4 9 q o j v 7 W 9 7 G + 7 + / e 9 x y S U X 4 8 i R o + q 4 y + n C x k 0 b c f j w Y Z w 4 c Q K v f / 3 r 4 f N 5 M T U 1 h e f 2 7 8 N F F 1 6 i m E X O t d s d q K u r w 7 p 1 v b j 8 s k v x 3 9 + 7 E Y 8 / / j i P 2 / H q V 7 8 a f j 9 N F P o D e / f s p p R q Q z J J + 5 w q + c I L X 8 D f H 8 M 5 Z 5 2 F s c k J f O u G b + C q q 6 9 R 2 u 6 8 8 8 7 F F S 9 6 E d 7 8 l r f i 4 x / / G G 6 + + W Y 0 N D S S S T N o q K 9 H R 2 c 7 n n j y S f T 0 9 K j z W 1 p a 4 H K 5 c P / 9 9 + O q q 6 7 C k / z u L F 5 3 f n 4 e 2 U w W 7 3 z n P 6 k B f 3 B v D P t P 0 i Q j O p q c u P + Z E L 7 y N g 8 G H w 8 j G p 8 h 4 d v Z R 4 3 U J n N o 2 V C D u q 4 m u C z T H B G a q B z 6 i f 1 u t J 8 v P o q G I 4 8 c g z X T y I H O U 1 P T v 3 B E e Q 0 O X E a E D z V a c h 7 t Z 3 r h r 2 s m g d n g c F I w 2 Q 2 B J Y x h x R O / 2 o e L / 3 o n t W Q Y 0 5 k x e P K d a M v f g k j g 3 d p p B p S v Q f 9 F R y h h Q Y 1 H I 0 p X 3 8 + Q 7 r y W W o 2 O h E A Y T y e 0 V D g J m 8 s B u 6 s o K J e B x G 1 J z 8 A / / 1 M + p Q 1 j d a + G 2 + L i y 4 a R Z B i t v n W I 9 r n p 2 5 G w h U I z c w A F k P Z b 0 f 7 0 w T M x 2 B y a b 6 6 h A O f Y X S i k I 5 j A N a h p q 1 V 9 c D g X R J g W j h D 5 L V / 7 P H Z e 8 i I c e Z q S j c y R J m 1 I X 9 Y 2 t S C y u I B g f Q O m R 4 b Q v X k b T h 7 Y i 4 7 e T T Q d s 9 i 4 4 x z M k W b 6 D u 6 F y + O H k 3 S d p L J 4 2 d + + B a c O P Y e T z + 3 G / P Q k X v O u 9 6 N n 8 5 m q L R t t V A K p w 2 h w 9 S K V s c P 2 7 x / 9 s D L 5 n C 4 P 7 j r 4 C P a 7 O d A 6 L s l 2 4 8 r t F + G H P / w h a m p q 8 c w z z 2 D P n j 1 o b O J A U m u I K S Y E L u 9 P n j y p z L T 9 + / e T 0 K 2 K E e b m 5 v H n P z + M a C S K x c U Q i d N J b R a l x F 9 Q W k K u J Y z j d r t I o D m E w 2 E 8 + + x u E n K r u q 4 Q 9 m O P P Y 4 r r n g x n u a 9 b Z R K o v X k 7 8 j I K L r a G r A Y F U 2 Q J 1 P O k K m S Z P o h B I N B t L V 1 I h q e g 9 N p p x A 4 i E C g R m n A m d k 5 7 N m 9 G 0 P D w / w c V 8 w s n W 1 3 2 N B G 4 X D L L b e g l f e f 4 3 n y T K J p 5 + b m E A q F N M 0 m E p B 0 J e b Y + e e f y 2 d 3 o r 0 h j e 1 t e V y 0 3 Y I t X X Z c 8 w J q V t 6 3 a S P N t c 4 k N u 1 c h 6 Z 1 N r S s D 8 J b Y 6 F j m 0 a G J o a V h B o a B T x t P J 9 E o T Q u 0 d T b i M b 1 X j R t 8 K F l U w 1 a N z T x t y 3 w B Q P w 0 e R Z f 1 E X / P V 1 m E y P o J 4 S O 5 2 2 Y + D Z k x g 7 G M H I w T m + J s n A d Z j q W + Q g Z 9 H e 2 s 7 x p a / F 8 U j Q J 7 H b + A w k 1 i y 1 X z h + h O Y U N S h 9 C G E + l 0 0 z W + W V b X g B N W Q W 7 v H b a A L u F L G t N Z A Q n z T D s X R 4 x W c l g 1 E A q Q B Q 8 R T y H g U G N f W g x Y + a O B 3 6 h s v 5 P c 1 0 u w 9 B d z N i U 2 k s Z q b h 9 I X o X w X g c g e w m J j B R H S B V k a Y 5 q i T b M i 2 5 O O w h Q f h n f g R + j n 2 U 9 Z t Q E M 3 3 U f e k x p y 4 V A O s e a A M s E E k Y V Z P H D r z 9 D a u w 4 p j r E w x r b z L 0 T / o f 2 k N S + S 8 Q S a O z v Y F h t C c 7 N Y v + M s L E x P 0 U 8 i H Z A e w / O z 6 N q 4 G b F w i N e a p + C q w d D x w x j t o z X B + 2 + / 4 G L 2 f 4 3 S u r 4 8 f S r 2 p 4 U + a C h J F 8 O s o d 7 0 g 4 / h V / Y D q l G C D z q v w N f + / i P 6 J + F H 7 a X J q F K o 7 8 R 0 k j f S q f K W L w k q K T + n G v h V M k m / g y c L w 6 V S 4 j d x w H i t / v 5 + x W Q X X H A B D h 4 8 i J 0 7 d y q G E m a z 0 a 8 Q J 9 f J T h d t 4 q Y m y f M a w g Q d H e 3 s O I / S d J s 2 b d K Y n 8 6 k N E 0 0 j r R L W v T F 6 6 + n 1 j o P B w 7 s x 7 9 + 8 F + V I B A 8 9 f R T F A w H 8 M 5 / + i f 1 W X 5 X I A H J j 4 T x n W 4 x J 4 9 h + x n b + Q 1 d / 2 Q c K f 0 Z k r k o z T C J c l m R z Y n f N 0 3 T t U M u o y D E M R 4 N o C 0 o 5 g Z N t Y M T a D y z t U o f y Z 1 L j 8 8 d y a P h D L Z T J H h 2 E Z O p B F r d Q V q X 1 H D K l y x G o A S L q R F M 7 0 6 y 3 4 A z X r g J 7 p G f I d n 1 D 2 Q 0 C k N b j i S Y Q z R L b e d g e 3 i r U N J O P 0 0 z / 8 z w 9 X 8 V a d + 5 y L R c o c Z 5 + n A I r d u p E a h x h D m f f n Y f m p s a c f s d d / B 5 v R g e G V G m + k t e c g W 1 + i 4 8 u / t Z O v s u P P L I Y z i P g u h P D z 2 M V 7 3 q O v S u 6 + Z x D 5 q a G t i P Z P C k B f W O O T 6 5 m H s 0 4 2 j S O q Y f R s 7 d h n x w i 4 r w C W w W N / z U Z i I M x T w 7 m P I j I s E Z s d c q 9 J s Z 9 K T 5 O + 1 7 o T M L L Y U C 3 Q V r i W 9 d w C O 3 / R g L 8 2 G 8 + p 8 + o B / T o O h H v / x G W x S 1 F E y T Y R v 9 Q w o l x V A c H H + w a Y m g q k E z J o o w f A 9 x + K u j / F f L I Y w g D 6 D Z r e x K X t c m b W G r c z l R / f y O 1 1 A O L I 8 V K B U k J C + 2 v J V O o k B a I N e x y m 8 o a a T D 7 P R v 5 L 0 8 l 3 R A X t 6 L b 0 P / Q f u F Y O X O N 0 P O z N I 8 F C m l b H v t M P 2 2 R 9 F F L b D 3 4 H 5 q t m m M T U w o s 3 e R m t h L k / a K F 7 2 Q B D a u f E K 3 x 0 X z u B O 1 t f X U s i O I x 2 L U y n s o A J z 4 0 L + V D p y B q c Q B t H i o I X T M H y s o n 8 O S l 7 B / D a I p K w K W E R J f C + J Z B x n a a J k J P H T s M d r 4 i U b k H F N Y f 0 4 X 3 D W a d j G w Z 9 S J V n 8 K H b X y q X K f 2 B Y P I + X Z i i y J 3 1 1 j T J / Q r M p F a M a K f y U + H 3 0 c 0 o Q I m K K g 4 H i M 3 c d 7 U y v j D K Q X s m j o o e / t I a N w X N I 5 G 2 i / k F R K 2 + Q a + C X S H d f Q D 6 y B J T P P Z 6 x X v l c k P Q a f a F b S j E y t G C a f a E 6 r X U Z H 6 E 7 G q D j O 8 q 7 4 2 U C B P j 0 F i 7 R d f p X L 0 8 w U J h W 6 5 r U c E j X U f i P m Z D a t + X W Q 7 / i M Q V o 9 2 w I 0 K U m z t z z K q 5 s 1 V D W G k h P M z R B n X p z x F T V P C U Q a V 7 a 1 t T A 7 z Y C S O w i K j K g i h E v S V z t P m 5 f i c U r 8 v N V X 1 j 4 y J D u 1 H M Z z F O e f q r e r E i S q J 3 M u 2 n N r 7 Z M B F E 2 U T E X J 9 x z o B f Z N 3 K 3 M z / o N E t 1 0 I B I l s V G r f v M 7 3 8 E 7 3 v X X S G I c 9 b Z d S F i G 4 L N v R n w m g f p 2 H w m L w s M E N R W g z + 0 V U c D s 8 U X U b Q w q 0 7 c U f E J e I 5 5 1 w e u U 9 l W G d + j b i P e 8 F 5 P j U Y w 8 N a z M z R 1 X b U A s 5 2 C f U h s 5 S S z U B N J H B R u 5 S x F b E e F + F 4 L r a Y p l J t j G B P L u 9 f o 3 G i x k r o K t N G o p k K h n w V a H 2 c M Z N G 2 a J p N 0 I J K y I O B S J M j h i H E 4 t O e 1 h f t g D + 1 F q u v 1 6 n M 5 0 h x D J 9 t n y Y V 4 z R q E y E w S 2 U M 2 g v C E D c G u U k 2 9 E g 5 O l E a 3 t z R l U Z P 4 P R K B a 9 X n 0 E i C M j i P I 3 2 H J a S L i 8 4 / X w m L w a E R 7 F z f A R c F v E D 8 / 8 o c p E M U k P x Q i E Z F U f T n t t F u X T s z C a o T r Y T q l z O T A U 0 K q + 8 V M + k N I G T g M 3 l K I M V M P J 7 T I p B C k 0 b E x j x p r M k r M + T I a T B T 0 s x M c n 0 y E 6 W Z h Z L K U g h L R / G o j f Y 2 N U R H j s z k w M y R M C b 3 j y P o 9 9 K H c e K j H / p X 1 P t o / v E a s / m 9 c F i C J I o 8 n A 0 5 T O w N Y z r a h 1 C U v i i J o p C d 5 z O F S D C L s G T p r C 8 9 u w X + V k p x f k z Q i U 9 l Q / p x A d t m 5 f 1 t J D L 9 S E X Q r x C 0 t v t x / m v P w K 5 r t r D P 7 J g / O o T j 9 5 1 Q P m 7 e 1 c M u S v G S y / s o H p p R f 6 X v 8 6 4 u v X 1 F L D E T t Z W 0 X 4 t 4 E j Q P p w 7 M o 2 6 z F d F 8 G + a O 5 q l Z J / m D H N I y z n I / w j 7 1 Z z J p / R I z z a V O q L 8 G L O l R x U x i W Q k z C b w k 6 i Z L C t 6 C C x u 6 b c j s G V W f 1 / L K R z N L r 8 t b o u h w J N E 8 s W / p + 4 3 d V q x r E t 9 4 F 6 I n j s E Z W U A w E 8 c 5 3 S 1 4 / K G H F E 3 8 + K c 3 q 3 Z Y Q g s z B Z n j y V K y Z k m N q U w a t U 1 i j 2 f g T v f x m J B z A W M h q m Q S T q 0 n A r 9 9 H j b x D 3 w 7 k K v Z o S 6 0 F l g 4 + N q M + + q I j T 2 N x t w e J L p N U S k Z G N 0 k G F 6 0 o y O Y p W m o P s I S G c D 8 i A W 1 W 3 p U O F s w E 7 W h y a 8 x l Z p U 1 G f R H d O P I N P 8 Q v V + L T j 8 0 D C 2 v b B L M y W S g 0 j l O h A e y s H d l I e / y Y v Z R B / q X e v U u T n 2 Y S J l h 1 + 3 h s K j U S T n C 2 j e G c D x a Q e 2 N G c w H H u c 7 G h H o 2 s b 2 x R U Q m v y 2 B x q 1 g V V Z k m Y 5 k w t 2 + r z 9 P I K F s w l T 6 H R G l A h e M F 8 X w h 1 3 W y L g 7 7 T C h B N I U Q d K 9 R T Y x X F S f r Y D Z j q u g h d v g v 0 I 0 V Q R u D o v V P Y / v J m m t V W D C 3 Y s K 4 2 o R h V I Z / A + J 4 k 2 s + v U 9 e W Q I a Y Y V q G x P L 2 Z H j O R G R E v e 8 O 9 m L 6 a B j N m 3 k t u 1 g I o v V z Z O Q Y W s 6 g d r I 3 k E b m 4 Z x 4 E K m e N 6 m 2 q P H N U m C x n 8 z I p 2 d g d T Y h k 7 P A Y R N h x i a y b Q U 9 i 2 d 6 g p Z P K A k P + 9 R H D R h L W 5 Q Q F t d J J n F c 9 q K w f W p I m 1 g / v y u O R P Q o / I v H 2 d j X q W M G R L l o n k 0 B M 8 l j s P a v R 9 0 W h / K 7 x u k / t e s + s e U 7 3 / l O Y W Z 6 G j t 2 7 s C Z Z + 5 A c 7 P m S 9 k d L v o g 6 p y K y P L 3 s b Q V N S 4 q 2 t Q 8 r D l K o l w a 2 R o J J 1 a H J c u O s z r 5 4 K V q V i B 2 u M T 9 v d F D i A X O h M N q U t v i h I v f R E T o u C o z Q a c R k W w F C f 2 S M O M z W X i b S 6 + 9 N D C E P X Y M W d 9 W 7 c M a M N 0 3 h / r O I L J R D h x p w O b k h f T Q s Y E s h d C x y T w 7 N U / / R T Q j T y n S r 8 J 8 X w S W O h s 1 0 A x 6 u 7 v Z V m o 3 C p i J 2 S R a W x p 5 j R S O H Z n B j r N 7 4 B y 6 D b l A L 0 6 F W 7 E x M A V H 4 j A c z l l l p y f z u z A V u h L 1 2 0 x t k H B 2 d o G S Q g 9 v V 0 B O 0 r I o k O p G b k R 0 / c c x S 6 J o d C / v h 0 Q i D I / H j 7 1 3 D G D 7 1 Z 2 Y p C b 1 0 u x r t j e q A I E I t X T C h m Q 4 g 2 B z m h 2 i H C 5 q j W E y P J + r A o Z D f f o 7 u h a z j f A 2 x e A O t u t H g O i U l k Y V q I 3 C M / k b m q P v Y d + I 1 h d z Q 2 h F Y 7 5 y 0 P O A I 7 9 I I V 1 L G t C Y S Q g / q z O Z D M H s k Q w a t 2 v 0 I D 6 Y D E z W W k 9 G B J w U W s I k c T I b b 0 a h Q w G Y s q F j 8 v M Y b 3 s n 3 L S K 4 h k v / K 6 8 Y k Y F 0 + D K e M w d T f L 6 H o 3 G L C o o M V k I h e N o b 2 + l T e 7 i Z f k D g 1 L X A H k o f W 5 P Q Y V f C 1 S j N A c q X 0 c e V B x B + h o 6 g w g k q i M S T y Z 7 8 2 y w B C H W A i 0 a J O d K u 3 k J j o F o k m o Q m 1 / y s t a C T E q y M e g H s f M t o p 1 U R x b 7 x 3 j 2 d E q i f M Y k Z n X c c d c 9 e O r J p 9 D T 2 6 2 C L p F o F J s 2 b c T B g 4 d w + Y t e i L G h P k x N h 5 V J f e 0 b 3 o 6 / 3 P t b j I 4 N 4 R M f + w i J Y Z o + l w v z B 6 k d z t b n a i p B 8 i 2 V F q / c B 8 H F b y F c + z 7 9 0 3 K k S Y x O C a s T 0 b k o + p 6 Y Q / C S F q y r d 6 s J 4 Y J T Y 4 R c O o v F k w U 0 k F j t 9 C u + / / 0 f Y e P G j X j x i 1 + o g g w y O a 9 8 P P b Z / f c / i L M u P A M / + X + / w t t e 9 l 7 Y 1 k c R y h x B b + 3 F K C S n Y X E 3 I z q a Q 8 w + h d b W d h p H 9 F k c 2 m T q 0 e M n s X n T B i X k Z b I / k 5 e 5 u D z 6 T v V j f n 4 G l 1 5 6 C c c p D j u l v 4 W C O s t z U r R G X L o 1 I t q 8 f k M 1 q 4 i 0 m B p D w d W p f z Z Q Q G D 0 S 4 h 0 f k z / X I Q l N b r s / M X h i G L k A T L q U l D C 6 6 O T S z u 6 2 k C c D l R Y k k Q u T r q i R n V Q Q q w a k 0 i A I W u V Q I R G n p I t Y S M h 5 K t I I j m L L M j z 7 S X a R m D c y 0 B e A i Y m D p f r m 5 9 o r Q w l P p P y F S m a z P 6 i 3 N 9 C S S S M b 2 C t D C U E J n N 3 E i 2 K T 9 r Y 8 h i S t W G 0 + C V a Z c d C X w F 1 G / h E 2 S Q c U 3 + A q z 6 G w j T 9 C p q A W d d m E q o L k / F X o r n 2 a f o u 9 c g H R S P Y Y Y 0 M w z t / q 2 L 6 S K e e h 2 f S o h P 8 n i I c b f 5 e B I Y + h 1 D 3 x x H P L s K v a 7 Q E L Y t C T g I Z m p 8 s L 3 N 8 a v 8 D B 2 k t s O / P O A s 7 2 s z 5 l 3 Q T M i T 6 A 1 H c e d 9 / o 7 Z G 5 v / a 4 X F 7 M T 4 5 h r / 9 u 7 / B n m f 3 Y t e u X X A m v B i a 6 8 f m j U 3 4 x G e + i t e 8 5 j q E F i N k i E s R D P o R j y b R P 3 A S v b 0 9 1 J B u H D h 4 F G e f v U v 5 7 s K g E u T 5 7 O c + h w 9 + 4 A P 4 7 n / / N z 7 1 y X 9 H g m M k 0 y o 9 P V 0 Y G B z G s W P H c N k L X 8 Q e 0 X P r C N E i i 8 N R 1 P U u D 5 I Y C K W G E b R 4 q B 3 / A H t m B E n f 5 c i 2 X q 5 / q 8 G S n l I m t 0 S N V Q T a B C 3 6 K M E W 0 m g p Q 2 l E I o P + x S 9 + A X t 2 7 8 F b 3 v p W l Z l Q C Z L c K m l D Z p R r r E q w F m h + F B w I h x Z w 4 4 3 f x 0 c + + n E y 2 8 o B g h z v p U E S e A v 4 9 r e / r S a G r / / i F 9 W E r H x + 9 N F H 8 f G P f R z n n r s L t 9 9 + B 3 5 x y y / x y U 9 + g g N 6 t v r l j T f e i H P O P h s X n H e W Z i J W Q T a l R T F J Q 0 S R m Y S t R X d K y o o E I A y Y G U p C u u P x 3 e j 0 X a g + V 4 L M n Y y E B 9 B D w g n P Z Z G P b Y S r J Y T 4 Y h y 9 N b 9 C 1 P J i 5 L 3 r M R z f z 3 M 2 q z C 0 3 H 1 y 3 w J a z 6 a / s g I C E 1 9 B p O 3 D 2 g c x B f m 7 4 f C g + t j p 7 0 H N 8 B e x 0 P M R j l E x P N 3 6 y L t w Q e 1 G 3 L L 1 Q z R v F D m U Q s x J t u H o H + f R t t M K f 0 u t M o G U n N F M A u 0 8 / n T m 1 B x s m X o 8 0 / 9 n X H 3 t i x E + Z Y e r L Q G 3 X 6 M t + 9 D d y H Z d x d 8 4 E a L p W O O h h Z G a w t T B G F q 3 Z 5 R Z K Z G 7 U Z r D 9 9 7 6 H N 7 9 7 n d j n r 6 Q j 2 Z X O k / f J y u a u k l l n Q s 0 z U V f z m g D r R x I g C O X p C b R t O n C 0 C L q e j T T t C L 4 D N 6 + b y C + S e + 3 l a A U R I G a 3 E G T k f 0 r q W / i t + l C t y L p f 4 6 S Q L I c P v / 5 z 2 F s j C p R R F Y F G M w k W u K m m 2 5 S D 2 + X q B c / G 6 9 K y F t 8 1 F 4 5 J B M x 7 N 7 z H I 8 U i b Y a 5 I x c n o P C t t x 1 1 1 0 q D U n S g d 7 2 9 r f h 4 Y f / j D v u u A P v e f d 7 8 Y 5 / e g e O H T + B r 3 / j m / i X f 3 k 3 3 v r W t 6 n f L 8 z P q o y P M 8 + k j y d E U A V 5 q i C N m e S O x X a J S h d W E p g 1 Y j n E j F 2 J m Q T C T M K c Y h b 7 2 7 p R 1 3 W S D 2 d F b C y O B f 8 7 k P Z t J E H M w 2 N p p 4 B K 8 u Y Z p O J z 9 A 1 L h V c l G M w k I X c L z S n b 4 g m c E b k d P c 4 A H J E j i G M j / Q 7 d a j A w E E Z i J L G M m W Q 6 Q P k / e p b 8 t q v r U d t W i / 5 n + r D n z i P q m M F M Q t j R e B J N G w J o 3 G F H I / 3 E s W d m 0 W z 7 D l y z v 6 S f T S 1 J 2 G i 6 W h 0 + D I 1 M o 2 P q i 7 C O 3 I M U g p h v 7 U U k V k N / Z h r D S S + 8 1 n X 4 6 z d d g 4 G 5 Z + B x Z h B L 0 R S 1 5 p G y N c F T m K B W 0 C K N E q r W m I l 0 x 2 u r 5 G t 7 P d I 2 3 U e j L y b M J B H F a g i M f 2 V t z C Q Q w c 8 x V v 5 X e g J Z 0 L U x W T A V K U N S c r x e L / 2 q D h L l v / B 8 C 7 7 x j W / Q v m 3 F + e e f h 2 g k j A 9 + 8 I P q f X N z M 2 7 5 5 a 2 4 5 / e / V 4 Q + P D q J f 3 7 X v 6 C F t v A r X / k q x Y y v + 6 u / U j l w c u 4 b 3 / h G 9 f f j n / o 8 G c u D k 3 2 U 1 O v W 4 + K L X q D O f d e 7 3 q X u c 9 0 r X 2 n 6 7 U 6 8 5 M V X 0 b b X J u p E Y 9 5 6 6 6 0 q Y y L g D 2 B g Y B B b t 2 7 F 5 Z d f h r q 6 W m z Z s h W P / u U v a G h o U J k U g h u + 9 R 2 a G a 9 R e X g W m j 8 G c m K W E k J K 2 j q u n L L / y 1 E 6 d y 0 f q g 9 Q O T I 0 4 a L p S f 0 T 0 O y r h 4 + + W Z L X s G b m q I E o l f 0 J v i x I j I + R 4 O P K V 2 m x y 5 o x G y Y P L s L p a U C w o 5 p J v B x q i Y y n F Z n a T Y h 2 f p j v m 5 G r 3 c m / v b y f N t d j y f F 5 K c n v f s m v c P / L / g 3 O k T v g H b 4 R / s E v w z f w J X i m H 0 V 3 z Q Z 1 r h m b L 9 y A c 6 7 b i n 1 3 a p p P I G b Z E 4 8 / g T 8 9 8 h T + / W O f w M 9 u + h 6 m r B P 4 2 Z 5 m P D m x B S N z T k z S H / z A D / t p N f w H f n 3 r L f i H r 0 5 i O t + O j 3 3 i 0 z i x 7 z 4 0 J 2 9 B z d A f s H 7 2 N s x M Z 9 A w 8 W t 0 L z x F k 3 U Q 8 d y U 5 h v l 6 M N I h o S e F G z R G V X G p O B o 1 t 8 D M h 8 r Q b N M g a Z e Z h Y N 6 0 Y w Q / / T D L G m L P v + C / N t x W w g M 0 Z i T + r v K i N P Q a P S u H Q k s / q i I 4 l 4 m P G f n / q U k j i v I F G f c 8 4 5 Z K C I Y p Z 7 7 / 0 D n c 6 X k I F u U c T + 1 a 9 + F b / / / d 3 4 C 4 n 3 m m u v x X X X X Q e X w 4 o T J 4 7 T / H o E b r c b u 3 c / q z I L 7 q Q G + f C H P 6 w 0 x L 6 9 u 3 H i + H F 1 r 9 6 e H g w O D q K 9 o w t 7 n n 6 0 y m / v V D m B 0 n T D n B w e G s J n P v M Z X P + l 6 1 V b B G a a T 8 R i e P v b / 5 H a 9 r M 0 x 5 J 4 4 I E H 8 P K X v w z X v Y p M T u d e f C l h I 5 k h F 6 a y C h H T D M x R U 9 h d u v l A S K d X R g m H r Q i H 3 a 1 m 9 Q 2 4 O R C N 3 n X w U J I m Z e 0 U i T / e 3 4 j a p n o k 3 D W I S l u o R f P u d W Q n a j K 3 Q 2 n d l T C d O I Q I i U v m p s y I Z a Z 4 T B Y a 6 n A 3 q n 4 U F C Q I Z X P D Q a f U Y v c g 3 f U a x L v f i W j v R 3 G k 7 R / x 8 h l a D z Q b P Q M 3 w j v 4 P f 1 X G i R c f O Y 1 H d h 7 1 y n 9 C H D 1 1 S / B 4 0 8 8 i a / 8 1 5 d w 9 Z V X w x / w I h a J K R + q 1 3 I A i U Q c n / z M l / C S F + 5 C Z 1 c b v v i F z + P n d z 2 B i 8 6 / D D t 3 n o V o 6 7 u Q 2 f x P y P T 8 L T Z 1 N 7 A 9 b 0 e 6 4 8 3 o C K 7 H u v m f I z D z O z K N r M e y Y G j B r q y G g s y X y R H R T m X w O f N w O D h O j k Z M Z n o x U Z f D Y i y H 8 b A D q c S C o i V / Y 4 7 P r 5 n v C w l Z T 6 f e K n T 5 L t L f V c H S Q l v g x I y d 4 0 o B K R 8 o L J f h 8 5 / / P J 5 4 4 g m s X 7 c O h w 4 f Q o w E e u + 9 l C L U L p d e c h n P k K f R X g Z B C 3 J s 0 d z c A h n t H r z g w g v J M L 2 K O c U h r 6 + n y V B L + 9 v m U F p P I K a P Q D 5 l 6 R / N z 8 3 y t 7 8 v / a 3 d p g Y j m z E W c h X w n v e + B 1 / 7 2 t d U Z M l B c S Q B E B V d 4 k t C q B / 5 6 E f w h j e 8 g W b h 1 f j 1 b 3 6 D 8 f F x M v R H M D w 8 j F O n j p J 5 + B u a U n J u L i c Z b V 7 V k j z b G Y l r b Z I A R H V / U A z A 4 n O v B n n e W D q s f y r C 5 d m k / k r K l A i P P / / p U Y w N J 2 F z e D E z G 8 J d 9 + 9 V Q Y X 7 / v g g P v q x / 8 A 3 b / g u h k c m l H Y 2 I + C Q 9 W w u e M p C 5 7 K I z 0 O C M u B L 3 Y M j k 9 p v j 0 5 r R B m o 4 E 6 + / 3 f f x P w w i d R i R W L d O x H v f R f 7 X f y d a T g m H 4 Z j / H 6 4 Z / 6 E f 2 3 9 P p 7 7 / V G c v O c O + E 5 9 G l / + e w v s J 2 7 E K 1 5 + G X z h I N 7 + 5 t c p w n Y m 9 q J 3 w z a a l R l c f s V 1 e P u 5 Y 6 j z Z f C + 9 7 w b l 2 6 9 B L 1 d L b S m h M H 9 y m e 0 Z K d U G N y q J n s t 1 L L / i n T b K / n W B t f 4 7 7 H e d h i 2 7 L z K m J H 5 x u e m O x V R H 5 1 y U g j S 2 e B x + b t I J k n l L G g N 5 H F m u w + 5 o Q L a a Q 2 4 P H W w z T z L 7 6 i B q a U H F 4 d R R 3 9 O L B E Z 9 w P j 4 l 4 s t 1 Q q Y X A q i s 1 N m q V T k V z e 9 / 7 3 o 7 e 3 V 2 m n 2 b k 5 n E X p c c U V V + A n P / m J 8 k N k Y Z 8 8 5 L 9 9 6 M N 4 0 9 / / A y 6 7 7 D I V / v 3 D H / 5 A w s 5 j 4 4 b 1 + N G P f o R f / v K X S y a X B i H A U i K U p R 2 X X 3 4 5 R k Z H c c E F L 8 C G D Z v 4 2 5 v w y 1 t u g V N n l E K O T q P T o v L j I j Q 3 p Q 3 3 3 / 8 A 3 v K W t + D c c 8 / D S 1 9 6 F R 5 4 6 G G c e d Y O l R X / 9 O 6 D P O d H S o M K w 1 1 w 7 l m K w T / 9 6 U / T n G x B X W M X E k k 6 w F Y H X 2 4 y F B B N 5 s l I e S T T e b j Y Z N F M 5 m h i J a h Q / 2 n A 5 6 w + E a v W f z W 6 8 b d / + w Z s 3 r g e h e Q U f R 4 7 L l x / E X Z t b s C 7 3 v K P + M q X v 4 A P f + i D i E Z D K j y 8 k O p H / 4 w m m T 3 2 B j r q 9 S S Q C O V N d U L I D U 3 i 7 J l P I J 7 M Y l s z N T O P b a i n o N K H J i d z e h z D W V u S R M 3 n M 4 Z M D R u p z Z J F t v E c Z F s u x S s f + w u y s x b s u n Y b N l 3 z G h w M / w O e P P B m j D u v U 8 x Q t 8 G P 2 f 4 E 5 q g 5 0 9 4 L 5 N c 0 f w u Y j 9 s w 3 P p h O I b v x c T h S d R u c / O y 8 / y W m j I 9 p u 5 V s N Z q 9 5 T I r 7 k N f K X a X o F c Y A u 8 J 7 4 O Z + g 4 m n w 5 n N W e x u Z G e S Z Z p i 5 e b k F F + 2 r d H E / 6 9 d J 2 y m Y E e g p I R O n 5 H P s 0 8 j W b k O 5 9 A w f a j d 7 a b l 3 L S R 4 p s L O d f S L + k t y P p m Y k r U 1 O l y O R s a C 3 p W i K V 4 z y l U N M I i N 5 0 M A H P v A B / P V f v w E X X X Q x P 2 k N X g v K I 2 S V Y J b 8 K q 5 m X D q X p i M v 8 x D a 7 4 0 Q u l K U l E J W f e 7 B g E l x k j H T S L N j l D Y T R u A 1 Z A m G S N 0 s H V 5 Z u C Y o 1 q 6 Q 3 1 D q q P C z X E i G S B 3 l S x h J / m o n p m O T 7 H R N y F S D 3 M t o t w F L P s l 2 R 3 i f J G a O t a B x J z l Z T N G y s P 7 s I V m X m 0 T z m Q E 1 g B 4 9 w j U U f R x B + l p 1 T s n S 0 H S 9 E T g p R 4 Z m p I 0 k J s u 8 B Y 7 I S W V q 5 r 3 F C V Y z L v 3 t v 2 F z b Q d u e s k H + W P 6 f 2 R Y 4 7 c G L v 0 1 v / P Y 8 d X L 3 4 k L a 4 o r k g U j R w 4 h M 7 M R n k C U 2 j a A T L c H A e 8 I g o 5 i 5 r 1 / / C t Y b P 5 X j M 0 e Q G f L d v Y 7 r y / z a A V q J V s t h s K n 0 B M s v e 4 S J O q r t 8 d K p v L M 3 o l 4 5 z 8 W 1 2 6 Z k M + M I m d r V 6 a t Y P G E D d 7 e K F J S i a N s S b 8 C a U L s J e P 6 o 4 t 2 d N Z m M Z X Y j x b X G e p Y J G 2 H L A V z i k l p w p o Y q j h 5 W s T J k y f U u q F A U K S u N K D 0 + + c H j S R W g i U b 1 Z 1 q 7 T y D A f I Z q m v 6 b + U w b G K r S K 1 8 j J J P T D v 5 r f Z 7 Y d 4 0 t Z P V J f 6 U x l Q C + Z 3 8 Z r X 2 C I y w u R R I E T O h U D F j o f R a l r Q k h x a d 6 P k j B d S f U f 1 e 0 w f i a N 5 Z m v A p K U p B m n R m Z M i k 4 / G 9 6 P C d S 0 l d a s t Z U 2 M I o 1 N F 8 y b D V n Q l H k S m i e a 7 P q d m b q E k v h r + i v q s J 6 G a c e n t H 8 L 2 m i 4 c T k / g / q s + Q 4 b N k M h o s v G 7 2 U M p 5 K w J 2 H I + x A r j K s E U F h / N 9 g T a e z f R r 9 R N J J s d v s 4 s X H 4 H J h O H 0 e i m d q Y f 6 H C 0 U w N P 8 x m j F Z n K k h l n + 5 Y L g 8 D I 9 U j Z z 0 O m 8 V w 1 F r Z w P z X q C 9 R 3 K u 1 I 8 g 4 p a S P z A d z 6 h 1 v x T / / 4 V m R p o t h p b o u 7 s O + 5 g 7 S a j u B v / 4 a a i 8 I 0 F p 6 D N 9 i M d D q J x v l v I 9 J S u i I g M / x j 1 O b n E G 9 9 C 7 k r S I a a O l A A O 8 7 t 8 V E l V t I c Y j 6 s r F E U Q w l X m w h S I M m r D q V u d Z i k y n K s 5 T 4 a J H 0 o 7 d u E Z I Y D Q Y c / E 0 r B X b v 8 u m Z t I 0 J B p L Q 3 O 4 G s U / N b D E S n c 3 R O a U 5 m f C q l K U q N p Y W Q 1 y Y o M p k U M m k t s V M g R V p U X 0 g W c o G m p Y S d V a p V Z Y a x c C C n j 2 T Q d G b 1 u b H E X A p 2 r x V W t w P J 3 C y S Z F 5 Z u u C z N 5 G I t U n L D K W 7 w + Q o l 4 D E t Z h w o N Y r z 6 T h J H 2 O H d M 3 I L X l r W Q W Y V Z + J 2 F 6 C p 1 y W L K z f I 6 i L y Z 4 8 / 1 f R S 4 6 g 0 E 6 4 7 + + 6 o 1 o d 5 + L u f 4 Q U u E M m s / y 4 w 2 3 X 4 / J L i s e 2 v x R e G r d O D D p x M 7 W N D 7 1 0 w j e + e o m D E 2 m q b U o r B 0 u + G w F r G u S u U a D X v S + U u 2 R f j H 1 n b I c S m n N Q J p C M 5 a b R p 0 U d 6 E 5 P 5 / u Q 7 2 9 B / 7 h 6 5 H J t S G 9 / h 9 o z l P o J e c R T 9 X h p 7 / 4 C d 7 + j / + A 3 9 / z g F p B L m U e a m p q V I L w 9 M w M D h 4 4 i L 7 + P u U D B w L 0 C d / 6 9 + T H I k 2 P x p + B r a C t H m / x b B O G O k a G W n m y c E 2 Q 5 R X y 4 B x k V R 2 H 1 5 T l z y p V R Z l N K 8 O a P I W 8 u 4 p 6 L 0 N w 5 I s I d X 2 M W s S C w x M O d N E m r t t c f E h Z O R l 0 c a D K 6 D c w + k V E O j + u f R D m Z p u t N L l 2 / y G L c 1 6 z D m G O X d C 0 H K d S l Z 9 V Q c F S 4 I 0 l C 3 w q e R g 9 / k v 0 L z T s H X X i n M 6 U m s w s u L R r y x x N 3 t W N O T J V w x m a t h i P 7 1 M C o J B 3 w W u 9 A E 3 + P E a e n A K 2 0 5 a 3 Z t D p u 4 A C Y B x 2 M p C v j N C X I R d F L E t h U e B 9 3 D 2 8 n x b u V q a y v Y Z S f I A S P 4 Z s s w S b i h i L D p D 4 0 q j 3 B h G w t + l a S 6 o Q F f H y n 3 4 Y k U A B j 7 3 2 q 5 g + G I e v w w J f v c b U l / 7 s f U g H P b h 3 8 x c R 3 G o j s 6 v D C K U 8 + M h / 0 1 c y I e i 1 4 S v v F A 0 o 4 7 h c 8 J g 1 k p R N y 9 u p 3 Z c t b d E g 2 e g F Z z E 9 K M u x T m T c N O 9 E 6 P N A a h G h o U b U b N a 0 p K Y M S m l U W j E R s q G 9 p u i P J u h j e W z k F X 3 u L U G h l k e a / V + 0 N J Z M v o r I c A B N 4 d 7 n A 0 k 8 9 H E g Z X J w L T X w L K k R E l q X / k m H k l I a p Q s h y n K J v H u T I o h U J I X o R B z 9 n m Z c 0 K 1 F A Y s a p g h / / x d V U m g 5 p v q m E Z m d w 8 Y X b E N E F u q R E c 2 w y F I K e / W 0 l X J U b L + O v l k 7 N t B x X o I M J L W K Y i j v N n V o 8 r k 5 t O 7 0 Y y Z 1 g o O V p 9 Q 7 S x 0 X L J 6 w I 9 t 1 E v X u b u W P R e n b p I X p q N 3 r X R t I K 8 s F l 5 Q a C + U 7 U G M T g l w u H K Q P h c Z c A z 9 H q v d v + K F o J S R S Q 3 B Q 4 G T 4 / B 6 n F p 6 W J S U o M / 3 i o S T i Y 1 Y 0 b C t G b w W X 3 P F h b K / r x v V d b 4 K z k d q o p j o t L U w s Y O 6 o B 0 3 n T K O m t n K S r Q K Z W q N J 7 V n z q X 7 K 8 d L 1 W G C b p b x a O Y Q i L P S N D k 1 6 0 B q Z Q e P m Y v a E h b Q u C z T L I Y W t T L M o p U j P 0 s w r F W Z W F V W p A q u + x u j 5 Q i I 6 K j / M 0 V j C T J J k W Q 1 m Y t Q i P 2 y H a Y 7 B O / 5 L D C U 1 4 p O 5 C H f Q R c e w b Y m Z B K X M J I m O N E 1 y F S J s P G 2 c U l W Y S R i / n J k E p 8 N M S u s 5 t K y C S i h h J m p H C x l C J l Y N Z h K G s 8 v 9 q O m b P D v Q 4 j 6 T 1 y y 2 K R 4 e R 6 N n H c 0 9 T Y s 5 r T 5 K z F p l 6 l V i J j H z 8 m p V K 8 e g i h a T p d u C 1 L o 3 I T D 0 e f V e I M n L D g e l v J t t M x G n K g V H i N k z f W g R U w c i c P m c W F f z j R J m i u V m c E a w D t + 8 + D 2 o W R d A f E Q K q J Q K O T P 8 t a P w X b i P 5 l M N D t 8 7 i 0 S k M u 1 Z l L n F Z 8 1 H 1 e c l Z p K 6 e r k w 2 y 1 L S k g 3 N A v j 6 Q H 5 Q v t e w L e F 1 D i 2 t 2 V g 7 a j H 5 F 4 y n g 6 N m X i C m p 8 s Q p h J V k R X B J l J L Z E x Y W U N t U Y f o h x S F y D o 1 i / L Q d X U a b k a P 7 1 r i w R x L B x A u v l K + b S 0 t k g g D r C z L o V g R 5 D E F a N p 4 a O m m I d v 8 k b E 2 t / L z v L T W f 0 y I l 2 l B R z 3 3 T m M c 6 7 1 K o Z / b t S B X Z 1 F p n w + k H Q Y t e B R B l u S g c V 3 q g R q l U p + i m D q Y A j N Z 9 C 5 N Z w / w k j M n J s d o c / R A r v H w u e k V q D A q V N 1 9 n g u + 1 l 8 t 3 w 2 g Y K 7 i 5 J S + 6 0 Z 1 m Q / N X u p N N 8 / 7 s B Z J D C B J S X t p 9 m u r 7 M S X 0 M 0 o X G t B G 3 i y H C B b a O g b K T l 0 a S Z d u 6 R W 5 C p u x g 5 v 6 z f q o z F e A 6 p v h B a d l R z L 3 K I 5 6 i l q J n b 7 D v U E p G + x 2 b g b s p i 0 w W m b A 3 D P B M G E u Z m P 0 g V X a m g K 0 h l 5 u C m F k p Z W y A F b Y U K V V S X D J Z L z 8 M m Z r b + P P H 5 B N 3 c A v w t Z W N R Q c M Z 6 6 7 M C N G 0 D F D r 2 2 k F y E J L w T K K F m k n K G S k P p z 2 9 V r n W y Q s L T C v o 5 J l z 0 t P U A L 6 W i K h h b h M U r g S J D w u E s Q Z k Y J 3 2 r U 2 N W l E E B j 8 H J o 3 j X H Q 8 5 g 9 n E b u 2 J M o z P X D P / c j R H s + p p h J k P T S P 5 D E S R 3 P 3 H 4 Q Z 7 x U U l g 0 y b 2 p t b L W F D 9 q R Y j A 4 H X z 1 P Q x S u i c z G 0 5 m h U z W R K n S u 6 5 B B M z G Z k Y 8 3 G t r 5 v P D G L m s L Y + y I C x s L A h 4 M T 4 7 h l q 7 D B c B S v q R Y N I f 3 C s M n k 7 0 l Z K T A 8 H l v 0 p E 5 o z y e P 0 M 4 t a s Z y Z B G e 1 Z 9 T a N v 6 I 9 2 l A Y E y r x S i Q s s 3 T q f 1 K 6 k 8 f C i E b y 7 F 9 N M u 2 e Z e Y C b k U c v Z W x L 2 d y E h f E J H s m K I Z y c w e j T + N S / d + F j X 0 k Z w V Q t o G h B a 8 t k Z 0 e S + G 3 R m A t 8 a L H S 8 L Y t O 5 9 T j y + H H s v f u E O o d q k I J D / m q a U l w B g 5 n 4 h H B J L h / P E W Z S q U U 8 a h G a t j g R y Z d G B b 3 0 9 R L z J q v B w B I z k Y F E + 9 M H l Y W W J 6 a L t l + 2 k E I o M 8 T X G E Z z d I 1 0 H i l h q B R V Z o Q n g J L P Q t N l M T 2 E J I 9 V N C f K k M z w I e y y z o k N l X k S D o J K i N T X 2 1 e C 2 P Q S x j Y c Q n E 2 B e Z U K G O C V W x Z u D S b 9 + i U Q 5 e a B c U o e a r 9 t s x 3 E O s c Q b T 7 T A 6 s F 0 P h f 1 O 1 C 5 K h F N u Q Q q b h Q k r S W x H P W H H g 7 g n 4 z t / O n 1 M i 6 0 J H o m X L I N E g U 1 B C z M K p i F W 9 R h d t H G D J J J C / c 7 A 6 O x Q B m 6 v v F j y U r D L A h N R A i M / H F G F K m x a H I v S X Q g i f K G C + P 0 T H X x s Q M Z u s + m / M k I y R q e M O d J 6 f x D z H B H Z q Q j F p p O 4 E m V e k p 5 H x Y s s v o t a T R 5 N 7 C / u p m g O g Q f I X T 8 1 L / 7 N D O Q 6 R 3 k / B P / p 1 7 U u i 1 X 0 W L Y A k G q k 1 A 2 0 + T M Q G + W B F I n Q P 3 4 p M 8 y V 4 y W 8 + g i s e + g 9 1 L G D v k K F R y x y + 9 P B u e v d s I z s 6 b z U v 1 y 9 F w T Q / t Q Q b N T x f Z 1 y y B e d c 0 4 4 9 D 8 7 g 4 I O 7 + b z V A k V 8 D j J D Q Y I E Z A S 7 X i K 5 o C c D S 5 8 o 6 G M u s D r o q e p S b T T 2 l J p O K I J 9 Y v U o d 2 U j z f X 1 9 Y s Y m + P 4 J a N q S q L b d w n q 6 F u 2 e c 8 l g W q B H u t M Q s u p E 7 h s Q T q 3 G z l Y G u H W 8 m R 3 h W X N l W C k 0 4 u l I n M s I h E k c l V w a l G h c l u z E v K u d W r i U g j D q F N g p P 7 I 8 b x u V 2 s r L O W c B d h C R + A 5 + W 0 c r r s S U i B p N t o G m z u N h v V j d J I p q e H E w M E U F o 7 b 2 a Q I B h + c x c 5 X t u H M 9 h B c / k 4 R Z h W h 5 p T K p h H E H 2 w J 5 N W r y z e F r I 0 a j s c L L u 0 Z y y N 6 l + 7 5 H D 5 w r 1 a B N T q Q R 9 o b h W d T L d w 1 L t T 2 B N C 6 q w b 1 W y 1 I t Q 5 g + v A 8 J v f r q U n 6 u A u + / J W v I U F z 4 z v f v R E D 8 Q E 4 / V u x 9 9 E T O H j w K M b D d d h / e B D 3 3 v c A J U 8 U T z y h J X O q w i q r Q A I a A j H x t j b l s X e s K A g k z c d 7 / M v q f T I i 4 f o C G V r r q D Q 7 e T K u Z Q 3 Y Z h 5 F q v 1 q v q G Z 6 G Z f L a a U N h I Y l V e f m z i q p K K k V j V s D G L u q E l a m k H t J l p t J l n M D T R D J r / P v a o L O 6 4 8 H y N H R 3 H o n m m k Y h W 0 v w G Z P h D h R u a X Q I T A o B s z G j b W Y o F C T S C r B F q D p s 4 3 I U o 3 p m + u F h 0 N N X C 7 z f E A W l n C e C 7 N 3 L U 2 e b Z g n r b 1 f E p f p q w I 2 c y l a 4 N E 1 g S q b o R p w t J A p S o 4 l W A w p k Y U x Y e r 9 R Q Q a 3 k V L M l Z n N u V V s v g H b N 7 e W I e i U 3 v R W O u F x s C L m y r H 4 L N 1 8 4 2 d F H g u t h B l C x b w + i u / S q e 3 H 0 1 e s 7 T p b / M 8 l W C M l v E i V + Z K M V U t K m l K t W R G Y l j H 5 1 g 8 a 0 s 2 R r 6 E e 3 a 0 v 0 y t H l 3 o X l 7 P V r P C m K K j r 4 U + Z 8 9 m I E U 0 X z z m 9 + K X / z 4 J x w S O 4 4 c P Y L p i S l s 2 3 m 2 8 m + E m 1 u b m 9 H c 2 I h Y 2 o F L L 9 T r e + j E L F h M F z P C z f B L x E + W m f M i p + Z s O L s j o 0 2 C 6 9 p n 1 P N O E n + W 0 r u A h g 0 1 W M g M q F f Q Y 1 M V X 8 W n d Y c e x 2 x O E y a J O M c q Q g I f 0 4 I F S 6 D w 6 D K Z e p 7 W N B I L l Q I O d A H 4 a q o y d S K T y o a g 6 N 5 o x 5 n X N k N K z B 2 9 b 5 E k s L x P l 0 A L Q t U O J E Q g x m i h K J h + k q M P V g 0 J n Q n 9 7 o L a m U R + J l a Y t g k G L 7 N k w Y g L M w X L w O T T h R p H N y X D Y b T Y a P b o G m W t k G c Z W b C j p 5 4 D Q b U e m 0 4 h N p O G p 9 6 G Q H v p P I H M 4 L d 7 K x S h L 4 N E B x 1 W D g 4 Z Q m 3 b Q u 0 m 9 a O j a T d a R r 6 A y e 5 P s B M n 0 R m 5 G c d d H y H T y G p e n p Y 4 A o s y c 0 S z s G E q s Z J 9 m s 9 i / 3 0 P o W 3 H x b D G 6 t F w B s 0 0 i T S W h H / J R C b z c z W I e R z P z V G r 1 9 D 2 p 6 P N Z 5 e a b Y s n 8 / C 0 5 T D D t r 7 + 8 Y / A Z c n h j 5 d / H q l I B o m G O n S Y 5 j U M y G S k R O z K E Z l O w F f v I i 9 Z 2 a d J J G a y v I e N P o b 0 N X 0 H S w q + N i v c w e J k b o 6 2 c X S K P l 3 c p b 5 3 1 9 n g a X B q t T C q w J I q z r f J E v h R q U z U E k N L + g l k O q 6 m 8 J C 6 4 g U + 8 y I m Y x Q O / H d m 9 H Z E 2 j + i 8 t w k E i a 7 Z V x y 2 y f g o X n x 5 1 d r 2 k 2 + m 0 v v Q 4 L j 2 e P f R m t D m / q Y P Z K j C a l r f x F g p l B 9 R U i Q p 3 w 1 t 6 y H U k I v j 6 N P D C I V z m P X y 7 V o a Q l M U y 4 C L Q N G / 2 C S h n O H c 2 j Y r r V D A h B C D 2 J + y z s R n A b G y + a m y q F F + U Q q r W J r G 5 g 9 l O Z A Z e k a Z F B I e e m E J 3 l D O o P t Y S S H G j E a 8 O H s 3 j z G Z 7 O w T 9 C J 3 a F J h 7 W B p o W K R G 2 g r 2 N Z V r A x T h 5 r O H E 9 4 t s / x o c F g u N f w j O W 9 2 F r G x m B E i N L 2 W 6 3 s P N U k E M k O J + L q t 9 + 8 H t 4 4 s Q l u O C 6 T k w c L K D t n O r O 8 V o h V X S S h X 7 4 p V J P y o P L 9 3 4 B j 5 7 9 C T h 9 R d P p y r s + T h 8 0 j Y e v u R 5 5 h + w Z V X k e L k o n 2 1 / V L z C B T D t x c A 6 N G 2 v g 8 B b v s x K M y e n Y T B y J a S k f V k O Z w X 5 1 J B D s 8 M L h 0 a / D Q 3 L u z K l G 1 H T O w B F s o 1 a d g n 1 q H + y J Y 0 h s / A C 2 P f 4 h 5 O m r j b Q 2 Y r D x E 2 j 2 s 5 8 l q C Q Z L h I d V J f h G M r 8 J U m x g A y G U q O o p T a U 5 S u Z v B c e + t n z / W H U 9 P h h o 3 N c K a W p H J Y s f d 0 y H 1 c V + d S Z T H x Z C Q T t + d 0 p b L i o S a v a Z c C I B p Z B z T n q F X I n Y q f Q 5 t u I y a M L c H u c c H f 4 l y w l A 2 m S U z 6 v C Q + j w E s l U G z x o q s w U 2 i E D v V c C l P 7 o m g 8 0 4 m m 7 V 4 0 b K r h e w d a N 8 b R u L U G P p c D T T s 8 i p l E e j d T M u Z z K U p U b T M q C R B M H 4 x S O h V T d E o h D a S f R G Y S 3 y i T j M D l 9 u A b N 3 y H D J u l z 7 A f P n s M i e 0 f h W / k G z R X E o C v C R t r e T 0 6 / L K u 3 0 m z a H h 0 D G E S q E U q y t K P s 2 Z n s b v / W l z w 2 q 0 c l D p V X O T 5 Q q R b T D 1 L F r H j U d i m m x A 6 l U N k k F o j l M C T M / Q X T L j 5 p R / i s 6 S R s U e q M p O g n J m q z d O l U y H 2 h Z 3 C b B W J T j i c H t z 0 k 5 u R c 7 T j v v s f g J 8 W R P O O F r 7 c 1 A 4 u n J w 7 A Q + F 3 0 0 / + R n C s S l E J 1 K Y P O F C r + 9 G B B f u g a 0 Q p V n t Q b r l E o y 1 v g + W 4 z / C w u A E Q g O T O B j 8 F O r t Q y r Q I v U S L X Y v b A 6 N a E W m S 7 D p U 9 f / E M 7 A R v Q G L 6 b V 1 w s H z 6 1 x x i j j 2 G + Q X T s k m D O 6 K j O J Y F w 2 h 1 a g U F e 6 Q 9 7 n 1 f c y n 7 r j 2 h b E Q 3 H s / / 2 w C o K o 0 m Y V m E k g c 4 5 y i o y p M J O g d V s d f V s f 5 v Z r 8 5 9 m S J d r T F b A c 7 K 0 o w r I U K W m w H D k K Y x E n l U 2 4 u S + C O Z P s i O 6 / P A 2 u N B y t p k o e H F q A A n p J n I L C C G h 5 o D S + Q g Z K o o j U 0 4 6 3 U G q V y s 8 t S 4 s N H u w 2 F q L 2 Q Y f F o 5 Z M L V / U S W 0 9 h + J I H T S Q c Y r q t F s w a c 2 v R q f m c W G D e v x 8 f / 8 E u 6 4 4 w + w u y k Z R y a p B d + K L 3 / 9 O w h l z s G d f / g T P v D h z + D b P 7 h D 7 d I Q 8 A f x 0 x v v x k 9 + 8 g u 8 5 e 3 v w u z R w / C 0 R B R z i Q r 3 1 y 9 P q F w J x 6 b s q q b f 9 J E Q Z v b H 4 K l x q p 0 E m 3 f 4 U M t + a d 5 S i 8 b N I Y 5 M D j c 9 + x s 1 2 E b f t D v y e P x V d P A l 9 L r C Z H Y 5 K s 3 Y D 0 W f o F Q k M 1 k k Q 1 0 G d m V k 0 w m M j Y 0 q P + P + + x / C t F S 0 t d k x P T e L d 7 7 r v R g d m 1 C R Q 1 H m H / 7 Q 5 0 l I N c g 2 Z H D z c z 3 4 3 O 1 x X L z v G 3 j x / i / j 8 a d 2 0 8 e b w z P 2 C y j k M v A t W r C l 1 Y o / P H g A z z 1 3 H A c O H V M V V B 1 2 F 3 5 7 5 9 0 4 c u y 4 k u S d n R 3 4 x 3 f 8 M 9 L Z H J n H i V D S S 9 P P j 1 / + 9 o 9 4 + P B 9 K i R / p I / 9 k h m H N T 3 E / q m 8 P E L m 4 I R N S y D 5 o E s m s m g Z M o d M q 9 B X a t / Y g r N e 0 Y 2 R Q 2 N 4 9 n d a H f R q k K s u m X 8 G + N l J g + c v f a R J m n 5 m 9 0 z e 5 + h 7 + 1 e o y m v N J L K I T M U x e z x E O z I L 7 9 A 5 8 I x t 4 S / p f J 4 d Q P 2 m C p J V O F 8 k E Z l l I T W g E j X p 7 6 k J V a c 1 o J Y U i J 0 p m Q w h f V Z / U 1 N W L c K q 8 R Z Q t 7 W A l r N q V X b 4 + j M C q N k k 9 c K t m D o 8 C y n G b 6 M z n g v x g W J Z b F 3 f h u v f 8 2 J s 3 t S D 3 / z y h 5 g Y O o j u x C 1 o 7 + 7 C 0 G w G Y 0 O n 8 J / / 8 X F E Y / S 1 C l b c c / c f V L W i z u 5 O v O E 1 1 2 F y d C c 2 7 N q y 5 L j a f B E s j h Q j j o n F J O J 0 k q c O L C o n X J Z J h 9 m Z k / v Y H 6 d m 4 U t F V Y H M V 8 d v w F 9 l v 8 o B q D A C y r y 0 o t + q z X e o Y 9 T 6 s o d T 3 t l B o S O v N T A y + 1 V M X h U s 0 O d 0 + E Y 5 u z 1 S p 8 L u 5 3 P U I k v G 0 A h N V u Q W s 0 i K K N D P c i M e T 8 J O T b 1 j 5 5 m q p E E u O Y V L n v 4 U 1 q 9 f h 1 e / 6 j p 8 5 z v f U 9 G 7 7 3 7 3 2 / j E J z 6 J j R s 2 I J V I 4 Z 4 r o p h 8 j u 2 Y i O L S i y 8 C B u / H D 3 7 + M 7 Q W / P j L d V / C Z z 7 9 H 6 q 8 w c J C G M 8 + / Q z H Z i O Z K I f Q 4 i L O 2 L p Z L Q h 9 x z + + H T d + 7 9 t 4 8 I G H c O 9 9 9 6 G e g u i 2 2 3 8 L v 8 e N 1 7 7 2 O p q g V j y 7 5 0 k s 5 t g 3 0 m J n 5 X S t J e G i B 0 s E 4 n M u w e x / K U t L U x D d 2 x t w / m u 2 4 / C 9 M 5 R 1 1 R l A 3 b w M T W f U Y V s 8 p p a 3 m x l O 3 k v N l D N a q 1 s 5 m g 8 l I V S J + p w m h J k M 1 I m k c C 2 v P 1 A J Y 4 s 2 d N Q W N Z I Z o q o l t C p O 6 + z x e X g b P Y j m p 5 T P V h d c R 5 u b W m L 6 T 3 i y c C 0 u t 3 8 f 0 Z b 3 k h A j 8 A 9 / j + a D H 2 n 7 Z m T a r 8 T 0 g T D G x w Z Q 1 x Z E z 6 5 1 S M W S i I 6 m O C 4 + D r g T m X Q U g U 4 6 7 H U r + 3 h a u N + C y + / 9 A r L 5 P B 5 5 x Z e X Q v k G L M k h X H L f d 9 T 7 x 1 7 9 F f V X c P G e T 6 H T 2 Y h f n / E 2 c n J R M F 2 6 5 7 N 4 7 N x P K T 9 M 6 o h X g 8 Y 0 l L 6 m Q J F E / x p 3 i J C S 3 5 U z N 4 9 I j Q p H g 8 q k k A l Z t y 2 A e F Y L n m S o 2 V 5 C h n r 8 k i / p Z 9 M i i T 6 O b u d m a m 8 + F M 2 3 i V g C r z t 0 A 0 A h + 8 C 1 n 6 f P 4 2 I 7 F n D Z v s / h f D L K / 2 v f j m T n W 2 A b u Y / 3 8 W n L P y r A 8 G t K Q R q h o J D F Q L P H I m j c U q O 0 5 G z c h i Z X m O O n a Z 3 Z 9 H E 0 O i n U l 4 I R R h + Z n 7 e g b a L g l h 1 Q B C L E N O Z S 1 g C f x 8 h d P H g P z c F r p A S 2 + r g c F Y 7 L / l / R 8 T g 1 t z Z t l K I r R q 9 m V W i k w R u r / V r X A G P y N a t H 0 A w s q E t V I w 5 K W f o y y h z i q 9 M 7 r L L E B W K 9 H J l 0 I D o T w 8 y h D K b 6 x s l M I m k s 7 P A G t U O E f a Y H s Y J d T Z q 6 B 3 6 H Z P t r 0 V v n Q S J C k 5 O S a 1 L 2 s V 3 3 E c S 6 3 w 1 L v I 9 + j Q M N Z / h h z 7 c r Z h L k X U k 0 c A D F X A v 0 U C O S Q V d j J o G E + 4 V R 3 7 L p x Z D V y L J G a j J s q t F A F N w 9 8 M h k b J k g t I 7 T 7 + w b 0 5 h J l 7 C p X A a n B i j 9 i Z W Y S Y E S 1 8 x M I m z E h F P z K d I W v f K P A Z X 6 p K / F c l j d c O v R L V n N K 7 7 N 1 5 / 4 r h S f 4 F j z d 9 S G l + 7 5 N D 4 9 f I w 2 T h P 9 k A Z a H B 5 8 8 0 m a r d M x Z F J 5 L M a 9 i K a t S F r r k Z 9 1 4 L k Z F z L u B S z E T i L u b a P 2 b Y R v 6 N v q H u V Q z G S Y v 4 Q k C c y T d u Y y A x h N P A 2 1 e Z w s o S U a v f S T d G a y 5 O Y 0 Z p L 3 e t a O 0 I I K L p T Q l 6 X I T K K Z h J l E q 0 u Q g 9 a A Y i b V 5 w X 6 V h 0 4 + A d N o 5 d D t F 2 Y D G j O K B H I q v R s M k e N n a H Z b 2 F f h p S Q U I k K + T T f y 3 Q I G X f J k t C w J G t l 4 I o V Z K p D Q s t i Z s j S A Q O y v a R H Z r X V g 2 u Z C a U F 5 G k e i m M p 5 h B f Y g J t b 5 H 5 A 3 Y 4 b e x u S w h i e j a p I E c H B u e L a l x C x h I 5 6 q n t p T n 6 X e S a d 2 E x O Y u Z K I + 3 v I L 2 d x h S 8 V b y q g T R 1 r e x E 2 a w 5 8 6 j O O N l x W i e y z T Z a Z f N z X J r m x c z 8 J Y t V 7 K t B f x k 9 z 1 o D S 5 P N P 3 N l e / m s 7 O l 4 u n q K G T z F B g 6 l 3 H Q Z b L Y J X Y D n 1 X b w m d l G M w h a U Q y m T 9 z K A 5 / r 5 W S U r b S H E F e a t i R O S y 8 l l q w q F c C S u f 5 v Z i N y g Q S V r J Q E N j x m m 3 v B D J 2 D M Z a M R y q k X k M 2 G e 1 R Z E G j o U G Q P c L j 7 / + K 2 o P K 4 8 9 j 6 S Y T C m Z P 4 r i o l P 9 C L o 3 w V a 7 E 7 m a b Y j 1 v B f e w W / D M f O k 8 r t L o J u / l u w 0 L R h a M a 5 1 a H B u Q r f 3 E h J s c Z p A i q M Y K N j 0 M S N 9 Z S R i S 0 h m y p I p b f S n M I B o V f W M / C M J s c J U 5 i C H 8 f z Z B W x / W R O e u e O w d t w E m a 4 I O t p V / x i Q + v Q C f 3 e O / n 4 K W 5 p p J f C 6 S k j I u j Y K T 1 l K o p a T 8 J 5 G S T N B 8 U k I Y 0 B W Q j y X K L V h i Q I f 0 m 1 M h M o k m t W l J J 7 M I Y l m s i b p c M q C O M k + I G Z j U o D D q 7 I X R m K D 8 D d 7 U d d d 7 I h G X 0 G l M o l J J G u b Z A + o 2 a e f x h P 2 D y A d 2 I E 6 d y M d w w K 8 i 3 f x f i k E M q 3 I n G q l m Z d S j G l 3 1 K H 3 3 G b l l x k w b O F Y V n v 4 V G x e 1 X E w I 0 n t U Q 2 X 7 f k c F q M R M r L 2 D O W o 8 d K k o E m Y o S + h o l 8 U A m 5 q V Q m 8 G F C T x T J w H X 6 8 9 s / X q 2 P D 0 S c w F t u t 3 p t h + E g C S Z k R M 9 N h 9 8 F X 6 6 K m J u G w j 0 W y p s W v k m e z k C m k p l 2 4 j 2 3 9 N G J q M r N k e L G + z o e H X v t p 9 P o n 0 V 3 P 8 z M F X N X x A v 7 W h k n 6 k s K 0 d 7 7 u S 3 j m r 7 8 K u x A r I V 1 Y w 0 s 9 e N 0 3 Y H X z e Y b E M p E Y m 9 6 h R L z 3 v T T 9 L k R w 8 K u I J z Q L R u a l D E g q k C q V p t q j / c 5 c q k 2 K x U z E i x v 9 C S Y y w z T 9 R r G H T N / i m S H N S Z 8 S 0 q 5 C k n + F A b Q 2 S o 5 f Q e Y C q 0 C i u 7 I 7 / 6 Y L 2 7 D n v r 3 6 0 e q w 5 y V F i u P n a U T t m U H S l a E p K 2 O p p J m k o K k 3 9 B P U B z V / s D J S a l l 4 K X K 0 1 8 W f U g G K 5 E n e Q V Q 9 / 5 D 7 R T P l n X x Y E p O R f d D o b V G T e 5 H 2 A f T W 0 u 8 q j o 2 C F G e X E K W Y R L K b n t U f g r 1 t O 9 a n r J g 6 N a P m E N p G f 4 i T 0 2 / D + E E P X D 6 v M h O b d z p x 5 P F j S B X G 0 d I p W 1 w W i V 9 a H e I g y X I H Q d t 5 D V g 8 q Q 2 I + B p Z S u k r n 7 t e M 3 k q Y W w B t R k H P n r F m / Q D l K x x K 6 Z F e h L y C A + + 8 h M Y W X B j L h a k G e s k 8 V 6 P J 9 7 w N f W 9 G R u j X o T 0 7 f p F + 4 q 5 I V M N B o z s 8 n I U T H 0 v F k U t 7 + p U 0 l F C 1 W 1 I W X W t O x q l M I p x X E o 7 V u p 9 j y 3 W 8 V x N w 1 7 a s h W v 6 L 5 U v W + t o 2 m t P c o y S E h a S m 5 Y y X D n t 5 w L / 9 R X 9 W / M o A B c 9 z H 4 e U / 3 q e + T 6 X V z 2 t B + M m l u h k k r X t y T p s l c f F 6 V W W I J k g l s a K 4 9 o B j C q f t S y T z 7 T T R X v h h Y q h Q V L U c 6 T d 9 8 c R C t W z 3 Y e 1 c f x z t J Y f Y 0 h q J P a S e Y y F p L t t X 6 z u 3 I k 6 4 8 G H t m A c e m H R Q 6 p Z E / M 8 S i U F 2 o / A R + M F L Q q 4 K a y H w t m b q T l i z N C R A J S o 5 i V + l Q 6 l p D d C K B m W P z a C I D 9 F Q o o m i G R G f m j i Y Q b P d j 3 l e P Y W 8 e 6 b o m h A 6 N w 5 0 d R t u 5 d X y R r N T y 8 j y e + N M g B y K L t m 1 t f B 6 q Z G E e 3 T a W F k p G i F G T P E 4 z J I N p 9 A 3 E O P h O S m R K / f E o b j v 4 i P p + G U T R U J O a I U 8 v x R Q P 6 P 6 g 2 x V Q a 5 7 q v R Q E R i I m I d p W 0 D 8 r U p X H s x a a M 1 p P S v 6 f g 4 w g e Z Q K 0 s c V m E l Q s I c x e Z C + r q y O J g 6 H P I j Q / M j T r x q Y s 9 H 1 m c T U Y h d y 1 O o t 1 i j s O f G V K O x i e R y f s m N s N o 6 N d Y u Q g o z 5 9 B w + d 9 H f k 2 D U p a p C h J K x + v X R v / o q v n j R P 3 O Q q S H E Z C 3 z O w R 5 X y + S G 9 6 B w P B / w T H x A C 9 Q j U t L j 1 N E 6 u / k O W v R 6 j k D z a 7 N 6 P J e y L E z z h V f h u M t I X Y R H u w r W T N n p s l y z M a k 7 i J N O 5 c T v r o G 1 N Z 3 I 7 g l g s P 3 z K O 5 c B b 7 v 1 K V 3 9 I r q o R l h w V b m j I q y i f W j r G y o h w l T y V a q i J E m o j U l P k U / W Z O H t M Y q f T C 8 v C q e o 0 Z J O L Y x I x a j e q s t a F p W 2 X 1 H J X w v U w A H 5 3 D 9 J E 5 m m R 5 N G z z q H u u b 8 j i z N Y M e p t I j O s 6 4 W 4 W C W h R G R W C R 0 8 6 4 Q l b c N 6 r z m d 7 a b r x J U t H c g U H J u Y T a v w l w b Z / T r O V Z e a + d V s r A t F 8 M b e M P h K / 0 N 6 X w W d z I k s T y Q z J E F / H d u 3 U 1 x M p w c F + c e f H M U w T a j w 8 o g I I x q z 7 e r X A 0 I J P n f u 3 + I 9 z / 1 o d E z R 7 T N v K L D n i Z h T o P 4 V g z d Y g s I V 2 u 6 r / A G x r q l U 5 e f Z 0 P 9 b X R t F V s w 7 n d z u x + 2 + + r i U m i y a y u V H n s 6 o 8 t L Y G r e 5 d L h v F R H I O E 9 H K c z 9 F U F j q G l 2 0 a B 5 Z N Y V w p P 6 D e O E z 7 + W j a H 2 5 D C T A S P d H k G 2 + F L 6 + Y t T T D I m 0 y h J y A 0 Y F V m 2 J x s p c v h R i F 0 1 G / 0 i l p 1 V B o y 9 H e t T e t 7 X 2 w B e k 7 8 Y x O u v a e h x + 5 A S G j 2 q + t 8 L S 8 C 5 n l r a z a z F v S u y V T A m x U G R 8 h x c c S k g J S h i q 6 E O R V X I h N p Y M p p w / S m 9 K T Y u N N j z N I 4 l 2 m e 5 u g g W 1 e i V P g d I w p x Y x f T g O X 0 s Q r b u o u j 1 F Z s s W E v R p t H m U h R M 2 t c Z G 9 v J p 3 t a A 5 j M a 4 D D W H l O a h S l 1 Z V G h Y K P t C M J 6 9 R k j P c m 5 d x / O u F L 3 w 2 R A 2 G b Z f l L y s N r q P T R n J 1 X 5 L W F M M 5 r P 9 C L C P p W 2 v r b 3 I l 6 o V H I K / t / Y Q 7 j p i o / w u b O Y i 1 d e g j A f s y q m V f e 1 1 6 C 9 d o T k l 8 Z 8 q h 8 h O t 2 n Z o r E 9 + K u c 3 F 1 z 3 n 6 J w 6 C 9 K 8 B y T 0 z I 5 / G 7 N E F 8 p A F d T r f i c l h r L Q V w Z G X D Q X I O O W Y S h z U 3 2 l 5 l K O x p 9 V 7 n 9 u H j u B m d J S V w C p H 3 h R Y k r C 6 b B I n + I f b / w O 5 W d L C q f 9 S n 6 t B d j m J d b 8 F / r 7 P L v n P B s S u 8 R h + N y H j K D 6 z m H d m y p L c Q i N L X G q I y M T q E p y N W L R 6 V E n v J b D N Z l P f j E h W C 6 R t 3 H Y u H 8 i N c 1 + x A 7 l I B M / 9 c b 8 6 v o Q K m l c g e 3 L N H i + a m n U U q J J w 2 1 2 X U V V j D 0 3 a S x l K + T 6 K 2 / l g E t U Q W 9 I k h c R H i t I 2 l g n d d E X p p J a V U Z P R X j 2 S U R E v S Y 9 v 2 S z z C c J I p b e z s y O i x 1 2 Y P R Z G 3 e Y c B 8 1 k L K r Q J J l N i t 5 n Q w j S l 5 I V u p K c K H v 6 L G a 1 M L 9 o 1 e T 8 K P 2 1 C F z + O p o D W q e p J S S E E J 8 M 0 K H 5 L u 1 6 Z u j C Q t J x Z g 8 n 8 c 6 u l + O x 1 5 f 6 P M f j E / j 5 5 G M Y W p D 9 Z P X B V E a 0 N u x 9 1 H g y 4 G L i y c 6 E U l x F A j O y 7 F w g f S D f B f k 6 T q a S q J w I h 2 o w t s U U S G 5 d S q 2 / 9 K F 2 X R B / P u V S f q W Y H C o h W M 2 3 a E L G I F i 5 t k R A B S 2 e H U j l N d 9 M k p K l s I v U 8 j N Q a d 1 V E b y P K e V H L A / x N e f T g 0 g r i y W P e M 8 / w 9 t f X D t V D i n q A k c z o h s + p Y J Q v p F v 8 Z j u K 2 r d U w K f g 7 Q n f a d / F s h e V a q M A t / L l I U j K + v 1 D K F m U 0 k E J Q J J w v 9 L W l U W f g 4 p z S o I 2 I 3 J d Y P O L F h 3 w T Z 0 b / N j z 1 3 F Z U y G S V 0 O M f 1 y U s E 4 Z a J T E 7 p q O C a L c 5 N s K 0 0 W 3 Y m U F b Q q 6 7 o C p u L P 8 Q F X z r 3 K n m q D n + a w p 1 6 T m L L 5 8 d J + r X o C p S A d z 2 D x V F Y 5 f K W g d q Q a l + x y g a p w o 2 + 3 K Z i M W L E p 9 A V E O v + d n 7 S u P / F A A p u v o D B Q 2 4 2 K 9 p R U e p n g l G t o 5 8 g C R Q c S J B I 3 n d E n 0 e 2 / m A Q 5 U j Q f i O n D C 8 j T L G z d V Z S c E t 6 + / P c f g n M 2 j z v / 5 g Y E X e w 0 H i O 5 y W 2 W M E c N N U G t c W Y L i U L 8 G j J r I p M i A / h U p a N d H V q h z f K k y x K I 5 l e Z G F q b k 6 E k E h M e D A X s 2 N i U U y k v l t Q g M o 5 e E p Y W u J C r q V 9 k Z j U T j x B N u S y h g 5 i K 2 G B z H F V M V u / s g d f i J f E V w 9 d m I q 9 U N s x A I p s m c + W x m B 6 g Z L Z i 3 c x v E O 7 8 G N t h 1 r Q J 5 C h 0 z Q s u B d b Q C d i n / 4 L h + O v Q e l Y p L U l w r N o y H x X J q 5 B 8 I F k k a w l K a A t d S S N W W Z h Z O u 6 C X G I S B x 9 I 4 + x r S P v i z l T w Y w 1 a n D 9 a o L a q 0 M E E K Y 9 U Y U R k F C q f K G j x 7 l p W W N F A 8 o Q f y V E H n J t m l 5 h J T E b F T A L F T N q I h S f i S C 6 k T M x E J q L W 0 S B q X / e x C q k S Z p K V u p 2 R P y F W + 3 p 2 i q Z t D j 5 w B H M h q u y l v X v 5 S M K Q j g a c n C k O p k S 4 r H a P B O v Q 4 9 p U s V O b t 9 d x k G s x v T + O u X 5 N k q p U o 4 I N a U p J i T 4 K p R Z k Q t L E T I I G X x 5 n i i + l a 2 6 Z 1 x B m E p z T K f t o a c m V o m E V 4 + i Q p d V L U I O u 9 f / 4 n m k s D i Y R b b H i r A 7 N p J B n H s 0 s U j j Q v N Q H 3 B i t d E G r X y H L t C s x k 6 D Z n 6 O J P Y c O 7 3 k 0 t 5 r 4 H M v N x C W I t V I F H v o / f o e b G m 8 b P N i C u b Z P I j X b j 8 D g Z 9 S Y C W R B Y D k z C f I 1 m z F f 9 z f w W I + T s R 7 T j x I 8 v z I z k W b Y 5 k r M p K G y t l g G N X 9 E Z p K q T V Q Y S c k / z R Z 9 S J u n F W d e 5 c J T v y N j P b o 8 O V Y g t J j j G B V s Y W W F V U I Z W R D K d K h 8 s s A c c E g f b U T m R C t S R 2 r g p l n n 7 p Q o S J E 5 Z S 2 + N a k l K G o B D 4 t a + p 2 c D S P Y r j O T c s J J p C 6 N U d 9 x 5 K d 4 y b 4 v I h z t 5 2 H t W t I a 0 Q D b W j L I t r 8 I q Z m n k a J j L n 5 P L u 7 F h q v N K 2 W p P W i H C 2 T L f g O G S d R R x 3 v R V 1 T M J C a f d L A Z / E n z W V 6 2 z 6 t K 9 k Z k / 1 f Z R o Y d W C l R 3 d j w 2 I A s K z A W W w o k E G L + q 9 b S m O p M 9 N T l 6 N S S q S R T x e Z C e C y G h W O 0 z 2 k q R z v o I 9 C E k 1 9 K S L t A n 6 H Z c / a y Y i G H J x 2 I 5 U g w v O 7 m 5 i x k Y b P M K Z m h n O f o b n T 5 z t e P E G Z T q Q z V r J R y + D h E K h O 7 c R M i v f 8 J 2 9 A D s K k y z 9 o Y m C F z S X P U a v 5 G L z K 2 s 1 X Q w j / 8 R d J G m L R S w c x S 5 i + f X o W x K 0 A 0 i Z 2 C x S S g V o O 4 M v O F M B L 5 R W V F S F H M R H 5 e 1 c G I 2 O L Y e G 0 Q d T s b 8 N x d o x g 5 P K Y C D 2 b Y y J h 1 G w P 0 a 7 V A i K y d E v / Z w D K G 0 l J d + B A V H j A 8 F s f U v h g S t O W F m Z z b Z u H Y P A n f t q L z 6 j b m Q g j Z P 8 d w l r O J r C o 3 X N P l R u O Z U n 5 J C J w d I U u V T T g Q G 6 Z J k s U 1 t x Z t c 5 m o N y Z m n S d v g W P d 3 3 E Q A 9 h 9 x y G c + f J O N A c 0 K T U 4 T + k s p p 5 O b 8 Y + q 4 K C a R d x 2 b l c n H 9 V I I Y d X C n t 6 o r D X 8 R I 8 B D S 4 Q x y A z H k M g X s f u o Q c m X 2 8 4 U 9 R e a I q 2 1 j r N R k B b W 4 T s q C G X X I j b 8 K 7 J O c v o x c 0 F 3 D 6 y d p A p O B p b 6 B B B 8 k q 1 0 y J H Y Y E U Q F K 4 9 J A Z J S h t r e m l G T v 2 L 2 C Q L s 8 v I 5 J f F D e g L n K c 1 p 1 O y w l E c U 9 T 5 W W Q e m z J L T Q a b n F U g n Y v A M a L m N l z 7 2 q a V l 8 T K X 1 K D q s B d 5 I N r 9 M Y 5 F F r 7 x 7 8 G 2 U J 7 J Y H 7 2 S u C D i F C g l a V S 2 1 a B M I 6 s O h b 4 d K G m k h T Y b 1 I M U y A T w J G C C 2 d d H U N j R z 3 G H h 7 H 7 G j p t S V l q n 6 L B 1 M H w k q 4 1 d M 6 M b C M o Q S R i R i y a X 4 l E o C S W V J e Z o 6 E E K D U b j 7 b C 8 / G l G I m A 1 n d z P F K o 8 S E J E Q 7 q c k 8 X m P m Y A K R x Q X U b 0 3 x h m L + 2 H W z z q q q / U g k R 5 h A t K h j m r + b 0 L T G q X n N D B T i E I K U z d C s J A z J R J h L n o D X 0 w a 7 U 7 u 3 + C + 9 9 V l q n 0 Y M k L G E o N c 3 G M T P 3 4 q G 1 F N E C j L n I 9 k c x t x P B b / w k X M + i Z 1 1 N W j s 5 G D n J 0 l f V v w 5 + S x S 9 P 3 G 9 y 6 o A v 6 T B + b 5 e E X i 9 i o B o i X B O i 1 5 r K 8 j Q Z T S v m q X w G 7 s x E E p O T u Q x G x / A 4 K b c g h 0 B T A Z G 8 V E d B h 2 + 6 Q 6 R W x 3 I 6 B S 5 y 2 7 I G E 0 w U h V E p i 1 Z D m M q Q N Z Q y Z l o O V V B P t w h a y D 1 S C C z 9 a 8 C z O d 7 4 V v 8 G u w D L H f S U 9 m K I H H s d T A H 9 g t Z K x P I F e 7 F d 7 + G + A 9 / h V 4 T n w d n r 4 f w h L V G K A S z O l t a k 2 U K R 2 u E p K 6 N a I l s x W R V P O Y p D 2 2 S V 4 t d f O I k k Z T 3 m n 0 X C V j F s Z z v x u j h U J e i G p a X T L q m 7 b 5 q W C K E / I C y 9 z k R E E K u R d S H g q K N L y t F n i b X J g 7 J o v Z a u F r G Y O z V j P H E v R N k k q z V E e Q n G + j v R u f T y K 1 Q I I P R h G s n 6 H 9 2 c W u 4 6 M k p 2 B x i 5 o W f 2 O 5 j f 3 Q x H 7 8 5 9 5 b t A + T M T z 2 9 u 8 o A u j N P Y P g 1 G 8 Q 3 X E 9 O S 9 D 6 y a M I w / l V G 0 B w Y M n 3 H j p u k G E c r w n G V A k s k A Y t t E 6 g L C l F w E M 0 b Q 0 q p K K / V Y p U q m D z x G c / T Z m A 2 / G U / O T + O C j P 8 Y D r / o 4 9 o 5 2 4 M r N W m h b C C M 8 G k W C t G 6 1 2 2 F 3 a H 6 i R P Y W v X k 0 1 R S Q H M n B 2 5 6 H v 4 H C h d Q m 2 t a U E U W 1 N o y 5 g X Y 0 b L e r O h k B d 0 E F X u b j i 6 D 8 U i W K r R I 4 E K 1 K A S D 3 r O Q j S Z 1 y W S K j C J V S W / E I z z M 0 u x n h l F 6 q W k q k 2 Z s x n T 6 G J t c Z a g r D L 1 F a e 3 G S 9 X + C o d A C 3 v T H j + C y r o v w / l 0 X o M V z J j 4 1 c B t c a T v e 7 b 4 C d T 2 0 D v I R m p d F q 8 a S H q a V V F o 5 1 p J e h J X M b 5 / f p / Z 0 s v q s s D Y 2 w O I L I D + 3 g P z s I t L 1 l y H T d Y 1 a W 5 U 3 q t y a E K Z J J 1 F K G R / V M W t A H d u V t d a Q U h K 0 v I L Y c / s p t G 7 3 o k P m A n X I 1 j i x 8 e h S F V r L 3 M x E Q W 1 / X w 0 5 S h c O 6 I I q k 2 T m 6 + W Q + S l t p 3 d q n P 5 e 1 B t L / C m F V f T Q 0 A g C M T f K z D 2 F 7 D w u / a N W k y A 7 H k d n Y A M + e v F H c G n 8 M 5 h b 9 w k t M E B Y 0 6 M 4 + K A H 2 6 9 Z b l + L 5 F J + V C 6 F w Z A s F X H B Y S E T S E i W v p S W A m U 8 i 9 a 5 2 k 7 e R c n s G / 0 m x p r e h J G 5 F g R 9 E 2 j z e 2 l q a d p H N u O S / Y O e H X H i / K 6 i y S d b 1 p y a j 2 J z Q 1 H j Z a k + p g 5 G 4 C Y R T A X r c A b 9 w C W Q O 6 J j f c h k m h G v r 1 P + V Y z E 7 n H I T u P A d D i H p i C J h 6 p b 0 o 5 y k n F v q m 8 g T C Q b M s g 1 x U c T L W 5 N j V N 4 t S s N Z a 6 g 2 z 9 r w / p G T S u I b y n B k a 0 1 H F N J 8 N S R L M T g h m P l Y M V p 4 j N P / x x f 6 Z r B e M O / Y S w y g H c M / o R 0 Y s F d 9 R 9 A / Q b S g 5 j d y l 9 j W 1 X 9 h w o 0 U Q m 6 4 D D D G h u B Z / o X v F I A 8 d 5 3 8 n t N Y I q g S P P Z B H X Z B B b s 1 e 5 h M J r E c G 2 o E c Y u k 2 A H H j y M 5 K I N F 7 y u O B k / d 0 p b 0 p / I 2 y n 8 V m I m S W 6 1 + 3 H j D 2 7 C k 3 8 6 g T i d Z 8 k s l 0 k + D w l W T D f 5 G 3 C 1 o M H d r p j p h i / / A t 4 s t U R z D L + 5 7 U 6 V L S 4 2 + W e v / y 6 J e V 7 l C 4 r / Z H P 5 e R 2 L M t k k i V V U q H b P N P 5 y 5 f v U J s X 2 N i / 6 F v p x f j e 1 n i 2 n m E n M Q s m n 0 v a Y K h L M 0 h w T p V D K 0 o h j 0 y 7 0 L w Z o B j r h E C K k V p N I o p F P K C a p J S l 1 A 7 W o l G K m z A K v M 0 d z 4 w Y E B k / i o m + 9 H 0 / f e x P W 1 7 d h N F S n 2 i s v y T y 4 / s t f h 1 t t b E 2 a d G i r g W V 5 u h 1 N a g w M 2 G 0 W d O w K Y j 5 d Q O t c G k M H Q i o S p 5 4 j P I L o T L s q K S b F J u V q 8 o z y f I J m C m 5 J Q s 1 a Z M 5 p o i T I I r 8 X j W Q w q O G j 5 W n 2 y f 3 N z C S L o Q 1 m E k j l p S 3 N m n k s E U s h H / k r u 3 i I c 2 5 U O J K X 5 L y l C 8 X J z N P F f 7 7 g T Y i 2 f x D t w 5 / E O + / 8 m k r v e u S 8 T 7 K v K Z y S Z G i h s Y x Y P X w 2 s V i M J N h V Y F E J r K X I + 7 o Q W / f v Z K Z / J q 0 l 4 R / 9 G h x j v 1 l i J k G c Y 2 S g x t 6 p X n W O d f q r d + k l a W o a e Z V G o n Z e u R 0 7 X 9 6 L o / c t I L K g t V X K o 8 0 e j M P v z M H 2 7 x / 9 8 K f V 0 T K o b G c y y w M P / h m v f 9 0 r c c M N / 4 2 O j m 7 0 d m 7 B n b / 5 I + 6 8 4 z 6 s 6 9 q G r 3 7 l 2 z h 0 8 A T O P X + L W k b h c d W h n u o 4 H I / i 0 s t e g H 1 7 D 8 H j b 8 a O H T u x E E 5 j 9 / 4 T G K W T 9 4 O b f o z f / e 7 3 O G v n L j i d b v z 0 p z / F r l 0 7 q Q 0 D l M h x / K x / N 6 V v A Z 5 k C g / 0 7 c a b e h 2 I + C 5 T N f t k x t x K R p 8 8 O o + m j X 5 Y c 7 J 0 Q Z 8 3 U I S t E Z j U z 1 O H J O g g Q Q m d m S R i 6 J F t C u W z L s U U K C y k c u p i 7 w f x j S d + j Q h N i U t o K t 7 6 m 9 9 i f O A w 7 m J 7 O z o 7 V e b F Q w / 9 C a G J 4 3 j o z 4 9 g / Y a N O H V q A P 6 a W j z z l z 9 i e m o G P T 2 l I f m G Z h e c D R Z M Z + w I T s 7 T g n N T 4 2 T g K g x i Y a I O E Y 9 L 7 b A h E J M 1 n o y Q U T V N I R O X M k f j d p t M o y J v l Y L P U / 5 d i Y l p h n p 2 U o 3 p B 0 k K P 8 3 K 0 C C R O U l 0 d e h L K Z 4 v 0 r U X Y X D + P q Q t z X j D p s u x S G a N j Q T h b 9 P S o x T k v k Y U O U c m q 6 Y p h e l W m g 8 V 0 8 7 u R T p 4 M S I c 5 5 q J x 9 C U e g b O 6 S G 4 Q 3 3 w h o 7 T 3 6 c Z 7 V / H R 6 + k U E w d a H w v k 8 l 6 e 0 Q J N G 3 0 4 O A f B j B 6 b B w d 2 1 r 4 H E 7 M H 6 G P r 8 4 o g 0 h 7 Y 5 5 j 1 z l n 4 t O f / T J e 8 9 p X o V / 2 y b F m M D E 5 i f e 8 5 1 1 4 5 J F H 8 C / v / S f M z c 4 i x 0 E Z G V j A 5 Z d d g J M n + 3 H L L 2 7 B l 7 7 8 N f z h 3 n s x N z e H z o 4 m / P w X N + M l V 7 w Q e 5 7 b j 8 9 + 5 j P 4 6 I c / i F / / 5 l c k F C v e / v Z 3 y J 3 V P Y X 4 b 7 n 0 e q 1 E c I s P J + d m R A 0 s j b s k K A r i I r V n o 4 q Z V M a 8 y v K Q R y q u h F W m n E Q u h X j 0 t B 6 J z B g b E Z j h P f F l R N v e h 1 R u j k w o W 0 P a c N 2 b 3 o s 3 v e n v c M n F F + H q q 6 5 E M h 7 H 4 N A o 3 v j X r 8 P 2 M 7 f j t a 9 9 D f b u 3 g s 7 u a D G 7 8 E E m e l F L 6 q 8 i l U I e 0 u X H Y n u G t R t t a C 2 I Y d g Z z 0 a N n O A Z u P K T F N h W p r I X j L P K Z V M S 1 B r h 1 H K o B I m 0 w I K f E 7 t U Y t Y y i Q o h U x S S w q S O S V J 1 l W Z Y V 6 W Y c B S q E g m V f F k 6 C R + P P G o e i 9 + y 0 z q i G K a z 1 z 1 H f z h b K t a L W C b b V P z f l U h U c b y K Q 0 D 5 S X F y m D k 9 q X S f U h T I 8 2 3 X 4 7 h x t d j p v c a T P d e i 5 m e V 2 I + 2 A z 3 8 E 3 q v D V B 5 j n L 0 q f O + 6 s t q G 3 x Y P / d 2 o L R e i l P V 7 5 Z g D R G l l 3 M x 2 U h W T s i k j 5 y G k i e p K T d 3 A K r g 2 Y K P 1 s g f o v M c g u D i g Q u H R y Z r J X 5 J Q 1 5 t b h w X W A G 8 U I t 3 v 7 I j z G U P A n L V B w 2 M v k j / / x L X r A o U Y 7 9 5 S h S m Q T O e v E u f r I q v 0 B b 8 i E 7 W 9 C P U n U c S g l E Z S f L g A i D 6 Z L Y P v s Y b P N P I r X 5 Q + p z k s 2 5 6 q 4 P 0 7 H P 4 P H X / C f 7 J K H 8 E o E l N c H r N m G M G k Z 8 H g k k S E G a X e 1 p J G k d S E H O N S E 9 C W u S w s D d j J z D i 2 e H X F g f D a N x O y U n x 2 A x F V C 5 Y g L R s F l 7 W 5 m m 4 X 1 0 0 7 B c L J q z J s y Y T h 5 R g S X Z l E 1 S k Z Y g Z q / Y i S S + x c w 4 r 1 w 0 D w 0 4 6 O f 4 b b o V U A H T 8 U W 8 9 t i 3 8 P D Z n 8 C L f v G v w B k N e O y c T + n f k r h z Y S 2 j n r 6 P 5 + Q N G E r 9 M 5 p 2 e F X U U x J u q 0 K 0 k c 5 A l f a n q o Y C m X E x X 3 m C 1 o B 7 8 T h 8 v p 1 V t 0 V d g o m E F F 2 Z o q m C W C i G k w 8 v Y t e r O r S h E C l l F X + C E G Y S 1 H v X n y Y z y Y I 6 + j r 5 O u T s M d h E Y 1 B 9 W 1 P H F T N J 5 S D z y E t t c B l D Y a Z k K k U X h 9 K I n 3 v r 6 Y C T G L y W K d z y U m o t 6 e s W q m 9 b M / w z 3 9 B + r F B A z 6 4 u p O d l i 0 + Z n + E r S S 0 h y y Z o n s i q 4 J K e 0 K G F z G l W 6 M z k H r q Z Z s G Z Z K Y P 6 y n 5 k h 5 k w a O v + y o e e / 3 X M Z 3 y 4 + B C t 5 q v E G I s C G P R 1 u + Q v C 2 a b D X 2 E C 5 q H 1 V Z E G t l J t k p P 4 5 6 + O K 3 0 + e R L T Q L O K s z D 2 e d B C n G K T N 8 i p m M a H Y s 6 6 9 g t r G t c q z s u C T N G q H 7 c j S 7 z 4 C b k t 9 g J m m t a r F M x k v Z a Q q Z W v E d K k A 2 f 5 M t a l K y H q k M 8 5 k Y X v s b M s 9 k D I f m h r Q V i e Y K s t l Z L B l v F I h z l k 2 0 t v M q k L I i M y m I A O U 5 s o n a G p l J k K 4 w h y V + k h n J 2 i 3 w T v x A / 7 Q 2 K G a S h A A T f v C g B f c l a v C 5 n 0 d p n k u O l K s L e X e p S W E u w L I 6 a E L x F e 3 r R X D z M E 3 Y S W R p a s W p X f L u z e o M 6 T h Z F y R Z 1 y K V Z B N g y Q B X 3 7 l c 1 G h U q S b b v W D T J O x t L / k k t R A N k a A T 5 / 7 2 W X V M o E o B + 3 0 I B j s o j f J q Y n P 1 w R G Q E C V C R D i m H 0 S f 5 R L Y f Z p v p U 9 p L U H M x S a / E 1 3 1 Y 0 i m n f A Y K V E G y F h Z m j I R p X k J P r e a 7 y L m U i c R J h F 8 5 7 9 v x M i Y J p h U 2 S 7 6 f y d n 0 / T x n P j o D 2 U z a i d C q S C 8 L h t q 2 + k j O W p V w E G C H G I a C X z 2 8 i U d P M E c + T C h z h d D V F 8 x X A k t H q 0 O Q 4 x a b J j W g I g Q i V o a m l / S m 2 V 6 o x L E n 5 I t Z 4 y A h Z S M E 1 z 3 5 8 8 D O z h e m T x u 2 f 1 H / s 3 h B y 9 4 A 7 / R + 8 U u + 4 M V I 7 y p / H U I N u W W F T I t h 5 p X U l E / t t K 0 I + F a 4 C z b 5 8 l A M Q C h v a I b / p N + 8 x f 0 b 9 c I 5 X v y j x 7 Q + r c 3 B B G O 5 f C B N z T B W s y R E k J j B 5 D 7 p K B G O W y U Y k 6 L H i F L B 0 g c 2 k V t l D 1 e E l Z 6 2 o J c c B K j 8 R T m 2 L F h f r + 0 a l O H S H G Z f J U M B m 3 b x m r 5 W Q S 1 i E z 4 1 j l r l M + T c z n I B x a M T h 5 S X 8 t E n p X m W z g 8 i o F 9 W o F 5 W Z o h 8 z w G x H y U F b V D p h o V Q j g y 1 + H u u w m u m Y f R 3 r 0 e s h p b L R 3 g 1 x J d N C C m n d R m C N K f D L p L U 4 w M S C q W 3 w i I 8 H k M c 6 C R A q H W 2 Y x N m z a h r b U d / Y M j O H b 8 F G 7 4 9 n f R H a B E u + 9 e a u Y M 7 v 3 D P Z g c O I D P f P b z + P J X v 4 4 B O s 5 a Z k g O N Q 7 6 j s L 8 M u 2 Q k + 1 B j Y d j G 8 W h 1 A W D 7 M d l w E U G 9 1 P D L 8 u s N 2 E s u h d z y T 4 K N Y 0 g Z A p A r i k T 5 o u Z I c V U S 0 v O V 0 A s N 0 v t 1 K 8 y s D E a R i 3 H 7 A s v f T v e u e 3 l 2 N Y s y 1 O W M 2 a m k O D 1 q c 3 n v 6 9 b L e U g Q 8 u E L Z + t 0 q b U a 8 X 8 a W w W G O n 4 B A K j X 6 L p U O U 3 V f h e 7 a X F s Z H C O V K L 8 M P f H V v u Q 8 m v w + z s n M l X E f z 4 e 3 f j 8 s s v h 9 / v x o 9 u + h m u v e Z l S u I + 8 s h j u P K K y 7 F t / S 4 E 2 m z 4 8 Y 9 u x Z v f / H c 4 c O g 4 6 o I e / O X x J / H 2 t 7 0 Z 2 b S m g m X u R M K 2 r Q F K E F N e o B k y x 5 Q 3 S S R p 4 K V 3 f U T R k H W 4 H 4 + + 5 z b t C 2 K 2 7 y T 6 9 q b x g t c b 5 a Q I I T y l D Y A B M l N r s E B p W O Q 0 f / + X E O t + D 8 + j v 2 j K K p b 8 N 1 n m L M v u u 8 x l z k j M c R K Y d 1 l Z r J U h U x I j w 8 N o b W t X g Z m 2 l j o 8 8 s R u n L X r A k T G n 4 U z 2 A 2 3 J 4 g 8 B U U q k 0 I q k k V j Y w 1 8 t V 4 + g p h 8 u a W J 4 K n E I V 2 7 l B J h 1 e X y a Q 6 u n s g s q U a y J m s 6 Z l N h 9 g K J d S E 1 h P q l / a J I 4 v T T F q E x m C D D Z 3 b o C x k N Z F W q k h X m f E 3 B u x / 6 G f 5 5 x 6 v w w g 7 x Z V e G 7 O Y h V W o b 2 2 Q 7 U w + c N W X B F j X a l R h t b U j R d 4 p X 8 Z 2 C t h 5 5 U v V e C m 2 W w z l y B 3 K B T c j V n q k f M a F a k 8 T 8 0 z W W Y F n Y X C Z w Z T W u m a G 8 j n o 6 p T 4 8 v W c 3 L r v 4 M r z o R S / E q V N 9 N L e C 2 L p 1 C + 7 + / b 0 0 v 5 z 4 x t e / i 5 a W Z u z b 9 x y u f t n F e P a Z A 5 i Z m c U F F 1 y A T D a n J k J l 7 q T e O U P t M q N J X Q l F l j F v g Z 8 L c E C 2 2 j k 2 0 a a W M T 8 + 9 6 g q w W W J R C l h 4 7 h 8 n b b 3 r K e u D v P 9 l O a N d L Y d W n 6 e J Z + B L U J J 6 5 E d M i z w O C n h y Y 2 O 8 T / B n 7 4 T k b b 3 i z x e 0 i Y G J K t A 6 n U L w 0 / F Q p h P j i H g D K i 1 V 9 Y C r 8 2 2 V s q g N i D m n B G J F E j G R N C T R p b M n X c k 4 K T Z 0 9 3 Z w c H M o z X + e z h a r 4 D T 6 U A o f w K N g S 5 Y Q 8 3 I 1 u T Z 1 5 T O u k k n l 5 N r + h U z a x c X o S Q R w E 5 h e v p L a l q g L F N b / F d j o I U h J W P E 2 J L U m E c U F F K j E O e d r W S f F x s v S a D l k H l H e Z X j 2 v V n o c X n V p W v p H r w s h X b J k w f i K B h K y 0 c b x N q Z n 6 A d M 3 F + j e E p I a Z l 5 O s E W J + S q 0 J e Y k G F L h I A + V K I V U I 0 Y c U s 5 1 s x e 4 t L 1 o q V Z w s + S T c o 7 c g W 2 d K I j Z Q e r o G 9 q W q e q S 3 e 0 l D i Z p f p N Q y U M M L h / S 4 u 3 S + 5 E H J D t g 2 N s J m d y M U i s D j J Q H J M m R H L x Z P j s H R X g O / z 0 W J S 2 K 1 Z u A h 8 e W s Q V g l v c Q 0 b 6 D V j 1 t e Y c m a P K H + 5 l z r M R L Z Q 9 / h Y p q H e V X h S H D p X R + m I b + A / L w L / + 8 V 3 0 e X Z w A + S r i p I x O Y O L a I C 1 6 v z V 4 H p r 6 O S P P 7 4 T n y T R K t B d n B K a Q 2 / Q N y 3 v U 4 O B 3 E z p a F q o 6 7 g b 7 5 O T T 4 o 6 p f D E h C p d O t 1 Y y r B E m R K l 8 R r K K K J t 9 L t K C d 5 p x n + C Y k u 9 7 O g U 1 j I n E E n o k L 4 K g J q Z 0 z W n Y U w 8 m 6 s l 0 G I 1 t j C S R k L e N A G 3 U J q a t l J j o m I 9 T U e h K x B l o i N O 3 J u u q T O 5 9 F U j f j 1 4 o s / R S 7 z U M t m t J c A q t f z a 1 J N N B a R s w G F k 7 Q j N d 3 7 H c P / R C J r r e S J n k u 6 U t l 0 5 x G 4 M F A p h B H N L t 6 g S E D Q X s P e 8 m q B G g 1 e I d v Q N r / Q m T r d a 0 r 5 n U F r W Z A z d t a a K 4 a D G U O Q s j c u U Z G x T v a 2 V E i s x I m C e 2 m u k t S Y i U O + e E + I 2 q O K S j U C S G V T c C t t i B M 7 m y T m n M u U c / m F g A 3 n / w T v r / v F y g s u r G p v h M / v e o N 8 E 7 9 A h a X F X 9 6 9 l W 0 2 / + E 1 s 4 Y z b k P k m G M 9 J I C z a k C E l k 6 / U Y U j r 7 i V N S u J n 7 F T 5 N l G W p V K L 8 e X a S Q s E 4 i 4 K 2 w n I B Y i F H L u K Z h 8 0 i 1 1 W I H S z Z C e Q 1 / t a 2 q o 6 7 k G e J p K 7 X k M V g K T i Q c F A b P z d P E a 0 L D Z o 0 B Z F d D T 4 N N 1 Z O X 4 E S 1 Q R 9 b t K K j t s j s G v g D q c n H M V H a U s L M + m Z w J S A T T 8 V G a H I 5 4 H d r T F a T S y F k K z X l B N m 8 j R r V z I j V U W v v L u m T c k h N E X e j H b W d R Z r w D X 4 V 4 e 5 / J U N a M Z C Y Q b M z C F + F d l R C h o z s I C O H s 6 O K k c 0 o U E M 5 S Z C Z C u 0 J 2 F r 5 T G t I c S J 9 + / u + Q A u j D c m e N 5 M J i u 2 y U J g U h B c U k 2 m D p G o k D o 3 P F D y O k F p 4 Z s B D S Z w o W x 7 t Y Q M T Z W Z A g A 8 U s b i Q O d m q l n G U I 8 D f 2 E l 4 C t k I G y R a o Q q F m C B J m 5 M p m k a S G i / L E v S f W N J z u O y u j 6 o H l V L B j 7 7 r J v 2 a J N R Q H C c e n s e u V 9 H 3 M t m 1 4 u C O x J r R 6 M 1 X X S 0 r 8 1 e N 3 g x i h Z W L y 5 t h J V P W m E p P H 5 2 y Y 1 t L F o c n Z K + s H K V 0 i G 0 r R r Y E E t 0 M J a g x q U 3 t b v p 1 z U 4 E m o x B I k P r E n B i r 6 R m W e D d W F u S Q l Q N s t b J S A a W 6 y i / i l a F m l M 0 a c d E f B B p W w 5 5 X f I l s z S B 9 I W Z E p I x m 3 y n C 0 n h M S p K V c P 8 M Y 7 n 5 j Q 7 r 0 i Y r p F f q k r A P 9 z / I H 6 K P W y B B X 8 5 R 9 t a d D X I P r e y N a d A z D 5 B l r Q r m 1 X I Q s B 6 Z 8 P S S g g z p D Z G D Y X Z 6 c A a H 4 d v 4 W Y K L A v y G Q f l l g O p r l f A t n A M 9 v A R W A I N S N a + G J Z H D y 0 U u h o 0 U 6 s 6 Z L A q d 3 b 6 W A M c G 2 Z p 9 i 3 / 3 k a i C 9 L x l Z o Q R g 7 d W i B 1 4 K L o p P T R C F V 8 g B 3 N Y f j H v k 0 7 O I s L 9 i 0 g N Z 9 G b c G G B 9 5 e X D f 1 5 C / 3 o a 7 L g 6 2 X 6 o m L V N P j 8 T 2 o d b x A + R x b S f D a W i K R u M s l 1 6 J k O p d N a g q R a f G / 5 Z D j d Q V Z B k L / h V L f S q c 9 Q U H p 8 j Z Q O y x q c 1 Y m S C R R e i l y J I a W X Z r D f 3 z K o c p T l Q f E p A x w p N 8 K X w / b X K U S k x m a d r W h q 8 7 U f l n z l V 0 k k c U h 5 Q N T 1 N J O m t B u E p s s W Z B C m U J c Q f q S + R U 0 S z m E 9 Q o c W 7 N Z 5 7 e 3 r Z i e J A s 1 k x y z p m 1 k d N P y + u z c E / j R 7 D H c P H x S l j P g X W d c i 7 / b + C L 1 3 e n A Y K g i t D F z 5 X N I V T B l Z R + x w F J W f X X 6 X o Y V T p M g n b W c m e w k Q q / K M a P K F E m v s P w q 4 v R l T z X D t m 6 u I j M J c p S E Y W V K S t i 3 S h p J B c i k r M 8 e x 8 B A P y 5 1 / B f O j 3 + L E m J I l a Z y t 9 D 3 4 v O 7 6 m g y Z V I c 2 C K x v + D 1 Z y E T o q S Y 0 b b B F O 3 U 7 r s A e 0 a d y t 8 w T r U m S 9 f N S J b 4 Q n q A l 1 1 u 2 p Q z 0 3 S 4 j t J P I y S Z M l A r j U U T O R r V E h W X n 5 K P v o x i J j K V e S W q z J P Z s j S d g 1 q / S g R v S 0 s G M 3 F t k t s M C + 3 H u j M s m D 0 S x t S h l W f 8 B a L F h Z k k m j c b 0 8 e D P r A k E Y d p N 4 p g E G Y S C D O J P 1 j j b E P A 2 V R B t K w M E Q u y T Z E Z i + l + 3 q P c B C 0 i M W 2 l W a t p Q 8 V M a g 6 H m j y 0 H z e H a B k 0 e O A i w z 8 f Z q o M 6 Q O L Y i Y f z d l y S N J v c i n B t j L 9 V k T Z O B k Q Z v r Q R z 4 O y 8 D E 0 0 u n a L 5 T 8 e L S 6 b E y 0 4 + H k B q U Z E 0 / O u 0 3 Y 3 b T d e q 4 M z k H 7 + I J x O p 3 I q P X U h D U q c 1 8 T Q 2 W L G 8 + j N Y y D q W Y C T I 3 o Z Y 5 F 4 d W s h I a 9 3 8 O 0 X O / r i a D x V z r 9 o 3 B P / k j R F v f i U t + / y U V + 7 f O x P D Y P / + 3 + s 2 J G Q d y 8 z P I n U z i j K s C s J r a I U 6 8 p C V J p C u T n U F 0 D f M s a 4 H Y 4 g F 9 w z S z C W K G 5 N v l k Y E t P Y r J v n r U r f M j A q e q U C T z c o J y f 0 k Y w y i W u T g a R 3 I u h d a z V s h 9 q 4 B 8 L o Z I d q K q 9 r G Q i x 0 U m u k K E b 3 T h W g s y d C u F A X N p L J Y O J F S e 2 o t Q d G A D d + + 5 9 P 4 V T Z F Y e P E Q 6 / 4 I h I 5 2 T g v o C j B v A o 3 z 3 6 2 m F Y R 5 9 i f E i i j h 4 d E n r 7 q K j C 0 s h m 1 N P s s + p o 4 p T X l + h V M x G W o w n 9 z C + F S h l o C j 8 S O u O A P d C M R m Y X D 6 a X v 5 S Q B p 1 F o G p N 1 b k o i L s y 5 c U b y D s z X n I m s W 4 p + O O C I j K I p / B T b R X m / G E d i 5 6 d I K X Z Y I w P w h X / N R j u Q i b V h s O G N 9 N u c a r v 6 p Z t y U G z h k 7 C H 9 s r e 7 c i G H E j s + I j 6 V l a l S s F C f / 8 X E F 3 / C f z 1 H z + H k c g c r L M J P P Q P n 4 K L 9 5 f F a i L q B / a P Y X b Y h / N e W 9 w A W T S A B C B k U l l 2 7 F j M r F b k c X X I N c c X G t D V I J J O l p b k 4 S I x e H V z x o A k v Y q G k F 3 z J v d E 0 L w t A a u H 0 r o C 8 x m Q U m B G 9 r l g g f 5 H z S Z 2 p V G 1 s Q z C H A X d 2 S y k p r B o q R x U M c M p P i 5 / F + f Y G r i / 7 w C + G X s W N 2 1 9 A 1 q d 5 l A 8 H 7 Y a J e n w 0 9 m X P M F y y A r n + s 1 e t S Z s q a K V 4 e M m J v H M w B / x w R P P U c U G 8 P h Z 7 + V D + k l L p d c J Z 8 d J A y n l R j j 4 E l s i c 5 p R S X 8 u j S i f t d b R y y e p 8 i y 0 V i T p Q L 0 l o V v z Y b a 3 j u 2 R v j D 9 p s L P H Z L A b W a o + G E v P J 5 m q s J J u D f Q / l 6 5 / x T S d M 6 c 9 t I I i 8 w i B Z z d s K Y j s C Y G 4 Z x 9 A s m u N 9 I M 0 u Z 9 L N k o j z 0 M Z 0 a r I S D a P + P Z g q x v G w q e e p 5 X D K m L p J Y q n e I f y B y W r / / L i P W 8 n z d x 4 9 L b t W R W T M e X t J S B x 3 / 1 D J q 6 6 7 D 5 Y l K h j o m w F W 2 y b T 4 Z a u F / g a H M W I z 7 U e u N k u l d a j c H M 0 Q 7 y m Z z Y k 4 v H M + i a Y d O w F J z U N K E K N X N i x s r Q Q r S L N L N q N 9 C U 6 v C u E z O T s E d j C n G X Q s k 8 B S n 9 a G E A H + V 1 b X Y d T d / G d k m D + 5 + 6 c d g s x X X E Y l Z X C 0 U b s B j D d J Z D 8 E n + a A k n m Q u h z e f / B W a k i 3 4 9 j m v I a N U j q w 9 s u d j + N i R O K x 1 b j z 2 C m 1 x q R n F 1 b b / c 8 j 0 g M d V p I l y y E 4 h s r m B G V p W j w S 7 S O d s h 1 r Z o D S s 9 L U I M t l R R h t z q / C 6 v H J j z X B v j 6 C w v g + u j R w Y i 3 Z 8 t Z f d n i z 5 7 K D P I B l q c Z V I S n + j 9 m w k N v 7 L E j M J C n Y / U q 2 v Q K T r o + o V 3 f B R p D t e j X z t F h K W W S p C m T 2 y t s k Q z P H u 9 y I w f o N 6 / 7 V L Z M m H h t m Y 2 U c r Y O u F D V i c L v X b R E M J k q k R 6 Y b / 1 X 8 1 X s l r s y x j J o H s e C f B k O i g V e 1 R v A S b T 2 U 5 L D F T e p w C s r J m k U W Y N V S 4 a o M D N b D U 7 G Q K S Y 2 a S / V R y / B y J B Z z m 6 r 9 E y k c p z X x V w / f i F c e / D H c k n L D Y 0 7 + t b n o W G e y c F v m T b 8 g m 9 J n y q W k t n 3 l f 7 V k S 7 e t A V 7 X e j U t I k T 5 k l 9 d j 4 f n T 2 J 3 l p K g C j M J X n T W J 2 C z x / D S p m I 1 X T P E l B Z f 2 f y S L B J v h u 5 D N q 7 e r + X l p C 8 l 0 7 4 5 m W 8 V U q j 0 4 v X K j x V c Z C Y p Q S A m o x q z V v r L v W p q R / 4 q Z p L t g w h r I W N B P m G H p W P 1 z P K 0 V I s k 4 v q W M O X w U S 3 6 v d v R 4 N o I X 4 W J 2 0 h 6 e W h d U K I J 9 c l k M 6 T 8 r l Y X n K A Z c s T y J r i m 7 s E L W j b T S i S B N H n x m p s / j l T S c D 4 t a O j d g I D N l I 5 E 1 O n z U D E K C 7 H 5 T / c l K D 8 m S z z U d x z k m m o 1 C 6 l B k 8 k 8 a j f R n D A / a z k 4 M B Z T u o + Y u b k U z Q 8 9 O C R b n d Z u z m P h V B b h f i e m + g p Y T E i A R T I y w k i T 6 M v b V / 4 S p l F P Q g b K 0 y S 3 j I Y R p r a X Y + J j / P b 1 / 4 r f v e L 9 S K m 5 r D z c W a k L r / 3 W Z a e W I G H K b 4 1 j 9 c 7 1 6 m V h 2 4 W x S o h R M B z G h S D B m Y + X v Q o O P / a + 8 G y 8 / 6 y / r v i 9 X T S A f j / j J Y j K p L I p B O / R 1 7 u V w 8 N n l m k O n 2 c r 6 m V v K 3 c P i X l 5 l S S 1 o t s j P n 8 F S O C p v E q U G f o U i d V C 6 W / 1 G H 5 M E R m p 8 1 Y G p 1 5 r 3 C t F E k n k 5 X C v M G E r C K y U D C t Q k Z 9 S S P T k m W d 3 4 3 v f / x F u u / 1 3 i E T j + M M f 7 s O T E 9 2 4 4 4 6 7 8 O / u l y I S i W B q f h Z v + u l n q H 2 y + O L 1 X 8 E X f x F G Z I s f n / 5 Z c f m 2 l H N + v p A d A W / 5 4 f 0 I 0 X w 7 + P Q U I l M u P H r f M T z 5 0 A A c 2 W b c / P 3 7 c P j Q S Y y O T + G H N / 0 M X 7 j + y 2 Q O O 7 7 2 j W 9 h z 8 l 9 C N Q 4 M R v X + t S o f F Q O Y X e R D w Z E K 9 s o H S N p Y y y 0 9 t d 2 z y K 4 I Q 9 7 9 w i y T j t y C 9 r i S z E L B Y v x I G Z i s p 1 N 8 X m 9 Z I z J v f 0 I j W W R n c h i 9 t A Y b j 7 7 7 f h y 9 i w M P 3 6 I T p o V y Z E 4 Z v e P k I a L 7 U u Y J l k l e C F + m p i V Q q A i O M 2 Y n i l N y B 0 M T d K f y + E b F x U t i W q w Z m J q x U A l B B 3 U E J W 7 r A S J C s J Y k B C B U R a V l L r o C j I / q m P F Z G 1 B F S 0 7 E t G 3 x K G W s i S e + 3 R h v O U q 7 c D / A A 0 i n c 1 F 2 / + X I P S 1 U l / a Q k d x + U M / h m x 0 J r 7 U z S / 4 P N b t 8 u H X j 1 l x b C S J H M 2 8 G z f 8 O w r P T W P q P d r e T 6 n 4 c U q 3 l f 2 B 5 w M h M M k Z V D x B z l j o j 6 J u Q 2 m K 0 5 I f V w b z c 4 p J M z g 0 h H W 9 F a R l c o C S S 1 v X I 8 V H k j R F f G S W 8 H w D k j U F + F y a F B 2 n u S v 5 l f V e G Z P V e p G 0 Q g Z Z R n Q r o N b R i h / d d B s 2 b t y A d e u 7 M T E 2 j Y O H D u L q q 1 6 K B x 7 8 E 1 7 / + t f i u e c O 4 M E H H 8 L n P v t p f P m / v o q O j g 6 0 N D d j e n o a j Q 0 N e N n L r t S v R v o + / h 2 k t 7 x H / 1 Q K i Z H K p g t a x y 4 H W w 4 a q v q n 6 m h w l w q A J a i k A 7 o a Y m 6 X J Q S v B c O R J 5 H J t m F D b T c Z a j 8 Z q n l 1 h p K t Z c T k E E i C p F T d F C d V n F V B u b R a K 6 T y p m R E S J S q k j 0 k V V G l k O O d v 7 s H Z 5 9 9 t l p u L z u a 9 / X 3 4 + K L L 8 J v H 8 9 j N m z H j Y u f g M d S Q B c 1 2 h / f 8 Q 2 l Q S X c v j i x D 6 8 8 8 h U + d Q i j H 7 4 d d n 6 f S x z H 4 g p 5 W c 8 H E i 6 u 1 c t X h c f j C L R 6 Y F m W N 6 Q R d i R p R a C K t p y f X 0 B 9 v R Y e z 2 Q y K n K 0 D P S h a L D x r 1 U t t 7 D T d 8 p a a b a P B F D o K k r c M E 3 g o L t 6 J F E g 7 G 8 E M r w 0 j V L U Q j J 9 k q k Q P p Z z r R Y X n 1 N b h G i l B s 6 K C U k a E A 0 u g i C b 4 3 u 7 m I t y V b o T 1 J K q H 2 R s Z Y w J E T o C O c e A L J t p m P w F k j 1 / q x 8 p x V z q l N Z 9 Z U h l 0 4 j R 5 5 N E 1 1 r 3 y g J d G E r u f e t v b s d f k + G l T X / 5 y x O 4 7 A L 6 f f R l 8 2 Q s q y x z l y g k B Z W q 4 i U p b H w + S Z r V q h u X j 2 k p r H P + s / W 3 q 0 D v h P S i B w / e v Y f a r Q Z P P H S C Z t C D e P z + k x g Z W 3 t y o h m q v o P 4 C P r 1 y y H M J C s 7 e 8 9 + B V K p N L Z u 2 w a X 2 4 0 X X / E i 2 t Z W 7 D 2 R x 9 B k C p 2 Z 8 9 D Q 6 O T A a J E p 2 f 1 i U 3 M G 1 l P s E F m / 0 O b H p i / J o j c S v 2 c L z V Y t E D B 4 J I q Z E d 4 / 7 U E i R L N n 0 Y F 8 j I I i V k v C W Y / p 4 R Q W J v J I k m m T I S e S E Z 4 T s v P e X j r E X t i y N R y E A A J 6 U u f A a B 7 B N n 6 n M 1 O Y 5 m g o H E E i Q c I T h 5 c w S q G Z E Y 9 r 3 x n M J D C Y a S F a G k W V q G A y e U o x k / g H O V 0 4 K G Y a K g Z F s u W / q w C D m Q R x m k Y i 2 C o x k w H z F j S y 0 Z t k W s j c m 8 E c d m p + 4 / 3 s i Z C i v 7 E x + s 7 6 s U g k x m d N I B E v 9 X e c 1 j S m U C z N V Q 6 3 v k D x F Y d + o l 4 G J A f Q w d d q z C S Q d s l L + v W P 9 z + E h / 7 0 C M 3 i H H 7 8 y w f w 6 F 8 e p 1 t x C 6 x e C k X R U r K 2 T S b n J S t f q k N J Y E I e R r R Z J V 8 t o 0 2 + W / o m n i h 4 o q N o T u 3 D U M M r 1 c F y z M / E U N 9 k m p R j N w r 9 + w p 2 u P T C k c r U 0 T u t E k Q T C Y 1 J X T k 5 L Z 4 R b V f g A 1 n o W 8 n S i N I J Z D P G Q j Y c P b K I u r F 5 O L w c x F Y y 1 o 5 N a q d u D X J f C y 6 9 9 X 1 8 W E r q + Q T + 8 i / f U 9 / s u 2 0 c s Q s 8 e N 3 9 7 8 Z L y E i 3 v P r 1 K P i 2 U 7 T R 3 n c 1 4 7 n 9 h x G N h u H 2 2 r D 1 z F 4 s z i X h q U u j 7 9 A s m l o a M D Q 4 j o b 6 B h J 6 D e x s 4 o l j g 2 h q b q D J 0 o h k O o X 6 R h / 6 j k 2 g Y 5 M b N b Y e z E x n 4 K / z 0 I e x Y l 1 D G e N I d E 6 f + K y q f Q h j D Z T 4 W j J v J l M G s l Q j N D N A S S r P X I A r 4 K O Z k U R 4 J o e m j h p E Z + b o b G j 3 y 5 6 s h a U m C U e A T O q h l q g i V Y U Z x b 8 w Q + Z 5 J M N F U P 5 9 P Q W C x b d T / 7 Q 6 w n 0 W + n o a T e S o u V Y s W a f D M f 8 0 M v U v 0 D + V 4 t I f v A e 5 V m 3 M f / / S y u b h S q h 1 r m O / l r U h P c M + b W Q P V e 6 j i q A C U E s 2 h E F F g + l L Y Q S K o S Y W m 9 F W O 4 3 e + d 9 h y n 4 2 E s E u O J P z a F h 4 F l N N l 5 N G P f B G R + C N j S D e / h p E F 1 P 4 6 c 9 + g c 6 O T j q i M 2 o N l F K h q 2 D Z k g N C C o p E C 8 3 w O Z d L b c H B B 4 4 j 2 F G H k / b u p Y q t 5 s H x T 3 4 H 0 V a t c w / P D e G d D 9 2 g f K n f v f n b q P E 7 c O y R k 9 h + C b W R a e 2 T J X o E B f 8 Z + i c K D N r n Y q f / T 5 B L 2 2 m O L m J z 9 w 7 I 3 r A V F a 5 s n C A R p j L I Z g H t v g Q Z t r p Q E b M j l p f N x G S P V 5 o g N L 9 T l J b u j B 9 5 0 X h J G 1 L O 0 r L A A t v I B u S 6 + v R P q 8 M w A d 2 W W t g L X v Z 1 / x J T B c n A E b s X 9 S 5 j Y e L K y K S z c J T X F S i D p H v J + j U j u u s Z / w X m G t + k M m N E A E t g O U H h K w G L v / n V Z z B i D + P 2 a 9 9 J E 3 t 1 n 0 m g r V H T m D p g 7 Y a z Q h / L 2 M t y j t O B J T W u a T C B a C d 9 6 k M x l H q 3 B l g 5 k P b k A q 2 j R t S 5 u / n Z i c N H j 2 I 7 z b D V s H w 9 T i m M y q e y x X 4 d O 2 9 8 h q b W 0 X 6 c c d k 2 z M V t q j j k h b 0 p 1 c m i C Q 0 7 3 B o f Q 1 5 2 Y N d x 2 a / / V f 3 9 y x u 0 p N k s B 1 U 6 1 F a m D W Q g j 0 6 F 0 V Z H z a c X s D d j I a 1 V y v W n w 7 j 8 m B b M + P 2 O t 6 i / 5 X C M b k W m 8 5 j 2 3 u q F 2 9 q h M h 0 6 a s T T k X V m 1 C z 8 F 8 j 5 4 P R q p q G R I S 7 r o 0 Q b r S w f 8 / Q h t F J V g m Q i A 7 e n s n a r h H x / A y y S c 6 n f p J J m M u D O p 5 D U Q 9 G 5 v J V t 0 w S N J 0 s z z V R x t c 7 Z y 7 G o z i x S H z / Q Z r Z q y k B a M h a W r l V 7 G Z i j u V s O I e I E z f Y 8 / U q r R e Y u J T G h l L R z 0 V o 0 N 5 Z m s S j I 1 k j O 0 1 i N b b I 0 S i D L N 0 6 H o Q S 9 c 7 / D Y M N 1 z z s I s Q z K f y o O j I R + D 9 0 9 j 5 2 v r v D g h D C T S C w h R l v 4 B H J B f X m I j o V w Q i 2 9 N 5 C n p s 2 Q k F 2 y 7 0 o Z o j T Z / M 6 V n f Z L 9 2 g 7 R / B k P P b C z y N v y W B B 3 6 I n O + d F f G E G w Y 0 a 4 Z i l o S B O y S W r n Q W h e B C N h U V k f E V J K J J + d c l Y U B O 3 5 R j s m 0 H v h u V z f Q Y y d N Q d S y a x B s t A J w r r T H v K r h E S c o 9 X K V 9 c j Q 4 W 6 d v W b q 7 8 b I X 0 F C w V l u 0 b s E 3 9 E d m W K x H O T K j g l 0 w q C 3 K S S H p a 1 F q K y G I a v a 1 n 8 J o U x C t L s B U g D a j + 4 4 p P n I x n E I s s n x O a H k p j u P E 1 6 F 7 8 I 5 8 u h f 6 B Y f o + q x H E a t A a N z s 8 i + d u l 3 S g Q k V m O j m u T 6 p R z B p r f 9 y x B 9 V f M 2 o D 9 F + i N i R p R l y 6 5 z N 4 5 a + + D L u x V 6 8 J D z 7 0 M E b 6 B 1 X 7 5 W U j 8 V k p J e W 9 / B V I Y U h M x j H 6 1 D E K H / o P d h s d c I l m 0 T A a a I e 9 I b 7 E T I K c q S C k T D 5 m x Z Q h U m k H 0 h k X X E 6 t T 7 M 5 7 f o q F L w K y p k p n t M m J F d i J k G + b I N t g T B T f r x 0 w e d M p J 5 m V X V T 0 5 v T m K l a W F p F 3 8 o g Q q / q B v + J g R J m y m S L K U V q / y h e z x L r Z 9 8 M s P 8 k g i i F d 9 I a M w l W Y Q Q J W P x u 7 o j + q R T G D o v P n 5 l k A 4 Q + j E W K a W s h W m x m q F 6 a H g / T 3 i 2 a Y 2 6 v A 7 6 A C + m S H c Y s d L g X 8 I s f 3 o + b H m 2 H d + I m V R V W m O p H P 7 4 Z X / z S V / D 0 M 3 v 1 c y s j m V l U 6 j q b K X b i q d 2 D O P H E I B q 7 G 7 H r t V 1 L x F y O j W 2 a i W L u i 6 T 3 C v 2 d h p n F J F L 0 M S T F 6 N / 2 / 5 R e c Q Z z s c V i 3 X Q T t m 7 b i v m F E P b u 3 Y 8 f / + R m P P a X J 3 H H n b + D 3 e 7 C 7 + + 5 T 5 0 j o V h L J g 9 n w A t P J I t Q K I p f 3 v p b f k O b e 9 3 y r V O M l a 0 y + B F R / 3 p r F + O 1 a K q Z Q V K i G o T d V u x r I a B Q p r L W y M S P I Z Y q 1 Q x e v b y a g U Q 8 D d k R J a d y y 4 q Y m y 3 m 4 Z l h b Q 8 h N 1 x 0 o p s C 8 1 o G B C H Z 2 0 L E B h w U C H F 9 5 f N y 9 i w i z P b H T N k z o f 4 M r b k K D E g h A 0 + p e e 3 Q + 0 Q g S + g F U x 0 v R d P Y n 9 V 7 g W j 6 t a L L V Y v v D T 2 B L w 0 / r B 8 p w m 9 K f 3 s + S G d C 7 A c L M h z f Q T K W v B Z S p W 1 b M v k W Y g H U + U y z x i Y / R T A T r s f 6 m j h c k E R A 3 d 6 k L e m f + G / E / d f w S m k U P D 0 q T 6 8 S z H a v M c F 2 4 L 4 T 2 H H 1 J l E 6 x O p i 4 0 + H U 3 j x 9 q K J 5 h / 5 F q J d 7 1 P v T 4 2 E s L G r R m 1 r Y w Q v L r 3 z w 0 h Q z X / t s r f g R R u 0 6 Y F 0 O o 3 x y W n 0 d n d S d U w C r u L s e D o t k T e 7 m j t x 0 H m 9 7 b Y 7 8 F e v f w 1 S M U r J i A V P H 3 k M X Z 1 d W L + x A 7 f / 9 m 6 8 6 J o d + i + X I 5 W L q O L 7 p w v D h E r E h q k Z i o K n G n L J F G x u F 6 L Z S f h s z c o 8 k u p E k 8 N x d P Z W J y D r c C / y 3 d q 6 s U o w R / v W A r P 5 G p u S X f 8 r T J A K s 1 b J Z j B g 1 n i t 0 3 / C y V o t e O S n V l u K x K 3 E 3 Y R 8 / U p q q l c 3 n o F / b L 1 A O 0 g E 7 b 1 q j q w S L N S c 5 g K o / M C X F q J R a U W m L I l M Y h h j e h U v s V a 6 g l 0 U p p p P t d R j Z m Y S G M y U T m h a q j k 4 C 6 d k 3 J r r Z t M x i 7 a / H / n g J u Q D 2 0 u Y y Z K t L C E N 7 P n N M H a + T O o y y H 1 W Z y a B M N O x K W 2 P J Y H F l F s l z C R Q z C R O I 3 H r S z + K d f b a J W Y S S J R H M Z O A z G Q O 9 U s F I i P 8 n 6 L G n l 9 Y Q P + J Y Q y N D O L O B 2 / D h S + 4 E P s P H E C U m i 8 a 1 e a N q q E a M 0 W S y x 3 1 l K l P h a D E F A z T s T Y 1 r S o c s u k B I b v F y / a W e T 6 7 F E x Z z R Q X Z n K M l v q f Z r h N i / L S s q V R B a i c O n n J e x S 1 b j Z S W a h W Y i Z z / 4 v P Z M Z k 8 4 u x d W a P e h + V I i h r h F D T 7 8 9 8 S w k z C Z Y x k 5 i R v G 5 4 U V Z X t 6 m J W 6 m D r 7 1 a N M U h 5 m l Z y p H D 0 4 1 e 2 r T y W l e 7 D n a p U q u n z a 0 p K O H P Z W F 3 b + Z A y S D J 6 a s z g G P 6 U d j y C 0 i 2 v k p 9 F g 2 l M i v y O Y z e 5 8 V Z r y l O Q J 4 u / v L 4 b l x 6 y X l w z u 5 G p v E 8 j I e t u P T w B / D g 1 g 9 h f Z D m D M 0 U 0 T I 5 m p b O w g Q K e q q O G U P 9 x 1 R b 1 m 0 s T a A 1 w + x Y D w x K K l A x 5 C 2 2 v R Y J P D 2 k 0 k 7 6 U q W a R 3 b I c + n J l U b W w 9 h c G z o a T q c U t k C I 2 6 q e X X I g B c I M O a R V i S 8 t I F 4 6 d v b R L c h 2 H t c / F e H P x R G t k I Y T T U 9 T W 1 S O i B n a N R l O w h 0 s Y x 7 Z l F z f R 1 l Q b g F p v m J l U o y T 6 H 3 2 B h T M 6 5 / W I G z K Y V h G l u Q o a U I X q g p r o 2 m B h W Z 4 w V t h A l q P W l Y W Y 6 b G 1 l q 8 c P E C w k w q j U S X / g a G Y 4 / r 7 0 q R a b 5 c M Z N r / H d w z D y q M p L 7 f p d H 8 9 j D u O S 8 X 9 N U / J Z + p u D 0 e u c y M t M 1 T 3 0 P f z + t S a + X H f 0 o n f U U L r 7 x 3 Y q Z B k n 8 O T q 7 h x 4 6 x Y 7 T 8 u G s U a 3 i 7 M j g K c R j C T S 1 9 C C X T m F U L 5 M s p C g D n J q b J y N l c P z 4 A O r W R z A 6 d B y p V A r r 1 5 X m 1 U n I u N 6 0 Q / 1 a 4 M 1 l l j G T w G A m M R + E m Q T V m C n o b U d 4 V j R g L a y 5 I M e F D M r f j / c l 6 Y P U Y M 9 f h u i j F U O 6 8 k y y M E + 0 i e T + m T W J I N t x n E p m O T E t Z 6 a C W i 0 g c z b V V g 0 I s q n c c m a S 3 j U x k 8 C s m Q Q N p o I 3 5 f B S S 3 R F / q R / + h 9 A a V q K l R J m I n Q t a 1 g 2 F S E V r C h E C 5 5 N / C u L E K f V + c K c C v o U Q I m G S o f p g A e L P N a g C K b o 0 K d j E 3 D 6 S s t S x T I z S 0 s 1 c p k c h g 7 2 I T r u V h 3 r 8 F p 4 v T x 8 t R 6 0 t P N z X W k u l H v i N 0 i 2 v U 7 / V D x u o / 9 g T x 6 H I 3 Y U y c B l y N a d D W v 4 E M L h f X j Z 2 B G s G / P h a H s e 8 f F B b E v 3 4 L e v f R c u / c N X c G q w H + P v + z X 9 C p p Q N i f 2 3 T m G c 1 7 b q y Z a h R B i 0 R T s V P u p W B L h u R l 0 b 1 6 P n 9 3 y a 7 S 2 t i I Y D K C 7 u w v Z b B 4 b G t K I 2 T p w 6 M g R n H 3 2 L t x + + x 1 Y W A j h H W 9 7 k 9 Z A G R i D C X h d K c G m b G 0 d s 5 F 6 N N L Z N 8 P Q P N X g y q W R M q 2 c r Q a f r Q k P / / k Z E m S W J o w b Q 8 N D e P N b / w 5 H D p 7 A + M Q Y M r T t L 7 l q G 2 l E J x J C 2 i j 9 q / Z 6 k l S h M h P G O b 4 N 6 f a j + q c i j I R Z m U B W m z u b I F q q P O Q v 2 i 9 Y 6 K E 1 U 3 z O Q n o W F i O z W 0 c 4 H F H 9 v R y V p w g M 1 C / s w z x p Q e H 0 Z L C C t 9 A G j 6 f a 3 J h c 0 K B B K g 6 l x S p v n F A N E S n C 8 8 y t f Y V s K k H t Y 4 W 1 b g p 1 2 + x w B m x o c F I i m + a H / u 1 7 i / i b q x p w Z C C J U y M J v L H n G B m Q P k i W n e p K o e f c e t S 2 1 K i F c K e H A p x z j y B L 5 s 3 Q j r U 5 K h P V 0 P A o L h z 6 E m R r z I 3 H 6 O c 0 e X A q N g n b c A T j / 3 4 n f n d 8 F t 0 1 c 9 j Z 1 A t 7 Y g K 5 q R O Y S V 4 M 2 V 3 Q S t s 9 T y m d 9 0 + g r r m Z b d Q l q E i k s g k 6 W b A m j q m x e 3 1 V y H q a M k I R T b C Y X r 4 S 2 E F m y d m 9 y k z 8 v 4 S P b Y / x P i p a p 1 d Q l S q u U q B 0 N e Q m n b C 1 V g + C J L O L c N h 8 J M o 6 z G Z P I S A 1 8 Z c r N t j G u l G 7 X s o l k A H Z t 9 Y V q s i a U S n 8 L q h o p m a i a J l 7 F G M t 1 + h H 1 g Z P K A x v i 7 b z i P K V 5 Y 2 u K V W R T Q o a a 2 4 R e Z r H A o k 4 5 3 O l G r 0 S p E a 7 F O C x Z M K w f e X 7 n / x 0 0 2 Y f m r f Q t M u 2 o q G j H p E R S t M c j Y N M H h l q m v B 0 C A + T i J 8 5 E s P I V B p f f 3 c t m t Z 1 o H V r D d r O C K J t S z 0 8 g U r Z 1 W s A b f W s d x M m F 9 O q t L M 6 x I e I x + J w 0 u G + / u D t + N W J R / D y d e f j 7 o V D C O 3 p R 5 y + U U 3 c h h 4 K 2 n N a z s T L W u t w Z m s z 2 m r a 2 F F 2 D K a O Y u h w H T r P 7 V F F I 1 3 B B X i b S A y B G r b R p C V E T Y u z a 6 o i m 5 h 7 D C G H h c T j U W W 2 p G 5 d + Y A q G C a R Z C f r z r a Y g Z J 0 m 8 w V 5 y b k m D P X i Y y 1 d P W w G T L X k 9 G j R P 8 T y D V E 0 8 l 2 O B K C F k 3 k 1 L c n M k M i g k a I 2 o D d E 0 d + o B H W S C O y l j g f q a j h B H Y + o / j A O U u a 5 i Z / u 6 x L J N M 8 D f t i C 9 w N 7 D E y U n n R y 4 m J S Q Q C y w M W 1 b R S J p 9 A l s 6 + v b x Q E D W 5 N z 6 K m K + y y R 2 J J O B y F f t z b i Y K r 4 8 C I x O j h a W Z n p / / 4 n 9 h b n 4 B P b 3 r 4 H C 6 8 L V v / D c u v u g F O N 4 / g Z O n + v G H e + / H e e e f h 5 t / / i s y l l 1 l p Z + x r b R q s O S n i v 7 Q F 2 H A O / L D 0 s 0 C U p E M 7 M 4 E b C 6 N s I v g K V T / h 6 e c 2 K 4 2 R + P n s s 4 6 b b C j J m d C a G 1 Z O e X j w q f / k 3 c r I P z w S T g 6 a p F M J D A 3 O Y N g 0 o 6 b X / L v 6 N n c i 6 b a B L 5 9 4 9 1 o p v a R j Q l u v + M u b C q 8 E N t e q R G 9 J T m 4 5 E s t g z C U P t H o H P w B J t q 0 u a 0 C T T Q p O u 8 r q y 8 g l F R u 7 x d k s l I S J E U r i P m r a / a o 7 K p u I U F L X 5 E g p S 7 C L 3 9 5 G 3 b u 2 o b O j b W q T 0 l 1 u O t X j + F V b 7 y U n + V J J Y e t u C y m M m j E U d t V K i w p a U U z h U V 1 D S / N w 2 q Q g p B Z 2 a R a l 8 a C m r m 9 y N Z s x R T C 8 N t p f d C E y Q 7 W w h 9 o R y w + g q N z R 3 H J Z e c j m p q i U S T 5 b x b Y c z X I 2 6 O q v W J a z g 5 k s X 5 j t 9 p o 4 J Z f 3 Y a G h n q 8 / G V X K p 9 J C D 1 Y 4 1 s m 9 a t p p 2 R 2 Q R m r X l P y q R m u 2 B R S 3 t K M i 6 m J E F r a S i e v y 2 E E J y S a G n S 2 q 8 n 6 q p D A S Z m / V x E c S 2 t y p n S z A L v L h s W h N D z 1 p n Q c C S 0 K g d A M a v Y L I 7 E b V X H 0 5 Z J m z a C p J W V s f V 4 v L 7 e y V v v F / g d I m R l 4 s z b U 5 1 y w 1 / r R X O + D / + J e p F s 9 u C D Y h s 7 Q / b j w 2 v f h r J 3 b 0 T 8 4 h I s u v A D z c 0 N o 6 N R N n Z W K b A p R W 1 0 I z H w X o 4 3 F B W 8 y n 1 N J u o v U l Y i Z G R Y H P 4 u J K K H y p X k M M i h / H 4 7 t x 1 R u D D X O L k X k U i d v f G w a y Y g F / S e m s H P r e b j / g Y e w Z f 1 O j A z M 4 6 H 7 n s Y l F 1 2 O p G x A V w F G M X 6 z 9 E / k 5 p D K h 5 W P J O M i O w X K 5 g 4 r I Z 6 b I b H m S j R V y t u G t s X 7 M e N q V 8 f l F r a G J H K B G V j r U / C 7 m n D r L + / E o X 0 D W J h J 4 7 m n T u L s n R f g 1 l / c T Z + x G 0 8 + e h B b N m 7 B v g O H U V t f h 8 P 0 Q c / Z d Q 4 e / N O f 8 a c / P 4 K + v j 7 s 2 H E m 2 6 7 f U I e U D q s E 0 b B S 3 V Z p x A q o i R x D w l M a L f Y H V j H V i U R 2 X k 1 r C O 3 N p o 7 r d U C E c T Q B 9 3 z g G / o u 0 k 0 v h u W e e 3 5 f S F D q x 2 I x b N q 0 E Z s 7 a J 7 Q c b / 9 z j u p n g N K m s h a n b / 7 u 7 / h / Z Z L T S k Q W S m 5 t C q o m W L J n G K m t e L S 2 z / M j g X c V N 2 P / c v 3 K F 0 z e N G + 6 4 G + R X z p w j f i C k 8 M m a Z i 1 s T I k V F 0 b O m g q i b z U w N V 2 u 7 F D P v U o 8 i 2 X F 5 V U p r x v 5 b D W I a 1 3 F s g Y X C n v t O D Q J j I K q E G a s A M B Z 3 d 3 k i a O F 0 / t h T N U / d h u u V l + q f T Q y 5 k h 6 0 m u 9 R P 0 4 m j a H R v o j A p m t o z / Q t w e 9 1 q E a a B t T 5 / C S j f 6 x a e Q 9 L V j I R p W 8 / y k L z A S c W Q r r B E S M o y L A k V U 9 b 4 a p D S c O Y y 2 Y 7 x B 5 B p f y l s l 1 x y 8 a e v f M m L 1 Z J k k X o N L Y 0 Y G 5 / A Z Z d c B I / H i 5 r a o D J R v K 7 S y J C B c m m 9 G q I x S j r f y t K z H B c 3 X I v t f M 4 3 n f M i 3 s 8 F j 8 O H m 3 b / T m m D e 3 c / g X / a e R 7 y 3 m K t 6 q E n 4 m j d p k e R 1 q B J 3 Q v 3 I k R 7 X K q J r g Z j Y e L A n B V 1 X p M p I A G H 5 0 P I U k a M A 1 1 N S p d D w u R m i N k n G k o W P L q s X k S o e W T 7 z k r a d a 2 I + T f C F Z 1 B z l Q o 1 I C E 3 1 e y K m p s X Q h 4 i 6 a m + E e 1 + p o 5 A 7 4 6 D 1 x + B 0 4 d G o H X 6 U H M N v n 8 A j Z s R t L d i q w j g P a Z P y L m 7 o b U h 5 f 2 p V J 0 X + y 0 J n I p 5 O g 3 l 2 9 t Y 0 A 2 m R O N J a u V 4 Z R 2 r 6 6 h U t Q r X p O 1 7 R r 4 J d L t L 6 S y y M D 6 d 3 / z B h K 4 B + 1 t L V j X 2 4 n o R B y 9 P Z 1 s F N D T 3 Y G N G 3 r R W K t 1 k E V W K 1 a Z N V 8 L 8 v k C / P 6 1 D 7 Q U 8 R f z 1 e 0 6 h r O a e h F 0 e R F 0 a + b b P S / 7 L N t S o B O + i G z 9 h W q O z E D e r p l L l v j a i v 9 b X R Y S 5 e r V R w U i S e V V v n h Q z U u s A c t 2 7 S P D r 1 R z T o 9 F V Y X 4 M e L v i A k n 8 T D l + y j P 4 3 8 G G 5 m y E m S a R L I x K o J N t Z Q V 4 u z 2 X 6 i / W 4 6 N Z 3 Y h 5 w 8 h P 0 g / d e X H X B X j T V e r Y E U g G c W e R 0 + g 1 u l V g a W 8 q 4 E a P Y i f / + C P c N s D a s 7 u z l 8 + R u H T A L c j S L N 1 B A 6 7 h z 0 n f b Y 6 M w n o G R V B A s 3 7 1 2 t u B a + / b A f D V C w D l 6 k 4 f X Q x C m / Q i 2 y W T r D V C p V n a l L f a w a d f K k g u 1 Y k c x Y 6 z M W m z c d n E M 6 E a e 8 G U U 8 J 6 J 6 8 D a m W 1 9 A X K 5 U 8 y W h K 1 b 5 w u N c e N Q v M f w + D v p f q n 9 a G c t N v + e x 7 Z U S T J H q 3 8 V z y 1 4 J J M r 7 D t s K k Y g V E 4 t 5 l W + 5 o m W c W l a j q s y 8 P S E h 0 z 2 t r W A p m a G d X J 6 J 1 2 Y c w Y H + J / m l 1 F C g s G n 3 V J 2 g F 5 e Z Y I j + v k l 8 l B p M f q Y O t d 2 X B 1 n 9 s C u u 3 m k x 4 M / W G F m E N t N G r 8 O H A g d 1 0 Y X a o + v j i z l x 6 2 Q V 4 + O E n V b Z L T U 0 t R o a H M D 0 z p 6 Z V 2 t t b 0 N 3 V g f q 6 t Z l 7 S 6 C 2 D o b + H 8 K 1 7 9 Y P c A z K G U r W I 1 W b S x o Y G M K 6 d Z J + o x H C W m F J D p / 2 J J n a m G w F C 8 o a H a J k 6 F E a z G y B H L j 3 B H a + v H q O W i X 4 p 7 6 F o V p t T k O L n q 3 O + M t 9 q W K f a N k I Q q r y A K V 9 l S / w q E W + 1 x 5 O q q I O z d N k q V m b h j N Q v v Z q L R C G M k O i g K m 8 t p G e G X K e a D q B O z a B Z N l k f j U U U j Y 0 B k 8 v e 0 R g 9 p + s w + u R 7 1 5 5 W c v M R A R N b Q G E F i Q 8 b k N 4 Y h H N 6 8 3 R W K 3 P A 6 E B x A K d y K 8 w J e F x 1 C E h W R B E 1 a p I Z b D K 6 v X o X Y i 2 k J H E z F f m v k Y z y 0 g 2 N F h d U t b W G t E y j U A S 8 Q T 6 + g c x O j K m P l e C h Y 2 V X e Z P B 3 t H H S s y k y 1 y U j G T Q N W x y 6 d o c k 1 i K N w H S 1 7 3 n U 4 D l n R m z c u 6 l 0 A n V + Z J Z K d 3 z Q z s U 3 / D i W N q L Y 9 W 9 k r E b q l f J k v + p d t l C c B 0 Y g C Z X G J N z C S T t m a c L j O Z I U E M Y R i J O p Z v 3 y n M 5 L I W p 0 1 s 2 S i Z V 8 y h 1 e 8 n m 4 q v B U N D l c t g Z 2 n 6 C j P l Z l w r 3 k 6 Y a X R g D j X 0 x d x e Z x k z 0 c r S d 6 e P 1 K y j B W O F L z y g P g t k S Y o Z B j M F l r N C E f y N e + w 2 B C a + C d v i I d J e l 1 Z 2 w f C Z h Z n 0 3 f + X a a j Q K Q t q N l Z 7 m g L C 4 R j V p F U F L M o h 6 l w m Z R 2 F E N S e S R W i K q t B N o 3 e 2 r y y + e M f u Q H R r v d r H / Q l A Z P R M f o n S X g W / G h Z t 3 J U r x z + o S 8 j 2 v N R 9 V 4 c f D G J h K i E Q f y 5 j H J q x W + Q z b t O Z 0 m D j + 1 x + 8 7 U / E 6 b T + 2 U K C U W z B L 5 d O D P x B F 1 e F f U T q e 7 7 M I M M Q H V A k a O o x Q z N c z B w M I x R O q q V y Q y k F 9 0 o q m l 1 B I x C s 6 s h v I + y c + 5 Y K m n o F y B R 2 0 U S o v Z e U X X s l G B A Z k T E 2 F R R A H d o f s x 4 t p B S 0 m 0 7 f K L V t N O w k S R t g / o n 1 Y B m X P Z o w o z h f u q m T w W B I P + i s w k s B R S 9 L G s U J t B P w 9 m e n r I u S o z C T R m K k B V Y J X o D J G W + b J B x 2 k z k 0 B t n K 3 D Q x 9 D S W h K Z j H r o j Y H E h I 1 4 v M I o U r N u r U i Z t e u K 8 X l B e H w z P N m J o E w k 5 v P u Z J 2 k v C w A U m G P R 0 I A 3 m t 9 W o y 2 2 A m g d V 0 z Z W g 0 t D K U I 2 Z j C q 3 B s p N a G t D C o U o N a i U g K s A B 8 c n x z G R s L e Z m Q R m Z t I C P h Y M 1 1 x N Z m p H 6 + h D 2 h c m q N r u Z f B P 3 A j f 4 A 1 r Z y Y B z c e K j x v c k M X 8 s R Q W B 6 K I D b q x e K K A h Z N p h I b l x u y I Z S F O O p r J G Z p O V H v P U z o O z t n x g p 7 V B 8 4 + Z W S 3 a y W 2 4 K i F J d 6 H b t r u 0 2 z z 8 0 H B Y g q t 6 0 X f Z a v R S s Q v + Q G n i 8 n U E I Y i T 8 D l K W 6 7 u h b I J G 4 5 k i S i u n Q Y V n E e K 8 B c U 2 9 5 l s f q k A y I c o Q a d q J 3 8 R 7 9 0 w r Q N 6 I r h x S x L I f 4 6 e X R y H K z 2 x r I Y X 4 x R 4 u + 9 P e T o / P I m B e y r j A k 5 S b t T M e L l B V l h t u c l U L z L j D 8 D U T b 3 o l Y r 2 4 F n Q a q U n / 9 V h d q 1 / n h 6 0 2 i d j M 1 U 6 8 N w S 7 J o O B P j E G T z d N k 1 S u f q C D 7 Q 7 l L U / Q t q d X X 8 x y Z 0 h z G 3 r L d 0 0 s g 1 1 F 2 P J / X W 1 y F m s l r z S 9 4 t c i S T G 4 + H 4 i p W o Q x y M s J N q W W i B c X N a 4 F B Z q k r f R X a i 0 7 k T 6 N K K e g W r b D g j O I P L W m b C V k I z G Y Q + s r Z b S v B Z U 2 T B M M 1 l 4 L R 2 p x x Y V + l p x d C S H Z l d 0 M n 4 u s U 4 H / y 7 P V K 9 X Y q G l y I h r j 9 Q a 1 C O r 4 4 B x a j Q y Y 0 4 A E m 2 S e 0 U V t W x v S K l Q Z s M m S D M I 5 c Q 9 s 4 V O I d H 9 Q f X 4 + W L M 6 i Q x U m N C T r T 1 M S 8 j L o X Y g X 2 G O R T r 5 D J U b W A H p e f 5 W l x x y H V 3 z + W 3 F W g E O a x 7 J j N 4 m M o X 8 K 8 d s z I b 5 u F W 9 R F J K v Q m 5 7 2 D 4 W Q z N D 6 t z b D C t V t a 3 k 6 k 0 u G q H Q q u n 6 u 4 j l R B P n M I C a T z r q L 6 G 6 P l A J i K d d v p 3 N G 8 k + G 0 n w c g x m c i U Z R f / F 2 i K 7 V V L 0 a v B k t e Y U Z K K y 7 X r S n n T w o T y U j u p y O f p 0 t X j w X o P C r 0 j a B h 9 B l 2 W C + B K r c 0 E N U M i t 5 K z F 7 d 5 E a 4 / A x 2 z W t 0 Q B R 4 L j H 8 d 6 b Z r k K t d v S T e S r B W 2 w n C D G G k h 4 / e z 7 8 2 l X l r k e q b y o 5 f / b c Q l S s T w h W w E K v A z 2 m d W J 2 U Q i W O p Y Z Y v r Q O u x R E l F p + b B x s T o e q d y e Q D a I F j b 4 c 6 r 1 5 9 R J J K f s 0 y e D W U K P 2 1 N O B F g n v N t 1 H L 4 h Z i T k N E 0 o c 9 n K o j O h E P W a H e R 9 b C 5 y o R y F O g V N o h 7 N Q w 2 O t c K t F g T U 4 + P Q k 3 N Y 6 O C 2 V S 6 W t B e L P G Y p V 9 o W S g I m U U p b d M o T B y i G + l y s b p 9 + 5 q J z 2 5 4 P x + h f r 7 y r D U i j 2 Y 0 Z f P m L G R L i y S W j A W K 3 Q 0 B x A t s x 3 s v J Z I / X r k O v p Q 0 L 4 d q S 9 q n + 1 G s Q / H G t 8 G b z R U d g T c 3 A N / g q R d q n n u L z f T h e W i f H h w m 9 + c w f c H g + 8 H r e q G 7 5 l 8 2 Z 0 d x V z o y S F / W U v f R n G J k d V v t + t v 7 4 N l 1 9 + K T a u r 5 L B X Q n 6 + i F J e X + s 3 y X 0 j x d t L A 8 p L 6 J A n 6 g q J O S 5 w p z C 3 j t O 4 J z X a H N Q U t l T o A V I T M m + O o Y i T + L 4 0 0 n s 2 L 5 F L T A U M 1 a N J 1 + y D k Y y n c P J 0 9 M q v / 7 J n 7 F l C + / P h w u H Q j h 7 x 0 b 4 a 9 u x / 7 n n E I n G 4 P P 7 V L a 8 L E 2 R h Y 5 n n X M W a l t X D 8 K s h G A m i r C j N L 3 K l 0 s g Z q u c K m b G S v X 2 q q F 5 6 i + I u d o R q 1 0 + g W s Z 7 U K h s x g S L w 8 0 V B L B k q E S z 1 b 2 L W X B q s 2 h M W H v / N 0 Y r N d K h Y v 5 F p M w N U 3 + 2 p m z k e v S V 8 0 u l 4 E r w j G 2 B a 6 G R b h q t a m W L G i B Y D m t n A 4 s e 3 f v L q x b 3 4 O 9 e 5 / D 2 P g Y r n r p l f C Q q b S 5 h y L C f R K s 0 D 8 8 T 0 Q T B f g 9 V a S A S M 0 K G s m M w O w N i D R W c R T p y x 1 8 N I I d L 6 2 y 3 a M 8 j 9 x D G F K J 9 h w G R y b x z D P P I h G P 4 2 / e + F c Y G Z 1 U h V m O H j m K 6 6 5 7 B X L u l a N k U s h E N E W l t U z m 7 W G k X p / N k i c B x 0 n A a 0 8 K X g 0 r V Y A 9 H X i y v I 4 e k V w b C q i b 2 Y O F s h 0 H 7 S O b k O 0 6 q X 8 S h h K C q T L e J s y n + n j F y t w g 6 W o B E l + s h t c q d z l 0 p C b c C B b W I 9 V W u R 7 f M v B W j r H N C G 6 U Q j g F L A 6 E U b e + R m W Y S B b 6 i s s 5 V s H S P J S k w q 1 U K G f x Z B 5 1 3 V L P e f X 0 m m o w i t 9 r U U L + N R x g S l S p B S E w y o 2 5 L A H 4 X U V 7 3 T H z O D J N l + i f S m F J j i C Z b 0 A 6 m Y O 7 J g j Z 0 W M l S E 5 i g R L O N 3 c f U u v e i 1 w u Y 8 Q 8 k E j R D 3 F J h 5 a W P z Z g U e a S R U 0 Y m m E w k D B Z U i 1 l 1 w a / 2 p y R l D Z O 6 k R c y U R b C x w 0 9 d L s w 0 r X l + 9 O d 1 P n Q D a G i H 3 t u Z Z t U w 9 i o q W 4 5 E X W T 1 n 0 I q Q G y r V U m j Q g e y a X o 9 p 0 Q u P o Y x i u P R v e N e S A 2 o c 3 k K G L i x V / + / N H s X P n G W h o C K C l u x Y 5 S V 4 t O G G d a U K w m 2 N E B j V K B c g u 9 X W b X a r w j u y k U m k 3 / 7 V g i S r K 6 G M 5 6 J D / T 5 h J U o k U M w k k S m i O J p G Z C i R U 6 d S j E 9 Q w p K + U H i i Q p F e 1 b K S K d N I W D 3 b h 5 P 1 p B O o D k N 0 9 y j E W 3 a e / 0 1 C Q z b U 8 v f j O v V a 1 3 u Y 3 t 9 2 O 0 Y l J 3 P C t 7 + D w o W O 4 7 4 E H Y I m f g r E P k h m S O 1 j O T A J N G 1 n I T L L c v v h 9 t T k j q R M u j F S d m Y q / k 2 B I J W R 5 z 2 r X P 1 1 m E h j M J J p U I J P E s t G 2 8 T J D 6 g 4 O N J 6 r N J U C x 1 d 2 w y z H f L o f q U J Y u k a 9 n H K O j K 8 U h t G P q V c F d I z 8 D n M d l y h m S s n 6 n V U Q 6 3 g O t p F O J c T k m q 9 4 5 d V q K 5 3 F x S R + + v 2 7 8 e T D J 2 B N 1 e G p E 4 9 j z + 4 D G B g c V a v S F / v S Z A S H 2 i 1 E a r a P x 6 V g a + V + F V Q b D 8 G y T I l q W O x L o n b D 8 1 e F J 2 Z k J / Q q / g L V 7 k J 6 C B m q d y l O X 7 4 i 1 j / 6 D Z X F v G y S z V Q T Y v f d e 3 D e K 8 9 V 7 8 V P W 0 1 L C a z z j 6 P Q e D k y 2 S x c T o c q g m m z W X H i e B 8 2 b 9 5 Q V W p W g 7 a 0 Y T m z z U b r 0 O h f O e n T R u m Z M 5 m O k t b k s H q W 5 d 8 Z O X Y G R D M m s v R 9 H c s j X 8 E s / a s q h U e f L / z U Y l G T F r N R 0 + Z E O E T J 3 H 5 d z V e F B Q 1 u b W z F 6 j b L y P I N A H r o M w 3 R Z 5 J a F g I b + 0 Y 2 Y l C c U g G 5 v I 3 n 5 F R 0 0 c X + s E y t 5 0 E b 8 s 4 Y h U E N c n W T t G D S c N W 5 6 L / m 2 Y 8 t G B 0 b R 3 d X p x L a E q g Z j w 7 B P 9 + M Q J s X N q e V p n o G k e y 4 W u L R 7 N b K z Y 1 E p U C O J l w k c t j p P 1 + 9 N 2 B N r N E n t l K y y O S 2 H t k 8 b d R 5 t E Y I 0 U X S E + q v 8 X k u 3 Q e f r Q F N r p 5 l z B S Y / T a i n R 9 U z O Q f + 4 Z + l N 0 q Q Q e d m f b 9 d m S J m Q T C T I s S + V s N n g 2 w j 9 8 H u 9 W C H J l K 1 R 3 k 8 w k z m S F z P a s h n p 2 t y E z R l H d V Z h I I M 4 l P Z K A S M 1 W C a M a A r f K S m v 9 t Z h K Y m U k g z N Q 4 9 i g s 0 2 v x D Q u K c a R 0 t D D T Q l z r L 6 k b a E Z v + B 7 F T A K 3 v V a 9 Z E 5 O a Z 4 q E G Y S y H l 5 p w 2 5 r i H k e v s x Q X f A 3 h 7 D U 8 / Q S n H a 8 e S f n 8 H + Z w c w P D q O J 5 9 6 a m n Z j 5 F d E a u f U d b a Y n 9 c z c n V O n o U M 4 3 E n 1 J b f x r M J J D g i B w z w 1 q + K 0 r c m N c p g 1 r h z R u t N J + w I n R x J E Q X c E o x F a 0 z 5 a / Y 2 U 5 Z S 1 L m x P n H v o l I 4 3 v 1 T 0 C 0 7 T 3 s / Z S W v a 7 v z X P 0 z y M 4 6 9 W l E 8 o C 8 2 r K a s h 7 W u G g z W z M 2 A + F z Z 2 j / d 7 K 7 6 o t T j O Q k u 0 j T Z L T z A h + V + k k Z y W I + a T + c g C l X J c s N o x m S y d Q b b T p Z d b f 2 C z A j J X M O y l f 9 n 8 F F 8 d C 4 L E s c O z W P g U Q y 8 w q x q r z 6 k J 1 Z C + 6 5 u 5 F z / R d C M 4 f x m D w W n X c D B F Y M l W T O s 3 1 e J 0 b A y g 4 I r j i y k s w 2 D + M K 1 5 + M V p c I U x N T e M N r 3 8 D R u N P 6 2 c C 9 e 5 m j n o B E 4 l B 1 K 7 3 0 g Q s j n v Q 3 o k u / w t I E F q b q 2 F N J p 9 M u A k n V y q 6 / 3 8 B K e X l H L 8 f q e 5 X 6 0 d 0 k D j 8 U 9 8 h Y 3 0 A n / l Z B B 9 8 Y y M + 9 Y N J f P N f l q 8 a N v Z f W g 3 u o W 8 g 2 V N h Z p z S Z 2 6 N l W G r a R J h g p V W N E t U S V v q U W r K W d M z C O s S 1 w y 5 n m z B e b o 1 0 2 W b T 9 m 9 / f 8 S 9 t H N y H a e 4 D u 5 z 2 r 9 X k D b 4 D 1 w 0 U Q c r b k S W Y c X s Y Q f X k + 0 x K B T R W 7 s z V i Y L K C u V U S W E m 8 l w m u t M E d d 5 f 4 N r k 1 I p s c R p z 8 k B U t H 4 8 + g 1 X P W s m C E a C p v S w F O 0 y r z s c R u W j R F 0 8 7 t q K U W 0 y a E S 1 V C F U S G w s + b m c R E / P M p C c P r B w h j 8 r U S Z M a 6 Y P c u Z y Y B J b E w U 2 D q u 5 g L Z f G R 7 0 5 Q w 1 W + V r W k z B J k F p B u e A 0 s i V G l 9 c y w J K o X X C y H T O Q a 8 F j r 2 a n a 8 o j V y g P I I k A h D n v Z 7 v l x m 1 P 9 v s V S i x p b k 3 r v o 8 0 v x C r M N L r Q x j 4 8 j f m j 0 6 e / N U G I V E q g O X N p + p / T K C Q D q P V 0 4 K u f + x m O 7 J 2 E P V u L 0 D R w 7 L l J 2 K j N 9 j 5 6 H F 2 Z K T x 5 3 z 5 M 9 L 4 S 8 9 3 / B I 9 / P f Y 8 P o z 6 g A V H 9 o h W l i p Q T + C r n / 0 Z n v j 9 K H 7 7 8 4 c R W o x j d j S P b 3 7 p F t V f a 4 W T f q l s P C 0 o M p P A A t v 0 7 + B 2 t q P e 2 Y E U N W a 7 5 + w S Z h I / X O h U N J U w k w Q s D H R 4 z l s q 7 i p + V M 5 k q q 9 J Q y 2 e y q F 2 4 + k x V C R l V d t 8 V j M R K y 0 g 9 M 9 S + z R W 3 j v V Q m l S Y A c o s M W H H + h H 9 5 k t C L R X D q f O x q x o 9 F V R z 7 L c n c R u n 3 0 G 2 c b S g v I G Z F 3 T 6 U T K R E v J g r 3 S Z Q P L U S 1 w s R L E b J N U 0 j T 9 r F T E B b c / s S z S K J O 0 U f o P 1 i o m i Z h n K d v / b N J S Y M v n q C N z K v t e I O a y 0 h z 9 L X D 3 j q H / V B q P P P o Y k o k 4 U q k E 3 C 4 v O r s 6 8 M r X v h T 3 3 / M 4 3 B 4 3 r n z 5 R c r / i K c W E J m 1 Y W R w T O 1 2 0 t L S g v p W P w n b C h d / t / v Z 5 9 Q k e E t z K / r 7 B 3 D k y D G 8 / T 2 v U P d d D a t p 5 a 7 J u x E v t 0 x k O k c i 0 C a Y i 7 E k F l L I J n K k u e r + Y k W G E q 2 y x A h 8 n 0 v T Q e M D r g U H x + 3 Y 0 p J T K T 5 r Q Z i M F 3 T l 4 R / 9 J q K d K 6 T K m + a q n v v t O H b 9 V T t S 4 T A S 0 x 4 y e 5 k j S I S T v G 5 Z s c b y D v O P f w P R 9 s q J k K f D U M J M N o u b G q l 6 l o c s e p M I V H m U 7 n Q w v t C C 9 j r N t z K q x B p Y m 1 k n Y 7 L a O d X h z 8 Q Q d Z Q J M N E A Z A D n x H a k 2 w 4 r Y W E E n A y I J p O A i 7 m 9 l S D a p 9 I E 7 2 p l r M v h o 3 C J r Z I B 4 o m M w t v 4 I v 2 T C Q W a l L J / r r u 4 K L a 8 w t H i Q B J S U S v Y r Q m o q a F T m B 4 8 g Q 2 7 X r C c o f p m 7 d j Q W H R k M 4 k M H F X 2 c x 2 Y s 6 s s 8 Y m Q l o B 6 R m v m e Q U t f E P f Q 6 z n X f q n K p A s b 6 s H + 2 4 f w N m v X U c V R 0 f e T o e T 3 C / q 2 N W U h L u 2 N K y f p R v i S B 7 C M A m 5 y 7 e L v z d J a D X o Q g y V B 2 o h e Z J m w u o P k 8 y H 4 T a t c K 0 G C c H K 4 s X n y 1 B j 8 6 3 o q K 8 e 9 a v J R B E q S 0 H 6 3 4 S Y T p X m 3 5 Z w q h P Y u P p 2 o 2 v R l B L N k 5 1 R Z A r D w O m k S W l s u f r Y N T p 7 + E y V a V v V o 9 S 1 s A H J D 5 W 5 V M O y C o 9 Q S M Y t a D m z j k o o D 7 v s g G l m K A k 1 y 2 7 b Z i w c y 6 F u 6 3 I z Z v + 4 E 2 e 1 n 3 7 W r x n 2 + f 0 o u O q Q 8 x U n U C U N J W j r g t 2 0 s 5 2 B + Z k Q f G R u l 1 8 G p L R N w l i R f g f c r T E 4 1 f d E c o w e Y w e y s c O w + 0 q 3 r b E m p p D 3 V M + c P t 0 5 q N U g k b u 1 1 B i v h m z O z g G r H L E L i L a S C e W V C P 5 5 Q h J v Z c X y a s h P B W B t q Z w E X Y 7 n a 3 6 W a + V y p H N x O N g P 5 c t C q q F u f h 8 W 6 o t 7 h 5 k h / l S Q / p W a N 6 / Q r 7 J q Y S C 8 H y 5 H D I N 3 7 0 O g o Q X b L 7 p y d R 8 q P h u j a i x V 8 + N h B 1 o C G Z o 5 + o H T R g H + i R t U g K E c s p 1 m l t z u M u e o 0 X 8 C / a d D d y 3 i z F e t k D x L Z J N Z p K e D 8 H Z F V U d Y Y k d Q 8 G m 7 4 E n t C U N L e Y Z u Q q L n b e p 9 J f x v M 9 T / N S I J H w K e t Y W U Z V 5 t t a m A 8 l 3 f V 0 N O V t f 6 l 0 c m q 0 F q O 6 x U z z 3 E 6 9 W s c D 1 h L h E g h i 9 n C J O 1 7 m I i U b I G C v S 5 B l o u a 0 C D t Y a N X r 7 K w M D J + S F l h a z I y g t 9 8 W X M N D A v 2 6 H k k V g h U r c S P K M / 5 8 P k K j K T Q O 1 3 Z G Y m g a 0 O 0 Y U o 1 r 2 Q A 0 D T Z g m p C R W s U J A J N / p I s p W K t z u O + I h m / i w x k 4 Q Z T S a f 3 b 5 A R q 2 e / F q e g / b / d w g z S a r Q W i D M Z J f M / Q q Q y J j K v j g N Z h K 4 F z e i Y 9 q 0 x m g V r L Y 5 g t 9 T u X 3 G J L t o K k k M F k Y y a + Y 1 M R P R P X e P Y i Y 3 B c d a M J c P o b A C v W y q 7 8 H W h o 3 4 / w C F f z t + N I Y 6 2 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 N a m e = " C o n d u c t i v i t y "   G u i d = " 2 9 a c 6 1 1 b - a 9 7 6 - 4 2 6 6 - a d d 3 - f e 7 4 e f 3 1 3 4 9 3 "   R e v = " 2 6 "   R e v G u i d = " 2 5 0 3 f 0 1 7 - 7 1 8 1 - 4 9 5 f - a 0 4 f - c d 4 b 2 b 5 8 4 6 8 7 "   V i s i b l e = " t r u e "   I n s t O n l y = " f a l s e " & g t ; & l t ; G e o V i s   V i s i b l e = " t r u e "   L a y e r C o l o r S e t = " f a l s e "   R e g i o n S h a d i n g M o d e S e t = " f a l s e "   R e g i o n S h a d i n g M o d e = " G l o b a l "   T T T e m p l a t e = " B a s i c "   V i s u a l T y p e = " C o l u m n C h a r t " 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1 & l t ; / C o l o r I n d e x & g t ; & l t ; / C o l o r I n d i c e s & g t ; & l t ; G e o F i e l d W e l l D e f i n i t i o n   T i m e C h u n k = " D a y "   A c c u m u l a t e = " f a l s e "   D e c a y = " H o l d T i l l R e p l a c e d "   D e c a y T i m e I s N u l l = " t r u e "   D e c a y T i m e T i c k s = " 0 "   V M T i m e A c c u m u l a t e = " f a l s e "   V M T i m e P e r s i s t = " t r u e " 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 N a m e = " E l e c t r i c a l   C o n d u c t i v i t y   ( M i c r o s ) "   V i s i b l e = " t r u e "   D a t a T y p e = " D o u b l e "   M o d e l Q u e r y N a m e = " ' A l l D a t a M a p ' [ E l e c t r i c a l   C o n d u c t i v i t y   ( M i c r o s ) ] " & g t ; & l t ; T a b l e 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N i t r a t e   ( P P M ) ] M s r A F A v e r a g e 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R i v e r ] C a t V a l B o w 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R i v e r ] C a t V a l C a m   B r o o k 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C a t V a l M s r ' A l l D a t a M a p ' [ E l e c t r i c a l   C o n d u c t i v i t y   ( M i c r o s ) ] M s r A F N o n e M s r V a l 0 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P h o s p h a t e   ( P P M ) ] M s r A F A v e r a g e 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R i v e r ] C a t V a l B e l l   B r o o k M s r M s r A F M s r V a l M s r C a l c F n A n y M e a s F A L S E A n y C a t V a l F A L S E # X C o o r d X C o o r d V a l Y C o o r d Y C o o r d V a l # # C u s t R e g C u s t R e g V a l C u s t R e g S r c C u s t R e g S r c V a l # " & g t ; & l t ; C o l o r S e t & g t ; t r u e & l t ; / C o l o r S e t & g t ; & l t ; C o l o r & g t ; & l t ; R & g t ; 1 & l t ; / R & g t ; & l t ; G & g t ; 1 & l t ; / G & g t ; & l t ; B & g t ; 1 & 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4 & l t ; / X & g t ; & l t ; Y & g t ; 1 3 0 & l t ; / Y & g t ; & l t ; D i s t a n c e T o N e a r e s t C o r n e r X & g t ; 4 & l t ; / D i s t a n c e T o N e a r e s t C o r n e r X & g t ; & l t ; D i s t a n c e T o N e a r e s t C o r n e r Y & g t ; 1 3 0 & l t ; / D i s t a n c e T o N e a r e s t C o r n e r Y & g t ; & l t ; Z O r d e r & g t ; 0 & l t ; / Z O r d e r & g t ; & l t ; W i d t h & g t ; 5 1 0 & l t ; / W i d t h & g t ; & l t ; H e i g h t & g t ; 8 2 . 2 2 0 0 0 0 0 0 0 0 0 0 0 2 7 & l t ; / H e i g h t & g t ; & l t ; A c t u a l W i d t h & g t ; 5 1 0 & l t ; / A c t u a l W i d t h & g t ; & l t ; A c t u a l H e i g h t & g t ; 8 2 . 2 2 0 0 0 0 0 0 0 0 0 0 0 2 7 & l t ; / A c t u a l H e i g h t & g t ; & l t ; I s V i s i b l e & g t ; t r u e & l t ; / I s V i s i b l e & g t ; & l t ; S e t F o c u s O n L o a d V i e w & g t ; f a l s e & l t ; / S e t F o c u s O n L o a d V i e w & g t ; & l t ; T i m e & g t ; & l t ; T e x t & g t ; & l t ; F o r m a t T y p e & g t ; S t a t i c & l t ; / F o r m a t T y p e & g t ; & l t ; T e x t & g t ; S e p t e m b e r   2 0 2 4 & l t ; / T e x t & g t ; & l t ; F o n t S i z e & g t ; 4 8 & l t ; / F o n t S i z e & g t ; & l t ; F o n t F a m i l y & g t ; B a h n s c h r i f t & 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Y & l t ; / F o r m a t & g t ; & l t ; B a c k g r o u n d C o l o r 4 F & g t ; & l t ; R & g t ; 1 & l t ; / R & g t ; & l t ; G & g t ; 1 & l t ; / G & g t ; & l t ; B & g t ; 1 & l t ; / B & g t ; & l t ; A & g t ; 0 . 9 & l t ; / A & g t ; & l t ; / B a c k g r o u n d C o l o r 4 F & g t ; & l t ; / T i m e & g t ; & l t ; D o c k & g t ; T o p L e f t & l t ; / D o c k & g t ; & l t ; / D e c o r a t o r & g t ; & l t ; D e c o r a t o r & g t ; & l t ; X & g t ; 3 & l t ; / X & g t ; & l t ; Y & g t ; 6 & l t ; / Y & g t ; & l t ; D i s t a n c e T o N e a r e s t C o r n e r X & g t ; 3 & l t ; / D i s t a n c e T o N e a r e s t C o r n e r X & g t ; & l t ; D i s t a n c e T o N e a r e s t C o r n e r Y & g t ; 6 & l t ; / D i s t a n c e T o N e a r e s t C o r n e r Y & g t ; & l t ; Z O r d e r & g t ; 1 & l t ; / Z O r d e r & g t ; & l t ; W i d t h & g t ; 5 1 2 & l t ; / W i d t h & g t ; & l t ; H e i g h t & g t ; 1 2 8 & l t ; / H e i g h t & g t ; & l t ; A c t u a l W i d t h & g t ; 5 1 2 & l t ; / A c t u a l W i d t h & g t ; & l t ; A c t u a l H e i g h t & g t ; 1 2 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0 & 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8 & l t ; / M i n M a x F o n t S i z e & g t ; & l t ; S w a t c h S i z e & g t ; 2 5 & l t ; / S w a t c h S i z e & g t ; & l t ; G r a d i e n t S w a t c h S i z e & g t ; 1 6 & l t ; / G r a d i e n t S w a t c h S i z e & g t ; & l t ; L a y e r I d & g t ; 2 9 a c 6 1 1 b - a 9 7 6 - 4 2 6 6 - a d d 3 - f e 7 4 e f 3 1 3 4 9 3 & l t ; / L a y e r I d & g t ; & l t ; R a w H e a t M a p M i n & g t ; 0 & l t ; / R a w H e a t M a p M i n & g t ; & l t ; R a w H e a t M a p M a x & g t ; 0 & l t ; / R a w H e a t M a p M a x & g t ; & l t ; M i n i m u m & g t ; 0 . 5 5 & l t ; / M i n i m u m & g t ; & l t ; M a x i m u m & g t ; 9 5 6 0 & l t ; / M a x i m u m & g t ; & l t ; / L e g e n d & g t ; & l t ; D o c k & g t ; T o p L e f t & l t ; / D o c k & g t ; & l t ; / D e c o r a t o r & g t ; & l t ; D e c o r a t o r & g t ; & l t ; X & g t ; 1 0 9 3 & l t ; / X & g t ; & l t ; Y & g t ; 1 6 . 5 & l t ; / Y & g t ; & l t ; D i s t a n c e T o N e a r e s t C o r n e r X & g t ; 1 3 & l t ; / D i s t a n c e T o N e a r e s t C o r n e r X & g t ; & l t ; D i s t a n c e T o N e a r e s t C o r n e r Y & g t ; 1 6 . 5 & l t ; / D i s t a n c e T o N e a r e s t C o r n e r Y & g t ; & l t ; Z O r d e r & g t ; 2 & l t ; / Z O r d e r & g t ; & l t ; W i d t h & g t ; 2 0 6 & l t ; / W i d t h & g t ; & l t ; H e i g h t & g t ; 1 0 7 & l t ; / H e i g h t & g t ; & l t ; A c t u a l W i d t h & g t ; 2 0 6 & l t ; / A c t u a l W i d t h & g t ; & l t ; A c t u a l H e i g h t & g t ; 1 0 7 & 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S t a t i c "   C u s t o m M a p G u i d = " 0 0 0 0 0 0 0 0 - 0 0 0 0 - 0 0 0 0 - 0 0 0 0 - 0 0 0 0 0 0 0 0 0 0 0 0 "   C u s t o m M a p I d = " 0 0 0 0 0 0 0 0 - 0 0 0 0 - 0 0 0 0 - 0 0 0 0 - 0 0 0 0 0 0 0 0 0 0 0 0 "   S c e n e I d = " b b 8 e 9 4 3 0 - f d 0 1 - 4 3 6 9 - 8 5 5 3 - 0 e 9 2 b 2 2 4 f 8 0 0 " > < T r a n s i t i o n > M o v e T o < / T r a n s i t i o n > < E f f e c t > F i g u r e 8 < / E f f e c t > < T h e m e > B i n g R o a d < / T h e m e > < T h e m e W i t h L a b e l > t r u e < / T h e m e W i t h L a b e l > < F l a t M o d e E n a b l e d > f a l s e < / F l a t M o d e E n a b l e d > < D u r a t i o n > 1 0 0 0 0 0 0 0 0 < / D u r a t i o n > < T r a n s i t i o n D u r a t i o n > 3 0 0 0 0 0 0 0 < / T r a n s i t i o n D u r a t i o n > < S p e e d > 0 . 5 < / S p e e d > < F r a m e > < C a m e r a > < L a t i t u d e > 5 2 . 2 3 2 4 8 0 0 2 6 9 7 4 7 2 7 < / L a t i t u d e > < L o n g i t u d e > - 1 . 8 9 4 9 4 9 3 7 1 2 9 8 5 4 2 1 < / L o n g i t u d e > < R o t a t i o n > - 0 . 0 9 1 0 6 9 0 7 9 4 4 1 6 4 4 7 1 8 < / R o t a t i o n > < P i v o t A n g l e > - 0 . 6 9 6 5 4 5 3 3 7 7 7 3 7 1 3 7 5 < / P i v o t A n g l e > < D i s t a n c e > 0 . 0 1 1 2 5 8 9 9 9 0 6 8 4 2 6 2 4 1 < / D i s t a n c e > < / C a m e r a > < I m a g e > i V B O R w 0 K G g o A A A A N S U h E U g A A A N Q A A A B 1 C A Y A A A A 2 n s 9 T A A A A A X N S R 0 I A r s 4 c 6 Q A A A A R n Q U 1 B A A C x j w v 8 Y Q U A A A A J c E h Z c w A A A m I A A A J i A W y J d J c A A L 8 0 S U R B V H h e r L 0 F g G R X m T 1 + y r 3 d u 6 f H 3 T J x F y A B Q n A P u 8 j C L r Y 4 / G E F 2 U U S Q r B A I M E W l y R A E o h 7 i E 1 s 3 K e n 3 b 3 L / X / O f a + 6 q 3 t 6 J m F / e 5 K a r n p y 3 5 X P 7 3 f v c 3 Q P P 1 c E 0 V S 9 F i 6 X V 1 9 P C A e c / D j s X 4 C 5 s W j + h c M x d / x / i 0 K u C K f b Y c o t I m 8 d F I o F O B 1 u f n n x z y j k w L L s H y 8 K f K q 5 y W P / t p B n n V y s 0 4 l g 6 s o + K O Y L q q b 5 7 X S p P 5 w 8 V i q u d L 8 D q Q z L 0 3 n e 4 3 S q R 6 2 K W l e w A B 4 p w e p Z w Y F C o c g P k O N f / Q 5 4 H a y b r t e d Z V f y J x 8 9 O x 6 m f n n 2 K S v j c t t l 5 1 O A y 2 9 9 X 4 A C H x K b G u b 5 k 9 P C Q n Q M + / H r e 0 a x a U U Q 3 U M Z X H h K G H V V b n z n D 8 P 4 7 D s a 0 V y V t q / 8 O 5 D n P S 6 f / c O C I z u O o q c W j n x c v 1 B k O 6 M F D 4 Y d F R j v T K J 2 m R / p a c B X z U 4 m 1 G f 5 w h R S h a T 5 X c J M s h W t l X m O Q 9 6 M X z K f Q c A d R C o / h e J 0 B N 4 q l + n D q f E p 1 N R V o q 9 / A F 6 v F 5 W R E L w + n 0 b E j N t S R w I e R 1 n / / 3 0 M x Y f Y 3 w V D S C r X V X 7 0 f 4 + C e M g 1 x 0 g O F m 4 Y 2 D D T 3 w c 1 q k C C m y W i v w e F D J 8 p q i d T F N l 1 e R G / f r 7 4 d q p v x J 8 u j w Q E m Y 1 E n c g C Q Z 8 T 4 o l M t g C v x 6 p b P J l H R U h 9 W 2 K Q h e A N 4 k 7 2 g 9 U u i 8 n F 7 O q f U v e U 3 5 k n g 6 O g v m M d e K 3 6 V o w + B 5 V 0 / L P E U I n e J 1 G o W m c f e f F Q m w 8 / M o z w c j 8 a l 9 Q i y z a P d m Z R t 9 y H o I d 9 + r + A a / o Q 8 p V r + K 2 s r q Y v 5 h o z X f S g L 6 8 B 8 i E x n U S w 0 k + 6 z C N L H s r 5 Z u B x B k n 0 T j J V A h x K + F 0 R u G b v 5 4 F C G p m 4 G J c M R n p x e U j X 6 j d K v q l U B t 5 c H k G O D x w W f x R F l 5 J a x B p n D B 4 z b h J 2 M 3 8 f Q / F R 9 j d r U K V N y m E I x w y U h R I D 6 p g 0 j g M l S W x B V + o e 6 x v / 5 Q B I Z q v C L q c o Y L 6 2 + H v x Q t r l 7 4 U R I I a u y / X 0 4 i g n Y N N + M l e B X J n j i O b 5 M Z p m r q t Q G e Y A 6 X e 5 V F 5 E Q g t i c I 2 4 4 f m T V Y S C o e j 0 I p d m 3 0 s b k g j E f P m 8 J Z X d J B i y p R r G i / l h Y Y W i C 7 H o J F w j T y P f c K Z V z o v A 4 J E h j B 5 J Y f M r l 8 5 q R 0 G a e 6 I j h W C j E w E S + v 8 G v u E 7 k K k 9 n 4 W x P Z 5 6 6 y C Z w J G j N v H U Y Y w E f 8 T R b A 5 L f G X T B X j Y b R x 9 c 6 z A 9 l r 0 L 6 1 j D p n r J I 5 4 1 m h 6 l 1 v X O p B O p 9 l P 7 C t Z D d I 8 / G S z e f i o n U o 3 c / R M l 8 l q O t U 5 C Z / D Y q g C B 9 l i M x v v / 8 l / Y d l v 3 z n v c + q P 3 2 f O J e M p R K N R 8 1 0 V m J y e M N / H x 8 d V J f N R F Y X u 7 i 4 c O n Q Y M 1 E 2 W P + R e K L T c V P 9 q e l p E l P W v p 6 D y X / F R G J W l 4 t / 2 S 4 n p U S h Y I l d S c w 7 7 7 r L f B f 6 B n o w M k a T h J i Y m M D A 4 A D i 8 T g O H T 4 0 W 7 + T o b O r k + q 7 z / 4 1 B 9 U z X 6 Q K O Q l E K E a I s D e l f U S U i 0 H m m Q a q B A k K 3 e d 2 F u G n j A j 5 H a g M O v k p U D M 5 E Z L c y N v P L i P G c m Y y J b K 7 V L Y s A s u c Z Z 0 p N E 4 I 2 5 T 0 + E Q s v I 7 E o d 8 i m G T S M o F y 1 G L R R B r T s R S S Z L z R s T H 0 9 w 3 g c L w R t / z 6 x 5 i Z i c H t 9 q C 3 t 5 9 E 5 o L H 4 4 W b 1 C r N f d X V 3 + S Y u b H 7 r k 5 q h h S 2 X L 7 M 9 F E J X / n q 1 7 H 9 u e c x 4 x l D p D Z i x n n 8 0 A x N p w C G h 8 d N u S 8 G j n w C R X e l z U x W v x p T z d s A R y H O c x F z z E I B b l o B 7 C W M 9 v X g 1 h u + S 6 E i W u N 9 H C 8 J R C k D m Y J F C q Z i z s l x s f q + Q M b 0 U K m 4 P R 6 r n z h e B b Z T x 9 S u v / z 0 e n O d o V Z b Q 1 k g M R B i M N c n P v P + L + l H O F C H W w 8 8 h r 9 V D m L G l 5 v 9 e F j g x z e / H t / 5 7 n e w b 9 9 + n H n 6 G R x Q J 8 4 9 7 1 y c f s Z p u P b a a 3 H q a a f i 6 e 1 P Y 8 W K F a b g T 3 7 i U 7 j g / P P 5 A B f 8 P j 9 G R 0 c x H Z 1 G R 8 d R X H 3 1 1 d i 0 a R O e e P x J t C 9 Z i v 3 7 9 6 O n p w d N j U 2 4 / S 9 / Q W t r K x 5 / 4 n G E g m E E I z 7 c f v t f z K A t X 7 4 c O 3 b u w I 0 3 / B h 3 3 X k 3 X v O a 1 + A j H / 0 o n n 9 + B 4 / v Z B m 9 2 L J l M 7 p 6 O r F z x w 4 0 s r y H H n w Q k U g Y R / n c Y 5 3 H s H f f P m z d s h X X / + A H u P D C C 0 1 d h W g s Z u z j W I z 2 M P 9 m c z l K L F K s e t X + z J B Z f X 6 L w N W 5 6 k / 9 N b 4 N B 6 l k D u p f Y + p R K I j U p Z k s 4 r c h / 0 V E Z y 5 n O a a M P D W X 7 i H h L 3 D + S m X o e c b s 1 L 0 2 r H p Q 1 m Z z 1 F b z Z K O N u W v N M 0 k I p X q r L U b P 6 r v X R 0 b x m H 4 O B s J 4 + M H H 0 H m s C 2 + 7 8 p / w + 5 t v w u D g M J Z z b H / 7 2 z / g F 7 / 8 F V 5 1 + e U U Y E f x x J N P Y N v m s 7 D q t K W o a g p Z z y k H x 3 / t 2 n U s M 4 j v f u 9 7 u O u u e 5 F y p b B x 9 V b 8 4 Y 9 / w A M P P I g l 7 c u Q Z v 2 v u + 7 7 e O K J 7 U h n c m h p a i V R z 7 U n F 9 k I z 9 A D G H U X E J L W k W p 2 2 t q O f x O 0 f C Z p 9 k n r / P Z b V 9 P H 8 W P n o w / g 8 M 7 n k I r H s P O R h / D M f X e h v + M g H r v j F s S n Z 3 D 3 b 3 6 M k d 5 O 3 P O 7 / 8 F w b x 9 q G p p 5 7 C f Y 9 / R j 2 H 7 P X 3 D k + c f R 3 9 V L Z k 7 j y b t v w 9 h g H / Y 9 9 T i G e o 5 h 7 W l n W c / m E 5 s d K b h n x 4 S m Y L n J 9 8 + / v Q q / r N p n T p X Q F v W j 6 8 p f Y s d z u / H E U 4 / h w x / + k D n + w Q 9 8 y A x C J p N B c 3 M z I h U R n H / e e T j z r D P x s p d e h g 0 b 1 u P K K 6 / E L b f 8 E R U V F T Q z O O h 8 c D q d Q W 1 t L f b u 3 Y v K y k p K K T e m q b U u u + w y M k G D I e z r r / 8 B A o E A f k z m u e q a q / D q V 1 + B T 3 z i k / i 3 f / s 3 P P L I I 4 Z B b / j h D / G B D 3 4 Q T U 1 N O P f c c y n x h g 1 j d n R 0 s J x G + O g 4 L m l b g u 1 P b 0 c o F M I Y J e 8 V V 1 y B 9 v Y l + M U v f m n u L y F B a Z 0 j E 4 X D Y e S y W c N U M z M z p n 7 S f s F g w P g k i U S C D B o x J p N M A 0 F l 6 7 j a k U q l T P 1 9 k u D 8 T / 3 s o G l i G E T a T O L R T U I w P U 6 U g g O 8 L k c z x e 0 l E e W p O V w B c 1 q X l f y l e c j R I V e Z T h + Z W R K b s n + e H 2 s / q + R c 2 e A Q s C z 7 R x n y 9 O c M w 5 I p T V C C J p 9 V B k 2 n n j s w H b 4 M q R E / q t e p T d Z z D t 5 3 C H Q C s e 6 i F e b Y i b T 1 i Z B L F h E b z K B q h Z / 3 u 9 j / M k P z 8 P v 9 e P K p 7 T j z j F N N m Y l 0 J w J e S / O F R 6 5 H r O H D 5 n 7 5 m 8 l U m u M c w E j e g 2 O o M M c 7 9 + 3 C 7 d Q k q 7 Z s w 0 B n B + q a 2 + C l 8 E h y H P 3 B I K K T k + z T H L y k r 4 q a W l 5 z F G t O O c P 0 1 2 D 3 M Y o c u i 1 0 N V y O P D 2 O E M f e g 9 G h U a R J I 1 O j w 1 i x a S t e 8 7 5 / t b q X f S 6 T b y r Z i w a O v 4 O a c p 6 G + s u e x 7 D L P 2 o q V k J F 2 m M 0 1 P D w I A 4 f P s w + 9 K K l t Q V 3 3 n E n 3 v G O K 3 E H / 1 Z W V u D g g Y N 4 6 U t f g g Y y x R / / + C d s P W U L N m 3 c i D / / + V b 8 w z 9 c i a N H O y j p h t B F k 2 v 9 + v U Y G R n B m W e e a Y h R x L l h w w b c f P P N h u 7 E G J d c c g m 2 n b q F 5 s c g K i o j + O h H P o I Y p c 0 9 9 9 x D m 5 a O b l 0 t n n n m W c M o 0 m p 3 3 3 0 3 V q 5 c i R 0 7 n u f 5 H F p b W g 0 z i X l F 9 L r n 5 S 8 n Y Z D o u 7 q 6 c N m l l 9 o t p E l E w p C U l r S X I y q S K Q m L I D s + x Y E T o 4 j p P D R T x C w y m 3 R M B K h r x V D 6 a w i O / 6 t N M q v 8 1 L S p N E 0 K Y 8 t 6 e C x l G D b O d j t Z l s q M c b B F 0 P q u Y I U K E H n q t 0 w V l 2 E W f m g q W 9 J Z 9 r z F G e o v D a y u M B C T G t 9 T J + a k v C A i K A 9 M y B e T 6 e O i N i h p W B F x J p O C M 6 V o W h j O 6 a N w N W 9 A g N b W x I E 0 E u N J j P U P Y 3 o 8 i 8 2 X r T b 3 / G / g 9 L D / K l w Y 2 j G O c L P f a F 9 F P a W t W 1 s s f 0 j w u C r h z A 5 j J H U M n s q X U U A l e K E s B b X N Z a y O 6 t Z l 6 I + z 7 z h e j a 1 L s O 2 S y 7 B y 8 6 k 4 9 e J L s W r r a V i 5 5 V S s O / 1 s r N y 0 D V s v u B B b z r s E a 7 e d z c 8 2 n H L h p V i y Y j 2 a V q 7 C l n M u x P o z z 8 N 6 X i t m 6 j 3 w P M 5 9 1 W t x D m n l l A s u x j m v e A 1 W b z 1 b i o i P l 3 A p o q U 4 h S o n + 9 x T i x z H / k V r q P 8 L l A c 1 X i y k P e 6 6 4 2 6 8 4 U 2 v n y O a k + D 9 H / g g f v D 9 H + B n / / N T b N q 8 E e e c f Y 5 9 x k J P b w 9 9 v G 6 a p B f Y R + Z g O k I g U S l 6 K W I V j J n E w X 6 h 5 8 t a E 5 0 X q V U U u F A Z g o h F W k 0 m X S w W N 9 p X z C b i j Y Q j 9 C u n z N 9 E M o E w m V 8 M 5 u R N o W C I 5 m j U a M X Z y i y A m M L U j Z U z W l G 1 N D Y i K 6 J o p Z j P R i a V t Q Q G y 3 Y Y g j i + R R I Q q U N / x n j 9 S v g d 1 f B n W U 9 x k 4 2 e / X 2 I 9 u f Q t m w 5 s p k 0 Q i 1 F B K q P D 5 y 8 W A z t m E L T t i r 7 1 4 u E p R 7 s H 8 B o 0 Y e j + b D 9 q x z q s 8 V H z Z m P I 5 P z U w h S a J F B N R Z G g P G v + j 6 f y 1 D w + Y 1 l J c h C y e X k a z n M + K k f J e x W d I 6 g s i 2 F g C 9 o 6 j S P o W 5 9 5 m F 0 5 W 1 1 b w s 3 T 8 6 B j 1 7 w V u v H / w E W h t 5 f L A y x i g h s S b o Y 1 B m k W 2 q L + d e o g S U a 0 6 8 X Z o 2 / D w r S i D h L Z l c x l 2 J X + 2 g 2 y P E n Y 9 G E k + l m n k 3 u L P A / t 8 L 5 W Z l u l m O e z d K h p c l l t B / r r 5 I M s / B 6 t f t E E J + Z q J / L G v g S 5 C A 7 p N H K G E r a K 5 f 3 s p 4 u f h Y v s 5 i a w E y q g J l c H y o 9 S + A e 3 4 F c 7 T Z z b t / D B 6 h 6 w 9 j 4 8 i V 8 q D l k M N U X o x a p R s E z j q p 2 y / R 6 s Z j s j p q g S b i J B P k i o M i e e 2 o v s n W K + r E S 7 J / x o h c 9 h Y X 3 W / 1 d I m R H d p r / k A n c F u O J G d T L i W i a v r o f H D J a 4 7 q e R z P U z t 5 a K y C R G 0 D e V Y s s / / M U y c Q 0 0 X P p H N w + N 8 / n s U l R P p n f m h d z h u Y Y q i G y l v 7 H M Q y P 9 u v n L G T T n n X W e f a v / z v 8 b x n L d J P 8 h q L U h h X x M s e N h G F 7 y X D 6 b r Q K T y 0 m h f 8 v o G C E x v P 4 s L w o T R L O G j D V Q 9 e V p h j y i j 7 w v D n H c X D Y n G 4 E B o k 8 l 5 E v Q f f E p 8 p b U l i R P L V z s a a o r c U C 2 2 x H q s r h c p B Z j Z 8 m D T J 3 c z Z N / 4 B S W G b X / C L J 6 m x X L D q F v t h z a A i u Q 6 y L 5 t Y x L / L O O F a f 3 4 q R 7 C G 0 h k 4 1 9 V 8 M 8 d E k s h M k b n 8 U V U s X 0 x r z M b p / C j W r K 4 z Z + U I o T e o K g Z 6 f I 9 n + b v N d Q V W n Q t y L 1 M k V 7 Y A j P Y p c H U 2 1 E o z p w O v t / u 2 j 1 g 3 4 Q q h d W U 1 m m k I s N 4 b p X C W 8 4 / v R 7 M 9 i t H o Z W o d u R b z 9 X z E z X E C k I c B b a Z 5 m R z m u 1 S x H D C V T N G j 5 U N m Z I i o i d T h 0 + A m 8 5 J I 2 L F 8 e m v 3 k 8 1 H 6 S M u N O u w 8 1 o m q q q p Z I l X Y e m h o G N X V f 6 f K N l A H O D E z P W 1 8 E R G G A g F i 4 J N B T z Y m D v v / v v v v p 6 l U i a H h I V R W 1 C B P c 6 W z 8 x g i o Q g G B v s x O T W J 6 i o 2 2 I Z C 5 v I B 9 T w F M e R b v R D D P f q 3 R 7 F 0 6 V L 7 1 x x E x C V N M g + 2 n y M z T w x f 4 H X l T G c I m d L O I Z O B v F U s K B B g a y X W R d F B M U 8 + K z / K 0 s j 6 a O r B X G d r a P W e T E t V w A g V T W w 6 R S h z k L P v W G D 2 C S Y C y V v z Z F 4 1 f 0 7 r S x g V 6 I u k M Z 0 e Q N + D R f g c w 1 h + w U Y 0 L K / j c 9 y I Z 0 d Q 4 Z 3 z c R b C G / L A X 0 d + q v J i s L c D 2 Z E g 4 o M F p G c y C N Q c H y Z 3 U T v l O p + H p 6 H V P n I C 5 G M 4 N l 2 P 6 q D V x l z l K f D 1 / w n 5 i v W m D a Y j j D A r t Q U I 9 V + P d N 1 l K A S p U c t h N R q p 8 T 4 c f D i B + l U h 9 O 1 N w F u I I J B 8 F I X q L a j w B x H 2 U M D U n I o A L Y x M 9 U U I j 9 y A u O N M H O s 9 h r / 8 9 S 4 8 t + M Q 2 t q X 4 X t 0 M e T X H T 5 y x G K o Q k 8 D 7 c A A e n u P k I l q 7 K d a m J p K G I Z S 8 G H n r l 1 G w r Y t a e P x K X z x C 1 / C M h J b O B L G 4 4 8 9 b i J 9 Y o p H H 3 k U Q 4 N D C I a C G B s b x + F D l G p t V o c 9 9 O B D x g a V m Z K h 4 z 4 2 P m Y C A r / + z W / w 1 z v u M A G O Z I q m E g f 8 n n v v N a H 4 p 7 Y / Z a J t C m A c Y l l t r d b z d c / d 9 9 x l 5 p U U L H j w o Q e w / 8 B + 3 H v / P f j 9 H / 6 A r Z t P M R F I E c z f H v s b 7 r v v f v y B x 8 8 6 8 0 x 8 8 I M f x G m n n 8 a y t 6 O u r s 4 w 2 7 7 9 + 0 w Q 4 4 E H H z Q B k M H B Q R w 5 c h T h c A g 1 1 X P 9 o j C 5 0 Y 4 c G B G 9 m d A z 0 o 4 D K k 7 X h C x N O c O s 1 K Q 6 Z P w Z Q T 9 4 r W b y + c U w k t M h k 1 E X W d B k q 2 x 2 M a 2 h D 3 4 K J H T 5 W B 6 3 H U H k 4 R I T G o g p C i 5 q a J e 5 1 0 3 i d 0 g 7 u Y P S O 7 x A L G g J A M O M 7 H + 3 i D n L Z 9 k m q 4 O M r s n Q 6 N Q 0 x p + t Q O j M X j g a f b M M p C s i J 2 G m c o y l j i D j m 0 R d Q y 3 N u Q B 8 l W 6 M 7 I 1 T g 5 F w Q 6 y n 1 9 I O R T 4 7 n W + A n + d P C g q F E j O V c O + T B 7 B q z U Y j j A e H J F R t Y Z 9 m v d 2 V 7 I c A i v 5 G + 2 r g 2 p v j 2 H 4 w i / 4 J J + 5 6 M o Y L T 6 9 G w 5 o K a q c E 5 V E e 9 W s i Q N V K X u l B r h C F f / o Y i u F 2 j u c M h 7 u I r H 8 N f C H W o 8 q F U 0 8 / C 1 u 2 r k a F L 4 8 1 V e d g w x n L s X R J O 1 w f e t t H v 5 R z T 6 C m q Q G 9 P S d m q N W r V + H 3 v / s D 3 v y W N 5 m Q t D T J v v 3 7 T U S v s q I S 4 x P j + N U v f 4 0 H H 3 j Q D L j s 9 I c f f g S / / c 1 v + f d h v O z S l 6 H j a A e + 9 7 3 v 4 2 9 / e 8 x 8 n n 7 6 a T M P t W f v X k P 4 C q U / S I a 7 9 5 5 7 0 H H s m I m a a W 5 q d H Q M 5 5 x 9 N j 7 9 6 c / g 4 Y c e x q W X X m q Y S O F 2 a Z p V q 1 a h o b H e f K + v r T M a 6 + K L L 6 Y U + Y t x 8 v / 4 p z 9 R G 4 W N d u j t 7 c V b 3 / I W 7 N q 9 G z t 2 7 D S h c k U I 7 7 z z T v T 1 9 e H J J 5 8 0 7 d M c i S K T p 5 y y F X v 2 7 M U p W 7 f a P U K 6 p a Z Q 5 E 1 2 u I j T R Z W v N g v q + H K N o A l Q h 4 P M I 1 + p j G l k 4 g m W x u E 9 9 r k C C d y a 4 X e a Z y i U L e t A d R e x p N I p a l m f Y S 5 N t C r A o A C H n O R c P k P f j M S Q z Z q o Y 4 7 M X G B 9 d E 5 R R 4 + H 9 e T v j M 7 z u 8 r y B e j r a S K d D C Z t q m c d f m Q I q y + u Q a W v B f 7 B 5 z F Y 3 I C K w H x i P h n 6 4 s 8 h W 0 h S w j c g x I 8 g o R Z u 9 C L c 4 K d 5 5 8 L Y w R Q S o y l E W g O Y 7 I g j 0 m x b J i X e 1 8 e W F Y J C 6 u V C R 2 j 0 D O H I y C T H t h b T U z M I h J z 4 n / / 5 L U 4 / + 1 L c c O O P 0 L h 0 H Y X 0 f Z R f b j z 3 / E 6 8 / b I V c P f 0 Y v O p d V j a 7 K E l E 4 C b W t 2 R m 8 G 4 j x b N n j E 4 q y N I Z H x I Z o O o G / s l E t V n 4 P m d x 1 g t L 2 r q l + H r 3 / g O d u 4 5 g q q I B 4 P D M c S T B T y 5 9 z F W 1 Q X P T I T D 3 B q H r 4 1 M n T t e H Z f j a 1 + 7 y o Q l d + 3 c h f 3 7 9 i M a j S E 6 E z O E q j m E B + 5 / g A M i Z 9 t t z M K l 7 e 3 G p B K 2 n b r N E K 6 Y U N e c d 9 7 5 W L N m D d p 5 j S A C F k F r M N l z O O f c c w 0 B S V v o n m e f e Q a / + v W v z b X b T j 3 V l N X Y 0 I h Y L G b u F R M o H D 4 + P o F 7 7 7 v X R M X E J D J J z z j z D H z i o 5 9 E a 0 s L m f h v R j v K j C v h f p q N 1 d X V Z K Z e w 5 A + n x e 1 d S Q m a k r N Z 8 m v 3 L b t F P t q C 5 a c B / s j h 3 g s Y S Z 9 x W Q k f 5 6 0 J K / R U g K Z S W 6 T T D a j z W i m m V Q X + g y W 6 S V C p l b J 8 q + C E D p G 7 S c N p q K k / c Q I Y j z 1 h S J / C i 0 H / Q E q J Z r M t A i C f q 9 h q k z G 8 q M 0 0 6 / y p E o V 6 N B Y W e c c 1 P 4 p 8 0 w R u M b C Y t K 0 0 R i p b A p D I 8 N Y e k 4 1 f v G r 3 / K c C 7 u L r 0 N r t c 3 9 L w J y 1 O W 7 L Q m f g W r f n K k c p 7 8 x C 3 Z f 3 X o / 6 j a E T b / 4 g 1 W Y P A g k J 6 h R S 5 j P O 6 Y u B r K T b V S 7 p r F x W Z v J j 6 x p j K F u 8 P v 4 2 M v i c I 5 t x / v f 9 2 5 a R U t x 5 d v f j F D G j 5 b U O i N E z r 5 i j U n U X d v m h M / N M a J L o 8 n h 9 s h W t G 1 d j + j g D O r C B a y K f Q P J 5 f 9 i R v q 0 0 7 Y h U t u E e H Q f P v P p j + M j / / o B r F 2 / B a e 2 p L C 6 z Y W 3 v O n 1 i P B v z R o / H E 8 f O V w M B Y 5 g R c M F e P K x u 3 D J J V J 5 c + j q G s O S 9 p e Y 7 y p c n L h A e B j Y 5 G L / O j n + N + H z x f C b 3 / 4 W 7 7 j y S v M 9 n X f A R 6 d e x K I + L w U B S h A R C y L i E r 7 1 7 W / j F a 9 4 O T a s 3 2 A m i c s n e 0 u Q 6 S i N V j K t T E S N L X C 6 i 9 S Q 1 u S v W j 8 5 O W U I v h Q S 1 / z V N I m 9 d J / O W T l i I m R N 1 q o P e I 7 1 N Z 3 J P 4 b p b C 3 h c I n p y E g L K M u k b P F a J 0 x E g 3 5 Q w T I b a a 6 Z h r s D p i z j J L t o 7 h l m t h i 4 9 B w d K 4 X N i 9 R q L A F p M p z f F 8 A w T a e q q h A + + 7 n / x F e / 8 i U + 6 8 V r p h e C U r u G E / v Q E p o v o I S x f T n U b n A h M Z J C d s o P f w P r U z 3 f 9 y v m k v C N 3 I d M w / n I O a V d 7 A l w m t P O / P R c n p + N Z / 6 4 H 2 e 8 c Y P 1 Q x P s h K N A g e K i o K d V E c 8 4 q E F N Z 5 h z w k x 6 E m O 7 p r D i z G V w T j 2 P H H 0 0 E + 0 r J n h f l b k 2 n n F h P O 7 E i s l f I b f i 7 f a d h L T o 0 c H H S I N 5 L K k 7 j X 5 P P + 3 O M i k h c A C W L 9 t k / z A / 5 z G T m E i s 9 P f i h Z i q V G Z J G 7 w Y a O j V N S Z 7 w C b e c q h E 4 8 j z o o X n X g w M I b L a C s w 5 3 Q U y T M y Y U 2 J i p T i J w a Q d Z Y q K o Z T m L y 2 g O S h p d z G V / E A R s r 6 L 8 c S A b o X L W S 1 H P k n b X S a Y x y J k M o y r a O X c W Y N u K o 7 p a B I V k Q q W Y / V R J i s f j i x G B p R f 6 v X K 2 n A Y z S l t n i W z q A 4 B O t q k K P N 8 m X 3 m O q s I X W 6 y N f J k 5 n R 6 Q U 7 k H L 3 x 8 S 7 8 6 j e / w x t e 9 3 q 2 J Y a G h g a W f X y E 8 X + D y Y M 5 V K + V o G C 1 K F w m D r G O F X l j F g r B v V 9 B Y t N / m u + T q W O o p j 9 X L L o x P D I F R 0 U K j S E r + C C B N T k 0 C X / A i 1 B 1 2 B I u x u S 2 r L B Y y o m w T 2 F V N U w d I F p g f 5 M P s t R Y x X i K s q g R 4 a 4 f I r n 6 X 3 m K Y 2 A z r x U e J 6 P b Z Y X 7 v 4 W h u k 9 R W D g w G n P J l S V p m 7 y o I t I T + 4 D R u 8 z H M X q 3 + e R G H z I 3 l v X 7 L M o T Y v 8 e i J l O d p f V R D 1 p f s J q 6 V n z 7 z 2 + J P k d i x w 2 J R p H n i f l w y x y y S w K d s J j C W a p B J n J t J / / 0 E u k 7 1 h h f L Q I i V a m T k V F i G N S N D 6 l l 6 a j S h H D i X B F 2 D K H x U B i J j c H 2 G R W 8 L 9 c h m V L u p H Q P e 4 s 6 y 8 N x p F h O w q O I P s g i C L H q K j w t x 3 s M J q Y 9 y r 9 x u O i i U d u N y Y c G S 6 e s O a / 9 G w x s t d n n c / m M j Q / 8 y a J W M f F s 1 G a z Z o 8 F 0 M b C 6 N Q I j J C X 8 u Y S R C j 1 9 T U I p P L Y m R 0 H A k + / 6 t f v Y Z 3 u h E l I X 7 + i 1 / G N 7 9 1 H Y K h C l z 3 v R / i 6 J F j G O g f w d 5 9 t O n o 7 D + / Y y / r p Q w R q 2 9 k 2 p e S Z C t X U l g c t R 4 o k 7 R 2 v Z f M 5 E d 2 h P 7 y Y Z 5 r / x C F W Y y C J 4 Y a h a t Z l 3 v u f w Q P P P w Q e g 9 O s M 9 8 + M 3 v b k J n V w 8 S r N 9 U M o 4 f / P D H 6 B 2 c 1 s D j w L B V d s Q z o w f w m 9 p Z o m j + J p N 4 3 D X w 0 b f a e 9 c Q c p V b 7 F N k J j G l + T 7 H T E r M j T W / H 4 3 d X 0 M l y 1 x d P Q 7 X x z / z L 1 9 K 5 6 d Q H W r H / k e / i V M D 3 0 R 1 j n 6 F / Y m O 7 k X l 2 k 8 Y y d X Z f Q x V 1 Z W s h v W f M s 1 F H L L j r Z w 3 a 3 J N J o t + y 7 8 R N N B 3 3 3 W 3 I b x s h v Y / r 0 v w v B z l 0 j V K I V I 5 I r x x f u + l T 1 N V W U 3 p b V V e K G m r U h c I z z 3 / P K + r s o n T g u k m / h D h L Q Y d N / 1 J i A F Y P a O x J C D k s 5 C N e Y 3 m i p w k Z j 1 P P o f u 4 4 U 8 Z k w u + / 4 S H O R Q h z q a k g o 0 1 2 S q i U l 0 f T l c v F F + T S 6 v N C a v + S 4 z 1 G G n J p m P 8 v k o S D R H 5 W D 7 n Q 5 + J 0 F o f Z c k d y C g 9 T 6 q D z 9 F m Z 8 i S i u q Z 8 q j E 2 6 V L w n g M O e U e q U + M h k b t l a V 2 V l K n 9 I x 9 V Y 6 k c H Y o Q S C 9 S X p c T z W r V 1 L 8 9 C L h v p G 3 p u n r 1 u H R x 9 9 x P j O S h t 7 8 5 v f Y s a x v 6 8 P q 3 n t D 2 + 8 E a d s P c U 8 T x H g I 0 c 7 c P r p p + F r V 1 2 D U T L l p s 1 b 8 f W v X 4 u 1 V a v g D 9 F s 8 y S M i e p M D t K M i 8 B F 5 v T X s r 4 0 S X N p J y a O O h B s o B K g k F m 2 o g W n b N m K + s Z K V t e B L Z s 3 o u + x J N Z u c y J S 1 Y g z z j i N F k P U C L / 6 o C V o F E W d S f l B O U P i p C k o o c 2 x c + Q m W G Y A 4 6 k o a l e H c P B R L x r X 2 l N C G h e h 5 M t J + D h I u w 4 v s r U X I N x 7 H T L V l 8 A x N T F S j O d G 0 F i 9 F o / e / F 5 c 0 j I / z a h r s g 1 L X n M M f 7 n 9 L y a r + + U v f z n O O s t a J / O h D 3 4 Y / / n 5 / 8 A N N 9 y I d 7 z j H W Q u n 4 n k B S m 1 f / 2 r X + M T n / w Y V q 5 c h d t u v Q 1 T U z P Y v X u 3 k Y 4 / + f G P c c 0 3 v m E Y 6 1 8 / b C U 7 v v d 9 7 z O D 8 I X P f x 5 X X X 0 1 z j n n H F x + + e X Y u 3 e P G e z 2 J e 1 4 7 P H H 8 Q o + f w + P i S A U h N i 8 e R P + 8 p e / 4 g M f + M C 8 8 f / f r I V S w K D o s j S i y 1 5 M J h j t Z P w U Q S k o 1 t y S W D B L i e 4 B J b y 0 A / 2 X P M 8 5 a A 6 K H Y 0 O s b M V J N k d m g A U y G i 5 r K W B F k 0 B U o i d v g 0 v s A Z S 3 9 3 U U m Q m + X D S s q q r m F 5 r c 4 x Z K I 5 3 L 5 L x b Z J z L a G l + v D C e f 2 k H 6 Z c K m Q t h o x N J N H 1 7 B D a z 6 w w 5 / 5 f U d K m G k M r C M I 2 2 8 d k P o o h p a W U 5 + m c d t N K K q L 1 V J q 8 v M 6 Z i a I Q s K K E i 2 G q R y l a 1 G x N B R T o F + 1 7 5 C C y c Q e 2 v W q 9 f Y W N L B n F U 0 P b e A j R Y g s i P g n G O c g K s t i E h d k M 4 6 Q g u / f Z F J 4 + m E L 3 Y B o 3 f r I G j m w / G f z E 8 2 W O z C R c n / v s Z 7 7 k d W p Z b w D d + 2 / H 8 s g u + 7 S F q V S E G u r j W E t J 8 1 v a z p e 9 / F I T F R O + / e 3 v 4 o k n n j D z S I 8 9 9 h i O H T t m I m t K f J U 0 v O O v d + L V r 3 k 1 / v S n P + O M 0 0 8 3 0 k v R O G V 9 a 4 5 K v x V 5 k 3 p X a F o O v u a I q q q r s H / / A c O A S o B V + F 3 M L G 1 4 7 7 3 3 m n D 3 / f c / Y K K A s u F v v / 1 2 U + b C 8 T + O U F 8 I r I f W L v F G 4 5 P k O e g m C C G t M l s U C b I o q U b t Q W L X D L 2 W Y T u V + W 3 W 1 t B 5 5 f A 4 p W U 0 Q G Q m + U Z 5 h x 9 O 2 u K 6 V 4 v + E m Q o x U l I y z T Z S g O s h 9 j f X X 7 + 0 g J B P z J F M i Q v V H M U D J E v J y j j h R e S k Z T Y O 9 + B n 4 U I x E r D U M 3 N o b w W 6 h k J a y 6 w C J z E r s C N y p w e Y K W K M f g q L E b 8 v 4 A Y q P R X P r v + i p m s v w W E S A / 5 q U r U b Z K W Z l v Y t 0 X P 8 Q L C L g b D U R f q G t z Y / 1 A v h v v G 4 M n U Y u n p D W h e U 1 o z N T t g p u 3 R 7 A D S Z J x K a W 2 j b a z z j s w o B W C E d 6 g / S t k 7 Y v g C N s a u x 5 n n n o P T G + g b 1 0 b Y 1 f y U l 7 s A g f 4 / L L B H T o J r r v m G + b t 9 + 9 N m X Z S w Z s 1 q f O P a a x A K W w 2 f o V P + 5 B N P m u 9 S / z I 1 B G W B T 0 9 P m U x z m Y L P P f + c C X l r I D / 5 q U + Z B F b 9 1 h y R 5 q Q e f / w J P P v s s 4 Z x p a F k p s i Z f 5 w a q q a m y j j + 0 m a r V q 1 E f 3 / / b C a D J Y H / P i g R V W F j Z V n I V J X 5 p I 6 1 w u D S c p q j 0 Y Q n h 4 m E b H w v E n m h W C I 2 k S m v N 5 p J 5 5 R 9 w d / U K B b F 0 8 D g i R J D F l 3 S N C Q k a Q V + s t Q 0 m v 8 p k J E V F U w k 0 0 i m s 4 b I 5 D t J E 7 k 5 u N J F M i e L R Q 4 6 y 9 I y b Q U l l K 6 k s i w i E q f p b + l j L f x 0 k I H U O 4 K 0 q p v 1 0 w I 5 a V G r W i y H w k T a I 5 P M Y 7 j / M G J D D q R m F g S o / s + g p x Y x m j y I Z H 6 C 3 9 Q 2 K p D c J E b 2 j V u X n A B q h T 5 N F X n s f / g Q t r x q G b Z e t g m 1 G 2 j y s m O y m R y G d 8 c N o x o Y D U 1 f z L s E F b 5 l 7 H + l Q 1 m t d m R H U P R a k U G n T D 5 z 3 D o n z k 2 u f J 8 Z + 3 y W / Z q b m j t n w 5 E d s 7 9 Z U C q U M f k U F K u k v 3 L n z / 8 R m y O / t 0 9 b G I o 1 4 4 z 3 d N u / j o f q r Q E W f v v b 3 5 l M i K 9 8 9 c t m D s c y c 6 y J R / l Q r 3 / D 6 8 1 1 C k q U Q 0 O / G G d r U e B v f v N b f P 4 / / x P / / h / / g Y 9 / 7 G P U S H U 8 o w e q w 5 x 4 h L a 7 G L a x u Q 3 l 6 W A i x P L Q u d W 9 1 r 8 l M j I o F W U j S 2 d W b T J + B T W T l l o o 4 1 g Z I l p 4 q O O a F / J K K 5 g E U z K c n q X v p l j L 2 D P m j f l p S 7 1 S G J v X a p 5 J p o q C E V Y Y n w x D 8 0 + R N y 3 v K J l E F R Q c + i 5 / S M w n 0 6 i 0 D s v 4 T D x n X U s t Z / w l / a 8 6 W Y 2 y + p X 1 y c d p E i n w Z H W Q 2 i 8 i t v 7 V l S z b n C v S h 8 p i x z 1 7 2 c + r c H j v M 6 S L J X A H 0 l h x Q S s 1 q e 7 m H Y p 0 G c L 8 v 0 M 2 l c P 0 U V B D W U L 4 h T A T 7 0 b 3 g z 5 s f h W t J W k 0 W g G O Y g p F 9 1 x i w n R 3 m n 5 X E e G m k 6 e z n Q j j y S O I P r k T r e e / z i z x Q W 6 G H T + X / G u W 4 L v n p 9 0 5 R k a G i l 4 O a j i i i q l 7 5 2 B J D q v L x R h m u E w 0 i j 2 r w 2 Y A n d Q e y d n g g l L c N f A 6 o z 0 L F F 0 S y u d / y h n K L u b / C S c q w / g Z x t d h f x s p b W G e f y T 7 m d J J k l z 1 E h F i A T P O g e U Z 4 r S i e W I C y 0 w S 8 4 g Q d L f u K 9 2 r t r P P e J j 8 Z Z g o 7 6 D P Y 0 e J t N e D l m t b V 1 s E r b b o r 0 x G Z a m L 1 E X 4 y n g w L a X P l k z T r O R v H Z J v E v D r O v 4 n p m O d 9 D y x k w R Z y M + + l o n D 8 S s J E g V e j B b l W L r E k P Z x Q d q z 8 4 l R Z L M Z t J x K E 4 e F p X I u e J 0 F 7 L 2 / C 6 F q J 9 r X F u G p X G b f w a L z J D S i 6 K o w j r 0 h a s 0 t l H x G G 8 c R I P u y 6 F T d C x j d F U f N m i C 8 3 h i v m c u / P B H G a e a N T U 5 g 5 c Y 1 a i w 1 j L J J K G T o L x X l L 5 U h E 8 8 i H U 0 i 0 m Q L A c M Y L y 7 / d P / t D 2 H D a y 5 h p 1 F b m 2 i 4 D f 1 W + w w v c J z t t j o G h 0 e L A Z o P g U g Y O 7 9 9 H e p p 0 p U j R t N q / c 9 + b A Z D 8 y u K 1 C m t S F C U T 2 a Z A g 3 W B O f i M P d J 2 p J g Y 2 X X y v z T r L 7 Z A I O Q 2 f f M s 8 / g k o v Z A K K 7 p 9 v k 0 O l e f d f 8 k p b C L 4 T I 2 C J H i 1 g e f + w J X H i B t c R d J p r l a + i 8 l S o k a S w C L J C Z 5 l S 9 Y A U Z F N Q / f p 6 K d 4 p S 2 Y G W U O H V e S 2 D K D 3 d g s q X W W V B A o j H D F + p P J I u b T + d z 6 R I z L b V K H 9 N u X o W 6 + i 3 1 b + O Y h I F + l 4 q 3 + x / w J N O Z 4 b H 5 N N R C B i m t o 6 b Z 6 g d r I o x B V U S z Z 2 C M 8 j y 2 F Z T B x 7 n e V k O W t 6 R Y 1 8 p b a r U U t M / h S z G e o Y x d G g K r V s a 4 Q l a n Z f M R b F n w I W m y k E s D V a Q 6 O t N H m B 8 O o H B w 8 O I j V J z U 2 v D I 0 3 B e w p q g / 6 K 0 c k 7 L N c f C J E R 4 1 h 5 x n L D + H G a t 2 L 4 f K Y f o / v 8 q N r c B F e B b o E e W F i G K h + 1 s S p M 7 R 7 P 9 i P s a T Z M q 8 1 a n r u 9 A 6 e 9 Z j X b e w I / r z w p O D f N q l R i Z E 8 M D Z t t p i J D W P t R W N n r J 4 K 3 6 z u Y q n o / g l X W P J Q j M 0 g z s Z l 1 i r F 8 H r P H y g L 7 d 2 J 8 p C j a 8 Y e D e O J 9 H 8 Q l v / y V f d J C V 1 s r l n R 3 s l O K + N z n / g 1 f v + Z q + w z w 0 Y 9 8 D B / 8 0 A d N o G D L 5 s 3 Y t H m T y R g Y H B j A K d t O M d J T v s 4 X v / g l s x z 9 y r d f i d G x U c O I M l U U c B A z v v t d 7 0 J 9 f T 3 9 s W t x 2 W W X m r S i k d E R 3 H r r b R h g W T f 8 8 H q 8 / e 3 v w K c + / S m s X 7 f e J L q e s m 2 L y S b v 7 e n D e e e c j 0 c f e w z N T Y 3 G J O r v H 8 C K F c t N q F a w C K 9 E N s d D R K y z c k W M 5 i E d z D E Z v x c o N Z 0 L T R y S n + 0 3 C T I L n V o v I / B W k 9 5 v N I G y H Y Q S k x l v y F p q T 9 N R p C / i z x s i t 8 6 X n l 3 k / U W F x Y 3 G 5 5 U k r A K 1 l m H J W S 2 q D / V r l t q q 3 O a l h t O a L O 0 1 o T B x 6 T n y 1 a z 8 Q v 0 t l a E + Y v 1 V Z / p z 8 e g k 9 j 5 4 A P U N r W j c S I e d F Z Y 8 6 I 1 Z w j a f r 8 K y y j W m j F k o C G M v 3 b c k N p + b G S D x t V J r 8 K + n B d l 8 G l 7 1 p a f W P P u X v / w 9 2 t r b T N q X f J 9 E M o a L L r r I h L l 3 7 t y B d 7 z j D a S R P V i 9 a j X q 6 2 p o R Q X Y x 0 X 0 H h x C 0 8 o m 9 h 9 b R Y 0 o x i j 4 5 2 f 4 z E J j Y O + O V M L Y v i z q N l p W Q g k O + m 8 l z S h h a 7 X M g U j v N X j q w D u w 8 b K y 6 J 6 Y S d k W 9 l W z Y N 0 c g 0 M j x Q A Z O R S p w N / e + 8 + L M t T S 7 h 7 c 8 s c / Q i t d N Q / 1 n v d Y 6 1 B + + t O f Y c f z O 8 y G J 7 f d f r v J D l B H f f N b 1 9 L v + Y I J V l x 9 1 d W G o Z S 3 p / s F D Y Q I X 5 O c S o p V t O + r X / k K / v U j H 8 F 3 v v 1 t s x f F B S x T 1 y l h V i l B N 9 1 8 s 4 k I t r W 1 o b a u G s e O d Z p s c O 1 D 4 f c F T T n 7 9 u 0 z + 1 e 8 8 Y 1 v M I G N U k h e M G u K D K M I c x 0 h M h e h i d z m h 9 o l 4 a X e t O Q d p r 6 l O R v N 6 Z T m c z x e + T L 2 9 f y U z M m S i e n k b 5 V f / k w R j 6 e U b W 2 O W 8 8 v 1 c a q k R 7 P 4 9 I o f I B L W s Z m O u O d k W a N e c f / x L g m Q V e q Q O f M / x Y T m u g d d a 7 Z l s 0 w q 6 6 h V t D c i z k i E 5 H H J X D I C F 1 D e R z r T 6 C l 3 o M j v U l s q 0 g i 2 O R F o j C M S U r n W v + Z d t i 5 v E 3 6 X c b M J a g + a s D C 7 9 R 2 M p 9 G E n v Q o D Q k H h / Z M 4 X R v h w 2 v q L O C I E C B Y n c w k J m B g e O 9 J p t E 8 x 8 W i a D P X 8 d x u Y r G s m w Q 2 T Y J q v M R Z a p z I O C C m V m 3 n S f E n K p v R c R t M X s F B y e K k P L 1 9 w U x / t e X Y P f 3 x / F h 1 4 b p v Z l v x m G 4 n c K O A W Z D M x G m r R Y 0 m k 2 V H 1 j O u f 4 w k v H t F z i t t t u w + 5 d e 4 x m E S 6 5 5 G I c P n w E 2 7 Z t M 0 7 7 W W e d T a n h N Q S + e v V q m m u 1 x s k W Z O a J G P V R Z G 7 / f m u p v W b d L Q k M s 4 G K J n S v u + 4 6 X H r Z S / i c Z 0 w n P v z o g 7 P J r g q d P / T Q w 6 i q r K A m H E R f 7 w B N C R + q a y o R q a g 0 m 7 Z o y c X W r f Y s t w 0 x S p E a Z a 6 N 0 g q U y v x m y W 6 L 4 X R c E s 9 c Z 8 K r 1 h 1 + + o h G I r O v N C W g D A m / l k h r x p / E L B N s b v N E P o + / L W Y S S s + 0 w Y G y O 9 0 w g c 7 K 3 N K / O i q / s y i G p W 8 m O i R 5 8 a A G j K D p 5 M z T X B F n c U C d + k g j q B y Z o 9 R A m u A V G 5 m W s W 9 d m p A m g S o 9 x i J 8 M b 7 q L G F A l i J R 6 Y z u X 9 r o R s X w Q b R U J n H x Z g c q l w Y w d S S L r s k a O N I 1 y P T G M H 4 g j 7 H 9 G c T H a J J l R u w y F 4 E Y S F M F 2 g e C D 3 C I k X S 4 m M B w 6 i A a w q d S e 4 0 b J q n a U I k V L 6 t j H Y H n / 3 w M k 2 N j 7 F s t T w + a i W Q J h m x i F M / 8 e S e 2 v I L 1 z g z P M Z N A Z l L W + H G w B Y e Y K U c T 2 G H q S 3 p s C 5 l 2 j + 1 n 3 d h / j n Q v 6 0 o B y r 4 X M + 3 o 4 / j l p / D x K x K o n / g V X t Y 4 g o l p e w z s g E y J m a b p o x n / S n U Y H R 0 t u i m 9 A p 5 q P P n h f 8 L F v / q N u a g E S 0 N 1 8 W 4 R W o p D Q R l n N s T U E C w O F w f 0 4 5 / 5 D 3 z 4 / e / B q r W b 2 U l y f u d U 7 P e + / 3 3 s 2 r U L N 9 5 4 o 4 m k s R X 8 O N F L R j t 4 6 A B e c k l p i y 8 O N g d Z E t g s 6 e Z / P / r x j d i 4 a Q P O P v s s f P h D H 8 P 1 P 7 i O 1 1 n E K Z t d 4 e A / 3 H Q T 3 v y m N x l G t Q h V k l n 9 J a b R t U 4 z B 1 S K k + i 4 y 1 G S N n P t M n M T Y k L 9 z 8 5 3 y u Z 2 z s 2 N m L I V y i Y R i x n z E I N a P o m e M l f S H K x N G C 2 i L r 9 C v 2 R u 6 o v M M G V r q J 5 W n X m l T D i a V N I o 5 n o S m J j K 6 l t p H P 4 l s 7 E l K s B o T c 2 j W f 4 Y W 6 J 2 0 N + T U K C y Y 4 H 6 x + q X U j 2 k t R x s z 5 O / O 2 w 0 g H V w B u l i J a a O R V F s G k J V I I y A K 2 L J B B P s 8 J g I 3 U w H K c O b Q 8 1 q i 8 g c u X G a U A o O 2 G 0 U 0 5 O 5 + h L 7 0 B a x t u F y Z I d Z h p f 9 X o 3 J w 2 x X S x R Z x z G O S y X G E g m k n v O h a U 0 I j W 0 c R 3 c d 4 u T f 3 X f t w j m v 3 Y y 9 I y N Y U V O B o M f W E C U o e 9 z M F 5 l G 2 m Z n i z k 1 D 2 I i 5 e 2 R 0 Y Z 3 p t G 4 V R q e / a H q 8 p + Z l B M R 1 x i b V 4 1 i e g p 7 H h 7 D l p c v v i m N T G L L X O e t u 3 f v L M r p b 2 1 u w 1 / p o 1 T R F 7 H P G c Q q I n g V N Y J g C I w V N W t + 9 J d q V t f m 5 R i a m 0 T y p c k x C 6 b f q S J N h m / Z G R G j r j Z q U 8 c 1 P 6 O j J Y l i w P N s n G X K n B h i N j N Z y O 9 i 3 H g i b s w x r 9 e q l 7 K 8 t R O S C W 3 n q J a N r 6 H 6 k w C N l N Y v m + m M I 8 X / + Z F W E 4 3 L 3 L L U + / E T j U L J R 7 P M K J X C m w g R s 9 q o Y z k + X 8 1 w + W S M W U R u X a f z 1 j f R n J I j + C / P W j X S Y k E d U 8 a z z D W 1 R f e I Q Y p m 2 2 o x j Z h Y 5 Z W Y j a W Z y 6 w + t n + Y e q p d K q K 0 p 4 R + 6 5 v J Y O B f + X a d + w 6 j c X k T m c K K 2 I 3 E X H C P z C D c X o T X 3 p N B c G R H 6 Z t Y 8 z j J 7 A Q 8 H M P x 5 F E 4 O l b A 5 S 2 g d p 1 1 r e Z r T K a 2 M u L l y I u Y y X B J l u 8 P r I O T R D / Z 0 8 7 y e y l g r U 0 0 e x M z a K 9 c a h i 6 q 9 8 H d y S M X R 0 Z 3 P 7 o p M l a K J W b c 9 X x H v M T b l p H u 2 h B b X / 6 a b N G b t W K F W h t b T b H 8 1 n S K g X s 8 H g P N X o A v n B 2 d q 2 W k I l l c B M t s D N O P R W 3 3 / E X v O Q l L 8 H q N W v x 2 9 / + h v 0 L n H f u e c i w D P n 2 a 3 l c 6 / k U S r / i V Z c j F K R f q 8 4 j H P v 3 7 i k u W 7 7 U T D C G w 0 F 2 q l 2 7 R S G W s g Z C s A w l u y R z 5 / x 7 5 4 Z 4 I c w Q W l + J 2 V + K v M g R 5 8 D I H J M J Y h G f h f L Q 9 0 L I + V d 9 T E i f 3 3 I 0 F x Q 2 F k M q x U n m g x J D d b w E E 3 I O K A M 8 a U x L n d O 1 p c 4 x F T N / F 4 a A j 6 + / 8 u w 0 K a y j p V 5 R G w o Z 9 g q J y 2 g K U q + Z f h D z 2 4 y h H p J 5 J / P I i i x K 1 K h E l S E T T n 2 u K Q g e M i W L u S R d a Z L Y V Z q d y p i F V u G y 5 3 g + F k 8 Y X 1 U Z K j K X V Q c R h r Y C M P 3 L 2 5 J s v y a 2 z Y 5 L E z Q X X X G a Q D 0 o + t p N a Q d H o 6 g f C 6 J 2 f f k z W H P 6 V I X F V v D a / s x M c g L x w y 4 0 b 6 0 w j K v t F E b S x 1 B D L R + Q v 0 N m N R O t Z C D V O U M t H D 2 i 5 1 B D p E d R Q e a N F W I I O y M Y j 3 s w 2 O f C g c E c X r a R d E L G n x q n R o t N I T X V w L F N o m q J G / X L a h G p F S O T G h S W L 0 p 7 u 7 H 9 q a d x 4 U X n o 6 u n j 2 e s d W H 1 d X X Y s 2 c P z j 3 3 H D K l e h b G B K x b r + i d 6 m S h Y 6 K f / Z 9 C 7 P E Q t m 1 5 E o X Q M j h p f m b o B v j Y R n e x n 5 f H K Y w q 4 D j y W F e x f k P Q z E O Z 7 a X s Q i y U N I N M J w 2 n J G I 5 r E G 3 p O D / O 1 S + I S a K c u N / m M i R w s a U 1 M r + 1 q i Y m s z h e K a T R q E H I b 6 x O 8 n s 6 a 0 O E i G L Y Z X K Y 4 h b d M z a y 3 Q i 4 Y q h d F z B B 0 s T 8 L z R r n N S + W Q o D 9 E L e r q 2 9 9 U E c C m P j 1 W w n 6 3 6 m C M 8 L 1 N M c 2 C a C z N i w Z T F C 8 k U v I j 1 N 0 z E a 9 T X u t + K R s 6 J K 4 u J 5 4 s w c x 3 / y v Q t z R X K h 8 0 o A 5 3 S V Y s O V Q 8 F W F S C n + a T 0 5 1 H Y u L I P P 9 k 1 4 A H W 1 u y G H h 2 G i 2 n z 0 2 P a P 7 J h L F L U O N U D 2 U n 0 L w z J h / r P r I n j Z S / B + H C C k S o 5 T w B 9 o X a o x 2 2 + H e A f n Z t c A l 8 h W G M H m 4 g Q Z N h 8 l O I 5 2 I Y z W j L r h S C v a t Q s 8 G J 3 X / t x p Y r 7 I W L 6 i S N L U 1 H h b L L T S 9 h Y m A E f T v S q G 6 Z Q d V G + t j e N s s E N K F y X i i m L s t 1 L G H i U A F V a + Q W O O C 1 N b l 3 8 B 4 c m 9 q E t r W 8 t 3 w + a h Y c Q z K w y Z T Q T 6 + H g 0 X f K E N / o F R I O U p Z D 3 8 X Z O O U o i 9 l 9 2 o F q 0 w Y r / F n F k D R E p k F N h w 5 S s / E U U z 7 I 4 Z x R H R u h w 9 e R P D k E z u x f v V 6 E 2 m r q q q w C I x M G E + p X O 0 O 6 o W n r L O 8 E w + i 3 3 0 x K h x Z x J M J h C p z y E / V 0 f b P w x e h h i g j U O / E I 8 j U X G T / W g T H a S 3 1 E R A f z s J X Y f k + L q 8 D I x 0 x t H A w 4 y N p h B p Y F z r m a X j g Y 1 / n a P K 4 b a I r R Y 5 S E z G k f V E E l a F R C M K v O i 1 4 Y U B 0 M I l I s y K q B U z T v q / y W y Z Q M T u D B D I I k m C o o 5 E Y 8 S D Y o L 4 o 0 L y a R k B R L j 2 L z n u B V s D 0 Y B y Z e A a R 1 i w m M u 1 o q 7 I y M t K Z G F x Z L d i b m 6 N J 0 c T 0 c 7 x G D 8 y g s t 0 P b 0 h B A P p J 8 l f K J s q N K U 8 m S d F E L m T H E f S 1 0 F I Y Q 7 y n H v 5 2 L T E p Y q q 4 B 8 G + b a h f o 8 n r M H r H 8 z T v Y k g V A p g + l E f D Z p n q 7 J 9 E D O P H K A C c N C e p L K v 9 9 U h 2 V q J q d Q 5 p M r P P S Y 2 Q n 5 s s N p O 6 7 g p M x p L w 0 x w O a s 8 9 O 1 w u Q b L / n i E 0 b v C h v l 3 9 Y A n h c o G p n h I / x t J U I F M c g x o y M 9 2 D S P f X E F 3 6 7 z x T w N 4 7 R r H p c p q 5 R u C W c a 8 N x 9 T w f o o M 6 6 G W d D d f X x i L c L Y l J f m f / A 2 J a r u j l Q g a 9 B S R 4 l 8 x U b k U W Y j y U G h y M o W Z b k r t F U O o o Z o t p J U a k 0 J Y K p 1 l R G N x p J J p 1 D f U k f i o W W j G / O a 3 v z M O e 3 1 D P X p 7 e v G m t 7 4 S k U A t g j 1 f R 2 L J p 1 k q 7 e g 9 U T R t k D q x 1 h k J 8 j u k 7 u s 3 B e A Z e h D Z p p e Z 4 y e E p L E 9 K C f D 8 M 4 c K p b S B A u N I + S q p G + w F + 5 C G A 0 + L + L 5 F O u 2 m h p k T u J p j s S 3 e g S J 9 B I 0 R k i c Z X 6 K h F N 8 q o B Q D a / P D n G w K k n U M 2 Y c s v w o Z B / L u B H w k G W z I z w f x P A B L x r W F z F J 4 p f J n M j Q H 3 J 6 M P a w C + s v a 0 A 0 0 8 F m h F G j s f L 4 z Q j S Y T G P y 1 N C l 0 y h c v N u 8 l g M 1 b I G b X 9 K k n m + f 2 m R p p 7 X n 3 g G 7 c E z y f x O / P X O e 3 D O S 5 b j 2 q / 8 D p d f / g o 8 v f 0 Z E y k N R 4 I 4 6 / R z k S F N t T e 0 4 5 6 H 7 8 W l 5 7 w S F X y c 1 0 U / l 1 o w m X F Q o 1 L Y 9 K a Q a a F W m / F T 6 E x h Q x W t C V 9 Z t M / s L G s F K j o n 3 F h e I 1 U / H 8 P a G u 1 g B p s u o 8 a i A C q n 4 6 N j b q y q m 7 t n a v d u V G 2 Z i x g X 4 t 0 Y H w 3 R t B T P H O / U z G q o E h K s e N A 7 7 9 D x 4 C B H S V C R 8 r C l f B 5 x e 1 m s X y i p 4 S S Z S R k Z C 1 F i w o U Q M w W q F 6 h W d n h f a g e a / N s s 4 q F E i n j n p O i h Y Q f W N r K 8 3 C Q l c B V i O T J n M Y u 2 5 F + w J / 8 x L G X n y k e T t N K 6 m l I W g O A b / i s p K I / + y c t J K E n U r T 3 5 h o 3 G 0 Z Y g K t D R V v X t K K Y Y I I t q H H 3 q A N J R H x q a a 9 G y j u 1 w 0 D z y s 7 + o V X p j z 5 l b 2 i J z r 4 u 5 / 7 A P L 1 u T p n k 0 g 9 S S G r R T W 5 S Q z v T B b 6 K L H D z e P 9 F Z i 5 p l m r G f 2 9 E n T 2 Z z a Q x y Y x j I L E d z R O a X B W 0 X N n E 4 j v q N f u x 9 / j B y Y y 5 s e 8 U G f P d 7 P 8 D b 3 v I G d H T 2 o i 7 s w M r 1 2 z C Z 8 q D C q + C B h 9 r d K i N N 3 8 d V i J I R y W j U S G l q 2 R n D q G n D S E 4 + s 6 h U H D K m M f P 4 v U B L w 0 l L w k x B y E e i g B 0 9 E E L 1 R g / r m c b A y D R a a x 3 o o 8 8 2 2 N W N 4 f E E R s f G 0 d v X w y c 6 8 M p X v B x n b V 2 J O x 5 4 E t v O X 4 k s p X 3 A n U J 0 X y M q 1 v c j Q F c g w + d U e l s 5 X s q e 4 G 0 l x l B w i O a g o 6 i o L J l e A o v M b T E + r y 0 J Q v Z l 5 7 M d S I x H 0 H q K H 4 c y 9 Q h T r m x s U n C J Z J 7 M I j q U J B P 5 U b e J J 6 g V F Y g b 6 S e j 8 8 L K u o U 0 Q t p b y F B K r F U k + 4 S a 6 r g E w b k Z 5 s W g w t N k J v 8 i z L Q Q y e k U 4 n 1 O 1 K z 1 Y D S 7 F 4 2 B z f Y Z Q Y x C o n R b N n z / T D d a K + b v l 9 d N 0 2 F p 7 Z z W i J P o G 4 d + h u G G z 7 E z R x A M z s 2 W z + x 7 C h U b z 4 a 3 / w 5 k 6 8 8 m c c 5 P Q V G a 0 1 B n H A 3 L / f M W O Z 4 M i o o N d G U Q C k V R V U M f J R u C d 3 I I w b d 9 g B 3 q Q e z R h w 3 D j W Q m 6 T M s p 4 t H C V c m H R 8 6 6 s b G B J + 5 Z b 7 m F / q n j 9 L Y d S D s i 6 C G x D H e H 0 J N W w w O v 7 X s 2 5 k 8 j K S n E X 4 S 8 q 6 x J d j S L D 9 E x J x B d 2 K K 4 0 o B 1 d N O 0 2 8 U K 0 + 3 s g o U z F B a j s Z v m i Z O T a U L u W K E f p s T 3 7 3 u O r z j 7 W + H N + J C h a + c c K g 1 j R X R g t F 9 M 2 T S 0 j m O T 6 a f x 9 v s 3 0 B P 7 E n S L A W 0 m 4 L F 3 W w s j 6 k j L g R X J D C W G E Z 7 a g C B 2 P 1 I h l + K f N U q l u D C + I g D V X V k Y A p M N 5 / b 3 d m J Q l U r 6 s N O 1 I / e i G j T Z z D R N 4 E a C p 2 T w v j f A X R F t 1 O x n 8 1 + c y B O I b q 8 l o K K / a 6 Q u f H z y p S C 5 l J 3 P X w E 3 k w V q h q q 4 G u e R q a y H 6 3 h U 9 n W l B F I l m V C k z 4 d x Y E n B 7 D x 4 n U 2 D 0 i R U D U s Z K g T Y o H P o C U B R d u k O x E m k 0 5 U l 2 0 / l U v l M X W M 0 n / D i 3 P y F + K 6 7 / 8 Q 1 d U 1 e P U V r z I R v N b W J h I F q 8 / / l V 9 Y y F I C 2 X U a S x 1 F Q 8 6 J p H 8 l z Q b 6 E H n a 8 2 6 L o U T H Y / s n s b L 1 l 4 g F / w E F n 8 V M 5 T P f 2 q U n R F N L P k M + X U D T V t n d 5 t R J s f P 2 L m y 9 o g 2 f / 3 k S 4 z M 0 9 y b 7 8 N a b P 4 y K o A u r n 7 y J E o 6 D y I J S z h o E y O Q F E r P m 9 9 L U P g 7 6 K Q 5 X D R K T S V S U E j n V O F 4 / l e h G i C a X F j N O d s V R v a o F j l Q H U g 4 / f P R T r A A B T U D 6 L U c m l e j s o + m S p W C g V 0 W N 4 K e k f u q P B 3 D + B d P I 1 W v n V 5 Z s z D S r f C F 4 9 L v s Q 9 Z t / U f N 7 3 K / 2 U E t W c 4 s g u a f s q n s b J 6 b Y E L t 0 g g y u z g 2 W p Q H t s m R Y 1 s 9 v J + a K k s z f a b L h e q m v Z g m s 9 X 4 q g x h S 9 g M D e f Q m r w T w b o 4 x g L v R Y r e s q t 4 D G E P x 5 q + 9 e D u G O p W O V A 9 8 V O k I i 9 F r l r b R B 8 / M M 5 0 H 8 d 1 f n 1 L O E j f s i Z I M 5 z M 7 n E W q J 1 t F q B W S + Z y C N A M T U b p h 4 W s V e C p e A 7 9 h 3 q R o L m N V C X G m q q x a R 1 9 v 9 E 8 f n H H B L 7 7 4 b D F V N T e 9 v K N A q U S m Y V / S 5 h O O V H p n / s t U 0 K T a 7 N B h p N A W k 6 p / u l o G t l E A S l q j m A D J V P d X M c v j r n B X R z a N i u K R C q J J U 2 V u P 3 O R 1 B Z V Y m 7 7 r w L l 7 / q M i x t X 4 5 b b 7 u d N n k F N i y v w s N P 7 j P T A a 9 8 5 a X Y u m k j U h k t v X D h s c e e w p q 1 q 1 B T X Q 0 t G Q 8 N 3 I J M 2 2 t Z v N Y 5 8 U 9 5 F W y N L L 4 d 2 0 d C X 2 Z N 3 M p c N N k K Z d h 9 7 3 6 s v 2 g 1 P D 4 3 P v g d d r B d 1 g d + + n r U V 7 k w 8 d / X m 5 y 7 2 r Z q J C Z m E J u m k 0 6 f x x + I c P B j 2 H D + M j K U E 1 M d o / D V O d H 1 p A P r L q 2 i c r M F m a l L B F O H 3 a h a Y 5 l j M m / S l M b p / A Q G p 5 c j k 3 e j 1 j + C F n s R 6 F D U h X T H 8 5 g a 9 W L r J S 0 I H f g 2 4 u s / R i K v R D Z 9 D O P U X E 2 h T R y 0 S T b K u m f w 6 G 4 0 r 5 q f a T I L N c q O g A o K M s z 0 x 1 G 1 p E x I S j M u N m d H 6 a 4 3 J P b O H M G 6 q Q e R X P Z + T B z M w 1 s x g X C 9 w w i X q U P a j i t P 5 n E h E x + A z 0 9 B R v M z m 3 I g 2 k 0 m X M 3 H L z C f I s P f Q b S R b e L I O J P D C A 7 + B D P N 7 4 c z M G e R l K D I n V 5 8 V 4 K a M 5 2 k V g z q G D + F P P a O p L G h P o C R k W 7 U N T b x e m v u T K Z i P q n M D t K J P 4 w R u i W 7 j t F 0 r 3 S g L h Z F + x k U H E c e 6 S v e u v 1 3 O O 3 U b X j 0 s b + h t q b W b J v 1 + O N P 8 t h W F K b J G U V K C a k 5 + g s 5 X x a u m J d m W c C s H Y r 3 J x G s 9 2 P q a A b e y g K q M r c Y x v R U N P L a p S i E l 5 I R F 5 8 Q P R G U q q K U k 3 L 0 x p 9 A j X f V v M m 4 U m R M G E z u w P L J Q 3 B l e p A J n o 2 R y n Z E K N X C 3 b 9 D e s U / s e M 0 a a z 9 F Z x 4 9 v E 9 c I c K q K i s R i a V w t Z T t t L h T c I 1 c D 8 y D V a m + 4 v B 6 F 6 2 n W 5 M i J 1 / 6 J 4 J r L 2 0 g u M x R U f e j 2 x 8 g u 7 G E g 4 x T c e L r A B H 0 6 M P 0 f + g f 5 E b R s A / 3 1 z V Y D r T v R g 6 X I e G z X N t T 0 w n 0 L N r m N r d T b 9 P G 7 j o t T l u x G a m 0 L A 6 h G X r f P P M F k G h Y Q k f a b 6 J 6 W o M d Y 9 h 3 Z m W m R d 8 / t + Q O P U q 8 7 3 c 6 p j 1 C Q l J 8 G 2 J G 5 B s e x s Z e J G x k 7 8 k L U S M 7 s 3 Q F H I j 1 P k d x J d / n A X Z G m 2 R 6 Q Z t 2 x V 2 T l G A 3 Y C x l n + B 3 3 Y V z E I / j q u 2 E q P p Y 8 L 8 T p f e f a W N Z H L I p O M I r K t B V a C I 6 X Q P a a C R v U X / a 6 Y P y 6 u s l / z p 7 Y t O b e D i o 6 A g 0 4 S 8 R X i H 7 4 U r P 4 R k w x t N O y Q s h Z I c F D O l a M U E P A V a A I M Y j j Z R O 2 n x Z Q H h M Q 8 q V 1 m + l J D I s k 5 U J t p Z S v w 8 c T S G 2 t V W + 3 o O D a O 6 P o R I D T V V 9 8 B Y c Z R S L F S g o + c L I J Z M 4 e D + / e a 9 R h 1 H D + H V r 3 4 1 G t C N H 9 z y D P 7 l f e / B f 3 3 5 K n z w g + / H v f f e Z + Z u z j v v X D z 9 9 D P w U M O 9 5 a 1 v I L H I T D D P Q S x N i c H v 8 p + 8 w 4 / A n 3 0 G s S W f 5 J n 5 k Z H j A x N q e f n v x e H I 0 p Z 3 N 8 A 7 d B 9 y V Z t R l O l Q x o g z 8 T x q 0 r v h j P U i 0 / 4 a c y w 1 P g F 3 u M K s Q y q v R z S V I Q M W j I S T E N B c i l 5 z 8 m L Q 8 e g M q l u z q F k p 0 7 G I 9 N Q E / n D b f b j i z Z c g l o 3 C + + p / N s G Q u n v v x W B 2 A G 0 V I o J S + 4 o 4 M u r G 6 n p 6 S H T 2 h w 8 6 S K B h + j J J m i P l G n 1 + n 8 g X q V q d R 3 R 8 B s c O d y E / o r m z I C 2 B D H 2 k 5 X A 7 L A d 8 z x 0 j 2 H w 5 / Y 3 c O C Y z K V S H y O T S R l p r Z f f V b F v t K Y t Y x k n n n E T V e x X H 6 9 / M N b M Q F U r T 0 B e b P N K A 2 o 3 z I 5 2 e s U d p 2 j U g X z n 3 0 m s J s 3 S B p m a u A r V D v 0 W 6 n Y x K a a + i z H w c M X n I g c m G Y 1 h R v d w I h K y j k u a 7 N v M E M m S Q 5 F G O X T G G l g 0 R a r g h S 7 j n A 1 h Z W 4 e Z z K D Z L t q h v f n I 6 I 7 s F I X M X M C m h N C R r y L r W Y J s 8 x W k l T k f L E O m k u Z K H E m z A W T i t A s N 6 x O I F 6 r Q N T W F a n 8 C z R X H 7 y U x v C u N p o 0 S / j 4 8 f / c R n H r 5 1 h f h Q 7 H i G f o m X h J r C W Z P B a l 1 D b L s 7 E A z k n F N H J 7 c e V f Y 3 E f m k i Q J d X 8 H s Z X W H m u L Y o H P t h g m x 4 b R E r s Z y a U f N A O 0 M J S 9 v c e H s 9 p Z V 5 b l m j l A z b U R M 4 M z q G 2 i H y N f S 6 a c Q / t Y W 2 a A y d K Q Z J c / s i B a K W Q K M X i P W 8 Y B P H v 7 b p z + 6 n W U p E W a u N Q i Q T r U 9 A 2 0 z 4 Z e h 9 n + m U 9 C e / b 9 Z O 1 a V G 7 Z Q j / m P D 6 n i K H B E W z c u B p b N t M P o O l V p A 8 x 0 9 t O 7 U 9 t W m Z + l 2 u E E m K x Y T i S Y Y Q r p 5 B 3 N 6 E v 2 o X 2 y p U m M B C P B T B 0 d B A T Q 6 w L A v B 5 q 9 G 0 2 Y 2 6 h g L b R U I a f B B o m Z s W y K Y 6 4 f E v n + 0 / S X i P b R b 5 O 3 + I 1 H L 2 b w m a T N W U C P / O D G Z Q 0 T r f k i j B k b O n T u g e l H I x I 4 P X I F r / Y a M t U p o X Y 7 v G e 4 M m C t m 4 Y o Z m b z t G Y 1 k 0 B N L 0 + 4 J G U 7 g U q X V R k / G e m b E 4 y Y 5 t S A U R a e N I B a R N W E + F y s u 1 4 Q I 6 O C F I w + 6 p X X B l E / j D 0 2 l c e u 6 r E K o j 8 0 e z i B W G 0 N c 1 i a 3 a g p s 0 n k g M I B g 6 3 i c b 3 h 1 F 4 5 a I + b 7 7 r m 5 r k x b z i 8 i w Y s p A Z m 0 o 0 d I c s E H A R z 9 D r 7 E k 9 5 c G 1 U g 0 R d s k 4 W g r a 9 7 H b e X G z E I 5 e f P T Y d g n / N k 9 4 T b q H A 0 X w J m Z Q b j / O 8 h U 6 n U 5 c 9 L X g K a D M 9 P L z p y / c L G H p p 8 m 9 R p 7 b 0 S m 8 W x A k 6 + 2 m c G W z 3 7 f 3 u X B W U v t V C U e C w z + E c N D 2 8 z 2 U H I e Y 7 k w t F J Z S G Z d Z j L b m d K c D z t n A f G W U F q a U c L k 4 C Q O / q 0 H p 1 2 x 0 T i l O f B D y Z 7 q K y J c 5 8 e K 1 h B a 2 1 d g 5 k c / h 8 8 d w I U f e h + u + M A H 6 R I E 0 N P d R R t 9 F G e e t R k / + M F P 0 d 0 3 i L / c 8 Q g O 9 + / D y N g Y 1 q x e s L 6 n v I 3 s K y 3 B j / c H 4 W / U M n k n q p S N k Z 9 C x t U G v 5 e a q L 0 d L W u b 0 L y 2 D p X L i 0 h 5 R n H 0 P i c a 1 1 Y g M v l 7 9 v k F G J w Z R 8 Q X J O 2 F 0 f X I e 7 E k + x 1 k q 9 6 C 7 i k / q m 2 f w h P / I 7 x j R 3 i c T K 8 6 l O r B v 9 N 9 F I w 0 d x c F / R 4 H t Z g y a f z H f s v r X T T D z 4 S f D J a h D 6 w 9 9 K b 7 X W R k J 2 q W i J 4 U 9 P H Q V H P B S c t D u w 6 Z 7 B I x i s m W I S l S U O l d U i 6 M o m L q L 0 i H N 9 N M T B n G 1 k S 3 I F P z R O M 3 D x w v C d S + g w F M T r b g 0 Z 0 P o 2 + 4 G 6 t W r k b v U D 9 a K 9 a b t 9 Y r N e 2 u u + / H P f f 9 D U s 2 N K G i T L E I 4 U Y f B p 8 b Q 6 T R i 8 Z V F c d r K O / w n S S K d h S q 5 3 a L L e G k I X J J B c X / X 0 x j i N n 5 L l u a B A d + B J e P G i I e Q 9 p 9 G q X G E E Z b L i b z x F D n X 0 t m j 2 M o u R M N k 0 c Q a H 4 r J i i 5 q n 1 z q 3 c d 6 S 6 q c W t Z 9 n j U g d p I q V k W A Q r j B 7 K o X T 9 f i 8 6 d B Q K 9 P 0 d y i b X W 6 4 X Q e 6 D f b G b Z u K J + 1 g e I D s S R n E i g Y V M 9 y 6 X m t k 3 K w Q s t v 6 y 3 Z Q 2 2 f P e z Z A L L 7 h d k D i l J d C x z E O 2 h 8 5 B K F Z C h s 1 v R v L j k L 8 G R 7 k c 6 F S I N h k 2 A p D R 5 7 m Q / F N g P 5 d n 0 5 T j 4 6 B E k x p J Y c 8 l K h K s t / 0 i R w f 5 H X 6 f K o P W i m 5 B A q 5 k z P P D g R 7 G l Y Q 9 y 6 2 + D M 9 o H V 7 I L m e b L z T 3 j + w u o W y N 6 s C K k 1 1 z 7 b W h L 6 1 d f 8 U o W Y w W 5 d u z c h Q M H 9 + L K 0 0 a R b / 8 n y y S z J 4 d T b H P s Y A h 1 G 1 V J J 7 R m a y x 2 B J V u L / z + V p N / F 8 8 U E B I D S Q s J t J Y C P f + D 6 e r z M D O 8 l M + f 0 0 p 6 C V q M F o k r O I R I q z 0 R f i L Y v v f 4 g Q K 8 y 7 t B z 5 e E T x N R m R Z 2 / u J D D z y B 9 Z v W o r m p D l M D U 3 h g + 6 N 4 w + t e b c 4 J m h f z O G V F W f S U i q a M f 2 4 Y y p m i k 9 z z Y 6 T q X o V 8 j f W 2 u h P B Y e Y t 5 m u N F 4 v R 1 E H U + 2 3 b m m b A v m E / N t U N z w 7 K Q g Q P f g 1 H 2 i 8 1 M + 5 u e p Q r J / b T v P s X + + w c N K e Q I V N 6 q D H H E 0 7 U l r 3 2 p J S + L x M j 1 V l r 0 l Z K S N B X C F K j C A 7 t f c d h 1 T 4 O L 4 S O p z v g D f s R Z D 8 o s d X r p 6 Z t a 7 W z 2 O d D + Y n d F 7 8 K P m r 1 T q 8 X a 7 5 / O y r a 6 R P A h 0 p q g R S J T P T i s / s 0 P p 7 C Z H w C 3 t o 8 6 5 x B p a u A K n 8 d T V M f r 2 M d K Y B K K U G p m T R y H g + 8 3 j g 8 t B T m J T b z e Q X e s y A Q a a M I 9 9 i z 6 B h s Q q z X j 8 b N r M 9 j b 0 a x z o n i 6 Q 9 j a R W f w / 5 8 9 q Z L 0 F o H N L / E 2 j 1 Y c E 3 u Q T q w n u f 1 O p w 5 4 f T N b 3 / P b A W m L e U u f + U r 0 b 5 0 C Q 4 d O o I / 3 P R 7 r F m z D q G g D 2 P j k 2 a H q u 1 P W S 8 S v / D C C 7 B n z 2 6 8 5 Y 1 k Z q c T k 8 k 0 N Y A b g 9 F u L A l T K J n l 7 j m E j 1 6 N V O Q s 7 H K u x p I q + V 4 F E 9 C I H v C i b t P i A n z y q J b i h 8 l g c Y R b 7 L V s g h w 3 M Z A 0 5 u 4 4 G j Z L k 0 4 h S 6 t F 2 y H I N B W G d 8 X R u D W E O H 3 P I M 1 k + f j a A 2 S y M 4 o a a i L N 1 f V P u 9 B S m a d G t V 6 E k I O m B 5 7 9 R D G 2 Y o H j e R L M Z P u o A Z Y t m t I x C 2 k d E r k G W L l V J V h z J W F y N 4 m f J s q h w S z W 1 d G U 5 J V F h W x J B O V 5 f L F j 9 4 M C G P 6 q M 8 k U 5 Z O L C 5 A d R k + G X i v h L 1 6 I h j C f v w h G d l N 7 b D m R 5 G d H G y 9 5 E b F e h v 3 b D 6 J 5 G R l 0 h H b / p g o O g I u a Y o a m C L + z j O A F L 0 G u 6 E D 6 s Q c 5 i N Y 9 k 5 / / I p K P P I p j / H 7 + o w + Z g Z n q y H A w F R W k a U w N l 2 M f x O h T V L J / Z n p o W q x I 0 + d k e 9 x Z M 6 g h T x O 1 0 A R C 1 N R F n z W Z O 3 F s B t X L I 9 T e U e T Z d 8 E F m + U v n A c s h 3 v s S e T q r P c P D z y x A 7 m P f Q T T / 9 + p a L r s u + i N e n F a Q x 9 6 H n k z z 7 q w 5 N I 5 h h I m D m V Q o 6 V B N N / M H g s c M w c / 2 p z S W D H l k V h C x O y I 9 c E Z O 4 o x 1 y l I T z r R t D y P Q 5 0 T W L V m L U 1 U F z K J c f Y / G 1 z K y x O t 0 F 8 N 9 3 w T s a W f Y f v o 1 2 Q H q H U p y N j O A n 0 4 F 5 8 / f o g E v j r M 5 / M Z h r 4 W p 5 P J z j g K S S 9 N f g r W R B j R X g f q N r D + J Y l j a 6 1 o Z g i + b A 2 1 e B p V S y 3 f S P V K Z M c w Q f + 0 L X y 6 T a c + R E e j S P Q 5 o d f z a J 1 d q J V u y o t h p u l M j 5 E K m i H 3 0 0 E 8 K T M J J D J 1 j G E m 3 m c k A o n N a q z T M J M C A W u b t Z k h p a + R u C T k e V E t 0 P H c D F 8 D n W c O V K j v G 8 i O P W G f W Q C P F d G Z i C 5 H f W h x Z h o 9 E G U H + o 2 G N V t 6 i e n L o A E 3 m Q M n w b 6 7 R l H j b 0 K w 0 o f m z d W G m Q S F d y e p G f N j 4 + h k M 5 6 X P 1 O m G Q K v u M z 8 L c l S v e g s t M K D b 3 / z O + j r H 8 I 3 v / 8 H 3 H X v c / j 6 f / 8 E j z 6 + B 7 9 / 8 A b k M i 6 E Q X M k e R d u + c W f 4 R / 4 P e o H f o V w 7 F a E j n 0 D O b Y j H 5 e f 4 Y C P / e a T j 7 s A J W Z S 0 m h G G c k 2 F D D o Z m V m 6 K M K w 9 + 6 G u 6 A B x t f c x W G h u J w 7 X 0 a P Y k W j p G W P i w U M B z H H N t t 5 i I p Q D q v R P j Y 6 x E 6 + g q E j 1 x m m E k C o h w K f R c D d c g 1 X A T n d D 2 Z K U v a q K K f u A J O E m s m r W U 7 K Y z m F O 6 3 4 I z 2 w 9 d 1 s 2 E m Q d M 2 l Z q G U Y C A x C 1 m E m r X R s x y d t H n y V Y F V C + n e b l q H N G x I E 1 z h b / 9 H D f b l B R 4 r 2 i j k r R a P f I 9 9 g f b X a I H a q 4 g T V U x d W 9 0 O 4 W f H / k 0 B U C k E s H 1 E d S v T a B m H c c g Q o v A u u P k q K R P J c c 3 Q / P F W x a W f n G g X a 8 w L S V w O Q 6 N W K r 1 Z C i F P v V 6 / 2 j L J 1 G d / J v 5 n a D 9 X Q 5 n p g / N g d N w S l P L P E I W B u I 7 0 T 2 z 3 b z l R d n k O S c l o L I h b G Z w U k g I x V A b X O n 5 5 Q r K k c u T L p + 9 5 S g a 2 y r R t D k E n 9 8 K p 4 / H r T I C g Q r U h u g 3 1 F v z O A s t e M + a N e w F o H z d a C Q S w C c + 9 T F E q H l P O + V 0 D I + N 4 K K L L s A M f c h X v O I V p n r e q i 3 o d 7 4 S o z M 5 f O G X f Y g v / R i i o V c j t v x T m D l a g f r N t g D i g L v 8 q 6 y v W s q 9 A N p W y + u m q a Q l 6 C T g U P e 3 K e W b U e G 1 N F 3 N y K g R e U 5 f C J U N V W h Z X Y V s x x G l N m K m 4 k 2 U G H P z M c 7 0 M a T T 2 v R R L X K g Y y C P w 3 0 F H O 0 H j g 5 Y / V G u o c y C T T W m m M T w n h l U r M x g t I s a a d z a X 2 Q g + R x 6 4 o + T G a r o D m y A M z E A X / c t y F e t R 3 p 5 2 c v S z X h p L j G D g F w E e z m 9 U L X E j 8 k u a h i F / Y 8 D n 2 8 z h u b r t I 9 E z b o Q Z p p o 0 d C c 7 t v f j 4 P 3 T G N q i J q V G t H X f y s G m t + E c A P 9 S 5 t G B A m W x s C 5 W E L T U x F h l 6 + W A p U C x R 1 D X p F T 0 4 O 8 5 a R h c 3 V k g R X V H A U Z 6 e / 2 n 3 K 8 9 w Q r P A V N t K r B s 1 p X C Z 6 2 5 I G S K u 3 l 5 l P p b l R R O q V z D t Q O f x 2 x 1 v / P H C + H 1 P 2 e k V p s a p 4 b / B J m + m I I N 4 X I U N a D F i 5 R M R t v U L b 4 O n 6 F 1 K r 5 Q Q k J s Y m 9 f Z i c K W L N e X P v a p 1 X h r S w b S o O 2 Q G I x o c f 4 C G n I Z Y m / y a M X k I / g W i l y V c O h c + z q T 5 M H 9 G + 6 F 4 0 b 8 p i 5 E A A 9 Z u c 5 l U p z u Y G 5 A c T y B b a 6 J 8 c Q c q 1 D b n g S o w c a y R D a d A X S B C 9 6 E 1 R 1 E V C 7 R Z Y V 4 X k F d K 2 0 X 3 B J a a Y d t a t a 8 K F Z T V 5 7 P r 6 D + C L / w b p d 3 0 L K 9 u X Q Y t n T E C K P s b o n g y f 7 a E j 3 o / x p / 8 R H R 0 d W L F i J V p f c j f b b A k b Q V r j + T v e i n N X D a D Q 8 B E M D r 0 J 9 S t J A z 5 r 7 d L E / g x y y w + j h f c U / L Q h 6 c u 7 k s P I V 1 t Z G h O Z D o R c d f A Z y 0 Y m H Q W z w 1 r Z X W p b h s a S 9 s r w u Q u Y 2 J e z t n J e B K X Q f Q n J X B L 7 B t 1 o o m A b j j p M U G d b x T A 6 n z 5 E 6 6 A Z v s o U m t b W m b 3 e J 6 i 1 3 e k q s 4 g R n h S y L M b v p J Z N V y C 9 b C m 7 2 4 k d R 1 I Y n l A C 2 Q m g Z c k K f c p s G 0 w f M s f E T N Y s / I m h q F U / n U q z t r + M m Q w W h J 2 t N 3 f P Q c y k h h u U 7 d 0 g Z h J 8 t F P F T J G u L 1 t E T G h g 4 o k U 7 r r / a W x u W W i y W c R W G D n M I b C u F x a u 9 9 J c l F b Q e h v o 9 7 H c r u m j G E n Q B O R / F T 3 f R V / 3 F J a d O j d R e H j U P b 8 M w 0 x z 5 Q u J Y / K Y S K S h 8 3 i t 3 l i y O H q n j 2 E o L Q K t Q 9 N W P 0 Y P B U j v b E f H / Y i 1 f R Y z z n f i Q N V Z y C x 9 P W I N H 0 K 2 / q U Y 6 W x D / R b 2 r W E m S s v p I 3 C w v s h q 6 Y I H v m M / 5 1 9 N c F q m l 8 a k Z 7 q D f U W z P U 6 N X M Z M g n q t V H s x k 5 C 7 7 z Z U P e R F b l c N e s a b K b 0 t i S 2 z v 2 H d J E b 2 J L D 7 v k + Y t W 2 N T W 1 m H M q Z S Z B V k 4 0 P G O 3 V U 9 g M j 9 d P L W E F V C R E a z d 6 4 e q k k S X t m o v D N 3 A v m c m O L p M O a s n G P v Y d S 7 I O 0 d 0 o 0 n + J 5 w K I p i 3 S 9 T r p O x Z 7 W J 4 D o b X 0 q Y 4 c b / o K 5 c w k P H 6 s C l P J M A 6 O u E y a 3 f k 0 Q 6 t z u 7 D 5 l W d g 2 + u W Y s M l a 1 G c r E L r + q W o X B X C y p d W 4 9 T X r c K z g 9 t x + q U b s e V l W 7 D l 8 q U 4 Y w P w s z v G 8 f T + G H q H N e 9 3 A h T s j S 0 0 j 1 D j n d u c 4 o U 2 B t T K 0 t Y g V a D L d u j K o S h V G R Q D U P i 8 H G Z / h O y g / W t x R J d 9 X q P H b 0 U y 1 z d x / f e / i 5 e d u w 5 / + v O t e O K x h 3 G s s x v P P / s 0 / u P z X 8 R 1 1 3 0 H 9 3 f 2 4 O i h f Z Q 8 S U x 3 P W x C v E q m l f / x x z / d b t J 5 H N k Y r R I O T v 8 P s D H 5 I K q m B / D j O z L 4 5 p 5 / w R + H l u D A k C U M 9 F K t N f X H + 5 C l 3 X R K 6 P v 1 7 + x v c x B T a Z J 8 V m g Q l X 4 P s k U t f 1 D f F O j n u e A L V W O k d S U l r 8 j c g S B o p m p v O Y c f E w e d Z L 5 y w n U g X 7 k a x W A b p a d M W W o S f x X c Q z S P c 3 w i N Z U m r L W R S 3 + 0 C 7 7 J h 6 j t E i x 7 T p P L U L C W 5 A N j t h n b k N G G m s B p b 1 i N 7 L N d S G Y l 7 B z G b N L k c O O 6 J F z U K K l 4 w S y 7 G B q e w P e u v w H 3 P / A I 9 F a N V D q L p 5 9 5 H m 6 a 5 9 p V N x J Y i d R k D / q i A 9 T u c W N t K I A B m n o j y U M I H P g e 0 i v + k e M w x s p o N e 8 M n z U / u G F A A R 9 2 T p i t z O J p r W y m E H F Y / a G M n H x V E M m x M V N X 0 Z Y Y X e l F S n s q h 1 K T h J p g A m s b M v C M b 4 c n u Y d l z Z l 5 y g J x u f I 4 c v g I / v b Y E 9 i 7 7 w D e / a 5 3 4 + v f u A Z j 4 9 P 4 / g 9 + Z K 7 7 / k e r c e M n q v D D T 9 S 8 i E w J Q o v E W o N n 2 L 9 O B h U 1 v + L z I Q I 5 n o c X J u K e C G a F q N b k S M K K K G 2 N p 0 i N w t d 5 T U y T k b V R 4 s T U p H n r + 9 Q k J R a r p A 0 0 7 7 / n f n z 4 o x 9 A J B T G + M A + 1 H l T + O a v n 8 T E + D D O P O t s t L W 1 m v c V v f S M e n z z r m V m e 6 i W O h / 6 R j P 4 0 r u q M T S Z R 1 u t 1 V 0 a q J K p a s F q + + i 7 3 4 s c t V M H C f T 8 R x 6 0 T h G 9 t i n Y 9 u B 9 S C o i 5 5 3 T w A Y S N m z P W P Q g H D 2 r E F 5 O 8 9 f D g e Y z l N W R g w + T R 6 f o A J 9 c o C 0 K E p 2 n 7 2 7 k a 0 9 D a P R / E F 0 x O 5 e P Q j q N j k t f A X f r E g R u + B W a K q 3 2 9 d n 1 X f L A T c Z M P / T E E R O d r D l t I 7 I 0 d 1 s r c u i 4 6 x K k D k T h X R s i 8 9 U h 1 f o l p D M p H D 1 6 D F d c 8 U r s f P 5 p h A c + h v r q Z j w V + w A 2 r V u G p 3 f s R U 1 N H f t 8 E l u 2 b I F e A l F R E c G W j a v x 4 C O P 0 Y + 8 G H / 8 4 6 0 I B A N 4 / e t e b b a O 0 + 7 E u Y I T q U w e O 5 5 5 C v X 1 t V i 7 e h n 7 S 3 R A u q E Q m U o 4 U W V P l 2 j p j b a u N s k G p B O 5 G k L G 1 W I C Y j M p L S e a b 6 k E u 6 5 B Y t l 8 V 8 J Y x i L X f A y T + T H k D r V Q m F k 0 p 0 z 1 f E 5 v g b Q 0 X y Z 5 G F 5 f + 4 t j q O O g V I / F g h P y u W h y n A y S 5 O W S Z + G C R p O H 5 Z k / G z 0 H i 2 h P h O D R b y O x 6 u P 8 5 p j 1 c b Q 9 V f W a + c y a z F o J k R 8 8 / D / 4 q M u L p a 1 v p N Q b w W g 8 h N r a a s S j e 3 D k / m q c 8 t p 2 h E l Y u V w O v f c + j v r w y Z l e o d z E z X / G z P U / m A 2 R l 1 B i q M Y / 3 w J v 7 f F M Y Z Z 0 0 1 c Y 2 0 c b q i Y J H + X G D 3 / 4 Y / z 7 v / 9 / p J k C 6 S K O k f E U G h p q + J y T 1 6 M c S i p e E j r X / k U p 3 v t b p J a 8 n c I p A V / n 7 y i Q s 9 j 1 1 u 9 h y 0 0 f Q L r 1 X R w b y 0 f u P f 9 8 Z L d t w o r v 3 W B + l / D 8 H b v g C X h o y s a Q / M x n M d D b h 9 b 2 N j Q + 8 p D R K v s 7 / G h i 3 x a S H u x 9 6 m L 2 r R u t 5 / 8 C n h D 7 c u / n k D z l W i R p C f j 9 t A q o D c a O j K M Q c l M r O x E J e t A 3 N I H H H v 8 b 3 v 3 O 9 2 B m a t p k 2 u / c u R P n n H M m J i k c I 5 E Q r r r 6 G y Z 3 V B a G 3 l f W 3 N w E f y h i l u i X M P D c O F p O W 0 T 4 G O u A / W c L Y w W c z K 5 J Y r x o L / K R 5 f T L F q z f s 5 l W l k V 8 K G 2 y Q 6 j z r d X n d I E K i j I b c 3 j 4 7 2 c o Z 6 q T N u / x + 4 u / E L H P w q 5 c 6 X r Z w h X Q D j u L r 1 2 Z R V m Q 4 o Q g k b i n D 2 E 0 X I U q r 1 X H o Z 2 T a N 4 2 l 9 0 h U 0 P 4 Q c + j + P P Q T 4 D d B T z x 1 k / a 6 2 o s J C b H 0 D H U j / V r N m D 0 4 s u M J q q 8 5 1 4 E n A O s p 7 a 2 i h s H u c i O D F 9 0 G Z u S R + y R B y x h k h r H w G V v A j 0 a 6 F X f M 1 V V c N 7 + Z / S + 5 F L W j w x 3 + S u x 9 n P H B 1 V K G N k / j Z H i A E 2 M x 5 G K p R G u C m H t 2 j W 4 5 J J L c K y j C z f c e A M l f A 3 e / Z 5 3 o b H O Y q 6 x 5 F H 4 X Q E S h x K T 8 + a 1 L e W I 0 e 8 J 2 x n p J l G Y x O 0 u 8 1 + t r Z n n f s f 3 P I P x 9 7 0 X K / / 8 D W R b X m 4 f n c M M z Z 2 d V 7 w O q 9 n c L J / p p f n s + 9 P v 4 d x 9 P p q 3 f B g H E m 9 A J B b B T M c F r J 8 P K 1 7 z L B l 4 x t D x R N q P u s z z C K Q e p Q l e i 4 m K 1 y I U m O T z c y g E 1 p u X W v t p Z V R S 2 u e 1 z 7 y z g G i S p r 0 s G N s c 0 3 7 4 N 9 z w E 7 z 7 3 e 8 0 G 6 t 2 d h 7 F k i V L L c a w M b 5 f L 8 G e 7 z f N Q 6 q H 0 k V B J o s e v L 2 3 w p W g a b t W A n k + y j P x S x j Z P Y N E i w / L a M G U I E 3 4 v 9 N Q i 2 C x B W g v F j K f X N r 0 U N v f 2 v b w Y p h 9 s 8 O J Q A l S p H P u C C 0 z k i f R 7 U d k u b V z r R D P O G k 7 8 w S R m d q J 7 z 9 2 D Z Z O D + N d F 1 y K W P v n z H E h N h b D k Z 0 d C G w + B V V v u t j 0 e f a f 3 o M l 7 1 K W 9 I L A i q 1 5 C m X a q P / C i 4 1 / 6 K E E P U a b 4 Z y H H 8 D o J z 6 N 1 H P P 4 Z j f i Y v u v Z 9 X L R A + x l / i Q O 1 J o m F L i I O j t l J b S I r v z a B u X Q 5 j x z I 0 + S Q c H O g b 6 E V L s 1 7 a n M d E q g N 1 A S s D J Z O n C b a Y / 2 o j u P u / 8 U D F V 3 D O s g w G p l 3 U u n m a Q f Z J G 9 t f / y Y 0 j I 9 j O d v k S I 0 i N P x j x M w m J X N 4 f u s 5 q K / Q P h Z W O 3 a 8 Z Q K n r K t A w R n G q s s f N W + 1 P K P y h 2 Q U J 5 b W j N F 3 z O J n O z + A q e k 4 2 l r b 0 N J K 8 8 v p Q 3 V F N b Z s X s F 2 p M g 0 K Z r 0 l e j L d t I x c K I 5 t J U C U M E o j V 0 R Y c c w C d t e q l I u Y G m S K X N e z z K b V 7 L 9 m m P K J j P w h R e n J 2 W r h z p / h H x g B T I t r z S 0 Y 1 Y 4 a w G o y q V b Y f w 4 d y 2 S O e 3 T Y d 9 o Q + l a I 4 f 8 q N 8 U M r v M b m u z f N L j H Z p F M J 3 p p Z / T Y f 9 a H P 8 b Z l L I U 5 A G M B v I l 5 h J 0 s x o s P m w 9 i t I s q G l e R A 1 b O 6 l V + H + b x p m E m a S D s S i / X i 0 w 4 d j 4 2 6 T 2 z Y W 1 x Z d F r x V p + B t g U G c W z u C Z 3 s s Y h b D C v 0 H O r D p g o 1 Y o x 2 D z M u n g Z 7 / + T k v O N 6 c V c x T I Z Q J a p Q S t B i F o 0 s i I R H Y 5 l n g J W Q y f U n p 9 x w z i X G s L 8 q z c M B T a Q 2 M e S W L L Z G 1 n 8 F E d x 6 Z a N G U O R o F W p t b + b 1 A k + 7 p W W Y a S 9 G O P w k z S Z O 6 1 z R g l f u v G J 1 x m L S Z + c x U x H j q C E J k J q v W P O K v n 2 U m V + w A g j 3 f Q 6 j 3 W j Q G Z j D U N 4 B U I o 7 K T 3 8 E z U 0 1 H M c i N j R P w P H s J q y 7 8 U b U X O t G c 9 t H E M t W I + V Y g v p a a p 5 I k C b 1 N M 4 6 / R T c / y C 1 f s S F Y C i P E B n r W D J M G s h h W T y J V S N 3 Y n g m j k S W t E B i D z t J 3 D Y z m X E S A y m 7 Q d C k r O k / X q r 2 k 6 m 0 8 e j M s V I r j k d F 9 z e R X P k h i 5 k E + m M S Y G Z t m T a p U e a H M e X c C G L C L J q d R T F r 6 F X M F B 2 K Y 4 1 v B s / 2 W r T x w g z F x l R 6 l 6 B y k b c b z I W i i + y 0 I f T F t 9 u / X x g K R N j + n L E 9 5 y 3 V M B k W 5 S 0 o g x p q d i F V l E i M Z d X B 1 / U r E 2 Z W B o Y i O i F / E Q F / I y 5 Y k c Y K 7 S N A L K 3 W r g x z K G R G k X X V Y f D o f e Z 3 S f v l o 2 1 m 1 a 3 m J u p u u N 4 M F K m X 9 b Q m g c v h C I X M + S N X f d 0 6 Q J i B 5 U c R T + 3 x k M i N w 7 d 5 k 2 m T 9 S L r O c y + y 4 j l 5 + h 0 R 5 o X n + 2 v W R m B z 2 8 x i y S 2 n m C k f / g 8 l D Y A r f O v o U l 1 z I z F R L r T H C t B k T 1 F 1 X q L H 8 K E 9 3 I s m / i W d a J U W f N x o N a 3 G h I h p p Z l 5 7 R Y s e C r Q b L l n R h N X Y C s t x 5 p S n + X 3 q u M s 1 E X I X O P u n F 0 O I i x W A C t 8 i k o K Y c 6 r z c 5 h S r m X e 9 + P / 7 r d Q l 8 6 u P v R 2 1 1 P T 7 3 v s 9 i 6 + Y N H O 8 a 9 k s S y 6 k t t b g 0 V 7 M e 8 e W f R U u + A 0 u G q O W 0 0 J D E r o W P B u p D f h Z m R m h s 9 Z x 0 s Q L p V J T a f B y j + 4 + f 7 P V 1 / w b x J V r m X 0 4 N J 4 b G y A i e 3 D R y 9 M 0 1 z R L P u E x w x l c f N j 7 V 8 q j 1 n E U Z a l 6 I s Y z Q B + P z 3 7 9 r J W O q C Q 6 z 5 r 8 t Z O 1 Z f S J o 6 Y Y q p B y z U l T P m H G L L A b T c x 1 p e S I n h t J X r F S X Y W Q b z z f H t A 2 U W a 3 J D r B C 4 y Q O C o X y z G t f 7 + / g j B 5 C p H K b 3 B p j c p a w 4 y 8 H s P Z l l i k R Z j n u V d o 8 h B K N H + u 9 Q P M H K P j 6 1 5 n z 2 e j c z D 3 4 X G E y l k C I A s D v q o R n 2 T I O h A s t t t a R Q D H C w D b 1 V F E x 8 e T h + Q y X o d l R Q t Y I E I 4 r b 4 m y z b H s C G a y A z S 7 L C 0 6 k N i B G t 8 K m l I B / p 3 v 5 3 o c A c T y 1 a g M F E z Y P 9 H 2 z 3 A k j 8 + q E J T x 0 f C p j 5 t + V d 6 a e R 2 N w 8 / + b i Q R V + K 5 9 / 8 n a + 5 A W 3 U d z S M 3 G t Y / z z 6 m h k h l E Z 9 J I 1 t H J q D b n q M k T x X y J u P C c 9 q t 2 N l P Q m y n j + I O I d E f R v 1 q W i Q c H / O e W 7 Z t I E N d 7 6 7 m c y y z V h O 8 M T J W 0 R 2 E d / B e r K / U 1 E Q R B y a b W X a J u S h M y s Z E l K v 5 S g m f / Z P t m M p n 0 T / t x O O d X v R M W k T g i n c j S 7 N O J m 8 5 + h P P s r 8 T 9 q 9 F 4 A r B 7 T L 2 B 2 l M 2 l 1 0 V j R B j E K 7 D / H x J J y p q T k f Q 1 B I s R S j R 2 7 + O 0 R l 0 4 4 k 9 x h p Z 6 A k Q V P 8 i 4 O 2 8 V K F T I 6 Z T S j S C m b g F k F 5 o K L 0 Z g X 5 R l N k S N V Q e w E I z u g Y H V r L 1 F v b Y J l M o S N f R s X S C R K o C + 5 j v 0 W k 9 y p U x q 5 n n X N I L 3 k 7 C p G 1 a G t Z a 4 h z S Q P L j c e x 8 8 7 9 W H l G B V x e P w 4 M z 5 l 3 e p b 0 S P T A A T 5 s v g 8 V f u 9 7 z P l y + D Z Y b y E f H r N M p / J J R Z W q y V B L o H C A y U i O F A l b i z Y J J W x O 9 4 o 5 i + i O P Y 5 B 9 v d Q 1 N J A g R o / e q L b M Z 3 V e 5 o K m M n 0 o 8 I z l 9 D U E r Q C K 9 Z k a B l I 2 G I A 8 z Z D Q k K m J 1 Y J 3 8 A 9 5 r f w d K + l l z R x v / K W m 1 H 1 m t d a J g / 9 H L 3 b q R x N l E J Z c o n a 7 V y 5 D A e f / I Y Z l 6 Y W L z w B H 3 Z f + S E K K n 5 / 9 x c Q j m j z 1 A w a K i p x S k s W z i S Z g m Z w J q m N L T M c e y 1 9 q T f T I c 3 B r e a v K Z j a 0 v p r f T J N l 1 G g U S A k b 8 S 6 + q x J / z G Q M N F L F N L a f m w + N j Q V s H p z B U K T k z i l N Y f 2 6 g L c w w 8 h s e 6 T v L 9 g T F 5 h L G 4 x W m v w d D L I i V P r y n M U 5 S N P k w 4 F R f v k i 4 Z q W Q 9 / 1 f z 0 l H n s Y e 8 S V I 6 w p 5 W 2 + i G K S z L B g p n x F 4 K Y V T A V K 8 s K N g P 3 A l D G x n S C H Z I f R R U Z U i V V B u x O z e h F x w 4 z 6 a r j n r 6 7 k F h u q f Q G x z d x L H 8 x O m c + h Q P 7 3 8 L B F G N a H V l 0 e V F J S 0 2 f h 8 5 7 G e q X V 6 K i q d n s I V h X u Z t t z J q w u W N q y o z r 7 o 9 + g k V a n V i C g 9 p I 5 8 p 3 i A i / n s T I v 3 r 7 h f 7 m b O 2 l 7 / r M W 4 u Z o x N t / C W r L 9 P U 4 B k j O R 1 Y y g F W d n U T i V K o W B J C O L M M t Y G V i J D I x U B D y d 2 Y y h x P T L P I j i K e 9 c J p J 8 / K m Z Y f 2 l q R Q m r l + x D q + Y Y Z j z P b J F j Z F m 8 L C v v f h v C R S 1 h / W 1 t S w 5 d D b d A r i X S 2 + f v f R X O 1 k 9 q T j 0 o W k E 6 Q u N g U Z W U c c F 1 N v 4 / P m X F h 7 5 2 j G N q Z Q N / R B s R 2 P 2 p K K T j y m K F Q s V w H f g r 0 m T J R Y 1 E s j j y m / R + g 5 T K K Q N e P 5 j q U n 4 K 3 3 f y 1 J o a t Y x K W Q i E d N M G o 0 I H / Q p 6 + s 5 W 2 x A t K p n L I u n D f k P u k U x K y i E w G E d u m b B l p + 3 I o W u r U k u 1 y l P y a W e T n a 7 A g V W W z J O G L Y Y K y b N 7 e K T c i P u t 3 I k 7 n s z z T 9 0 X C 6 6 H j q F z A B X V C 0 j I N u y d t S q V E 9 P f f h I H 4 H h y p v w L V r R W o W T E F 5 6 o A u v f 5 M X n Q Z R a E Z T J B J O v I Q D N Z 4 w s 0 L q E k p + m i x X X 1 / v U Y f f 2 b I D L s r q J p q W J T 0 s z z R I 6 B z p m j E l v s 7 O D F Z 5 l j Q f u + k Q e s C V 5 9 1 2 c W M v f k L 9 o 7 B I 1 T U m r C 0 b x S U 6 D A a g 2 e a l 0 n c M A 8 2 T D y O W t + R d k O I X c D p j M n N o 1 j h Q a E H S Q y R Q x J q C a z n y a h 0 + k x e 1 n E 2 z + D 0 M B P a A H I 7 B q F d / x n O N b T h w N 9 a U x l O 1 l f P p s a N h w 6 i E j Y S k F b 8 8 h D C L e 3 G z b w B C I U S E U M D t P s 8 R T Q d P r X E G B n F J R A y u H w h H x Y / 8 a H s P l V j X g 6 H c D h U C 3 u S 5 y H O / q L + P 4 f / W Y j H b k O f f L 5 S F t B Z 8 o s 5 1 8 M p a B R 0 d d g 1 s U 5 p w 8 h 1 P V N c 6 w E 7 c y l f s l l + 2 k K W 8 e 0 + Z F / + F Z M r v 0 0 7 y 1 N o c g 6 m G 9 t b G z K m Q 1 i O k a t V y g d B 2 f Q Z B A d m / A Y S 8 j y 4 e e g q Q e n 2 + + m F M l g 6 D l K B j r F 2 s P a 0 E X p I l s L l R r z Y r T S 2 P 6 0 e V G w 6 j y 2 P 4 b x / X m 4 B y d I x A m M 7 6 N U c k U Q S x Y x v L P M 7 y D m g h y L Q 5 O x h r h Y c a 3 + L C F a d S F H M I P T 2 m z T y L W P H f 7 P q H K 3 Y 3 k o g h r 3 J G m o A U 0 1 Y S z b k E L 1 W j I Q 1 f R Q 5 g O I v e t a + C o 8 Z F a a o + F l J u J Y Q v 2 f b o b m 2 E 1 f s I M D t v 8 j 9 J J 5 1 U / a i C Y n / 4 H H h m 6 / y f g N 3 a n d J i D R U l 1 l W j R w 2 6 1 G M 7 T 3 9 W P t U T t a q k l w W 9 u p H E E Z 6 4 K S h O f A C v E 6 a Z F 0 I Y r k Z A Y R P 0 0 u a p l k f o I M V Y e l 4 b m J W 7 M 8 h c / W 8 x Q R t B g 9 h / j o s 9 Q 6 l 9 L p 1 1 4 g 1 K K H X 4 L 1 o 9 Z 7 u J J V b z J W Q s F V C + / E r 7 C x U a 9 8 8 b G 9 2 v n V E l 6 7 9 w 1 g z 3 4 r 4 0 D Y 8 N U v I 3 j 2 O X j u H R 9 E N l N E W z M b U X D j 0 J d / g x S 1 b M 2 3 v 4 2 V 3 8 + h 6 h q S g d N a F H j H E 5 O 4 + b 5 R / G 0 X N V G 6 g J 5 h m X z 0 m 0 h b r c H T r I L d 9 V h a o Q D Y A l r I a w / z + X n 8 h c q 1 i C / 7 F N y j D y D c / R U E u n + C Y M + N 8 I 8 9 B T c t K e 1 R r j n D Q B W 1 Z O P r 4 C 2 F 2 R d D m R 8 2 n n Q b M 3 1 h k E 1 j r Y S B F b X S z e Q T r d 0 y b s 8 c 5 s 1 D T R 5 0 s H P i 8 F T Q H m z w 0 + m K w 1 W c R M E v / 6 S M 0 o i e 6 F O 0 3 9 v g 8 1 B i j v m Q o I Q q O h J m + + S K t g V 2 q M l 8 1 n t / r M i U H O 1 c v g K x Q 4 n Z L b O y S T q x 2 T w C F S d g W E k M E u v C N V O K C u X p c H s H H s R U 3 c t Q M f A b x N v e Y Z x F T f Q 5 U 0 e s T G a S v D P V x 0 5 g p 5 J g v c O P 4 u k d 5 6 N t o x / p 9 7 z R E O H U u e d h w 9 f t L b Z s D F 1 w P k 0 T D 1 1 s C 0 s e u t + Y e b M g o Q y + 8 z 1 I d / Z i u K k O Z 9 1 y k z n c Z c 9 P q X O 7 e f 3 F v M + 3 d C U f n U H v H b v Q s K U K 8 T E y B a 1 f E V v j 1 r l w d y p G X 4 P d 7 Q 3 N + X G C F i P 2 P T W J p a d z Q K n Z i g 7 2 n S 6 U m e O p M 1 k n 4 S I d b o + W 2 1 i n S h h 7 9 s P I x f a j 6 W J p S 1 5 3 + B I j P H P r L e 0 Z 6 r w G v Z 6 z k D l q p S V p S q P u k p s Q d N U j O d 2 F q e f f z d s c a L 7 4 I c R G E 0 h p + Y 0 3 h s 5 3 X Y h m W g 0 l w + Y Y 0 q g D H f T 6 O t T 3 j c O / c Q X q f v o T + + w c 9 O b H o 4 / O Y M l Z P g R l u l P 6 L 4 Q 0 5 i w T 2 f s j L o Z J a t L K o o v u b b s R y g k K m u q + e 9 h K m q D L / t G 8 P K 2 y c A T H h r z s s w z i 8 S S O H e v C R e e c g p p w A T 4 y T i p 8 E e m k A S P T e d R X a D m + C 8 s m v o P E 0 o / w C R L g a X g m n 0 a 2 5 h z 6 e f P H x S w b s e n S E p E 2 q t c V 0 b g + g e b c r + F x x j h I l U g m A + h 5 Y h h j e z L o 2 z 6 O 0 d 0 0 B Q 4 5 4 T m 0 A Z l D N C P i A Y Q b A y Q Q L a W u m c d M s 8 E G 2 q y T 6 S 4 4 K W H V 4 D g b r I m y y q V u T B / 1 I j a S M K 8 4 0 d s M R / d b w Y e p b v 5 l P y t / z 0 B R v 3 y C Y 6 p o m D b r s N R 1 N B s i 4 T g Q K D 6 D M E 3 K Y P 4 o U r T D r V n z I h K z a U 5 i e B Z I S e S M 9 + L x 7 c u w + f J a j h P N S J 7 V a t O J J 5 8 y E k f b k z n S m m G i D 0 R m E l 3 K S 9 F 1 E w v e k i / t 0 f i j G y i F i 2 S O O Q l u y r Q / 1 b k 8 n e Y B d N F M 6 l z R h k S y n 6 a B E 5 G m k J n E F T N 1 d D + P o R 1 W 2 4 u 0 F J x K 4 i P U X n 1 c L j e 1 f R J t p y e Q c P n p / 1 E w a D l D L o a 8 y 1 6 H 1 f 1 y B L v f Y Q m S M m Y S p s a O m W i b 6 Q c y 8 J F + 4 H D f 3 P A 7 s t M 4 + t T X T X A h T b m l q J 6 Y S d j z w L 8 j G e M J / y c x e l i b U g Z R t 9 G L 5 v D T a H J W m L k 4 6 Z P Q O / 8 R G + / / P d Y 8 / C A y o 2 R y j o f r C 3 Z 4 f g G 0 h H z t S 6 q Q n B j C j r + c I C h l m I k 9 S L o p M Z P W Y y 1 E j c 1 M g s x H L f n I L H 0 H 0 k v / 0 R w L 0 n C f 7 s 9 h + Y o l W N H e i M 2 b N u G 1 r 7 k C V f V t K A T a a f a / G U U y k x 7 V W M m y S C c N k b z N T A L 7 T H u p 1 1 2 I H M e i N 7 Y d 4 f 5 v w z V j r R I v F / J W j 1 L 6 m 8 x f I j z + c 6 R W f R A O f z V S 6 R n 4 q p v Q f m 4 T 6 j Z 7 0 X Z W L e q 3 e F G 1 t o D m 0 y v Q Q E I 4 k U Y x M 9 a e B s N I k / a c i E K u a n C 1 d x k G 6 a g W g 9 R s 9 d K G N h O S y / R O V 6 F q a Q X 2 H c 1 g c I / 1 L i d B K t a r d 9 1 S H n 7 q U 5 / D t d / 6 L s a G u 9 H T 2 4 d + / 5 t J d E X k V 1 y G 6 g L N U 2 o u O Z B B M q K W i K u 3 T K a 0 r x V H n u 4 1 u w E p n T r c 6 k b L v X f x L D t N D 5 E m p V 1 f 9 C m y R a r 0 6 4 0 U F v R 3 9 + f m Z w w o 4 j n t G j I O f E l K W 2 8 Q t L o 2 n R N T 8 p i T D m + 4 h i Z h A N M / / r Y 5 V 4 6 V S 0 9 F 0 7 Y K j O y h O T R I a W N b P F d 9 / V r c 9 8 D D u O v u + / D 7 R 3 6 L I z 1 k h g O D e O b Z H f j B T / 8 E t 7 + G 7 X b C y f 4 + 1 h t F B x l l M X h d K Q X X D J L T P Y a 5 q p t l K l o H Y 6 v / G 0 3 B U X N c U w k 1 Z 1 z D u q a N A H U X B u l u U H C c / l L U r 7 H m z d x j T 6 P r 3 m 4 y s w / S 1 y o l 8 t 5 / Q q X e O 0 O i 0 1 Y s O f Z D P u Z H + K J L z M f Z t c A 3 y o 0 g X j u A b a 9 d h i d v e R 4 D R x Z b Z c D O o 6 m m 0 L 1 Q 8 N k b 3 M h 0 t Y M m R Z p 3 i 6 E 0 H e L 2 R x D X z s i C 5 q 7 s i P F C a J d d C 5 Y 0 S q e s R Z A l J P N T 6 I 8 / j S X h s x B r / Q T y F d a i T s E z 8 i g 8 E 8 + I o T T 4 e p g X 4 a 6 v I d p o 7 W v d N e G G 2 2 v t l V 0 O 8 x K 0 W R J b H K X 0 j 7 g J u 1 v X k p x m v w s K W S q Z s Z l / S 8 J U r / T f N z V n 5 2 5 c 7 S W R R T D V N Y P E e B L Z V A G T w z E 8 u 3 0 n Z m a m 8 Z l P f Q p L 2 p b g 1 t v + Q q L 1 4 V v f v h 7 F R A E / u + V h / P y X N 9 N G d + K 6 H / 4 G 3 c d G 8 a t f / w 6 P P 7 U D t 9 7 y B 0 y n t q J 1 8 w o k Z / L W e 4 5 s p t E 8 f L L P c v B l E u n T 8 J t f m n O l z 0 I M z 1 i m m k z Z 2 l T e + I u Z B H 2 0 l a t Y 3 z x G h 0 f g o 7 8 4 c j A M / 8 s s n y U z Y Q m v x d C w O Y T a 9 T l D K 6 P 7 4 v i X 1 3 w M q 5 s 3 Y N O 6 D S T 2 P B 5 9 5 G / w B 4 I 4 Q l 8 s l 8 3 g C 1 / 6 L z z + + F P o H Y q T A b w k 4 h J b z 4 d h F H 4 U d + z b / x O j i S p W v B t 7 h 2 y B S P 9 Q r w T K 5 / n h u U j F Z k w f c F O A + m j Z j W J 1 X Q c q O l 9 l X U s E C o + h 8 x c 3 m z 6 R H t H o j q T 3 6 h R 2 f O Y j 5 r d n B X 3 S s h c t B N 5 f t r + f Q E 0 Z d j e i J / E E z n 3 d E j S u a M S u v / a h 7 9 C c V J C 1 I L m v 0 L 2 Y y q G I p s n M V 7 l 5 a 8 K a F o 9 Q 5 N 9 8 c S 5 g p U n + q R m L f m u W r K J g N l 8 t b V f K s i h D M 1 2 d i c S c 1 v a V d v e V X 8 r r A 6 4 q t J f 5 q 0 J J 2 G c b L q Q 5 e I Y Y y o F Q 1 3 e N b x F b R u l r l q t r o R m 1 l i 1 Z S 5 J A 0 G b 6 i 8 X 8 N V l b Q m l H 0 k x Z p X P q F D t c v R g c t E O V 4 W u 9 s n 8 + q p d X I l j r x 1 Q H T T q q 5 P b g O l z / 7 S / T N R u E q x D D R z / 0 j 2 h L / B L v f N / b U R j t w 7 a 1 1 d i 2 Z R M S s Q Q m J s Z x 5 1 1 3 o 6 6 + H n f f d S f a X a d R I t r b E t c G M N F h O e m C g q n P / f M H 2 I A 0 x i n E D r K Z L t 6 n G o n Z 1 H X q 4 t 1 9 L h J 7 A i M H Z u D v S y P X W U X m K R o N N V H j h i 9 M c + i r / w W X 3 0 X n O 8 G / R X j W j C H y y s v g o R D J T M 8 F V I T h p E W I s 6 C W 9 I R I z B t D q F n n x t L 1 9 W h q r s N b 3 / m v e P M F / 4 T q R D N e t v 5 V u P L S f 8 A n 3 v t R r G t c D 9 9 0 B O k 4 y 6 Z A U X D J g t j H G n C F k P W h A Y n c 2 H b D O K 7 Q C m w y r 2 7 h N S S M r D N C i 3 c U F d e w T r v j q F n v R H Z 6 C p W f H k X n 9 g y 1 n z U 2 F X 1 f R b T h k 6 g l l 2 p m R k / z n r I V D T 5 r c W B 0 + 1 7 T Z 6 2 / + D k 6 P / Y 6 K A y j z 8 i V b 9 N p G 7 y C l o C 2 1 2 4 P n G 3 M O 2 n a r Z d X o X W Z B / v u G k e e P r V J N y I D W Z u / t N D K k A a k u S + / h U z l l X 9 O C 0 u M o C W J T j O K 8 n l m z P 5 + V R E r I q r J 3 n m p S K U s i w W R u p q y H b N m o Q i p r p e / P D R i 9 t c X o t G 4 M c d L k C B y R v q u R n y Z N l q 3 4 C i b 2 F J 2 Q c H J w u z I U A l 6 0 f N C l O + u M 5 X p n j X z B E V M q n 3 L O J R i T g 6 g I n Q L J I R 2 z h F W V w y h Y 8 w q X 1 s C 9 + + Z N J n D U 6 P j q N c 7 e l h K s C W J 8 U P 0 7 V I z 1 g u z i 2 5 M 1 v 0 L O 7 W R v t 8 I t p 3 7 a m x b X Y v T G v + K L 7 / 3 b H z s I x / C + V v O x 5 v O e B N a 1 9 K s 2 p X E 6 N 6 Y v Z e a p R F D H / w w M s k 8 0 p N R + n E p D A 8 V U M g U 8 f y f / x s 5 M Q s / c Y 5 d l t p m f U W U x B 5 E w / o K 1 G 0 i 4 Z O B 3 W Q A N 3 2 G 4 i M / p y Q d g 0 8 r X 9 l W 8 1 5 b f w B V v n Z 4 1 6 8 z h F a S a i U 0 B h b s g V g m w E p w I Q q f V y / f n j F a o 2 F r A H X r K h B p p k Z b G U H d B p p F P M 8 O I C E W z Y 6 m E w e A m f 4 E y 6 P w + A O H M W 8 J P b c r Z 6 R 3 a Q w U u R r t G U U l G c l / V Q O F Q w a N 9 O 2 K j g J 2 f e h 9 m N h C u u M Y Z g s u + L p / i Z m W z 6 B n y q V g K x T j U p u a v v s d U 5 b Q r K L t 7 9 A Y U V M L o X e 9 y / w 1 E E O U U B Y 9 h T M M h 6 8 B G 1 9 Z g 2 O 7 O n D g U S 3 6 o 9 m / c D 9 I M 3 l N M 1 3 p Y j w v R l D m g k X f H A d X B c u x c v 9 K q F z p R H J y Q S b E I p E 6 B T E W B a 2 Q 5 u q c 2 f x S 0 D u p y 2 F 8 1 2 j b X J a 1 Y J I L b S h X K c X B M Z O w O T G V R Q h m a 9 w T Q E E H + S P l U E x / d k c h q W p 1 h v a R k 6 a b z b p I k h C 1 R 1 8 F V l W P Y + j 5 a U T 3 j q J h d d i k 4 V f W 1 c 2 q b G + Y E r w y i X Z / J R v h Q b h D l F C H l X r z X D F J O / d 5 5 M J t i N Z 8 D O 6 Z H Z j u 8 C J Q S 3 M o 7 0 f j h g Z 4 1 g 2 h d q M H / o i f Y x H D d H c U N W 9 / E 1 w B F + r o K 9 R v i G B 1 S y d W N H R h e u Z h + F a 3 w 0 X N O c 5 + d A U c 2 P 4 v / 2 x V p A x V / / w + u m R u j N x 8 J y V p H W 3 9 V h K k B w 0 t z V h z 5 6 + s i 0 R E 7 I c X S i P W p j P l U G q L c t l C Z A R 7 u d K i k A b K w 2 P 8 2 p Z t 1 d Q w J K L W k H m x c 3 5 f D l U 7 3 o 6 p 7 r h h n M p v 8 A Y l l e b G T Z p W 5 z + 9 0 2 g 3 e P O o 2 C p p n K e 0 d y H 9 4 F M Y P Y t 1 K D p R 0 / w a 5 C k Y C y T g 9 q o 8 A n d c h X r e I o Y q h + r h W 7 + e i k P L I n X e m l Y o h 6 N g x U 0 z C + c U S y C R r z 5 1 G d Z f u B n P 3 X Y A + 5 + g d D g B Z l e R S 1 i b v / J t H Z j d I L M M 6 T G L G W Y h D p y d C t K N 4 0 a b H X 8 n 0 B t / C n l v P a 0 M l 9 l a u 1 w 7 C W L E E 7 C i B X F 8 U F J P M J L c + r 6 g n H l I L s h K r 7 C 5 f y r T a 7 R W z g 5 + q C z t 0 l m a 5 1 C k R H M h P V P 9 G N z n g n t t C s 2 n 1 s K j m U 5 C z 9 R H E 8 T a Y L C Y q k F h a J d Z X h B b 8 w V o / 5 W p F C m D a r n Z v 8 b c I 0 w 2 f Z g + 0 g Q O 3 j u B 0 1 5 n L e U P u 5 c j m S U z 8 Z 6 a V V W I j V j z P u r E M + i b d N / w I 3 R P r 0 R f d D n 0 9 v j G 6 6 8 j c 0 i K s q N J a M m B A Z P + V D 7 5 V / 3 2 t 5 n 7 U y N l 6 S n 8 q P Z a g m 5 A 7 V 9 g O Y s N l j J P Y s b 0 s 6 R r O T x k J L P 1 W T p q 3 t t 7 I h T p S h S n C n j T W 6 4 0 E 5 R 3 3 n U f n 5 1 E 6 l A H H + 1 B / Q d e g 5 h 7 x g i m / v 4 h j B / M Y P h A B S Y O 0 i T N x D g E J H w K h c j X f 4 n g 4 W v h m j 6 I h m w W N a y O p z W C 8 c a P o C t w C Y 7 I g s h N Y G l o C 6 o u O x + + t 1 6 J r k k X O s b d / G T g u + N a F K 9 9 J 5 5 9 6 a V Q / F F u V N W 1 Z R O w R n B a k s F r b 7 O 8 E A 7 p O K V 5 U e C e 9 t o 1 2 H D u e u y / e w I J O w l 1 U S g i a 1 b n Z q m o i 7 N r 3 8 o 7 P E s T v A R l m O R k + r o o O O J R d O x 4 E r 1 H e t C 3 9 w n E x k c Q n x y j 5 u 5 A z 7 7 n c O z g 4 2 g J n o q h 5 C 7 W K Y X K y v l j J F T 4 J T p K K I W n y z A 7 m b s A C 1 8 1 Y 2 D b u d r B d Q 6 0 W 2 e 5 3 0 J 8 o f l o Z 3 g L o / u n U e 9 s R v U 6 H + p C i 2 d i L K n K o V W B j M A k J q b P x / R k E N u 7 f d g 9 4 M G S 8 a s Q b 3 k n z c E M Z o 7 4 M b J 3 B p l Y D k O H Y 9 j w y r n V m 8 o c n s 1 X J P w h a 4 X w 2 g E r y j T w u z 8 Y B 1 6 f Y L G L C t X a Z E U x S r V J 3 5 X + V J 6 j J + 7 U 8 X L d r d / m o 6 R a M n r p W K m H Z g d c o D A J G 9 N P 2 q i a z v c c Y y r g I Y 0 + 1 c X B r 6 F m z 1 h O + 8 w C T V Z x Y x E N R y / A T b / / N T 7 y s U 9 i b H y c j O W G 4 9 n n E U 8 m 8 U + f + 0 / c d P M f y d T U P e e f j x / d d h 2 u u + U q d K f 3 0 P c c x x T 9 p b 7 B Q Q R j D y K x 9 r M I e P Y Z 0 6 2 W v O D 6 e h P a a e q u G z k f p 8 6 8 g g K W 4 0 Y 6 a P 7 8 l 9 H + o X / G s u q 8 e T f t 0 v A g K l 0 O L A l Z E 7 V i X g d / T w f t Z F 0 J l x f I s n F o e q U 0 C W t o j e Y l 6 X P D Z U F 0 7 e 7 B n o d O r K 0 s y V v K g F B v z 0 f 9 J t t 3 I q r o j 8 m t U b D H F 4 p g 5 b Z z s W T D N q w 8 5 R x E a h s Q q K p D f f t K t G 8 8 D S t W b T F J y M r 3 M 9 v Q E V r W 1 D V 9 z H x 6 Z q w I 5 h x D L Z C K J u S 4 Y B J 1 F l S t m u E 2 D D d r y l l 2 b t i W x m G j m R Z K U w c q F 6 y b 0 p J 3 v Q J n Z H e G p l Y l G + G n r 2 B p p c W g A R r c O Y U c 7 d h 0 e x B j Y 0 W s S W f Q M p l E T + y z S F F z 1 W + o Q t W a L H 0 c m j L P T W L N x X U k / v l 2 c o 7 m V 0 n D F H J Z E 9 H z 3 B R B z 6 q V F t G H 1 5 g + y L h X o u N b 3 z H H x H b a g 7 u Z p v C 8 9 T E 2 p L 3 m D G Z C g 0 t o M t c Q E s / L I F Z Z g k y L E 8 F s E 1 C m z Q V / o N a k R Z U 2 w K k o 7 0 t 2 j N w i 1 8 q 1 J j P h u 9 + + F u 9 + 1 9 u N y d 5 9 9 5 1 I U 9 O c c c Y Z u G D j R v P 8 2 n d p t a s H m 7 Z s N p G 4 + q Y W h C u r q a E c u L + / F b v 2 7 M H j t 9 4 C p V 9 q 7 s X r d + H p B 7 + D 7 o E 4 B v u O 4 r + + 8 j V c f c 0 3 6 V Z Y J O R 2 e / H t 6 6 6 H J 7 A M d Z H T k B + b w h I K E U 2 u Z v N e B M 2 U F p 9 c L o R O A C u 8 M x 9 m q Y b T j 4 1 n V m H 9 e a u x 8 / b j A 2 O C 5 V p Y / S V T d j G k p + f T Q g n K h C g f E c 3 l K d A w m e l k A + 1 o b l k Q Q 8 u a l l W u w N K K 5 Q h 7 L P 6 Z Z a j S h V E y i m x B l w r J T Z t M B G P 7 y 8 c x D G S F L I u e Z k u 7 l G m k q X Q X o v K R i N g C z S Q o M F F C f D S J 0 T 0 p T A 2 x L J o z D V t K U m U + R o 9 M m L m Z m Y k Z T H Z R 4 8 S z a D 6 l E r W 1 H r T R j l + x O U L m o W m 6 L I X q N f Q x z L y Y E 0 N R N / b d k 8 X W V / C 3 B l H C o c T 8 h N 5 K V 9 I w V a t c Z K o 8 c v 4 w p h t j 0 K x G V d u / W 0 s 7 + H 3 o t t v h t P P y + k l c / q q w 0 X I L I b N Q L 8 k W B h M 7 U f n a 1 1 i C S Z D 5 Y v p K L M V / S e A n g z F d b E d c Z S S m 2 F 8 x y 4 o w E 9 x l m c 8 G H B 9 N Q P j O P h t d M 4 9 R 6 u Y w E j 9 M e 5 / + 4 8 Q k g p E A P v z B f 0 b h O 9 9 G j s w d P L s Z n / 7 E h / C 2 N 7 w S W 9 e 1 k n A K p q 1 N z Y 2 4 4 P R N 2 L a i E p t D D 2 L S 7 U G B / u v P z j i V 7 s W j 6 B l M 4 d m O K l R U V O D z / / F Z e L 0 B D A 6 P 4 r a / / h X R a A w 7 d + / H Z / / 9 8 7 j r / I v M 8 T S F Z e O d f 0 L 3 + D C O d H S b e p 4 U C l g t J s h t r a N o o M c x g Y 1 X 1 G H X X / r n J b O a 1 4 + W a T / J M z H E Q n i V b G y P i 7 J L M l l r T J Q Y Y L H i H B R o q L a 3 U x B M u p H 5 M k d L 8 q V q A p a l N a e h 7 K + O Q q t J b S / 6 l l s T o V K 5 a i A / p Y h K e W H l 0 H t s F 3 f n L E g j D O + J Y q r T e g 2 K t s O q b A v Q L 5 j P f A O J 5 + i 7 5 M 0 b 7 e p X 1 5 i 5 m Q o a 8 t X L K u A L i 2 G t Z 2 h J u 7 C P T F k 3 8 g v W T b P c / J O f o l T e g b U v o 5 1 O J 1 J R N 7 O f I E 2 d Y o I 2 8 a R 7 n r m V 8 Y z j c L c L 3 c N k h A 0 j R j 4 + 9 8 7 3 Q f m 7 W t q R H h v H k p t + Z 5 6 q z + o 7 b t d t B g e H 3 L O D t u K W P 8 D d Y r 1 d I u Q 8 F Y 2 f + B h W / u E 3 5 K U 5 Y e G g F i g U 9 G a + g t G S P b E n E F / I H E T 5 h q B q U 3 Y s g p a N N o N p X G Z 3 Z y U R Z I a R j + c M Q 7 j b W r H E S y 2 V 6 k a 9 q 5 r a I Y E U h a L Y R Q s k G 2 c m 9 Q 2 u I v 1 M C T + H H 3 s + f 7 X R b i q h 4 h / + w Y z z d D K G 4 d A y L G 0 u w F / t x + e v / Q Y a g 8 O o r q n H S / 7 p K X z i o / + K b D a H d C q G 5 l o n X v e a 1 + D z / / 5 Z r F u 7 G t d c 9 V U y Z h M q K Y R G R 0 c R r K v C 2 h W n m P 0 w p j J z 7 o I j f Y x j w 0 4 v Z 7 L S q u 0 S 7 G U t P G H / J W 2 6 a + H M T G P r q 1 v x 7 O 1 7 s f 9 R y w R c u M x E E E M I 2 n J M 6 I w + T z K g J u L P 6 a 6 0 W X r h 9 T i P Y 6 Q S t L v R o i g p k l I M g F D 0 l p Z Q L y l K G 7 7 7 z c J C r d 0 / P H p i k 8 u g T C u V o z l 4 G t y z 9 u t 8 p A 5 F M H E k i k Z p l O V U 3 y a 6 p 8 q S R G 2 t J m g L K F / X N l b M i b q N 8 1 W / m E K b 0 1 s R R / l B B T K H C 6 u L T y O x / M P m m B A d n a T p m I P b T p 1 X 5 F D L E v Q 8 R 5 A 2 c X V u n r m l j f h X N n a g P X I U j m r t b s 1 6 U D 3 5 7 6 S p c z 8 l V 4 q d R t N G c q y 0 D K e E t Y 0 5 o 9 H 3 D n r g 5 T N X / u F m s 8 h R D q p E p K e l x W R 1 l + A / 5 R Q S r w d T u 3 Y h W 0 y x x C I m Z A 2 U o H 0 N F k D b d 6 W 9 F E J 2 t v 5 4 8 i j G U y R G 7 b J D Y S H z c H J k D w c / z a 7 k s z x k W v 9 S w 5 S x d A g u m i P F Q N A I y D y 1 s p Z W l C 8 9 m H r 6 G S P s t J e d 5 2 3 v x s C M C z s f v 4 7 1 C 8 I Z X k v m T y L Z f w c r Q r Z M L W R + j i E J P J t J U R g n 4 e P z o / v 3 o 4 3 E 5 f f 7 s O J N r 0 c + M Y S J Q 8 P 4 5 t e v R p V f b b D a U f S t Y B 2 p U U o a i d q p N E l b 8 h P F Y N l Z v 7 v U + f Q l f R K U Q z j z d V u w / v x 1 Z n m I q c s J U P K Z l 0 d O N X 9 1 Z e U y H 8 n w x J a C 7 n A t H P C F M E t B L E h T O f U m B 7 3 C U d m 8 e m h j p I h t 9 Y u v 5 J y F a e D i W m q 2 y T y d O h R C + l A 1 k j 0 u + N d G U b v G V p e 6 S p p P K G P O o T 0 T S E 2 m U b u B E q O U e 8 9 r S 0 v P x R T G w b f t W W E i T s Z L / A U J C g b D b E T / n n p s u Z Q d Z 4 f k z S s w C U 0 D H B v n 8 2 z f q R y K 6 n W M r I C z t t a 0 Q W K h 6 S M 3 w P c s 7 6 P U P 3 T 1 N U Y C y W t J T 5 Z 8 G 3 U i T Y J g w W w B b T E t f b r w I e z o V Z Q p K d c G q 8 s 2 x q x + 8 2 X W T U S A G q Q p s A n N g a 3 m t 4 G 9 l K M c 8 j G z U 3 N 2 f y 2 Z R e m o Z h 8 O a p N s I Y e p h 5 9 B W m J 3 A V H p x W l 1 f 3 0 A a + 6 1 l v m T N 1 H Q Z D 2 h / S x G J k d R F 6 5 k W X 6 s f f Q h V I R d a K n I w 5 M 6 i s R Q y m g u 5 8 o N 6 L 7 u M Y S v a 0 L o 2 0 2 I 9 H 9 z 0 T 4 0 c 4 l k i r 3 / 8 g E y d 9 Y s o / B + 5 W P o z h x k r W R 6 W 9 e Z O T D 1 M h l b f a q X 8 x m Q e U x G h A S 8 d y 6 d y E k h P Z q m F p p n G V H L a N K X c G U 7 s O n y e u z + 6 4 A p 7 + 9 B b D g 5 L z t C M L 4 z a U W 1 X L i q 9 4 S w X S Z T U j H H w S p r Q P l m 7 4 v C 5 F b N n + 3 X r P b o 7 g Q S H T S B j r T R E a e v s T a O m t X D C L R b H W F V k X / p b O f t P K k S s w z v m 0 b t q v D s m + J n k 2 L V c d o 4 o 4 S y T l X 4 / K z k j x B d 8 Z / m H T 4 i 1 O d v P Y b l Z 9 n L Q k p M a + e K a x p A q f e a 1 5 k z J Q g J C D K D 0 + c 0 k 7 j 7 L u g w u W g D k t z 8 K + N r + L 7 7 4 d + 4 i V K 7 g I E 7 7 9 Z d 8 z A c 1 X t a 9 Y 3 1 J W H 5 f O M Y T g x g c E b n S o N C q b 3 l P C z / 3 a 9 R e + a Z 5 o j 2 4 t M i Q g N b 8 y 6 E x 5 9 D Z U S R Q o v w R u I u D C N u 3 n C f y L o x G O t B 9 v 7 H y S x e s z e 5 V p K q P n O w K Z l M 4 P a 5 k W l Z Y b R Q 1 l W L h u p 6 r L / t F q x 5 w G K 4 E s 5 5 / c 8 w 9 I s K I z Z X f n I t p h 5 / w v R F w 9 1 3 I t r 6 K b j H d 8 D R + 5 v 5 2 l X Q H C P H S E / X v n t B Z y 3 q f O v K B C T 9 l q w 5 y / + d c O Z G y D C 0 U G Q 6 2 f 1 Q H h U V X D x f X 7 Z 7 s f G J b U H s 0 F s u l X x A b L m i B X v u W C w f 0 M Y i v F a z s m J e d o Q Y S C a 2 V i t o J a 8 1 p h a 0 K a c Y V r 5 i j h a M 3 j E 9 W 6 R 8 q 9 w M n C P 0 a R y 0 o + f A S 9 j Q h U h S c w z v H T N b W o 3 u S W N o X w C Z W A w j + 2 I Y 3 W u Z b / V b g v A v T 8 K 1 u g 8 u e z V t X B O v x Q w r O W f 2 S K q 6 T P I p K 9 0 d N O H t q r W U i j 7 Z + d S O N B 1 K k 3 U j J c I o M Y D d k W I m h c + 1 M e N 4 u s N I 9 u 4 D a R R d U X g r L D + m B E m 7 U s N l S m h H 0 Z G p m H l z o O q g j V O a z v u 1 8 Y X q 6 2 V f W 3 l t H T / + i S E o s W V m f B T t P / w + a r / 2 T a y 4 8 m 0 0 b + Z 6 W k K x M V L A a G q X m f y T G R P 2 W w L H 7 x s j w x T N 4 s G S 8 H C 3 l C d z z h G a o z g 3 R 1 K C 9 n 8 b O + D E I V e W m s g y p x v C T r M A 0 p c f Q K g 4 i P a K l V j 6 H 1 / E q m 9 9 z e x N X u n P U P N R a K U n k U 6 M o c 4 f N V K 3 k O r D 8 v v u w M b f / c R o o d l l 5 A u g 7 b S U 4 r P 2 w v O h 3 Z w d L Z v N m 0 P U F w 6 f 5 e P k 6 s 5 A c c m V a B / 6 P c Y y h 8 x a L a H n x h + Z D V q 0 x K H 5 5 p s N s w T J u I U y A d Y 7 P R c p s 1 Z r F 5 G j / y 3 s K 2 0 9 I B p c q A U N I 9 n a N U c T T 7 6 o d w n L o P m X t 5 6 / / L w I 9 j 1 y 0 H x / s R g 7 M D c 9 V J 5 C p 5 W 8 7 d V z A t y n x G w K 7 U g k T B p y m 1 Q p j V 6 s t K q C r o W z c c 0 M p o 8 4 q V 2 S m G Q 9 R v b E M H l s x r w u c W x v F o P 7 h p C O Z e C v 8 q J x U 5 3 Z 0 k r B h M a t A T J F E E 2 r l B I U Z D v z V r r R H H 3 Y c C B G l e 1 W d F C / q M 6 l f R T l G 9 m V Q u 0 K F x o 2 V d A 5 J I c 7 q f L Z Q Q V H A P u H P G Z N S t x I M 9 5 X l h 4 i X 0 / M J P h C v T S B r P V O g 4 e j 2 H b F n P l U m s s R M Z W R r Z F A D d W 1 C E i r i X m N I + y g x K G t T d n i X b G U P k G B 2 i p v C E i s o 7 d P p G J J N F 1 4 u m E g a c M S 9 F U v 5 J 6 J n Y Y l g W 2 G 8 D w k K I / T i x p / n Q n H S g p K 0 4 7 G O A j H 9 Z G F 8 g l d L R 8 Z 4 U D r h Y r 1 m 3 x 0 n C 0 N O 7 e B D r 0 v + Y Z 2 e k 1 w 8 y a E z z 2 H R 6 1 o n S Z O X b 5 q 1 l + 7 R I W M C T a Q z W A w f n J z P q s N W W y z s / k L n 8 d 6 m o H p k S l T p r Y 3 n g + O b f u / Y f n Y n + D T X h D E w G 9 + x T q o d p R x D Z a l o + z 7 t q 3 T C F d a A q U y 1 I E Z R e R s T C Z 3 o j / d j y e 6 n d h Y O z S b Z D v r D s g q K R P I s + u k y v b 3 M B k + H M t I d Q T x c Q r a E 5 p + x x + v W 1 + D 5 I Q V X N A + g I t B + 7 c r E r o Y w m W R R a d G r H o 9 B 2 0 L / 6 5 T t n M E 1 S s q U L u e v s k m S p m N T S b Z U 5 w 5 D / z p L o 6 i 4 F u K K A c h l l t 8 T Y v g Y o d Q R 1 H N d W K 8 o w m T f V 6 E G i r Q t H 4 U a U e B T i s d b J 2 3 J Z I I f k N T l r Z 9 3 r z c T e H 6 c m K T r 6 e 9 9 r T b 5 0 z t R w w R b f / j s z j r T Z v M v Y I Z V D r r e w Y 8 1 s r N E h Z s w i F G d X J w n a k O w 1 i K 7 G l v g G Q m j m U e J 9 z / 9 Q v D k K m 6 O j z x h j f w u A O H x j z Y S 0 m 6 f 3 h u k J X Y a z a I o V D Q x v z N 4 X Z + r N f f 6 J w W 8 6 n T t J n H Y j D 7 8 5 W m G m g 6 z E x U o p D m m N A k e b r b i 8 3 2 a 3 r U d r P t G s u a D e H O g y J N V r 0 0 L o M k V s H j 8 q C t Y g 3 a A 8 f P 8 J c j V 2 Z q K W o r b L / 6 b 6 z f C D z r r c 1 n F i I z f S 8 q 9 m 6 B a + Y Q K k Q Y h K O 0 X I J Q x H Z 0 f M 7 v b A t t Q 4 W 9 5 M J R i F G j n k J t y f r V / w 1 p / l W S r c P Q k 8 p i f c o s J p M k W 1 p 0 u B B 2 c O P M 1 6 + h P 3 U i 0 8 8 m k A X Y O W U J h F P t D S s X o q E i R 6 H 2 A s E 6 w r k w z e X F Q l s / w d + E r 3 z t 6 4 g o e p T 2 0 o + p 5 8 D 5 T X 6 d 7 F 4 h 4 K x B n g T m y E Y w T m 3 j 9 I / T b r V s 3 g K l m i S b K 2 i t c b F S 9 R d C k t i K 8 Q v y R / Q e 3 U 2 x 6 5 C t O Y 0 i d Z i C a R C R 4 N y + g T v 7 v W Q S q 0 M 3 t 2 Q R K s 9 g z 6 c 5 K G N G m h n Q b t c a m 4 J v O V Z c d i f 0 J h l p q X E t k K P d H 6 4 b Q p b K s U 0 a K 5 6 g x n S Q c X J m / 4 E N j T k 8 a 3 Y L K s E a r I H p M g Y m 9 C 5 f T c g O 0 W 8 x K U S E G F 5 a z f q h j R P t N p K g x w 6 w T r y g j k K u c 8 K N M 5 e y A h R K M S l p L W 3 3 N l p a 0 n 5 e F 4 V L C Q 6 4 M J B 4 X r 1 G I g 2 g M b D Z b I Z Z g n m z + o l A 4 g 6 U T R Y H a K o J 7 v 5 + Z N x 1 a P v q P 5 n f 8 1 F E F 2 n / y H g t + n / 4 D 4 h I m x B t 9 9 9 r / g q 7 / v I 2 T E 5 P Y 9 9 e K y 2 t f M p C C x m 1 Q L Q 1 u A 3 t w f N I D x Y 9 m i 3 L z D Y H 6 k t e T z 9 X 4 3 Z c k u w i m I l G s e q c L J 7 + 0 x 7 z e 5 z C U l s S m D e O m H 4 r g T / s B O E z l m W R n r G s q I W Y n N L L t k t a a F 4 B 8 3 C g L 8 r a n l A 1 n h h 6 A 3 n R W 2 8 6 6 T / + 4 z P 4 y l e v x T e v + S G J M I q n H j m E Y q o S R / a M I z r q x Z H 9 R 8 h k A f z y 5 z e z s 1 f h 6 h 9 9 1 6 S 9 5 3 I Z / P f V N 8 D J Q X T m a A b S U J K 5 t y h o L p r o H H G M T v f B / j x 6 n C 9 D M b Q E D j q w H k e K h G K d F w G e 0 t B H A m 2 e j d 7 I H 9 Z 3 T Z Y O p l s 4 K C Q U W 5 r N N l 9 S k B 8 t X V h x I 0 3 J l S u w 7 N e / Q M S k n E z A 4 S k g N c B 6 9 u R N p o Z Z R E i c v m R u E F J m / Z f l T / V P u c y k o b D c 3 m i z i X 5 L y U z R G W k u Y 0 b Z w i c 6 m M D U Y T c q 1 3 s x 4 a v E 7 g G v l f B L 7 B n S S 8 V 4 l z Z Z I W Q w m L r n p t B O L V 4 + i s o 5 U w B I U U S P g 2 Y h i U l b k h m c j K H s P i l B y 2 0 m s 1 3 0 0 0 j P 7 B v / 5 C P 2 m T k 8 e / s / m o W L S t M 6 d g f v 1 y 5 O O Q q r M o s m F R t B o P M L W D v 2 d r O b U u W A v S 4 q R a F 3 k v o 4 T E Y 5 Q R q x 6 u b A 2 A l 2 M F Z U b i r l R J T C a 5 r + r s N X j 9 q N F K 5 / 7 U Q V f e j e + D N k X N u E n A X r a C / j U A q S r 8 K L 0 W P H 2 3 z V V X Y 9 D N i z U i a L o L m 2 E o 7 p 4 T 1 F y z F 8 k e D g a L n 4 Z P I o 3 N R G + V Q I 3 q B e J Z P D + G A a u 3 b t x t E j R x G i 4 3 b 4 0 F F 8 5 e q P 4 L n t 3 S a Z U G Z j g Q 0 / f P g Q t m z Z i q Y m y / 7 v 7 e 1 B Y 1 M z q m u q c e u f b 8 X B A w c R D k f w y Q + 9 l U x W Z x z O v a M 1 d K R z i P j p 4 H f v R e P S d R i J + 4 z 2 0 f u C n v z j A M 5 + K 3 t Q k C S y i V R k A d b t 0 F i K x F k B T 0 5 a U J F D O 5 I p Z 9 n 4 U C J J B 4 Z e 9 0 Y U J i b M + p 2 L f / 5 p + N 1 H c P j R V s R / 9 A N 0 T s e w 6 o E d W F G b x c j e a b Y / A n 9 z D q F q y 1 T T M v e C C b Y c D 0 W L Z I 5 q r s d d p A N d W o 8 j X 4 l M 5 C a T h 9 s L Z h 8 J b Q i 5 R X v Y i S Y l 8 U k I j x 7 z 4 c I V c 3 7 k k V E n 6 1 G A O 0 v h Y e 9 f K B 4 v m b y C p g n c r r z J O a v y 2 o v l q J n D V V b A J D b D / r c 5 U Z P h 1 o 6 8 x 6 P z X e 9 G w R v E s h 9 9 B 5 V H r 0 Z 0 9 X + y p y x h 9 d h v L k E b u 1 I J w K m v u i G y D 7 3 y M i x 7 S 4 H + 1 S c Q T 4 y j 5 4 F / Q C w 5 g o t O r 7 c F n x O x 1 Q / w r 9 X n J S j h W E K m 9 B Y N v Z l Q P q P a F X A m a Y 4 W E X H O o K D E W j N m J 8 b 0 5 D g F o Z e + e Q z 7 H 0 z j l N e U v U C h r I 8 W I t p N G l v q N l v J y W c V o 5 U g v 6 z c 9 d F 0 j H n Z e h k c U + M D v O o k U o u N N i a S 5 g z K G E 9 p R j I r T g 5 D E f y X f 3 v b U b P G j b z M O p q G 2 X Q a X n r a E x O T e O D B x 5 B K p 8 y L r T 7 9 6 U + h q j K I 3 X s O Y d P G t V Y p H O z e a K 3 1 C n s W 5 e 7 5 K T J L 3 m u + a 2 K 3 N T S F p 2 8 7 h H P e f D o b O W i 0 U w n P 0 V / T p p J K 3 D R g O 7 T w L M / O n q T v V O O j q W g T t w I B m t v o v f i l 6 G P n p f J x V N 7 0 N A f V i 9 b H v 4 7 G 0 1 6 O 3 I p N C N o B A i G b y J k 1 R 4 W E B 0 6 3 l 9 I 6 h 2 Q q C Y / P B R + d + 1 r b 7 S j a O W 8 G 8 l M o l H K J G S S H G h B a m o D T n t L X n n R P d A Z w w Q r L l p d W V R R r I b P M Q l k W 9 j S H 5 n f K I 3 f q G 4 / v W W v b N x u 5 b B w 1 4 R 0 s L I C Z h L 3 T E G G Z U 8 f v w 1 i O a G a G P l w Q 4 c P f Q 7 r 2 I u S r T 8 H + v 7 7 U B E z G f 5 9 B U 5 e l f Z c + Y r 0 4 w d f 9 e z x 0 / Q 9 R d 5 4 D A 8 P H s H b N S k M R T n c E j W f 9 k O 0 q j 3 b O Q S 2 Y b S q F q V m R U E w h T 2 u E X q 1 9 o m D 3 j d q + W M f M o Z A e x 4 6 7 5 l Y b G J z 8 l l n I v a g N F p B O Z + C z 9 z E 5 D m U h f 8 f U q F K Y 5 z v q 5 S g N a D n i u R G q 2 M X n T B a D Y y I P v 8 y z U B w + B z l a l F H S I v O 0 i b W m R F k G 2 i l W m t C s 2 S H R Z F 0 N x n Q 7 S n / h N M c 3 M F G t 3 T 9 L x F P A k 7 / b i 3 P f 2 E D N U z Z n R X T y + p L J 5 U x 3 m y D K f J D h Z c K K m I p s E x m p 9 / y L + G w 3 j n p r M P 2 Z z + G N r 7 0 c z / a 4 6 L B m j N S f T j n Q W O E 0 + X L l O D I + h v b K e m s 9 D a u 2 r 9 + F 5 q k 4 I u v 9 8 x M 1 5 U e x / K k j A T N d I J 9 L E 7 A H R q d Q F x 7 D 6 M x K b K o 7 C p 9 f v m U Z I y 4 C k y l h v 2 p F z 1 R Q p V y q l i B J r 4 D G 7 j v f j s r N H y Y 9 O d D e d p 4 5 9 2 K Y q Y Q S s f / o 3 h / h V 1 U d u O m L 2 8 2 0 Q 0 f S b X I g h W U 2 Q w l 7 z j 0 T K 6 8 a w H N d T V j W Q s e f N y 9 5 m b X z 0 o m g 7 B 0 z j m V 0 o c 1 Z Z v e T W A C T n U 5 B l q P F 5 H Y E E M + P m n 1 E w s 4 G C j 5 L W G a m u v H 0 n W M 4 / 0 p b i J z 4 8 Y h 2 O R F Z N u d 3 K 1 9 Q y 2 G O j n k o m O n v L t B U J c g U d B p m W r B v h F B K v p x j J o 3 W j K n o i 2 U m Z Z y H 8 h n E B y u R 8 v W T m c L I p + 2 d Y t h Z s r t L n S Z H V f l W Y q a O M W s e w 8 w + F 9 g A O t r j C e u z m p q m m E z O k 8 S K y n m 8 P h I F O 8 8 s I 5 m A M 3 X Y n D P M Z D u e h p n s t 4 c f G P J g f F r t o P k n k 0 n r c m h 2 B b r / D E f b a k r D a h M q T c Z m c N 3 3 f o C H b 7 4 W / / X l q / D s M 8 8 g 6 E q j s 2 f Q Z H X n T C I f D S B + T 9 A / K 6 U 0 q b 8 3 t V G Q L P d g b D e f O V d d M 8 + T T 4 1 S S 0 4 Z C d h S W T D 3 n d p S i c b g K j R H W K 6 b J r L d z 6 U d d x d C k c 7 y g I 2 e u R g z 9 d G f M 6 k 3 J P x M d A j + o 5 + H r + M / r Z M y 4 V 8 k M w m l m m y q p o B j 0 / / 5 E 1 s A M p M M 3 X R 8 C C s / z y 8 s c 4 q + 1 + M X n 4 8 q n w + B s S z a a p M U R i Q 1 D k f 5 n o r z Y D J w a A n 5 6 E u X M Z O g 1 L g T w W z f 7 K 6 m 7 t L O W N M I u e p R 7 V k B j y K E N r x V S 7 H l k j o 8 e c t z 9 p E T Q 8 x U 8 p G F 8 X F r n s p i J v U z a U Z f F k B x B a v 7 D R e T 6 + z 9 x k 2 Y + r h s C X Y l r 4 s r C 7 o M Q U 8 N b v 7 V w z z r w P a H D 1 P 5 W E X m 4 3 4 W X s R 0 x 3 L 4 1 0 9 j P B 7 H N O 1 9 l z r L h l Z V a r 5 J 9 q o I K u w Y Y B 1 i 9 H X k v N M a F 6 G T s R z U H I 3 h P O p C H H z e t 8 f z C f g 7 5 v Z 6 0 2 y 7 y 8 3 r n W H s H A g h 4 6 i F X o R s h Z d 5 h y 2 l D G h u q J 3 r m 7 K o r Z g / S I F j N y D d c A l a f 3 8 z J b 3 q 4 M K 5 L 3 + 7 e S 3 l P 1 7 5 j / j 0 p z 6 J T Z s 3 o b u 7 G 0 v b 2 / D I 3 x 5 H J F K B o e E x e P 1 B T H U 8 g r G x u U l L I R R y Y a y h B n 3 P T 2 H g 2 X E c H n F j e t S P k Q M V q F 0 T M c E L o W T O q R 9 k 2 m p H 2 B J D V Z j 8 N 9 M S I 2 z k Y 2 k 8 t e 9 H e U h 5 j 3 Z L K k P 3 p P L 2 O B Y 2 X W n D n W b y T o a a N W / W 0 v K Y H R r / e y B t U F / l x 0 8 b X 4 U b b + h F p y 1 8 n R y n f l l k 9 J O q P M v o K 3 r Q / d J u 9 I 1 6 4 b i J D L X r M N a c f t W i v p r J j D F r o B a R C A J 9 p t L O X C c E m V A 7 a 2 n C V 3 C S j s t R 0 b w U r e s q s f P e P R S s Y u o 5 h l u I 6 c 6 5 Y F N 9 / Z z A k d B S p F l M V W K 0 c l i 1 N / M f 5 D o 7 h F 4 u 9 c o x S Z M p P G 9 X U + D H N / y O t x Z x 4 3 V / w u q 1 a / D r n 9 y F 6 s B y x O M 5 T I 3 V I L g q j l w y i P p w F a V n F a W y V s p a 1 K N Q s j S I / j q o u Z R y s v A V J Q Z 2 K F U Y Y W M q w 3 7 k Q 5 b p p s w H + X b B Q L W Z 5 T 6 l N W s n N J K d T a i z J F P n M C v t 7 K i P r / N / k O x 7 B F 3 1 H 0 I u s g r H Z g I m i X R b d S W W V U 7 h i 5 9 9 L + r r 3 A i 7 J 1 F V E c b G 9 W v w d B d w 1 t n n I x G N o a 6 2 G t l M E n s P H Y V e 2 b k Q W 1 i n t t O q 0 L w 5 j c q R M Y R q a Z e 3 j m F g J z U + T c g S T L p Q a m 7 C M 0 G / I U o T u A R d K W G j N q o L Z 3 0 q 2 v D a h 6 M 0 V y W I 6 Z Z W 5 8 w 1 D Z G C e f m B Q 3 4 I 5 Y S y Q E I t r 0 N f f A f H + g R z O i f B M 7 f 9 A 4 K 9 X 0 e g 8 4 t w j E 8 h Q 3 M 8 P n E I B e 1 5 Y V v B q Y E B o 7 V E s u k f 0 7 f T E v w 7 1 9 D v 2 o h I / 1 U 0 4 e Y E s / F 7 7 c y Y E 0 H n X 0 z I 3 E C R V L o S O W + b 2 Q Q z m p u b k 2 r f t A r h p V V 4 / q 8 S A u p b 0 s p s 0 g C / p y W E C 6 h a S Z 4 Q G R G J x P w l J 4 0 R m V Z A b W 0 N J i b n C 1 B r 5 1 i Z R D Y h S 2 U a L i + D t v 3 V O 4 c E 5 V y X F v q G v L X I J B z 4 2 l X X Y u O m D d i 5 Y x f W k K k m x s e x Y s V y 9 H b 3 4 c C h Q 1 i 2 b C m d u j Q + / v F / R S q R R V d n D 8 4 9 7 3 R T X 6 X k K H 9 K U a 1 F o c l e E r e u k e R + s k u r e X P Y M v E t J N f a m 8 u Q y f f d F c W G y 6 t J a E 4 T I l 9 0 9 x o b y l q 3 E l k B / + E f I L n s 3 X D Q 2 Z 4 P 1 c 6 B y U Q G X r f P M p n M Y Z o D 7 H S H X 8 y q Z 8 l U t f p j S V m a y m I w b 7 p r T c P d f x 9 y b S / H d E 8 U I 9 N F 1 K y o M t s w S 6 O W v 9 q n q P V o 9 l L x k 8 G Z P I K E e 4 2 J k J V g 1 X 4 B a O N 3 P v g W w 4 z L X q b c v Q R 9 R f k 1 B T P G X m r 4 F 4 N H f 3 0 J 2 h X Z 4 3 f X V 1 k s / 8 Y m O 1 D 5 t Q g C Z / 0 M d X W n 4 Y m L L 0 X 2 v E 4 0 N B V Q 8 X N z G 5 p / + S u 4 N 1 1 k v j t T I w g O 3 o h c p g I F a u P M s t e z s B O Y d T I R b Z o 0 1 t M J B H 4 J 8 q H E F M p S t 0 J i y o 7 x m D n P V G G a W j u H y o I b u + 9 2 4 J T X z c 2 7 L Y R 2 S a p Y o Z m l x X 2 m x W A Y S l k C I / n V x q Q q D Y O k p e Z T N D T a r L K E K k r D K C W A 0 h + p 0 + C n J C C J Q H s l + G j 3 5 w o J B P J J d l I r Y h 1 j 2 N 6 5 H 6 e c s p X c H M K 1 1 / 4 Q r 3 / d 6 3 H q q a d g T 0 8 a S 7 T R B 0 a N C a Z B L b p b y M z z s 6 3 L G V x J r c p O k I S O D F y D a I v 9 r t p 8 C k / c s h c b L l m J q o Z q M 4 F q 5 n w I a S 1 1 y A T 9 r 7 l I H 8 + x v o F d V y G 5 8 W P Y N V K F r S 3 z N a / g Z L v T 9 C G 7 x i g 8 w g f N / E 6 p f 4 R M I Q Y 3 / T y n 1 u G U m V 4 n g v z E Q L 4 X / g P X Y 2 T 9 1 e b Y 1 N 5 J 1 G 6 u Q s C p H Z w i 1 K 5 2 + S R w J d m W D 2 M p f 7 A o g V b 2 u I W M e C I U E 5 P o e O Q N 5 v u q V z 5 E b T K K m O Z 4 b F i E 5 0 U F x + F k O H z n J Y Y p / d c C n e x S B S P S M x 1 w f 2 U F N p 7 6 R S Q b L 0 H H J Z e g 5 + I O N D 7 p Q N V Y E d 7 w C j Q 9 + r B V A G F p J Q U e 7 B Z y D E P d 3 6 W x l D d z 7 p n g 2 c j V n c p 2 V b H d e u V n G b O L X k 6 Q k K C c w k T e m g 8 8 E S w m o 6 8 k i y k T R H R s B n X t x / u R / Y e H U N V W g V i U L k f j f E 2 u F 1 P o B X 4 l y P y T x r I 0 F A l s P O G h l J x j K I V g n + 3 x Y G 2 z 9 c Y F C 4 v I v Q W N c 1 E y i N k y B 2 v h X T f f P q 8 g 4 5 X 7 U C e C V g l r x y D Z x H 0 z z 9 L h d 2 N 0 5 n T k 8 k 6 c Z k + k h o e v Q 8 z e l F P o 3 3 M A Y 8 M Z b H 2 Z n c t X Z D 1 p i l L B Y E T 7 V G t b r 1 k U E R n + D m I 1 / 2 C C L p r / O D T i M Q z e U m k z X Q m K y J 0 g C m q 1 1 D I b r S U H z d b r U + k r / u m n z + M l F 1 2 C L V s 3 m P P C M z 1 Z n L G E g m f 6 O f T 5 K n B 0 e A v O W Z Z G / / Y J t J 4 l c 0 Y a 0 W E i f s j Q X / A u M H G M o 2 z 3 f z l D L R K J F f q m s w j 4 O s x 6 L z / 9 l k M f / g h w 2 V 5 z 7 9 p X P 8 Q 6 D 2 E C 8 8 0 Z v Z g t L E I / A f b / 6 0 d R s 2 e P q Y U M J S 1 E 1 y R F m A z U + K U v I H T 0 y 7 j 3 8 w d R 3 d G B w V c N Y O W f W D 8 + r + 7 f r k H o L W 9 j 1 + s u H l g Q d F g U 5 C z 3 + G 5 4 e 2 + n g t L K 7 h w S S z 6 A Q u D E W k X B k N J 0 j r + Q R U r B r T K U j g 1 O N K C p e h j V 3 i X k a Q / 2 3 D a O z a + 1 l u 6 U U / h M p x M V y w s m M F T y Z U v Q u r d Z I U 3 o L f W G o U o 7 v R r R U D Z b P q V w s l H o F j x k v K z t d 5 w I E d q j U 4 k A s k M e + F f N T U Q K A T q z / s D c X I A G d G G Y u x z K 0 Z t h H f z u J Y Z + Z p e d 0 + x K 9 d 6 P 8 Y p X Q u v D W v y D O B q l n H y u G 1 t f b U l X b 8 / N J t c w 2 f A m F A M N Z n 5 I o U / X x C 7 4 o o 8 j 2 f b u R f 2 1 s R g l K g n a 4 a A v p k G n e Z C m S e x b N G / u e J i M c k 8 t v v j l b + C f t X l J y 1 J 0 d 3 X j 1 7 / 5 N S 5 7 2 a V Y v 7 Y N Y x N p Z A K t x s d x u 5 2 Y 7 s 6 i c q n H h G e V 8 6 e J T f k 5 s 9 r q J J D J X H p r x 0 L 0 x r c b 8 0 b v k f I 4 g 9 h z 8 U v R k G e H u T x o f O h u x D P d C z b V I c F R a i v D 4 k T Y T i F h 7 S J u M V S J n F b N h s q L G P j G 2 9 D 1 n S f N j k d U M O S d S i z d q b d f l q Q A C V M B h h c w 3 Q S z t d y C x I P A k e + z p A T i q z 7 F C + b q H 8 s P 0 8 y z U r v c p N X c C 9 C q j z S R p o b U C m a h O F i J m i W 1 i G b p p 2 u B q I 3 4 a A a h + s X n o H o m X G g v E 9 a m h R n z w k u C z G S I m I 6 + M s f L m U k h c G 2 n H K S / o s o G N H + 0 C G Y 0 g z 3 c e h w z C S n n L E f w f 5 p 4 J 2 E m Q b P x l d R o e t N 4 + R 4 O j t Q Y / K 0 X o C 0 y j d X 1 e Y T z U z g r f S M S c T L Q j P a + o I D w 1 y G x 9 E N w j m 5 H o P / X 8 P f + C Y 6 x P Z i i 2 R Z f + q + L M p N Q F y 7 i 8 I g T / V H J X p q 7 2 V 4 U c l Y U 6 8 V A b X L 7 w q i p q c a y 5 l b 8 + M c / x i 9 + + X N 8 8 E M f Q t v S N n T 2 j q C + p Q 2 1 v i i u / + E N u O n m P 2 M S I x g c n T a h f 6 3 D E V x Q 9 r P 6 i Y P F v i + 9 K G 0 h Z F U M R B d P x 2 k L n W l e 0 y p m E i r J s F q a 4 l 5 O C U 9 h E f L O 5 T + W k C p M I X W i s D Y h 8 0 7 k o 9 r J E V B t r R o D g y k l 4 j r Q / K n f w d 9 e a e K I j k m 6 B W d c w G 8 l Z h J I w D Y z l f Y s X w w m e 2 O R L J 7 k 6 n 9 F Y t k / m j V Z 2 r R f N Z r J 9 c 8 y k 4 u 0 9 U L M J K R p + V R 5 l 3 E s V p p P 3 b I 6 x B I J 3 H H r z e j u H c Q j f 3 s C h w 6 z b y m w u n s H M D 5 B 8 9 4 1 P w m i n J k E R + / g W L F 8 + + P y H V 9 P B C c r r N y u h X D m 8 k g c r o V / w / z I R z k q e a / T T F i + s P R V b F i 7 8 M j 3 6 J 2 i J K j S 0 n V K 0 c 6 f U 5 p 7 4 E U H E o 4 1 K C x 7 I x / u R v + + o + j Z 3 Y 2 L L s k i 0 2 S / 3 Z v Q 5 O f j / S 0 4 d 5 k l I P Q O p a f 6 6 8 0 M + E z a a S Z s B V l U S l g 9 O J r D 8 n p t 0 W X 1 i 3 z F o K u B x L 4 4 E + r F B 9 o X u x w y A X P U V M r 8 d p I Z u q P 1 2 B C + F 5 P F M + D 1 1 5 i d h g b 6 + z H c P 0 b z O o u W J S 2 o r G 0 x O Y 4 R 7 5 y l o G x 5 J f j O g g w 2 m f S Y V c I v H t J 4 D o x c f I k J t z f f 9 X s 4 w i R U f l c U b D F E 6 E e 5 F 6 T 3 H L n 6 G v j u u s t 8 V 4 0 0 y S K P d + V f b q P V P 2 f 2 P 3 f Z K 9 A S n 0 a m q 5 + M 4 0 V b 1 1 E z K b 8 Q u f Q M q n p e y 2 9 F x F b P + V c G R m D z J v b f Y t A 8 a W l q J x u j i T l 1 O 4 a D 5 y I T a U U F / b E Z O 8 B R 6 V n C c Z W 1 o Z d M i G b F / g 7 E 8 y M U W j 5 a A 5 V k X P q r W i d j 4 8 u / j q G l 1 o 1 N K 7 w 4 a 6 0 2 3 i n i d 7 + 7 C W 9 7 2 5 v N f K N V h j 4 W S q a f 5 t m c B a V X 2 5 j d 3 f U E K N C O T B w I I X t s G b 3 R F U g e i C D V 5 Y W j Z z V y h 5 q Q P B T G y q o b 4 c 7 E E Y j R o R t 8 B q 7 s f K l q M R P d 6 v T 8 N x s s C j K T k 4 S p U K w G p O 7 o e a j Y e w p S o 9 9 C M b I E Q 2 1 f Q q z t 7 S y U 0 v Y 1 b 8 D a D / 4 L m q / 5 M r I N V i T J Q h 4 H J 5 v R Y o c 6 B a 0 V O m t p B q v q c 0 Y j a I X r K H 3 z k V g C 4 6 l + M p O 0 0 x z B y o m N 0 Y F P x Q 9 j M r P g D R J E 6 V 2 / 5 Z C m E j N p E O X f 1 E d 4 z e C z 8 P i q z Q D 1 z z y H u q o a L I 1 s w a m n b 0 F T Y x 0 C 7 g w 1 M a 8 j M 8 l K 0 N v j 5 z E T o Q j l 3 8 N M Y 8 k j 6 I 0 9 S z N G 5 j s h G i U z a b 4 v q b e U E K X t 1 M o R z Q 0 Y f 6 Q c Q 2 Q m 9 a I + 0 g W l 8 F G J m f L 0 j w q Z T i r U N J J k J t G T c / l y M 3 a l D X X K 8 d y f X 4 s e o / z V f 3 M E a o J U Z n e t x Z n J Y N Y H K y L t d a O 3 8 c 3 s 5 y D a h 3 + L w n Q X P I l h N A 8 8 y N 5 3 m + w J i 5 k E P Y t 1 p 4 D U y 8 T 1 2 H J m E l a 0 e L H r a B K 3 P G w l A S h u c u W V b 8 F M b 5 K C S X 0 / V 1 e h 5 E e J T p y V e n + j f c F i 7 2 o t R H m + i 8 y z m w + n k x 9 c H 4 d r J a 9 b f g y B 9 V H 4 K f W z r c d Y i x F 4 1 q X w v O d 9 y F M q J c N N m G 4 6 H c H R 3 V g a u x U N x 2 5 G t c m x 0 / O c y J t l A m U V o x T R 8 g 2 n V t / a x 6 2 N O h x o m f w 6 h s Z m U H R 6 U f B E 8 O Q B H + L h D Q h T s 2 r X G g P 7 P b h H 8 2 k c + s a 1 1 j F i M n X M M I 0 W 9 i l t q J x R B O 0 F o Q 1 L P N 4 u + H z D C P v n T N V 8 Y Y 4 I 1 K l J j z a n n 0 / g C m i s a 8 y Z l J 8 S z H t Y W e / S I O q U 5 t q 0 v N 6 Z o k a g k M i Q 6 C Y O 5 5 F J T R o G K 6 G 0 K U i F t x V B e 2 5 m 7 6 A b T 3 R a N r y y C B w L T L 8 i t X 5 p L Z k w x r Z q D Z i 0 e p 1 8 1 i I d a n o 0 K t m U z j 6 a y F N A 0 L R r 6 f w H t H Z Z 7 1 F a C D n 3 0 m D 6 a F V u H Z + T 5 0 c 9 M O H V 5 D I t h p V z 4 y g t M P D L B 6 F a W 1 T l Q s M D 9 5 t z 2 l C n h L G u e 0 z W + T k r O 5 B k d x / q V a q Z F c A y m k d B r p O 9 b Z C Q U F T K V C 5 1 e N a v z / q r 0 d N 4 J W I 1 6 5 A N N m K o 6 U L 4 e q 0 X 4 L 0 o q B + J d 7 z E i + s + U o 1 v v L 8 S O / 4 8 x x N V S 4 M c H / s H o Q w U w e V 2 Y 8 / e g 2 Z O 0 T 7 t w H j 6 K E l N G z H O f V z j f E A k R 5 P q C H x b K M 0 U 0 r T P W Z 1 o d a Q y m t 0 e m n I k 3 M Z 6 7 f p p S Q + Z a 9 G W s z A Q u g L 5 9 r f Q 3 r 0 e 4 c N f Q G T w W r g n d s O / 5 + s I 9 3 4 b E 2 N j r A I H y N O E g p J V 7 e G Q S s / G B 5 B P R X D u 2 i A 7 n g x D 4 t L e C 0 / d 8 j o c + v f / t G t A C X j f 3 S Z D f H m l H 9 0 3 / s H k g y l A U O 1 f b e a l z l i a Z T 1 1 t c o + H s p M X o i p x J w Z U 0 K G p m X O z g y Y Z L l i a m E 8 Z n W u C E L v Y S 2 H X t P j H H w K k 5 X v Q 9 + + C E Y P 1 S L Q u 9 G 8 / K B m X R A j u 6 3 V o o L W T i 3 E p m Z r 8 r s E E 0 6 3 l 3 w L Z m f Z s n S w u n D B 1 E t R S 2 F J 5 H R 0 f / 9 6 9 S j r k s Z k 3 n 7 X U s 5 6 r t Z Q L Y S 2 H y u H 1 T + k B T 2 L B H T R v W S K i y 7 B 0 p / + k s f n + r T / V 7 / G d F + f G R d n a x N 8 y k 9 a g I 7 t V 5 t 5 K 7 2 8 W 9 Z H 6 0 s e J I N Y Y e s X 3 M 9 k F k 5 k y M B R 1 + L B A s G 8 k 8 u 8 1 P V F Q m 1 T u l s Z t r 1 + C T p 3 z 4 X h p 4 / O W T r a F 1 L Q d t 1 6 v d K v f v Y j O J L P / F f R 4 8 l i o u 2 f a B Z Y k 7 d F E c B A K 4 p t J 3 4 Z c g k F O h 7 O k 0 S j P P Q J 4 K 0 w r w 8 9 E T x D 9 8 P v 3 I d i L E 6 G a j R 7 z B U r l y L P e w q V q y i x L H u 4 d 5 S N 3 f V 6 a r F h H B m q R f r p E W z 4 2 m 4 s q f V Q K w y j e 9 N L U I w n s J + + n N 7 5 9 P J u O 2 + Q U O Z 1 a X + A q I S H 0 7 e o q X M y D E 7 V o L l q g k P p o m 3 e a i Y Z B W 0 8 q U R e E + g w 0 c C 5 / l B S q v I O 4 4 e L C L V l z Z q b 2 f k k 0 2 8 O T H Z Y m 3 7 U r a k y m n A x L B r N 0 7 u 6 a K 6 Y 8 j S v 4 7 P S U x d m n f N J e P 6 S i 1 G j n T u p W S r v + h 9 z t P f J 6 1 C b f 9 r U N n D + r 8 2 x k 6 G Y o V B i v 1 U E F i Y Y W y i k U t j 1 8 l e i 8 m g H a a i I l v 0 H U T X 9 J 4 y 3 v A t h W 0 P 1 7 P k V h g / 8 D K 3 1 w L J L v o i R o 3 9 D 1 S o l A P 7 9 y N H f n 7 c X D V H t W b 7 A L y y i b f A 2 x N s / Y f 9 e B H a f p 1 J p s / W Z p k q o e 8 n w l q A 5 f P g Y j n V 0 Y f / B f V i 7 d i 1 W L l + F B x 9 5 E H W 1 t V i y p A 1 1 d b V I p r J Y u m K 1 F T Y P D V 2 P e N O H M T b d z c f n 0 T J 9 L 8 Z q z q Z T P d 8 J H 4 9 V o z Z 8 f D 7 V y E w d K o M z 8 N E H K I c a Z z l x x 0 O T b 0 H 7 V Z Y l l M f 6 Z f 6 V t o k S t J 5 I E 7 s j D 1 2 C 3 J G D 6 B x 2 I 0 n + q H l 8 F c 5 n 4 4 Q i C a a n f Y W J Q H V w Q C / r 7 a L m t J 6 v l b W l x Y B T N C t N J r u N l l r r + 4 A 0 8 o u A F P v s + q K F E J E r 9 c U 2 Q 7 T I 0 J X K I D a c Q e 1 q y 4 y J s Z 3 a p b S M 7 y j V 4 0 h P O N C w 5 c S Z / 8 d B P q 8 4 U F 0 m v 2 N h a F + m J H 2 R 3 s l J p F / 3 R n o T Q P j 6 / 4 Z r n Z W 1 v f e m f z A b e T o o y S s u t N M Z X g Q 0 r n G a a K E F 6 U J P X f w S 1 M X j c G g h Z l M 7 V j z 3 G C J j 3 0 K 0 7 p P 2 F c D D v 7 w E y 5 p y G B r o x W X v + R m t H i / H / X z 7 7 N 8 D m q M Z + u F 0 Q 8 q h u i 2 E u + 8 + 5 F o u 4 L i c I B N D s M d i V K 9 N q i e D T E 8 j U G k l F M h v S l J Q d z w 6 h K 2 v s t 5 a m B i N I 1 g f Y v c r U d Z i x g N H O u H s 6 e 1 G K n w Z J g 7 S h / F n + c w C h h p f h k B S O U 3 z s Z C Z S q Z / Q 8 X Y c c x U S 6 f v R M w k L G Q m o X z i r M R M p V w 3 Z V G n 8 0 4 s e z m Z Z 8 V a L K m z X s G Z k j S 0 t z U 2 + x j U 1 Z k 9 9 V S 5 + 1 b N v Y V j c / N c / c q Z q a n G C Q 9 9 x + j o E R y 4 7 U P 2 0 c X R O 2 7 V y U w t Z C 3 t L f 8 l N 5 s L R s j B F T P l Y i i m R x D 0 F j H V l U D N y q C J V i r n L q x F k j Q X y 1 H Z F k J k q Q e j u 1 n P M p 9 q M c h f G 5 z h / Y Z p + d d k m i h X z 7 6 P m n c q d o S S u g u T u Q G E I 0 k U 8 t Z b P 3 x r 5 w R B U 4 1 M O z L Z W W V v x l i A L E 1 J 7 X A r y G c S C m R S 7 Q G x E M Y X J D P p T 9 U P b j D H c t G I + S t 0 f + 9 6 0 m 2 R Z d J s z h e w v z + A A 1 3 H l / N i U G S b k / b K g R d C r u 1 S h H q + q 5 v s I y e G m E n z g W K m s R G L B / T u 5 3 A k b J h p 1 1 9 6 M T 4 + h Z 7 x Q e i 9 x 2 I k F k z N 5 q X 2 W g f n n r 2 H 8 N i + C W R r o 7 j j Z i 0 T t g Y 6 Q G J 4 I Z z I P N E 8 w I n e 2 P 3 3 Q g E F S Y G e / j H U R Z z U O B 4 0 H r q c a i a A 2 g m 9 d 6 q I v 7 3 k U n u v N 2 D p 7 u d J 7 s B a l 2 P e / u F J + z x H 2 P p r Y 2 i i g G f 2 J 3 G s n 8 S T U i D 4 x F h S a 5 n E w 9 O 1 J O q s S b q c y n b P S 7 6 c h T u M p M P y B x z w U w s 4 T D Z 4 a U m 7 z D d l 2 5 e g D O Z A p Q f V a 5 0 Y 3 3 9 y T a m o W T 3 9 J G v j F 0 K a y R V i X 6 Q R o z m r u b O h Z J W Z 3 h B k d c C Z M v 3 i K m N W M Z O s Q K f v x I m p H p a r v S k E 7 U f h d 1 a a 9 K T S 3 g 8 l 7 H j P e 9 F a K r u q F j V n W S + R S 7 e 8 A b n x Z 2 k e T 2 L 4 5 j 9 g 3 U 9 y 6 N v e g Z r 6 l X A d / n e 4 D s 1 / Z / F i y C M 7 G x w p f R L 5 E f q V 8 y 0 o r y N I 5 q e P z 3 o s 3 K E p v u y z C B 7 V S + H m H 1 8 M S g A Q 6 h q O n w P b + u o l 6 H l 4 B s e 6 O v H U 9 u d w 8 x 9 v N e 9 A P j z q N s L T e e l F L 8 W a U 2 r h q Z j C F W 8 5 i x W x B i G A M U r u E 0 / w j Q x a h K n I T m Y y w g 6 j O Z M O Y a w / h S r / n G b 4 e + A 7 8 B K E D 1 2 I n l 0 0 B c r Q S 1 O o q a E a 8 U Q S D z 7 0 K P 7 a v A y R e 1 v R c r s b z n w e s U O H c e A H 1 + E 7 3 7 0 e 9 9 z 3 A O K t L e x Y O e A F 3 L H M U t G l H U D H 8 8 N s o z p 9 7 h P o / B L 8 n V / g 9 y I S U 7 2 z x 0 + E x k o r I p X T S s 0 T 4 I l O H z u Y 0 p y S W B O 2 m p g 9 v W 3 + 9 f 9 / Z V c C H W d 1 n b / Z d 0 k j a 7 H 2 x Z I X Y n A M h s T I h G B M Q j B r E t Y C W d q e 9 I S U n J w 2 z W m b p m n P 6 Z a c J C e F k B S S E 5 a E E A o B E + O w x M a s d t m E 4 0 2 2 9 p G s f Z k Z z b 7 2 u + + f 0 Y x G M 5 L 4 d H 7 w z E j z v / + 9 d + / 9 7 n 3 3 3 S d n G G W R X Q u U Q p R p o x / R h a U W v x B i s b W M i p x Q i t X M R r x q y w M q g C C L 8 F I u V q u E l F a L m Y K F I 9 2 q f o a L V y k U L q P I d 9 g M x b M b Q g M D i P Q P K J / a f r k s 5 G p I U V j d C 3 9 A z 3 3 0 0 d i 2 p A S f 6 J s 4 K a O i 7 9 Z f L l v h V 4 Z B n b K 1 F D G 2 R T J 3 8 h F L h y h 6 f o 5 d K n M t F Z 5 Q 5 9 / A c e b f + G B F x r a U n B V E d Q W B 9 W N w l 7 v R 6 F y P O + + 4 B V d d e Y U q o C r Q R 6 b T K g g h N E a F X z M Y r r 4 O c V M Z 9 K n i j n t N n W b K 9 S k 5 4 j + G e N S I M y c 9 + F N 3 H 4 4 d P 6 U + + z C w 9 u y m N p T c O w N G T j z G B 8 y 1 x W H V 0 Z e m B i f f / s S u n b j 9 t p t R f / g g 9 P X 1 6 K T m l 6 K D v o c f w T e + c S + m J 7 y o + t 2 v F K 1 r T + u R V E f J p F V Z s l I w N N 2 k t H W t G z j + e O 5 E x 3 y h W + m S U + 0 L 8 R F S z J A 3 D u 9 Z n S r P J m W T V R S J 9 C l b 8 D I f 0 U T G g h L u t j J 4 + 4 v 3 e y E M + h T / d h 7 B S C 8 n 6 3 K K L R k D s w d k v x p v n U d 1 x / / 7 Y W W x U q V o B p G U t a A 8 l A r i J P x + i K 2 Q O Z m m 8 m i 4 / 9 + X j F / M u A U z z z y t c v 6 G S N G b d 7 T S H y b N 7 V y Z Y g d U / Y / S M O b d I 4 t I 0 s t + F g W i 5 7 X 8 2 Y K b v g 1 H 3 w + Q D q 8 e c F M Q a l v w 3 J d 1 X Y r t F 2 5 D i i L w 2 s t H c f L U G e z f / z z 2 H 3 g R + r I W I 1 K h 5 Q O h w A b p E 2 E 0 T / 0 e 9 b O H 0 D T 5 P H m 6 J o n r Z k g P k 1 E 8 v + 8 V B P 0 x H H r 5 M L q 6 u n D L 5 2 / C t v N z C a F r g X X 8 X x G 3 d 6 G P t G t s R h u Y 1 x 6 7 U v u Q k H U V H f 2 x 9 9 7 r x r P P P Y 9 f / P J R v H D o V U x U V y O e 1 k F H r R i Z m M Q L n 7 w G d 9 7 1 W d Q 3 d a D s p u s 5 i b Q O f 6 Y x N + F F d R S i 5 n A K M c q b U C T 7 8 5 k 3 M w j P U W G E n X j 6 s d f w 9 q s D 7 A 8 H B d 9 O y 2 y i M r G h U r Z l F 5 m T 6 e k Q Z 1 o S l V s K P p T 0 r k z K l Z y Q k Y U 9 b 5 3 G Y D b A U p H A b N / y j B P Z j B m K R u i f D S I c H V A L z a G U V 4 X z S 8 H 3 0 B O q J 2 x 3 X K + 9 Q R i n Z t V 7 1 n 8 o O J k 9 D 1 m q l 4 V Y 5 J D a G r E U R 6 + 7 A c F h j 4 r s m T Z 2 a t F O 9 d h a X w / u e w N 2 p b I J K j / n f 9 I y 8 i p v v V l 9 X g q l k n T j y T A V 7 x T C n O z F x j O W 8 h U V p i y C n X 8 H Y y w A W / 8 D m X e I l S K + y x a Y U 7 B a T G h o q M X 2 D b v Q 1 F S J z X V t a G 3 b q E X 5 Z A 1 q r Y h G E r B Y t R s 0 T h z A Z N 3 n 4 Z 2 J I r i Q x C Q n d V t 7 K 1 q a s t U F i k O K R d r I N 8 U i y 3 P L Y W f y Q C + 9 Z 1 T 7 b C b n S U k 4 H / X k y J + 4 4 / d w 9 u z k a M 7 j 6 N A W b L 1 u H 4 Y G h 9 H c 0 o g Q f + n U z s + g Y m Y I Q 1 S + S Z M R n / E M Z O 4 C n K h t V M V P J F / + x t F h 5 c c U e 9 b G q 7 6 A I C f Y c J z 8 v r 4 G 1 v M 3 o v 1 H 2 h Z x t T y b d F F b R / H + 0 d P w e g O 4 8 M L t M F v 0 O H L k f d j l V A s + i J 6 O z S U 7 L s b p n j O o W l e F U 6 d P 4 4 p P 3 1 g y c X U J U i H 4 g m G U Z 0 4 s z 2 K u L 4 h K C V p J d E o C A 8 k I f P w 5 M 9 m M C 6 v 6 s W B Y m h p U D D L h J q + 8 S 8 3 v q u c e h M 6 h R R F n r 7 x T / X / d w d X D 5 f m Q r H W b f m n y 7 B u X X 4 F 1 t D w y t 7 e M 5 S c H y L P r 8 M b O j 6 D e X I s R / k 5 n h 5 Y / W P 3 T n 8 B 0 3 t o V b 3 4 o X I J A o b i X l N c B C 4 W 3 U K R U F N Z U I g q b D 4 6 b i 3 R f g n L x m i 7 5 w 9 K Q 0 g q x W a j j n U x a 9 E 9 2 / c Y j p J 5 O L X p 7 b N 8 o 9 L M c t L V C f J K s M A n O V e 2 m h Q i h o T y M L Z s 6 8 M n L u 1 Y V J k F 1 1 T i c Z R M Y G 6 c D / d 6 f q / d S a f o O 7 J k h W v m q T H v j 0 Q C 1 H s 1 3 / B y t e B D j Q + / D N z m t T u E W D e Q s c + D S x 2 + F y W H m a 3 4 H P e y X L 9 + t / T E R + c e H t S V o f v G r N 3 6 W k j y E d R b N p 9 L H c y v x f R y S i e p K j N Z V o 8 k X Q P C 4 V o 9 C I I u h S Y O E p K O 4 c F c 7 d l 9 7 A S r q k 7 C v i 2 P v D V 2 4 9 p p P 4 7 q 9 V 2 P v 1 Z + G f l 5 H O v B x t L e 3 4 F q + J 8 I k z 1 Q K f T M Z Z s B B E m F a P H 1 c j h g i K j s c C P J 3 A s N 2 e M Y t m E 1 7 q Z 1 l 0 T a E 8 Z h r C e 0 s v A Q m K i l J h 5 E m y N Q u t + p V w E g s i b y W L O t 8 / y S e o N 9 V x G f I h 0 6 2 x e T h z W u u R W W E F l O s 0 4 Z c E R X Z U i K Z L r q Y B 3 Y 6 + U l 2 h I G M Q l o W p X L 4 M M I k y F b D F a i 1 M E u t y q 0 s 1 r 3 y d D I v V w X n 0 E L 7 v y B e v R O O 7 m / C 7 N m v 3 j Z N v E 4 K 9 w L 0 + Z F u n Z z Q W c F 5 S G 2 f X I A / O s a G l F P p m 3 C G z M o f G 8 e 2 G 6 j A 0 V S q Z C 1 N Y y C K u Z n c B r R s 9 C M L i 6 U G L V P P w u B Y e + e I I O l p J U Y G j l O L v w P 3 R T 9 H r y e G f r Z P n E i Z g D M + o K F a h 2 Q i h T / + r A t n Z z f g 5 B S p B H / e e m L 7 k s 1 e y S 2 3 w d D Y B N F H M j U i v X 1 q 5 T p O u m V r v V h l a 3 S w 3 Z 9 4 + k l M S i d z Q q 0 z 1 m H f 0 w e R C L h w 5 F A v / N / 6 J 0 R p N a U 7 Q h M z 9 F m p d c I m f H B k W N G 7 U p C 6 D 1 n 4 + 9 N Y 1 y k 7 h n W k A 2 Z 1 C c Q C F y I r Z B 1 V S X U K R h b q T C l i N s G n y R T O s a 8 L w 9 k a h a N a o 4 e p W R t q X F O w W + W o n N I q 1 R o P I E q B M Z O y U 4 T U 5 S V F k p I 3 E m y Q 6 h z i u O d n X J i M T o 5 x 6 T C 2 3 C 2 Z D p J h D L E h U V 5 h J A N + p C U z g g + 6 4 e B T 1 N r a Y r f k L 6 p C / u Y W r N 9 U g + G R U T S 5 p C J u A m 2 v v K D W G U W k s 0 h K p d + 8 z Y 4 i F v E 0 n 5 E / k Z Q E G k p T M k d B W Q a B l A a X v 5 X v W Z H O C e h v B b d / H 7 F G L a E 6 v v 4 y X L R j B 3 7 9 3 O v o 7 R t S g b B n n 9 u v d m a / d Y w + i c F F g a 6 n g H g o U E b U B N L 4 0 2 g L k l F a s f 7 x t x a F P E 7 P X D S / o V j p n A L s + 8 0 R b L v g f H R / c A z 3 X h 1 D p P l r e O f t d 2 A x m 7 G + r g Y 2 u x 0 O W p J C z M 7 1 I h i a x s T 4 D J K 9 P + I A A V d f z H s H + v H a m W b M T X l g c T X h U 1 s 9 m A i U o 2 e s G j r 2 f f 3 5 b D 9 Z j 2 e 4 n w 9 R j q u / e h y W u Y O I V m q + 1 v B l n 0 S 0 f w A 9 n K 1 X v f 8 2 b H V 1 O P G c D 1 u v z 5 g 7 Q t Z R 8 k s R i 9 M r e 5 0 E w T 1 f 4 H 9 p q W i h T B Y 7 Z L h r H v o p T p 4 4 B a t V f A k p y j G D P X t 2 4 7 1 3 u x V 9 v P X m z 8 m f Y q 7 f r 4 5 F k a P 2 J e M h T Q 3 q s p s g h y E n e E l m u d O + n J 7 F Y j G Y M 6 c b + u c X U O b O r d k I U p F B s j 3 x / 3 J U N Z 0 g C c 3 k L 0 p E b T Y Q g o 5 0 s y p D 5 W y k h S d f O 6 H m a l V T K 9 s T R + Q r f w u T 1 Y K 6 F 5 5 Q 5 U M S y Z g S K m 3 C U W j p C 4 c y 9 F H P / h O b l u Q k k 3 U t E R S B U N 9 K C k c q R W c / o 1 g 9 v / o 1 A g / 9 H K n e f h i a W 7 H l 6 G v q / U K Y x g 7 g j 7 f 9 F 5 o y Q Z H 2 v D J j W c h C v + y 2 l X t b y E p k R S C x z H c p j W L 7 n 7 K L v J J s u + a S 4 6 V 1 F K 0 t L R a / J 5 t M q 4 t 4 4 J j b J 5 E h n F u 4 h + N N F Z Y v U J I M K l E j q W 6 q L 1 i B L o R 0 f J m h F k a z J M 3 q 4 J j / D U L u 2 z E + M a 2 O / X B X S A n g n A b K x + j h 3 Z A i / c P j Z t 6 L m l o y q u n k n + y J o a b c g 9 E 5 B w c z h P P P 2 4 A B W i 7 J k q h n X x n c K f T 2 D 0 K 2 J + 3 9 l 3 4 6 l n S s b Z r j O n L L 7 U h M T G A o M w l 2 v / Y K 3 n 1 y A D t u y d G Q L E S Q 8 h 1 e S f f 0 j Z 6 E 7 / a v K k E q G x j B W H s T t v 9 R 8 t S W Q v L m F P 1 I G a n l Q 9 C P N M H d Y Y F n n s a e 7 S s 2 H q F I j B Z F E 5 w s x s c n U V e 3 d J 1 D S l u 7 M 6 v z W a R l e z v 5 + 7 z a z q d B P 1 y H V I v G L G a n q A B c R p R R e Z l I 1 + J F L I y N 4 5 m g H 5 b W J W G I W 6 n Q 9 L B b Y o i Z V 6 d F Y j Q d N o 0 m C w Y G h 9 D e p g V 5 D n / i C l R Q i R k 4 i F t O f g B j Z Y k N g x z j / p 3 n I W W q R S f H p R D 5 / l E W I l g i 2 h 8 G Z i r M O K l Z u U m 2 Q K r c b + 0 D Q u 0 C l 4 a s k n S 7 2 i 1 1 V H J p a x u s k 0 / D p J / A Q v U 9 c J z 9 H t 6 v v B k X p M 7 S 3 w 4 Z E D q n S b Y I k 6 C U M M k B U 1 l I 0 q k c U S P + i Z w X G y i / l W p + B C 2 J A 2 g M P Q z j O P k o J b Y Q s 5 E + 2 D 7 + I D W d G c 2 y J Y e 3 6 j 4 h m h z Y 1 G n G f L I D R k 5 U g 3 0 D Q t N x l R o j c u k 5 S C t G Y W 1 1 O N U A P f f t t k V h E s g Z u C K c z W o o g O P f + S 6 s 5 u I L l n 3 T S y 2 B n m T R 3 f h R C o s F 6 y n Y i u / z / e E f L 0 / H E S W R J M U I h 5 O I k p p W d G i C 0 l x C m A R i s a a m Z z B J / y + L r D A N U R A F 4 k + J M E 0 v F P S 9 0 a 2 E q Z w U z i F p T Y Q I k 8 6 j J e C u q 3 H C J f l n R D F h E o Q 5 n k K f E m x 3 l P 6 g 0 e V d k z A 5 k 3 H Y b V r 1 3 i y y w i Q Q m y g L x f q a 6 t L C J G D H b N t 3 L 5 p f f l m b s A W X 8 v t k Q Z a X 9 K + 6 + I F Z L d k U 9 M c K k L U p P a 2 U W N N 8 Y R J o Z 0 V T m I R W J n 2 k n O z D v I T i R a x y O x E m a V + k 9 n P Y d 5 x 9 w 3 8 H N / w 1 N r r r 6 b P 2 Q V 9 h b 0 B T O 0 3 j w O q 1 H u S A K S c p T d a x Z 4 u 0 / 2 e Q s j U g U n 8 X A n V f I w + 9 J v N u D i J M W T T t k S I h a d R X J G A r t 6 p M c r F E L Z x n R u c G B O b 6 M f O A S V u v o A w Z e 3 S Y e 6 Q W 6 U A A 7 Z J / N p P C q x e S K 2 Y w 4 j W i 7 a U D y u l 1 c J A n D r 9 K R z G / H o Y G S Y f a 3 p h Z Q y v w C Y 2 d 4 q f p M d 3 R i f p A D L P 7 3 8 w 9 a x a i A d h X Z l s U F h o T b 2 x Y C b K 2 N U S D e C z B z M E B A h N v U 1 N d p X w / S V x N y N p Y B q 0 U R I H 4 U w L Z N z U 5 O Y 6 e / z u I w R N H M T U + C I e 5 C l G T G y F j T r u m q i f U 2 M u S w W o V e b K C m I W D f p V c x W C l 0 E n g w k I l Y 7 F v w W + f / F 9 a p R E 8 9 u v f 0 p d 4 H e F o A t F 4 C i M j Y 2 i + 8 8 9 I 9 e g j f e N e M p O p F d s h 6 4 L 5 A a 2 l y I 2 D U t C 8 R L g i F A s J h E E o a j K x K H T F r i x U 2 e a S Y I / J U o B B j k C V k n V y E q d Y e r 5 f k G W + E v S Z H c 2 B Y B z T s 3 4 c O 9 W H d 7 t P 4 x e H a z N F W o j I Q g R B 8 / L F r k Q w B a N D e + A q Q 5 W K d B S D b D / O b r X O h 3 P 8 f i V g A j l W R D W e m H m P F q m r A / 1 / 0 E L m g x N G V J / m 7 + + m T 0 I / 2 e f n 7 3 1 n Q C 3 a b m 5 t g Q T D I 2 S G b V T C Y h M G P U M I x p L Y 0 3 8 W 4 x E b G t 1 p t U 1 j d i + / I B 7 G k N 6 s 7 v S p P I p h M B p w 8 N C r G C R t 2 b b t A v S T r m z a 1 I n X X 3 8 D V V X V 9 I k + i 3 7 S m A g t c X R g A L O d H b j k u d 8 g Y d P 8 L N O 5 z Y g 3 y I n j 2 s S J x c 0 w m z T h k G 0 R O t 5 T d G M + 5 L h P f 5 j W x 0 5 l Z F y e y l I M 4 i + F 2 A e 1 l d W k 1 h Z O r H m M f d C D + v a t 6 O t + E 0 1 d W l q P c a S T 9 6 R D j R G Y G 9 Y Q 1 c p g J T p l k r o f d L j N B a l F I i x y S c D H Y D R R q C h 4 e i M 8 Q 6 N 4 8 e U X c e u t t + L s 2 V 4 E A n 7 2 S x x e r w + 3 3 a J V W B I 4 R 3 + I Q G M u S T Y f 0 p q 5 E q d q L E U K V l r N S M F y w d z B u / B R s h u Q x o d a H q L w 8 t 8 r J c I K t G m o U F g P P 7 9 r d O F e p P P q o C x C / P H w C D 9 r 4 h i Y V J H U Y P N f Z K s e 0 Q z E Z j B 2 0 k b f x U k N G o C z s g y p 1 t x D L t P U B f A E 3 0 K z 4 9 L M q 6 U w + E 6 x j S k k y r d i 2 j O D k f e n c e H 1 b K T s V 0 m E 0 H v g M 2 p i z H 6 P 1 u h G / j 7 d n h H 6 f / X f H 8 c 5 D q C R A 7 R p Q 7 s S q o W Y D l s l Z y o + h + P D 8 8 o i 7 V 1 c + 5 B e 0 u E s h S L s 4 6 C 2 1 e L y Z 5 / W P i L i / C 6 T J N A S M j m 0 9 S M D U s k k R s 6 N o a m h H r 1 X X Y 3 5 y S n 0 8 7 2 t Z S 4 E f / x j J O M J b L n I r b R s P s I x C 2 x m j d b 6 V Y F E + l 8 W T W h S a f G 1 c h S 5 3 N w I 4 5 K j V 4 s j f 5 1 M j O E q x k f B N x e i F S u j Z V 8 e z b K S d h d O Q D k A L 5 t V k f 9 v Q S V t k 2 4 N l a k E Q 0 M e t Y X B 6 V r F L 1 k F i 8 + c N 8 n X i q F X / h k J / y B 2 f 9 S E g Y U t W P + x b 8 H h o B X i n A 4 s 5 L Y M a b 6 P x I K X j u E i Z M s 9 6 X 5 R S D A i v 0 x b w q 9 d E u m T O Z E M I T R / H E 5 b H Q x X t N z w X e / 4 A i p b 6 1 D e Z I e r X s / / W x H 1 h z H Z 6 8 P U O 3 r E A 2 k k M m c l y g B P B C 0 Y m d H j Z / t 8 + F h 7 A I n Q N I X G A i 8 n Z f / b f o x 0 z 2 O q f w 5 T A 7 O Y H v B j c k K H 0 X 4 9 z N 5 X U b 1 x M + r O a 1 A N M U + + h F T Z Z j h O 8 o t / c E z t B P X 1 0 L 8 4 Q o p 0 H B h z u V B L 3 y N E 3 p 6 k x q u z 2 e C j C H k p f G U G G 6 r c b k z O z 2 P w 4 U f R 8 d W v S O u k i T D f c B 1 V r R n b f r Q 0 U U 2 y h k O h I P 2 Z O f j 9 C 4 h T U G w Z / 6 P M 5 Y R n d A w d X 7 8 X h m g Y P l 8 A m 3 / 5 L D q 3 N M O 9 z k X L T N p R M O I m g 0 Y 1 w n G v 8 g N m / R d T C G T R O p I R p p w 0 R J N + 7 W D t k k h z Y i 3 V 0 t L X 0 x N + O J x L B S I f v v k Q y i v t 0 J v o 2 0 0 7 6 C b k 1 p E k 8 6 O Y X + V I R h D j + + W 6 B q U k S O L U + + W 6 Z o Q N s T U X v M S 0 E 2 V 1 S 9 s 2 M z O r T q q Q t U K B K C 1 R X r 5 A H K 7 5 w 0 g 5 l w e J D K T h M T K c 8 X c e w J b E f S j z P Q N / x U 3 q s 7 l w C O F E H L Y i p w c G J v 6 E 2 d 4 D 7 G t 5 Z c J g 7 z E E L R e j s S q o N i z G o n n P I e t r J W q C L K J A Y S 4 i + 3 c U L J V 9 I 4 n f c m W 0 n X P i f q R r P w + j r z t H + Y p B j n I U m p S P f g r H k 4 c o a N 4 k b t x V h q 7 N d O D 5 O x J G / r A w + H t h X T i E Y M N X M H n z b U h O T i o r J J O r j Z N B n w j C M E u X f D 6 M / s 4 N a D U Y I a Q 0 L u s O 1 L p N b L l n b A w L 7 P T r R 4 Y 4 g z g 5 4 l E M f T C K z k t o U f k d + Z 0 k Q Z V z A 6 f R 3 J k 5 R y o P S f L w J 3 7 7 F O m O F f P e e Q S D Y e V j 3 f 2 F O x E K h v D I I 4 / g L 7 9 O 8 1 k E o Z g X F p O k I y 2 N 5 B V D K U s 1 Q / 8 y 3 x o V R i K L Q Q a u s N c l W G G t H 0 D Y u L o 1 F M Q S Z r h 0 C 4 i y P 7 N R Q n H s 3 e b l + 4 o K E Z y O w F G t 3 S c W i 1 O H S Q 2 N 0 v P A 2 v t T R D q L p z r N R s 6 i 5 3 d f x J 7 M 4 R i j L Y 9 S U c X g i 1 j g s v A + 5 q W C K / X V T z z 1 Z f r 1 U N k 1 g w P n 4 H C 3 o + K i 7 3 L c d G h v 3 c X + z B M Q W d f L H F b 3 Y T A Z O o l a e 2 a + S F W l A r f G P v w T 0 s x 7 M q / Y / 1 m B k s m j H M A 8 z A 8 E 4 G 7 P l 3 I 6 s p w 0 0 a R U i e W f C V U s Z S b X D P k e X n x 4 O Z d J d p 9 K E F V a s m d g U K r I Y M z h w D G r F Y l w G B 3 1 d Z B S h m S w a M 1 o v 5 N 9 / b j 4 F w + i 9 g p S z v Q 8 j r 0 Y w k U 3 5 s 6 D H R 0 8 g 8 o a r Z r c 1 N g A 2 j Z u V Z q z E N F g l D 4 b F Q S F K p a I q h L M W c x L 8 R F a o Q + D l Z Y f I p F N i w d v B 8 I n E Z U F o h V g p V X x 0 p K o w i K r w O D p Q L J 5 e Y p V F j b S w H C G B g Y j d j i s I f b m c r 9 q J Z o f m o n A X l V a a K X S k J Q / V u O b K R Y 6 M T E N W / l 6 V c O j E I c f u Q J O R x Q 1 a s O z H o 6 u l T c 8 n v 7 6 3 Y h 3 Q U W B / Y / P I P i p B r S S l U 1 N T W P D J f d g / 9 u V q K 6 p w q U 7 d 8 D l K i e 1 D S O Z Z n v k L O P s Y X v L I G O 1 t A 8 8 C 0 f 4 j h 5 N t s 1 8 B l L b g r U x 2 y A F v + 1 u 9 e + A Z I e I Q N 3 / w I P K 2 Z T v u v H 6 6 1 F J X i x 1 5 c K + I B 5 9 4 n F 8 + U t 3 8 V 4 a x x S h W 4 y O i Y A V J F B + K H B g h 0 e n 0 d K S 4 7 o e + j 9 y j 2 H e g 4 + A Z g r L 4 Y 4 N S s D m P R 6 k o 3 F s 5 m t P f A Z X H j 2 O n s s k q J H C h k M v q r 9 P J d i + 7 M I 0 h c b j 6 U N d f Y f 6 z g l P P y p N t e g e P c t H 1 c F i N e G C j T v o Y A c x F 5 i F U R 9 F m T k I Z / V W b S t 0 A Y r l A a 4 E o X + 6 j E A t h J 1 w Z Y I b W V T p y j C T X n k P V j 7 E a k k R S t k y s x q S 5 1 w w N O S y I M b m a 1 H v z q X S F P O t i q G U U M 3 1 R F C 5 e Q U r K K d b G D X h F w o o B f f d b u 2 1 R E U l 2 u k P a 4 E O q S 3 Y / c K 9 p K L k + b o o 1 u 1 + F J G 4 G d Z M w K c Q Z / f c L W Q E Z d 9 k H 4 d S W L h P B / f f a 2 2 p P e + v U L H h D k U j 3 3 z r T V o w E 8 7 2 9 m F j Z w d 2 7 N i u 5 k R R K O N Q P A o p u 6 5 l r 9 M i J J I o C Q F y L l c B C 1 p i o Q a H R 2 G 3 W f D 2 2 + / C b n e q v f L v v v e u a k M q m U B Z e T m u 3 b u X v 1 N I b e Q r S p v 6 4 q B G V B M u 8 z I P Q x Q q w S C / U 1 Z B f F 4 v x u 2 k V E Y j I h T 8 O r M B Z t K / w H 9 8 G 7 v W j y B l r U f C u R E R s w 2 j b 1 T A 1 U I f x p y A P u q A r S 4 B i 1 3 P + 2 g d r o u S N F o l M i M W G T h H y l j p N O H B h 5 / g M 9 v x p S 9 9 E Y 8 + 8 i g u 7 b o M W 5 r k B A 9 2 W q b e e o p 2 M b / O + 0 p w x Q N Y y N s A J 7 t U T Y Y E Q q Q e d l I P I w d Q M g G C U b u y E j X l u T B 7 K S z E J s g M n M r H k Y p F + i T / v e Q k t x y S c T 0 M 9 K s K I R n j E n k U g Y r r j Y s B C f G f f O n l V a 8 E h U I V 9 U V g K S 8 h T G L F 8 4 I c 2 S 3 l W V h G H 0 e 0 8 Y 7 M q + X I X 1 q J J 0 3 s s 5 x P K D h F Y Z J v z 6 a + D p 2 b R E t D r c r v M 9 A Q V D / z V O Y T 9 k F k B A a r K G t N c I u x k q V g f 8 n 5 u Y V 1 4 i X N q g i D M I 8 d Q K x e W x 6 a 8 y 5 g f m 6 u h A / F m w d n g n C s y / B F v p a U p A C d M j n p X Y G N l Y k p k L y p t Y a E 1 4 o B C p W k 7 v T S j 9 t K / j x P P 6 n H 7 6 e Q V 6 H s v v s R X P B h 5 8 W b s P + l o 9 i 1 6 z J 0 d 3 f D Z D L i / P b z U N O y f H v 9 I s T / k p o P G e j o p 6 V F U 5 f Q T g o S 0 c n s Q E 7 r t M q 6 2 W 3 v c 8 E K V D q 0 N Y w E h W Z 2 w Y 0 2 5 w h C p X w Y 9 r a J 1 j 4 b L E g k D K S Z a 6 e S U k h H l J D 4 V 8 F A D A 5 n a b / N O L I J i a b l a 3 E C 0 W O r T a 8 s 3 J Y 2 k p 6 c k H j 7 U q j o y P N P s i i Y e B I 6 r 8 g c + C y 7 h v 3 x c T T M / Q 4 T 6 2 5 B T A r b 8 M d M h m M x l G k F g l Z o U D R h g v f F 1 z H 1 w / + h Z U + q W s d D Q + f Q 2 E q f V L 6 n u h 7 r 8 4 R J Q S K Y / F m L b 7 s I Y V 1 i g d g m V Q a 6 o I J V P v Q L Q 0 i 5 c g v d f 3 j x I P 4 f k g T k l + S q F e o 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 P o l l u t i o n   C a t e g o r y   -   A l l   T i m e "   G u i d = " 2 9 a c 6 1 1 b - a 9 7 6 - 4 2 6 6 - a d d 3 - f e 7 4 e f 3 1 3 4 9 3 "   R e v = " 9 7 "   R e v G u i d = " 3 3 8 d d 0 9 1 - 9 7 f f - 4 2 2 3 - 9 e 7 6 - a f 4 c 8 e f c 9 0 e e "   V i s i b l e = " t r u e "   I n s t O n l y = " f a l s e " & g t ; & l t ; G e o V i s   V i s i b l e = " t r u e "   L a y e r C o l o r S e t = " f a l s e "   R e g i o n S h a d i n g M o d e S e t = " f a l s e "   R e g i o n S h a d i n g M o d e = " G l o b a l "   T T T e m p l a t e = " B a s i c "   V i s u a l T y p e = " S t a c k e d C o l u m n C h a r t " 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9 & l t ; / C o l o r I n d e x & g t ; & l t ; C o l o r I n d e x & g t ; 1 0 & l t ; / C o l o r I n d e x & g t ; & l t ; C o l o r I n d e x & g t ; 1 1 & l t ; / C o l o r I n d e x & g t ; & l t ; / C o l o r I n d i c e s & g t ; & l t ; G e o F i e l d W e l l D e f i n i t i o n   T i m e C h u n k = " N o n e "   A c c u m u l a t e = " f a l s e "   D e c a y = " N o n e "   D e c a y T i m e I s N u l l = " t r u e "   D e c a y T i m e T i c k s = " 0 "   V M T i m e A c c u m u l a t e = " t r u e "   V M T i m e P e r s i s t = " f a l s e "   U s e r N o t M a p B y = " t r u e "   S e l T i m e S t g = " N o n e " 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A v e r a g e & l t ; / A g g r e g a t i o n F u n c t i o n & g t ; & l t ; / M e a s u r e A F s & g t ; & l t ; C a t e g o r y   N a m e = " P h o s p h a t e   P o l l u t i o n   C a t e g o r y "   V i s i b l e = " t r u e "   D a t a T y p e = " S t r i n g "   M o d e l Q u e r y N a m e = " ' A l l D a t a M a p ' [ P h o s p h a t e   P o l l u t i o n   C a t e g o r y ] " & g t ; & l t ; T a b l e   M o d e l N a m e = " A l l D a t a M a p "   N a m e I n S o u r c e = " A l l D a t a M a p "   V i s i b l e = " t r u e "   L a s t R e f r e s h = " 0 0 0 1 - 0 1 - 0 1 T 0 0 : 0 0 : 0 0 "   / & g t ; & l t ; / C a t e g o r y & g t ; & l t ; C o l o r A F & g t ; N o n e & l t ; / C o l o r A F & g t ; & l t ; C h o s e n F i e l d s   / & g t ; & l t ; C h u n k B y & g t ; N o n e & l t ; / C h u n k B y & g t ; & l t ; C h o s e n G e o M a p p i n g s & g t ; & l t ; G e o M a p p i n g T y p e & g t ; L a t i t u d e & l t ; / G e o M a p p i n g T y p e & g t ; & l t ; G e o M a p p i n g T y p e & g t ; L o n g i t u d e & l t ; / G e o M a p p i n g T y p e & g t ; & l t ; / C h o s e n G e o M a p p i n g s & g t ; & l t ; F i l t e r & g t ; & l t ; F C s & g t ; & l t ; C F C S t r   A F = " N o n e "   A l l S p e c i f i e d = " t r u e "   B l a n k S p e c i f i e d = " f a l s e " & g t ; & l t ; M e a s u r e   N a m e = " S e a s o n "   V i s i b l e = " t r u e "   D a t a T y p e = " S t r i n g "   M o d e l Q u e r y N a m e = " ' A l l D a t a M a p ' [ S e a s o n ] " & g t ; & l t ; T a b l e   M o d e l N a m e = " A l l D a t a M a p "   N a m e I n S o u r c e = " A l l D a t a M a p "   V i s i b l e = " t r u e "   L a s t R e f r e s h = " 0 0 0 1 - 0 1 - 0 1 T 0 0 : 0 0 : 0 0 "   / & g t ; & l t ; / M e a s u r e & g t ; & l t ; I s   / & g t ; & l t ; / C F C S t r & g t ; & l t ; N R F C   A F = " N o n e "   O p = " A n d " & g t ; & l t ; M e a s u r e   N a m e = " Y e a r "   V i s i b l e = " t r u e "   D a t a T y p e = " L o n g "   M o d e l Q u e r y N a m e = " ' A l l D a t a M a p ' [ Y e a r ] " & g t ; & l t ; T a b l e   M o d e l N a m e = " A l l D a t a M a p "   N a m e I n S o u r c e = " A l l D a t a M a p "   V i s i b l e = " t r u e "   L a s t R e f r e s h = " 0 0 0 1 - 0 1 - 0 1 T 0 0 : 0 0 : 0 0 "   / & g t ; & l t ; / M e a s u r e & g t ; & l t ; F i r s t N u m   O p = " I s G r e a t e r T h a n O r E q u a l T o "   V a l = " 2 0 2 3 "   / & g t ; & l t ; S e c o n d N u m   O p = " I s L e s s T h a n O r E q u a l T o "   V a l = " 2 0 2 4 "   / & g t ; & l t ; / N R F C & g t ; & l t ; / F C s & g t ; & l t ; / F i l t e r & g t ; & l t ; / G e o F i e l d W e l l D e f i n i t i o n & g t ; & l t ; P r o p e r t i e s & g t ; & l t ; I n s t a n c e P r o p e r t y   I n s t a n c e I d = " L a t L a t V a l L o n L o n V a l A d d r A d d r V a l A d A d V a l A d 2 A d 2 V a l C o u n t r y C o u n t r y V a l L o c L o c V a l Z i p Z i p V a l F u l l A d d r F u l l A d d r V a l O l d O l d V a l C a t ' A l l D a t a M a p ' [ P h o s p h a t e   P o l l u t i o n   C a t e g o r y ] C a t V a l S o m e   e v i d e n c e   ( 0 . 0 5 - 0 . 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N i t r a t e   P o l l u t i o n   C a t e g o r y ] C a t V a l N o   e v i d e n c e M s r M s r A F M s r V a l M s r C a l c F n A n y M e a s F A L S E A n y C a t V a l F A L S E # X C o o r d X C o o r d V a l Y C o o r d Y C o o r d V a l # # C u s t R e g C u s t R e g V a l C u s t R e g S r c C u s t R e g S r c V a l # " & g t ; & l t ; C o l o r S e t & g t ; t r u e & l t ; / C o l o r S e t & g t ; & l t ; C o l o r & g t ; & l t ; R & g t ; 1 & l t ; / R & g t ; & l t ; G & g t ; 1 & l t ; / G & g t ; & l t ; B & g t ; 1 & 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N i t r a t e   P o l l u t i o n   C a t e g o r y ] C a t V a l S o m e   e v i d e n c e   ( 0 . 5 - 1 p p m ) 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 C a t e g o r y ] C a t V a l V e r y   h i g h 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 C a t e g o r y ] C a t V a l S o m e   e v i d e n c e 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A l l D a t a M a p ' [ P h o s p h a t e   P o l l u t i o n   C a t e g o r y ] C a t V a l N o 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P h o s p h a t e   P o l l u t i o n   C a t e g o r y ] C a t V a l V e r y 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H i g h 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P r o p e r t i e s & g t ; & l t ; C h a r t V i s u a l i z a t i o n s   / & g t ; & l t ; O p a c i t y F a c t o r s & g t ; & l t ; O p a c i t y F a c t o r & g t ; 0 . 8 1 4 2 0 7 6 5 0 2 7 3 2 2 3 8 4 & l t ; / O p a c i t y F a c t o r & g t ; & l t ; O p a c i t y F a c t o r & g t ; 1 & l t ; / O p a c i t y F a c t o r & g t ; & l t ; O p a c i t y F a c t o r & g t ; 1 & l t ; / O p a c i t y F a c t o r & g t ; & l t ; O p a c i t y F a c t o r & g t ; 1 & l t ; / O p a c i t y F a c t o r & g t ; & l t ; / O p a c i t y F a c t o r s & g t ; & l t ; D a t a S c a l e s & g t ; & l t ; D a t a S c a l e & g t ; 1 . 3 2 7 8 6 8 8 5 2 4 5 9 0 1 6 8 & l t ; / D a t a S c a l e & g t ; & l t ; D a t a S c a l e & g t ; 1 & l t ; / D a t a S c a l e & g t ; & l t ; D a t a S c a l e & g t ; 1 & l t ; / D a t a S c a l e & g t ; & l t ; D a t a S c a l e & g t ; 0 & l t ; / D a t a S c a l e & g t ; & l t ; / D a t a S c a l e s & g t ; & l t ; D i m n S c a l e s & g t ; & l t ; D i m n S c a l e & g t ; 0 . 6 4 4 8 0 8 7 4 3 1 6 9 3 9 8 5 1 & l t ; / D i m n S c a l e & g t ; & l t ; D i m n S c a l e & g t ; 1 & l t ; / D i m n S c a l e & g t ; & l t ; D i m n S c a l e & g t ; 1 & l t ; / D i m n S c a l e & g t ; & l t ; D i m n S c a l e & g t ; 1 & l t ; / D i m n S c a l e & g t ; & l t ; / D i m n S c a l e s & g t ; & l t ; / G e o V i s & g t ; & l t ; / L a y e r D e f i n i t i o n & g t ; & l t ; / L a y e r D e f i n i t i o n s & g t ; & l t ; D e c o r a t o r s & g t ; & l t ; D e c o r a t o r & g t ; & l t ; X & g t ; 3 & l t ; / X & g t ; & l t ; Y & g t ; 6 & l t ; / Y & g t ; & l t ; D i s t a n c e T o N e a r e s t C o r n e r X & g t ; 3 & l t ; / D i s t a n c e T o N e a r e s t C o r n e r X & g t ; & l t ; D i s t a n c e T o N e a r e s t C o r n e r Y & g t ; 6 & l t ; / D i s t a n c e T o N e a r e s t C o r n e r Y & g t ; & l t ; Z O r d e r & g t ; 0 & l t ; / Z O r d e r & g t ; & l t ; W i d t h & g t ; 8 2 9 & l t ; / W i d t h & g t ; & l t ; H e i g h t & g t ; 2 6 1 & l t ; / H e i g h t & g t ; & l t ; A c t u a l W i d t h & g t ; 8 2 9 & l t ; / A c t u a l W i d t h & g t ; & l t ; A c t u a l H e i g h t & g t ; 2 6 1 & 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B a h n s c h r i f t & 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B a h n s c h r i f t & 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4 & l t ; / S w a t c h S i z e & g t ; & l t ; G r a d i e n t S w a t c h S i z e & g t ; 2 1 & l t ; / G r a d i e n t S w a t c h S i z e & g t ; & l t ; L a y e r I d & g t ; 2 9 a c 6 1 1 b - a 9 7 6 - 4 2 6 6 - a d d 3 - f e 7 4 e f 3 1 3 4 9 3 & l t ; / L a y e r I d & g t ; & l t ; R a w H e a t M a p M i n & g t ; 0 & l t ; / R a w H e a t M a p M i n & g t ; & l t ; R a w H e a t M a p M a x & g t ; 0 & l t ; / R a w H e a t M a p M a x & g t ; & l t ; M i n i m u m & g t ; 0 & l t ; / M i n i m u m & g t ; & l t ; M a x i m u m & g t ; 2 . 5 & l t ; / M a x i m u m & g t ; & l t ; / L e g e n d & g t ; & l t ; D o c k & g t ; T o p L e f t & l t ; / D o c k & g t ; & l t ; / D e c o r a t o r & g t ; & l t ; D e c o r a t o r & g t ; & l t ; X & g t ; 1 0 8 9 & l t ; / X & g t ; & l t ; Y & g t ; 1 6 . 5 & l t ; / Y & g t ; & l t ; D i s t a n c e T o N e a r e s t C o r n e r X & g t ; 1 4 & l t ; / D i s t a n c e T o N e a r e s t C o r n e r X & g t ; & l t ; D i s t a n c e T o N e a r e s t C o r n e r Y & g t ; 1 6 . 5 & l t ; / D i s t a n c e T o N e a r e s t C o r n e r Y & g t ; & l t ; Z O r d e r & g t ; 1 & l t ; / Z O r d e r & g t ; & l t ; W i d t h & g t ; 2 0 9 & l t ; / W i d t h & g t ; & l t ; H e i g h t & g t ; 1 1 0 & l t ; / H e i g h t & g t ; & l t ; A c t u a l W i d t h & g t ; 2 0 9 & l t ; / A c t u a l W i d t h & g t ; & l t ; A c t u a l H e i g h t & g t ; 1 1 0 & 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2 6 & l t ; / F o n t S i z e & g t ; & l t ; F o n t F a m i l y & g t ; B a h n s c h r i f t & 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s > < / T o u r > 
</file>

<file path=customXml/item2.xml>��< ? x m l   v e r s i o n = " 1 . 0 "   e n c o d i n g = " u t f - 1 6 " ? > < C u s t o m M a p L i s t   x m l n s : x s d = " h t t p : / / w w w . w 3 . o r g / 2 0 0 1 / X M L S c h e m a "   x m l n s : x s i = " h t t p : / / w w w . w 3 . o r g / 2 0 0 1 / X M L S c h e m a - i n s t a n c e "   x m l n s = " h t t p : / / m i c r o s o f t . d a t a . v i s u a l i z a t i o n . C l i e n t . E x c e l . C u s t o m M a p L i s t / 1 . 0 " > < m l > H 4 s I A A A A A A A E A L V S w U 7 D M A z 9 l S j 3 r i 3 b E K C 2 C G 2 a m D Q Y Y i C 2 o 5 e 6 X U S b l C a l 4 9 s 4 8 E n 8 A m 4 7 t i E O n D g l 9 n v x e 7 b z + f 4 R X G 7 z j L 1 i a a R W I f d 7 H m e o h I 6 l S k N e 2 c Q 5 4 5 d R M K q M 1 f k N F G Y m j W X 0 R p m L r Y l D v r G 2 u H D d u q 5 7 d b + n y 9 Q 9 8 T z f X d 7 M F m K D O f A 9 W f 5 N d q Q y F p R A f i x 5 d G e P S r 5 U u L c z J Q e e N + j j 0 O s 7 Y u 1 7 z i B Z o 3 P u g X B A n C b x c C h O c D D g 7 B Z y D H n 3 k F E j z O d s m k O K Y 2 m K D N 4 6 / F Y r 3 O W f Z G w 3 c 5 r M N c p 0 Y 2 k 2 B J g H z A t d Q v k W 8 g Q y c z C 6 K E D g G J M o m J p F D c U S V L y K W k 7 g H q c I H 0 E m 1 y V Y n K u J L I 2 N b F l h w / o F E H m m x T P G h 0 q 7 O L j a S r N k C w E Z 3 o n O X h v M k 8 S g b V O 0 y 6 m 5 q q y m u q L K S J D G 1 d l u A C o w y W R R H L J R W / U e V I p s U u o 8 5 I 5 / R l U e N L X f X N w o c F v h j r n 6 f / 3 z n X x z f q u v y E W 3 y c P U d w n a 7 B 5 s v u u P o P m 7 0 R d + D 2 h J 9 Q I A A A A A A A A A A A A A A A A A A A A A A A A A A A A A A A A A A A A A A A A A A A A A A A A A A A A A A A A A A A A A A A A A A A A A A A A A A A A A A A A A A A A A A A A A A A A A A A A A A A A A A A A A A A A A A A A A A A A A A A A A A A A A A A A A A A A A A A A A A A A A A A A A A A A = < / m l > < / C u s t o m M a p L i s t > 
</file>

<file path=customXml/item3.xml>��< ? x m l   v e r s i o n = " 1 . 0 "   e n c o d i n g = " u t f - 1 6 " ? > < T o u r   x m l n s : x s d = " h t t p : / / w w w . w 3 . o r g / 2 0 0 1 / X M L S c h e m a "   x m l n s : x s i = " h t t p : / / w w w . w 3 . o r g / 2 0 0 1 / X M L S c h e m a - i n s t a n c e "   N a m e = " S a f e   A v o n   S t a t i c "   D e s c r i p t i o n = " S o m e   d e s c r i p t i o n   f o r   t h e   t o u r   g o e s   h e r e "   x m l n s = " h t t p : / / m i c r o s o f t . d a t a . v i s u a l i z a t i o n . e n g i n e . t o u r s / 1 . 0 " > < S c e n e s > < S c e n e   N a m e = " N i t r a t e "   C u s t o m M a p G u i d = " 0 0 0 0 0 0 0 0 - 0 0 0 0 - 0 0 0 0 - 0 0 0 0 - 0 0 0 0 0 0 0 0 0 0 0 0 "   C u s t o m M a p I d = " 0 0 0 0 0 0 0 0 - 0 0 0 0 - 0 0 0 0 - 0 0 0 0 - 0 0 0 0 0 0 0 0 0 0 0 0 "   S c e n e I d = " f c a 1 e 7 7 f - c 1 1 a - 4 b b 6 - a 3 1 c - 9 3 b 4 f 2 2 4 5 6 a 1 " > < T r a n s i t i o n > M o v e T o < / T r a n s i t i o n > < E f f e c t > F l y O v e r < / E f f e c t > < T h e m e > B i n g R o a d < / T h e m e > < T h e m e W i t h L a b e l > t r u e < / T h e m e W i t h L a b e l > < F l a t M o d e E n a b l e d > f a l s e < / F l a t M o d e E n a b l e d > < D u r a t i o n > 3 0 0 0 0 0 0 0 0 < / D u r a t i o n > < T r a n s i t i o n D u r a t i o n > 3 0 0 0 0 0 0 0 < / T r a n s i t i o n D u r a t i o n > < S p e e d > 0 . 5 < / S p e e d > < F r a m e > < C a m e r a > < L a t i t u d e > 5 2 . 1 2 2 8 6 7 1 3 7 8 9 6 9 1 1 < / L a t i t u d e > < L o n g i t u d e > - 1 . 6 9 2 3 7 5 2 1 4 0 3 9 0 5 9 1 < / L o n g i t u d e > < R o t a t i o n > 0 . 3 9 2 3 1 8 3 7 6 2 5 7 0 7 8 8 8 < / R o t a t i o n > < P i v o t A n g l e > - 0 . 7 9 2 3 5 1 5 7 2 0 4 3 7 6 8 < / P i v o t A n g l e > < D i s t a n c e > 0 . 0 0 4 6 1 1 6 8 6 0 1 8 4 2 7 3 8 8 3 < / D i s t a n c e > < / C a m e r a > < I m a g e > i V B O R w 0 K G g o A A A A N S U h E U g A A A N Q A A A B 1 C A Y A A A A 2 n s 9 T A A A A A X N S R 0 I A r s 4 c 6 Q A A A A R n Q U 1 B A A C x j w v 8 Y Q U A A A A J c E h Z c w A A A m I A A A J i A W y J d J c A A I L 3 S U R B V H h e 1 b 0 F o F z V t T 7 + n X G f 6 + 5 x I w m Q A C G 4 F S j S I i 0 t U P e W e v t e l b 5 X o y 6 0 l C J t c W / x Q H H i C X G X 6 2 7 j L u e / 1 j 4 z d 3 z u 3 C T 0 9 / 4 f T O 7 M m T P n 7 L P 3 8 r 3 2 2 p J z r F O G y o R w 3 A d / R I + m 2 h r c 9 d e 7 s W v n L v z 8 t t t w y i m n 4 M I L L s B L L 7 + M 2 2 / / I 7 7 0 p V v w w R u u x 4 M P P I y 3 3 n o T 1 1 x z L Q w G A 8 b H x / H U U 0 / i v P P O x + c + 9 z k 8 + O C D a G t t x e 9 / / 3 v M n z 8 f d / 7 1 r 3 j 8 8 c f x 8 s s v Y W h w E G e d f Q 7 s d h u a G p s Q D I V w x h l n 4 P 7 7 7 8 e t t 9 6 K b 3 z j G 6 i r q 8 X Z d E 5 N T Q 2 e e e Y Z L F 6 8 G B a L B b 2 9 P e j r 6 4 f L 5 c T N N 3 8 E 6 9 e v w 7 X X X o M n n n i S r v 1 v x O N x X H n l l d i w Y Q O q q q r Q 3 t 4 G t 9 u D o a E h 3 H n n n f j o R z + K n / 7 0 J 7 j t t l + I 7 z 7 y k Y / i h z / 8 I U w m E w Y G B u j 5 v o h 7 7 / 0 b G N / 5 z n / T e b f h 4 f v v x Y o V K 3 D x p V e J Z 3 3 m m X / R t y q 6 l w z X o B t q a 1 S c r w r 1 I K 5 v h R Q e B C Q d Z E 0 F / V W J 7 z I h 0 / / 8 i t C P 9 P R W R r + 7 G 9 X G O k Q R h k V n h x R x Y K x L h b A n g o b l Z j r P m P i t g m g c 0 M p e j B 6 M I W r x o a K 2 D B h 5 B z / 9 2 1 v 0 T D d R / z + M y c k J / P x n P 8 P 3 v v d 9 / P L X P 8 Z Q / z i M 5 f U w a + P Q q m W 4 g x J s B h l y a A A q D d 2 D m 6 S x U f t H 6 H 4 m y G o b t V 9 K 3 L E 4 A h E J A y 4 N a q 0 e W P U G R G M S p F g U r q M S K u b T N e g 6 l o H f w 9 v 4 5 c Q v p o c U 9 U P t 3 w d N k N o X c y F Q f S W 1 z 4 6 9 M T v c s l a c E 4 2 E 8 f B v f o J X H 7 s f Z 1 9 1 P Q 6 8 s x E j v d 3 4 x A 9 / g V c e v Q 8 r L r w U / / j 5 D 2 A r r 8 T 5 1 3 0 Y N 3 7 z h 3 i F z r 3 n R 9 9 C T V M r Y t E I 3 n P j J / D 2 M 0 / C 6 3 J g 3 r I V 0 B u N W H X 5 1 f j z f 3 8 Z X q c T P 3 n 0 e X z 3 A 5 f T 3 x f Q O m 8 e Z E k j 7 j 1 b 7 U W 1 F B L v k 5 A O 9 2 2 X L f o q G D U 6 G i Q / K i p a I B N R y j J 1 i E q i v z G o B F F Q x x M R 0 R H + m f h x E v E Y 9 b 8 6 8 Q E 0 0 u L 7 z H P 4 1 3 T F q U / K 9 3 w u g 4 i T D t H t E u D j C i H y 7 + T E N W O h O D R 6 d e I q y u 9 j N G h q t U 4 c U a B c O 7 O V q e s p S L + / h E c e e w I j w 0 N 4 4 I E H s G n j R q h U u U y w e c t m I U y Y 2 a + 7 9 l o i F i / i k g G u o Q D U h j H q Z D p J T Y w Q 6 o e s r R L f 8 9 9 S 0 e s 6 m n i n g P u q m R 7 L P b g Q t q a j G A r p o N a M o 7 F s K c I h P 7 a 8 s x t 9 v b 1 Y t 2 4 9 / v C b 2 / G R T 9 6 M L 3 3 + U 5 i 3 Y A k O H T 6 A Z S c t o T 6 V s W n z W t R U 1 5 H w m E V X V C E U l R C h 8 b L o u Q 8 U S F E H d U U I s q 6 W P y n H i M l k X T 0 9 h 5 u 6 K 0 z d R 4 2 R 9 P Q N j Y d k x O 5 h P e Z U R 2 D Q p K 6 T D r 6 H N k E T j k M x V O r u R b z t U x g O 7 E K d 8 S T l i w T 4 C i p i O M d I J 7 r 7 R 7 D s 5 N O V L w p g b 8 w 2 x V B f v O A U h A M B 2 C o q Y C 2 v g m d y H O P D g / j Y 9 3 5 K T P Y A v n D b H / G d 6 y 9 F Q 2 s 7 3 v f Z r + D k 8 y 7 B 9 z 9 w K Z a f e z G u / v Q t + P h p c / H F 2 / 6 E X 3 3 x I 7 j 8 I 5 / B k l V n 4 9 d f + g S M Z j N O J w H 6 + h M P p T H U 8 2 i Z v x g q U j 5 x l T k / Q z k n R 0 W P e A J H Y D f N g c l S T p + I d Q R N 8 T / E X P Q 3 R Z w M h R C T n R + P 0 i X U M e 5 q C H J P c H A K M m L E M W q + q E z S f E p q J / 4 S 0 8 b o l 2 p x O W W A m P 2 U 9 8 o 9 I s E I d A a l E z N B 1 4 6 R p J f o 9 y m u z k C M N Q F B J W n p a u l t V x j t 0 c c e h 8 M x i R s / / G G h B f N h 7 b q 1 8 H i 8 u P Q 9 7 0 k c o e u S m n A P s 4 Y i 6 i F I 8 Q B k 0 i Q s 4 R X i p K c g I S V T 5 0 + H K P X L i H e Q u i J O j B p D / 4 F J n H / u O R j b F 4 d D t w d H D g 9 g z Z o 1 W L n y D K H x m f F H x 0 b x v e / + F 8 K D + z H S V 4 2 m R e N 0 J R I / u h Z 6 L D 1 p 0 B h C s S A 1 L A R v Z J z u E Y K O G M O k q a G / J t I q W o T C Y Y z 4 z G S d a B C h 7 j B p Z b R X R G F R T 0 C l Z V p Q 4 A q q M O 5 T o d I U J 6 0 W p 1 7 j c a R x 5 v E k 4 S H R G M r a y s T Z Q J g 0 l I 6 0 Y D q Y S X 1 O E t 4 1 O g S i N P Y h B 1 k O f f D R t S 1 W C z r I Y h C a O w 3 U H Y I K W M B r 6 H o 8 a u k M V R z K + M Z i p B R I W k t Z 1 k K m k J 8 J F L p M M l Q 4 5 q d n N a L f v 4 U Y a v Q Q 8 Y s V w 0 c n U N c S h K 1 m O Q + J u F G U n k a j z k + k U x A M o i E t J R 6 b N B X / V X 4 T m 9 J u f P t E w + k Y E 3 8 S f H a Y L S a S U H o V X y v t f o l z I 6 E o t P o U k 5 J e E n + l x H 0 Y r P o 1 W m a Y Q h 2 k d N 8 U + N p 8 N h 1 i k 0 v p 7 O z f K g N S G D H S U C z Z / W Q y k f w P d Z H J 1 0 4 M N U B X I s b Q N S k P K C 5 b q F 1 J E A H q 9 f j i l 7 6 C 2 / / 4 O 7 h G X P j H o w / g U 5 / 8 B L Z v e h M T 3 h j K b F a c c e b p 8 H k j M K m H 6 L 6 N M B 3 + H a K q a k w Y z 4 F n 0 I z G J S 4 M h L y o t y 6 G x r s X J t / z N I 6 k 3 a K k Z f i Z y f o g u U I m / h y 6 p 5 q 0 D Y t A O q 5 i z W N G p P 4 C E g C k j W I B + l o x M 1 m r 6 Q t o o m w E o p P w R S d Q Z Z i j 8 A Y 9 d v L J h R V C j L 1 l R y 9 O W 7 G Q B L G f 1 B g z 7 X R 9 k 8 K Y V 4 V R o 6 U o Q 8 V Y o y a g F k K U x 1 5 F 7 a F n p 3 F m u l Q G R o E 6 R w F M D 9 Z S H S R 8 c j R U z 7 6 j s q 3 W h D 7 v V m I e U u N 1 F y Q 0 R T q 4 Q U y O T F z J h t A w U M N U f I y o k n 8 i z i L J l F Q U c f o + R k y p 1 W j E w w i C l v j 3 d B 5 J n L i s g Z Y G k s H 8 q B b f T X U / v R R i j g T p G o Z i h E 0 g k 4 V E K r 3 J P C / V 2 l y I l t A / P N B q f g x x V G G 0 7 O v k R w z u M R 8 G 9 w y i 4 e R q M o 8 c 5 H e k p D p D i n n o 4 i b R N j a l t T q d 0 A q h Y A h 7 9 u x H Z W U l 5 s 6 d S 3 7 d T 7 F 4 y R K c S 3 7 j I 4 8 8 h u v f e w k s V e Q X q T Q w b v u B U A a B h b e Q D 0 H m Z G Q S 5 u 7 b 4 Q 9 V 4 A 3 H K T h 1 8 U p o N H o c 2 L M J q 6 r X k J o x w 2 d c j Q O x d j R a S f p r S G u S 1 p O h I W I f g 5 k Z v Q g k 0 m r 6 k e d I l p F l E n c h o m l D z E Y M o C W f k P u Y x j K f b y j F Q j A P / h V B + 3 n Q B 7 c h o u 1 A R N 8 I r f c I 1 J E x 0 h J u G l U 9 + p 3 v R + U C e + J X C c R Z k 9 J D l k D c g 3 E j R k O a D L M 1 H X G y S I L k c 5 k 0 l a T h w u T K B G E g y 0 E I i i w E i a m l m B p 6 E m Y z g c 6 3 H W X m u b B J x L z 0 3 D x O U B k g d W 7 s l 7 X t Z A 4 w Q Z L U a q 2 z 4 + a n f 4 w j s b H E T 1 P 4 Y u U F + M D Z l 0 0 R K U M z 1 Q E x E n 7 E T G n + B 5 + n m F j K s T i b C f R e M G E O l L M V K O / 5 3 x g Z 4 6 z 9 J G Z a + p r H k Z k g O a Y S a d A w m Z w R e t m M 9 E V C 0 / B v + T r 8 W 0 U y 8 b W T 1 0 + B m U l D E o S / Z w G g I o m t / F a B k N 6 i v b m / 5 S c K R y I Y 2 j d I W s k C b V k Q 5 k p 6 R n b m C X z N 3 v 5 h u F 1 O d H f 3 4 L 3 v f S 9 p o C / h r r / + B b f 9 7 F f 4 x r e + g u e f f x G X X X a Z 0 L D O I y R 0 N B O w t V S i x 6 G B T e N G t Y X u H 5 m A e e x R B N u + i S N 7 N m K e r Q c 7 3 a d i 1 9 5 d u P j U a v z z t c P Y u m 0 3 r r n m / V h 9 2 h L o S I I r n R Q i j U D + H b V n y p + j v g j L A T L 5 p j d D p 4 N + / C V E z I v g I s a z k p U D D b 0 S 8 E Z G Y d Z W w x 9 W E Q O n 9 6 g C 9 6 g T l g o b 0 W E + W k i A T X X W l O K 6 q f 7 v j p P A k N U i E M L D y n 5 c M E g W C g n n U M A H o 4 W v S 3 S Z e 9 t p w e a h e j q r j C B R u x p J t t g l x Z 1 I Q q U 2 R G H V N t C r H Z V m J n 4 I Z t q o 7 c 9 5 j b o m h X r c s 3 s P n n n 6 W W I m v r G M 7 T u 2 4 9 n n X i R n O Y Z 7 / 6 Z E y B g p Z l K u q y I J y c z 0 y K O P E K E T e x G z 3 H 3 X v a S B Y g i T F o r Q 7 / k Y C X L R F 9 y F G i 2 Z Q g Y 1 m X x q a H R q v P z q y 3 R M + e y n D n 3 9 r X X 4 x t d u g U E X x 9 G u H n z 4 x h v x 7 L P P i N + y 3 l T R Y K u p c 7 m T + L 3 4 T K 8 I E f D z L z x P k p 1 M A O K q c C i C e J g c d m F / J o e P / D M i Q H b u 4 8 z B A v y X W 6 c w m h T z o b z N i r K 5 K p i q j P C P e z G 6 x 4 G x P U G M 7 P M g 7 r R j 4 6 Z t O G / V h d i 9 / Q B + + t X f Y W R 3 A D d e / C k 6 x 4 / V i y 7 C 0 P Y x O A + p y A 7 v o v 4 9 B F P 3 b 7 H I e w / 5 K 6 S V q G 1 r 3 x n A 3 W s b q b 2 v Y N a S s / H Z X 7 1 D P o c R + / b u x 2 s 7 i O n q m v H N L 3 x P + F w 6 A z E K 2 3 Q k j S X y 6 e K G D o w Q c f v D w 9 R s 9 j X p P i e A m R i h q k s w S U Q c I c Z N Z y a G R V s j + j / J T O x T i T E l X / 3 A i A Y h c w U m g h q 4 O p X + z g t + D g 0 L p x Q z M Z i Z H P Q o Q R q T E D 2 P O 0 7 + n 5 6 Y T G s h T V o L L 2 k j d 1 w r z M L C L 0 3 i p U 4 7 p o W P t A z / d Z L W S j + e / f K Q u R w W t J 0 J 9 Z c / 8 o 1 b B 0 g N V x E z s U T V 6 Y 2 4 Z / 8 a 9 K v d i V N S u A R z s W L 2 E j J V 9 m D 9 + v W 4 4 I I L x f G 9 e / f g v v v u x + r V Z + K p p 5 7 C w Y M H 8 e S T T + G s M 8 8 W t P f H 2 2 8 X Y f e J i X G 6 v g 5 P P P k k 5 s y Z h V / 9 + t c k 4 U M Y m x j F g w 8 / C K / f i 0 c f e w T D w 8 M Y H B z E n / 7 8 Z x H y v u / + + 3 H e u e f S e z d 2 7 d q N k 0 5 a I u 6 5 f d t m v P H a v / H 1 r 3 8 V d 9 1 1 l w h p L 1 q 0 G B d f e A F + / N O f 4 Y U X X i B B L V P b 7 s O W r V u x c + d O E Y I f H h n B A w 8 + K J 7 3 l J N P J i Y j Z t U Q w 5 G k 4 2 N R Y m y O X L I J y 4 w o 3 E P x i T U Y a 2 S F S P h v P B Z F L E j a n N U 9 D a 7 W Y s W o x g J z r R a V 9 V q U 1 W h w 8 v I l Z L J K q K k r h 7 5 M h t E 6 D G t z J X T l M n w I Y N O + d W j v a M C + v g F 0 j v j Q s O x a X P f 5 3 + L G m z + K r Z u 3 Y 9 u O n X j P p V d g 0 + a N U M t O f O i S F l Q 1 n 4 p z z l q F B f P m Y F Z 7 B z B p g Y G 0 o z o y q D R N p R e m I W s k s 6 E F W j V p L R K A I 7 4 h W H S Z x J 8 f g v y V t 0 V g 0 N h h 1 G S a u Q L U j + F o D J u 3 b M P r b 7 x F 4 x B D Q 0 M D W X R W V F F T m N H 4 Z S g n g R a J w 9 0 V g a E i V z N w n 0 Z D A X g m R 0 m r D Z H A o / e m a k T I 9 O R x 4 / H i e z F e f f w h 8 Y z 2 K j K / x a F i z 8 D H k 6 8 k U u e P 9 n V j 9 4 a 3 0 T x 7 n v i c A 6 K D C l U E Z j K l 0 6 H + + p e / f K t a 1 Q + j y U K S J g C T w V 6 E o e Z h 1 Y K T U V Z W h g 0 b N u L 8 8 8 8 X x N f V 1 Y 3 T T l + J B x 9 6 C D 0 9 3 V i 2 d D n e e / n l e G v d 2 y I y 9 + p r r 5 F K D m L / / g O C Q f r 7 + 9 H Z 2 Y k f / / h / s X b t O m z f v g N 1 d X V 4 6 6 2 3 8 L G P f Q w P P f S w u N 8 3 v / E N / O U v f x H f c X i 8 f 2 A A H R 0 d x B T P 0 r X 2 4 3 1 X X 4 l X X 3 0 N F x A D v f 7 6 G 7 j 5 p p t E 5 O u O v 9 w p m O 9 / f v Q j / P D W H 2 L V q l W o r q 7 G 4 4 8 / h t / / 4 f f Y s m W L s J m 1 W i 2 5 G y b U 1 d a K A Z f Y Q a e R U J P W U m t I v p L 5 G o + S h q I B l + L 8 X r A Q H V e T x q K B j p O W J K 1 G d h p 1 s I R 9 I 1 r U W O I o J 9 P T w A E W M T 7 K A P F 1 X 3 v 9 T b i 9 f t T X V e P z X / w W P c f z u O n G G / D X O + / C V d d c j l / 8 5 j f 4 4 A c / g E 9 9 + r P 4 I 7 V z z b O P 4 K o 5 W z D 3 r K 9 g O F y O 8 8 + c h 8 b G O V B b 6 T X w K s z x l x A 2 n o a w J w w 5 r I e q L E D j X A l E y W / T k H o T 8 0 i k q X h e K a F B I u S w D / u G 4 Q w 5 o C I / 1 q A 1 i O O 5 S C e 0 0 v H C m n / j 3 6 + 8 h r H x C W F 1 n r x s C Q m w U R g N R j h d b h w 6 3 I W W 5 s b E 2 Q p U Z H I z M 3 H U N B Y m k y t p B l K f D X f v I w Z p g C t u R 0 1 t B Q x k z o 3 J e o R I Q / C 8 0 R O 3 / 4 r G g y y V J x 9 C 0 O t B 1 9 4 d 2 P H W q + g 7 t B / v v P Y S u g / s x d p n H s f k y B D W P H A 3 h n u 6 s H / r B j I N / T i 0 f a u Y q z q w d S M O k n D e 9 u Y r q G 5 q w d 5 N b 2 P j S 8 / h 6 K 5 3 U F F b R 4 I x s 7 0 K J N Q 6 N 8 F A z J 0 O 9 Q 9 / 8 p 1 b t Z I J 7 i M W 9 O 0 a Q / 3 c C t x 7 Y A 0 G 1 D Q o W b g o O o c 0 1 E k I h o J i 4 l R H p l f H r A 5 0 9 / a g q q p S h J w 3 b t q I S Y c D h 4 8 c J g f 7 X D Q 3 N w u G u p w Y r K m p i X y J b g T 8 A X F + F 5 l o B w 4 c g N l s x h J y y E 0 m g 3 D Q t 5 I 2 Y Y b w + f 1 w 0 L X 4 u / d c f D E 9 g 4 o Y t g c f u P 5 6 W G 1 W b N q 0 h Q b J J Y 7 N m T O H t N c u + O k 3 / N q 1 a y e 1 Y 1 I w c g / 5 L 3 y O i h j h i i u u E P c M B A K k M S d E G J w 1 G 0 t C D h u n B 2 T 4 L f u E a q G 9 F E b j w R N + H Z 3 M k w k T X e P Y + d I u j B 4 d h z n k h t q o o k 4 m I q X r J Z k p C Z 5 I t l q t + M r X v o N a Y u J f / e L H e O a 5 N U K o n H v p S b h s 1 f V Q x f 3 4 2 C n 9 q C o 7 g D k t p 0 A T P A q 5 6 k x U m 2 V 4 Q n r i 0 S g m / F r s D 8 x F Z e 0 p U D t 3 Q 1 3 W C H 0 F f d 8 7 g T H N H u h 1 d e R P G M X 9 O e I 2 H O 6 C n S f K y H w y E q N V q I j p S Z g E 6 W o 6 N W k y b m s + s J m b f A b i D o n 9 M Z L M L H h E 7 3 C E l 4 M J M S 9 1 n B F S a B B z 5 i / D i l N P I T d g t 5 j s r 6 H n X L J o P p q b G o U g r m t o p r Y p l 8 w G h 7 b Z B Q + S P a c 1 K t r K U q Y Q r D k t A J F k q B j 5 B j 7 y T 3 l S t 6 a x l d w G 8 g 1 p L B e u O A N H d + 8 g X 9 I k 5 q i q G 5 t p 7 D R w j o + h Y 8 l S Y q 5 h e j S y P j R a u C b G 0 D J 3 A T G n E x 6 i F 6 u 9 D L 0 H 9 6 H / y C F i d A 3 m n 7 K S m K q B 7 s q m f u Z 4 l u v 0 M F G b 0 8 d Z c k y M y C w 9 f T 0 m W N u D Z J u X Y 9 V T X x Y + U z Z + I 1 + B r 1 z 5 0 c S n 6 c F d w H N U T I y Z T V G Q U r C F w A / B Y U 6 F 0 N l h / C u Z d p / 5 7 G f F t 8 n f Z l 8 j 4 B 3 D d 3 7 w M / y W J D 7 7 S V 6 v T z B h E n x f j r j 9 5 c 4 7 8 f n P f U 4 5 S B D H 6 R / u o / z I b T G b r E E y V R m c p X F o 4 y F E J s s R C A 9 h x f u X 0 t m 5 F 9 N q d Z i Y d K L M G I T k 7 o I p 9 A p C v l q 4 y t + P 4 L g F 1 j Y Z g + F 3 0 G J d A e v g r + B p + K b 4 3 b g v C q + 8 F b W G + c Q Y Z e I Y + 0 X G v v s Q a P 4 o n I d V 5 M v l b 7 z X t w s W c + a E a i b o 2 W I c 8 f J B V p O P x a 9 p R o h N S l l o P p 6 Y j x I z c B S N f 6 O C N 6 R G j 4 O E E T H I / J q U 4 8 6 B B K O W z y k O T 1 8 I l k b S r n k G o 9 R 5 q P T J 5 e n A G s 4 9 O Y 6 r P n V L 4 k j + Z + e 4 A I f g G T w P 1 T T w C E J N 7 x O f G d L k 8 E F Z p S u H Z y g A e 6 N Z M N R D b z 6 L U d d E 4 p Q U z l + 0 E i f N W k j v 2 G 7 M b C k Z R n S b / K J H p s 6 O x 1 j S K 9 8 X H 6 Y T g F g A D n c Q 5 e X l Q k O x H 2 U 0 Z q b u J K G w L P 2 E G p U 7 X c A g M 0 Q E J E h 6 k i T P Z p B 0 h k q H e 8 K F w 2 9 O I B o L o q L F i M Y F N e T L R C H 5 B 6 H z v A N N p J + s M Q n e 6 k 9 C 1 q c m R L m t r q P 9 s L b U i M / e H j U M 7 V o x q T k R 2 o c a A / e / g o g / Q g x I G p N M J Z 2 N z d U 4 w g 7 y B 2 1 h m G v S T D k 2 A X l O a S o i O z N I k f G p K K H k O w T Z 2 E y d x t f P 6 j A a Z 8 l / B L J 5 f u J A E t x r 5 M K T d n y d z N 5 Q K I x K M s G Z 2 Z Y u W Z Q 4 J x f B y Q F 6 r n r 6 X S Z d 7 S G G 8 p T A U E l w J D e b L z n y K 9 q V Z U W U D h m z p Q l U c 4 Q 4 R P 2 j U 9 L M R K a E p 0 t P 2 i l E p E M O H a m 8 n p 7 9 4 g f Z 0 J C z 3 U T q M 6 c j S 0 C M N J X E k 5 / 0 n t 1 7 d v B 5 Y j a f B D 9 e S H G S s m m R r F I Y O B q X R N g 1 F 2 T e 8 a / F o G Q O L K M Q Q 0 m + A e i H / g m N P Q 7 / q B U H X e f A N R q A R r I R c + g Q M c a g l X 0 o a z B D r S V z 0 x 8 l u 1 6 Z k C y z V 0 F v 8 p J c q E H Z P M W v 2 7 g / B P N h E n I G P 2 o 6 b D D Y D P C 7 Q v C O B h H S 2 / B q r x b l V g 3 G X V F 8 7 V o T a a s 4 y u a k t V d E + E o n w r w g P 5 O d / t I g Y 8 e u f d i 4 c Q P q y Q f h 1 K 7 P f e 4 z I n e O 4 f Y G y Z f d j O X L l q G L 3 I C m h j o y g x U h k o 0 Y + e m e X j L 7 G u P Q m r R F N R Q z D 1 s Z z K y c Z c F / k 8 c z m Y r H u j T a Y 6 0 U I 5 O Z z 0 5 n w G S m B E P l 6 0 P c 3 E Q m 3 / i I 7 O 4 P w k 5 S l P 0 F 1 l A 9 v W + i r U 2 Z S 0 n H 6 6 8 P Y / W Z F + H W H 9 2 K + f M X i F Q d h s f j w X e + + 1 0 s X b o U n / w E m 4 S 5 n Z 4 0 / R j 5 H u W 1 1 1 / D w g U L R Q C C Q + 8 f / 9 j H E t 9 M j 4 O H D 6 K r s w v / + t f T I h B R V W 7 A V 7 / 5 A 5 R X 2 P H 9 7 3 + X N I 8 O g 0 O D e O m l l / G x j 2 a a r B z O 5 U T R 9 P a 8 8 O I L O P v M 0 2 G l w Z s a E W 6 0 8 s / U A 8 j E h P H J f Y h 1 P g O N n r S A i W x 2 T z l C s 2 6 k H i b z h y U 2 + R h S u B 9 x w x z 6 z X T E K C M w N k n + W R A a c z X 0 9 t y J y H y 4 Z 0 0 I 2 w 7 6 8 c V r q j C n P o q j G z v h H S F z R 2 V F V Z M d p u Y A b N U 2 M b 7 H j K i T J G r C z J w B O L D D + O e / n h U C i d t w 9 f u u R n d X F w 4 c P I T l p 5 2 H S n N m p C w d / n A c J l 1 m u 5 m h X B H t l M L N p 4 G O F y K V K s 9 4 s R n J S Q k 6 D W m o N I Z S u 4 8 g Z p 2 l a K j x f V 4 Y a 1 S w 1 l i m Z a h z z 7 k U 0 W g U X / n q V 3 H 7 H / 8 o j v + B / p 5 7 z t k 4 6 a S T 6 P 3 t I m t 7 5 c q V I p r G w Y J 9 + / b h i 5 / / E n 7 7 + 9 / g q q u u x A X n n 4 v H H n 9 K f L 9 4 8 S J c d + 1 1 + P 4 P f o D P f / 5 z + M c / / o G h o W F 8 6 5 v f w G 9 / 9 z u c c 8 6 5 2 L 1 7 N 2 w 2 m w h s c N T v 4 o s v x o s v v o h b b v k S Z s + d j T / / 6 Q 4 R 7 G B m + v n P b 8 N 3 v 3 0 L f n f 7 P S J K q O E J P s L W d 7 b i r r v u F r / l 9 r S 3 N m J g c A A u p w s X U n t e f e 0 N k Z H s 8 f h E V J C f 4 V O f / K T 4 b T H k a C i W 4 p w d I e Z P p i d g Z 4 D 8 H i O b H 0 Q 8 4 2 F E y E 8 y N Z k F k 7 s 6 A z Q u W u g s y j P 0 O z V o K i s y b 1 M A U T k I d d R H C q o S 0 V A U R z Z 3 k a l o R F z r R u 3 s S t i r z e T A 6 0 g o a B S m O 4 H E e e B Q p w j + n L n q N J Z A p L k P k k m Y P x Q d J P 8 q R A K O f a x k H q A r I M H O E / Z p 8 M s a R E l T s L Y L T s S g r j T C w O e n t f v I m A a z q 6 f p K 1 Z l S Y 3 D U V 4 O u u j q l M 8 l w E j W i 1 Y 4 D T T c k z s Q r V i q j H h 5 m w / + 4 Z T j O B 2 e e P I J n H v u O Y l P c X z p i 1 / E s 8 8 / h 6 9 + 7 W v C b / n Y x z 6 K e + + 9 B z d 8 6 A Y 4 n Z M 4 / 7 z z 8 N G P f 0 Q Q 6 p o 1 L x H R + v H K K 6 + I c 5 9 8 8 k k 8 8 + y z w q H n c P k V V 1 y J 2 b N n 4 / d / + C N W r z 5 L L A O Z N 2 + u C L M / + u g j I p z 8 6 q u v 4 q y z z h J z X R w x N J N m 8 P v I o S Y J 6 P N 5 x V K M a 6 + 9 F p / + z G d w 2 y 9 u w 5 / + 9 A e s W L 6 Q p F g c B / f t w g e u v w 4 O l w 8 7 d + 3 H T 3 7 6 C z z 6 5 L O w 2 C t R U 1 O H r 5 G g 4 L m q U E i R P C V B z O g H l f c s 1 Y Q k L 8 x M v F S G w f 5 S k p m 8 X V r S S F r Y y F J g Z m L Y O 4 y C m V y H J R w a 0 x 4 T M 3 H b X O E B 9 I T 2 o 9 u 7 l n y 6 I 6 h f V o / l l x t w 8 u V z 0 D i / F p Z K C 3 S k j V V s 8 s o B R M M R H N 7 Y i + 1 P 9 a J z 3 W 4 4 h 1 0 i s n k s m D + 3 A 2 e e s Y K u q z y n r M 8 X g l Z g I E a y G 8 g f T D w / I 5 u Z G C Y p C h s i K C c 5 U 1 + r h n H I B T N p d T 6 W f J 1 c T X 7 0 Z D z j m D 3 c l / F 5 r P N I 6 r P s h 5 X o x 0 Z j k 3 5 O s V e S m R j R i m U w 9 9 4 O F Z s 8 U e L K i r l W u L u U Q S 4 E z h a Y m J z E Y 4 8 9 h v 7 + A T z 7 3 H N 0 V I U 3 3 n o T W o 2 O B k S N N 9 9 8 E / / 4 2 z 1 i r o F z u w w 6 t e h L D p 9 z O P u 6 6 6 4 V c 0 A c P p 4 1 a x Z + 9 a t f 4 f n n n 0 d j Y y M a G u r x 7 5 f X Y M P 6 d U K D x G M R X H r p p d D p l D w r t V q D B x 5 8 S N i x P C 9 1 w w e u g Z m s s k g k I j T h Y 4 8 8 i B W n L M M b b 6 z F p k 0 b x X 2 + / a 1 v 4 w t f u I V 8 K h M Z V N Q W M s W e + u e / R O j c 5 f a I d V o 8 H 8 X g v z M z i 0 j i i m x u N g 0 L z e f k g y I V k / a 4 t 1 O H e F M 3 + V K Z T j I z E c M + O 4 5 a r x d S o F t 8 n h G o b V W y H m 2 W 1 b B q 6 x D T k U a y m k k S V y n t n g L d l 4 W B y g i N T o s 5 p 7 c Q w 2 n Q c e Y S l N X Z q W 2 K + c P h Z s + E B 9 3 b B r D 9 6 a P o 3 j F I Y 5 E i r G n B 6 6 5 O M K z N R q i J z l z d Y T F J n M S k n 8 a S J 7 d j C Q G W p X 1 m z W p L v C N w k I U T d X P y / b L 4 I e q i a 9 I r y v O 0 m d / 5 W r 6 U W r 7 B 6 T 6 B q I T a y n L 0 9 r 2 J 9 v a s 5 E W C Y v L x 8 o X U o C s g w i K z g h S 1 G B S O + C k B B 7 p v l C f q l P d 5 w a q W 1 + I I g s w i Z j o u 8 V w H S Q 7 R S P K F 8 v k h d 9 9 D 2 v C D H x T z W Q L k t 8 T o P C l B M O l X / c l P f 4 o P f + h D a G 5 t w x f I x L z j j j t y 2 v b y K y + h t q 4 W S x c v S x z J B 5 b Y n A n v Q y C Y 0 E 5 F w K n 9 j C b T C k y E j q B S P 1 t 8 d h 8 h q T i L r p X G S O w T 9 D r U a K t I a Q V v S D G F P E d J q 8 0 p 2 J v 5 w Q Q l w u A p 8 L R B 0 r + Z F n H S w P G A G C s l O z w X n L L V t X k A f j K 1 r C 1 R z D q l N f E N E C K N d 9 / 9 D w k B V 1 F R j v d e d k n i m 3 c H z q M h + H U B N D S X 5 v M d P t K J q s o K s p h m 7 i N m Y 4 q h G N 7 B M G r n V 2 P / v r d I g + Q S 7 h h 1 1 q k n s y 1 M z r Y q L v p X Z F J n I R n B Y 3 B I V 4 T L m X G Y 6 W R 6 r 2 a N U + J g F k C M 2 l A 0 7 Z 6 J Q G S f c 3 v o Q c U 7 k K n n I g l t F Z q I b X v O 9 j 4 e F I r y l Q L H o T A x B z n X a c y U x J B / B 5 k + N p R r W 4 X m T 4 e j K 4 C y N s 4 g T x y Y D m L i N f 8 6 r 6 L g A c 4 j w A R E d n 8 q Q 1 s s r N R z F j s n G U f w 5 z v u J R O 6 G h 6 y A h r q m r H y 1 O W o r C G C j Y w T U 5 a + 8 D I f O E Z c L D r M m j x u b I N / h A S r z w R b O 2 m L a f p q Z G Q M t b X K J H J P b x 9 Z W E 1 5 x 2 U 6 p D E U G U R x N 8 z l r W L O i B v A k 2 o c 7 Y j F Y 1 C p t e J B x J y S T K Y T M Y Z a F R E R t E z Q 5 Z h 5 q M P j H N o k U 3 D m z Z o e 3 O i 4 H K a H Z u 2 X O z 8 k G I o P Z Y W K 0 5 l r Z h D S Q 3 m b B o W h O K t k Z l d 1 H p L R b P 8 d P L V f T R z J x G T o K C r 0 s x K f F M S i U U w G 1 K i 2 S n A d I W d 9 d m L o S k E 8 s e q W E I k F M B E 8 j L q i E 7 2 E N K G U A 7 b j E 9 M I L r c P D z 3 8 M I L B E K q r q 1 B m s + O 9 7 7 2 Y v s k V m k F v A P v f 6 I W W f K X F F y y Y U b f x M o w Y 0 Z V e k 2 s 9 M U I x l z j H r O X F n Q r Y g + H 1 X O E e 6 t M K X p l A o 0 j N s u j j 5 L M B e 4 e 0 W N W u + M t c 0 o C z N d L B x 5 i v S m U u y T F 6 S F a F h h B V t U C n D U F n b 8 O e Z 6 5 A m W q v u A i / 2 K / i v 3 2 G 7 + L 0 i z 5 G r W Q S 5 j W 2 U S J Q a t W U 3 Z k c Y J J S x I S c 8 z Y z M j v B i P F q W W o b E Z O k 0 l C z j 4 W 5 2 S Y v r E 2 n N J S Q 5 n x e 8 T t w r p q 7 J 4 5 y 0 k z W v l / B 0 / y N x D e F w b 3 a 7 d m A d u s Z y o E E H A d j K J 9 X Q I N k Q 5 j O R T R 6 P o Q G A T 2 n 3 d B P E 3 T A u m H r 1 u 2 w l 5 W h t b V F + M K D A / 2 o J W 0 U C V B / Z / G 4 W s 2 p S X 5 6 Y 1 Q Y l C d A 0 / r z 4 L p O G E w 6 t C 4 v v k b r R M A 7 5 I e x U k f + V v 5 + 6 O 0 b I 8 2 U m Z v n C a k Q o G Z z j i Z j f G w C V d W F r R p V g A j m j a 2 T u P P v D 2 L j z l 4 E A k G U G V 3 o q B x E e 8 U A 2 s r 7 p / 5 G w z 6 o S L r 9 4 r Z f k k R 6 H F G W / k S o e / f t R V 9 / n 0 j x + Z / / / T G 2 b X + H B p C 1 B n D H X / 6 C / Q d 4 o l g B h 9 w 5 t 4 / n n d Z v W J 8 4 C v z w 1 l t x z 7 3 3 J j 4 x G Z M m F F o h F 4 8 + 9 l j i X T F Q B 7 A 5 y r l n 9 D d G / h 0 v I O D U m m L g I I 0 C p Q O z m Y n 9 Q 1 6 u H h P t o x c T C U O Y R i S A g g P K 5 y z I x N T O w 2 Q F k P N c 3 u p U j u U 4 w P n h i 0 z k M B O D m c l x K F R a B E 4 w 0 w w 0 G i M R m e N g U P / g C J 7 6 1 3 N 4 + d + v i u U 6 8 5 o 0 0 G t V C A d 9 5 H + U E 2 0 E c p h J y B e e P t D X 0 V / S K r o q 6 p 9 E N n w C 8 8 7 s E M z U u b U H + 9 / q T B x 9 d 2 C p N 5 H C p T 4 7 m B i z L G Q z E 8 N K m o y Z a c z H K 3 6 R w U w 8 x Z I N y T E 5 I T u d D p T b j F D L L p g r 5 q H n p T P R Z t q Y O C W F 1 9 2 / w T m X 3 0 I d L e P W / 7 k V P / j B 9 8 j k U 4 s 5 n O q q a j Q 0 N o q K R 7 d 8 6 R b R 6 Z z g 6 n Q 6 R Q 7 e q a e e K o I B v B T j o g s v F J n p H P l L 5 t h x p O 6 r X / s q F i 5 c I J J r l 5 5 0 E r Z t 2 0 6 N 9 u K y y y 7 F i y + u Q X t 7 u 1 g a 8 r 7 3 X Y 3 B w S F 8 6 I Y b x G / T I c x S I n W F D V L S m 8 e a 0 4 u U u W V i r I K 1 H v j M / F q G V y g n a U a S W F a T g C B i n v K h O M W H W E 2 K u i E b W p R j B O f h C K z t 6 q n U K 4 a l / 0 / w N n 0 h 8 S k T v N C x z 7 8 B r e b V i S N 8 j J i d T B c O L W c j G o z B N x y B v a 1 I p P E Y M i W k Q C d k Y 0 f i U x b S T M h 0 x C K k C T n C l Y B a n 3 Z O m p k o / P C I Q 4 k 2 p v V 3 3 5 5 B e M j 3 W X h B 6 r 4 8 H a K k C t H P i P Z Y W z p C P S j X p w I f U y j R X + R o p a s z j r L Z J W r 4 B A Y d G j S U 5 0 5 f 8 L Q P t 0 3 V 4 z q E u I 4 4 j W 3 l H H 8 o G z S Y 9 C M O m 4 + O j D N Z C i L j C T Z e X / S n 2 2 / H 5 O Q k 3 n z r T T H H x C X I v F 4 v b r z x w 3 j 7 7 b f F F Z j J 6 u v r s W A B 2 c + E / / 7 O d / D Q I w / i + R d e w M q V p 2 H X r j 3 4 9 j e / j e 3 b d w q m u e 3 n P 8 d f / 3 q n y E L n v L x f / f K X e P z x J + B y u c T v s 8 G + F H l 3 4 j 0 T Y R I 8 Z I l E D Z F m l G Q m i c 0 R z p i e Q j Y z s f R X L q S m g V V e 6 s Q 9 y D b n A U y C E 0 U 1 Z Y K Z Y m S s c w m t o C s i A g / p z M Q I q Z X n z w c V X T + d m R h s 2 j M z 9 T l z z R W N Q S 2 Y y X 2 0 g E k X H q O m p j O T h H 8 + / Z w g z E J g I t 6 w a x y H j 2 a F 6 j k Y w e Y t M R N H K z P A I j y N m V S 6 L A Z O M h O D N K a s Y 4 2 Q a A O H t y N O N C + u J 2 a a h c H e U f z p j r v w w E O P i f V U z 7 3 w E n r J 7 O 3 z b q C / 6 + E J 5 7 c E B D O R R p 8 O H B 9 g Z u J o p 5 v G K R 8 G h 0 Y S 7 1 J g Z g q S Y M s G B 7 n E I t b a W B O k A T s 8 n R q S c r V i / U / h u S g i o H A E e o O S a L p + 7 Q Y R l O A 0 e G a a z 3 9 O k b i 8 9 m j b t m 1 i g p S R n O f J h 5 / 9 9 K e 4 / t o P 4 J 5 7 7 s b Y 2 J j Q a P + 4 7 z 6 M j o 6 K G n x s M l Z W K q p Y p 1 M Y n q V B 8 f k i 1 i T 0 c A X o J Z 2 2 Z Y 5 U i U R P e r r E h G s m F M Z h K D o p e V F m X T W 0 v E w i H S R J J w 7 4 h J 1 u n y X D Y M / / 7 O k J s T N B c 5 H J X d u s K C Y P 0 T O k C x I e a P J l d Q Y T 1 q 7 b B K e b z H a N D t e 8 7 y p B / 0 l o t D o c O d K F 3 / / x z y I H 7 7 4 H H s L p p y z A n F l t p K m 6 i C l H x b O J y J 4 w b z E V + m f 4 I m M Y 9 O 9 I f K J T W I O n M 2 w R U 5 v H 8 s X X t k F n r c c j j z 2 F h x 9 9 H L 1 D P f j i F z 6 D O b P b s K B 5 L h Z X n 4 7 1 L w z i 7 7 9 / E 2 u f G 8 C e t W w N F I C 2 k k z L n s S H 4 u D + K a s / I L S 8 u 5 e Y O g 0 N 9 a n g R j r S S 6 c d G c 8 c 3 6 k o n + T Z D s k 8 C 5 b y d j L 5 V p H J t 0 m c k A 4 2 + c 6 9 n A s V 8 k + U z u L g Q z K s y w m w n K 8 X D o W w e c s W k R 7 0 u c 9 9 F s 1 N n F C r 4 G j n U e z b t x + X X f 4 e Y k Y N a T i + F o f A l Y Z 9 l k z G O + 7 4 s 1 D J X 7 r l F q H 1 2 I h j s E / F Z P z Q g 4 + I d U y 5 I e 9 U u 1 L v 0 q F c h 7 9 h 8 4 + / 5 z H P O I + 1 l T B l c h k 2 + e s k + H c Z Y X N 6 F q 4 L U T Z H 6 Y 9 C Y W d V Y B i y 1 g J Z c w y h b A J n s A / 6 t 6 P B f D I J B y V 0 z U T p I R / W Y j E j M B 5 H 3 2 S X K A 6 6 Y e N G H D l 8 m E z r a z I E 5 d / + 8 Q C u u e Y a M U Y s W f 3 + A D 5 8 w / U i C 5 6 L d W p J I L z 5 5 l o M D Q / j 0 k s u g d l s g B Q a I k F Q n 7 h C N m T E Q i n f J M P U Y + 3 D B V 6 m Q T L w w R i f d M J m t e L J J / 8 J g 9 F I w l R L 7 b g A K l m H H W s O w 2 C T M f + s V B S U h R 3 7 y B k o 0 P + 5 Y K 2 q j L e j M 4 C y d l 4 f p 1 D F 6 O g 4 a m q m D / P z J H K M L B 9 p b L x X 1 r K E p p t z a J x z + b Z v f Q X E a H Q f u g l L m o S o n 7 t o J e o a 2 u j W v P 6 F t A T b t v w o d H M O N n D Y l H P n + P P o 6 B g N r g n l Z a m J Q C 7 v x E v I 2 S g T n g 5 H n g h K v T w F 6 X N D b D 5 W V F S I c 7 m 2 H m v D D O I v C O 4 g P j N 5 N n d 0 / l + m u j I d d F T 4 C L k + S X L I + G r 8 P h B y C u n G c J E F Z E 8 J b f S 4 O 9 F q o s E Q e X 0 p m L v + A F + 7 s u 7 G F y b m p t s Z S Z 4 k U 4 4 K g Q v p 9 H v J F H Y s R k v l Q e j J b K 0 v W y b 6 n l O 9 b F Y b 2 j t m Y W x k G G e e f T 6 s J h p g / y F i A v L n R E m w R K u 5 8 A n 5 k O G Y j u 4 b x u h k G B X V j S K o N E K W w e b N W x A n v / f K q 9 6 L c r t N + M A M K U y C o E i u W y y k Z M t n + k 2 l + W 5 O l 4 f M / h f J A g r j 9 N N P F 5 k v 6 9 e t w / z Z L Q g F P K R h r T D b 7 M T Y F o X Y w x N Y e 7 g c L 2 7 0 4 o r V d v h D M l 7 c 4 M I v P 5 M Z U p e C v R n + b A 4 S f l 0 w R n 4 v j b t R X U Z u m A M B r w W G K k 7 m l d D d 3 Q c P a W O u S 3 h K M 5 n w i X S x f F A 0 l F g y b Y U q O g p j x W w c / d s / o J 1 w 8 X 0 I T M 4 0 C P R / + I x V m H f m m f A H A t B T p 3 E p L C 5 g o i O T j s t j s V b h Z 0 1 y N 4 N v z Z + U o V T k C I M n Z v m 8 p L O Z 1 F D p E M v N 8 5 B 7 f s S p L d Q B 4 v J 8 z V J / x 2 3 h + y c + T I G f m Y m h s F / J z 8 N V X E P k 2 3 m O a m G d p U h o b 8 S N c X + q a l S b 0 U T 2 q i L Z p S C v n b F T W y U y k + g 3 B r o P Y c j j I g Y p R 0 W i U E 4 6 O A V p b n W E m I k I P S G E 9 N Q z 6 1 4 Z x X X X X w e 3 g 4 S X k X y S m I f k n w z P Y B s s T Y O I x A 1 4 8 u k 1 4 v w l S x Z j 6 b x q P P z P t 3 D d N V e J Y w o k / P q 3 v 8 c 3 v v 5 V k f 0 9 f + 7 s D E 1 W E L y s X s f L L Z I d p 2 g o F W f F k M a b K d j 0 m u R F l 2 V l d M X C B J s J C f 9 9 t x O T 7 h h W L j B g h Y n 8 8 3 Y N q l t S G k V U w O V S A M I a S A 0 y l 8 u W t S Q c 0 v 2 6 L L i 6 Q y S H Z F h q c w X r u i 4 d z m x X B E g 6 M j I l 2 G w w m e z o P W s 1 2 j f l M f l + 8 2 u c / a U v C 4 n F S a 3 X X 3 c d a T W V C E j c + O E P o q u r V w Q r T j t 9 R e I X C v g G / C j f + v a 3 8 Y v b b h M R P c 4 D 5 G g d M 9 g r r 7 4 K n 8 + H q 6 6 8 U p z P 4 K I u l / C y 9 w Q 4 o 5 2 D E t / 6 p r J 6 N R M K A 3 E Q g h m K a 6 x f e e V V U 5 n m 0 y H Z v l z Q N 5 y r l y j 4 m A 9 s 8 n m J E F g 6 6 + 2 Z W S P d r q M o 1 5 f D b i B z J z R M A k Q F i + M R e G q T q 0 J T S B c e P Z M a m L T k L I d U m F X F 0 T B e G V t W c P C d Y 6 Q 5 6 L f l 1 T X 4 7 v d / J F K w b r r h Z j z 7 w t O 4 m f 6 + v f F N r D p v A e z 6 Z p H R L S K F 1 B 4 R z k 6 D W H U r w u s z A D O 4 8 K 1 0 5 H + T l U M M 9 Z 9 B g V G L T M D j 1 q H z b S + a V x h R U U N t y 2 N u H h n X Y D b 1 b T 6 w Q E l X C j x 3 6 O v X w t a R y + g 8 8 c u + f T S x z k v 9 0 S 9 e e K t F T S Y W M R M P u F Z r h P v v f 0 N Z f + 4 S + O 5 L 3 o P 2 M 0 7 D I 4 8 + K p Z U X H S R U v V o 0 6 b N R O w R U T z F 6 / W I e a L d e / a I L H J W 4 U N D g z D o D X i B 7 P U d O 3 a I T G 4 2 7 Q 4 f P o J / P f 0 v 9 P b 2 4 p 1 3 3 s H + A w d w J m n A b d u 3 C c 3 F j L Z g / n w R 1 O C I I f t l X F V p 0 + b N g g F 5 d p 4 r G 3 G Q g p f G c 0 b 6 / Q / c j / P O O 0 + E 2 U 8 + + W T R v u k Q i U l T y 5 5 S U J h U R D / Z / B M m Y K 4 W 5 S y S i Q N B W B o V X 8 Y T G Y Z e b Y E n P E Q M H U Z c C s C k q U C M m N J N A 6 N 3 j y F W l l p 1 y 8 p A a H X W L o F e M f F Z R l K R a y h U m B I D K F b b Z h K P 8 F v p 2 H 3 3 P w w / X X f u / I V i J S w X z / n O t 7 6 K M s M Y V q y 6 A P F A D D V V V j K 9 l Y l T p n e e a 1 O T D 5 e E u C / 5 G l J G g q 8 s I m p 2 X c r / f b t T j 9 Z y x f y b I j p m c u G n E E t H O C r G R M p t S z C W 8 G P y C 4 J S w c J m O L B T J P d O I U j 0 m S 9 j Q m 2 C 3 q R H 3 X w r j A Y H m d 2 1 c B z s x u A W N X o P d M J a a Y T e r E v 1 b R a Y N r M F M S s N f T k z M L k h R z y I k E C 6 5 2 9 / x 4 E D h 7 C V 6 L a 3 p 0 8 s Q 2 I 6 V P / 4 + 7 + 5 l X 5 B p 5 K u o A 7 S a A z E U P c W Y K i L E S w v F x W H m F F 4 x w w u 1 T x 7 z m z S U g 8 Q l 4 Z x 6 N A h c u J q i d C f x z 1 3 3 4 2 n n 3 l G V D m 6 m J j x x R d f w P e + + 1 3 c / q f b 0 d f X J / r 5 I x / 5 C J 5 7 7 n m s X r 1 a F F n h Y p B P E t P w G i l e z f m / P / 6 x S D 4 d G x 8 T U U B e p 8 S R w f s f e E D 4 W L w G 6 t Z b f 4 Q L L r x Q f P 7 y L b f g 7 n v u h p H M L F 6 T V Q q m m C l j 8 N M I m I m D m Y l 9 D 2 a 0 N C n u n w h D V 8 m 5 j b y W x y M q l v p j E 4 g h A g 1 v J k D + F V c Y c p O v N c f 3 G A J N H x e / Y y e W b f I y + Z C I S o n o m Y 5 9 x 0 z G S Y I L h n D F 2 b / 9 4 3 4 8 / s Q / 0 d n V j U W L l 2 D V G a e j p a U R E c d R M j 9 l 6 o f z R c R O X I u E k o a d s 7 C e f C J l o w U G P 2 + U H o O Z W Z j I W i L M n D k l C X Z Z g 6 B E x O z f B U 1 c j T r b O H S c Z B s P E P M 4 S A j w 1 A V d Q A R G 6 C 9 P G 4 j i M M p 9 J P 9 B a g d H a O P w k E b k M L s 1 Y f q W B k U L 8 X 8 Z z E S Q O F l 3 u v k m t R V x T S f 0 1 T E y x z 0 w N 1 S i s k r x 6 X 0 u H / a / 0 Y P x v W o M k W X F 1 Z M 5 o 3 7 P n g O o r 6 / F m F e N g F 8 N E 5 n k 9 / 7 9 f k S o w w 4 f 7 s T S V U u x Z e s W s T 7 v 0 g s u w 8 r T l g M V C 6 F T x a C l f k 1 S z x S Y n g r b 0 P R g 5 P j y W i T m Z F 7 T x M R u p 4 v z d j F L l p w k b j S X G I x X 3 3 I 1 I T 4 v v Z 5 D U s h r t R p R e + / v f / + H + J w M i b N f w v X b O P O C w + e f + t Q n R U 2 + P / 3 p z + J a / X T 8 b 3 / / u w i v d 5 F G u o u Y t r J K s Z m T 1 + D Q f v I 9 c U H i 7 / T g F Z r 5 5 V Y C r C m Y e D i l i Z i P q 9 L q y 7 k i k t K N e h r A C n 0 H y j S t I q Q c 4 w K Q C X S M v 4 z B 8 l T e X o X e h e a y G G Q T 1 x j P x e D w m M I Y N C A c x m a N 9 N O f 3 i b q E l 5 9 1 Z X 4 1 C c + I j I V Q k E f 8 U 0 M u v J 2 2 K 1 h a O i 5 p W C f u I a H f O I e 3 z q M G b b A O 5 C K w D G 4 y Y q / W Q w y M d N u Y Q q u 7 2 3 D e K Q H 3 b 6 N m K T r y v p a e j U q T E Q Q O 3 i w X x W e o J 8 p 9 5 J N i Y W E 5 K N b q e 8 a 1 e R z c f i d z + P 5 L J 4 D D N F 7 I a i I 5 t i X p + 9 i Y m 4 w h G D g E M K B H j o 2 S Z + T c 4 X K C I n g C G s p g i v S J 5 h V q U y c g j t C f l L C R x / 1 V E F r d m E k 0 E X n H i W L a R R L 3 z M H i 6 8 q w 9 J L 5 0 J v 0 S A Q c c I a s m B o p w 9 H d 2 3 E E 4 / + B W + v 2 4 i P f / x j m D d v H s 4 9 Z z U i 5 D O f c d q p u P D 8 s 2 G w 8 D x j E L U e r 6 g x K B R 2 t g 9 l t t j R c 2 Z + H + p l 8 n / O / 9 r X w J V X h f A o A h p j o g U Z P / j h D / F 1 + o 3 F x t E Z M g u I a E U m I P l h X H K M T c d Z s z q E Z E 1 G D o P + M B 5 + 5 B F 8 4 u O K N E 8 H h 9 X / 8 p c 7 i K F c + B F p p 9 / 8 5 j d 0 v U z 8 m x i d 6 x O c R A x e O h R p y O A h 4 H f 8 S j 1 m K q D C y / l Z S X H J r 1 C E y w C n G C c b / o g X s u c Q + n 0 d m J d Y T u A J T p J R p C E C 3 Q d D c K 7 Y C 4 s H n g X B d 7 7 7 f d z 6 w x + I v b M + f O P N + M f f 7 h K / U Q I 4 i p m l y L v 8 A y C K q J j n i v c 9 v r X i L 2 t K 6 + B K 2 G b n i o s x b x z V R B j J Z 0 9 H P N C J / u g w 9 U c c V f p T Y d B w 3 Q 2 d S E 8 r V P Q m H d 4 g u x E y j L F u h H R c E L O 0 5 R G + 6 A h M a i 5 W m S P v U 2 A N J e l E W W k 2 s 0 t F 5 2 g L O m r I x K X n N U U D 8 G s y n 8 M o 1 5 N W M o l + H h w c h u + o B K d e j 4 f f k X H D h Z V 4 9 J V J / P K z u a Y m 1 6 f 0 9 p E f 7 J w c k S X i d N n Q r A Q l z G U 4 d N v P Y R g l S Z J G Z A z v Z Z d h 8 U U X J T 7 l h 8 h O o J 9 Q P 4 r s a J f X g b I y O x E B d y 7 Z m G l R M y 5 K y X Y n 1 6 h j K c j a i Z 1 i D s u n g y O J T H A 8 V 8 K a i c P q / M D B Q A D 2 c h t 9 F 8 u 4 7 n T g + 4 h 7 Z d x H a X j 6 E + e b q 1 K Y K c l a J D w j I a i O 3 E 5 2 9 T x E q k 6 j E 7 O J g L R Y 3 2 M I N n 1 A X J t 3 b e j 1 j R F x a n D b D / + E D 1 x / L U 4 / Y x U J g V d F 7 b q F s + s R V 5 l E v w j O E T e i f 1 h 6 M x c X C Z D 0 + T f C T o L M Q e a H 8 j x A r X 4 J j a s G 3 i M q V M z N / e 2 W X h 1 O b Q q g z 7 c J T Z a V o v + T 4 G U Q s j F t E V 4 C 0 Q i Z s 0 U m 6 5 k G e C o g W c J L o a 9 3 J / k 1 m a 3 B I 6 c i G j H G Q o J J O M T D x w x R E n Y 8 g H w O f R + n 8 Y n R K 0 r P K d N h D T X U n t S k B M e k E + U V K c b n o M P 3 / u b G z Z d W 4 Y 6 n x h A M x 3 H F C g v e s 1 I l S g Z k I 1 d D E U O x o z 1 d h I z n h Z g o G a L p s j Y j A 4 H B x C e r I / Q 8 y t w T I 0 m I S f B k L V + H J T a D Q / J G M h U 5 E s i F D D k g w W 3 h e R G x R J v O Z E J n c y X 7 W s c G v m b q S p m f M p F K 5 e f n 5 y e K I x I O w e d 2 Q J 1 Y V W z q u Q O B h g + Q 7 V 4 h z j u 4 Z y M 6 5 p + G B x 9 + B G e u O k M s 1 x 8 Z H c a W z V v x 0 Y 9 + h P y 9 e / G p T 3 4 c 2 p l E x 6 j v l X J d u e l L h Z i A 4 T g Q R f n 8 3 H E 9 7 N i B G m M F 7 F n z N Z w h I R v b E 5 9 S Y O u i W E H 9 1 D Q E v R F + K Y 1 / 4 C h d K 3 M 5 y v G A 6 c Y Z 6 q U 7 p E x 6 Z h i 5 m F Y r g D J d C 9 R s p i b S 0 d g S G O M J 3 c T 6 K E Y g o o F R m z I p 2 Z o 4 s P Y I o p N W L H l v P Y w W I / U L + d L p D M V z A U a D R W T Z q w 1 5 1 h g l E I p n p n 3 o V Z k x / i R 4 X o q X J C e d Y Z Z a u d E 0 G R F S 3 w F f T F R P 4 v k t N v s q K i u U 8 a A z U l f m z p s B 4 c 0 I d C c R y W O C y 7 0 H q 3 S 1 j v p E 5 k y K l K S P k I Y K e c h n E a F Z p a X W g V 8 j q F 4 K d X w c 9 7 w W Q m f v K L 5 y y + c w M e H A t n c 2 4 / S L O 9 B k O 5 U Y V C G G G A k P d R G J X w q K F T 9 J I j A Z h E S U b r A r z J + N I b c K 9 b Y 0 s z B I p l G R S d H 0 s Q l y B J N U k q I M S P C I 9 m T V 5 2 P f j i y h E 4 X s X E I 1 M R R r H 6 1 k J T q T E A l o s H H j F r j d X l z w 3 q W J s 3 J R p m 2 n 8 x N j z r 6 g M E 1 z 6 b k Q f O S i s N Z + 6 K F H F I Z i 8 y I e i Z L 6 6 4 X G v p B G m A h 8 n L d n C U N r y J R o 4 8 G D 9 G + S B 1 W o M i j 2 e i E E R t Q w 1 i Y I h 8 a K C 6 W w s 8 h 7 9 w R j D r H z B 0 N R 0 H T d C D 2 Q t l x k E C R 3 b k i H y F A u s A z 7 3 Y J 3 K A B z t Z 7 M N c 6 O V r I 4 J L K / V c E u a D 3 b q e / G E A u a E K k 4 E z H b b F h H f q s s H C T p v P 2 I A w t a 7 K g e + R 1 8 l T f A 6 H 2 e / G 0 t g o 1 k A m Y t S z 8 h m C b N x 3 1 U r S y 5 z 4 N J H w m y 9 I l l D i D o a s g X k m B J T E D n A 2 9 Z Y 9 I l f s f B h k Q 6 V D 5 I o W E R 0 J g J w e Z D g G j H H 0 0 l w X r H t I g E f e g b G k F H 2 3 z U 1 V d i 0 8 a t O H L k M K 5 6 3 3 u h N 0 c Q S i Q y c 4 1 6 5 w j Q Q O M y N j m K 1 u q F J A h y 2 y P a y l k u e V a l F 0 K G h m J Y r G W k q R R u l U l 3 s + + S O V l H 0 k c h f e G 7 s D l X r H N 4 i 0 v + O r N + A f + a f 5 O 8 d f L 3 y e P 5 w A P G 3 / G L 3 8 9 c t Z c M 9 t m S d E W m n S S F 6 J V o m 4 p X L i f v T d q V T L 7 D o 6 / R 9 y r y Q U 6 l Y x K s w 7 + D p + 4 r 4 o y D k 3 t J M P g x a 2 I X Q q 0 c Z E k 9 H 2 d N W B w P I K g 5 D Z H q 3 P V O M 0 b E S c x U 3 P G P B m I I k 0 Q 1 V e b 3 x d j / Y X O a g y 2 G 2 B D 5 P o r A K w k i D z I 3 q y A v T s B S + H Q N x T m N z z 6 + j t w C C f M X z k b r v G Q / J G m M L Q E Z 1 e b Z e Z k n C d 5 A f Z I s i Y a G z D C 9 A A s r n v t K z r H l Q Y q h E o U 8 0 h m K I S c i W u m E k B / M a M m 6 z 5 n n C j O a L i l 8 b E G Y / E o R p X J + 8 m 8 2 S m W e 1 H W U r I P C D y 1 A l M P t E b 8 R P 6 X 2 i 6 b z N U p n W D b 5 g j 4 X / Y 7 M H a E 9 e e N q N z T j G y F p d X C E R m E 3 d k A m Q u N s d p 1 M G j 4 Y R s h 6 N m J l a S Y R 2 d m G k S e g I i k a L D 8 f c V O H a A t H s C b D R 1 G j m 0 8 2 v K I d W T o b s 3 Z K T G q T J J R o o H j A H D i 7 f Y h U W V F m 8 k C b Z 0 2 Y J 6 i C 1 U B 9 U A K D J i H 5 D x e c A s h B w g o R 4 L C 5 0 F g z h z c 6 P K V 1 i o H r m l S Z 2 k l Q z M y s 5 s w c n v r J h z i N a z h s h o E r S N F n v 8 8 n M l S I o Y Z k i b 4 U c y v 0 Y J a y R i I s x c z j h M X R o U G 0 t r U R 4 Y R F 9 V X O H D e S Y 5 3 E o U M H R T B j 9 u x C n U m E G y P f Q 8 1 E m o 9 h k o x A 0 j M a F X t C 8 e Q s H 1 e c z M K M w d V H + d 4 t r a 3 w k v 8 1 N D y E t r Z 2 k Q L D W + z w B D O v y 2 I t 2 9 3 T j e a W Z h H k K I 5 U e 0 q B Y C h n N x H z 9 N L W 5 v 4 z 3 L b P c 4 + Q 2 T s g 1 l J V G 7 L r g K c g R b x Q O 9 f C E N o H j 4 r M k o b 3 Y C i w A 9 X 6 B V N Z 5 k n G E V K X h O L Q e E D s D H / K y U v R 1 p r f / 3 F 3 q k Q a D f u u O c t P E h C a i o m 1 p I z 4 J O O W 3 m 8 Z Y H P g G I I J 2 T 5 U z t j R R 6 7 L U U w j z Q T K / K Z W 5 L D q D S m z l r c L C q M C W v p O 0 V B c a y y R x p H U U O x X 8 W 7 j y 5 c v F 6 t S e Z 5 o + / b t o t r r z p 0 7 h H T n r A Y G 1 x V 4 + G F l T 6 c c 0 I n 3 3 / 8 A E X Q X v v / 9 H 4 i B Y o J S o k D K g / K 1 + J k 5 n Y h L M X N w I h M J j U E n C l O M z l + / Y Q M e f u Q h s T M 6 1 / b 7 1 r e / h Z O X c + Z 1 D C t W r h S b t n G + I a c 1 c Q 3 t 8 8 4 7 H 2 v X v o 1 l y 5 a L K 5 4 Q k O q N c P V S f / 6 1 P r x 3 l G n K D 4 z D M v A 7 e B u / l v h 8 b D B 3 / Z F u q 8 E + 7 R W i r t z X v / F t 1 F T X 4 F O f / h T q y s n 3 j S p a b D q 4 e i K w t x Y X L p H Q O L T 6 E s w y n o i d g Z 8 B n q w 1 5 l l t S 5 C C 3 W R m s i A o z m A c 3 Z s M d S U + K d D H Q g i J i l o p p K / Z e j f B / M L C X W l 1 W k 4 U r 2 Z l j I 2 O C m l + 7 7 3 3 4 s D B / S L N i E s Y L 1 y 4 U H A q g 5 m A U 4 i + T c T 8 + 9 / / n o h 1 m d j L 6 Q c / + I F Y l b t o 0 S J 8 8 I M f x N / + / j c 8 + u h j + K / / Y q J f i m U n n U T n / F D s F 8 U r c U 8 + e b k o d H n 7 n / 4 o w u W c z 9 f S 0 o I 1 L 6 z B v L n z 6 D p L x P X L K y p w P j E 2 z w O d e d Y q / P z n P x P M u Y M Y n N t 6 z z 3 c 1 o P U n m / j o o s u E p L b 5 / X i l l u + L F Y I F z K B S k e C m 5 N g 7 S m W v S v g y 3 v J Q Z 8 g 5 5 4 h m I n t X Q E V v H W f h q n z j s T n m U E U + X z o M Q R n f x V / X m 8 X O Z M 8 z / e L n / 8 E 3 7 l p u c j / C w c 8 p J 3 z J 3 w y u H 3 c B / F w G I Y 6 r g F R v D + 0 u h K C P 1 z w c S b M x C g S 6 Z M N H P K n / p u m 9 g c v t 8 g G M 5 P J 0 4 / W 4 W f Q P L E G L S M v K Y V I C Y N D Q + L v u w V m J s a U D 8 V B g / E J J z F C g 1 C R v F S d U 4 x 4 6 0 8 u o b x j + w 6 8 9 N J L + P w X P i 9 y 8 5 K 4 8 8 4 7 8 Z 3 v f E c w B C 9 3 5 9 9 y / f D B g Q F 8 6 Z Y v 4 c t f / g p u v u l m u v Y 4 N m / e D G X j M 5 V y z u A Q 3 W O 1 S E H i j d V M R h P u u / 8 + k Z P H 2 p E z K P b u 3 S d m 5 a + 6 6 i p x / 7 1 7 9 4 r 7 D l A b V l P 7 / v d / / 1 c k J t 5 w w 4 f E + h k + 9 r W v f Q W / / O W v 8 T K d z 7 m A v I H b y M g I b r r p J t x 2 2 2 3 i 9 6 U j o R 0 L w O k N w + 3 x k Z 8 U n x J G 4 1 7 F B + E o Z c g 7 B o O F t E Y 8 R v x H J g H 5 S q a j v 4 N v T m 7 W P B N 4 j D S s R p s Z W W V w L h 9 v P 5 q E o u l 5 j V h K y 0 g R D / S u 9 Q h W T V 9 I M h B 1 I j 5 h F l u X H h e 4 K I 2 h c H n l / M j s U 1 V w D L r R l 6 G R B 8 j v 1 A q / H X q d U q h J J B 6 G 6 G H V i G m q E d U 2 I 6 5 v Q F B n h F v m y W 4 V N G E P o m K b U x n 1 w 6 9 g q C 4 z + c D s 7 o J N 0 s B l P r 2 k D I / j g X i q 4 Z F x a G j A e G t M F m P M F J W k D T g f j p n q 6 q u v F j l 1 T J y 8 v J 0 H n p N j L 7 n k E t x + + + 0 i f + / m m 2 8 W p h 8 z A m / b + f b a t f j 8 5 7 + A C y + 8 E D W 1 N S J L f O X K F b D b 7 a I Q C y + E E 9 F C o g x 1 w m d j b c M a i r U h 7 4 b 4 9 a 9 / X f x d S N q F c 6 n S w Z u l c b L s N 7 7 x D b H V q G j r 2 W e L D Q U 4 7 4 + / O / u c c / D z n / 1 M 1 E R v J T / r 4 o u L Z 3 k w e B E k 1 / v j 1 i g o x E x M F M r O e u U m T p k i N 0 q t F L l v s M d g p e O q u B d G K + + E z p n c C u H K K q 1 g J u v g r 0 V f J + E k Y c b 9 n o + Z G O n M x O D 7 Z a 8 h 4 x S h Q s y k 8 R 6 C y f t m 4 h N Z X F z 7 o r A y E + A o 7 r T I W g I y L c h m 1 4 5 v h a X v D z D 1 3 0 v M N I q 4 o R r B l g / D 2 / o t e B q + C m / L 1 + C t / S J 8 j V + k v 5 + F t 4 m O N d + C Q P 0 N i F S t R s z a A R U H N R J + V 1 x j I H 8 v D G 3 Q n c N M D J + t H U P W Z u i c a 6 A d W 4 e h P L U i T h S E h m I z x a y N 0 4 B m h s 0 Z L H P D R O S s V T h o w L P k Z j O n x h D B 0 A 9 S J J H C L 3 / 5 S 1 G U h b e X 4 T C m k D j 0 8 K K K H 1 + a C E m O S c J i O l Y / N h d M 4 H y x f B f k A A d v T 5 K f W D M R I 4 Y q X I + C w e W h I 7 J G Z I a I o E S h y r H R T K e e + 4 q X i i S L 4 R t 6 H k a w 9 Q Y h o O K R M M Z j B 8 m J n g 2 t a o Y m V A I 6 k v B h a X p t o f U d g D 6 0 F 4 O O i 2 C b l V p N z K H / z V u 3 Y e W K U 4 j u e d t T F x F u b t 5 a B q Z b 3 h 4 n 8 3 L k X 9 B i C A H t S k Q r T i F p o A N v H y o n a v 5 N i 0 Q E O h 3 x e B S O y D H U e i d U j a w n 8 3 A O d I 0 n Y K o i C 6 m w e Q K + Q I T M v j q x H J p 3 s e A C / 8 x M J p O R I 7 u J E H p h M P O w y e Y j R 7 2 p U S l n y 4 w T I X N I w 4 x E / 2 X v S H c 8 K L S P j 0 K + / E q / F 5 l U c r 5 q t 6 V D I o Y L x T R T T F G M o S R y v u U 8 z j d v i 8 m L / L j t h s E X 4 K 5 6 D 7 b v 3 I V T T 1 o M d S J 6 N O z f i T p T 4 d n 9 E 4 H A m I T X t 7 4 k F G U 4 H M I H T / M h V H M V E a 9 i F s X 8 P e Q e 5 Q 8 e p K C Y b 9 p + N t l G q G / H y W y T E H d H 4 G / 4 A G R z g U w L 9 r 2 y S g M U g + T v h M x T C Q n k C 0 q U A k 4 g 0 E Y r c f R o H 1 Z X v E H a 7 4 v i 6 I m C 1 L N l j A Q k G Q v E L Z z R s P v w Q T Q T I z R V t x L z x K D W s 7 k i I e I N Q O K w o E y d x R s 2 6 1 T g n f d Y r Y W c I Z J o K h g q c u 1 x U a O O O s 7 l p + 9 F o i J Z C d b j t N s Z z N 1 5 F v w J 8 P M Q l f h i w z B r a j L m H z y R A b K n u U A K S d 4 Y P R M d Y y Y X G x a k Z 2 A k w 4 k J Z p W i H k y E 7 D l L 1 L m E G k / u 5 q B A x g B r e N Y E j z 3 + J F r b O z B v z i x U l N t h D b 4 M j y G 1 Q n m m 0 J D G i e o L b 6 + Z D 6 F w F O F B H a x t q W f q 8 2 5 G g 2 a p Y G z J s x W + q B l 3 7 X 0 Z p z X Y 8 O + u Y f x o 1 Q 3 E i Z O I m 9 t g n v w b 8 Y U B g X n 5 6 w s W B e f O z X B e K D 0 a z c g N m y t w j o f R W j M H R w d 2 o 6 p e Y V q O V F e Z 2 3 O F K d G J Z e D P i E g V C N V f W 5 i m S s S U h o r E f W K O o 8 V 8 p v g i C T n s R t A b R M i h h 7 3 D J j S O 8 g X 5 O 4 G o Y D h e 0 V g Q Z B 7 F y D z i U 9 z 9 p O 1 I M l t q j y / l R i K T J X c f 1 x Q i c T / 9 q 8 K 4 2 J N 2 E f r 9 W + m z o l E 4 p b V V 1 T C V Q L p j Q I t q S x y N n K a d D 4 k s 7 7 1 j N i y q U 6 K b x 4 o X 1 7 w i o p e L F 8 1 H l H y i 3 t 4 B O J x O + I M + r D 7 j T A R C I V g j n Y g m l l / E y E 9 V T 6 3 r K g 6 z w Y d D E / v R a O Z s j U K Q 0 e N d K + a e G k y p 8 1 x d M d j b c 7 V 8 x L k T 2 r K l 8 I Z 9 s O i y x m w m W R E F w W M y M + 0 g h U Y S I x n H B A p H A k 1 y I 4 y J c n c z A W / t a X I + A X / 5 t Y i b S s s 7 j I f C J D u V c Z p i q J H A L t Q a 8 6 8 f 6 u 0 Z Q E s j F 7 r g S M o M E R 5 D X F s t f B L / 6 D g i f h P s b c f m I 0 y B 1 8 K k T U g O + L c I U 6 7 R e C o x r v J g 7 K C n L 8 / g t U E 1 s G P A t w R R Y v B 5 t d G M o X y n T 4 d T m n O L b n j D P H E q i Z K 8 p U I X J 1 9 G l e v L c M D j / v s e x 4 I F 8 3 H 6 a S v o u h w Z p G 7 N k k c 6 9 x a S p E E E r F z s s j S C M 6 r H E I j l l h L O B m 9 C Y F C X i V z K d I g C O 1 m O o x w l D Z 6 1 X o g h + 3 Z D M i 9 J f P p / B 7 9 / L w J Z 8 0 7 p O N 4 5 K J W 3 m 5 j r n w g Z T k O k 8 n Q a i i K K I 4 E c H y o d B w 4 e x v x 5 i Q w I l t T H w l A E O d C H s L Y F A W 8 Y 8 k g c 5 f P y d w I n y 7 o i g 6 g l r V I I q W 1 T U h g P H q D O m y t M q S m w e c C y L L G o b U O 3 D q e 1 c h k z u k / E A Q P b 7 8 K E o O 8 T v 9 s / o k V 7 Z R S e o I R d Z A q d T u e b Z 8 B I S a h C e x D X L x b v W V t y k I E 1 g y 5 + D u p t m Z q Q y 5 K 7 g i o y R + L w R o Z h E U u 9 U 5 L b O P o s A t W X 0 c d 8 f m I a R I y 5 l K B L f n i p f y x t i k A Z 9 u 8 g / 2 0 Z W d U e s i g y x z z i 3 E F a q 9 i + W S V C Z P Y f u y 8 r E C M z P D o i + i w c c y M s L B M F X l c Q R o s e N a W m Q 5 U C c l / 0 I 6 9 C J 3 U h I j c g V H W h C J b I G t b U y n j l Z a j h 4 R G x i j Q D M 2 S o T T 0 6 1 N g c a C 8 3 T 9 V z k 9 1 H 4 R p q R 9 m 8 B O H n i d 5 M D y b I Q k E I R m G J 3 j 2 p E c G A W i t r p 0 Q H R C b I d y o t u 6 B U a O V B s s l z I 1 g D v s 1 k k q 0 k 0 / o d E Q i o N S y Z 0 q h B s i Z 5 e x X G g G 8 n a T M v W i x p 5 j f P X w 0 + B X W t H f E J N 2 m v M 8 m P a S R t s Z e 0 x c x 8 p 3 z w 9 u h h a c 3 0 B Z W c y P x S + c 0 j e p w z O 4 / v W C K O Z 3 0 U C 0 6 u I c k b + f U f 2 o X h z v 3 w T I 5 j 2 Z X v F T U 9 O G o 6 O e p D Z a 2 F t L G d / O i U 5 o 7 G l M r I M 1 p / N i 1 o M N n n j m e s h + I / U v H F Y z N w J H k m e y S 4 C y 1 k h k k J W 5 s f x H E w A H + 9 F U 0 J n 0 U U Y j Q V X w K S R L H i 9 Z J 3 D 2 S L o h V K A U + M J i 2 c 9 G X j e Z H o I Y E s f s 1 X e i v q 3 Q a 1 Z S k x R U w s 5 + Y l K k o t 9 B M H n u r g c q H m c B + g t 5 F Q K D 1 i l g / J / L 5 i i L s 2 Q 2 U l U 0 8 8 L z 1 P 0 i I Q 4 V / 6 O 4 M g A + 9 S I s 9 w Q p j p c t u r T 6 N 5 3 l L S P h Z 4 J y d Q 3 T Z L L O P g i e p 8 4 O I 0 V c a 5 Y h d F l m L J V Q 8 + 1 y R s F V X Q F P P / j w G C o T z R I R h U Z Q U T J a f A j i j 7 L 5 o S U l I Y W V G Z k C c M d 6 8 H 9 n l V Y l t 6 g a l F f d M 9 G A 9 2 v n O o k 8 L k q B a p a J o P v O J W z Z n v U + F b e k / H J s O j q E j L 2 s 5 B Y Q X 4 r i C d 8 f O B z U X e 6 H n M q 0 K l I Q C L 6 3 n 4 K 6 6 m d s 6 M U F j Y s Z B V 5 V b 8 F F B H j s I h 6 2 D T N V N P F d Z c J Z V d n m H I P B 2 c M c I L M p P + H p e H H o g q p d t I d Y l j 6 e g 8 O I o 5 8 x t h 1 7 U g H O b C O h G h 3 Y I e F + z H u X t l P o h e s W r q p 8 K J n D 5 U E K x p e L J y O r A 9 z x I j j Z k Y n g E v D G X G F D M x 2 O R h y S E 2 Z E 4 7 n g 6 R 1 5 U 1 g G Q / O 9 1 7 0 e 0 i r T V D Z h p 0 q a G W S T A w B d H A r u u O 4 v B o F 3 q c B + A O e u A L l / C M / y E U Y y Y G M x O D I 5 U q j R 6 + i v d P M Z P B u w 5 6 j 7 K 3 b 3 L f q x 7 P B v E 3 G x y 9 F S u s Q 0 k t R U x D / q o 6 P k o + M J m g 2 g 4 Y N R X k 8 / k F M / m i X H M k D x L M p F R e S l 4 r H T T G x + i L M z h j J D 1 4 w r X W 6 0 1 L S P D k j 9 I y R X H A i o M x X r k b f t U A N N o 4 L O U V Y t q A B c m J x B S V q h J O 7 5 G j 0 0 y W F U l s l H j b F P G G N E 6 e C j e S b I a l 3 i g 2 Y J 4 C a z 2 6 t x L G p u N p W 5 G I d B t e J p 7 m Z 0 V 9 R 0 R F 1 m 7 v K J x y e t h W Q o A c E d 4 J J B 9 4 n e P O Q Z 1 Y C V w j 7 a T T + b f 0 + N S f T e W 9 0 O p J Q q u 0 a L f q M B b k 0 G y B j p 6 m / 2 O + m U 8 2 n k i w k E 7 m F A b J B x v T n g Y / 9 Y v Z s U 4 c a 7 W e I b R e P v C 8 I s 8 v B h 1 h y C T J O f g T U 9 V g j H e p p P 7 l t V N a t Y m I M C 7 m 9 4 q B i / 4 o 5 E U 3 S 9 + E j t d t 8 T i f I H B J M F e o E 1 y I J h + q a n K X n z j D v X B H u 6 H X K X X 4 T y S y x D 6 w 9 K T F G T Q T J k 2 Q g 1 h + Z 1 T Z 7 6 c w 9 E Y 7 2 b o q O A J c N j m K E f 9 u k o J p n c 3 g r U i 8 e 8 W A i g z e t D Q o X i Y w G F M r x w l G r Q m R c R W e e f Z F D A y N k B S t x P 4 D h 8 R 3 S Q g B R C + Z G H F 5 + R a Y t T I J y E x f q 9 X W g T b b L P H q 9 v U T U 6 l p y I + t o 0 / 0 A B 0 L N K K Y j Q I b a T C T Q Y t I 1 S o Y h 5 4 W x 4 o 1 k b 8 z l O v g 6 A 7 j r 5 v u F c d q j K l K t z x u G d H U a U E X 1 C Q E I k 9 2 Z 1 k t x w 4 5 M b F L W j X R H g 2 v b c + C v d y E g D 9 3 O o Q 1 W q G J 4 e N B T s / 4 / K z S G d T Q 8 D C C / g N E 4 L v F 5 y m k x / 5 D I y L F R t T K L o K A I 4 Q I 2 d e 8 p M F u 4 D x A D W p J V W d 3 M G + m J V s W Q e J C M I m O Y g Y T I O k 4 1 h n A P b 9 5 C G W o w b 8 e f I G a J U N r M K O x v g Y W t R t z Z 7 U S 4 w W J 2 R y I e j q n 2 E J j m Y 2 4 Y f p U n m r j P E R j 0 / g A 6 R I n C 1 K R e Z F S k a H B T y A C 9 c o m A b b w 8 + I v m 4 F c I T U d r q A a L + 2 7 E 0 d V T 2 H M N 0 F u Z W Z b Z l z 7 X O Q z J q w V z h w 5 7 s l g D n g 5 h W b K R p S 0 l D n K R T M z Y T Q p 7 g w H 3 L J R C l P F o 7 k M W Q i S c 3 i v r J T L P X Z I U Z e S y p M G 3 p O U C 9 N z d V S G 6 5 A M c 7 s M R 4 g z E 9 I e L D S I u K 4 G A 9 6 t q D Y t h I F 3 S m C w K c j 7 I I 2 H s W 7 9 e l x x x R X Y 9 s 4 7 o m b 5 V / 7 r c z T Q M n o d B t S Y K t B S Q c z q G 4 P a U N y X Y m e 6 1 7 c O D c Z T i w Z g 3 J F + V O n U 8 E T N 5 O w W c J 4 L 0 L w c T U w F k F m U W U f j x I G 1 R D j u E y F h B c z h M 2 N C w 9 C z C J e f R k I m v + n m H Q 7 g 4 e c f R U d H O 9 r a 2 t D d f Q Q X n H c B + W B v o 8 W 6 m u 5 W 4 v 3 8 Z A K b c k u R H Q s C s U n 4 o 5 O J T 8 X B 9 f m C a h 3 1 T K q d E g d e C q h n 9 g v L 9 e 0 5 z x V P B E A k d W m C J G M e y u f 1 w W y Z 4 b w Q O 4 N Z k 4 6 c U c 2 F 5 c + f o y z u Y s e P d 0 g 0 t 8 d E C l I O O D g Q H k J Q q o P V Y k I 4 6 M Z P f v Y 7 f O / 7 3 8 P R I 0 e x Y M F c U a a p 0 6 G Y c 8 O T 9 T i 5 d g I a j S 1 v N j Q n T u a r K c H M x E y V j n r j c u h E G b R j Q N b Y x I K h q e T W / w T Y l 2 H z i w M E 0 / k 0 x a B z b Y M m N g J / x a X 0 T B K e f 3 4 N e B + m j l k d s F c 1 k P B h 8 5 p I c x o e Y n P 3 l V f f E N v S X H c t a 8 M k a U 3 z w x J x b C a a I m y S K 2 p L g U 3 L z 5 y e z V O a w O J a i R k M N T Q 8 g v r s C d 3 p M E 3 Z K I Z r w E 8 M I a O y z S w 6 n X H w 0 B E s X D C f W q H C b b f 9 U q z w / f C H r 0 d n V z + M 5 T 4 0 W p t J 6 1 n R O U 4 M G p W g 1 8 R h V w / D Z j I S / 1 p E S p A l T 5 k x B m d c G L K L m G S B J w B 5 n o z B A R m z p h b l u g 7 q t r S O i / s R o f Z y K W M + P j n c h 4 q 6 t K B M n j 6 W O e G 2 S H X X / 9 O I k 9 8 a H i e t V Q 8 d h h B G Z m F / D u x k C 0 T e o O 0 f / 3 g Q K 0 8 7 j Z x 8 L Z a c t A i W R M 2 R G M 9 b 2 V d k 9 u l x g o N F H L E r B n / E C V O i u I w t 4 o N b a 0 b A F 4 b R P J P M D A m V + j w T z y z 8 m c F 4 T j b C 8 Q X 6 T O / F 2 j 5 D c y Z D z R g c U O C C 8 d P A 2 z d K p l 4 c L X M a 8 P S z z 2 N i Y h I f / c h N g p l + 8 + v f I B g K 4 n v f + W / s G V b B Y n w T d a a T i I E s 0 K M f I S h p R t p Y J y K q A j u S E z y R Q T G B y q a Q L k 8 l n 3 Q k N Z V J U 0 U m B H E s o d l 0 u k g T 0 k + Z U W x 7 G x A M h D A 5 1 A t L e R W 0 e q P 4 3 d Q c T B 4 6 i Y c d U C W W j i f T j v 7 / h F g k B m P g b Y R t 5 y L i j 0 F r U j S 9 h / w 6 X j R Z K o x a N w K R 4 5 t s L g S O 0 n F e Z D Y 4 P M 5 j E 4 2 H y U o i O i D T m 3 f n 1 M f J R C b / y j H p R V l l 6 S H 7 C l 2 J B V 7 I b U F i b d c U Q + 3 d d x C L F h a v P J q N 6 b a I 1 G i 0 e P K f z 2 B i f B y H D h 8 W N c x 5 6 f u p p 5 5 C Z p 2 P l J t D L O 0 o B o N q B M E 4 r y R O H J g G I 8 H d p L I b Y V R X k C k 0 j v E Q 5 / n N g Y U 0 U B K T 4 S P U W U r i p D 8 2 L j Q Q m 3 3 c e X v X r R H O 6 7 L z r k Q k M E 4 m Z W 7 4 P w N p / R 1 z 7 4 H a V n q 2 x v 8 r c O R W p 8 4 l L H W 4 E z H S 0 g w p 6 s V 4 F 1 k V c 0 o n w C R k n q z n a O B M a 0 3 M A P n N P x m h S I i E q k s w F u + G o h V 5 d i n I 4 T C k E j P 4 e Q u d k t y B t A q 7 Q t R y e s Z M m Y l N v e k m V J l A e Q N r t 8 e D T 9 3 0 W X z i 6 k + j o X U O g o 7 D g m j T m e n N o 5 k P z j P z D L 8 7 k V K S R r g j Y 2 P C L 0 u i x / d 2 4 p 2 S H y e R C c f S y k w a q M W 8 K o O Z G E l m Y o w F 9 9 O / q Y s v X H U J l p x 1 m S i A w s w k c 1 p N i T D Z S w j u U J / s 3 L 1 P z P i / 2 2 A T L R + S z D T g U y Z 9 o + 5 t Y n f 4 J 9 f s o + Y p 2 l f t H 4 R R V 1 u q H E v B u 5 c M D 1 0 O M 3 E w 4 0 S C t w 3 K B b k G W g N p 0 l p Y 9 N U 5 z M R g Z u r e P w R V o g x 2 P r C F w 5 n q J f v W g p m U n j o 2 k + 8 Y 1 s L E o 0 H S j J W I 1 f r p Y X N v e W R M g 9 n V y j x C 3 N 8 J V d r q T D 0 G y f R r E I y f 7 l h y p j b n O D I 7 K C u M j X A 4 X a i s K O 4 / p f s C z I w t 5 s J R K 5 3 c i 7 B U Y N V p E o m f S o H 9 k I 2 Z B f y H f L t R Z z 4 J A w P D 2 L N n D 8 4 7 9 2 z o 9 a X n v L 2 b m H C M Y P v 2 / a I i l M s 5 g Y 6 5 D W J p R x L e n g k E y 8 t Q Z V O L D c d e X P M S 2 t v a U V 1 d i b q 0 Q v o Z C J A g P I G b A i Q x F N g u V h S k m / N s 9 r H 5 d 6 z o 7 5 5 E Y 6 M N k j Z T u J X p W p F v z + d i i A d 6 o D K 2 Q n J M j M g l 2 Y l J l J K r l Q V V + C g 5 u G 3 g n R G 0 2 v z 3 W t e l x 5 n t y o R x 3 N 9 N D J W 5 g 4 T M E R R j S r N w J H G 6 X d O T i J C 2 4 b u q N R q x w b T X F 4 D F b B J F C / s C 6 9 B q P k s 5 M Q 8 0 0 c O I a q Z Z A p B 4 p K h z O z R l y 0 n K S z h 4 8 I h Y 9 7 R h 8 3 r M 7 p g r V u X + X 8 H j T z 4 t d p 6 8 5 t I l i O u V J e 6 + y A j M 2 p Q m 5 2 f Y s X M f n C 4 H V i x t x Z 5 D o 2 K L 1 T D J v F S t w V z E g s P T T l + c S H B w y R d N b R B + L B g g w T G 7 0 a y s r U r w w s z X U s m I + X o h 9 Y 5 s k 7 m C 6 G i f H 9 X N R h z a N Y 5 V K 1 Y l T s o C Z 0 3 k s b 0 L Q U 4 s L f C N h K G x k n 0 b i + D w h A E L G 7 U i D J s O L l C p I X W j D h 1 C j C R R E q x 5 L B Y z 4 r 4 D x G S 5 q 3 S L R f s Y h c K l m / r d q C / f g 2 b z G Q W 1 E 0 N 2 r Q N s q 8 T q 2 S R 8 m B B R p K m A A / 2 c T S U u T H P 4 a D d u u O F 6 G L k M V p p Z + m 4 h F H M X n i s r g J h n D x k Y D S S Z 8 w l G C R s 3 r c f i J S c j F P K j w l Z G 5 h v 1 8 d i j 8 F Z / I H F O Y f y n G Y r B v j J P 9 p 4 I q O W Y 2 M X D q J 8 F 3 l y u V K h D B 4 l u 5 0 H a 2 f f U 1 K i b 1 D U k q U b R J l a K Z o E T X q e Z J W c T L L n J V j w 0 A Z W + E v 5 e E 0 w t y s K v H o d 6 a t P j b I y P T 6 K q q g K y l + x 4 S y r V J Q M h k k T T T E L z l j G V l e U Y H R t H T X V u 1 V N + 2 M L s Q w w a k s i U I B 4 i s 5 S F V W z y D U h l Z 4 s J v i Q G o 1 t F q Q A O g I S i P u G v l c k n w a b z Q 2 3 M D D V z i g u H 5 S N B L z R 6 3 h l P B c 7 u Z 6 c 5 2 7 e b K Y b 8 2 1 B l W E C M X X q Y n g W E Z M 8 s c 1 A M Q W c I h r L E t E g J N M B Q k V C M p w n F / w S 8 1 K e h a Y p j F g P L P p m F b 9 q 8 g I 0 U g N a U u w d X P s S J N l X k t 2 W I b j U N d m V e Z 4 / A 8 0 3 T I M l M H K t X 6 S v g 6 z F O M R O D m Y m X m u c D M 9 N 4 / 7 Y p Z g r l p m U h H M q U Q p 0 T m Z O 3 z C z M T K w Z 8 j E T o x g z c f Y x + 3 e c G p W 0 g i V d j e j o F H g m J I 5 B / z v E 3 x W Y 6 N T C r m t E u d 1 G / Z d K e + F s h n G S W h x R 5 L 8 u a Q A T 4 c P i P W u V f B I 1 G i k t x S U Z M u b s b z V K k 6 I y z y / x k v Y S m G n X z p 2 C 8 R n R q e x z A j N T 1 A s 3 u d D 3 b 3 s Q w a w 9 b Z O I x P / z U w W 8 S e D x g M c 7 3 Z L h 5 A A X M R e P F 3 z 7 E k c L g 5 m J l U E G Q x 3 Y P g 6 r r k C t t A L p 8 U k k / b D B o R F M O t 1 Y 8 9 J r M L d m 5 l W 5 g 6 q 8 d R s Y R o 0 D F Q 2 p u u P Z u y 3 y v q 6 y v o X 8 q 9 S k X k d l Z p u S z D I j n z A N f Z 4 8 U S H e v i Y t B 8 w P J / p 2 6 V C l W 4 Y 3 3 3 o b J y 1 c B g v 7 H j J p N q 4 / S F A Y S W l n d m Z G M Q R 8 K e F T D M m l N i I N J 4 P Z c 8 E T z V q 5 j w R D F V R 5 6 k M k s X v v f l E 5 e M 1 L r 8 L l p X G T l O v G w s o z M e 7 Z c h / u f e c u d A 7 / A 5 P + I T y x / Y n E N w q 0 U X p m E i R q 4 7 u z / W c h c G A i y h v h H S d k e m Z L a B g V m m Z U k f m W f M G c s p j Y l 0 f g E P V r 7 l i x M p i K 8 g U j X o y E d 6 D Z d M b U U o 5 0 x I N D Z H f n b o n / 3 A s v Q a / X w + 3 2 4 L I L T 4 H R W i / U 5 9 3 3 3 i d 2 K u f N p T n 6 t u 5 Q C O c t z v S / O F h w / w M P 4 + q r r 8 L O n b u w e t X p w o / i q r R 8 z S T Y v / J 5 3 L C X l 5 O i H I F K V 9 x U 4 s I n X F i l 1 K A F o 3 9 g E H X 1 D T k F U 3 g W X K U x Y M O m L R g Z H s E l F 5 5 P B J 3 4 L g G u T D R G J m u t Z Q R j R b b K z A Z P L J v U q U V u v K M h 7 / Z + o j A 1 h 1 c A b 7 y 1 T m y 3 + u 9 / / x s f + u A N m D 2 n g x 6 X z T o J G p 0 i 0 d x d U d j a l f c s q P 6 5 9 1 l c v f C 9 0 D k 2 I G w / m X S U P r f P / g M I x 7 1 i 4 j x f j f O Z Q b E 4 k r B F X N B Z V i Y + T Q + e c 9 P E h x F T k x A h r T 7 F U F 3 d P Z C q e t F m U S J e 2 f l w M m e d Z w U F W E W y e c W v + x 9 4 A B d c e D F e e + 1 1 f O C 9 N 0 E 2 U c P S J G J y 5 S n X A d + w g Q Z S a 8 B 5 q 5 d S Y 8 Y Q I 4 l Q K E u b S z M 7 J y Z Q X a c 4 u l y I v 7 n C B X + w c H A k G J W E L 8 S F T 0 p B M o z O z 5 G u 3 f o H h + C h 9 r Y 1 m Y i p K g W T 8 w 4 h D o c L t W S i R u l 8 r p X N 5 z U 1 K M J m P E j m Q a l M Q X 1 S a Z g j / K l S 4 A x 3 g 7 f A q T L O o 1 8 U D + v G v Q e g s h Q u t c Z w u b 0 o I 1 O V c w I L I b 1 4 S z 4 Y R l + B u 5 L L H 3 M Z a u X Y u w 1 m p p n s / J 4 P T N / Z E B s L x K O Q t R Z F M 8 0 Q c i y k M B Q T b f q + S Q O + r V P 1 3 X x k h n i J i L i e Q 0 3 r a e J Y O l 5 7 4 2 2 x O / s F 5 5 1 D x K V H y B O B z q z B 6 0 e N m F 8 T Q U N Z D B s O R 2 H w H Y C W p O G 8 N h 1 U R l 5 G H S P J N v 1 c l p h r I n q b o v M S l A 6 f U o r R 1 z m p Q T v 5 d c o m c J n w h m Q M e b S Y R w I + G u Y l L V z s P y U g k r U 3 s m t w a F W D G A r m W U O W R J H 2 m 7 S Z G i s f + r z r x S V a L J m R W E e o C 0 3 2 W r h H j k B t W 4 i X X 3 k T F 1 9 0 Q e L b Y 4 f r C G n N 1 l F Y t b n W S R J m 7 Q R 8 k R O / n L w Q f O E + B O X p f f p s 5 G O i d B i 8 P Q h a l G m E e N C I G v s 0 8 4 8 Z I G H s 3 c r z U K M Z G e 0 e r x c W 3 o k t / S B B L w 2 S D 6 R I 6 W w Y N V w k o x L x m I y A I w h z l R G v H j b g g j l B M i V l G B J z T 8 l I S I 9 n H V q t p U e a c k A U Z V A P k 7 o / 9 v A s P 9 / O P f u w a O F C P P X U P 3 H d N V c n v s l E U n u p I 4 c R 0 8 4 h 5 i J p z T Y t Q U N 9 k d y E K w l N e A + G 0 7 V H E Q b K B y 6 J x e X E G G w h V B q U + R D W T L x J W z a 8 4 T H Y 2 O 8 l 9 b / p t S N k N s o o K 7 P j 7 L N W 5 V 3 / M 1 M 4 e 4 I o a z W g 1 7 N W L N t I Q t k O N i V I r I H n 4 D E q + 4 W N e l R i T 1 5 T 1 t T I T B A h / z A W d Z B f 5 k N M p Q F 7 S G Y y r 5 y k P Z J Q k W a N J 4 I n h c E m n Y z J o S i 6 O w e x Y O F 8 k X y d A X q W G h K K o 1 m K 2 j u u R V t j 4 f z R J L Q 6 c g k 2 v E W K J a P q U X H o p W G E 5 D p h g q V r M 6 H m y F z j / X g 9 g 2 H Y m v U Y 9 q h R Z 1 U G M 0 l w 2 u g h R D S p U C r T J C 9 H z 5 c 1 M S 3 o J z J H H a l D C 2 V 2 p 7 c h i b 7 B Y W z Z s l V o S g 0 9 w + W X X k x C o D D R a b U 6 e t 4 0 c 8 e z E V H d c j h c b l T X p M L 3 b C q O j I 6 h t q Y G e r k T g 2 k h 9 n c L v N B v 5 5 Z e + L x + 1 N c 3 o r + v F 5 d e c q l 4 r t I M y N I Q c k W g t x c 3 L 5 P Q j 7 2 C U P W F i U / A k E u N + k I V e d M g c 0 J x + C g N K w l r i 1 J A U z D B N F n l D J 4 3 i h F j B 0 I + G P X J L A r F L 5 L C 5 Q i Q 9 a T V 6 D E 5 6 U F L e x U J 4 T H x L R O g k U v j h d 0 I m A s H U Q q b f h J Z Z 2 + J X W q q q q r Q U G t T U q 5 K Y i i O 8 O U J V M h k c x 4 c 1 Z J J p k V 1 0 A d 7 q x G H R i X M r V E u u a P T h 2 U d y k N q 4 g O I J q q p c o U e 3 g L m m J 3 Z R I u l 4 A H I e b b U d P O K V z q H Z / S 1 a n 7 w t 9 E / 0 I 9 T T j 4 Z C + f P x X B g H 2 x k w p j y V G / i I p d W E T a X q I N U O Q w 3 N r A D 1 Y 1 5 C j 3 S L W P e g 1 B b 5 m G M 2 j W T J Q v R S B x D A y 4 0 t 5 V Y T S q B k e 4 o W m a X I Z R V O I e 1 W r r / q 2 S 9 s + A p v U 0 + f 4 g s F Q N p C Z 4 Y p 9 8 V + W m c N M d I 4 A D q z S f B P P o U f D X v F 8 f z Z b N k r w a Q P d s g W U 9 O f M p E q e u f T N E A / O S v q w J 9 I g K q U t m x d k M f z j h n O T a u 3 Y H L z 5 1 P 5 K t B I D B O p r w P U W P p m 2 W z f 8 v J 1 Y X A d M I C l T H p c J f G U H H v X n J w s 4 o p 0 o V 6 e 4 / A b G 2 D z k d + B P k i R p N e N I B L W / V M S F h Q F 5 / q U N m 3 D 1 I i / D j k V o v A Q X t F / n m M a Z H W Y g 4 J R 6 T M w j F 9 T v X U S u F 8 4 C U Z B v L 3 i o G 3 9 O E t X f J B D h 6 F l J W v F v X 1 Q C N 2 m l A o r 3 / 0 M A y 2 / M 5 + K O 6 B X p U K q v B 4 B A M R 6 r / S N E E p 4 D m q 9 A K P P d 6 3 6 V 8 J r Z Y 8 k / Y J c E r W W 2 + v x b K l S 8 V + s b X V Z c Q s 5 D 3 6 R 6 A 2 8 Q L G w l z l C P W i X N 8 C w + i / 4 a 6 8 e G p 3 k n R E 4 0 G x q 0 i N a b F g K g 4 9 x 4 O j U J s z 0 8 y S U J a 5 F y d P J U I n Q x 2 z Q a 2 P Y f v G H g w P D e O i K 5 e J u c A T A Y u q i d y W l B B I g m c s X v 7 3 K 2 J n T T a v m x p q p m c o k 9 4 D f 8 h K / K M i z g e e e O p Z s Z l Z Y 0 M d z j 7 z b J I w K t i a l O A C X 3 Q y o E U F a Z + 0 C W e B 4 Q k / a i s 4 U 0 D 5 H C a G y i g n N h O k / S z m 3 A R 1 W W a w h D U g l 9 U q h P T k 2 G w o z 6 k U / M x B k p 7 Y z A h N Q J 1 Y P i 7 e 6 3 O d 8 k N H O l H R l G v + x T k U n 5 Z 8 y e l R Q i M m O y c P 2 E x h r c f L w H l p S i n g 8 y s N i p l d K E V p a H g M j z 3 2 O A k Y c s L J j L 3 m / V e S V k 7 1 X Y g Y 3 T 8 R Q n k T + S 4 c D a Q 2 6 l U T d L 1 K 8 Z F 9 S m 2 a c D J O / B O B y v c l P i n 9 y a 1 / 4 c W X c N b Z 5 2 D D + v W 4 6 M L z E C M B J O n K 8 q 6 4 T q K Q h k o y U T Y i A Q 2 1 5 c Q w U T b s 6 l n C V U g H j 8 l 9 9 z 2 M a 6 9 5 H 8 x m x f U o z F D U c V F P F z q H i E k c T s y Z M 4 f U q Y T 1 G z f g s v d c D C k y j q H B A G p a G n B g x I C F x 7 k z R a n w h F R K 4 f 6 0 V s e D w 1 C d g P w x 3 s d 2 0 L e D 7 O a 5 6 P d v U p J m C 9 I 4 2 e C a c f j D v I 6 K C K q A c z z O E 9 G q w o M c D k W h S 8 x i R 8 I x 0 g y Z p j U v g O T 5 q m M F M 2 7 2 U o d 7 7 r 0 P i x Y v E j v l f + D 6 6 0 T G P j N 1 P g z 3 j a P 7 U D 9 O v y D X z O V w u y Z 0 G G E / a Z k K Z b p F O / w m e k 3 n o Z 6 0 M z N T O B o j A T x E A r i J G F C 5 h 1 4 e E K s H m M a K Y S x 4 k N q f 6 o / p o n T v N k o J p e d l q J / 8 7 J d Y t m w p 7 H Y r V p 9 5 R g b x M m K u v Q i E 2 2 G p V l J M u j j 8 P E P z j T c d y 0 6 Q n R H S f q q J H k R U o z w s 0 e Q x z Y f w Y s h O 9 5 t 0 3 T h d m t x j t R V 1 x m V i H s p q z V X 3 S U S 9 P d S L L j L 3 8 u 9 c w p E 5 j t B 5 P U F Y r A b S M O O k Y V I M w u Z e O l 2 N D L p R 2 6 B o k p n W i m D J z S 8 V M i V p l S G T E H j y m P m f 9 / O d D h 6 n D 5 v f 2 o M L r s y d M m E E o g 5 q 5 w Q R W z v i g a M 0 D h 2 Y n O w j j f Q W P v 3 R 9 5 J p T 4 K K / l M R 4 0 m k j W a S 4 8 c M l d 4 3 c Z k c i j x T H O 8 W D g 3 N w d z 6 w 4 l P C q Z j q s I a y r + X 7 L 1 F O D K u x e w q R f v w 8 m 7 / Q D W c Z T K a 0 p J c + Q K 8 n m l O Y j 1 T N m L B X j K P S o / p s 5 O t F 7 X c i k i w r F b H n B v J 9 D s 9 h 0 B L Q T i s a A n e I S P 9 w i 3 k b 5 Q a X O C J V P C 2 P W T 6 s a n C 6 f + c r + e N Z O 7 n y i u E T W k M V Q y l m H c R O Q C t l I p 0 8 l K G d N + J J 4 4 Z 3 J Z S T c V s P P P w K 7 j y h l T 0 L g k 2 U S e I i Y I O I z G p H j 6 / R y y L q S X T U T f y K o 4 a l s N i c M M d 7 k O r t f A S m X R w c r Z Z m x I i I p f u O M A B A 2 c w J O i i 3 G i Y M W 1 k w + c J o 7 W q 8 F Y + e e 0 U o 2 Z M M B M j y U y h S Q / C P g s s 7 V F R q D 4 d 3 M Y B V 5 Z 9 6 T 8 C v T Q E b b y P J H N h C Z 8 P j g B L 6 J k 9 e S x R O 6 3 k D u P z 6 O X z B w U z c R a C L r k c Q 4 B Z K R X B y Q Z n f i R d D T 6 F s x L Y J 4 B / 3 9 R a G m 8 0 d 3 P k Y l k J S S R v O R 0 D M M N l b y y d z U w c J O L X s T I T I z 3 j h R E M R U T a 0 q E j X X j y w b d R U 2 l F T V k U s 9 p b Y C h T J l z D t R f A G t 0 H R 7 A P O n k 1 S l C G A u n M x C g W Y S s F j o D C T M r 7 4 8 / 3 M 1 t 1 m H A U L m U m O M P h l 8 g X S F G i P 5 j q w L j / I H w 9 B u g r r D C U K 4 7 0 / N p M f 6 n X 3 U 1 + T R T 9 T s X W i v u O Q j L N R k i u R 0 T V j L B 3 F C O j 4 4 L a f b 5 g T n H F d P Q 6 N K i z T k 9 0 2 d B V n Y 2 o 8 5 3 E p w J I M J F 4 E Z w u H z m T S k B F F J O P p y b 8 a j W n i q X 7 2 Y G C 3 s Q z c i S Z A x t c L H L q F H q j N 9 l F f l k h y V p K d k g p Q o H N U q 7 L V 2 y Z d s H 6 4 z M A E 6 P d k l l X w 6 D X o r + v D 3 P q I / j k R 6 6 B R m e B R 2 T a S 9 S P q T m d s o o z 0 G F Z i T q b T P 5 p H B 7 S 1 i O e m d n j S t h 6 p o v 9 3 l 3 I p s I L G g V D l Z t k M W f j D E h i g Z i U 2 L l c i g T h H W + B u T X F 2 Z w B k Y S o M U 4 v X v N T a T u I p k S o 2 k m S k 8 G 5 Y m v X b 8 K 2 g w E 8 8 u h j 1 D m S I O C M Q p d Z a C k v 0 R f L Q 3 R y h B 4 0 X a P w O e m v N E x M u F F m T 2 l O H r h W y 1 n i V a N f B o P B A J s 1 F d p O o i U r H J 8 e H u Z r c C i Y 1 + Z M I e u + e l V p i w E H e o o v m F P 0 Z y 5 x 8 p x T E l H e 0 / g 4 w c w 9 f 3 a u l r j 5 2 u U i C Z l p h Z n b r s u z u b W k J o 8 u B t 3 w W 6 J v r N p a 1 F p j G H L n N Y w K g p + T A 0 X / l 1 B I Y G b 4 U N p o D 9 F j F G q d G c O H j S j r s G N L n w 4 r W z O T I 3 v d X c R E K S 3 C E 7 t 6 t K O a O i v q 2 o n X t 0 6 I L P M b b r g B o Y B X 5 L p x m s q r r 7 0 h F v 7 d f O O H y W / J L Z k 7 Y 6 T x T h I S z 7 j n q 6 e W B j l O x J h W / z s d 2 Q m y S S R 3 r e B i + + n 1 L 9 L B z y j 7 d m B c n b V G K f + t T j h i Z I O q S W 1 y Y I I J m J E d k G D w G E s z K K n s 6 g r D 3 p 5 6 J l l s 8 K A V z 8 t I L q I s B i k 4 A Y P j b Q T q 8 6 d 4 l Y K J 0 G H x b D O B J x g m I a P 8 R q 9 R w 5 y W J l Y K e L K C 6 U W l S t 3 X E 7 B A o 4 7 B o P W j O i u x I G 9 Q w t u t h a U t 0 6 w L R S U M + f L P C 1 T q 6 9 E / 6 s S C F k 6 g l O A M d Z M D O A s b 1 m / E w c O H U F 1 d K + Z 2 z j v n b J E a U 2 g O K B u F i H s K y Z a n n c L B A V n b D n W e n E M G R 7 h 4 m U Q + F L p f v / e d q U V 9 T K g t V i X i J c 4 l Q u r u 7 s H L / / 4 3 b v 7 Q + x D X x X N N r W N k q G L P L 3 w x + m 7 z N g P m t I 6 h o l L R f D x B b D B m E g 0 z F a 8 q T i 8 8 w u W m b d r S 1 i 2 5 O q O w d y g M K L u 3 i w 3 y V M k N A A g c 6 T O W u G e Y 2 n 0 U M d s s j P t 4 N Y D S M b y z Z F s J U W I W B B O J d W b / C U x 4 K 1 B p m b 7 0 c 3 r k b 4 q h O H j A / o 6 n U w t r R 4 q Z O A z N + 8 3 y V p p 6 s o N 5 g H k H C 5 s x L s z E 5 H C z k 8 5 L J u x G S c n 3 0 x l I Y t J 1 i H g l / 3 Z I V i V 7 n b d a S d 8 d o h i i Q c X U 1 J D 5 N R P E v f u h 4 s V e g h i V e z E j u V x e W C y F r x W J R K H V Z k r u H s 9 G t J A f E J a 9 8 E c c C D m N I s d v 1 6 7 d Q i P w B P C F F 5 4 H T e S w E B Z D h V b d l v b I G Q g F Y 9 A b i k v + i T E v y q r 0 G c x S C E l t x a X T q g 0 L a M x y d 1 / M B 9 d R M u l m S Y g H e k k x V Z O Z l x m k m A l M / Q / A 3 3 S j 8 D 3 z Z V M U A + + l z E L k P 4 F g 2 A C D r r Q g h k 3 d M h W 4 E Q y l i k / g o c f f g M l k w t V X 8 0 y 5 w l C F d k a f H i l C Z s S d G 6 E q O z 3 x a X o M + / e i z r R I M B R r G l H P g T g 2 u 2 5 4 m B h g e H g C t b V V M B m 4 M D z 9 R 7 e N + / b C p T H R g F l h S o t u M Y P x Z C N n Z D P z j I 1 N i i X z R q O u o N Y a 8 e 8 D V 9 Z Z 9 3 w v G h o a M W / e f L y z d S u u u O J y M g W U 3 x g 0 4 + j 3 T U A d 9 S N G 9 8 2 L P L Q z 5 K p F v T 0 3 E l g q u O S 0 f 1 K H i u r i U V Q u w s M V V J V 0 p N L n t Z J w H o 2 g s m W A n o 3 8 p B N A 0 K b R J + C v u T b x a e a Y S S i d h U Y w Y k O l i Q S p J C N A Q n E 6 + E N G 6 L R h E v z 5 a S I f k l p K 6 u 0 + I E 9 M + t B c 2 0 g E H B V 7 A 5 W K S T / b b h I q T I V v 3 O V + G 2 3 G k 8 S k H h P 7 d O M R i 0 Y g J 2 K s 7 H Z P g X 6 o N R r R N z C C l q Z 6 R f s V A J t K K p L C c t q + R g x e E L l r 9 z 6 8 / f Z a f O 6 z n 0 w c V a C k H K k F o / H v h 4 Z G B Y N G I z G 0 t N T B F e 1 C B S + l 4 I d I g 1 H r R J 8 3 j S l 4 O 5 V C E j z t p 7 G 4 m k z f 0 g c s H 6 J y C B q x H L 5 4 p 7 I J y r l z v G F a u k / F y 8 a 5 2 C U H Y v J B E + l F V F U L z 7 A M a + P M r I R i k G I B y M d Z / 9 0 R 6 a Y + n C 7 o I m G w k 6 w m m 1 F E J U 8 6 e Q 5 C c m p D v 2 z 4 Q y a Y 9 K W V I c h G h W 4 O a X s V p I n B b b L a 0 I R A n x X G 5 t T C u H G f S v h N j W n p 9 0 x L v C y i 3 p Y 6 x t n Y q s Q C O y Z E R r b d L / s P Q y p x e 3 t R r o v t x w T 4 W m M u H x o b a h A l Z k v i 4 K g G 8 2 p y 7 e 5 A 1 C U m G 2 u i Y e j K T y c m 0 e D V 1 1 / H x K Q D N 3 7 o Q 4 i E g 8 S M u b 9 z E h + U F R l j 3 t J k / 4 E u L J w / a 0 q b s Z k 3 n J W y o / e P I G Q q s O w 8 k x d n h F h M h t 8 b g t V u E L l 2 H n c I g U A Y B g O Z 6 H Y y + d I W O R b z v R g a l R F l u t R E O 2 / z y T s T J h E d f w u S Z R 5 Z B M p z h H n R q H V m z v x 0 s H m e Q K f q + p x V 1 V x 1 a H L S h c N H j m L F K X m y + r P g j i q Z K C x 8 W Q A a 1 X V Y v 3 Y r u j v 7 U F Z W J i o X X / J + 5 T q T v n J U m B 3 i 3 I j P j E P 7 u 0 U F 3 + U r 2 0 h z H X 8 Z M t Z S 0 v e + + 1 3 5 W 9 / 8 C t x D f l h q U x S 1 t U + L U 5 t T B J x M F R p w q T O Z L E F Q x f Z C 0 k S 6 4 J I 7 Y C 5 S P y 8 d r K E m i I l q a z i L t 8 Q w e g L 9 n m 0 w x h u x e e M u X H L x + X j 6 m T V 4 3 1 W X J 7 4 t j E P E o H O J Q b s m F A e 5 E D 0 y o f b 1 j 6 K l s R K j I d 5 e R z k x E g 2 m S v 9 G v O S U F p g f O g 6 m O l E w k x + U b 6 J X j n q h i v Z B J v 8 q H b x w l K W p K m u 9 T T 6 f s 1 S 4 g x J q 3 M 8 j W H O Z s B z 8 A T 9 2 7 N w L p 9 M p B M b l l 1 0 8 J a B n A i 6 O 8 8 o z O 1 F T X 4 Z l K z v I Z 0 9 p s Z G u C D Z v f g d 6 v V H U O T n 3 o l M R l Y 6 3 J k U K X J Z A + F C T R z y o m G 1 N H F Y U B G s n Z i B + z 5 O Y 6 e h z q N F c H o P b H 4 P N p I Z B P U b 2 f P 5 6 e V z E g h d e T Q c m V F 4 E V l n J S w Z m x k Q c v j 3 a 2 Y X t O 3 a i r r Y G r W 1 t q K 6 q h E 5 2 Q t K n 0 n x 4 U t G o j c N m S A 0 U P y d n v n N 1 I J t Z 8 d G 4 b k X l N P U o P K 5 1 0 B t P R z A Y g t b q h y + c M i X M w T H 4 D P n 7 4 / 8 l Q 0 V l 8 g v I R O R V w T w p z C Y f 1 2 e w R Y c R k c s h G Q r v p O L q D 8 K e W F V w o s B B n L / + 9 U 6 0 t M 5 C R U U F l i x e K A r 0 m I n Y Z w r u V g 6 K c d D L b g g R Y / H u l R K C b h 1 G h s a x e 9 d B G I i R 6 h q r s P i U O q h l 6 w l l p i Q E Q / l 6 j T C 3 F J 8 X 6 v G s R 6 t 1 l U g x q r V G y W x Q j k s R k m j a / B t Z O 4 N 9 q M Q E A t r l e S M 6 S S Y q r 7 B T j x y b P / G r 3 / w B p 6 0 8 D V 6 f G 5 d f e g k x Y y Y j y L 6 D k M y 5 c z H Z 2 N c X x M L m 0 g i G l 7 T 0 u g c T n 1 j g a F B u a M P w o B P 1 D X b 4 H R v h f 5 c Z i g M l n M C b n G / K B 1 E L P s 8 c B f t R 7 K z L w Z 1 Q a e d D S g u B F 4 K 3 S w t L e 6 7 f m h 2 O n w 4 b N 2 9 D K B j A y a e c g i e e e B I f / M B 1 M K n I b 6 F + k f X T 7 H S S B z z c v N U O F 2 l K T 7 b m a Q W u i a i K l s N B N G Y r 1 0 G l C 9 J z H x u d l Q r B U O 7 + E G x N e j H W X D s v u V V / 9 r q d H N C g s K I T q c t 5 I Y t i + 0 G 0 T m k 5 V u 8 T Z C O X l / E 6 m O J a o B Q w U 7 J p 0 O V + C 7 W m x T B p M k 0 Z X b w L Y V V p W 1 L y w s d 0 / z A f e O n 9 B D n E h S A C K f 4 a q M h W z 7 e H k c A J Y C p O b 5 r a P r U I u g 6 P o 3 2 O o q W Z i V i b a 3 x H S U u 1 Q 2 s r U K E 3 D 1 y d I d g 7 8 s / t z R R 3 / O V u f O Y z n x B 5 l N b E O i I V a X i Z t K e s T V l K 0 2 H C T 5 a E q T A N H W 9 i b S G E q e 9 1 B f p e 5 R p 1 w N q g m G R M 8 0 l m Y h R l J o a f G l y Q m R g S P D 4 N h l w y X O 4 A w p G 4 I H 7 O R h b L q m e I P U O 5 7 U n a 2 e 2 2 s 6 e Y i Z 1 T Z V Y 9 h s O + P k R 9 X e J 4 O t K X L i S v U V M k J U q A p F u Y T L 1 I r H C / 8 L 3 t 6 t 2 o t c w l n 3 F m S 9 q L g a / L / y Y x X W Z C E s x M P F 8 2 1 O 8 U v 9 H 6 B l F e e f k U M 3 F t x F J g q q X 7 n Q B B w O A I K 4 9 + k p k Y u z v d c I R 0 U L t K W / b O b l 0 x Z o r K J y A T J w 8 4 G 7 4 Q M z F U K l 8 N i / n E R w W c o 8 V 7 5 B a D O r C H n I W s Z f F Z Y H P E E 7 a i u U J D R K s M 3 B N P P U 1 + B 6 n e P P M + v Z 6 N i X d M u 7 m T a o v r F Z M j L Q h I Z k 3 u d V h L c J Y y 5 4 C 1 W s + G t S z X l F B r 1 B g e U Z I c k x E x t o 7 4 2 Q t B F d w N j 6 k R W n X h k D 0 j R M 8 2 6 N k D X Y w 0 V b 6 J 0 5 n L E v F M 6 T / U q y z k A p d h 5 8 b C 9 e m i c Y W o O B 2 p v o n 7 Q E J j c 2 o J P B c Q z V 6 F W g h a s w Y h b + q 5 u c / 8 A X L 4 Z / A s X L / w a G c 3 + v o H p / o 8 i U X z 2 1 F m 0 S N m n 4 3 Y 0 N t E L 4 k v 8 o D r f m Q X G 8 3 G 8 W x z U w z Z 2 f D Z U K l t X n g H g 3 B 3 c m K n 8 h T s H 6 V r K o Y z k K m J Q v H 8 d j e b d A 6 n h 4 S Z G n + / 7 z 5 4 v R 6 8 8 O L L o q C i T q v C N e + 7 k s 5 J n J y F G p U O 2 n g v Y p 7 d w j T h Y A e X H s t G u n J L h u y L I R A p Q 9 S j b H j N Y I n N y L f H U b 7 C M T F q g 8 + 9 A a N Z R f m 5 h B e / O C A R T i v N G 9 A p m t I R O 4 i Y u 6 p k b V I M G p V e E K F R U 4 l n H t m E M k M 7 1 r 2 5 A 2 e s z r 8 2 h 8 0 7 D o 9 P g f p M F R q H 1 5 O i V K 7 S W 6 q G 4 p o U g Y A E j V a D 1 9 5 c J z a N 4 4 T n g c H S C 0 5 y M d B Z H W 1 o b s p f 7 j s e 7 K f O 2 4 c R z I F h + H l x T A Q a i C 5 5 G x 3 G M J n l X E S n G K Y z 9 Q K 8 J d M 0 Y F + L t V E 2 s i 2 F b E y l H j F 8 o 2 H I f i t M T Q G s 6 z F i d U d o q t R X 5 4 S y K p e j Y v r o X j i x W K w H 4 n m E 5 K R o b 9 8 A / H 4 / H n v 8 c V x 4 w f k 4 8 4 y T q D M U 8 4 h 5 t a B U i Y d h 1 P v o Q X N N p H i M i 2 w e h W T J v y K 2 V H D d 7 Y g m N 2 m W o 3 S j Y x N o a S 5 Q 0 9 2 / H + N 5 H P t g 1 E M a I F O L W s T O I P S g H K V U p c x C f b g Z k t E l / J 4 M F B 6 X B C S M D w V R 3 1 i O f b v 6 s W P b P s y a 3 Y L q y l o 0 z y t u Q Y i F h t q U w G g w W E g I 1 o u x S g c z B N c H K Q b + j d v r x c S A C / O W d m D d u g 1 Y e e r J O Q G g Q u A I 7 K y O 4 n 6 s 7 C O L R 9 + B E P 1 n E H m B M j T O f Y i W F b e C 0 h F F G M 5 Q r n n / n 0 Q G Q y X h G Q n S A 5 p h 6 0 j z M + j F / B C b e A v q y r P F M Z a Y 7 B f 9 5 S 9 3 4 u q r r 0 Z / f x 9 W n c G r Z p X f m Q 1 + + I K F d 2 K I e o 9 C E y c p Y D s j c a Q A 6 H q a y B F E d d N H 6 / K B 5 8 r i 4 Q h U 8 Q F I a T s j T o e Y f w A O t V e 8 D 0 d 1 0 G k y g w z s e / k i y q b X v N m 1 l r P M Y 3 S O i s y o L M K 1 y B 3 Q G W V M B t M G f B q G 0 s S r M T Y y T v 2 u g c 4 c g c a s b M R c F F l C S y K f x E 4 E q q n I v + d X c l + u Q j h w 6 A i 6 u 3 u x e v U q x I d N R B O l M V E S L G A N R p 0 w f c N x r s B L w i 1 j I S c 9 Z 6 Q f 0 a x E X e 5 b F Q s s + i s X S u c i + G O T 8 B / n h m s n E n k Z i n F 4 R I 3 G o B 7 G F t I Q a f Z u P D g O t b F O 2 O X R a J j + a g p O v v I u 7 o E 4 Z 5 p n O v G R s T f g D h t R 2 Z i / T k E h R C a 3 Q l u h J N n O B D H S Q v Q Q U I X 3 I a a Z D 4 1 x + v C 4 2 e h D j 6 M P F W E H 3 B E v o p b c J f y B i E t E 8 s z a q q k + a j J X i r y + f O D F d 0 G v G i F d j 3 J g W g 1 F v E n M m W 9 e L j Q e h 7 4 q w b R Z T K S K R 9 B U 1 o a B k e 1 o r D s 1 Y 8 F o M b C 5 / t b a D e j u 6 s a C h Q s w P j a G S y 5 O l X N 2 H o m g b H b h g E w x 8 B L 8 9 O 1 G k + C s D E 0 V p z 6 l H o K Z e P 5 c Z V G h K j C M O N F b N j j t i l d Z / 1 + D 2 n q W + d a 9 4 4 e w v D 5 l U n E 9 c V 9 E j e r 6 E B x H Q p A l c l 6 N G n T 3 D K C q t k k M c D K o I J Y R J M C z 3 + n b 0 M R g Q 3 z 8 F a j M S u d w q k 4 0 r o b G O h 8 m W 5 O 4 T x 5 r q i D U x g Z x j Z i v E 5 K u X j D J d B D M R O D N i n 1 R K / Q y l y s u I y V S w B m n 5 4 k F d m A 4 H E A k r k V Y q 0 d c Z + c L o d l W D 4 + f p G F i o l q r N g i N k R I 4 M t w B B 3 2 f / 9 p c y i u m d q H W v A C a W A U Z N 9 P b 8 u n 9 m w 2 V j u 6 b 1 g U q / z A q y P A Z l / 0 k t W O Q t W b Y 9 R b q 5 8 I T 6 9 x 2 f g U C E d x 1 z 7 2 4 6 q o r y Z S P 4 7 S V p 6 K j P X P R Y N i h g T 4 3 w U L g w K i 2 4 O Y M v I a J V y p z O W d X u F c k 6 b J P G I + R 9 q f n U 6 V N v j O q K l M 3 4 c L 9 u v G 3 E T M 2 T 4 0 3 l x b w R k v 1 3 Z K 2 V W H w u H B 7 T g S k H z 7 9 T X l x 4 6 m 4 q O O 8 x C H S Q t S G d M d / 4 p A P 5 c 2 T o s h / M c T i E j F I p t g 1 k W 8 U j / r J 5 6 i k u 8 2 A e 6 Y B Z z b o p T E E f S 6 o r I v p S J 5 O I 3 M h F l L M N B U v L K M B i Y y s g a 7 u U n F c r c 8 i N B p c j 2 s 9 Q s b 8 k 7 K c s R 0 h M 8 R I h G s x 2 E l C k u b S 2 i A n d g 6 p o 8 c b n o F F V K m f J 0 o C B N U J j V U K 8 j x m D R G E O 0 L X S d Q J T K K K 9 0 w y L E 1 8 y o T Y C i b u w m s v b i d m C n B X i a 1 M i c o T Z + Q i 5 A l D b 8 3 s M z b N 0 i 0 Y x k H S M P M S G k Z Z f K h C I O Y Q 5 j E z V j K P k N d W S b b U n m D F o B t 8 B e H 6 C 8 S m d U p g I B d D T j J t 6 V 7 V 9 n Q L Y X q G O p E Q J t + I W w 0 / 3 k C 7 7 S x R d Z X 3 r O V S y c o Z a r F 8 I j j p R N i u Q Z k + f w x + c 4 8 W K 1 v z h J P d G 8 l H K n 3 p B o M D I Z z 3 x 9 n s X D S T w Q M X Z y b I W s L B i I c n o d W T K e W l A T N n B h 7 Y f + I 8 w 0 F y v h s S z j d v f O A P V E I i 3 y G p q W R i + o B / B / x p B S s N G s 7 g Y F / G h t v / d B c 6 2 t p x 7 u U L B Z G k Q + M b I G 1 M J i V r N 0 t p i / b S E X V W E x G Y E Y A T Q X r l I I 0 e 0 r P U 6 / R m D I f y b 4 M p t F U Z 1 x X M F W L 9 v o 1 k m i p j E g y G Y a Q + Z S L N Z g 4 / M R q b 8 x M T T r F E R i t r o D G w Y E q c k A f M n L z F T z Y c Z J 6 V 6 1 I V Y v V a H 0 K R 6 T M 0 G K z h e F 7 R 6 H R A r m 6 j 3 3 E U O V d y c Z A o F H U T 7 S i C J X t D g / 8 E B E N F y e Y O R H n 3 w n q s 7 d R h d U c Y w y O T q K u t I D + i H 4 / u f A g X 1 l d h j 9 u D m 1 d 8 O f H T T D g C K p Q b 4 4 i 6 D 8 F S V g 6 / 1 w 2 V K Z O 4 e S k H R 4 z a C u y 8 w Y z E i x Z Z 0 5 W 6 C J H B i / y S 2 d a + 8 V 2 Y 9 E b R 3 E J a K 2 G a s T Z i D Z U k F g 6 h a y x z 6 O m V z 9 p Y F 4 Y i i p / F 1 V X Z B O B 5 n 6 c f 2 S T + 1 t X X w m y y Y O G K A v Y O g / 0 c n m s j M 3 C m 0 M p G k v 4 2 W O 1 x + O I J B 7 s I 0 T L q t D o M F 9 l C t I q T Q o 3 5 I 6 M c A m d C a z K t I O 2 h F c / L O X 1 W r R L p 5 H w 6 H Z n I 2 W C G i 4 X J f C P h l Q 0 h 8 M j c L C U N K T 7 5 F l Q V S m C r G N h P 4 p o U D t c Y X n t p E / b v P 4 A r r 7 y c 7 i W h f b G Z B I u O a C W z D 3 x h J d R t 0 J S J 7 / / T E A z F h M 7 a S a m V Q G a b m j q O J F O M O P y O j X f D 4 Z 8 g 3 8 i E r 5 9 9 C 3 W Y C r s H t V j S o G i j m K 8 P J p O E s G 8 E U e O y K c J O B 4 f U 7 3 / 4 7 7 j u 2 m v I 5 8 i N 2 P g j x E h p e V h 7 h 7 X i c 3 t l / m B H O n j z s / L y P O V 8 S V t E y d d S h b o R S 9 Q R 5 9 W m K l 0 5 a S Z u A 0 t u N g n H 4 F R 5 c H D 7 O E 4 6 Z T Z C b t 6 p Y Q L 1 b U Z R U c h T s q 0 O 2 J 3 7 4 L I v m G L U Q o g R 8 7 F v p E n W n k g 8 u k n u g C a 8 C U 4 i d t 6 j O B 8 q o 6 T B o i F M J J Z W F I J M U r z a k j + A 0 + / b J I I p H C T g s m O c L F s q J o + 6 U T F L s V J Y q 7 H p m F 7 8 v x R E n V u g K V u R + F Q c 4 6 F D 2 L V p E J 1 H u 2 A k J n / f D Z c g Q E z T M L E V e 0 K r 4 J h 0 o G O J 0 p 4 k M y X B 0 U S N 2 n h C 5 g F L h e S Y H J b V o s 4 C S x g V / Z e p S r n i Z 1 w / B 9 5 u P S y t A c S D P b D Y K + E e O Q x N O e + a k E k 8 X E q M q x + 9 / O / X M e l w 4 M i R I / j f / 7 k V k T B J m y L 2 e T a m K / i f R H d P L 9 p a c y N w p U J m x v L v x r 5 u F b Z s f Q f X 3 3 A 5 A q Q l C t n p h V C N C M a g J V N r S E j / m L H 4 j D o z l E T S 1 R b z w 1 6 x A A P u P s R J o g Z G y 2 G s c U J y d 6 K 5 + W z 0 j e 8 T + W 1 W 1 y H 4 y B y N G 0 r b 2 K z R Y E V I z p x b G w r s Q D j m g V l b e 8 x V h F x H J d h n z a x v k p A d G y C T O a b K M s s Z 6 S Z 5 N j j J l f u L x 0 Q f b c T E 5 C S d P 4 Q K m w 7 d / S M 4 9 W x l j o u X a o S i L v E + H R y y N 2 q L W B c n E J L L M S 6 H I m 5 s 7 q v A 6 v b s e R a 2 Q Y n F / D 0 I T 5 4 E Q 1 P h d H c u k / v g Q 4 9 g 4 c I F Y i n 9 9 m 3 b s W T J E i x Z v I B Y N E J k m x v 5 y r f d S R K c m V F G J u R 0 I E t j O o W Q g 0 c f e 5 L 8 A x 8 x Y g e W L 1 9 G G m w / D b S N h o t n 5 Q M i e j d T q A I T i B s T x B 4 N w E K S 2 6 v L T / x l Z O e z K e l Q W 6 j x i q Z M Q U J g z A 5 j d c q X m q k v Y P C P w F z O V W 9 z / a f j h e s I M d T s Y 2 M o V f A A C Y T 8 2 5 T y 4 l E u h 5 0 P c S k u C u H 8 6 5 / P 4 d Q V p 8 J q M W D u o l Y E Y m N Q R 3 1 o Q Q 8 m f D q y D j r g D y v z g t l I + l X v N q S J 8 T 5 5 U 4 8 V q 7 K Y i S F 5 N i C m L i d f a D 7 c f Q H Y m o 3 5 o 2 M E N u u e f 2 E N z j n n X J i y q u 5 0 e 9 Y V 9 J s K g X N X C 8 0 3 c k Y G b 7 f C m 1 3 p t A X C 3 2 k I h i P Y u W M X x s c n x P z Z y t N O Q 5 n N R u + B k O t t u P U F l l q U i F o i h J G 0 1 c R J N J n s Z J 0 R 8 x B D O P 3 k o x r K 4 Q i S b 2 n p I N N Z g 8 P 7 h 7 B o 4 V y 4 I r 1 C A i f B Z n H M a y c t l 1 b f b z o Q Y d U a K + D z D p A m q x G 5 j O 8 G Q r 4 I 9 O b p / a R 8 k H w 7 I J u X 0 R s J h w 8 f h d f n x / J l 5 O s S f 3 I A x J Q n m M E 4 d K R b l J 3 r m N t A p 4 Z E x D A f N B E / G k M H 4 S Y / b 8 D c B N 6 a 0 + E 3 Y F v 3 O g z 6 w v j s m V c l z n z 3 I P 1 z s 0 s + f y 7 Z 9 G n m W D j U D x 2 p T l l s U q 2 C Z 8 w H W 0 3 h C q U M X v p Q Z + N Y F 6 e 3 z 7 y i z X R w e 7 y w W X P b U E z L M d R E 7 E 8 / / S x 2 7 t q N m 2 7 8 c G 6 K U W g 3 x n H s z q s + M I I Q R w Y L z D 1 J H m I W S y O 9 4 e i c F i 8 / 8 w 5 q q m t I y t r h 9 E 7 g 5 N P b S L v n + o o 8 W W y Q K j E R n n 4 J Q o u t Y W p 9 l t V Q B 5 O K M 8 y L J / A e D 0 L e M P S W m f e Z T g / c + d c H s G r V K p F B U V t b g 8 a G W q I 9 p X a H R l t E C x N h T Q Q 5 Z D 6 9 1 c J Y s 2 8 7 r G o H 2 s s t Z B u p 8 P j B H p w z 6 y w s b n h 3 N Z V 6 1 e L 6 W 3 l b k / n z 5 y L q 7 Y I 6 0 g O 1 k e x r U p F s 7 n F k L D J m h W 4 a f 8 a q T 5 U U 4 z f H s D o j B 5 w W w 7 P 3 D H 0 e r c h I n x j m + T M 2 F Z M L z b i 8 t E a K Y d a c e T j n r D P E b i L p M B s 8 G A o d W 1 E O h t E / i C D 7 S g W Y y a w n w t Z y 9 a U K P P y 3 F 7 F 7 W 6 f Y T n X 1 x f N Q V q 1 B X R O b m f k J h J 1 9 t U Y j N v s K x A s X F m E 8 9 s i b a G u Z j Q O 7 h v G v J 9 b g x T V r c N 6 5 0 0 f R i q H Y Z K d / K A R 9 W W l a i p l E o 9 P h 7 n v v w y l L O u D x x 3 H K y U t R T 8 x k t Z i n r N 1 8 C y G z E Z H 9 N M a l C Y q 3 O 3 e i y q j B q 9 3 D q C 0 / C T f V G G C t K z 3 t 7 F g h R Y L 9 c j Q w C u / w X k j k / P K E q b Z a S T f p 9 2 4 h M 2 I h A k O 8 q V p p 6 S u M U a 8 K N U U 2 P C s F f X 3 9 5 J T P f E 6 n V O j i P R i M l F Z 3 L R / q i A C G E 1 n r + c D C q J a E Q b / b i L v / 8 g 9 8 + d s 3 k 8 P s h U 5 j Q T h r C 8 9 i Y K L 2 j Z l h q H Q Q 7 a U 0 M U + Q a s j X 6 z k 8 i f K y M t L C z + G 8 8 1 a j q k W V U X j x W M F Z L P k U h p s E 1 p P 3 P I K P f u F 6 t t z y g j P S / 3 z H X U J 4 d H R 0 Y H h 4 W E x t 3 H D d 5 a S o C + f l T Q f e + d E T G a R 2 G a l 9 0 6 9 3 U q G c x F X K P K y f 3 I q h Y 0 h d m w l y c v m i z h 3 Q a u J k 6 y 5 n q o C z M 4 y y j p m p 9 x N h 8 n H U c b p F i N O Z e 4 V g V I + i z z 9 9 f b Z i U P k G E T e n z E e d x k x t M e G d 9 Q e w d P k S V J a T v + Q d R 1 i e R C x e m l T 1 h i y w 6 P M z m z b Y B J 0 1 K L I N u B 5 E 5 4 F J b N 6 0 C e d f c D 7 q m m 0 I R I b J Z 1 C h T N d K W v n E 1 n 5 I R 1 / P I N a + / A 5 u + N Q V i S P 5 4 Q u E y L / V i r 2 N O 9 p a E H H u h M a e P 2 s j i Q M H D 2 P + v O K + H 0 f 8 x v s g C p b q y v J P a h d D i / s d 9 N p O S X w 6 s X C M B / K E g U g s x c x L E X P v R N x z B H p N h b B x O e O A J 1 y n A w c T k m t X j g e l W I x J Z u K S Z 6 V C r z p + Z i r n h E 1 i J g 2 s 1 D 8 2 d O 5 3 4 r G / v 4 K g R 4 1 F y 2 a j p 7 c L E x z m j v T D F 2 K G y g 3 4 c P Z 6 L M Y q g M t f K S j E T I y I o V + E f l X + Z l F P A u o Q r r 5 x F W z 1 Q f i j o 6 j h L p D l d 5 W Z G H W V d W h p z L 8 n b j r M R j 0 J Z h X a W 1 t E J N Z g m X 7 1 M j O T 3 5 + r e d j t 6 O k b Q G d X L x 7 9 + x u Y N b s V r 7 / 2 d u J b B c P O 0 n w j Z q a m y S 0 w u 7 o g U c N U 5 G t a X A f R N L o e H T i E F s 8 7 a H D v g M S r B m Y I q z 1 t F 3 i e 3 O W J s E b J B M m s l J F S 5 p 5 C 4 q + x K Q C 1 N p N w 4 5 E o V C V E 2 T L B r F J Y q w Q C Q R h L y A a f K W I e I v D Y G M I z 2 A E 8 H z i w 0 L V 3 E g a j C d 3 d f W R 2 a b H q z F M h R x y o q a p A O D i J k Y Q p 2 V r W h v G h j V C r d f Q y w C G K O 0 q i M q l J P 7 3 J k h 8 S Y o 5 K 1 D V U Y C y Q W j T J a D K W I R g v P u F 7 P O j z r U e z e R V 8 3 Q a Y 2 2 Z m L q u C h x F P b P 4 2 H V h T L e D d + k f G 8 P w L L 6 K 8 v E L Q R E 9 P D 8 4 7 f x U q m k o R t 9 N D E p F V U h Z 5 p i S s E / v g r V h I 3 y U O l I g p D h G 1 2 j h 3 L a Y U u / S N B d C r J 3 V D F 7 S 0 h + D v 0 5 G k y W S E f M w U J T O s E F j S 3 P 7 n O x O f 8 o M 7 b n Q s 0 w n 3 + Y 8 9 c M C Q I 1 4 i 5 s B x M x P j v j t e Q N v C c u z a t Q e n n 3 U S 9 G Y V g q o h h P R B 9 H k G p 5 h J 7 + l B j 7 M b P m M d 3 L o K u j 8 J q p A D j Z a 6 4 2 A m h g x 1 + T g m g 9 0 w R l t R r p 0 7 l e 7 j m 5 x B k u 0 x g L d I Z R J 4 f f 2 L i S M z g J h v K w 0 L F y 1 g b w N H j h 5 F g D T W e y 6 5 C B d f d C E + + c m b T h g z M d h E z s d M D E / l Q r R F d 9 O 7 m d 1 v S k M 5 Q n 2 o N + k Q i F b Q w 2 j h 7 A q h r D 0 t y k N n i X J j r T M j h q e f e R 6 z Z s 3 G W 2 + 9 J T Y w 4 6 j d t 7 7 x l c S 3 p Y N X 1 h r y J M a W A h c X V j E c P z M x a j U a u C Q z g p H c G f k k t B E f I n m 2 4 W f U 6 / Q Y C i t L S r K h m 9 g F g 8 4 M Y 8 V 8 y G E 3 R t O 2 + i y G W t M i 7 N 5 7 G K c s b x P L 1 N 9 t 3 P H r + / C 5 r 9 + c + F Q a d N I k + Z P F s x U 4 q u n 1 + v H b 3 / 0 B n / n 0 p 1 B Z Y R e 1 P 5 I F d d 6 t K k b F 0 E G m d i f 5 r 6 V C M F S c H D W 3 v g Z l e m V 5 R i G V 7 p 8 M k Q 1 f g 7 B q G L a G 3 M H m A i f J m g w j p G X W v r 0 O 1 1 z z f u z e s 4 c G e y n C B Q g p H 2 Z c l Z S X Y y d C 7 A w 5 H o X F H C Y t Q R 7 s i Y L M G p v v k U u 0 / s g Y T I k l 5 1 r f A C I i Y J G f u H W O A 4 j r L I i a E w N F p o f e s R e h i s z 6 E J b A E L x G 3 i J o e p T J b d Q 8 P 7 Q 2 O 8 Z H 3 N C R 8 C m 3 W 0 V O 5 o n G w Q 0 j m H f G z E z L c G A C u m Q m S R b Y a v n C 5 z + P S D Q i J t 9 7 e r p x x m n 5 c / 1 4 A p y X c P w n 0 e r c h J 6 y 0 h b D S u N d r 8 s a + y J 0 e z a I 9 T 6 W y Q W w T 1 P w k b M m N H I V I t I 4 b I 0 G I V m G h 8 c Q I k k y O E B + B X 0 + e O g Q r n 3 f Z d D p j j 1 M m o 3 s M t B J s B k S D 4 U g 6 T R i N t 5 Y 1 o x + L y 8 E n K l / V w T k p J b H A 3 B o 8 y T i J h A l g t Y k w s I N B h s G g 5 m p W p x T J o q n k D / 1 3 O N v 4 Z M 3 X 4 F + 9 w B q d c a M T I t A d E I U Y 2 F U y S G M S 8 U 1 s w b k 6 8 r 1 i A b 3 E A O m J r 8 5 k 7 z S 2 I 6 R Y a c o P W y 3 W W b E Y B q N s i s J v 5 K b Y c t k 0 v / 1 9 / f h M 1 + 7 K X F W 6 Y j 5 u q A 2 5 9 a W 2 L f / E B x O J 1 a f e Q b J l h i i C N I z F a N B W S T N / i d R M b 6 L r A 4 T P P Z i 2 5 M C / x / f q z I m 2 y X 5 9 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 P o l l u t i o n   C a t e g o r y "   G u i d = " 7 3 7 4 b c d 6 - 9 6 e 0 - 4 6 f 4 - a 5 9 1 - d f 7 5 5 8 a 8 7 8 e 5 "   R e v = " 2 8 "   R e v G u i d = " f f 8 0 2 a f 5 - 7 d 7 5 - 4 7 d 0 - 9 b e 1 - 8 8 e 1 b f 9 0 2 3 b 8 " 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 T i m e C h u n k = " D a y " 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A v e r a g e & l t ; / A g g r e g a t i o n F u n c t i o n & g t ; & l t ; / M e a s u r e A F s & g t ; & l t ; C a t e g o r y   N a m e = " N i t r a t e   P o l l u t i o n   C a t e g o r y "   V i s i b l e = " t r u e "   D a t a T y p e = " S t r i n g "   M o d e l Q u e r y N a m e = " ' A l l D a t a M a p ' [ N i t r a t e 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4 9 5 & l t ; / W i d t h & g t ; & l t ; H e i g h t & g t ; 2 7 9 & l t ; / H e i g h t & g t ; & l t ; A c t u a l W i d t h & g t ; 4 9 5 & l t ; / A c t u a l W i d t h & g t ; & l t ; A c t u a l H e i g h t & g t ; 2 7 9 & 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8 & l t ; / S w a t c h S i z e & g t ; & l t ; G r a d i e n t S w a t c h S i z e & g t ; 2 3 & l t ; / G r a d i e n t S w a t c h S i z e & g t ; & l t ; L a y e r I d & g t ; 7 3 7 4 b c d 6 - 9 6 e 0 - 4 6 f 4 - a 5 9 1 - d f 7 5 5 8 a 8 7 8 e 5 & l t ; / L a y e r I d & g t ; & l t ; R a w H e a t M a p M i n & g t ; 0 & l t ; / R a w H e a t M a p M i n & g t ; & l t ; R a w H e a t M a p M a x & g t ; 0 & l t ; / R a w H e a t M a p M a x & g t ; & l t ; M i n i m u m & g t ; 0 & l t ; / M i n i m u m & g t ; & l t ; M a x i m u m & g t ; 2 5 & l t ; / M a x i m u m & g t ; & l t ; / L e g e n d & g t ; & l t ; D o c k & g t ; T o p L e f t & l t ; / D o c k & g t ; & l t ; / D e c o r a t o r & g t ; & l t ; D e c o r a t o r & g t ; & l t ; X & g t ; 1 5 & l t ; / X & g t ; & l t ; Y & g t ; 2 8 6 & l t ; / Y & g t ; & l t ; D i s t a n c e T o N e a r e s t C o r n e r X & g t ; 1 5 & l t ; / D i s t a n c e T o N e a r e s t C o r n e r X & g t ; & l t ; D i s t a n c e T o N e a r e s t C o r n e r Y & g t ; 2 8 6 & l t ; / D i s t a n c e T o N e a r e s t C o r n e r Y & g t ; & l t ; Z O r d e r & g t ; 1 & l t ; / Z O r d e r & g t ; & l t ; W i d t h & g t ; 4 9 4 & l t ; / W i d t h & g t ; & l t ; H e i g h t & g t ; 7 4 . 5 8 3 3 3 3 3 3 3 3 3 3 3 4 3 & l t ; / H e i g h t & g t ; & l t ; A c t u a l W i d t h & g t ; 4 9 4 & l t ; / A c t u a l W i d t h & g t ; & l t ; A c t u a l H e i g h t & g t ; 7 4 . 5 8 3 3 3 3 3 3 3 3 3 3 3 4 3 & l t ; / A c t u a l H e i g h t & g t ; & l t ; I s V i s i b l e & g t ; t r u e & l t ; / I s V i s i b l e & g t ; & l t ; S e t F o c u s O n L o a d V i e w & g t ; f a l s e & l t ; / S e t F o c u s O n L o a d V i e w & g t ; & l t ; T i m e & g t ; & l t ; T e x t & g t ; & l t ; F o r m a t T y p e & g t ; S t a t i c & l t ; / F o r m a t T y p e & g t ; & l t ; T e x t & g t ; 0 3   S e p t e m b e r   2 0 2 4 & l t ; / T e x t & g t ; & l t ; F o n t S i z e & g t ; 3 6 & l t ; / F o n t S i z e & g t ; & l t ; F o n t F a m i l y & g t ; S e g o e 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D & l t ; / F o r m a t & g t ; & l t ; B a c k g r o u n d C o l o r 4 F & g t ; & l t ; R & g t ; 1 & l t ; / R & g t ; & l t ; G & g t ; 1 & l t ; / G & g t ; & l t ; B & g t ; 1 & l t ; / B & g t ; & l t ; A & g t ; 0 . 9 & l t ; / A & g t ; & l t ; / B a c k g r o u n d C o l o r 4 F & g t ; & l t ; / T i m e & g t ; & l t ; D o c k & g t ; T o p L e f t & l t ; / D o c k & g t ; & l t ; / D e c o r a t o r & g t ; & l t ; D e c o r a t o r & g t ; & l t ; X & g t ; 1 0 6 2 & l t ; / X & g t ; & l t ; Y & g t ; 2 4 . 5 & l t ; / Y & g t ; & l t ; D i s t a n c e T o N e a r e s t C o r n e r X & g t ; 1 9 & l t ; / D i s t a n c e T o N e a r e s t C o r n e r X & g t ; & l t ; D i s t a n c e T o N e a r e s t C o r n e r Y & g t ; 2 4 . 5 & l t ; / D i s t a n c e T o N e a r e s t C o r n e r Y & g t ; & l t ; Z O r d e r & g t ; 2 & 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N i t r a t e "   C u s t o m M a p G u i d = " 0 0 0 0 0 0 0 0 - 0 0 0 0 - 0 0 0 0 - 0 0 0 0 - 0 0 0 0 0 0 0 0 0 0 0 0 "   C u s t o m M a p I d = " 0 0 0 0 0 0 0 0 - 0 0 0 0 - 0 0 0 0 - 0 0 0 0 - 0 0 0 0 0 0 0 0 0 0 0 0 "   S c e n e I d = " 0 f 4 4 b 1 e 0 - e a f a - 4 d d c - a a f 9 - 5 8 a 2 3 1 0 7 1 6 c d " > < T r a n s i t i o n > M o v e T o < / T r a n s i t i o n > < E f f e c t > C i r c l e < / E f f e c t > < T h e m e > B i n g R o a d < / T h e m e > < T h e m e W i t h L a b e l > t r u e < / T h e m e W i t h L a b e l > < F l a t M o d e E n a b l e d > f a l s e < / F l a t M o d e E n a b l e d > < D u r a t i o n > 1 0 0 0 0 0 0 0 0 < / D u r a t i o n > < T r a n s i t i o n D u r a t i o n > 3 0 0 0 0 0 0 0 < / T r a n s i t i o n D u r a t i o n > < S p e e d > 0 . 5 < / S p e e d > < F r a m e > < C a m e r a > < L a t i t u d e > 5 2 . 1 2 2 8 6 7 1 3 7 8 9 6 9 1 1 < / L a t i t u d e > < L o n g i t u d e > - 1 . 6 9 2 3 7 5 2 1 4 0 3 9 0 5 9 1 < / L o n g i t u d e > < R o t a t i o n > 0 . 3 9 2 3 1 8 3 7 6 2 5 7 0 7 8 8 8 < / R o t a t i o n > < P i v o t A n g l e > - 0 . 7 9 2 3 5 1 5 7 2 0 4 3 7 6 8 < / P i v o t A n g l e > < D i s t a n c e > 0 . 0 0 4 6 1 1 6 8 6 0 1 8 4 2 7 3 8 8 3 < / D i s t a n c e > < / C a m e r a > < I m a g e > i V B O R w 0 K G g o A A A A N S U h E U g A A A N Q A A A B 1 C A Y A A A A 2 n s 9 T A A A A A X N S R 0 I A r s 4 c 6 Q A A A A R n Q U 1 B A A C x j w v 8 Y Q U A A A A J c E h Z c w A A A m I A A A J i A W y J d J c A A I k o S U R B V H h e z X 0 F g C T V t f b X 7 j 3 u P u u + s L D G 4 u 4 Q L C Q E S c i L E y V 5 M S D v v Q g J c Q g h u D s E X 5 z 1 X d Z d x 1 1 7 2 r 3 7 P + d W 1 7 T 3 9 O w u 7 / 0 f 9 E 5 3 d X X V r X u P 3 3 P P V Y w N t U a h N C I Q c c M T 1 K G 2 o h w P / u s h 7 N q 5 C 7 + 7 + 2 4 s W r Q I 5 5 x 9 N t 5 9 7 z 3 c e + / f 8 Z 3 v 3 I b P X 3 8 t n n 7 q W a x e v Q p X X X U 1 9 H o 9 h o e H 8 c o r L + P M M 8 / C N 7 7 x D T z 9 9 N N o b G j A X / / 6 V 8 y c O R M P / O t f e P H F F / H e e + + i r 7 c X p 5 5 2 O g o K r K i t q Y X P 7 8 e y Z c v w 5 J N P 4 q 6 7 7 s K P f v Q j V F Z W 4 D Q 6 p 7 y 8 H K + / / j r m z p 0 L s 9 m M z s 4 O d H V 1 w 2 4 f w 4 0 3 3 o T 1 6 9 f h 6 q u v w k s v v U z X f h + R S A S X X X Y Z N m z Y g N L S U j Q 1 N c L h c K K v r w 8 P P P A A b r 7 5 Z v z m N 7 / G 3 X f / X n x 3 0 0 0 3 4 8 4 7 7 4 T R a E R P T w 8 9 3 7 f x y C O P g v G z n / 2 U z r s b z z 7 5 C E 4 + + W S c d + H l 4 l l f f / 3 f 9 K 0 S f r c X b R u 7 U H 1 S i T h f 6 e 9 A R N c A R a A X U G g R V R f T X 6 X 4 L h l R + p 9 f Q f q R j t 5 G 0 e 1 o R 5 m h E i E E Y N Y W Q B G 0 Y a h N i Y A z i O o T T H S e I f Z b C a E I o I m 6 M H g w j J D Z j e K K Q m B g K 3 7 z 6 G p 6 p i 9 R / z + L 0 d E R / O 6 3 v 8 U v f v F L / O G P / 4 O + 7 m E Y i q p g 0 k S g U U X h 8 C l g 1 U c R 9 f d A q a Z 7 c J P U V m r / A N 3 P i K j K S u 1 X x O 6 Y G 9 6 g A j 1 2 N S o s T l h 0 e o T C C i j C I d h b F C i e S d e g 6 5 h 7 / g p X z X d j v 5 g Y i p A H K s 8 + q H 3 U v r A d 3 r L L q H 0 F 2 B s u g C O q E e e E g g E 8 + 6 d f 4 8 M X n s R p l 1 + L A 1 s 3 Y q C z H V + 5 8 / f 4 4 P k n c P I 5 F + L x 3 9 0 B a 1 E J z r r m i 7 j h 9 j v x A Z 3 7 8 K 9 + j P L a B o R D Q V x w w 1 e w 5 v W X 4 b L b M G P h y d A Z D F h + 8 R X 4 x 0 + / C 9 f Y G H 7 9 / F v 4 + X U X 0 9 + 3 0 T B j B q I K t b j 3 V J U L Z Q q / e C 9 D c b h r e 9 S s K 4 V B r a V B 8 q C 4 u B 5 R I s p o l D p E q a C / Y S g F U V D H E x H R E f 6 Z + L G M S J j 6 X x X 7 A B p p 8 X 3 y O f x r u u L 4 J + l 7 P p e h R I Q O 0 e 1 i 4 O M S I f L v o r F r h v 0 R q H W q 2 F W k 3 4 d p 0 F Q q r T g i Q b p 2 c i v j 1 5 O Q e H 8 F n n v h J Q z 0 9 + G p p 5 7 C p o 0 b o V S m M 8 G n m z 8 V w o S Z / Z q r r y Z i c S H g C 6 J t 8 x i q 5 l E b + X I q Y g R / N 6 K a U v E 9 / 8 0 X n f a W 2 D s J 3 F d 1 9 F i O 3 t m w 1 r a g z 6 + F S j 2 M m s I F C P g 9 2 L x 1 N 7 o 6 O 7 F u 3 X r 8 7 U / 3 4 q Z b b 8 R 3 v v l V z J g 1 D 4 c O H 8 D C + f O o T 6 P Y 9 O l a l J d V k v C Y Q l c k I R B S I E j j Z d Z x H 0 h Q h G z U F X 5 E t R X 8 S T p G T B b V V t F z O K i 7 A t R 9 1 B i F j r 7 h Z z V g d 7 8 O 0 8 q C 0 K v j 1 0 k E 3 0 M T o w n b o T B K t I 8 g 0 v h V 9 H t 3 o d I w X / o i B r 6 C k h j O N t C K 9 u 4 B L D x x q f R F F u w N W 8 c Z 6 t t n L 0 L A 6 4 W 1 u B i W o l I 4 R 4 c x 3 N + L W 3 7 x G 2 K y p / C t u / + O n 1 1 7 I a o b m n D l 1 7 + H E 8 8 8 H 7 + 8 7 k K c c M Z 5 u O I / b s O X l 0 z H t + + + D / d 8 + y Z c f N P X M G / 5 a f j j d 7 4 C g 8 m E p S R A P 3 7 p m Q S G e g v 1 M + d C S c o n o j R l Z q i x 0 U H R I 0 7 v E R Q Y p 8 F o L q J P x D q C p v g f Y i 7 6 G y d O h k S I c u d H Q n Q J V Z i 7 G o L c Y x w c R x R h 4 h g V X z Q a o u 9 l g o 3 9 J a Y N 0 y 9 V 4 n L S A D H 7 S e + l e w S J e L V 6 q R O T Q d c O k 6 R X 0 O / j X J 2 E M G s C g l K h o a s l t l 1 i t O d f e B E 2 2 y h u + O I X h R b M h L X r 1 s L p d O H C C y 6 I H Q H c o x 5 0 b u 9 C z U k S 4 y g i X k R J k 7 C E l 4 i T n o K E V J Q 6 f y K E q F 8 G X L 3 U F R F E F G F 0 H x j F W W e c j q F 9 E d i 0 e 3 D k c A 9 W r l y J x Y u X C Y 3 P j D 8 4 N I h f / P w / E e j d j 4 G u M t T O G a Y r k f j R 1 t N j 6 U h b h + E P + 6 h h f r i C w 3 Q P P 7 T E G E Z 1 O f 0 1 k l b R w B 8 I Y M B t I u t E j S B 1 h 1 E T R V N x C G b V C J Q a p g U J d p 8 S w 2 4 l S o w R 0 m o R 6 j U e R x p n H k 8 S H g o a w 6 h G 0 t S M A G k o L W n B R D C T u s d I e J d r 4 Q 3 R 2 P t t Z D l 0 w U 3 X N l v M a C a L Q W j u B F B 3 C C p g A a + m 6 / G o J T J U b k j j G w 6 T U i B p r U i x F p h e 4 0 J + M p D o U m a o Q N h D z 2 p A t 2 c z M d T g I e I X C / p b R l B Z 7 4 O 1 / A Q e E n G j E D 2 N W p W Z S M c h G E R N W k o 8 N m k q / i v 9 J j y u 3 f j 2 s Y b T M S Z + G X x 2 g C 7 B J o F O y d d K u F / s 3 K A / B I 0 u z q S k l 8 R f R e w + D F b 9 a g 0 z T L Y O k r p v H H x t P p s O s c k l d X b q b 6 U B y Y Z Q 0 I n 2 j U 6 U z t a S y U T y 3 9 9 G J l 8 T M V Q P X Y k Y Q 1 s r P a C 4 b L Z 2 y S A C 1 O n w 7 e 9 8 D / f + / S + w D 9 j x + P N P 4 a u 3 f g X b N 6 3 C i C u M Q q s F y 0 5 Z C r c r C K O q j 5 i 2 B s b D f 0 F I W Y Y R w + l w 9 p p Q M 8 + O H r 8 L V Z a 5 U L v 2 w u h + i 8 a R t F u I t A w / M 1 k f J F f I x J 9 G 9 1 S R t m E R S M e V r H l M C F a d T Q K A t F H Y S 1 9 L Z i Z r N V 0 W T Z Q K b 2 g U 7 t A I S v X T J N 6 g x 5 a f X F g h x N i b d 3 R i y c m z S R B 7 S I 0 x 0 0 7 U N 3 E M u Z Q Y N J h z M l S Y N W o M K i F E e e y V 1 B 5 6 d h p n p k t p Y C S o 0 h T A x G A t 1 U z C J 0 1 D d e x r i V o r j O h y b S H m I T V e e X Z M U y S C G 8 T k y M Q l N 4 S G g R q m 5 G N E l f w T c R Z J J l l R R O j 7 M D G l R q 0 W D y M I W s G / p / N I 4 k S i a m h o I B n M j y r x 3 X j 3 0 0 s i 5 q C P r q H P T t g C Z L K Q S K U 3 y e f F W 5 s O 0 R L 6 h w d a x Y 8 h j k q M l n q d T A g F H e j c N Y S A g / y c E 8 v I P L K R 3 x G X 6 g x F 2 E k X N 4 q 2 s S m t 0 W q F V v D 7 / N i z Z z 9 K S k o w f f p 0 8 u t + g 7 n z 5 u E M 8 h u f e + 4 F X H v J + T C X k l + k V M O w 7 Q 6 h D L y z b y M f g s z J 4 C h M 7 f f C 4 y / G J 7 Z F O G n u Y q j V O h z Y s w n L y 1 a S m j H B b V i B A + E m 1 F h I + q t J a 5 L W i 0 J N x D 4 E E z N 6 D i h I q + k G 3 i R Z R p Z J x I 6 g u h F h K z G A h n x C 7 m M a y 0 y + o S L s h 6 n 3 X / A V n A m d b x u C m m Y E d T X Q u I 5 A F R w i L e G g U d W h e + x z K J l V E P t V D B H W p P S Q e R B 3 b 8 S A Q b 8 6 y W x N R I Q s E h / 5 X E Z 1 C W m 4 A L k y P u j J c h C C I g U + Y m p F W A U d C b P J Q O v e j k L T d F g V x L z 0 3 D x O U O q h a N 3 Y H d U 0 k T n A B E l S q 6 G y A D e + 9 j 8 4 E h 6 K / T S O b 5 e c j e t O u 2 i c S B n q 8 Q 4 I k / A j Z k r w P / g 8 y c S S j k X Y T K D 3 g g n T I J 0 t Q X r P / 4 b J G G f t p 2 C m p a 9 5 H J k J 5 D F V k A Y N k M k Z p J f V Q F / E N A 3 / l q / D v 5 U k E 1 9 b v n 4 c z E x q k i D 8 P Q s A J U l s 6 b c S h P Q W 7 U 3 / b S j o g c f j h a 3 d Q V r J D E 2 h D 6 Y S e k Z 2 5 g l 8 z c 7 u f j j s Y 2 h v 7 8 A l l 1 x C G u g 7 e P B f / 8 T d v 7 0 H P / r x 9 / D W W + / g o o s u E h p 2 7 A g J H f U I r P U l 6 L C p Y V U 7 U G a m + w d H Y B p 6 H r 7 G 2 3 F k z 0 b M s H Z g p + M k 7 N q 7 C + e d V I Z X P z q M L d t 2 4 6 q r P o c V S + Z B S x J c 6 i Q / a Y Q h E V w Y 9 + e o L w J R L 5 l 8 E 5 u h E 0 E 3 / C 6 C p j m w E + N Z y M q B m l 4 x u I K D M G n K 4 A k o i Y E T e 1 S C Y 3 A M 5 m I r 0 W E m W o i B T X X W l O K 6 8 f 5 v j 5 D A i K p E I I S H l f 0 4 n 4 8 s F B L O f q 8 b B j N f l + g y / b Y T g s 1 D 1 U R W G U F B 7 a o h 2 V K g k N w J G U q V P g S L p p p e T S g x M f F D M N N G T X f a a 9 A + K t T j n t 1 7 8 P p r b x A z 8 Y 2 j 2 L 5 j O 9 5 4 8 x 1 y l s N 4 5 F E p Q s a I M 5 N 0 X S V J S G a m 5 5 5 / j g i d 2 I u Y 5 a E H H y E N F C Y H P 0 K m X V g c I 0 E u + o K 7 U K 0 h U 0 i v I p N P B b V W h f c + f I + O S Z 8 9 1 K E f r 1 6 H H / 3 g N u i 1 E b S 0 d e C L N 9 y A N 9 5 4 X f y W 9 a a S B l t F n c u d x O / F Z 3 o F i Y D f e v s t k u x k A h B X B f x B R A L k s A v 7 U x 4 + 8 s + I A N m 5 j z A H C / B f b h 2 b S W R O B H p R 1 G h B 4 X Q l j K U G e I Z d G N x j w 9 A e H w b 2 O R E Z K 8 D G T d t w 5 v J z s H v 7 A f z m + 3 / B w G 4 v b j j v q 3 S O B y v m n I u + 7 U M Y O 6 Q k O 7 y N + v c Q j O 1 / x h z X w + S v k F a i t q 3 d 2 o O H 1 t Z Q e z / A l H m n 4 e v 3 b C W f w 4 B 9 e / f j o x 3 E d J V 1 u P 1 b v x A + l 1 Z P j M I 2 H U l j B f l 0 E X 0 z B o i 4 P Y F + a j b 7 m n S f 4 8 B M D H / p + R g l I g 4 S 4 y Y y E 8 O s K R f 9 L z M T + 1 R i T M l X P z C g h t 9 U j B G f G v Z W q b 8 z g p 9 D z c I p z k w M Z i Y b P Y q P x s R P z + O I k P + n I y b T m E m T V s B F 2 s g R 0 Q i z M P t L H X u p E o 5 p 4 C Y t w 3 / H S G s l H k 9 9 O c l c D g j a T o b q u z f 9 6 K 4 e U s O l x E w s U b U 6 A x 7 e v x L d K k f s l D j O x 3 S c P H U e m S p 7 s H 7 9 e p x 9 9 j n i + N 6 9 e / D E E 0 9 i x Y p T 8 M o r r + D g w Y N 4 + e V X c O o p p w n a + / u 9 9 4 q w + 8 j I M F 1 f i 5 d e f h n T p k 3 B P X / 8 I w J B P 4 Z G B v H 0 s 0 / D 5 X H h + R e e Q 3 9 / P 3 p 7 e 3 H f P / 4 h Q t 5 P P P k k z j z j D H r v w K 5 d u z F / / j x x z + 3 b P s U n H 7 2 P H / 7 w + 3 j w w Q d F S H v O n L k 4 7 5 y z 8 T + / + S 3 e f v t t E t R R a t s T 2 L x l C 3 b u 3 C l C 8 P 0 D A 3 j q 6 a f F 8 y 4 6 8 U R i M m J W N T E c S T o + F i L G 5 s g l m 7 D M i M I 9 F J 9 Y g 7 F G l o i E f Q D W L A q y p 4 W 6 p 8 H V m C 0 Y V J t h q t C g p E q D w n I 1 T j x h H p m s C p R X F k F X G I X B 0 g 9 L X Q m 0 R V G 4 4 c W m f e v Q 1 F y N f V 0 9 a B 1 w o 3 r h 1 b j m m 3 / G D T f e j C 2 f b s e 2 H T t x w Y W X Y t O n G 6 G K j u E L 5 9 e j t O 4 k n H 7 q c s y a M Q 1 T m p q B U T P 0 p B 1 V w V 7 R N g 5 K s G n I G s m k r 4 d G R V q L B O C A u w 9 m b T L x Z 4 Y g f + l t D u j V B T C o k 8 1 c A e r H Q C i M T z d v w 8 e f r K Z x C K O 6 u p o s O g t K q S n M a P z S F 5 F A C 0 b g a A t C X 5 y u G b h P Q 3 4 v n K O D p N X 6 S O D R e 2 M Z g i T M e N x 4 v P h e j A 9 f f E Y 8 Y 0 E p m d / i U K 5 n 4 O P y S 0 b 8 / M G u d u z e s A Z 1 U 2 e I z 2 k g O i h W B m E i U z o R q h 9 + 9 7 t 3 q Z T d M B j N J G m 8 M O o L c j D U D C y f d S I K C w u x Y c N G n H X W W Y L 4 2 t r a s W T p Y j z 9 z D P o 6 G j H w g U n 4 J K L L 8 b q d W t E Z O 7 D j z 4 i l e z D / v 0 H B I N 0 d 3 e j t b U V / / M / / 4 2 1 a 9 d h + / Y d q K y s x O r V q 3 H L L b f g m W e e F f e 7 / U c / w j / / + U / x H Y f H u 3 t 6 0 N z c T E z x B l 1 r P 6 6 8 4 j J 8 + O F H O J s Y 6 O O P P 8 G N X / q S i H z d / 8 8 H B P P 9 1 6 9 + h T v v u h P L l y 9 H W V k Z X n z x B f z 1 b 3 / F 5 s 2 b h c 2 s 0 W j I 3 T C i s q J C D L i C H X Q a C R V p L Z W a 5 C u Z r 5 E Q a S g a c E W E 3 3 O X 0 3 t y E i N R J U Y 9 a g y 7 1 U S w 5 L z T 7 / Y N a F B u j q C I T E 8 9 B 1 j E + E g D x N f 9 6 O N V c L g 8 q K o s w z e / / W N 6 j r f w p R u u x 7 8 e e B C X X 3 U x f v + n P + H z n 7 8 O X / 2 P r + P v 1 M 6 V b z y H y 6 d t x v R T v 4 f + Q B H O O m U G a m q m Q W W h V 8 + H M E X e R c C w B A F n A N G A D s p C L 4 1 z C d m i 5 L e p S b 2 J e S T S V D y v F N M g Q X L Y + 9 3 9 G P P b o C Q / V q / R i + P p S C S 0 / P H 2 y v f x / g c f Y W h 4 R F i d J y 6 c R w J s E A b q o z G 7 A 4 c O t 6 G + r i Z 2 t g Q l m d z M T G H q 6 3 C A T C 7 Z D K Q + 6 2 / f R w x S D X u k A O U V x d C T O T c U 1 c F P G o L n j V 6 6 9 x 4 a D 7 J U X n 4 G P p c T b X t 3 Y M f q D 9 F 1 a D + 2 f v Q u 2 g / s x d r X X 8 T o Q B 9 W P v U Q + j v a s H / L B j I N P T i 0 f Y u Y q z q w Z S M O k n D e t u o D l N X W Y + + m N d j 4 7 p t o 2 b U V x R W V J B i T 2 y t B g Y q x T d A T c y d C d e e v f 3 a X R m G E 4 4 g Z X e R g V 0 0 v x i M H V q J H R Y O S g n N D 0 0 h D z Y f P 7 x M T p 1 o y v Z q n N K O 9 s w O l p S U i 5 L x x 0 0 a M 2 m w 4 f O Q w O d h n o K 6 u T j D U x c R g t b W 1 5 E u 0 w 0 t + B 5 / f R i b a g Q M H Y D K Z M I 8 c c q N R L x z 0 L a R N m C H c H g 9 s d C 3 + 7 o L z z q N n U B L D d u C 6 a 6 + F x W r B p k 2 b a Z D s 4 t i 0 a d N I e + 0 i n 4 b 9 G g + 9 3 0 n t G B W M 3 E H + C 5 + j J E a 4 9 N J L x T 2 9 X i 9 p z B E R B m f N x p K Q w 8 a J A R l + y z 6 h S m g v i d F 4 8 I R f R y d H H C E c e G c X u v d 1 Y b B l G C a / A y q D k j q Z i J S u x w S h 2 r Y d 0 a o q c T 2 e S L Z Y L P j e D 3 6 G C m L i e 3 7 / P 3 j 9 z Z V C q J x x 4 X x c t P x a K C M e 3 L K o G 6 W F B z C t f h H U v h Z E S 0 9 B m S k K p 1 9 H P B r C i E e D / d 7 p K K l Y B N X Y b q g K a 6 A r p u 8 7 R z C k 3 g O d t p L 8 C Y n J O e L W H 2 h D A U + U k f l k I E Y r V h L T k z D x 0 d W 0 K t J k 3 N Z M Y D M 3 J h C Y O x T s j 5 F k Z s E j e o c j v B x M C L u o 4 w x Q + H s x b e Z C n H z S I n I D d o v J / n J 6 z n l z Z q K u t k Y I 4 s r q O m q b d M l U c G i b X X A f 2 X M a g 6 S t z I U S w Z o S A h A y Q 4 X J N 3 C T f 8 q T u u U 1 D e Q 2 k G 9 I Y z n 7 5 G V o 2 b 2 D f E m j m K M q q 6 m j s V N j b H g I z f M W E H P 1 0 6 O R 9 a H W w D 4 y h P r p s 4 g 5 x + A k e r E U F K L z 4 D 5 0 H z l E j K 7 G z E W L i a m q 6 a 5 s 6 i c Q B 6 F I q 4 O R 2 j z e R w S F b W Q g y t L T 3 W G E p c l H t n k R l r / y X e E z p e J P 0 U v x v c t u j n 2 a G N w F P E f F x J j c F A l x B Z s N / B A c 5 p Q I n R 3 G f 5 F p 9 7 W v f 1 1 8 K / 8 2 9 R p e 1 x B + d s d v 8 W e S + O w n u V x u w Y Q y W B u B / I r 7 H 3 4 V 3 / z G N 2 N H p f a w V O U + k k G s Q 0 M n U 0 B y i 0 P h I D y u u C b n L I 1 D G w 8 h O F o E b 6 A P J 3 9 u A X q K K 1 B L 5 g q j Y F c 5 7 P M H S T N q M T I 6 h k K D D w p H G 4 z + D + B 3 V 8 B e 9 D n 4 h s 2 w N E b R G 9 i K e s v J s P T e A 2 f 1 7 e L 3 w + 4 Q X N E t q N D P J M Y o F M f Y L z J 0 P Q F v 3 c 0 Y O 6 w k X y 6 1 N y S 4 3 L t g N i V P q C a D n i 3 M E S 8 3 o i r y s f g 1 w Q i x S R k V m o 8 n 5 k P E D B x F 4 9 8 o 4 f K r 0 G E j Y U R d N 7 M 8 7 r h z I M G g 4 X N y w 9 n l h 7 m G t G v i Y M S Q 7 z x U 4 u T y R G A N 5 x g d x u V f v S 1 2 J P O z c 1 y A Q / A M n o e q 7 X k O / t o r x W e G Y r T / Y F S p L Y K z z 4 u C G p N g q G d W v Y F B + 0 j s l D j O m r M Y 8 6 f M p n d s N y a 3 l O Q 1 3 S a z 6 I l S Z 0 f C L O m l 7 3 M P 0 3 F A 2 A u b w 4 e i o i K h o d i P M h h S U n d 8 A z R Y G r K I i k W r Z a Z N R b / X h j I 9 E w 1 J T 5 L k i a I h l a E S 4 R i x 4 / C q E Z T e u h S + N z e g 6 c R a d L 1 Z h 2 l n f w S t a w f U w W 6 6 t w K u s l s R 1 c U n R L m t 9 p Z u j L 3 0 L B b 8 / h 5 0 b u q F v k k j J j V H / P t Q r u f + l x D 0 B I k B S W O S q a S 1 s r k a Q c B G / q A 1 A F N 5 g i n H J i D P K Y 1 H Z C c H R X B 4 P E q o c B 9 C 1 F B H P M P X T + k w G m e F 5 w i i p p m x A z K 4 1 8 i F J + 3 4 M Z m 9 f n 8 A J W S C M 7 M t m D c n d k 4 6 f K M 9 9 F x V 9 L t k u t p D D O X M g 6 F k c C Q 3 l S 8 5 8 i v a l a B d J o c o p i p G U M Y R Y j / 1 D 9 E R W y U i U 8 L Z p i P t 5 B e y u I B U X k f H f v G D V K j J 2 a 4 l 9 Z n W k X k g T J p K w Z O f 9 J 7 d e 3 b w e W I 2 s + 4 6 N n C Q I D E 7 I R M D B 9 0 D U L K l Q i Y J I x R R i L B r K p j x l I L g S V y k m E a 5 G E r h 7 o G u 7 1 X s W / x f q H v 3 v 9 E e P B e u I 0 u h s G 4 R c 0 Z B Q x i a q B u F 1 S a o N G R u e k J k 1 0 s T k o U F p W i 9 9 V J U k Z 9 Y N 0 K M T 4 O + c b 8 f p s M k 5 P Q e l D d b o b f q 4 b H 7 4 R r 0 w a + z 4 s N O D Y o s 5 N P Z Q / j B 1 U b S V h E U T k t o r 4 j w 5 U + E G c G a X Z h 7 + S C K H b v 2 Y e P G D a g i H 4 R T u 7 7 x j a + J 3 D m G w + U j X / Z T n L B w I d r I D a i t r i Q z u F x 8 l 4 o w + e n O T j L 7 a i L Q G D U 5 N R Q z D 1 s Z z K y c Z c F / 5 e P J T J W J K j K D t V K Y T G Y + O 5 E B 5 U w J h t L d h Y i p l k y + 4 Y G o o 9 u H g n q D 8 B d Y Q 3 V 0 r k J j o z S X k o i P P + 7 H i l P O x V 2 / u g s z Z 8 4 S q T o M p 9 O J n / 3 8 5 1 i w Y A F u / Q q b h O m d L p t + j E y P 8 t H H H 2 H 2 r N k i A M G h 9 y / f c k v s m 4 l x 8 P B B t L W 2 4 d / / f k 0 E I k q L 9 P j + 7 X e g q L g A v / z l z 0 n z a N H b 1 4 t 3 3 3 0 P t 9 w s m a y h A X L U C Z H S S p E o m t i e t 9 9 5 G 6 e d s h Q W G r x A 0 A N 1 W A u l U T Z n Y n / o B x F 7 F 0 J H X u Y R h 1 p H W s B I N r u z C P 4 p N 1 A P 0 / k k s Y + U V K P h w 8 e g W X g + O k u q U L O f f J 4 Y E 6 c j C u / Q K P l n P g w 8 9 R w U v 7 s b T T F z M R c e X u n H t o M e f P u q U k y r C q F l Y y t c 9 H g a p Q W l t Q U w 1 n l h L b O K 8 T 1 q h M Z I o s b M z E m A A z u M V / / 9 h h B I 3 I Y r r r w C 7 W 1 t O H D w E E 5 Y c i Z K T M m R s k R 4 A h E Y t c n t Z o a y B 8 m 6 i C n c T B r o W C F S q T I I D z Y j O S l B q y Y N l c B Q K s c R h C 1 T J A 0 1 v M 8 F Q 7 k S l n L z h A x 1 x u k X I h Q K 4 X v f / z 7 u / f v f x f G / 0 d 8 z T j 8 N 8 + f P p / f 3 i q z t x Y s X i 2 g a B w v 2 7 d u H b 3 / z O / j z X / + E y y + / D G e f d Q Z e e P E V 8 f 3 c u X N w z d X X 4 J d 3 3 I F v f v M b e P z x x 9 H X 1 4 8 f 3 / 4 j / P k v f 8 H p p 5 + B 3 b t 3 w 2 q 1 i s A G R / 3 O O + 8 8 v P P O O 7 j t t u 9 g 6 v S p + M d 9 9 4 t g B z P T 7 4 g I f / 6 T 2 / C X e x 8 W U U I 1 T / A R t m z d g g c f f E j 8 l t t T X 1 a K n u 4 e u E I + n E P t + f C j T 0 R G s t P p F l F B f o a v 3 n o r A o O D U J L I U 2 d g g o w a i q V 4 2 A m F T 4 W o 2 Y K D x e U o v e s O l N z 2 b e y n 9 w 1 P P A r j J R f H T g b G v O T 3 G N j 8 I O I Z D p D m D M F Y a y I z w o 3 2 2 k b U d / Z C a 5 a e o X t M j d r C H P M 2 W R C K + q A K u U l B l S D k J y b / t I 1 M R Q M i G g c q p p a g o M x E D r y W h I J a Y r r j S J w H D r W K 4 M 8 p y 5 d Q 3 0 R I c x 8 k k z B z K N p H / p U / L P l Y c h 6 g 3 a t A A U / Y J 8 A T V S N E m o K 1 n W 8 k D F W J A X o + P 6 H d R 4 b U m F o 2 Q V + x K p M 1 D k d 5 O e i i r Z Q + 5 w E D W V k a 0 l 4 M 9 e g O h I o X S E 5 P U a M b n v 6 4 4 z g R X n r 5 J Z x x x u m x T x F 8 5 9 v f x h t v v Y n v / + A H w m + 5 5 Z a b 8 c g j D + P 6 L 1 y P s b F R n H X m m b j 5 y z c J Q l 2 5 8 l 0 i W g 8 + + O A D c e 7 L L 7 + M 1 9 9 4 Q z j 0 H C 6 / 9 N L L M H X q V P z 1 b 3 / H i h W n i m U g M 2 Z M F 2 H 2 5 5 9 / T o S T P / z w Q 5 x 6 6 q l i r o s j h i b S D B 4 3 O d Q k A d 1 u l 1 i K c f X V V + M / v v Y 1 3 P 3 7 u 3 H f f X / D y S f M J i k W w c F 9 u 3 D d t d f A E Q x h D 1 3 z 1 7 / 5 P Z 5 / + Q 2 Y C 0 p Q X l 6 J H 5 C g 4 L k q v 1 + S P O r i D H M s q R A z + j 7 p P U s 1 k u R d 9 V P Q 0 z g V X X T I s 3 G T + I r l s O 3 R x 8 V S G Q b 7 S z I z u d o 0 0 B V o Y C V L Q d a Y f D 4 z k / 2 w A o e G N K i 2 u G H e k d k s y g p q m z 3 Q g w 7 / f r S 7 1 p I Q O I K q h V U 4 4 W I 9 T r x 4 G m p m V s B c Y o a W t L G S T d 6 o F 6 F A E I c 3 d m L 7 K 5 1 o X b c b Y / 1 2 E d k 8 G s y c 3 o x T l p 1 M 1 5 W e M 6 r L F I K W o C d G K t C T P x h j J k Y q M z G M i h C s C K K I 5 E x V h Q q G P j t M p N X 5 m P w 6 s Y z 8 6 N F I 0 r G C Q F f S 5 6 H W I / H P U Q 8 s R D 9 W G p v E c 3 K 9 Z G Z i h I o X w t R 5 L 5 Q 8 g x 0 i r i y e b o G j T R r k b O B s g Z H R U b z w w g v o J u n + x p t v 0 l E l P l m 9 C h o 1 m U V K F V a t W o X H H 3 1 Y z D V w b p d e S 5 K a 7 s v h c w 5 n X 3 P N 1 W I O i M P H U 6 Z M w T 3 3 3 I O 3 3 n o L N T U 1 q K 6 u w v v v r c S G 9 e v Q 1 F C D C G m A C y + 8 E F q t l G e l U q n x 1 N P P C D u W 5 6 W u v + 4 q m M i U D g a D Q h O + 8 N z T O H n R Q n z y y V p s 2 r R R 3 O c n P / 4 J v v W t 2 8 i n M p J B R W 0 h U + y V V / 8 t Q u d 2 h 1 O s 0 + L 5 K A b / T T W L F O o c f k c k A E V g l E 6 i c 1 T J 8 z n M j h E y h S N 0 P f e u 3 e J Y t 0 o F 9 6 e b 6 Z 0 k F W V 7 3 N W q R a S 2 n X y p Z C d Z J u G C q R F U u F y k 9 T q x 4 0 j s Y L 6 g t p V G d W g 0 r 4 B F U 4 m w l j S S x U S S u F R q 9 z j o v i w M l A a o t R p M W 1 p P D K d G 8 y n z U F h Z Q G 2 T z B 8 O N z t H n G j f 1 o P t r 7 W g f U c v j U W c s C Y E r 7 s 6 z r D U G a A i O r O 3 B 8 Q k s Y x R D 4 0 l T 2 6 H Y w I s R f t M m d I Y e 0 f g I A s n 6 q b l + 6 X w Q 8 h O 1 6 R X i C 2 T 5 O / c 9 d + J L 9 / g d B 9 v S I G K k i J 0 d q 1 C U 1 N K 8 i J B M v l 4 + U J 8 0 C W Q K i e z g h S 1 G B S O + E k B B 7 p v i C f q p P c Z w a q W 1 + I I g k w m Z k 5 4 V f B c B 0 k O 0 U j y h T I 5 x Q 8 9 T N r w 8 5 8 X 8 1 k C E R / C d J 4 i R j C J V / 3 1 b 3 6 D L 3 7 h C 6 h r a M S 3 y M S 8 / / 7 7 0 9 r 2 3 g f v o q K y A g v m L h S f g + R v a d J M v j B J + w i 8 9 n 5 q u z F 2 L I 4 W M u / 4 7 r 5 f / A y R F 1 6 C + a M / Y 2 f D p W g i B q 1 o / x g l u q n i P M c R k o p T i H U S G I l 9 g v b + E N x z q j E v 5 k O 5 / P S 9 q x M t b y 3 C g h s n 9 q u S w A Q l w u B x c K K u 7 N 9 M i A h p 4 I h X j J W U H Z 4 O T t l q + 7 Q H H j K 1 L P U h T F n U E P u G h A t p v C e e f E Y I u G L S + J d c d H 7 s m 8 8 G Y y 1 + e L R e V N f l 5 / M d P t K K 0 p J i s p g m 7 y O m Y p y h G K 7 e A C p m l m H / v t W k Q d I J d 4 g 6 6 6 Q T 2 R Y O 0 W B E R P + K T O o U y B E 8 B o d 0 R b i c G Y e Z L k r v V a x x 8 h z M L A h T G 3 K m 3 T M R c G Y 0 g R 9 Q J l e b 3 U 4 S 2 i I 0 E d v 2 n O 0 9 E T I z F A m L H F G + j 0 s r 0 U x E 2 5 A Q V H h 3 1 l x U D g x i Q e y Y 7 V A A h d M 0 K F n 7 d Y y e + o A 4 J q P P Q z b 5 m x t Q c / V / C M 3 P i H i 9 6 K 5 p g G V r B w o b O Y N c H J 4 Y Y u I 1 8 z q v n O A B z i D A B E R 2 f z x D W y y s 1 H E W O y c Z B / G P + x 8 h E 7 o M T r I C q i v r s P i k E 1 B S T g Q b H C a m z H / h Z S Z w j D h X d F j h b U f E 0 A j P A A l W t x H W J t I W E / T V w M A Q K i q k S e S O z i 6 y s G q p f / P t 4 D g S G I o M o o g D p q I G M W f E D e B J N Y 5 2 h C N h K F U a 8 S B i T i l K p h M x h k o Z F B G 0 Z N D l m H m o w y M c 2 i R T c P L N m h j c 6 E i U T C 7 W R M S c a R 3 M D M W H U k L F i c w 1 O Q j p I b 2 N I c 5 Q 6 V d d V d + M R j L T E h k q E W O H o q g r + A u c F d 9 H 6 8 v l a L y 8 j W h X j 8 L d V b D P 6 8 N o o B 3 F u i m x s y W M b t g E + 8 W k 5 e i a 9 i P k r E + N D V 0 + I P N U N m e C Y S 9 G f I d R m X O i l 5 A g l N L A d n x s G s H u c O O Z Z 5 + F z + d H W V k p C q 0 F u O S S 8 + i b d K H p c 3 m x / 5 N O a M h X m n v 2 r E k N B i / D C B N d 6 d T p 1 h P D H 7 a L c 0 y a u P B j D 4 b X c w U 6 q P + K e W U C j S I 1 y 6 y L k M 8 G 7 O 3 T Y H m T 5 C 9 H y D T g b I 1 E 8 D H m q 3 y Z S 2 E b P B R V + v s Q U t Z D q / F D W 9 C I P a 9 f i k L l X n E R f r F f x X + 7 9 D / H 0 n N v o V Y y C f M a 2 x C R E r V q 3 O 6 U B 5 i k F D E h 5 7 x N o r + O P 8 K 8 W p b a x r 6 O U k 3 N P h r m Z p s 8 s z Z N 0 l B C m v N 5 0 h 0 2 L j 8 N l e S n N a Y w F O e q O T o i K C L N Z O m 6 B 8 6 6 H 2 H 3 0 + V o O v s l m M p P Q c s r V Z h y V S / 1 d 1 z 7 c q + 2 O z f A / + s 3 o f n X g 5 g i a 7 i D Y R T N y K J B U i F M 5 x w a P R P 8 v Y C O 0 2 7 o p z E 6 Y N 2 w Z c t 2 F B Q W o q G h X v j C v T 3 d q C B t F P R S f 6 f w u E r F q U k e e m O Q G J Q n Q B P 6 8 + C 6 V u i N W j S c k H u N 1 v G A q 8 8 D Q 4 m W / K 3 M / d D Z N U S a K T k 3 z + l X w k v N 5 h x N x v D Q C E r L s l s 1 S i 8 R z C d b R v H A Y 0 9 j 4 8 5 O e L 0 + F B r s a C 7 p R V N x D x q L u s f / h g J u K E m 6 / f 7 u P 5 B E e h E h l v 5 E q H v 3 7 U V X d 5 d I 8 f m v / / 4 f b N u + l Q a Q t Q Z w / z / / i f 0 H e K J Y A o f c O b e P 5 5 3 W b 1 g f O w r c e d d d e P i R R 2 K f m I x J E 4 6 7 5 c l 4 / o U X Y u 9 y g T q A z V E i I g X 9 D Z N / x w s I O L U m F z h I I 0 H q w F R m Y v + Q l 6 u T B 0 X n u k n i k T n F E K Y R C S B f j / h Y N D y M R G M w S k w 9 d p i s A H K e i x r G p G M x Q V T 4 H c B k W S Q E k I d o L + y T v p f h D o 6 g y b I M j r 1 7 k 3 q E m c l 2 y J 9 f B E 4 w 0 y Q 0 G i M W m e N g U H f v A F 7 5 9 5 t 4 7 / 0 P x X K d G b V q 6 D R K B H x u 8 j + K i D a 8 a c w k 5 A s v v 9 B V 0 l / S K t p S 6 p 9 Y N n w M M 0 5 p F s z U u q U D + 1 e 3 x o 5 + N j B X G U n h U p 8 d J A 7 J g F R m Y l h I k z E z D b l 5 x S + S m I m n W F K h s I 2 O R M f G b C i y G q C K 2 m E q n o G O d 0 9 B o 3 F j 7 J Q 4 P n b 8 C a d f f B t 1 d B R 3 / d d d u O O O X 5 D J p x J z O G W l Z a i u q R E V j 2 7 7 z m 2 i 0 z n B d W x s T O T g n X T S S S I Y w E s x z j 3 n H J G Z z p E / O c e O I 3 X f / 8 H 3 M X v 2 L J F c u 2 D + f G z b t p 0 a 7 c J F F 1 2 I d 9 5 Z i a a m J r E 0 5 M o r r 0 B v b x + + c P 3 1 4 r e J E G Y p E b 3 E B n H p z W P N 6 U X S 3 D I x V t Z a D 3 x m Z j 3 G K 5 R l m l E o o u R s O x H y y o x H 4 B Q f I n l F y I G u 6 p P E I c 7 j G z s c h K V J N Z 5 6 x T B 3 3 w d X 7 b f E + 7 b i c t S s + R j a O X P Q S e 9 r B 7 r Q F d i M B t M K 8 T 2 D A x U b L 7 0 C R e v X Y 1 a K 1 g v 5 w n D 3 B 1 H Q m B x p T M J R Z E o o v K 2 I G p p j n 1 K Q Y E I m I h w k T c g R r h h U u o R z E s x E 4 Y c H b V K 0 M a G / u / b 0 w k m + z + y z 4 / f l 6 R A p V Y h + R r T H 2 t L m 7 0 C R L h 7 4 G E e e / i J H K + 2 t E R R O z V P D x 9 B r U 6 O 6 K H 1 + i 6 d 9 u G 3 K D v s h R L T E a W w r p / l D q a B R p R 9 x 2 H x w Y J j J U h A Z T 7 D x + q L 7 7 r 0 X o 6 O j W L V 6 l Z h j 4 h J k L v I j b r j h i 1 i z Z o 2 4 A j N Z V V U V Z s 0 i + 5 n w 0 5 / 9 D M 8 8 9 z T e e v t t L F 6 8 B L t 2 7 c F P b v 8 J t m / f K Z j m 7 t / 9 D v / 6 1 w M i C 5 3 z 8 u 7 5 w x / w 4 o s v w W 6 3 i 9 + n g n 0 p 8 u 7 E e y Z C G T x k s U Q N k W Y k M 5 O C z R H O m B 5 H K j O x 9 J c u p K K B l V 6 c L s t R R B X s w Y Q k Y k 4 U V R c i q q 8 X v + C X b 5 Q 0 P p l 3 i c z E 8 K u k 5 2 d w w p H j x Z f F e 7 4 b X z e R m R h s 2 p O l n a S h Z K j 1 K s F M j p Y s J l 1 g i C 6 a y E w K v P r a m 4 I w s 4 G J e M O u Y R x u a Y 8 d i Y G D E W z e E j O N + F N i + C z C E 5 h J q U 1 h Y J m Z G K Q x o 1 r W C L E 2 c H g 7 O I a 6 u V X E T F P Q 2 z m I + + 5 / E E 8 9 8 4 J Y T / X m 2 + + i k 8 z e L t c G + r s e z o B k C a S B m Y k 0 + k T g + A A z E 0 c 7 H S 2 Z + 6 G 3 T 8 q m S Q Q z k 4 9 8 s l R w k E s s Y q 0 I 1 0 L R U w B n q 5 q k X I V Y / 5 N 9 L o q c u 0 A Q O l 7 / Q 1 i / d o M I S n A a P D P N N 7 8 h S V x e e 7 R t 2 z Y x Q c q Q 5 3 k y 4 b e / + Q 2 u v f o 6 P P z w Q x g a G h I a 7 f E n n s D g 4 K C o w c c m Y 0 m J p I q 1 W o n h W R q k z h c l g z U J P V w W e k m k 7 S h H q k S i J z 1 d b M I 1 G Z I p x 2 A B M k 4 A 9 F c V 1 c O s S p l o J U k 6 c s A t z U P R S 0 v O d y Y k J s Q y k 9 j / / d r 4 e / + O n e J 9 K s r P O z c j Q 8 m w T g l h 9 B A 9 Q 8 L w c W i c q 0 F p 9 U a s X b c J Y w 4 y 2 9 V a X H X l 5 Y L + Z a g 1 W h w 5 0 o a / / v 0 f I g f v i a e e w d J F s z B t S i N p q j Z i S t K K r C W 4 v 4 R 5 i / H Q P 8 M d H E K v Z 0 f s E 5 1 C G j y J Y X O Y 2 j y W 7 3 y 0 D V p L F Z 5 7 4 R U 8 + / y L 6 O z r w L e / 9 T V M m 9 q I W X X T M b d s K d a / 3 Y v H / r o K a 9 / s w Z 6 1 6 c u L x q E p I d O y I / Y h N 7 h / C q s O C C 3 v 6 C S m T k B 1 V e Y U s c T S a U e G k 2 l 7 P M q n c G 6 H w j Q F 5 q I m M v m W k 8 k n z e 4 n g k 2 + M y 7 m Q o X 8 E 6 m z O P g g h 3 U 5 A Z b z 9 Q J + P z 7 d v F m k B 3 3 j G 1 9 H X S 0 n 1 E p o a W 3 B v n 3 7 c d H F F x A z q k n D 8 b U 4 B C 4 1 7 O t k M t 5 / / z + E S v 7 O b b c J r c d G H I N 9 K t Z A z z z 9 n F j H l B 7 y j r c r / i 4 R 0 n X 4 G z b / + H s e 8 6 T z W F s J U y a d Y e V f y + D y Z U l h c 3 o W r g t R O E 2 F j 8 h 0 Y 6 N F + 5 V b U P 2 H u 6 X v Y 1 B 6 + x H V m B F V S 6 b J L j p X X 1 + H 6 T u 2 i l S l y v v v R c F 1 8 e U m q Q i F f U S 8 2 1 F t O p G E g x S 6 Z q J 0 k g 9 r N p v g H Y 6 g a 7 R N F A f d s H E j j h w + T K b 1 V U m C 8 t H H n 8 J V V 1 0 l x o g l K 9 f G + O L 1 1 4 o s e C 7 W q S H H f d W q t e j r 7 8 e F 5 5 8 P k 0 k P h b + P B I G 0 t i s d U Y T 9 c d 8 k y d R j 7 c M F X i a A H P h g D I + O w W q x 4 O W X X 4 X e Y C B h q q F 2 n A 1 l V I s d K w 9 D b 4 1 i 5 q n x K C g L O / a R k y A C R f m Y d C z 0 p P G 2 t X p R 2 M T r 4 y S q G B w c R n n 5 x G F + n k Q O k + W j G B r u j G p Y Q t P N O T T O u X z b t 3 w A Y j S 6 D 9 2 E J U 1 M 1 E + f s x i V 1 Y 1 0 a 1 7 / Q l q C b V t + F L o 5 B x s 4 b M q 5 c / x 5 c H C I B t e I o s L 4 R C C X d + I l 5 G y U C U + H I 0 8 E q V 6 e h M S 5 I T Y f i 4 u L x b l c W 4 + 1 Y R L x Z w V 3 E J 8 p n 8 0 d n f m X 8 a 5 M B B 0 V P k K 6 T y I P G V 8 t G A p g x N 4 G o 1 r q c D t Z Q A U x o f 1 x Z S 0 a A w F 4 y S e c v X a V d D A G U 9 v f 4 G 6 S 1 t 2 4 A w p s r y x D 7 R V X o P G R f 2 E f M V Q 1 M V R h B o b i Q j r d L j K F b X N R X 3 I Q O j J b q w o X i r 7 n V C + r x Y q m 5 i k Y G u j H K a e d B Y u R B t h z i J i g n i i c r Q p u N T 0 B F z 4 h H z I Q 1 s K g C W B w N I D i s h o R V B o g y + D T T z c j Q n 7 v Z Z d f g q I C q / C B G Y o A C Y I c u W 5 h v 5 Q t n + w 3 5 e e 7 j d m d Z P a / Q x Z Q A E u X L h W Z L + v X r c P M q f X w e 5 2 k Y S 0 w W Q u I s c 0 S s Q d G s P Z w E d 7 Z 6 M K l K w r g 8 U f x z g Y 7 / v C 1 5 J A 6 Z 5 e w C Z 4 V M b / O F 3 Z Q z 0 R g U B W S G 2 a D 1 2 W G v p S T e R V o b + + C k 7 Q x 1 y V c V B c c T x f L B E l D i S X T F i h D g z A U T 0 X L o 4 9 D M 2 L n + x C Y n G k Q 6 P / A s u W Y c c o p 8 H i 9 0 F G n c S k s L m C i J Z O O y 2 O x V u F n l b m b k U j a g v n E O 2 Y u c k r p P N n Z l D V U I s R y 8 w z k n h k R a g s v s Z D e Z 2 K T b M i 8 F o q f m Y k h u 1 8 Z C H n h c o x C r d L D 2 a K B Z Y o k o V 1 B B 7 Y u P w e 1 5 H / Y C i w 4 6 e B a U l W S Z F f 4 e O 1 M A b V V Q W Y S / U Z P 9 y H 0 O e 3 E I E X o r i s V C b Q F C Q m 0 n M c 3 v S x I z E S E H h N C O u q Z d R 8 M 4 h r O S 7 S R 8 D K Q T 8 J J u T Q e z t 5 G m G t 7 E Y z o 8 f J r K 8 X 5 8 + b N x Y I Z Z X j 2 1 d W 4 5 q r L x T E J C v z x z 3 / F j 3 7 4 f Z H 9 P X P 6 1 C R N l h W 8 r F 7 L 5 q 7 c c Z K G U n J W D G m 8 y Y J N r 1 F e d F l Y S F f M T r D J U O C n D 4 1 h 1 B H G 4 l l 6 n G w k / 7 x J j b L 6 u E Y R F X C 5 F I C w B u K D z M V 1 o h o S D o l + X Q r s 7 X 6 S Q 1 G Y K 9 I F 6 7 o 2 L U 5 p k g R I I p I y J d h s M B o L 0 H n q C j R t y m D y / e m P O O 0 7 3 x U S i 5 N a r 7 3 m G t J q S h G Q u O G L n 0 d b W 6 c I V i x Z e n L s F x L 4 B v w o P / 7 J T / D 7 u + 8 W E T 3 O A + R o H T P Y B x 9 + C L f b j c s v u 0 y c z + C i L u f z s v c Y O K O d g x I / v l 1 a v Z o M i Y E 4 C M E M x T X W L 7 v s 8 v F M 8 4 k g t y 8 d 9 A 0 n v c Y K P q Z C n o c K + U J C O u s K 4 l k j + 3 5 w O 7 S P P Y 4 B 6 t N T h v v J M e o n A a K E 2 f Y c n B X y q t A 4 Z O E R G h 5 B j 7 I C R g 0 5 y 3 4 l p p R y N I x X x h Z m H f y x I d I c 9 N u i s n L 8 / J e / E i l Y X 7 r + R r z x 9 m u 4 k f 6 u 2 b g K y 8 + c h Q J d n c j o 5 i R U b o 8 I Z y d A r L o V 4 f V J g B l c + F Z a 8 r / J y i G G + t 9 B l l E L j s D p 0 K J 1 j Q t 1 J x t Q X E 5 t y 2 B u H h l W Y y r 1 b S a w Q E l U C j x 3 6 O 7 W w N q c z u g 8 8 c u + f S i 2 z k t 1 8 7 f P u c u s I h O L B p 4 H X K M x w P H Y o y j s T l 8 C 3 3 7 + B W h a t g T P P f + 8 W F J x 7 r l S 1 a N N m z 4 l Y g + K 4 i k u l 1 P M E + 3 e s 0 d k k b M K 7 + v r h V 6 n x 9 t k r + / Y s U N k c r N p d / j w E f z 7 t X + j s 7 M T W 7 d u x f 4 D B 3 A K a c B t 2 7 c J z c W M N m v m T B H U 4 I g h + 2 V c V W n T p 5 8 K B u T Z e a 5 s x E E K X h r P G e l P P v U k z j z z T B F m P / H E E 0 X 7 J k I w r B h f i B a H x K Q i + s n m n z A B k 7 U o m 7 3 B g B / 2 l g j M N Z I v 4 w z 2 Q 6 c y Q 7 t 0 G m x / f Q g 2 G p z m n 9 y O M D G l g w Z G 5 x h C u D C + 6 p a V g d D q r F 2 8 n V A W 1 p B J E R U 1 F I q N s Q E U q 2 2 T i U f 4 r X T s i S e f h Y e u O 3 3 m b L E S l o v n / O z H 3 0 e h f g g n L z 8 b E W 8 Y 5 a U W M r 2 l i V O m d 5 5 r U 5 E P J 4 P v y 7 4 G Z 2 r E E R U R t Q J t 3 P 9 d 0 6 p D Q 5 F k / o 0 T H T O 5 8 F O I p Y M c F W M i 5 b b F G E v 4 M d m 1 Q D 5 g Y d P v 3 S m S e 8 f h I / r M l D G h M k J n 1 K F y p g U G v Q 0 d j g r Y D r a j d 7 M K n Q d a Y S k x Q G f S x v s 2 B U y b q Y K Y l Y a u i B m Y 3 J A j T g R J I D 3 8 6 G M 4 c O A Q t h D d d n Z 0 i W V I I l h W a T q B G s F m j T R g u b V 9 l M y C g y I S x 4 V N u A I q 4 1 q y 9 9 9 7 / 1 3 6 7 M X m L Z t h I V v + 3 / / + N + 6 8 4 w 5 R O I U H u b y i U j i / 3 7 3 t N r x G T M R F X t r a W 0 W V I y 4 Z x s s x m C E Y 6 9 d v w G m n n i Y W G f 7 2 d 7 8 T j M j F X 1 g S c B j + p / / 5 n 6 K M G U c F f / m L X + D h h x 8 R D M f Z 7 H f 8 8 g 7 w L h + s z f L F + H I B H v x x J B A B B y m Y q I X v I a W p y B g 9 6 E f B F O l c P z F F k H w T D i e H 9 G H w c N M v 0 G 5 v Q Z e j H b W O x x B o u F q c y 0 5 s 1 5 g K S u 9 h 8 Z k r F E V N X B 4 5 m X F k c M G Q Q D C E h x 5 5 H D / 9 + Z 1 4 4 M F H 4 P O H R K n m s 8 4 8 D W F 7 K 4 I u O 3 7 x 0 9 u J W a i 9 J n L m a D D 1 R T o Y t C X w O + P m C T 9 v i O h J T h K P G s j H i A V I 4 l C g T t M k K r B 2 u z 6 F x 9 e P E 2 r I S W S N F H Z D G R g U 5 p Q 0 9 y a d L w I W X F I s N j + l 8 B y k f 5 i x I n D 6 + 9 D r 3 i 6 O 5 w 9 p X F h z V x m k R G U Z X L 5 g Q p C Z b b G 2 w D o 7 h K r z + l B 7 a i k s Z d J z u u 1 u 7 F x 5 G H t e G 8 P O d w 7 B 4 / A K h t i 3 7 5 D 4 f s i l w v A Y M 5 Y C j z z 2 J D 7 d s h 2 f r F q H y r m V 2 L t v j 5 j G u e a K 6 3 D r l 2 / G j G W X Y 8 w d E r y T J j p Y m G S 3 o R W C W Z j 4 m Z N 5 T Z O X C L f A a h X b x c y b N 1 8 s B J w + b a p Y f S u Y j s 5 L r O c g 9 4 N G o x a M 9 B i Z R Q w 5 J M 5 + F t d v 4 8 w L D p 9 / 9 a u 3 i p p 8 9 9 3 3 D 3 G t b j r + 6 G O P C a Z u I w Z 8 8 K G H U F I q 2 c z y N T i 0 L 7 + n 0 Y / 9 n R i 8 Q j O z 3 I q B m Y q j a m L u y k s E T F p k h o 7 M H K k b d S o L i n X N K F Q 3 i J A y X 2 u 6 + A Z o H n 4 P v U X f j 3 0 C n W d H X W E Y U S M z U T p 6 + 4 d E K J s H h M P Y r J F + 8 5 u 7 R V 3 C K y 6 / D F / 9 y k 0 i U 8 H v c 5 P F F Y a 2 q A k F l g D U 9 N w K H 6 / C I m 1 J P n G H e x 2 G 9 J v h 6 o l H 4 B j c 5 G z T C n F E 0 e / Z L U z B 9 Z 2 N G A 5 2 o N 2 9 E a N 0 3 a i u g l 4 1 d C G u t 0 H N 5 B 0 8 2 K 8 K j N D P p H t F j b G F h M R 0 F u q 7 G p 5 i 4 P A 7 n 8 e C i f v R T + 9 Z U D H z M H P S d 2 H R v 3 7 4 v I c Q 8 H b Q s V H 6 L A t I a Y R E c I S 1 F M E e 7 B J C T K p M H I c j S H 5 S z E c f d J Z C Y 7 J j w N t G 5 7 a Q x T S I B R d M w 9 z L C 7 H g w u n Q m d X w B s d g 8 Z v R t 9 O N l l 0 b 8 d L z / 8 S a d R v x 5 S / f g h k z Z u C M 0 1 c g 6 P d g 2 Z K T c M 5 Z p 0 F v V s B n 9 6 H C 6 R I 1 B o X C T v W h T O Y C d J y S 2 Y d 6 j / y f s 3 7 w A 9 I 0 z H W x g 1 n A h S I V y i j u u P N O / J B + Y 7 Z y d I b M A j Y t i I / Z D 2 O t w 6 b j l C n N O P u c s 4 Q J x Z F D n y e A Z 5 9 7 D l / 5 8 p d j V 4 u D w + r / / O f 9 x F B 2 / O p X v 8 K f / v Q n u l 4 y 3 i d G 5 / o E 8 4 n B 8 w c / k H Q l H g J + x 6 / 4 Y 8 Y D K m K 3 k c g g / K N 7 S P 0 T Q 2 R Z 4 9 N e X A 4 i D T Q c W Y l u d z N m x J Y T O H 2 j Z B S p i U D 3 Q e + b L v b C 4 o F n Q f C z n / 8 S d 9 1 5 h 9 g 7 6 4 s 3 3 I j H H 3 1 Q / E Y K 4 E h m l i T v M g + A K K J i k t i 4 w 7 1 W / F U r 9 L D 0 L o Z 1 a r q 4 G H J F U E a E I T 9 7 I i L e V n S H + q k / I i j V n Q S 9 m u t u a E V 6 W m r R m 0 x w + d i N i M I Q b o d f y w U x 8 1 s e 4 Q 4 N w K j i Y p V p 8 j 4 O X k 6 i 0 I q y 0 m x m 5 4 v W w X o 0 l 5 O J S 8 9 r D H n h U S c / h y F a B a P e K P q 5 t 7 c f 7 h Y F x n Q 6 P L s 1 i u v P K c H z H 4 z i D 1 9 P N z W 5 P q W r i / z g s d G B q I I 4 P a q v k 4 I S p k I c u v t 3 0 A 9 y e k u c y B i u i y 7 C 3 H P P j X 3 K D J G d Q D + h f k Q 4 F I L d Z U N h Y Q E R A X d u R I S + Z X B R S l a z X K O O p S B r J 3 a K O S y f C I 4 k M s H x X A l r J g 6 r 8 w P 7 v F 4 U F J G p R K Z a e t Z 7 d v B 9 x L 2 S 7 i M 1 P P G J M 8 1 V M T N x s Z m w b w C u g Y 3 k 8 6 y A s f c x Y q w Z C J Y u o R P j 1 + Q 1 U Y z Z O / 8 O X + 1 1 4 t q 8 a 0 O n e 4 i I U 4 2 7 7 7 w P 1 1 1 7 N Z Y u W 0 5 C 4 E N R u 2 7 2 1 C p E l E b R L 4 J z x I 3 p H 5 b e H D B g L Z k F X Z 6 N K C B B Z l O y V u a 7 A R W 6 e T S u a r i O K F E 8 P f 2 3 m z u 1 O K n W i y 7 3 J t S a F y c F J X g Z R N S Q s A g v h l A w K H Y 6 y Q a m A T Y n 5 R J e E n 1 9 N s m v c r Y G j 5 y S a M Q Q 9 g s m 4 R A P H 9 O H S B P y A P I 5 9 H 2 E x i d M r x A 9 J 2 e e q K m h B b I m J d h G x 1 B U H G d 8 D j r 8 4 l E H b r y w F P e / M g R f I I J L T z b j g s V K U T I g F e k a i h i K l 2 t M F C H j e S E m S o Z o e l S T l I H A Y O K L q o L 0 P N L c E 0 M m T B k 8 W c v X Y Y n N 4 J C 8 g U x F j g R y I U M O S H B b e F 5 E L N G m M 5 n Q 2 V x J v d b R g a 8 Z v 1 L y p 2 T E U / n Z C h m E b 8 s G R B Y t J Z O L B E V s V b G x 4 3 5 4 q 6 9 D R F 2 M 9 0 r K 0 U T H m g b 7 8 f S z z + O U 5 c v E c v 0 B + r z 5 0 y 2 4 + e a b 8 B D 5 f 1 + 9 9 c v Q T C Y 6 R n 0 v l e u K p y / J y M Y E D N u B E I p m p o / r Y d s O l B u K U Z A y X 8 M Z E l E D P 0 E y 2 L p g f z g b 4 t M Q 9 E Y E J W j 8 v S 1 0 r e T l K M c C p p s x f y f d I W 7 S M 8 N E c 2 m 1 L C j U 1 k P F Z m o s H Y 0 t g S G e 0 I 2 t j 2 J 4 g 2 o Y N H G T k q 2 J A 2 v J V x 6 1 Y N 4 l V T C Y D d Q v o U w m X 2 G s D 2 Q D J x 2 h h P 1 3 G O o s 2 o E F L M 9 N c a l d B k u u V L u d b 8 4 L 0 k L B q I g I 8 k C x 9 j E Y e L J Z + j 7 + k + R P x x 3 j E a n 0 e 4 g d Q L g G G z v l R C C B 0 V H 4 V 6 9 G 9 M x T p d w x E Z q V f m f p + S N 8 q g V 4 f f Y X B E P 9 6 d p r 8 M d 7 7 s b I i A 3 b t n 6 K p e c 1 o 9 Z 6 E j G o R A x h E h 6 q H B I / H + Q q f i L D O + o T z 6 A v k J g / F X 0 O c v 6 t C W a h j 0 y j H J O i i a P h 4 w g m q S R J G V B f i f a k 1 O d j 3 4 4 s o e O F 1 F x C F T E U a x + N w g I V E V r Q q 8 b G j Z v h c L h w 9 i U L Y m e l o 1 D T J N K z B N g X F K Z p / n T m J h e F t f Y z z z w n M R S b F 5 F g C B r 0 w 1 R K N y a i C Q d I q m j S c + b 8 k e Q c K h 1 v Y 5 I D v H W O W K B L k A a A d 2 v w C R O N F w i q F T E z h N v P J z C z 0 n c c h U r V e A K x 7 y e P o 2 d G z v N S 6 X g 5 S g C D I R / 6 / H b M C Z n h e u k V F C 7 v Q l S j I x P Q i G D x K Q h b p 8 I y 8 G e x c H A b m X y c m L S 0 r w d l A 3 + B u + R 6 G F x v k b + t g a + G T M C U Z e n H B R O k + T h a V N K S + w w Y d Z N Z G N u B R Y A D C N p y 8 o U U M M c m o D O B t 6 w x a m O / 4 2 B D w k r e V C j 8 / S K g c b R j I c M b t s E T i i f B u o Y 0 C P r c 6 O o b Q H P j T F R W l W D T x i 0 4 c u Q w L r / y E u h M Q f g 5 E 5 3 A N e r H B o D q + g I M k a X R U D Z b C P F U i L b y 8 p M M q 9 K z I U l D p c L W 4 i Q H d A z V c 6 r p T K J u k g A i 7 T 7 M C 8 n C c J L D a j R M z + m / j H X Y o T E o Y C o n X 4 c + c 7 N 5 x a h a x R O B U q h R T Q Q p E J P + 4 i 2 9 k h 6 R 6 8 K J R F Z i w A w 1 4 u R i / 5 k Q P v J T K A c f h m I 5 + 4 U T w + + i z h 8 h 1 m e 6 C 2 t g 1 X w E g 8 l O W s q M O 7 7 6 U 9 y 8 r g M 1 g 7 1 o K 6 9 G 4 0 A 3 e n z b 6 d 5 K 8 k F 4 y Y Y C l v 6 / w F n 5 P W K w c v D M D D r f w u x z v w z v L / + A 4 E X x L U U 5 a 8 J s e w o + 9 R I E y 5 b F j h 4 D g t Q v m t y O f 8 g b R o A k q r E k s y 8 m W x F + s h j 0 4 T 7 y f a Q F h n l B 5 E G m Z x V k x H F Y C p + o o T i n 8 Y 0 X 1 5 E C U G D m 7 K l o m C H 3 Q 5 y 8 w / R M Z a a p G Z l H B m + g P k q W R H V 1 h h Q r F l Y 8 9 5 W F z h h x h o o V 8 u B d O H h B m Y y Q l 0 w 2 6 i P e V D g 3 m N n Y Z E o 3 X c J + B U l 4 n v u g v w q W Z O Q y j j d K Z p 0 4 C 8 X f E c Q 1 s z + A j P h V S N s S Y y Y y O T O b 3 7 Y T + m J p o l e Y o m T C C Y a h X / F n j q J w S J 8 H h O 1 z X p 6 R C Y G B Q U S 7 u 6 F b d C J a r 7 g S B T / 7 M X Q z p 4 s 2 i v U 9 G t 6 4 2 g H 1 8 E Y c n n e j + M 3 U Q 2 9 i x / R L x L z U j I O / Z / s I f s t p C B c m m E S R I P Q D L 0 F J U t R X d B Y i x m a 6 p k J E s E Y D L S j X z i Q b X s p x Z O l s S N k p U d Y m M p h o s k 1 / j L W 7 E S y 1 o N D o h C b D m j C n T w k L Z 8 n n w a A y F J 7 D W a c A 0 k D 9 N F 7 s h c P m Q m N N H i 4 S 6 L L W y Q W u a 1 J q b C I a n p x Z z X O Z P P W T C R H / I L k o J u i 5 g h R 9 9 r j d I k O F G K o v q q A v x X J x e j C j t R I q t a Q x O F I j 0 l h p Y H i 2 + O j A h E v m k o o Z K R N T y q w g I f 6 J 7 H D h Z E 7 M T K l g v 0 2 I 2 p i D y h H C S H C Q n o u I X Z M 9 S i Y h u T 3 p I D e 4 f w C q y k q 0 X n 8 9 w i Y D K n / 7 E y L m d G n 7 P m k o 9 q G m k l m x k 9 4 z Q / G S e A 7 C O I I 9 C B A x l O l T 6 4 D H o Q i 6 o B p b C 7 1 / H 5 x K M k u q L 0 C f d w f K d L O E R B b n x B h H S F 0 S i n 3 D X r E z / K I T F 6 C x I b P / 4 2 h V i j S a Y M R L D J V D U z G x p k 3 4 Z g L 3 G S N X v + U A W z 6 x s Z o M U n 2 o t L G j j 1 y X I 5 d G m g y k + U 2 N y G H V 6 e N m L W 8 X F E A x N P Q d P Y V K l M G K G q f Q W + 6 8 + I M x D 4 l C L Q n H G H L 7 O I g w Y V v F M 1 K H c a c R e K C k J R v 8 Y s Q 0 R A x c q 0 I C H R 9 n J u m 3 f K L Q L B w 9 p N P 4 J d Z v 8 U U J I m D A f 7 n N 5 I D x z / n F E 6 9 K O 5 0 / k n l R Y j I m e q D Y 9 y G O c p J Z / O z z G Z m J w a 2 R W g Q M a T Q J T 6 Z A g a Y 2 J z M x e I l H q O w C u G p / I J i J M b V / D a y t j 6 C 9 o 5 s E h B q 3 / + R n u O e P f x X r n P R a L y r L S 3 D V l Z d m Z S Y G M 5 O 9 I 5 i V m R j U h W S a 5 5 l t I i Z m J + q 3 B P B k b S I S m E n h 4 w W N s f H O g c T o n g x d O D l Y x k 0 6 X s z E Y G Z i J D I T g 3 f 8 5 1 J 5 D O l J E n K i 4 j U V u D E Q G R A 2 + y i C x J 1 P P f W U K G Q p Z z d w t k P L k R Y c P n R I v N a s W Y 0 D + + P 1 I x j S 7 v A E N o m I 4 J V k W q n E Q y p E a J w D I n 4 f 1 y N g u S 0 t D B T g z 4 J x 6 P d c e o x B v x O R N o 5 A J j C L v L y E 9 y 7 i r s 4 E h d G Q 5 R s J M j P m B g + 0 d J W I w w k n t S e c k O L E g s F F D v o I O f c M N W 8 U J 9 5 R X 8 X e G 1 v v l w 5 M E q L I 5 z M v w D f 1 + / j H + g K R M 8 n z f L / / 3 a / x s y + d I P L / A l 6 n 8 E u z g d v H / R w h Q a i v l P o 8 F z T a z D X 4 k s A F H y f h t A v k i P R F 9 R z y p / 7 L s S C R w c s t U u F X 6 W B 0 d q O h / 3 X U j a x E / c C 7 5 O 9 L 4 9 N L d P x Z Q g 7 e j f t Q n D 4 / P D I m V t v y / k U 8 9 8 O b k v F m Z 5 w K t H b N G l E a e f 6 C + V i 7 d q 3 I 0 e N V t V / / + t f F z o O 8 t e a J i x b h / P P P w x l n n C k u z m C G 4 H k t X r D G 6 6 W Y i f j a P L / E l Y i Y w Z g d u B G C e Q j M N M c C 9 o L I S I 1 9 i i P c 3 y 9 M t Y w I 9 C O i 0 J M f l e o z M B M l X y t E 1 2 H s v O c e e P / 8 Z 9 R 3 D 6 P A E B E + I m P Y J f k g R k U Q e y q r M X + k H 9 t u u R W G 1 9 / E n O E e G F v + A v e 0 9 K x 5 J v B w K A w 1 C a p U c C 5 f J B x n F l b K U f A a s b h f o A g 6 o b O v h 6 9 0 4 k K S 3 t A Y I i M m s X X p M Y G L 0 u i z l 1 f O j O Q + V f q G o B 1 8 D + p o D 5 n k G i F I o d N K M S o 2 k 3 h y N q p C W F 2 G k K Y O E V 0 1 f F o D H F G e 7 F Z C z b U 9 x D a n U V T 1 f 4 C + y u T k A 5 O j D V Y S t n b T 0 r w y P I 4 F g q H 6 B 4 Z R V 8 u R P J W o 9 K o j R 4 z X O L 3 8 y i u k j R 4 T h f h 5 S c R N N 9 2 C O X N m i 8 R U X u L O J h + D M 8 Q / + v B D 3 P 7 j H 4 u s B 9 Z k 9 f X 1 a G t r E y W W O T P 8 5 p t v F n X K W Q X z u V y Y n 8 P i k g a i W 5 P W O X 6 Q T Q a + Z v y 6 z F A K o x F K a / p G C G F e R U t / F f p i 8 Q v J g c 3 c J j 8 z J v 3 1 m S 0 k 7 d 3 U b T G t m g r 2 Q c i M d v s V G H j s X 3 D / 9 O f j l W A t v X + E s + o H d A v p H m M k z A p L 8 g s A Z E M 0 a C e C T E + L Y a h d h 6 B F H z x m u S Y 9 a d O e I M y 8 l X k W 5 I q c j o P t 7 o n O S Q S Z / p q R L d B 5 N 5 I A M x P z X 4 K I P q W M Q C K y + F f h i A 9 j s X o e S i 5 P R s J I F f Q i q M / 8 / I z C 0 d 3 Q q 8 v R G Z q K q i z L 2 4 8 V o q X m o n L B H L w h M E + o s v Z g 4 n r o w Q f F f r h c E I U L + b N z L z v A f I 7 F b B b b g M o Q Z l v s 9 f A j j 4 r V t n / 5 y 5 9 F t O S 5 5 5 6 n 6 z j E F p 9 8 P R G j Y E a K m X D H j t g F B f i x + C V f l w M c k n S P c J 2 u D B D M x I F O Q R w c I c z e J m X M h u Z N 0 H I u p o s 1 h 5 d i N H / t q 9 B M m z Z u U j u r f w h 9 5 3 P i v X L P X l g M W g x 4 d 4 l s 9 a O F T p 0 9 4 h V W 1 4 8 z k 8 Z 9 A O b R l x E h U z s R H P r f v H U H 0 a / 0 T F G 5 R F o u c K 3 v X I i Q e d n 3 A i x 9 f 4 V 6 e A N f F M H S x X C X X w 1 P 7 Z d z M x O D m S m D + a e I Z d Y w I k o N I i p t T m Z i j B X P Q 7 + 1 A t X B d x H o o b Z 8 B p A Y S s t h b P E Z r a 1 t 4 v 3 h w 4 e x d 9 8 + Y o T n 8 P e / / x 2 v v v q q Y C Q 5 J Y n f y + S b C B F 7 Y E Y h m 0 T Y l b y M n j 5 f d P E l s F o t W H z y Y h R z L h 5 f J j v N 5 g 2 u b C s h k Y E Y 3 L q 4 p m L / K q J L d i Y T o d b R w A q e y 1 7 c h U F e E 6 K W Y u E f T Q R F S v W d m Z v W i a U T v C 0 m t 8 5 X f y 3 0 P W 9 A d d q Z 6 G 2 Y g l L F D G i U k j / S 7 8 l c q C U X A o r M p t d Q c T n c 1 f E g R d A 0 E 6 7 i q 6 C x F u D t d 9 7 D W 2 + / J / Z v 0 v Y + g 5 M X z q A x l P o 0 y m H z i R A z k T X d 7 8 H Q 9 S T M 3 X + G Z e A v M B 3 + A w m o T h o W L X x V 1 5 I 2 / i 5 C p c v E Z 0 Y 0 j 1 J f 4 1 C Z o P A k 1 + y T / e b J g g N C j p L L s G + E l E E 3 b 8 e U i Y q P H o q O z U O k U C K I k N o 0 V I T J / n d g S n M z m X x 6 + p Y k s O z w c 7 I m M R F / I g U k M a D 4 h z 5 z f D 2 a W d P I G 1 e J E D z / k I 8 d o 4 8 k g a + V 6 z r k j 0 R l H y N + H v s / m o r S W A C D U y h j V 6 I + C J H p K z Z D i z 1 X 4 j 3 4 O Y J k x y d m b / i 8 L r H A M C O y Z A x w H h x r g h d e f B k N T c 2 Y M W 0 K d k 6 Z J s L r q V V m J w O 1 f y 9 C u s z b a 2 4 n h u I 4 Z F 3 K 9 f 2 B E A K 9 W l g a Z c E D d L k + R b V 6 A V S k h R X O L X C H T H h w 7 3 t Y U m 3 F + 2 3 9 + N X y 6 z m H C R F T I 0 y j j y L k 0 M M 7 Q 6 p 2 N S l w 7 t w k 5 4 W E N k w I o K W H z S W M D Q f Q U D 4 N L T 2 7 U V o l m f e h Y B i l p q a k + U k B o k l z z z 8 Q V B T D X 3 U 1 j d k k 2 5 S C 8 a B E M O I W c x w z y y 8 U Z c H i o M 5 m f q G z h I O Y i H H O y o U 4 U Q p / i d 4 e r X S R w e a b x B D Z I B 5 J T P B y 9 j Q z l o z o w C h U p C k V R m l C k 1 O c u D n 8 E j 4 W + Y / K w k R f R r q W t G W o e D u O n A y V A e + s / E D 4 l n P n z E Q o H E J n Z w 9 s Y 2 M Y O e t s w V A 1 / b 2 w B F s R i i 2 / C H N u 4 / i 6 r t w w 6 d 0 4 N L I f N S a p w K a M K D H w t r I q w V A N o w P o c K 0 V 4 f J q Y / w 8 e 1 s Y B U 3 p p m t w b C c p o A V w k Z 9 o 1 q Z M A E 8 m K y I r 4 r S R L x T + A X l 0 M Y L s k U B j t A a G W L m 7 y Y C 3 9 j S O v Q R P 0 d W I G P P L O 4 z 4 A y Q 7 p X E a Z y i 2 3 y s M 8 8 m k 4 + h b M u U M D 4 2 i t J g a l 2 P p Q F a E H K T e r Y L v / H Y n E Y k W x r L s p l c + 0 L z w H I L X f j 7 2 C R j 1 t x D z h F G s b S Y z U 2 I 0 D s J L + l T C s O 8 A r D C i 7 9 u / p q d W o P 7 B f y Y N Z e u I G t r b b x H f 1 T 7 8 r 9 h R Y p q Q N E + W a e d y D l v L C a 6 J 0 E Z 6 E F C m m 1 9 c 9 e n J J 1 7 E r F k z s X T J y X R d j g w C 7 5 d K E 8 A z Y x p E 6 9 h M k t Q H r 4 W L X e Z H c A b V E L z h 9 F L C I W L Y r u b p U J C 5 2 9 j X J f p K r y q E U R 0 v w a a g d p l a r o B r 6 t u x I x K i I S 9 Z H e l j H n X v h s I 0 L / b p / w 4 e z 1 5 4 5 U T R D E i s G 3 g 0 U L r a i b l e h V + / B M G S p d R R K R I 1 A 8 Y Z S k Z i 6 h G v x u W l F A L s H O V x w Y w g x z S i 0 I k 5 J 5 C y U O s z E w m n / D D R a e S E 2 Q x Q u O w I H m y B e l G 8 X g Q n 2 2 o U K d J S 9 q 1 i E S g u + s 4 7 L v C d m f m U f J z P S Y h Q e b p 6 g U E y C U 9 Y B E 9 A Q e f z n F k 6 I 8 n w + T x k S q R M J h K U / j 3 k r 8 0 V 7 z n I w H 4 R a w Z t 5 H R U W Z M Z k M u S v 1 d d i w a 6 T u P A L p h F 3 Q S + p 9 R H h s E 3 4 C 2 7 K K m d G S F i z O l a 2 7 F z F 4 b O P A f 6 F S t Q 8 / o r s a P J + P g f 5 V g w B S g + X 2 L o f s 8 O V B o X I h J 0 k g W U n P w c H N t B W i t 5 O f p R Q d T o y E / 7 Z k X Y i Z H Q g O i z Q N i B Q E J A x 2 U n 2 j X r U J 5 v O l Q + I O W g G / g Q W k U b 0 V w 1 / K X n C P 8 u q m b a k 8 Y r j U P Y v h e y X a m C k c w i s Y M G v 4 j J x t / n 8 Q q R v 8 G L u f g 9 V y r l V b 4 8 v a L W J l 5 H + l 5 + q a i D t e S s J h 5 L f c F a D G V d H S L D I + P H t O y 0 J p w j X i q t 9 I p 9 t h o 4 E K A S / p x K P k 5 / O X d P P s f U U A f T y S d D S 7 Z d o Z F M P G q z / F 3 G V x Z z V y V 2 m J A g B x k a z C s Q U U m R p T 7 v V v R 6 t p J f S c K D H q l w 6 W I x 6 S s x E 9 D j 3 o V O 1 z r x 3 l t + q c R M 5 O M a u 5 8 n k 3 A l T P 0 v k G n S I 7 6 P u v e K v 5 m Y i T G 6 f g N b 7 D B d T t f J A i 6 n N 5 Q Q r G N m Y i g 0 6 X l + M j O t O n J s V o b C L y 3 T P x o w j X J 6 n N Z U g f A A c H D 1 x 9 j 1 x r u k e S X / i q P M f l + I x l l B P u C Q O C a D N 8 k L h p K F W t 5 Q W + G v u R L O 6 h / A V / N 5 R H X k i 8 s a n I V z 2 J / I U J I k 5 s a k L t l 4 / v n n 6 V 8 m n u z S m v H u u 1 I N O M a D D 9 y H t t a D 9 I 6 N L 0 m 6 3 n v f P / G H P / 4 e h 4 + 0 i E 0 F u j q 7 c N d d d + C J J 5 7 A j h 3 b 8 d 3 v f p f M y + Q O S E R S N g N r u w Q o E v y k b G A X M N V 9 4 w n g / L I k M o P 9 t F R 4 3 T y n F R b r x r j e A W t e R o 1 p s f h b Z V h E P s w i I U A Y p 7 z 2 y v g m b I w a 0 w L U m 0 + J f Y q B n G V P 7 X V w a i 6 A u / J a O D R 1 Q o s q o w V Q B N O z B m T 0 v f p v w V D G 0 5 J r p S c i x B X F f h f 7 k I D U l L O I / V P 6 x 0 u d F s T p U x J C 7 m I e a O L + T 0 K q R Z E H e K 3 c z k / e x E h v B 1 y 2 f v Q c 3 I X y h i m Y e u o y z L z 4 V F F Q h s G C r q R C i i J 6 A j Z h s v v 8 Q b I o A u D t S 3 m h 6 O j Q o G C u 4 w M i K h Z 6 Z H 4 K k 8 8 Z 6 o N e W S i c V a P J O h 6 U u P f e e 8 U 8 E x d H 4 a w I f v 3 w B 9 / D I 4 8 + j q V L l 4 g K o 8 3 N z b j x R i m r + r / / + 7 / F x C + H 1 t e s W Y u S k m L 8 5 C f / K W r 4 8 S b S X K L 5 7 3 + 7 F 7 v 3 7 s Z 9 9 9 2 H O + 6 4 A / f c 8 w f 8 8 p d 3 i L o T B w 4 e E O X F L r k k u z Q V I G c 9 P D o K V a W 0 r k a E s u W U p U m D O z V O O H J 9 v H w w 2 a D E 0 Y A z I n L F c O w + p d j o e c i l R I n e C 7 P 9 L X i K r 6 B u k Z 5 h Z U 0 D G r x e z B y Q s h B S E Q 0 G 0 V 5 R Q / d Q o I 7 M X X k x a C p U w R b Y o l p Y t X W 5 + y i f s s u c r s T r j I 4 C n D H C C z L l w B a X h + 4 h i c C l 2 4 i T x L F E t B 4 c x L S Z N S j Q 1 h P Z h M H 7 N n O F Z J / T j o I 8 d q + c L E S v W N R V 4 + F E j j 7 J 2 L N n D 5 Y s X i x q 6 X H t v C u u u B z f / v Z 3 x K 7 v b r d H V P n k 7 7 h 8 F 4 P / H j h w E A c P H h K 5 Z k z s v F M H 5 / w x P t 1 E z r Z a J d I / O N W d z + c J 3 5 N O W g S v x 4 U 3 3 n h z P P s i G S m a M R b 5 C p I 2 4 w q 0 k 2 U m K Z d W v q a S 7 G 9 O j w q J a 3 G h G N a p / 7 8 g F z M x m J k Y Z e Y I m d Y 6 u I s / N 8 5 M e j I b g 8 R M f E Y w p g 0 7 n M k T m n 0 v v y K + V 0 y b S m 4 y 9 Y N f l t r E N P 5 u q C K D i H p 3 I q x p h k F d T D 6 f R z C T O 5 Q l x B 9 j J q n y k n y t R F D f x i o l H Q 0 4 / S o x S s y l y 6 q M 8 4 R f n A k 8 k h z l 5 W C M K 9 o O j 7 I H a k 0 E 5 q J i M W 3 A F t n x x L i Y E U 4 6 w e W S m G N w Y E C k F L 3 4 0 k v i s z y h a 7 E W i I p E n O 3 A m u u y y y 4 l X 8 u I P / z h D 2 h s r E d / f z 8 2 b u S 9 p R S i E C Z v R S P n 9 v 3 1 b 3 8 V e X 2 8 1 c 0 D D z w g 6 l f z D v A t L a 3 Y t W e v S F M S + n k c 8 v s E q i K i l 5 i I j q a q b P p t F r d G g C N q / D s l R 0 Y S r q n i o i a x j 2 q 6 Q L b B y Q d h d 1 v s 3 f 8 N + P n l n E I f m Y 3 8 v P w 0 J p v k k z V Y l s U E i o T 2 B x 4 S 3 5 f e 8 3 u o N E o o t U r 4 b A F y C Y J E r L U I K 8 s x J L b f V p A F Y y K f z 0 j d H I F J n T v D g Y v + S O R F N 4 t t Q i f A 6 7 Y S x / M Y w S X B 7 P 7 W 8 e h u K k r L 0 y e Q x w K d c I T a o W N / P h f B H A X S o n y J J p 8 E / j r 1 p p m O p a O z o 0 N s r P b T n / 5 U f I 5 y 2 o 2 K U 5 O Y g c l w I M Y g 1 z 5 t T o n 9 I e l Y + n 1 5 P y o B Y q b o M J k X p L Z 5 s p R r q 3 O g g F V 6 4 g L J c d C 9 O C w R n W A y k a O M a h I u + W i 9 T C Z f x N M O p T F z k Z T / C 7 y 3 c B H K y V d d S D 6 a o e 8 1 e K s u T x q 9 t 8 q q 0 E T 9 N z t l 0 n e 0 x Y m X h l / E f y x J L u U m z + 1 N C v I K a 1 E k l A f / W O e v G F H B T I l Q k 5 U R y s B Y X k 8 A B m P m i O K x h t Z T k W Y I h 6 h z 4 y D f h I g 7 3 e F P J H Q y D Q S R J / 5 O g r W g A P / 5 n / 8 p f W A u I s n G v 5 R + T Y Y D E 3 f M P J H B B C 0 R P Q + 7 h P j 9 S X u Q R e p x e Y U d L E A + F 4 t l D q S I O J 5 g J t Z U r I 4 S A g Z E B B M x E 4 O J h a O c R w t F j n m R f O H y H / 3 9 U 3 H e j q 2 C m R j M T A x r 4 C 3 x l / M K e b w T w y p 2 n w r v 7 n s A L c p X M O Q e o T 5 L b s v k m c k l M R N D l D A 4 d m b y h c f S m I n B z G Q K J e c n M m R m Y s G b i m z Z F o m I h D K 5 I Z m h G O v f G 4 X Y S U 5 C u o a a G J m W S 8 h m h W z u M m 3 z W K Q 7 2 f y Q X O i f n E U x W P J 1 + A K k x Y g v 2 K / i p c h B + s t r / n k P J P 4 2 M j h E p 0 T F W i P O j B a R l g n A D J u a j p Q K j t B J x g q f k y Z z x p F J Q 0 V D n G F r o j c k P F K i p c c L r C U C E f d 4 m J h b m u t 5 M k H f 9 w Y C R U u y J q e 6 + r 1 4 9 q 3 n 0 d z c R K Z 8 I 9 r b j + D s M 8 8 m H 2 w N 6 i 0 r 6 G 5 5 3 s 9 D J r C R p 6 2 P H d 7 w K D w h s k r y A N f n 8 6 m 0 s T G U w D u T p A o I G e w X F u m a 0 p 4 r E g u A 8 L R R P k g y + d w u t 9 A q L P H z R g Z C 5 j D / z l 4 t F t X F O J s e x N 2 r g q G K q y h J h 5 L A k 8 b B E Q Q U x T A a 9 G J z 7 M e e e B 4 3 3 3 I L e r q 7 h W / G W Q m 9 T m n u Y s R R g h n F d t J G J m L S T E m W z K T p z M X Z I B y h S k S p b j r U s b m i y Y K z J N i f k B H 2 + U U O 3 P 8 W + N 4 8 J 8 M B g m w + T X D w b Z T 2 3 w z X t P c R N m Q u p a W 1 b 4 M 6 P A B P 8 Y V i 7 N 9 6 a 6 X Y h 6 l 5 S j M K S q v J d y I C 1 e T 2 T x n s j 3 z w 4 S d i W 5 p r r m Z t K J P W J O g p B / L R J u m Q h A 0 n F a R O B 2 W D V c P P n E g T + Q k s r p W Y x F B 9 / Q O o E q H o S W C C s l E M e w 9 n F E R R 0 k g M E B u V g 4 e O Y P a s m d Q K J e 6 + + w 9 i 3 9 0 v f v F a t L Z 1 w 1 D k R o 2 l D l G 1 B a 3 D R B Q h B X T q C A p U / b A a D c S / Z r g 4 k 0 E 7 3 v Q k + M I 2 k t 6 5 V 5 v y n M W A b 5 d 4 z w E Z k 7 o C R d r m Z A k V 8 S B I 7 e V S x n x 8 t L 8 L x Z U J + V 0 Z + j g a 9 l L 7 j i J F 6 z P C q o c X o q m k F w p d L e o u 3 B Y 7 m g U R s h I C w 6 S 1 q s T a q Q C S d y v k G F B q O i d v 0 P b 4 4 0 9 j 8 Z I l 5 O R r M G / + H J i N E j G G 7 Z 9 C W X B y c p 8 e I z g C y x G 7 X P A E x 2 C M Z c F b g 2 4 4 N C Z 4 3 e R H m T L 7 U Z m h I P 8 q Q 2 F O I U C J 7 t g N C X I k m z 6 z W 8 Q t 0 9 e l B y U m B d 5 9 g Q v G T w B X 1 y B s / g j q p 1 X j t T f e I r d n F D f f 9 C X B T H / 6 4 5 / I j P P h F z / 7 K f b 0 K 2 E 2 r E K l c T 4 x k B k 6 d M M P q Y S v J t y K o D L L j u Q E Z 7 A X F p I s b A p p M 1 T y S U S n e x 0 9 f k T s P O g J E c c S 6 o x L R Z q Q b t y M Y t t b T 2 a d H 6 N 9 n T A X l U K j 4 2 X 0 7 A f G q C o D n U Q C N i h j S 8 f l t K P / S 7 z + + 3 J M r w e K Z n w T F S f c F T u a H e F g G A b v G g S s Z y D o C U N j l D S 9 k / w 6 i y 5 / U j F o H P A G j 2 6 u a S J w l I 5 N 9 1 R w e J z H J h Q J I B g m O i A L h n f n 1 J H j H S D / y j b q Q m F J / i H 7 Y m 2 e B V 7 8 v c Q H U r m 1 c Y b a u + 8 g 5 s z O X X k 0 F R N t E c m J t i + / + j p G h o d x 6 P B h s Z r 3 v P P O E / N O A Z + b l J t N K i S Y A 3 r l A H w R 0 p p 5 j u W A b z e p 7 B o Y V M V k C g 1 j 2 H + A J M 0 0 m E k D y R g N H K H O k q I 7 n v C w 0 E B a p b T V 5 N 5 1 K 4 X z u v D M y x D 0 D m d Y E p + C h P 4 O O / Z A Z Z V y + P 5 / w S f F 5 Z h K P F G x d i 0 0 M 6 Q s 9 k D Y S c S W T l i q Q C v C p K U Z i p A L w 2 1 k V U y b / J x R l P P 0 O K o 6 2 V o T k 0 B m 8 y 8 K f 9 B P Q t U u G I t 3 Q 9 G I P L s 4 o u S H K / L M 4 O f 9 q J g u J k R C h V 0 h a i O k y y f L T G z q 5 W I m B h M o Z 0 c 4 n E 5 8 9 U t f x 1 e u + A 9 U N 0 y D z 3 Z Y E G 0 i M 6 1 q S X 5 w n p l n e B y x R W 4 J h D s w N E T + Q 5 z D O t x r Y u + I c P T z 6 L 5 c / z x I Z l w p 6 k 3 L k 5 i J I T M T Y 8 j H R W X i F 5 + 9 / H z M O / U i 4 b M x M 0 U 5 r S Z P G A v S s 7 3 T Q H 2 y c / c + M e P / W Y N N N D Z Q O C F e 3 R w P D M j M 1 O P e L P 6 G H N t E 1 a S X V + 6 j 5 k n a V + X p h U F b k a 8 c i 8 O 1 l w w P z q N M Z i Y O Z h x P 8 L Z B 6 S D X Q K M n T V o B s 6 4 s j Z k Y z E z t + / u g z L B K Q A Z b O B x O z 4 u Z G I K Z p J 4 S v T f p m n t i L c z E z n c w G C D n 9 A p 8 7 7 Z v o m l a M T S K Q m h U Z G 3 S Q K W i x h o P 3 k Y 8 J C k 1 k v 2 q N M 8 g 0 4 9 U K k F k q x M q y n i r E 4 X I 1 O b H a D C d C t 5 w m b 8 f G S X / S V k Q i + R x F 6 c / W + p 8 s G y W Z Z o 1 1 y k m q J a T 8 J O A J z 0 C 1 e f e T a c o 0 N 0 z g J X v f g i / L 4 A F 8 2 Y T k S c G q 4 8 P u C k z N s a L v / C w 8 j E m n U x p R / p A P T 7 4 6 B M M u G v Q 2 9 O B C y 5 e M R 5 k C V m n E z N 2 Y c Q h E V 4 w F M H r b 7 6 D 3 X s O o H 8 g e 7 4 l k n Z B j K P B c m r s 3 d G h z 7 t d m P M y e F y 5 y P / R o H E W 7 3 C i Q n f 7 K L k / 6 e M g b 0 I + G U R 4 F 0 i C c t K p F 5 y r N c m 5 B G W g h Y h d A 3 W V S y y J y I Q B V 2 J U L p k J / K h G 1 H M k K U r D 2 3 h y p r a s W z i U z t + X F K c H I 4 K k b X i n d L 4 z 1 7 f g u h Z c g U l m 0 F x O c 4 S L s + e J I P m C D G b 2 Q 4 d a o F J p 0 H W A 7 z e G 2 p o K X H D + 2 d D p J j c l M R l 8 8 s k z G A j Y 8 d x B K b u F w U + Y K o t f f P k 1 v P r v N 1 F m 9 O G c s 8 5 A T V U F G q a W i H V S M v g Z W u y D 2 L t z E 1 k J P d i + Y y c u u u g i T J k + C 5 U J u 1 K k I q z I 5 L 9 G Y d l / b E s + q g w n p P n G n C 5 n U u d h F W R B b W M x C R o 1 e j p G Y A j R 2 M V 4 Y S y Q U j c w D y g N 9 Q i 7 O 6 B 0 h n r I H j 2 M / U d 2 k r 9 x C O s 3 r 4 + d k g F k e 0 + Y + J i A a G x p g d N W J 0 w o L / l N W 9 v p b z C d g J f U S S l P K m p D Y q Y B a x 5 G N H G S l q C J b e P J 0 b 5 c Y K b R q N U i d Y r P 5 P m s 0 p I i 7 B z 2 o 9 u 7 k U z C 7 F n Y j K B 7 U G i u E J m u 8 s t O T m h q M R U 2 l T b u 8 e D R x 5 + G 1 x / A j B l T y a w N Y v G i k 1 F c F A 9 0 H G / 4 E + r T K b s f x L q y y 3 B x Q V z C M k O l K G R 8 7 r w p u O L i 5 Y j o G m J H A J N G t h o U 2 L h p A 5 x u H 2 r r K n H a 8 m U w W m t w V s M h q J V R G L N E V n P h w 3 s r o Q z 2 w v X h B A V Z j g I 8 F 5 c o C I 4 G N Q 0 l 8 L J 5 S E J E F Q 1 D S 2 Y + B z Y m A 6 Z b l a k B S l u g H S 7 e M a 7 K K R i 0 e m Z q 9 8 f A B J 3 B k U 0 E m 2 A y I v 4 R K E x z 4 O k 0 w l S h F R s J 2 0 I F W N T I + + y k D w r v S M g I p a h g 1 j w M J W + N E k g 3 N V J D 5 7 x l D G N w S I r e p c 4 9 y G c v q b U K / y p V O 3 G W g t 1 H Z m n s R E 5 l S t X i 9 l C b M B M 5 A N L p 2 o g 2 x x q M j t m w b F E z b r n p i 9 B r N e O / k f M C g z 4 X H Z P 6 l r P 7 u c + P F X 2 e b Z D r d R c U d e K y 7 z w O / b 4 v U z / F T E 9 q A 7 v f i R o q a l 9 H w z i X J H M 2 w R j F 0 i X L Y K b x K i k q G t + b 1 1 V 2 n U Q D E 0 C l J + Y h 4 k p E I B T F V j q k P u H d 2 J H j C / a V d T y Z f g z g 4 e J Y Q p j 8 7 4 B S A 3 u w E 0 F P c t H W X A h C 6 s 8 k a l O R l C 3 J 6 O w R R B 5 W b s g 7 1 n G s X q k r h r v D A G N 9 X J L z D u J b u z J H W E p L i z H c v Q 0 K s 7 R D u j / D 2 A X 8 y V V 4 W k c S z U Q m B U 7 t K x L E X F 6 W 2 Q 7 O p c 8 4 + 5 h N 0 g J 9 f B J T o S 2 n x 0 k U M j w T E h E L B P 1 D x R h p 1 a B A W 4 O i A i v 1 X z z t h b M Z h v 0 H R U S R / 9 o V Z A k E D o v 3 r F U 4 f S Y V m V b / Z o I c M u b s b 5 V g G d 6 J f w / W r 9 s O h 4 u O l 0 v l w r j d r H e 4 9 V G e X + I l 7 Q U p 6 6 w y Y N f O n U L j M k L j 2 e c E z m Q J u e A g 6 + j J b U / D l 5 S 0 F E c w E g 9 I 8 B J 8 l h 0 e U q T 6 4 h N i R 4 8 / O O n 6 W M D j n S h 8 O V v G T k 4 o j x f c + 2 J H s 0 O p K 0 P U t S + Z o Q 5 s H 4 Z F m 2 X 7 k p i k z Q a 2 u R m 9 f Q M k r R 3 k g H 8 E U 0 N y X p X D p 4 x n T 6 T A o L a h u D r e 4 a m 7 L f K + r l F d P S K e + K R e c 0 l y m 2 R m k d s y W X Q 5 M 0 S F S F p x o R M Z H o y h a 5 c W p d q F W L V 6 D e b P X g g z m 0 t R B Z m 1 k l a S G E l q Z 2 p m R i 5 4 3 c l m Z D b I S 2 1 E G k 6 M 2 b V 7 b i b t 9 F W Y v k / f x y o D B U Z H h X a K k M Z U a E u h z F A f Q s b u v f t F 5 W A O n N h d N G 5 i l x Q i 1 E B c O z + 8 + Q k 8 s v V B t P Y / j l F P H 1 7 a H v f V G J o Q P T M J E p U h v v 3 n m 0 t O Q c l O 0 i I / i h 3 4 D M D z U q G o 5 L 8 e C 6 L 0 z G Z / P 4 r V d S j V z R h / w S Q J e Q b 7 8 v A e I p p I H y t W B s o G 8 i H 4 V U E E U j O P 1 w N l Z p w I 5 6 h l w J t v v 4 v 3 P / w E L 7 3 y O r z O X l R X l a O o s A B d 3 V J V T z b l O B f v 4 z 1 O W G N r d 2 R w s I C 3 r G c G f P v D v V I o n b Q L L w t J B F e z D f i 8 5 N D r y G 6 Y O J T J y z Q 4 a D E Z d P f 0 o r E o X e I q D I 3 Q G o 3 Y u n s v 3 n 7 / I + i i R V h 6 4 k I o w y F c f / W V 1 L E h a B R G M j F H y M f w S x I t A Z m i j D I 8 4 e S 6 f S Z r b p M 6 F d X G E 4 l J N O Q M u 2 E j D U B u j 2 B f W a A U V L A J o 0 D T y y + K z 6 n 4 Z P U 6 r F 2 / C X f + 6 n + g V W t R R L 7 e O W e c h m U n n 8 R G h o A i F L c o b l 1 8 E 4 o t 0 7 C w 8 S b c P u c U 3 L D g S t H X M o L q K f S D Z E n Y 8 P M h X P g 7 a s t v v h g 7 c n w Q i L h E y h X P R 2 W a 5 M 0 f b H H w A l W m e 7 J M R M g / e w R b Y Z x K 0 n / 6 + L Q A z 7 m p Q p 3 8 R n w e n 9 h t a + + A o r Q T j W Y p v M k 3 I B d N v G d E P Q f o Y s m 7 R b C K Z A b g 1 5 N P P Y W z z z k P H 3 3 0 M a 6 7 5 E u I G u 0 0 S H G J K C f F O p x u b N i w D m q N H m e u W A B 1 Z A h h k g j Z H o J r o Y + N j K A s V l i S C / H X F d v h 8 W U n P q 5 U x L 5 Q a e J u f D k g p 9 T w c y R q t + 7 e P j i p v Y 2 1 R i L c E s H Q X F b a Z r O j g k z U E J 3 P i y X 5 v N p q K U 1 n 2 E f m g T L Z F M 0 K 6 p M S / b S c T J e I M f J 3 e Q u c U s M M + k U 8 W s g M 1 V P X x J c T h b V 4 K U b E d Q B K c + 7 d P e x k H x a S q S r 7 d p n g a t f C 3 J i d Y P W D H 8 B R w r X E y V 9 L e e x o J I Q P 7 q v G 1 B q g 6 c o + o r Y 8 + 2 U C M D N N Z u f 3 T J A Y K B l i Y w F q M + 9 6 I j T T J B E N + y W G Y q L l 0 s o y e t x b x u u 7 8 c p c F w 2 Y w t u K 8 o Y l 4 l g i P v p k j d i d / e w z T y f i 0 p E T G 4 T W p M b H L Q b M L A + i u j C M D Y d D 0 L s P i G j b j E Y t l A Z e R h 0 m i T 5 x + J 0 D H V w P b 5 z O 4 x Z I V v A p + e i n 1 l E 1 m s i v 4 6 3 / U + H y R 9 H n 1 G A G W X O h A K 9 S p f M S c v R Y m 3 K N A / m v D I 2 y F 3 2 + 5 G 1 T k 5 C j / U Z N K Y y q 3 M u y u 1 z r x S X q z c u l A w T b x k 0 Y v e h S o Z 3 Y E F k w 0 o v 3 P l i F 8 8 4 9 W 3 x / L L A f C Z M Z M w i L J j m v L x E m z Q j c w f R 2 r 6 1 v g u P 7 b t R T H 8 7 9 Q p Y V v k c B d 6 A L v m j + 0 x k y M j F R I v S u D v j M U u Q z 4 j O g v G A y 8 1 w k j F 1 b o L C N D C Z l t D t d L p h 5 J 7 b E g w S d o p d 8 I E l K p 8 K g H o E 3 V A L e u s Z r 8 8 F U a s C H h / U 4 e 5 o P P t 5 a U i N d K + I f E s 5 b h 3 M d G i w T O 8 d Z Q R S l V / W T Y 5 8 7 U y M X + P l 2 7 t m H O b N n 4 5 V X X s U 1 V 1 0 R + y Y Z s v Z S B Q 8 j r J l G z E X S m j Q T Q 0 1 9 I W / C J U M d 2 I P + B O 2 R i 4 E y g S s f u W L S l y 2 E E r 2 U 1 c G a i T d p S 4 U r M I T D p 3 4 L d V 1 9 2 H D J J S j / / O d R S C b 3 a a c u F 8 x + r B j r 8 K G w Q Y 9 O 5 1 q x b E N G 6 k Y C F u + b c B o u E e 8 H n U q x J + + m i j K I I l 7 U T 7 V 9 k 6 t y F C T / M B y y k V / m R l i p B n t I J j K v x k h 7 y F C S Z u X K W r n B J l 0 U o 3 0 h t L f 2 Y t b s m S L 5 O g n 0 L O U k F A d T F L V r W I P G m u z 5 o z I 0 W j 1 Z X a t J s a T s A p 8 L O k U / / N F K Y Y I l a j O h 5 s h c 4 6 q w z t 4 A r H U 6 9 D t V q L R I g y k T n C Z 0 i G x s K Z e M w T T p j t W + m z T o J 1 G O O l K H Z s v s T m y D j K 7 e f m z e v E W a l 6 J n u P j C 8 0 g I Z C c 6 3 t a H s z 3 G 4 d y I k P Y E 2 O w O l J X H J x T Z V B w Y H E J F e T n 5 W K 3 o p T 7 6 r M F r x 3 Z u 7 o T b 5 U F V Z Q 2 0 Z 5 0 H w 8 9 / i u Y f f j 9 P A z I / + O 1 B 6 A o S B E Q O 6 I Y + g L / s n N g n 4 E P O I 6 S / t X t 3 Q V W V X f h F O a E 4 0 E L D S s L a L B X Q F E w w Q V Y 5 g + e N O N T t 9 b t h 0 M m h c / 4 1 0 U a g C F 6 y n j R q H U Z H n a h v K i U h P C S + Z Q I 0 h M i S C D j g N c W D K K n I b v o p y D p b j Z L i Y p S W l q K 6 w i r 5 X 3 k x F A c q M t i / U b I 5 D w 5 q y C T T o M z n R k G D A Y c G F Z h e L l 1 y R 6 s b C 5 u l h 1 R H e h C K V V P l C j 1 F x o g w 5 Y 4 K s R Y r f A c Q z b A L o I N X v N I 5 P A n J q U 5 s l n b 3 d I s 9 r G b P n I 5 + 7 z 5 Y y Y Q x q t O z K p w + B S w i b K 6 g D l K m M d x Q z w 6 U 1 W S Y 9 a d b h l 0 H o T L P w B C 1 a z J L F k L B C P p 6 7 K h r z G O D s w Q M t I d Q P 7 U Q / p R d M l i r J f q / U t Y 7 C 5 7 8 2 + T 2 + M l S 0 Z O W 4 H V E 9 L s c P 4 2 Q 5 h j w H k C V a T 5 M g 6 / A X f 4 5 d D 7 4 M A 7 9 5 K e i I u 6 U h O X 1 n D 7 U 7 n N g u l E y I a P O b V B Y 4 k V L E 5 H v + i d j y A s P + e t K b 5 e I g C q V B V i 7 o Q v L T j 8 B G 9 f u w M V n z C T y 5 f 3 O h s m U d y N k y D + 1 i P 1 b T q 7 O B q Y T F q i M U Z s j P 4 a K u P a S g 5 t S i J 4 u 1 N l 5 B C Z L I 7 R u 8 i P I F z E Y d a I B X N q q Y 0 S B W Z W R 8 Y y G q H s f F L H w Y 5 9 D J Q I H T c U T T x R m R E K L N d E u B B X J N a i 7 x l S o I 9 8 t G 3 h J h p 7 8 v V z g + h T y L h S p i P p a o D A k r 5 U J u T u g N r H N L V F e 9 + B h 6 K 2 Z n X 1 / x A m d M h 5 U 4 f H w e Y P U f / l p g n z A c 1 S J a T k d r j X 0 r 0 I U 3 M w G l 9 u L 1 W v W Y u G C B W K / 2 I q y Q m I W 8 h 4 9 A 1 A Z O c s h O 1 f Z / J 0 o 0 t V D P / g + H C X n 4 S P S 1 p X 0 Y E Y y p a Y P S f m Q o Y g P C + 6 + C D 2 n T I W e h H D f s j + Q r z I I l S l z D Q 5 p m X t u 8 p S m J a J Q h a 1 Q 6 c L Y v r E D / X 3 9 O P e y h W I u 8 H j A r K w l t y V 9 4 p h n L N 5 7 / w M U k Z Z i 8 7 q 2 u n x i h j L q n P D 4 L c Q / S u J 8 4 K V X 3 s D Q 0 B B q q i t x 2 i m n k Y R R w l o r B R f 4 o q N e D Y p J + 6 T m 2 / a P e F B R b G Q + F A g Q Q 2 n V u T s r K x J + F h 7 b B F V h c r C E N S C X 1 c o G 2 S / K B O k 5 i Y g y m Y I y P b G Z 4 R + B K r Z 8 X L z X p T v l h 4 6 0 o r g 2 3 f y T l v v H m Y f T o 4 R G l D s n A 9 h M Y a 3 H y 8 B 5 a U o + 4 P N L 9 J K Z z Z P J O l X 6 U p m + / i G 8 8 M K L J G D I C S c z 9 q r P X U Z a O d 5 3 f m J 0 z 4 g f R b X k u 3 A 0 k N q o U 4 7 Q 9 U r E R / Y p N Q n C y T D y K r w l V + J t M v f Y + 6 h 9 9 i l Y L j g f b 7 / z L k 4 9 7 X R s e q Q O d 5 v n 4 4 m G C M p X v A p l l g 3 i G N k 0 l M x E q Q h 6 1 d S W 4 8 N E q S h Q T R G u Q i J 4 T J 5 4 4 l l c f d W V M J k k 1 y M 7 Q 1 H H h Z x t a O 0 j J r G N i Z J f v D f u + o 0 b c N E F 5 0 E R H E Z f r x f l 9 d U 4 M K D H 7 M r P 3 m 9 g c I 1 y i 4 4 6 N K H V E V 8 / l P q j D 1 D I 4 A I v v e 4 d Z D d P R 7 d n k 8 h i H 2 e i N J A N r h 6 G J 8 D r q I i g s j j H w z w R r c w + y A F / C N r Y L H Y w w N W b k k 1 r X g B 5 N N n P M p h x U 5 c 6 P P z I E 5 g z d w 7 a 2 t p x 3 b X X g P d b l h O F U 9 H f N Y z 2 Q 9 1 Y e n a 6 m c v h d r X / M A I e 0 j L F 0 n S L p n 8 V O n S n Y t u U S r D e m T E 0 Q A K 4 j w R w L b r 2 v o T d K 7 + O K W T 5 T 7 9 m Q N B Y L g z 5 D l L 7 4 / 0 x U Z T u s 0 Y + o f S M D P X r 3 / 4 B C x c u Q E G B B S t O W Z Z E v I y w f S + 8 g S a Y y 6 T J r T Y O P 0 / S f O M E 2 U w 5 f X k j 4 a f q 0 E G E 1 N L D E k 2 m z Y f k A 1 4 M 2 e p Y R d e V C l 3 y 4 r R K w 0 I x D 2 W x Z M 8 T C 7 k 6 q B f t Z O 7 N j x 1 J B k f m O E L n c v p g t u h J w w y T h o k z C J t 7 i X Q 1 0 O t A R b W k S X L V i s g E l t z 8 U i b s 7 s c o 1 S c T g p L M W e Z / 3 s 9 3 I j j H 3 P h 0 9 R 6 c f V n 6 l A n D G 7 J R O 0 e I 2 J o Q 8 b b Q O D R j Z K Q L m + c s Q Q M 9 2 J z + f e T N q a A k x v u o 4 R J 4 b o h i / n N A 3 c D E Y X R m q M S + i U T J o c i x e c P x x q G + a Z h e d T j 2 S c J E T J V R r P 7 8 p 7 f j 4 t N r s G L 5 M h w Z S j B N A j a 4 2 t T o i 8 w f Z y Z G I z H T 4 a G U X K E E h H l F Y w p y M Z P k Z O f f c c x M 4 T E u r k k S M o s p l w u B Q A g h k Q Q b r x r r D z v F + 1 z M x F C b G w Q z 8 U Q q J w Q z Z F O F 8 / W Y m R j M T I z U p 0 o V 0 j I z M f I p 2 R W M x t O 7 2 H 9 l A k 8 E T x w z k 7 G p K I O L y + T D T A x L o Q l u d + Z 5 N T Z R + X 4 B m w n 9 g 3 a 0 D e h g G 7 O h q q o J V + 9 / F s W t + + E k f 7 H T t x t R 8 8 n E E F H M f Z L G a H F 8 D i 0 V 7 m C c 0 c p S B c F R M B M H D G x e H 0 Y 9 P i G 8 J o N U Z m J 0 D O + O v c u M j O R n U A + R 8 y Q F I a a W S q a c f 9 S J g N s M c 1 M I r k D y z 5 g m e u w p 9 q X n i F i c p 4 l 0 E T H l J s p U 2 L x M V L n N g V S E Y 7 X T U g k 0 K / g 8 e r m p o 9 n k 4 i w E r T I u J P h L / k + O 4 K S C M z 9 k V 4 N P 4 a w E h b a Q b L R 9 Y r U n I 1 N G e a 6 s B B n y L S f y l Z h J R P m 0 B C Q G I u Q s D H 7 l 6 3 d l Q m L G C 4 M L 7 3 P a 0 q E j b X j 5 6 T U o L 7 G g v D C E K U 3 1 0 B d K E 6 6 B i r N h C e 2 D z d c F b X Q F x v Y f E g Y b U 1 P l G / 8 W 5 2 S C S Z O s k X N F 2 P K B z e s f 7 0 9 m r G O F y a L F i C 0 u n F I h O M P m U Y i d H G R 4 f P E O j H g O w t 2 h h 6 7 Y A n 2 R p K 1 m V i T 7 S 5 2 O d v J r Q u g e k 2 y t i L t F 5 D z 5 o 1 U I K u s Q c A 1 i Y H B Y U L v b 7 c N Q 0 m L C Z H T a 1 K i 0 T E x 0 q d C W n o b Q 2 N b Y p y y I M Z F 4 E c b s b n I m J c 0 h i s k n r A i t U J 8 k l u 6 n B g o 6 Y 8 / I k W Q O b H C x y P F T 6 I 3 O W E C a y Z G W 0 y c j n + y Q f I Q C a 0 9 e C 5 R r m X b W + u O T A B N j g T l 5 v Z F e p 0 F 3 V x e m V Q V x 6 0 1 X Q a 0 1 w y k y 7 R X U j / E 5 n c L i Z W g 2 L 0 a l N Y p 1 p 5 4 2 z l C T A Q u D 4 1 3 d 9 V g R N W Z f s S w Y q s g o L R w b 8 y r I P O s f r 3 W n C P r g G q 6 H q S H O 2 Z w B I a P d 3 i J e n F B b Y j 2 I 2 l i o e i x m X n C u G C d f b j v o x X P P v 0 C d o x A E X G b O b m 7 U Z 0 h Q z Y g M R B c N S o U v x 8 H n J L 4 S M D L i Q G F B X H P y w D W Y T x W v c t 1 C s R D R a o m H t m X U p 4 T j e R N q G X w N z k J 2 h R K W z a f c V 6 d M j 7 R l Q k 9 H 7 g 2 j J f 2 Z L p g S F z 6 G Q p N P z 0 k F M / f M q e l a 4 s a r T x C J s U w r z N w F 2 v h i x X E o V G R s h q H t X 0 3 a P A K e 3 N C d u g J 9 j o y G U V b w c 3 K g 6 P 8 n Z B O Y S U E J T a i D 6 D E E l Z Z s 4 s M G F D Y X Y H O X F o s b k p M j O x 1 t x E R x L c I T u z o 0 o c w S R s i + E x 9 v G R F Z 5 t d f f z 3 8 X p f I d e M 0 l Q 8 / + k Q s / L v x h i + S 3 5 K 8 t O O o k M A 7 M h Q 8 4 5 6 p n l o C o h E i R m W G H x N S E 2 R l y L t W c L H 9 I + Q v T i 1 L Z 3 x + x q h 7 B 4 Z V K W u + M t / q u I P 3 P u K N 7 d h n Y u Z m p A Y k G D z G i j z 8 M x n 2 t g A K m u L P F O W a I g q N e F 4 G C 9 T E a F w m K H w j 0 I 2 s g q / m c 7 E j k w e v L J d C 5 v n D 6 Q u Q k J F + o 1 O r Y E p I E 8 s H P F n B 9 K J U x u / r 9 J q h V o W h 1 3 j I z 0 t O L M g Y 5 X O 1 a 2 B u T F b O / p A C f e 7 M 8 w I l u i p 0 D 4 5 h V j 3 P f i s w 5 m 9 H k W E K N q z f i I O H D 6 G s r E L M 7 Z x 5 + m k i 5 S f b H F A q s h H 3 O O S W J 5 z C w Y G o p g m q D D m H D I 5 w Z d o X l 5 H t f t 2 u r e N L B J h Q 6 y 1 S x E u c S 4 T U 3 t 6 B 9 9 5 / H z d + 4 U p E t J F 0 U + s o G S r X 8 w t f j L 7 7 d J s e 0 x q G U F w i a T 6 e I N Y b k o m G m S q + I 7 4 E R 7 A b V k 3 2 l J t E 2 F t D K G i W G D D q 2 E 4 m z 3 Q o 1 X H t z o E J Q 4 a s k 0 x Q O V o Q t k 7 B s J t X A 0 g d 0 z 6 q F o G t i c C C Y C S 2 z u x / A y O u Y p S Y s / t L M h I j f + M M x c E D 9 n e c r R p Y m u P M x G H o X b 1 a 4 k Y O J U s T k C Z 6 b z V E h J k o D z c 7 6 b x k o s C g k P L 9 t H q S m H Q d I l 6 F Z z s U F i l 7 X d p N P T 8 K C / k k U 1 M t 7 / O b J y K u / V C a Z 8 e I U b o X M 5 L d 7 o L Z n P 1 a w W B o f C 8 r G R 3 O j a g n P y A Q d c E T t M E / Z h A 5 f r t 2 7 R Y a g S e A z z n n T K i D h 4 W w 6 M u 2 6 j a / R 0 6 C 3 x e G T p 9 b 8 o 8 M u V B Y q k t i l m y Q t R W X T i v T z 6 I x y 2 8 n D X s L m X R T F K K y j 0 J T R m Z e 5 v z J f G D s f g q e 2 h u E 7 5 l o L u c D 3 n i c h c j / B n w B P f T a / I I Y V l X 9 e O B G M J Q y M o J n X v x E 7 P N 0 x R U 8 U y 4 x F C 9 X z 7 b C N j f i h M y I j G 2 E s n B p 7 N P E 6 P f s R a V x j m A o 1 j R c s J 0 5 N r V u e I A Y o L 9 / B B U V p T D q u T A 8 / U e 3 j b j 3 w q 4 2 i v p z x o T o F j M Y Z 0 L w l p D M P E N D o 2 L J v M G g z a q 1 B j z 7 w G W b 1 7 3 V i e r q G s y Y M R N b t 2 z B p Z d e T K a A 9 B u 9 e h j d 7 h G o Q h 6 E 6 b 4 Z k Y F 2 + u w V q C o 4 + t o S X H L a M 6 p F c V n u K G o w 4 g V X U J X S k S Z f K O U b m x / H s 9 5 1 a N C X Y O f i 3 8 a O H j 2 M g y / B U 3 5 1 7 N P k k c 1 / y Q Q W G r 6 g F S V G E q S K K L w k F C e C x 2 + A V h M g w R + n i a r u H 8 P o 3 o C W G W t i R 5 I h a y l F Z / u B 6 M i o G 3 U V N U T A I e i L U u z / H B j 1 s O 2 m Q L E x M z E y u I B J o 2 E + S b Y C Q e w T C Z h w K I h o b I 6 E 3 e 5 x 0 A 8 1 B g O 6 e g Z Q X 1 s l a b 8 s Y F N J S V I 4 a o g v X W b w g s h d u / e J 7 U q / 8 f V b Y 0 c l S C l H K s F o / P u + v k H B o K F g G P X 1 l e D C L M W 8 l I I f I g E G z R i 6 X A l M w d u p Z J P g C T 8 N R 3 i T 7 u z 9 l g 9 C U T / U Y j l 8 7 k 5 l E 5 R L c P G G a Y k + F S 8 b 5 2 K X H I j J B H W w E y F l B Q q f + B L A 8 4 5 W L Q 4 t v Q f l 2 v w C K 9 m g C H s R P c b 6 7 7 Z g O / X h R E E X B X p b y W q y G k R U c v 6 J 0 + C P J q + S T o T H b 4 R R l 7 6 0 v X / 7 0 x j c + k 9 c S d 3 k 8 S v R N 3 9 V 7 J s 4 i r X T S N s r o R j p 3 R Z V 6 W v h 7 b L A U B e f w B t 2 K 4 X f V F M Q H 3 S m J V 4 W U W W N H + N s b G V s g R 0 T I i P V 7 o 9 6 D k O R 5 / b 2 Y V 5 v x P Z j D H y t I b s b N d X l C B G z y T g 4 q M a M 8 n S 7 2 x u y Y 8 T b g v J Q A N q i p c Q k a n z 4 8 c e i A O Y N X / g C g g E f M W P 6 7 8 a I D w p z j D F v a b L / Q B t m z 5 w y r s 3 Y z O t P S d n R e Q b g N 8 o l u V K Q z I u T Q j g c h c f l h 6 V A L 3 L t n A 4 / v F 7 e 5 o d M 9 A I y + R I W O e b y v R h q p S G p S C R v 8 8 k 7 E 8 o I D a + G w j y D L I I K O A e 3 Y 9 O e n d D q N P h F 9 3 q s v u 6 + 2 F n H B q v z J b Q q r 0 1 b V c 1 F V 0 d H 7 W J j 8 5 M X T V z L z x G S M l F Y + L I A N K g q s X 7 t F r S 3 d o k t a 7 l y 8 f m f k 6 4 z 6 i 5 C s c k m z g 2 6 T T i 0 v 1 1 U 8 D 1 h c S N p r u x R 1 f V / O 1 X s Q j u l G i i 6 T N J Q Y b 8 d M 3 Y 8 J N 4 f W f J D 8 Z e 1 l E q r L 7 1 r x Y p l 5 M y O Q W u O 2 + H 7 B t S Y m U C w n C r E V Y 2 4 0 I p V n 0 I Z s Q G U X 6 n Q w A F n u D i v l C B m T n 7 g U a c X B V z P j g j Z b D I Q E S d 3 f L b l 7 Q P u f T B E a r B 2 U x e m T G n E q 6 + 9 h Q v P P w e z Z 8 0 g h g x Q U z P / j u e / S u i a b S N q Y i z 2 F W N f y K B H L i 2 R 5 m O 6 e 4 Z Q S F J v Q G w 0 I J 0 Y D J F 5 S s w b 5 g V w Q R d 5 3 x k 0 f X Y a n x A c 1 N H p J X + H m Z s D D 5 x 9 w X 9 T S 6 X l Y i Y G B x C k 5 R w S V E p p 3 K M h l 1 i X p L S e B G V s 6 m T V o 0 u h g h e u U D F u K n e i t P 4 C c Z z B 2 p y j i k e D o e g c V L n e Q s h E k p 3 a 7 / V 5 s W X b T u z e s w + d n V 0 4 8 / T c 9 R J l 8 D Q E 5 z o a 1 S W o X v 8 z / K n r f Z z R W 4 F G o v 5 T z p q F 5 p n x i W 5 H j x M f v 7 c Z 7 U d G M N A / j C U r 5 q C 4 S i G y 4 L N h Z 9 W p 0 K 8 F q s n b K P 3 m O 3 R D a V y 3 P X Q u v j B 8 A H t K K 3 F 9 3 V n i G M 8 / C h 9 q 9 I g T x V P j c y 6 s I F g 7 c X o Q v 6 f x S 0 K X T Y W 6 o j A c n j C s R h X 0 q i G 6 W L z h i e A i F r z w a i I w E f A i s B I i 2 g h v U z g J c P i 2 p b V N V D e t r C h H Q 2 M j y k p L o I 2 O Q a G L 5 8 0 N k H Y 1 a C J J A o G f k z P f e R s a q 0 n y 0 b h u B T N X L j j t 6 6 A z L B U V a D U W D 9 y B u C l h 8 g 3 B r c / c H 8 e i p Y 4 V o S h v d 6 o V q 4 J 5 U p h N P q 7 P Y A 3 1 I x g t g k K f v p P K 2 7 e W o z G 2 k p 7 5 d u Z 1 x z 5 Z L I O D O L w H c 3 3 D F B Q X F 2 P e 3 N m i o I / J O H l z k L v 1 + u f + B y t L 2 7 B 3 2 W + h U 0 u a y O f Q Y q B v G L t 3 H Y R e Z 0 B l T S n m L q q E K m p B S B E v E p o J 7 T + 8 G 6 P P v C l m + 5 r K i m D d 9 b o 4 v o e Y z P l z w E J K v X H x F 2 G e + 3 V x n C E Y y t 1 p g K k + 9 7 x Q h 3 M 9 G i z L R Y p R h S V E Z o N 0 X B H s Q l S T v B 5 J x p i v C y U Y g V d z Q s a I j s x E R c W k i V J S a P L F P X / 6 G 5 Y s X g K X 2 4 G L L z w / T Z N F 3 Q e h M K X P x a R i X 5 c P s + v y i y b y k p Z O h 1 R v n c G R s i J 9 I / p 7 x 1 B V X Q C P b S M 8 n z F D c a C E E 3 j l + a Z M Y N M w U 9 1 6 9 q P Y W Y / 6 d k K p m Q l F Q g g 8 F R 8 X l 6 O p l g T I f 5 B j v v F 8 l D 7 1 Z O w b C a n h + I m w 8 d N t 8 J M 2 O n H R I r z 0 0 s v 4 / H X X w K g k v 4 X 6 J a q b f A V Y H m 7 e a k d L y j s x P 5 Q t E a 6 J q A w V w U Y 0 Z i 3 S Q q n 1 0 X P n T 2 c b i H H Y J u B F k q V 9 k q n X / q 3 / g v 2 V 9 y U m I w l j 6 k n 2 p w R D O b r 9 s N b q x F i z S S d v 1 Z + 6 b i c N N C h E T n S V b I M a J S 3 R C R 8 a x r U c q / c R s p G 5 1 B j d Q T p 4 D G C m Z J + h z b E a F c a 5 p P q T c 9 a 0 k T Y E l P l t S c k L H x P 9 w 0 z g p f c j 5 B B n A 0 t F e M q h J F s 9 a 3 m r 4 8 B U b F 7 o M 6 x v S k X b 4 W E 0 T Z O 0 N D M R a 3 O 1 u 4 W 0 V B M 0 1 u S g T S q 4 H u E H Z V V g 0 c C k X t 9 2 G E r e 4 f I Y c f 8 / H 8 L X v v Y V k U d p i a 0 j U p K G j 5 L 2 j G r i l t J E G P G Q J W H M T k O T i Q Z m w q b Z l 6 D e Z k c V M 0 3 M r N 5 M T M b M x A t i C m N M l g h F x 4 G D U W t p o b D L J w 2 u X W 5 K W c m b A r + r B 8 O h a p i V P l E V S U e O l E a j E w G G b K H q b N j T p 8 H c q u z R P R n s n I 7 6 j 4 h 1 Q J 3 O d a h R 1 k F t S m Y q z r Z W 8 U I g g u z E c 7 J r T p e A p J t / b B V G d Y 3 k T 2 Z v R 6 F / E M b S s 2 D 3 9 5 A p m C F M e x Q M x c 8 k j Z D 0 b z 4 b y 8 n g + b L B P g e q a g u I m X p R W C L Z / A y u j Z i 6 c E 7 G m g s u h v v T z e K O Y m 3 T C J l 7 R 0 E m m Z A a O N l 7 o A 0 1 t d U o C X c h X D B x 7 l 6 Y + l C V o y 2 h q F c U w D y e W F 9 3 B m m 8 M D g P p y w D M z G U S n c 5 i / n Y R w m c o 7 W m N X O m g Q y V d 8 + E z M T m i D N g Q V 2 x m j p Q 8 o t e e u U 1 s Q N G J m b q d E p L M B h c r y I V M j M l B A F F l D E V r C U 4 S 5 l z w B o s p 8 F S m G 5 K M D P J 2 7 L I A 8 v M l F i 4 M R V K 3 2 4 4 j T U 5 m Y n h p 2 f r d e 6 B N k y a K t P E 6 V E Q p d B 8 C T / U K c 3 Q k N 7 Y u T F 7 f b p Q R D L j O X B Q V c t 9 o E B N X d z Z 5 w K i 2 Z i J c e o 7 b 4 r 9 I z n + x 7 r W 7 4 o / N / e Z x + u f 1 L N w / c K W 1 n Z 0 d f c m M R N j z s w m F J p 1 g p n C R K z E b 1 n B d T 9 y M R P j e D M T Y 3 n X J 9 C U l 2 R l J o Z S Z X X B 1 e u D o 5 U T O 6 W n Y P 9 I N v t k j H m T R b c / k l k 6 s k l n G + O 1 R C o 8 9 s Q T c L m c e P u d 9 0 R B R a 1 G i a u u v E z W n m k o V 2 q h i X Q i 7 N x N H S 4 F O 7 j 0 W C o S l a k c s s 8 F b 7 A Q I W e 8 g D 1 L b E a m b V k y F Y 4 J U x v c j g 0 Y T I i M M b i E F 7 8 4 I B F I K M 3 r 1 U p m p y 1 8 E G F H K b V 3 4 j Z O B L V S J 4 j Q o C 7 B 6 8 9 t Q q G + C e t W 7 c C y F V K V o F S w e c f h 8 X F Q n y n 9 w 3 A 5 4 5 S q J q H C G i o r 6 H 5 z R w c x 4 8 5 f w t r 5 M r x e B d Q a N T 5 a t U 5 s G s c J z z 2 9 + R e c 5 G K g U 5 o b U U e a K B M i v m 7 q v H 0 Y w D T o + 9 8 S x z j 7 J k R 0 G Y g 1 s 5 / M c i 6 i k w s T m X p e 3 p J p A r C v l b g 2 S 8 a J O 1 + l f 7 P f f z z 1 i O E e D C D q s c B Y 6 8 W 6 D g N W N P v H S 3 2 1 j k i r c j k q p g v t x R j m C h O J w 9 f y p G h n V w 8 8 H g 9 e e P F F n H P 2 W T h l 2 X z q D M k H y 6 m i I w E Y d G 5 6 0 P R 8 s E i Y i 2 y 2 Q G H O v C I 2 X 3 D d b V E q O A U c p e M y y v V 1 W W q 6 e / Z j O I M d 6 A s 5 0 8 K t Z i 0 z K D 0 o R y l j o W i G L l A H h c E u / J 4 k 5 K Y L g g L D f T 5 U 1 R R h 3 6 5 u 7 N i 2 D 1 O m 1 q O s p A J 1 M 3 J b E O 7 Q E E y a u M C o 1 p t J C F a J s U o E M w T X B 8 k F / o 3 D 5 c J I j x 0 z F j R j 3 b o N W H z S i W k B o G z g C O y U h B 0 U M y H q J o u H T H Q / / a c X e Y F R q M f 2 I V S Y 2 w p K R I j 0 6 J i / L f b p / w Z J D C X D O e C j B z T B 2 h w 3 p / g k 5 o f w y G q o S k 4 T x 1 h i B o I R / P O f D + C K K 6 5 A d 3 c X l i 9 b S u p a + p 1 J 7 4 H b l y U V h x B y t U A d I S l g X R Y 7 k g V 0 P X X w C E L a i a N 1 m c C 7 U E Q C Q S g j P V A Y J y 5 c K C P s 6 Y F N J a 2 4 D Y S 0 0 K q T g w z s B 7 i D 0 r Y 5 v N m 1 h u e e w n S O k s y o F M I 1 R 5 u h N Z B v 5 0 s Y 8 A k Y S h 0 p w 9 D A M P W 7 G l p T k P x A a S P m n E g R W g r 7 E R Q Q g a q L M 6 + S Z b O P N V U 2 H D h 0 B O 3 t n V i x Y j k i / U a i i f y Y S A Y L W L 1 B K 0 z f Q I Q r 8 J J w S 1 r I S c 8 Z 7 E Y o J V G X + 1 b J A o v + R r O l c x E 8 4 V F 4 S H j 8 / 4 K M D M U 4 P K B C j U 8 H Q z 1 p i A R 7 N + I b h s p Q K e x y n i j l w i a Z M g 8 Y v I u 7 N 8 K Z 5 s m R w u D Q J 3 A E D C i p y V y n I B u C o 1 u g K Z a S b C e D M G k h e g g o A / s Q V s + E 2 j B x e N x k c K P D 1 o X i g A 2 O o A s h c 3 p Z X m / Q L i J 5 J k 3 p e B / V m k p E X l 8 m 8 O I 7 n 0 s F v z a 2 Q 9 6 E G o p 4 k 5 g z 0 7 y c f z g C X W m M a V O Y S B k J o r a w E T 0 D 2 1 F T e V L S g t F c Y H N 9 9 d o N a G 9 r x 6 z Z s z A 8 N I T z z 4 u X c x 4 7 E k T h 1 B x R 3 x z g c g C Z N k b j r A x 1 K a c + x R + C m X j m d C k w o f T 2 I 0 L 0 l g p O u + J V 1 v + / Q W U 5 1 X T X 3 u F D O K E q b l J x P X F 3 U I W y K j 9 s R / y I K s h 5 N a j R 3 t G D 0 o p a M c B y U C E x 8 8 B B z m L i N j R h W B E Z / g B K k 9 Q 5 n K o T i q i g t s y E 0 V o r 7 p M z q p Y C l a F a X C P s b o V C W y W Y Z C I I Z i L w Z s X u k A W 6 6 B F q e y E p k S z O O D 1 P 2 L s D / Q E v g h E N A h o d I t o C v h D q r F V w e k g a x i a q N S q 9 0 B h x g R O F w 2 u j 7 z N f m 0 t 5 h V V 2 V J h m Q R 0 u J u N m Y l s + W 2 Y H Q 6 m l + y Z 0 g d L T j 2 I y f I a j H p L a Y U Q 1 J h T o z N T P 2 S f W u e 3 8 8 n q D e P D h R 3 D 5 5 Z e J x Y B L F p + E 5 q b k R Y M B m x q 6 L C v p D w x q s m a v 8 B o m X q n M 5 Z z t g U 6 R p M s + Y Y T r b d D z K R M m 3 x m l J f G b c O F + 7 f A a h A 1 1 4 + P N p Q V c o X x 9 N 9 m 2 y g 4 e F 2 7 P 8 Y D i z t d u j 8 6 t O Q n n N p 8 Z O 0 R a i N q Q 6 P i P H H K j q G 5 U F P n P h X B E Q Q y S L H a N 5 B t F Q h 7 y O U r o b p P g n g n A m Q 0 6 x R B 8 b j u U l r l 0 J E O n k b k Q 9 k t m m p I X l t G A B A d W Q l t 5 o T i u i q W R j I M G 1 2 l f D 7 8 h 8 6 Q s Z 2 w H y Q w x E O G a 9 Q U k I U l z a a y I x n Y O q a T H 6 5 + E R V S i m y F K A v h U k 9 j T N c N j l h N B O I J 0 n V i d Q B m l v G e S f k H s U z J 4 Z a 8 v Y s d H 7 2 w n Z v J y V + H 6 6 6 9 l p z V 2 R j p 4 N 0 O d J b n P U s P f j I O k Y W b E N I y 0 + F A J b 9 g m z G N m L D m P k N d W K a z 5 b c K m 7 f 0 A g a q z x a Z 1 P I W Q C X 1 j Z N r S v c o K E i 2 E i R n q e E K Y f A M O F T z 4 B E 3 W U 0 X V V d 5 m k 0 s l S 2 e o x P I J 3 + g Y A g V q F O o y T y Z + 2 q H B 4 o Y M 4 W T H R v K R 8 l + 6 w e B A i I n a w N n s X D S T w Q M X Y S Z I W c L B i A R G o d G R K e W i A T M l B x 7 Y f + K S y r 3 k f F f H n G / e + M D j L Y G C f A d Z U 0 W J 6 b 2 e H f A k F K z U 8 8 Z l N B 7 q i B X 3 3 v c g m h u b c M b F s w W R J E L t 7 i F t T C Y l a z d z f o v 2 E h E a K y M i M M G L M f j o l Y Y E e k j M U q / U m d D v z 7 x v l 9 B W h V x X M F 2 I d b s 3 k m k q j Y n P F 4 C B + p S J N J U 5 P M R o b M 6 P j I y J J T K a q B p q P Q u m 2 A k Z w M z J W / y k g r e e L d L G K 8 T q N G 7 4 g / n N o 7 G G 4 9 W 6 h j E b o m W N 9 D u O I q d L L g 4 S + U M O o h 1 J s K R u a P C / A c F Q I b K 5 v S H e v b A K a 1 u 1 W N E c Q P / A K C o r i s m P 6 M b z O 5 / B O V W l 2 O N w 4 s a T v x v 7 a T J s X i W K D B G E H I d g L i y C x + W A 0 p h M 3 L y U g y N G j V l 2 3 m B G 4 k W L r O n y X Y T I 4 E V + c r a 1 e 3 g X R l 0 h 1 N W T 1 o q Z Z q y N W E P J x M I h d L V 5 G j 2 9 9 F k T b k N f U P K z u L o q m w A 8 7 / P a c 5 v E 3 8 q q C p i M Z s w + O Y u 9 w 2 A / h + f a y A y c L D R R A 0 l / K y w F E b g j M Q c 7 B 9 E y K j V a 9 O f Y Q r S U l z Y Y M k d G u S w z E 1 q t 8 W T S H h r x v J z T Z 9 F I k U 7 O p 9 N y e n U K m O H C A T L f S H i l Q g g 8 M j f z S U O K j K 6 G s l g K b O U C + 0 l c k 8 J m H 8 J H 7 2 7 C / v 0 H c N l l F 9 O 9 F G i a a y L B o i V a S e 4 D d 0 A K d e v V h e L 7 / 2 0 I h m J C Z + 0 k 1 U o g s 0 1 F H U e S K U w c f v / G h 2 D z j J B v Z M Q P T 7 u N O k y J 3 b 0 a z K u W t F H Y 3 Q W j U Y G A e w A h w 8 J x w k 4 E h 9 S f f P Y x X H P 1 V e R z p E d s P E F i p I Q 8 r L 3 9 G v G 5 q S R z s C M R v P k Z 7 7 y X B t I W I f K 1 l P 5 2 h G N 1 x H m 1 q V J b R J q J 2 8 C S m 0 3 C I Y w p n T i 4 f R j z F 0 2 F 3 8 E 7 N Y y g q t E g K g o 5 8 7 b V g Y K x f b A X z B p n 1 G w I E / O x b 6 S W M 9 J j j 2 6 M N k M d 2 I Q x I n b e o z g T S k K k w U J + j O i z L B G J I U p S v M y c O Y D T 7 d 4 k g i k c J O C y Y 5 w s m y 9 G W x w o n i J Z K a z V 2 H T M N 2 N D R m h s M 9 S F J 8 c + 5 c a w / x B 2 b e p F a 0 s b D M T k V 1 5 / P r z E N N U j W 7 D H v x y 2 U R u a 5 0 n t k Z l J B k c T 1 S r D c Z k H z B c K 2 2 h / V C X q L L C E U d J / y a q U K 3 5 G d N P g a t f B 3 O B F x N c B c 0 E J H A O H o S 7 i X R O S i Y d L i X H 1 o / f e / x i j N h u O H D m C / / 6 v u x A M k L S Z R K r R R A X / Z b R 3 d K K x I T 0 C l y + i z F i e 3 d j X r s T m L V t x 7 f U X w 0 t a I p u d n g 1 l C G I I G j K 1 + o T 0 D x t y r 4 x l h l K Q d L W G P S g o n o U e R x c i J F G 9 g 0 U w l I 9 B 4 W h F X d 1 p 6 B r e J / L b L P Z D c J M 5 G t H n 3 p B N R o 3 e A n 8 0 e W 6 t z 7 s D g b A T J k 3 F U V c R s r c o U D B l c n 0 j I 2 r b g C i Z Y 8 o U s 5 y R a J K n g p N c u b 9 4 T H S h G o y M j t L 5 f S i 2 a t H e P Y C T T p P m u E K k l f 0 h u 3 i f C A 7 Z G 7 L u e n 9 8 o b D b h q P + o A O f d h V j R V P q P A v b o M R i n g 4 E R u d D X 5 s 9 3 Z 3 L 5 D 7 9 z H O Y P X u W W E q / f d t 2 z J s 3 D / P m z i I W D R L Z p k e + e B 9 c e X e O V H B m B q 9 L m g h k a U y k E N L w / A s v k 3 / g J k Z s x g k n L C Q N t p 8 G 2 k r D x b P y X h G 9 m y y U 3 h F E D D F i D 3 l h J s n t 0 m Y m / k K y 8 9 m U t K n M 1 H h J U 8 a h g H e o A I a y u C 8 1 W V 9 A 7 x m A q W g F X S n d f z p W 2 I 8 Q Q 0 0 9 O o Z S + g 6 Q Q M i 8 T S n n d n I 5 7 E y I K C K i E M 6 / X 3 0 T J 5 1 8 E i x m P a b P a Y A 3 P A R V y I 1 6 d G D E r S X r o B m e g D Q v m A r Z r / q s o R g Z 7 o p u 6 r B g e Q o z M R T O D Q i r i s g X m g l H l x f W O k P m 6 B i B z b q 3 3 l 6 J 0 0 8 / A 8 a U q j v t z n V Z / a Z s C J F y y j b f y B k Z v N 0 K b 3 a l 1 W Q J f y f A F w h i 5 4 5 d G B 4 e E f N n i 5 c s Q a H V S u 8 B v 3 0 N H L r M U b 1 8 U U G E M J C w m l h G r b G A r D N i H m K I M Q / 5 q P o i 2 H z k W 5 q b y X R W 4 / D + P s y Z P R 3 2 Y K e Q w D L Y L A 6 7 C k j L J d T 3 m w h E W B W G Y r h d P a T J y k U u 4 2 c B v z s I n W l i P y k T F O 4 d i J o W 0 h s F D h 9 u g c v t w Q k L y d c l / u Q A i D F D M I N x 6 E i 7 K D v X P L 2 a T v W L i G E m q I M e 1 P g P w k F + X o + p F r w 1 p 8 2 j x 7 b 2 d e h 1 B / D 1 U y 6 P n f n Z Q f H q p / b o W d P J p k 8 w x w L + b m h J d U b F J t V K O I f c s J Z n r 1 D K 4 K U P l V a O d d H v j 6 K i z U R w O F 2 w W t L b k E v L M V R E 7 K + 9 9 g Z 2 7 t q N L 9 3 w x f Q U I / 9 u D O P o n V e d d w B + j g x m m X t S O I l Z z D X 0 h q N z G r z 3 + l a U l 5 W T l C 3 A m G s E J y 5 t J O 2 e 7 i v y Z L F e U Y K R w M R L E O q t 1 e P r s y z 6 S h i V p e Q D 5 0 7 g P R b 4 X Q H o z J P v M 6 0 O e O B f T 2 H 5 8 u U i g 6 K i o h w 1 1 R V E e 1 L t D j U v C c 8 G I q w R H 4 f M J 7 Z a G C v 3 b Y d F Z U N T k Z l s I y V e P N i B 0 6 e c i r n V n 6 2 m U i 2 f W 3 U X b 2 s y c + Z 0 h F x t U A U 7 o D K Q f U 0 q k s 0 9 j o w F h y z Q T u D P W H T y 8 g I C v T m a 1 S C p 4 L Q Y e X m 3 L o N W Z C R O D P P 8 G Z u K 8 k I z L i + t V o Q x Z d o M n H 7 q M r G b S C J M e i f 6 / O l F O f K F w d M L H / t K W Z j J p C P C 1 n D 1 p W I 8 + + g 7 2 L 2 t V W y n u u K 8 G S g s U 6 O y l s 3 M z A T C z r 5 K r R a b f X k j 2 Q u L M F 5 4 b h U a 6 6 f i w K 5 + / P u l l X h n 5 U q c e c b E U b R c y D X Z 6 e n z Q 1 e Y n 5 Z i J l F r t X j o k S e w a F 4 z n J 4 I F p 2 4 A F X E T B a z a d z a z b Q Q M h X B q I f G O D 9 B s a Z 1 J 0 o N a n z Y 3 o + K o v n 4 U r k e l s r 8 0 8 6 O F o q g r z s a 8 g 7 C 1 b 8 X C n J + e c J U U y a l m 3 S 7 N p M Z M R v e P t 5 U L b / 0 F c a g S 4 n y H B u e 5 Y O u r m 5 y y i c / p 5 M v t J E O 9 A a z 1 x K Y C J V E A P 2 x r P V M Y G F U Q c K g 2 2 H A Q / 9 8 H N / 9 y Y 3 k M L u g V Z s R S N n C M x e Y q N 1 D J u h L b E R 7 c U 3 M E 6 R q 8 v U 6 D o + i q L C Q t P C b O P P M F S i t V y Y V X j x a c B Z L J o X h I I H 1 8 s P P 4 e Z v X c u W W 0 Z w R v o / 7 n 9 Q C I / m 5 m b 0 9 / e L q Y 3 r r 7 m Y F H X 2 v L y J w D s / O o O 9 1 C 4 D t S / 3 C n O G E k U k r u L m Y d X o F v Q d R e r a Z J C W y x c a 2 w G N O k K 2 7 g l M F R h r D a C w e X L q / X i Y f B x 1 F H u 7 5 s B E 5 l 4 2 G F S D 6 P J M X J 8 t F 5 T u X k R M c f N R q z Z R W 4 z Y u v 4 A F p w w D y V F 5 C + 5 h h G I j i I c y U + q u v x m m H W Z m U 3 j q 4 X W 4 h P Z B l w P o v X A K D 7 d t A l n n X 0 W K u u s 8 A b 7 y W d Q o l D b Q F p 5 8 k G V f N H V 0 Y u 1 7 2 3 F 9 V + 9 N H Y k M 9 x e P / m 3 G r G 3 c X N j P Y J j O 6 E u y J y 1 I e P A w c O Y O S O 3 7 8 c R v + E u i I K l 2 s L M k 9 q 5 U O / Y i k 7 r o t i n 4 w v b s D d D G I j E U t i 0 A G H H T k S c R 6 B T F w s b l z M O e M J 1 I n A w Q V 6 7 c i z I x 2 K U m Y l L n u U L n f L Y m a m I E z a J m d S w U P 9 Y 0 b p / D C 8 8 9 g F 8 T h X m L J y K j s 4 2 j H C Y O 9 g N t 5 8 Z K j 3 g w 9 n r 4 T C r A C 5 / J S E b M z G C + m 4 R + l V 6 6 k Q 9 C a j 8 u O K G 5 b B W + e A J D a K c u y A a / U y Z i V F Z U o n 6 m s x 7 4 i b C Z N C R Y F a i q a F e R G L 1 5 o l L N T M z e T z p m o f d j o 6 u H r S 2 d e L 5 x z 7 B l K k N + P i j N b F v J f S P 5 e c b M T P V j m 6 G y d 4 G B T V M S b 6 m 2 X 4 Q t Y P r 0 Y x D q H d u R b V j B x S 8 a m C S s B Q k 7 A L P k 7 s 8 E V a j M E J h m s W H Y n N P f v H X U O u F K m U 3 s 0 g w B G U e U b Z k M K t k 1 y p e L y + V P / 5 E E X Y S g Y e H E J j E D u C Z w I G F t r 2 j 0 B u M a G / v I r N L g + W n n I R o 0 I b y 0 m I E f K M Y i J m S D Y W N G O 7 b C J V K S y 8 9 b K K 4 o 0 J U J j X q J j Z Z M k O B s K 0 E l d X F G P L G F 0 0 y a g 2 F 8 E V y T / g e C 7 r c 6 1 F n W g 5 3 u x 6 m x s m Z y 0 r f Y U T 0 + U U e W V P N 4 t 3 6 B 4 b w 1 t v v o K i o W N B E R 0 c H z j x r O Y p r 8 x G 3 E 0 M h I q u k L D J M S V h G 9 s F V P J u + i x 3 I E + M c w o v R D J y 7 F p a K X b q H v O j U k b q h C 5 q b / P B 0 a U n S J D N C J m Y K k R m W D S x p 7 v 3 H A 7 F P m c E d N z i U 7 I S 7 P U c f O G B E g y 4 i Z u 8 x M x P j i f v f R u P s I u z a t Q d L T 5 0 P n U k J n 7 I P f p 0 P X c 7 e c W b S O T v Q M d Y O t 6 E S D m 0 x 3 Z 8 E l d + G G n P l M T A T I w p V 0 T B G f e 0 w h B p Q p J k + n u 7 j H p 1 E k u 1 R g L d I Z R L 4 e P 0 7 s S O T g J h v y w + z 5 8 x i b w N H W l r g J Y 1 1 w f n n 4 r x z z 8 G t t 3 7 p u D E T g 0 3 k T M z E c J b M R m O I d y u c 3 P 3 G N Z T N 3 4 U q o x b e U D E 9 j A Z j b X 4 U N i V E e e g s U W 6 s Y X L E 8 N r r b 2 H K l K l Y v X q 1 2 M C M o 3 Y / / t H 3 Y t / m D 1 5 Z q 8 + Q G J s P 7 P Z 1 Z D I d O z M x K t R q 2 B U m + I L p M / I y N E E 3 g h m 2 4 W d U a X X o C 0 h L S l K h H d k F v d Y E Q / F M R A M O D C r y C w R V G O d g 9 9 7 D W H R C o 1 i m / l n j / j 8 + g W / 8 8 M b Y p / y g V Y y S P 5 k 7 W 4 G j m i 6 X B 3 / + y 9 / w t f / 4 K k q K C 0 T t D 3 n 7 0 m O t Y n Q 0 a C Z T u 5 X 8 1 3 w h G C p C j p p D V 4 5 C n b Q 8 I 5 t K 9 4 z 6 y Y Y v R 0 D Z D 2 t 1 + m B z g R O 5 J s M A a Z m 1 a 9 b h q q s + h 9 1 7 9 t B g L 0 A g C y F l Q q a d M H K C l 2 P H Q u y M a C Q E s y l A W o I 8 2 O O F K G t s v k c 6 0 X q C Q z D G l p x r 3 D 0 I i o B F Z u L W 2 g 4 g o j U j Z I o N F J k e O t t e + I u T 6 0 O Y v X 1 w G X i L o I l R G G 2 k 5 n m g s R Z g e M A B L Q m f o g K L y M k 8 3 j i 4 Y Q A z l k 3 O t A x 4 R 6 C V M 0 l S w F b L t 7 7 5 T Q R D Q T H 5 3 t H R j m V L M u f 6 8 Q Q 4 L + H 4 3 0 T D 2 C Z 0 F O a 3 G F Y x 3 P Z x V F 0 w B + 3 O D W K 9 j 3 l 0 F g o m K P j I W R P q a C m C i m F Y a / R C s v T 3 D 8 F P k q S 3 h / w K + n z w 0 C F c f e V F 0 G q P P k y a i h 6 7 K q n W u g w 2 Q y J + P x R a t Z i N N x T W o d v F C w E n 6 9 / l A D m p R R E v b J r s d e l C R N D q W F i 4 W m 9 F r y 8 5 V Y t z y k T x F P K n 3 n x x N W 6 9 8 V J 0 O 3 p Q o e W y z v F I o D c 0 I o q x M E q j f g w r c m t m N c j X j V Y h 5 N t D D B i f / O Z M 8 h J D E w b 6 x 2 A 0 G l B g N U + K w d R q a V c S f o k a F e o y Y l o F / v X X J / C 1 H 3 w p d l b + C L v b o E o p 5 8 b Y t / 8 Q b G N j W H H K M p I t Y Y T g o 2 f K R Y N R k T T 7 v 4 n i 4 V 1 k d R j h z F n i D P h / l C V X 8 / O G w c g 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 N a m e = " N i t r a t e   P o l l u t i o n   C a t e g o r y "   G u i d = " 7 3 7 4 b c d 6 - 9 6 e 0 - 4 6 f 4 - a 5 9 1 - d f 7 5 5 8 a 8 7 8 e 5 "   R e v = " 2 9 "   R e v G u i d = " 8 8 b 8 9 0 7 3 - c 9 f f - 4 a 0 e - 8 c 9 9 - b b a 5 0 e a 6 2 1 8 b " 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 T i m e C h u n k = " N o n e " 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 N a m e = " N i t r a t e   ( P P M ) "   V i s i b l e = " t r u e "   D a t a T y p e = " D o u b l e "   M o d e l Q u e r y N a m e = " ' A l l D a t a M a p ' [ N i t r a t e   ( P P M ) ] " & g t ; & l t ; T a b l e   M o d e l N a m e = " A l l D a t a M a p "   N a m e I n S o u r c e = " A l l D a t a M a p "   V i s i b l e = " t r u e "   L a s t R e f r e s h = " 0 0 0 1 - 0 1 - 0 1 T 0 0 : 0 0 : 0 0 "   / & g t ; & l t ; / M e a s u r e & g t ; & l t ; / M e a s u r e s & g t ; & l t ; M e a s u r e A F s & g t ; & l t ; A g g r e g a t i o n F u n c t i o n & g t ; A v e r a g e & l t ; / A g g r e g a t i o n F u n c t i o n & g t ; & l t ; / M e a s u r e A F s & g t ; & l t ; C a t e g o r y   N a m e = " N i t r a t e   P o l l u t i o n   C a t e g o r y "   V i s i b l e = " t r u e "   D a t a T y p e = " S t r i n g "   M o d e l Q u e r y N a m e = " ' A l l D a t a M a p ' [ N i t r a t e   P o l l u t i o n   C a t e g o r y ] " & g t ; & l t ; T a b l e   M o d e l N a m e = " A l l D a t a M a p "   N a m e I n S o u r c e = " A l l D a t a M a p "   V i s i b l e = " t r u e "   L a s t R e f r e s h = " 0 0 0 1 - 0 1 - 0 1 T 0 0 : 0 0 : 0 0 "   / & g t ; & l t ; / C a t e g o r y & g t ; & l t ; C o l o r A F & g t ; N o n e & l t ; / C o l o r A F & g t ; & l t ; C h o s e n F i e l d s   / & g t ; & l t ; C h u n k B y & g t ; N o n e & l t ; / C h u n k B y & g t ; & l t ; C h o s e n G e o M a p p i n g s & g t ; & l t ; G e o M a p p i n g T y p e & g t ; L a t i t u d e & l t ; / G e o M a p p i n g T y p e & g t ; & l t ; G e o M a p p i n g T y p e & g t ; L o n g 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4 8 9 & l t ; / W i d t h & g t ; & l t ; H e i g h t & g t ; 2 8 5 & l t ; / H e i g h t & g t ; & l t ; A c t u a l W i d t h & g t ; 4 8 9 & l t ; / A c t u a l W i d t h & g t ; & l t ; A c t u a l H e i g h t & g t ; 2 8 5 & 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8 & l t ; / S w a t c h S i z e & g t ; & l t ; G r a d i e n t S w a t c h S i z e & g t ; 2 3 & l t ; / G r a d i e n t S w a t c h S i z e & g t ; & l t ; L a y e r I d & g t ; 7 3 7 4 b c d 6 - 9 6 e 0 - 4 6 f 4 - a 5 9 1 - d f 7 5 5 8 a 8 7 8 e 5 & l t ; / L a y e r I d & g t ; & l t ; R a w H e a t M a p M i n & g t ; 0 & l t ; / R a w H e a t M a p M i n & g t ; & l t ; R a w H e a t M a p M a x & g t ; 0 & l t ; / R a w H e a t M a p M a x & g t ; & l t ; M i n i m u m & g t ; 0 & l t ; / M i n i m u m & g t ; & l t ; M a x i m u m & g t ; 2 0 & l t ; / M a x i m u m & g t ; & l t ; / L e g e n d & g t ; & l t ; D o c k & g t ; T o p L e f t & l t ; / D o c k & g t ; & l t ; / D e c o r a t o r & g t ; & l t ; D e c o r a t o r & g t ; & l t ; X & g t ; 1 0 6 2 & l t ; / X & g t ; & l t ; Y & g t ; 2 4 . 5 & l t ; / Y & g t ; & l t ; D i s t a n c e T o N e a r e s t C o r n e r X & g t ; 1 9 & l t ; / D i s t a n c e T o N e a r e s t C o r n e r X & g t ; & l t ; D i s t a n c e T o N e a r e s t C o r n e r Y & g t ; 2 4 . 5 & l t ; / D i s t a n c e T o N e a r e s t C o r n e r Y & g t ; & l t ; Z O r d e r & g t ; 1 & 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6 & l t ; / X & g t ; & l t ; Y & g t ; 2 9 5 . 5 & l t ; / Y & g t ; & l t ; D i s t a n c e T o N e a r e s t C o r n e r X & g t ; 1 6 & l t ; / D i s t a n c e T o N e a r e s t C o r n e r X & g t ; & l t ; D i s t a n c e T o N e a r e s t C o r n e r Y & g t ; 2 9 5 . 5 & l t ; / D i s t a n c e T o N e a r e s t C o r n e r Y & g t ; & l t ; Z O r d e r & g t ; 2 & l t ; / Z O r d e r & g t ; & l t ; W i d t h & g t ; 4 8 5 & l t ; / W i d t h & g t ; & l t ; H e i g h t & g t ; 1 3 7 & l t ; / H e i g h t & g t ; & l t ; A c t u a l W i d t h & g t ; 4 8 5 & l t ; / A c t u a l W i d t h & g t ; & l t ; A c t u a l H e i g h t & g t ; 1 3 7 & l t ; / A c t u a l H e i g h t & g t ; & l t ; I s V i s i b l e & g t ; t r u e & l t ; / I s V i s i b l e & g t ; & l t ; S e t F o c u s O n L o a d V i e w & g t ; f a l s e & l t ; / S e t F o c u s O n L o a d V i e w & g t ; & l t ; L a b e l & g t ; & l t ; B a c k g r o u n d C o l o r 4 F & g t ; & l t ; R & g t ; 1 & l t ; / R & g t ; & l t ; G & g t ; 1 & l t ; / G & g t ; & l t ; B & g t ; 1 & l t ; / B & g t ; & l t ; A & g t ; 0 . 9 & l t ; / A & g t ; & l t ; / B a c k g r o u n d C o l o r 4 F & g t ; & l t ; T i t l e & g t ; & l t ; F o r m a t T y p e & g t ; S t a t i c & l t ; / F o r m a t T y p e & g t ; & l t ; T e x t & g t ; A l l   T i m e & l t ; / T e x t & g t ; & l t ; F o n t S i z e & g t ; 3 6 & l t ; / F o n t S i z e & g t ; & l t ; F o n t F a m i l y & g t ; S e g o e 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i n c e   J u l y   2 0 2 3 & l t ; / T e x t & g t ; & l t ; F o n t S i z e & g t ; 2 8 & l t ; / F o n t S i z e & g t ; & l t ; F o n t F a m i l y & g t ; S e g o e 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  N a m e = " P h o s p h a t e "   C u s t o m M a p G u i d = " 0 0 0 0 0 0 0 0 - 0 0 0 0 - 0 0 0 0 - 0 0 0 0 - 0 0 0 0 0 0 0 0 0 0 0 0 "   C u s t o m M a p I d = " 0 0 0 0 0 0 0 0 - 0 0 0 0 - 0 0 0 0 - 0 0 0 0 - 0 0 0 0 0 0 0 0 0 0 0 0 "   S c e n e I d = " c 2 4 d 8 3 b 3 - 1 e 0 a - 4 e a 8 - a f 5 4 - c 2 2 a 4 b f 8 e e b 5 " > < T r a n s i t i o n > M o v e T o < / T r a n s i t i o n > < E f f e c t > F l y O v e r < / E f f e c t > < T h e m e > B i n g R o a d < / T h e m e > < T h e m e W i t h L a b e l > t r u e < / T h e m e W i t h L a b e l > < F l a t M o d e E n a b l e d > f a l s e < / F l a t M o d e E n a b l e d > < D u r a t i o n > 3 0 0 0 0 0 0 0 0 < / D u r a t i o n > < T r a n s i t i o n D u r a t i o n > 3 0 0 0 0 0 0 0 < / T r a n s i t i o n D u r a t i o n > < S p e e d > 0 . 5 < / S p e e d > < F r a m e > < C a m e r a > < L a t i t u d e > 5 2 . 1 2 2 8 6 7 1 3 7 8 9 6 9 1 1 < / L a t i t u d e > < L o n g i t u d e > - 1 . 6 9 2 3 7 5 2 1 4 0 3 9 0 5 9 1 < / L o n g i t u d e > < R o t a t i o n > 0 . 3 9 2 3 1 8 3 7 6 2 5 7 0 7 8 8 8 < / R o t a t i o n > < P i v o t A n g l e > - 0 . 7 9 2 3 5 1 5 7 2 0 4 3 7 6 8 < / P i v o t A n g l e > < D i s t a n c e > 0 . 0 0 4 6 1 1 6 8 6 0 1 8 4 2 7 3 8 8 3 < / D i s t a n c e > < / C a m e r a > < I m a g e > i V B O R w 0 K G g o A A A A N S U h E U g A A A N Q A A A B 1 C A Y A A A A 2 n s 9 T A A A A A X N S R 0 I A r s 4 c 6 Q A A A A R n Q U 1 B A A C x j w v 8 Y Q U A A A A J c E h Z c w A A A m I A A A J i A W y J d J c A A I I l S U R B V H h e 1 b 0 F g C T V t T f + q 3 Y f 9 9 n Z m V l f d m E X Z 4 H F 3 U O A R x I g Q g R C X N 7 3 X k h C X u z x I i / E g 7 t L 8 M V Z d 3 c b d 2 3 3 7 v q f c 6 t r 2 n t 6 d p d 8 3 / 8 H v d N d X V 1 V 9 9 7 j 9 9 x z J e d w m w y N B e G 4 D / 6 I E Y 0 1 1 X j g / g f x w g s v 4 v 3 3 3 0 d 3 Z y f O P u c c P P H 4 Y 7 j 1 t s / j i 1 / 8 I h 5 6 + C F I 9 N / t t 9 + O l S t X Y N + + / T j 3 3 H P x 2 m u v o a K i A h d f f D E O H j y A a 6 + 9 B v 9 8 5 V X Y 7 X Z s 2 r y Z / t p w x x 1 3 Y u W K F f D 5 f N B q t R g b H 8 N p p 5 + B 3 9 x 7 L w A Z M 2 f N x t N P P 4 V T T z k F 3 / 3 e 9 7 B s 2 T v w e D z 4 7 n e / g z / / + S + 4 9 N J L 6 T x g 7 5 7 d c L r c G B o a w p t v v I b r P 3 0 j b r 7 5 Z j z 5 5 J P 4 1 S 9 / i R / + + 7 / D 4 X C I Z 3 n 9 9 d f F N T / z m c 8 m r n 0 y P v j w Y 9 x w w w 3 Q 6 / W Y O X M W e n q 6 x X P e e e c d W L G c n s / v w y x 6 l p U r l m P O 7 J k 4 5 e S T 8 f v 7 / o R 4 P C 6 u u X X r N k i S h F g s h t t u u w 1 v v f U m 3 n t 3 G d Z v 2 I T z z 7 8 A y z / + C C e f f I p 4 V h V u 1 2 j i n U z / 8 y s C a I z 0 V k a P u w N V 5 l p E E Y b N U A I p M o 7 h d g 3 C n g j q F 1 v p P H P i t w q i c U A v e z G 0 P 4 a o z Y f y m l J g c D N + 9 c g K e p 5 b 8 N R T z 2 B s b B T / / e t f 4 + 6 7 f 4 z f / O 4 X 6 O 8 Z g b m s D l Z 9 H H q t D H d Q g s M k Q w 7 1 Q q O j e / A j 6 R y Q w o N 0 P w t k r Q P U y M Q d C y M Q k d D r 0 q H G 7 o H d a E I 0 R h Q S i 8 J 1 W E L 5 X L o G X c f W e x + 8 D d 9 K / G J y S F E / t P 4 9 0 A X p + W I u B K q u p u c r w e 5 Y C d y y X p w T j Y T x z O 9 / i Q + e f w J L r 7 k R + z a v w 2 B X B 7 7 0 0 / / B + 8 8 9 j l M u v A y P / f d P 4 C i r w P k 3 f B a f + 8 F P 8 T 6 d + 9 D P f o j q x u m I R S O 4 9 H N f w s r X X o L X N Y 4 5 i 0 6 B 0 W z G k i u u x V / / 4 1 v w O p 3 4 5 X N v 4 k c 3 X U F / 3 8 L 0 O X M g S z p x 7 5 l a L 6 q k k H i v Q j r Y v V W 2 G S t h 1 h l o k P w o L 2 + C T E Q j y 9 Q h G o n + x q C R N H Q q d T w 0 x E b U 6 / R v K u I x 4 I G H 7 s e L L 7 5 A R P U O H e H v 0 8 / h X z M T q p + U 7 4 k q B D S I 0 y G 6 X Q J 8 n O + p / E 4 W n 4 l 4 Q 3 H o j N r E V Z T f x 2 j Q t F q D O K J A u X b 6 U y a v p y D 1 / n R d a q u W P q b / J h 1 7 9 + 3 F / v 0 H c C 8 x / l 1 3 3 Y X P 3 X Q 1 4 p K J G E w L r Y 5 / C Q S D Y d z 3 x / t I G L 2 A T R s 3 0 J H U e 6 Y y V D a 6 X I c T 7 x R w X 0 2 j Z r n 7 5 s P R e B j 9 I Q P d Z w Q N p S c g H P J j 4 + a d 6 O 7 q w u r V a / D H 3 / 8 Z t 9 1 + K 7 5 x 5 5 c x Z 9 5 C H D i 4 D 4 u O X 0 h 9 K h O D r 0 J 1 V S 1 a W m b Q F T U I R S V E a L x s R u W Z G V J 0 n L o i B N l Q w 5 + U Y 8 R k s q G O m M J N H R O m p t D D S E b 6 h s Z D M m P n g B G z q i I w J d q e C b 6 H X q u 8 H z 8 Q Q 4 X h Y c S b v 4 y B w A 7 U m o 9 X v k i A r 6 A h h h s f b E N H z y A W n X i 6 8 k U e 7 I 4 5 J h j q r g t O Q j g Q g K O 8 H P a y S n j G R j A y 0 I c v 3 P 0 r Y r I n 8 f V 7 / 4 T / v P E y 1 E 9 v w X V f + z Z O P O 8 S / P i m y 7 D 4 3 I t x 7 V e + i S + e N h t 3 3 f s X / P a u 2 3 D F b V / F w i V L 8 b t v f A l m q x W n X 3 Y N P n r x 6 R S G e h N N c x d A Q 8 o n r r H m Z i j n 2 J D o E U / g E E o s s 2 C x l d E n Y h 1 B C / w P M R f 9 T S c 0 h R D V z o 9 H Z e w 9 u J s I b j 8 + d c 0 1 d F j h 4 C R k x I h j t H x R O U r f q 4 S W + E t M G w M R p r i c M k D M f s p 7 5 R 6 R Y A Q G k 9 K J 6 a B r x 0 j S S / R 7 T W I E M x B j T U D Q S H q 6 W u q z K 4 y W z s y 5 0 d f f h 2 e e e R a n n n o K z j 7 r b H E s x m q C f q v V K + 0 I B P x 4 8 q m n c d 2 1 V 6 O y s l o c S 2 1 D I Y a K U r 8 M e v u o K + L E q D H 0 7 B v D + e e e g + E 9 c Y w b d u H Q w V 7 S 1 s v o / m d g 7 t y 5 W L 9 u H Y a G h 3 D 3 j / 4 P w n 1 7 M d h d h c b j R u h K J H 4 M T d Q g I z F 7 D K F Y k G 4 f g j c y Q v c I w U C M Y d F V 0 1 8 L a R U 9 Q u E w B n 1 W s k 5 0 i F B z L H o Z L e V R 2 L S j 0 O i Z F h S 4 g h q M + D S o s M R J q 8 W p 1 3 g c a Z x 5 P G N e S D S G s r 4 i c T Y Q J g 1 l I C 2 Y C m Z S n 5 O E d 7 U B g S j 1 W W g c / f 3 d 8 N G 1 b W S 9 t L Y 0 0 / X S f 0 P d I X q Q B b y O r s c 9 m c p Q h a G M L 1 s R G h p g a Y L u F K Q L + a l A G V O V o c I x P 7 X V j B 7 / R m K o o Q P E L 3 Y M H B 5 F b V M Q j u r F P C T i R l F q j Y 7 M s o I Q D K I j L S W a D Y 3 o R O U 3 s Q n t x r d P P D g d Y + J X w W e H 6 R J s E h g 1 f K 2 U + y X O j Y S i 0 B u T T E p 6 S f w l v S L + M l j 1 6 8 h 8 y 9 9 B S v d N g K / N Z 9 M h N r m U z s 7 8 r T I g + U G C g A h D o 1 P v y t f k Z 1 K e T + 0 H F Y U Y i u 9 t M B p x 1 z e + j T / / 6 Q 9 w D b r w 2 H N P 4 s u 3 f w l b 1 y / H q D e G U o c d Z 5 x 5 O n z e C C z a f t I g D b A c / A O i m i q M m s + B p 8 + K h o U u 9 I a 8 q L M v g M 6 7 G x b f m z S O p N 2 i p G W 4 z W R 9 k F w h E 3 8 W 3 V N L 2 o Y 1 P h 3 X s O a x I l J 3 A W T W R r E A f a 2 Y m a z V j H k 0 U S Y C 0 T H 4 o q O o N M 1 S e I M 6 R u 1 V I b i I s T d u 6 8 J p p 8 w n Q e w n N c Z M m 9 n v + T H s 1 W D I b C v I U D H W q A l o h R D l s d f Q 8 1 D b a Z y Z L p k e V G i z F M D k Y C 3 V S s I n S 0 N 1 7 j k s O 2 o s 6 P Z u I u Y h N V 5 7 Q U J T p I I f i M m R i U t 9 E D a V i G H 4 G F E l / 0 S c R Z J J V R R x + j 5 G T K n X 6 U R j B E F L / H s 6 j y R O X N Z B T w P J Y H 7 U i u 8 m u p 9 e C j F H g n Q N U y H C J p D J Q i K V 3 q S f l 3 z a b I g n o X 9 4 o L X c D H G U O 5 v f T X I / g R g J E h o u e l R F S + V i w E S b 6 H + 3 c x R 6 g 0 F o h V A w h F 2 7 9 g q f c / b s 2 f j V r 3 6 F B Q s X 4 t y l 5 + D Z Z 5 / H j V d e A l s l + U U a H c x b f i K U Q W D + N 8 m H q C T / a g z W j j / D H y r H x + M n 4 e Q F p 0 K n M 2 L f r v V Y U r W M 1 I w V P v N Z 2 B d r Q Y O d p L / O T E N E G g Q 6 I v Z h W A 2 N y q P l g U R a z T j 4 B s k y s k z i L k R 0 z Y g 5 i A H 0 5 U o f c 4 M z p D 1 D i o V g 7 b s f w Z L z Y A x u Q U T f i o i x A X r v I W g j w 6 Q l 3 N R D R v Q 4 P 4 W K e S W J X y U Q Z 0 1 K j S y C u P v i Z g y F d G l m a y r i Z J E E y e e y 6 C p I w 4 X J l Q n C R D 6 o E B Q Z C B J T S z E t j C T M p g K D b y t K r b P h k I h 5 q d 0 8 T t C Y I L W t 6 5 H 1 L W Q O M E G S 1 J p e W 4 J b X / 0 F D s W G E z 9 N 4 q 6 K C 3 D T 0 s s n i J S h m + g A I q 4 4 M Z N i K w o o p J Q k s j i b C f R e M G E W E o Q n o L z n f 2 N k j L P 2 4 w A A a x M e R 2 Y C d U w l 0 q B h M j k j 9 H K Y 6 Y u E p u H f 8 n X 4 t 4 p k 4 m u r 1 0 + C m U l H E o S / Z w G g I Y m t / F a B k N 7 i e b N / y y 3 i 7 x T t z A + n m s r J c 2 O k E T i Q w W Z H h B j p r m 9 8 A w / c / 3 f c + + v f 4 v s / / D b e f P N t X H 7 5 5 U L D O g + R 0 N G N w t F U g c 5 x H R w 6 N 6 p s d P / I K K z D z y H Y / A M c 2 r U O c x y d 2 O 4 + G T t 2 7 8 D F J 1 f h l Q 8 P Y t O W n b j + + k / h r N M W w k A S X O m k E G m E Y R F c k P W V y g N R X 4 T l A J l 8 V u X z U c A 4 8 g 4 i 1 u P g I s a z k 5 U D H b 0 S 8 E a G Y N V X w R / W E A O n 9 q g C 9 5 A T t n I H 0 a H o s N x g U 5 0 1 p b h u s k 8 7 4 i Q w Z K 0 I h P C w s h / H / q u O h H M o 4 I P Z x t c l u s y + 7 a T g c e J g 2 W S Q 6 L k a S L a U S I o 7 o U K j N U V h 1 9 f T q w U V V i Y Q C G Z a p + / J e g 2 5 x o R 6 3 L V z F 1 5 7 9 X V i J r 6 x j K 3 b t u L 1 N 9 4 m Z z m G h x 9 5 R F y D w c w U J n v u z q / f i Z / 9 1 3 8 R 6 e k E M z 3 7 3 L N E h M R e x C w P P v A w a a A Y w q S F I v R 7 P k b 0 J / q C u 1 C n J 1 P I p C W T T w u d Q Y t 3 P 3 i X j i m f / d S h T z 7 9 P H 7 5 i 3 t g s 2 j g 9 v r x D S L Y j R s 3 4 J e / / C W + / v W 7 q I E a c u Z 1 o p P 4 v f i c 8 t L R g L J G C I c i i I f J Y R f 2 p z p 8 5 J 8 R A b J z H 2 c O F u C / / H Q q o x E T E k O y V h Z B H G Y e 8 q 1 i x O D 8 k k n I R C I R G A 1 G 7 N y 6 D 7 / 6 z h 8 w u D O A z 1 3 8 Z Q z v 8 u O s 4 y 5 C / 9 Z h O A 9 o y A 5 v p / 4 9 A E v H / + I 4 7 0 P k r 5 B W I o 5 f t b k X D 6 5 q w J t v v Y 8 Z C 5 f i a 7 / d T D 6 H G X t 2 7 8 W H 2 4 j p a q f h B 1 + / W / h c B h M x C t t 0 J I 2 l e A B x U y s G i b j 9 4 Q F 6 b P Y 1 6 T 7 H g J k Y o c p L M E Z E H C H G T W U m h k 1 f T X 0 o T T A T + 1 R i T M l X 3 z e o Q 8 h a j t G g D q 4 2 p b 9 z g t u h c / A b 5 X M C z E z j 1 J Q g j U m I 2 u O O k / 9 n J C b T 2 0 i T 1 s B L 2 s g d 1 w u z M P 9 L l 3 h p U 4 7 p 4 S M t w 3 + d p L V S j 2 e + P G Q u h 8 X 4 p 0 P 7 r d u + f 0 8 v q e F K Y i a W 0 g a j G Q / t X Y Y e r T t x S h K X Y D Z O m b m Q T J V d W L N m D S 6 4 4 E J x f P f u X X j 8 8 S d w 1 l l n 4 u W X X x b B i Z d e e h l n n 7 k U o V A Y 4 + P j + N R 1 n 8 L W r V v R 0 d W B b d u 2 o 6 G + F r / 9 3 e 8 Q j o Q w P D q E p 5 5 5 C n v 3 7 8 X 7 H 7 w n p P r y 5 c v x z j v v o K 9 / A I 8 / 8 Q T O O / d c u N 1 u 7 N i x E 8 c f v 1 D c c 8 3 q 5 T i 4 f w 9 O O n E x 2 t v b 6 Z 4 v 4 d / / / d / x t 7 / / D S a T C T + 7 5 x 7 8 4 / 7 7 8 e 6 7 7 4 o w / T P P P I O 3 3 n p L M M j 9 d P x w W 5 s I s x 9 / w g n Y f 2 A f 5 s 2 f L f o g S o z N k U s 2 Y Z k R h Q I S n 1 i D s U Z W i E T 5 y 4 O t / O V 3 b K P H 6 R r M Z F p i M H a G O T T P k r S k 1 A R j q Q y z f Q D 2 a R U w l M n w I Y D 1 e 1 a j p b U e e 7 p 7 0 T b o Q / 2 i T + O G O / 8 X n 7 v 1 8 9 i 0 Y S u 2 U H 9 d e t l V W L 9 h H b S y E 5 + 5 p A m V 0 0 7 G O W c v w b w 5 s z C j p R U Y s 8 F U E S X T q o + e g q A x C t O Q N Z L V 1 A S 9 l r Q W C c B B X z 9 s h n T i z w 2 1 b Y V h 0 p X A r E s G L y Z A D Q 5 H Y 9 i w c Q s + + n g F K c w Y 6 u v r y a K z o 5 I e h R m N X 6 Y y 8 m k i c b j b I z C V Z 2 s G 7 s 9 o K A D P 2 B B p t X 4 S e P T e U o U I m Z 4 a G h t h e f C L 8 M E L T 4 s 2 l l R W J Q 4 V a g M f V 1 8 q k u c P d X d g 5 9 q V m D Z z j v i c B a K D c k 0 E V j K l U 6 H 9 3 r e + d Y 9 W 0 w O z x U a S J g C L q a Q A Q 8 3 B k n k n o r S 0 F G v X r s P 5 5 5 8 v i K + 9 v Q O n n X 4 q n n r 6 a X R 2 d m D R C Y t x 5 R V X Y M X q l Z g 3 b y 4 e e f R R Y p y w Y C i n 0 y W I / 9 C h w / j F L 3 6 O V a t W i z m d 2 t p a M V 9 0 3 x / u w 9 0 / / j H m z 5 + P W 2 + 5 B X / / + 9 / F d x w e 7 + n t R W t r K 1 5 7 7 X X s 3 b s X V 1 1 5 O T H 2 W j S 3 t M D r 9 W L n z p 1 i b u m V V / 6 J b 3 3 z G / j 5 L 3 6 B 7 d u 3 i W s + Q Y w z N j a G e 3 5 2 j 2 C 0 C y 6 8 U H z + 1 j e / S V r 1 Y d h t V i x e f J I Y I C 1 p L S 0 H G s h + i 5 O 2 i d O A S 3 F + z 1 1 O 7 0 k d x W U a 6 D i r J c V c Z H D Q j / 1 P 4 q G c w / j 2 s m V C i 9 b V V u H O u 3 5 I 7 X g T t 3 z u Z t z / j w d w z f V X 4 H 9 + / 3 v 8 2 7 / d h C 9 / 5 W v 4 0 x / v w 7 L X n 8 U 1 s z Z i 9 t n f x k C 4 D O e f O Q c N D b O g t d O r 9 w N Y 4 + 8 g b D 4 N Y U 8 Y c t g I T W m A x r m C H s R D k p 3 U m 5 h H I k 3 F 8 0 o J D R I h h 3 3 A N w B n a B w a 8 m N N e p M 4 n o 1 c L Z g c b y 1 7 D + + 9 / y G G R 0 a F 1 X n i o o U Y G B y C 2 W Q W 8 4 Y H D r a j a V p D 4 m w F L H y Y m Y R m D 5 P J p Z q B 1 K 8 D H X u I Q e r h i p e g u q Y c J j L n h m U j Q q Q h e N 7 o x T / / V l g G H 7 3 0 N I J e D 9 p 3 b 8 O 2 F R + g + 8 B e b P 7 w H X T s 2 4 1 V r 7 2 A s c F + L H v y Q Q x 0 t m P v p r V k G v p x Y O s m M V e 1 b 9 M 6 7 N + y A V u W v 4 + q x i b s X r 8 S 6 9 5 5 A 4 d 3 b E Z 5 T S 0 q 6 t K f V 4 G E G u d 6 m I i 5 U 6 F x N J p R a q u D c 6 8 V h z 7 w U K P I e e W e y A E m L j b J 1 G 9 X r l w O v Y n M K T L B y s v L c c Y Z Z 8 B P D 7 p i 1 Q o 8 9 s T j m D M r y d 2 s I V h S N z Q 0 0 K N I M J v N e O K J p 9 D X 1 y c m V G f M m E F M N E + c w 9 d i D f U x v d T v z j 7 r L D Q 3 t 6 C 3 t w 9 f v v 1 2 X H T x R f h o + U p i 1 A i 2 b N m C u r p a n H 7 6 6 f j j n / 4 k w s q r 1 6 x C N B Y R G o Y Z 2 u l 0 E i O 3 4 a E H y Z S q V P w J g 0 F x U s P k 2 x h p w D l s n A o m K a 1 O K 8 L 1 O i O Z S t x W + h y L R M k P j U J D Z i v / 5 Z B + l P 5 K Z H + z v 5 Q P 5 5 9 3 D m b O a M U d 3 7 g b 1 d X V + M f f 7 s P L r 7 y K 7 u 4 e D P s O 4 d 4 f / w 9 M p B p f u X s B Z h i e x v X n H k c K R g s z O d / z q i N k t t n I b 4 h h w K P F + t h l 8 J R + H V r n T p h I 8 z l m x O D v d q P b u x 5 B M S 9 H R E n S 3 R c b R 1 e k k + y z X v E M Z c Y K t J p L 6 M U a K y r 8 x r y Y M H M J R B N S e I g O c V Q r Q Q E i Z O 4 n L h 0 X H 6 V Q H y 6 / 9 C L c + b U v k 4 D z k R W x h 6 y P c V x 8 4 X k 4 9 Z Q T M X v W D J x 0 y m n i 3 F x g R t I Z N A i M J a J 0 d M / a 6 f M E P V b b s / t V q z d g 2 u x 5 e O O R v 0 N v M C H K 4 2 i 2 4 I Q z z 8 F w b 7 f w o 7 z O c d S 3 z F T O 1 + m J Y a a R e x G k 7 3 u U Y 0 y T M 2 a J c f O T B d R 3 + A B 6 D u 4 n D d U p B A J r Q Q X Z 9 4 + S Y E v r I 4 I 0 P j o o s 4 T 1 d V p g b w m S b V 6 G J S 9 / S / h M m f i 9 f B W + f f X n E 5 8 m B 3 c 7 z 1 E l w 8 r p 4 O 8 L y 0 F + W A 5 z U s P p R H Y Y 7 3 / g A X z 1 a 1 8 T 3 6 q / z b y G F P d B T v g J X 7 v j D v z 9 b 3 + D 3 + / H j + 6 + G / 9 L W i D z v o 8 9 / j i u u f p q M s l K l U 7 M + 1 C F n 5 i / Z W a T S Z u x i a M n R k w 9 W w 2 b 6 4 k Q R s e c K D U H I b n b Y Q m 9 j 5 C v B q 6 y T y E 4 Y o O 9 W U Z f e D O a 7 K f A 3 v d b e O p / I H 4 3 4 o v C K 2 9 C j W k u m V m l 4 h j 7 R e b u x x G Y 9 n k 4 D 2 p Q O j v 3 8 3 l 9 O 2 C z p k + o p o O e n p h D i l H f a a n v + D V J e 9 m k l I X m 4 7 k 8 E j A i i s a / 0 c A b 0 q J z n D Q 9 8 f V c E g Y q O J B g 1 v M 5 h e H p D s H W Q N o 1 x 2 A U O w 9 F s m d i c n k y s I Z z j 4 3 g m i 9 / M 3 E k d 9 s 5 L s A h e A b P Q z X 2 P o t Q 4 3 X i M 0 M a G 9 g v a w x l 8 P Q H U N J g F Q z 1 9 P L X M Z R j z u T 8 4 0 7 F 8 T P m 0 z u W a u l P S o Y R 3 S b b S W P I 1 N n x G J t R y v e F h + k Y I G U O Z X R 0 V I S m G e z L l Z W l 2 / s K y 9 J P 6 K G Y a b N B W k h I I f K H S O L n F g 3 Z E J G 9 M P t d P D e n m J H e k X Z I / j 4 Y P J u h i / S Q N S b B W 3 U 7 Z N I a K l g a u w 7 3 w N 6 k T A x 7 O 7 U w t Z C G 1 M o Y D e 1 B t Y n 7 X 0 H E H y E G l I S p Z H C w P x F H e F x L f n w Y 1 u o U U 4 5 N Q O 6 P I k L S u S B F R i a i h J L v A G T z N O o 0 v n 5 G X 9 A 4 S / 5 D k K 1 z E w d U c K + R C 0 9 m 6 E c f L R d + d U V V l W C 2 E x Y e l z g n G 8 G x X m p X X V Y k c B c x l K c I h l K R a + K e I 7 / i u R L m + t Q h Y 6 Y 0 i i o a W y l E / W M o p 8 s R f X C m h K f d S N o p R K R D D l 1 J K f l B e 8 U P M q H T 2 d D Y Q J 1 Z J F G l g i N e E m k q 7 h q F z G J 0 F Z 5 U P N I G 5 U e q h m I U w 8 D R u C T C r t k g M 4 5 / L Q Y l f W A L g k 2 p O G k g / i l d O 0 p 2 / 4 q n V 0 M n O Y g 5 D I i Y S Y P J P p T W W 8 U c V s Q f J b t e M X V K S y p h t H h J L l S j d I 7 i e K / b G 4 L 1 I A k 5 k x / V r Q 6 Y H C b 4 X S F 4 h 4 I I G R 3 4 o E u P M r s O I 6 4 o v v t p C 2 m r O E p n p T y v i P A V T 4 Q 5 w W 0 S k d 1 i I G P b j j 1 Y t 2 4 t m e M N G B z o x x 1 3 f J X o Q N F W b m 9 Q R G M X L 1 q E 9 o 4 O N N b X o q Z G z S 5 J R 4 z 8 d E 8 X Y G 2 I Q 2 / R F 9 R Q z D x s Z T C z c p Y F / 1 W P p z M V j 3 V x t M d a i d P T + O x U B l Q z J R g a X z f i 1 k Y y + U Y G Z X d P E C V N Z j G H x B q q s 2 s 5 + S s c r k z H R x 8 N 4 K w z L x K O / d y 5 8 / C 5 z 3 5 W H O f k 1 f / 8 0 Y 9 w w g k n 4 P Y v s U m Y 3 e m q 6 c f I 1 Z Q P P / o Q 8 + f N F w E I D r 1 / 8 Q t f S H w z O f a T z d v e 1 o 5 / / v N V / N f P f o a a S i v u + 8 v D p B k U P 2 n T x i 3 i O F 9 7 e H i Y n v 9 n u O u u r 2 M e t a G 9 q x c r l 3 8 o A i B p I F 9 B i h O B q y N C D / 3 c 8 y / h p h s / N d E A Z h S F Y 3 i e j A 7 S e 5 6 w V r S j 2 k I 6 L g h R N 0 m m B E N G Y H g M 8 U g Q O m s V j C X Z E 5 G 5 8 N C y E L b s 9 + O u 6 y s x q y 6 K w + v a 4 B 0 k c 0 d j R 2 V j C S z T A n B U O d L m C K e M q J M k a s L M n A I 4 s M N 4 5 Z + v C 4 H E z 3 D t d d e i o 7 0 d + / Y f w O L T z k O F l S 2 e 3 P C H 4 7 C Q X 5 U K Z i h X h M z p h M L N p Y G O F i K V K o f w Y D O S x 9 i g I w 2 V w l B a 9 y H E 7 D M U D T W y x w t z t Q b 2 a t u k D H X u O Z c h G o 3 i 2 9 / 5 D v 7 8 p z + J 4 x w I O P e c p T j + + O P p / Z / R 2 9 u L U 0 8 9 l S T Q R s y a N Q t 7 9 u z B X X d + A / 9 7 3 + 9 x z T V X 4 4 L z z 8 X z L 7 w s v l + w 4 D j c 8 O k b 8 O O f / E R k e j / 2 2 G P o 7 x / A D 3 / w f f z v H / 6 A c 8 4 5 V 0 T v O H P 8 i i u u E F E / z v Z + + + 2 3 8 c 1 v f g M z Z 8 / E X / / y N 3 S Q l G O m + e / / v h e 3 3 P w p f L R y A 1 w u F w Y G B v B T u j Z H J h k / + e l P 8 b 3 v f h e / + P k 9 + O 1 v f o m 3 3 l q G l a v W o K a q G m N u L 8 4 4 Y w l J V X L s y X H l I M v a t W s x c + Z M 7 N i x A x d c c A H K y 8 s m c v n y Q z U k 0 5 G L o Z w B 8 n v M f D 4 R z 0 g Y E f K T L I 1 W k Q 3 u a g v Q u O h h s C m U 0 + P U o b G 0 w L x N H k T l I L R R H y m o C h E 8 O b S h n U x F M + J 6 N 2 p m V q C k y g q D 2 Q C d U a c w 3 T E k z n 0 H 2 o T Z f e a S 0 4 g S S d f 7 9 p N J m D s U H S T / K h R T f C w 1 D 9 A V k F D C E / Y p 8 M s 6 R E l 4 s b Y L j s a g r T D D x O e n P P e h Y R 1 m V k 3 S V 6 z K V I 1 D D C T x J L i h V v l c B M x k v e j F W J O s G d u G a P k J y q i X N f v g H 0 g 6 j p P h x Z d e x L n n n p P 4 F M c 3 7 r o L r 7 / 5 B r 5 D h M o + y h e + 8 H k 8 / P B D u P k z N 8 P p H M P 5 5 5 2 H z 3 / x N i x Z s i S x H M M v l o b w u T x 3 9 N r r r w u f 4 + m n n 8 F V V 1 0 t C P i + P / 4 J Z x H h P v X U U 5 g z Z z b a 2 t r w 3 H P P i n D y B x 9 8 g L P P P l v M d Q X 8 A V g t F v h 9 5 F B z V M v n x W H S V q W l Z S L C d + U V l + O h B / + B + / / + Z 3 z x i 5 9 H f 2 8 X m b V k g / u C I N L F y a e e T Z L I g D 0 0 8 D / 5 8 U / p u T 4 Q I X j W Y I 8 9 + i g x 7 0 V i / o u Z f d 2 6 d e j p U a J l 6 e A B T x 3 0 b G Z K B S + V Y b C / p D K T t 1 1 P G k k P B 1 k K z E y M k l a z Y C b X Q Q k H h v V H x E x s 6 r n C v e g M 7 U W H l y O f h 1 C 3 q A 6 L r z D h x C t m o W F u D W w V N h j I l N K w y S s H E A 1 H c H B d F 7 a + 3 I W 2 1 T v h H H C J j J U j w d z Z r T j z j F P o u k o 7 Z W O u E L Q C E z F S i Y n 8 w U T 7 G Z n M x L B I U T g Q Q R n J m b o a L c z 9 L l h J q / M x 9 X V i V Q D j Y / G 0 Y y X h 7 r T P w 2 2 H k p 9 l P + x E P w 4 a m 9 R z C r 1 U Z m J E y x f B 2 v V n a H g G O 0 p c W T 7 b D n e 7 M s j 5 w N k C o 2 N j e P 7 5 5 w V h v f 7 G G 3 R U g 4 9 X L I d e Z 6 A B 0 Y p w 9 2 O P P C T m G j i 3 y 2 T Q i r 6 c N m 2 a i L T d c M O n R d 6 U G g 7 / 7 W 9 / i z f f f F O E 0 + v r 6 8 S a o r V r V q N l e g P i s Q g u u + w y M t u U P C u t V i e y u d m O 5 X m p m 2 + 6 H l Y y p T k T g T X h 8 8 8 + h V N O W g S T 0 Y R N m z a I U P n Y u B M u Y u D T z 1 x K T P 4 o z j n v Q v z 5 L 3 8 V 5 u n 6 D R v F d R k c 1 n / o 4 Y e F Z j p 4 4 A B p y s e z w u t 8 T k l J a g 4 a d y i / W M p N R a w r 5 6 r 2 u L f N g H h j B / l S 6 U 4 y M x G j Z G Y c N c T k U q B D f J 4 S y G + q J P + t 2 X Y W 7 P p a x A y k k e x W k s T U t j S f i u 7 L J o 7 G D J 1 B j 1 m n N x H D 6 d B 6 5 k K U 1 p a I q R G G T P a V Z 9 S D j i 2 9 2 P r q Y X R s 6 6 O x S B L W p O B 1 V 8 c Y 9 m l m a I n O X B 1 h M U m s Y s x P g o 0 n t 2 M J A Z a h f W b M a E 6 8 I 3 C Q h R N 1 s / L 9 M v g h 6 q J r 0 i v K 8 7 T p 3 / m a v p F c v s H T J 4 G o h J q K M n R 1 L 0 d L S 0 b y I k E x + X i B X y b x k C o n s 4 I U t R g U j v g p A Q e 6 b 5 Q n 6 p T 3 O c G q l t f i a D l q l C H Z 2 Y 8 R 2 e w a 5 d F J k + R y i h 9 8 i L T h v / 0 b r N b E Y M W D i N F 5 U o J g M v U F X 4 v t b n 4 m p l / + q 4 b X 2 c f 6 3 f / + D r / 8 5 c / B m c q p Y N / u x h t u g M 1 m o 0 8 s s f l Z + G p 5 W z c B X k K y f + A D N F p O w W j o E C q M y t y I + x B J x R n s Y y W v w c / W N a 5 F c 3 l S K 3 h D i i n k O U x a b d b k 9 0 s D E 5 Q I g y f B K V K q f z M p 4 m S 9 x A N i r J T s 8 G x w y l b 7 h l 7 4 y d S y N 0 U x 4 6 T p i W + A E G m 8 x 5 9 4 W g h S N p m v v P y S x D e f D J y H Q / A b A q i f V p z P d / B Q G y o r y s l i m r q P m I k J h m J 4 + 8 K o m V u F v X t W k A b J J t x h 6 q y T T 2 R b O E q D E R f 9 C 6 1 F + T I F a g S P w S F d E S 5 n x m G m k + m 9 l j V O k Y O Z B z F 6 h o J p 9 0 w E I v u c n y d J 8 i y / c t 1 Z D a + L s D X 5 X q r P d S y R 6 U O N H w g T c 3 B a U j a D 9 P u 3 k e n j Q J l + u t D 8 q R h v D 6 C 0 m T P I E w c m Q 8 x L f c 5 C Y I r g A c 4 h w A R 4 g l e T z N C W Q j 1 k z n E W O y c Z R / D X v z 2 M 6 u o q e N w e 1 N d O w 6 k n L 0 Z F N f V p Z I S Y U t H 8 R w q O E R e K D r M m j 5 u b 4 R 8 k w e q z w N F C o z 5 J X w 0 O D q O m R s l 6 6 O z q J g u r M e e 4 T I Y U h p K h j b t h L Z s u 5 o z 4 A X h S j a M d s T g n g O p F Q 8 S c k k x m H D G G V h M h o s 6 h I p l 5 q M P j H N o k U 3 D q j z U 5 + K H j c p g a z d o v x / w Q M x Q f y t A y q c w 1 N Q j p o b w 9 Q q Q y l P O A j G k l f 4 C n 5 j u J I + k Y C x 1 G u X F G 4 p O C W D S K s Y A W V X Y J r k P k r M 9 M D F 0 x 4 I h l w p y J x A I Y D R 5 E b c G J X k K K U M o C 2 / G J a Q S X 2 4 e n n 3 m G z O U Q q q o q U e o o w Z V X X k z f Z I u u o D e A v R 9 3 Q U + + 0 o I L 5 k 1 p M H g Z R o z o y q j L t p 4 Y o Z h L n G P V 8 8 p j B e z B 8 H q u c C f 1 a T m v T K B R p M e y G e P k s w G 7 + / V Y 0 q J E 6 u J k G n D u Z S r 4 m L B i i m Q u a X z o g K w J 9 S O q a Y J B H 4 K h p B m 7 X r s K p Z r d 4 i L 8 Y q n N f 7 t N P 8 L p F 3 2 B n p J J m N f Y R o l A 6 a k m 7 E 5 1 g E l K E R N y z t u R E e 8 x Q s y v r I E h Y p I 0 O h F 8 m P r z 5 N N p U w c z F O e q u T v j K C P N Z O / + L T z T v p / 4 N j + 4 V z s 8 a 9 F i P 0 M 5 k M D 4 / h j K 5 h T J 5 M J 0 n u L E b q g P M N a L t y o d s G 7 Y t G m r y C q Z P r 1 J + M J 9 v T 2 o I W 0 U C V B / Z / C 4 V h s U 4 y C m E p h B e Q I 0 p T / 3 r 2 6 D y W L A 9 M W F 1 2 g d C 3 j 7 / T B X G M j f y t 0 P X d 3 D p J n S c / M 8 I Q 0 C 9 N j V N q Y D Y G R 4 F J V V y Y n 4 T G g C R D A f b x r D P x 5 9 C u u 2 d y E Q C K L U 7 E J r R R 9 a y n v R X N Y z 8 T c a 9 k F D 0 u 1 / 7 v 0 N S a Q X E G X p T 4 S 6 e 8 9 u d P d 0 i / y t / / r 5 L 7 B l 6 2 Y a Q G X Z / N / + / n d R j 0 E F h 9 y X v f O O S A N 6 9 b X X x L G R k R E 8 8 O C D 4 j 1 j / 4 H 9 + O r X v o r R c V 7 S D d x x 5 5 3 4 5 a 9 + J d 5 P h u e e f z 7 x j j q A z V E i I o n + x s i / 4 w U E n F p T C B y k U a B 0 Y C Y z s X / I y 9 V j J E x 4 f R e T W D q S f k 8 q + D z n Q b I C y H k u m + 5 U j m U 5 w L n h i 4 x m M R O D m W n 8 Q K i 4 C J x g p s x n n Q S J y B w H g 3 r 6 B v H y P 9 / A u + 9 9 I J b r z G n U w a j X I B z 0 k f 9 R R r Q R y G I m o c B 4 + Y W x l v 6 S V j F U Q g o m s u E T m H N m q 2 C m t k 2 d 2 L u i L X H 0 k 4 G t z k I K l / p s P 3 F I D m Q y E 8 N O m o y Z a d j H 6 W R I Y y a P J 5 u W t H f / x 8 / u K S l 1 Y O m Z p 6 C p 1 g h 7 a T 3 c b Y + g N E c u X 0 f 4 U j T P X Y q z e Z n G K y / h n H O W g o t r 7 N y 5 S 0 z a m S 0 W P P z w w z h x 8 U l 4 7 f X X 8 N 7 7 7 6 O / v 5 8 k 2 i b h o x y / c C G e f O o p w U C n n 3 6 a W J 5 x y S W X Y M P G D V i 1 a h U u v u Q i M u O i + M 1 v f 4 t f / / p X + O U v f o W L L r o I 6 9 e v x 0 9 + / G P 8 + r / / G 2 + 8 + S Y N s E Y k v H 7 0 8 c c k V b r x 4 o s v o n 9 g Q C z J q K y s Q E 1 d N e w i c K A w N Y M e U 8 x 2 q / l m U p y k Z p a 5 S h 0 i s i X 4 V + o v k + A V y g r N s O Z W z i D D V x x R o F J U u l Y T C y T J l N B Y y b F n a K 2 w 9 f w F 3 s Z v K J 8 z w A m r X f 4 1 K O X a E A Q D C Q Q O V L D p o s t Q S O Y K H Q l + G Z 6 e M E y l B T S Q y J S Y m s n K K U c c h O A 0 H Y f d i n l z Z 2 P m j B a x X E Z E x V K u x 9 a I h h 5 O R I l V z q I / f G w C z K D 6 h L l G 4 y y R o F B 8 c A l l 9 a W o m l 6 G 7 l 1 9 6 N 0 5 j K r W Z P B D K U + g X F O 1 l s Z D n c l 8 x l S w v 1 h A U P F v z Z U c e e Y U L z L 7 y t M F Z j 7 w U h M e 8 7 5 x H e y J q Q 6 j M X k f n v b h l 6 b T d Q B x A 3 E a 2 8 o 5 C C w d S m d x 2 H x o c I Q + S Y L I e I K N G e U v f / 6 z W B K x f M V y M c d 0 0 k k n i T m d z 3 3 u s 1 i 5 c q W 4 A s / p c G Y F O / 0 c R m e c R A 4 r 4 9 1 3 3 s O 3 v v l d M o 0 8 s H L d A H J o G b f c + h k R h T t w 4 A D u J a Z 6 8 s m n x H q n i y 6 6 E M 8 8 8 7 R Y g j E 4 O E g M f g 7 d f x x 7 d u 8 T v 2 M i V M H E n 0 j U E G l G a m q S x O Y I 2 d 1 J J E 6 a A E t / 5 U J a G l j l R c Q j G E k k p Y j v F C g s R m e K X 4 g 1 V d R f n M u X e d W Q l v y H P O B V w 9 O t Z y U + K W D T n u d p u p 3 Z T K M z a V H S b I L 7 c B 6 G C g / T o 6 X 6 Q h J e e f U N Q V z 5 w E S 8 d s c I D h 7 O C N V z M I L G n I m W o 5 V p Y E b i c H E C G k P q P Q m C M R I g j S k b W C M k n o H D 2 x E n p i 2 o w / w L Z q C v a w h / + d s D Y g E p r 6 d 6 4 6 1 3 0 E V m b 7 d 3 L f 1 d A 0 8 4 1 3 w g g Y M v z K i T g A V c 6 U x m r D j 1 W + 5 + 6 O s f T L x L o r 4 s i i A J t k z w h L h Y x F o T a 4 T U W w J P m w 6 + g R q x R E N I m Z w g 5 y 4 c E U s d G G t W r R V B C U 6 L Z 6 a 5 8 4 6 v i + N V V V V i S Q X X 6 W P w k o x U c L Y E r 1 m q q 6 v D m r V r 6 B r K 9 5 e S t u L s C 5 5 T 4 q x y n g j m N U S 7 d + 0 T y z 2 G h 4 f w 9 3 / 8 A x b S h N u 3 b R P X q K p S 8 r / U u S L O j O A 5 M D K u 8 q a j p O Z a y h y p E o m e 1 L r E h G s 6 F M Z h s A C Z I A D 6 q 0 w N Z E s 4 T r P i s z g 4 l 4 9 o U x N i p 4 J p B S Z 3 H T O i G D t A b U g V J D z Q 9 C A G k w W r V q + H 0 0 1 m u 8 6 A 6 6 + 7 R t C / C p 3 e g E O H 2 n H f n / 4 q c v A e f / J p n H 7 S P M y a 0 Q w p 0 E 5 M O U T X J W b h / k p o J j X 0 z / B F h t H n 3 5 b 4 x O 1 W N M k E C p j a T I x v f 7 g F B n s d n n 3 + Z T z z 3 A v o 6 u / E X V / / K m b N b M a 8 a b O x o O p 0 r H m r D 4 / e t x y r 3 u j F r l W K s M 0 J f Q W Z l p 2 J D 4 X B / V N a t w / R I P m 2 X c T U K a i v S w Y 3 U p F a O u 3 Q S D p t T 0 T 5 J M 9 W S N Y Z s J W 1 o P O d J W i 2 r B c n p O I j 9 + 9 x 7 h V c q J B / o n Q W B x / U s C 4 n w H K + X j g U I j N u o 0 g P u u O O r 2 F a I y f U K j j c d h h 7 9 u z F 5 V d c S o y k I w 3 H 1 + I Q e P L B F N c 3 O R i q n 3 I H a a m / / u 0 v 2 L V z N 9 5 9 9 z 1 8 / 3 v f E 8 e T k M l n + w e + 8 u U v E z H n C o i o H c G a V W k B j 3 n a e a y t h M m Q z S j q r 1 V k X 5 9 + z s J b 6 Y 4 s q F E + T W A A s t 4 G W X c E o W x C N B Y k 4 t 2 K e u u J J B y U 0 D U T p Y d 8 W J v N i s B I H N 1 j 7 V i w Y A H W r l u H Q w c P 4 q Y b r 0 8 T l I 8 8 9 i S u v / 5 6 M U Y s W f 3 + A D 5 7 8 4 0 i C z 5 u n A 4 9 O e 7 L l 6 8 S p v R l J O i s V h O k U D 8 J g r r E F T I h I x Z K + i b a F H N I a B 8 u 8 D I J m A H V Z x w Z c 5 K Z a c d L L 7 0 C E w l T A 2 m 7 y y 6 5 A B r Z g G 3 L D s L k k D H 3 7 G Q U V K G Y j B F i T V q U m Z s 0 0 c f b A i h t o b Y m h M H Q 0 A i q q y c P 8 / M k c o w s H 2 l 4 p E v W s 4 S m m 3 N o n H P 5 t m 5 6 H 8 R o d B + 6 C U u a h K i f f d y p q K 1 v p l v z + h e y F 0 m F C + K n m 3 O w g c O m O p 1 O f B 4 a G q b B t a C s N G k L c 3 k n X k L O U p 1 / x / 4 S Q 6 m X l x 9 8 L k + M O s c 8 5 A B X i H s F A g E R Y c o N 7 i C + o n p V 7 u j c d 0 h 2 Z S r o q A g z K 5 o r F e q Q 8 d W U 9 z y J r V w h k 5 m i 1 K c 6 Y e Y o 9 1 Y Z y t r + R / h a l H U 3 v j A x N 9 3 O T P J E T T n K B y 6 k 0 + P d T n b 8 A j R V 7 I e R z N a 6 0 k W i P z j V y 2 F 3 o K V 1 B o Y H B 3 D m 0 v N h t 9 A A + w 8 Q E 5 A v N p G w S / f g 5 S 3 k Q 4 Z j B r p v G E N j Y Z R X N Y i g 0 u D Q E D Z s 2 E h t i e H q a 6 5 E W Y l D r E N j S G E S B A V y 3 W I h J V s + j Z m E 7 5 Y u x X P B S W b + m 2 + 9 L R Z 7 8 k J R t l L W r F 6 N u T O b E A p 4 S M P a Y X W U E G P b F G I P j 2 L V w T K 8 v c 6 L q 8 4 q g T 8 k 4 + 2 1 L v z m q + k h d S n Y B d m k + K I 5 w V q X x i g Y c 1 P P x G H W l p I b N o 6 A 1 w Z T J S f z S u j o 6 I a H t D H X J T x p W m Q i X S w X F A 0 l l k z b o Y k O w V w + E 4 c f e Q z 6 U R f f h 8 D k T I N A / 4 f P W I I 5 Z 5 4 J P x E z O 2 R c C o v r M x j I p O P y W O z o c V t V 7 m b w r f m T M p R J z c M T s 3 y e s i 6 F B i F H p 4 v l 5 j n I P T f I K Z S p A 8 T l + Z r F / o 6 f h e + f + D A B b j M T Q 3 6 / U v Q L g d u U y k y 8 B C 1 Z 1 E X 1 3 b S C o a Q g r 5 0 p o e 8 l M p P 0 s J u U a / R 7 X M Q g Z S h P F M p J B a c g z a 6 K E D M R o S e E k J H u u f r 9 I d x w 4 w 1 w j 5 P w M p N P E v O Q / J P h 6 W u G r b E P k b g J L 7 2 6 T J y / c O E C n D C n C s + 8 s g I 3 X H + N O K Z A w u / + 9 z 7 S 9 t 8 R 2 d 9 z Z 8 8 s Y P K n g J f V G 9 j c V j t O 0 V A c h O B K V F M F m 1 5 j v O i S f G v 2 T I u D h P 9 4 0 I k x d w y n z j P h F I s b d S 0 6 V D U l N Y q o g M u l A I Q 1 k B x k K d x H V g I J h 1 S / L g O u j h D J I R m 2 m m z B u r r d g D N b F A G S i r R M C T Y b L J Y S d J 1 9 F l r W 5 z D 5 f v 8 7 L P 3 G t 4 T E 4 q R W T s P h K k I c k P j c Z / 8 N 7 e 1 d I l h x 2 u n p N b 3 5 B t w U r j f + P / f e K 3 L v O A / w u u u u p e M S 3 v / g A 5 E n x 6 t m V b z z 7 r u 4 5 G K e H F T w / A s v i O I w n F H O 5 z / + + O P 4 z n e + j c W L O K C h M B A H I R S G Y o m q D C q H 8 7 u 6 u n D m k j P F 5 1 x Q n y 8 b 9 A 1 X X k 0 s V s w H 0 Y F E h K m C h M E a i q O g r N H 5 G T 3 D + 2 E b f x a e G n V V a B K p w q N z T A e L n p z l k A Y z K j k a x i t j S / M O v n O Y N A f 9 t o z 8 y R / 9 + G c i B e u W m 2 / F 6 2 + 9 i l v p 7 8 p 1 y 7 H k v H k o M U 4 T G d 0 c 3 E B o Q A l n p 0 C s u h X h 9 S m A G V z 4 V g b y H a m 9 m W H I T w x 5 R i 0 y C o / b g L a V X k w 7 x Y z y a n q 2 H O b m o R E d Z l L f 5 g I L l N S x 5 L l D X 4 8 e j t Z s R u e J X / b f o 4 l 1 X t r P 3 3 X h P T Y t O c j E T B z Z 0 e v N c D / 6 C E p 7 c o T N L 7 k U L W e c h m e f e 0 4 s q e A o G 2 P 9 + g 1 k 7 k V E 8 R S v 1 y P m g n Y S 8 X M W O a v w / v 4 + k b D 6 F t n r 2 7 Z t Q 4 h 8 L A 6 j H z x 4 C P 9 8 9 Z + C 4 D d v 3 o y 9 + / b h T N K A W 7 Z u E Z q L G W f e 3 L k i Y Z U D H B w 1 b G t v F 1 W V v v 7 1 O 9 F Q 3 4 C f 3 n M P 3 n v v P b j I Z O B s 9 N 7 e H l E k 5 J / / / C c 6 6 b q 8 R I R D 9 7 w U I x 8 i M W l i 2 V M S C p O K 6 C e b f 8 I E z G 2 6 i K B X w i x W 8 h i V 6 J 9 Y I 0 U D r 5 i 4 Z A a 7 3 T C 6 h x E r T a 6 6 Z W X A Y y e x d g l 0 i Y n P U p K K V q O M c k t i A M V q 2 3 T i E X 4 r H X v 8 i W f g p w G f P X e + W A n L x X P + 8 4 f f Q a l p G K c s u Q D x Q A z V l X Y y v Z W J U 6 Z 3 n m v T k g + n Q t y X f A 1 J 5 F O q k E V E r c S Q 9 H 9 X t h k x v U w x / y a I j p l c + C n E 0 h G O i j G R 8 r M l G E v 4 M b k F Q b F g Y T M Q 2 C 6 S e y c Q J P r M l T G h t c B o M a J 2 r h 1 m 0 z g 6 3 T U Y 3 9 + B v o 1 a d O 1 r g 7 3 C D K P V k O z b D D B t s t u S C l Y a x j I h N j F 2 y I M I C a S H H n k U + / Y d E J t g d H V 2 i 2 V I I m x e a y U J L 4 p 6 K A N W W N v L Z B b s F 1 n c H L b m C q i M G 2 + 6 E e + + 9 w 5 9 D m D j p o 3 k 2 z g E Q f M 6 J F 5 H x I N c X V M r n F 8 O c b 9 K T M T r j N o 7 2 v C F L 3 x B F G r h 5 R i 8 R I P B l Y y W n r 1 U L D L k u a d X 6 F r M m P x 7 D r t / / r b b i A G 3 i P k q 1 p Z f + P x t e P i h B 0 X 0 s K O z i x j 1 I P 7 9 h z 8 U Z i l f U 4 0 A 5 s P E c g E e / A m k E A E H K Z i o h e + h p K m o E H N M K u 3 Q f 8 r w M 1 H x e 2 I s M u 1 Y U / H 0 Q q P 7 U Y S n f 5 p P F U 5 s t 1 M L T e C g + M w V i m Q r l 0 d O Z x w V G q 0 O 4 U g U D z 7 8 G P 7 j R z / F P x 5 4 G M F Q V J R q P v + 8 p Y i 5 2 h D x u n D 3 f / y A m I W e 1 z q T H o H L d B l h N l Q g 5 E m a J 9 z e K N G T m i Q u m 8 n H y A q Q S J i m b x E V W H u 8 G + A P D m B x w y E 6 m d o W 8 0 E T H h L m l H A X E u e L g A W X F E v M A 0 n + / f Q P d w 5 p 5 1 A / + n x b x f H i o Y w L C 6 Q 6 8 y L x X o W U L y U q F Y Y 6 2 B 2 H 4 Z g f R d 3 F / W g 8 u x L 2 K q W d P p c P 2 5 c d x K 5 X n d j + 9 g H 4 3 Q H B E H v 2 H B D f D 3 u 1 G B F T F B I e f v Q J b N i 0 F R 8 v X 4 3 a B b X Y v W e X q P Z 7 w 7 U 3 4 f Y v f h 5 z z r g G T l 9 U 8 E 6 W 6 G B h k t + G l g S z M P E z J / O a p g B p j x K H Q 2 i B h Q u P F w s B Z 8 + a C V 5 9 K 5 i O z u O Q t w q 1 H / R 6 n W C k R x 9 9 T H x W i Z 6 J k u u 3 s a n G x V O + / O X b 8 d n P f E Y w F I f i O W T O E 7 o c H m 9 o q C e G 3 Y 5 H H 3 s C D Y 2 N e O e d d 8 V C Q x X K s o 9 8 b c k G r 9 D M L b c S Y K b i q B q n N B G D M D O l z j H x O 5 6 f 4 n A 6 F / V M h Y 4 Y s a 8 s m b d X b n R h W m k M s o W Z K B t 9 A 8 M i l M 0 D w m F s 1 k i / + t W 9 o i 7 h t S Q 4 v v y l 2 0 S m Q i j o I 4 s r B k N Z C 0 r s Y e i o H 6 V g t 7 i G h 3 z i T t 9 q D J s 2 w t u b j M A x e O o g o V Q L Q M a A f 6 c w B d d 0 N W M k 0 o k O 3 z q M 0 X V l Y w 2 9 G u h C d n G m 2 M G D / a r w K P 1 M u Z d s S S w k J K a z U 9 8 1 a M n n 4 v A 7 n 8 e C i e c A Q / S e B R W P E z M n f R c T c 4 M h B A M H E A 5 0 0 r E x + q z O F S o j J I I j r K U I r k i 3 m B N T B F k S 7 g j 5 S Q l f d s h T C b 3 V h c F A O 5 1 7 m C y m I Z x w 6 S w s u K Y U J 1 w 2 G 0 a b D o G I E / a Q D f 3 b f T i 8 Y x 1 e f O 7 v W L l 6 H b 7 4 x S 9 g z p w 5 O P e c s x A J + X H G a S f j w v O X w m S T E H Q F U e P x T k z 8 Z v l Q V l s J O s / M 7 U O 9 S / 7 P + d / 9 r s h U m I x O 2 U m X N P L E C l m b g 6 M z R I B E t E x 2 r F n W r V 8 n T M c Z M 1 p x w Y X n 0 8 A p k c O g P 4 x n n n 0 W X / r i F x N X y w A 9 O M + H e U h b / e 7 3 v x f 7 Q X H R T F 4 M e D w x d S p 4 8 r j g t S b A D V I o j I e A 3 / E r 2 U w 2 2 h L f i / o Y 1 F 9 x Y i y N M t O f D y w g R E J x X A u / V y m 3 5 Q m O E c v p i E D 3 w B S c j d p a I k 5 q O 7 f p P 3 / 0 Y 9 z z 0 5 + I R Z C f / d y t e O y R B 8 R v l A C O Y m Y p 8 i 7 3 A I g i K t b Z 4 n 2 n b 5 X 4 q 5 N M s P e d C s f M b H E x 7 I 2 j i g g j V x v i g T b 0 R A e o P + K o N J 4 M k 4 7 r b h h E e l q q k M w H b 5 D d C B n m W A d C B i 6 I W V w G v y 8 6 C I u W i 1 V m y f s k e D m J Z B B l p T 0 R 8 g e L R N t Q E 1 q r y c S l 9 l q i A f h 1 6 e 0 w y 3 W w m C y i n / v 6 B u A 7 L M F p N O K Z z T J u v r A C z 7 0 / h t 9 8 L d v U 5 P q U 3 m 4 y 9 5 1 j g 7 J E n C 6 b p g m G s l h L c e D e / 4 Z p i C S J G L R k R 3 s v v x w L L r o o 8 S k 3 R H Y C / Y T d B 8 6 O d h E R l Z a W E B F w 5 8 a R m p 3 O 2 7 G w m q 2 p q R F S k I m P n W L F i U + C I 4 l M c D x X w s / I j e W X i R o 6 7 h o j 4 r M T s S q a M N P + z Q V B 5 H y v t P s o D 5 7 a 4 l x z V Q o z J b U S Q 6 L B 5 Y l k 1 d T J A k l g m S S 0 y z k q d m 3 o 8 g 0 T c e p w 7 0 / / g p t u / D R O P 2 M J + X 0 f Y F p j A + b P r E O c m J T 7 R X C O u B H 9 w 9 K b u Z i 1 Z B 5 0 + 9 e h h A T Z u I Z N V 2 4 J U G N c S H 2 m g / e Q B u W z s 3 + 7 s c u A k x s D 6 P a t R 6 P t 1 L S g B C + D k M 0 p i / A S i E Y i Y q e T f G A a Y H N S L e G l 0 N c n k / y q Z m v w y G m I R s y x k G A S x Z M l k z d K m p A H k M + h 7 + P E p D F 6 R a m d Z I 1 D R w 9 a o m p S w v i Y E 2 X l S c b n o M P d j 7 h x 6 2 W V + N v L w w i G 4 7 j q F B s u P Z V s k J Q d Y V R k a y h i K F 6 u M R l h 8 r w Q E y V D P L q s T 8 t A Y D D x y d o I t U e Z e 2 K k E i K D n X e + D k t s B o f k z W Q q c i S Q S z J z l g U / C 8 + L i C X a d C Y T O p s r m d c 6 M v A 1 k 1 d K / 5 S O Z C o / t 5 9 b R F S j D l b i V 5 z K x I s l m V 3 5 S D R K v p + O p X o A e / f u E c v 1 B 4 c G s H H D J n y e f L 8 H H 3 q Y / K A v Q j + V 6 B j 1 v V K u K z t 9 K R 8 T M M b 3 R V E 2 N 3 t c D 4 5 v Q 7 W 5 H C U Z 8 z W c I S G b W x K f k m D r g v 3 Z f E h O Q 9 A b E Z S g 8 Q 8 c p m u l L 0 c 5 G j D d O E N d d I e k 3 8 s M I x f S a n n A O Z N a N l M T 6 W h s C Q z z h G 5 i f R Q j E N H B r E + a l G x N 7 F t 1 C N E x O x Z e W Q e z z U z 9 E s 1 l 8 p U m + i B d C q c i m r L / D k O X Z 6 6 G B S z P T b G f w W D J l W m 3 8 8 1 5 Q V o 0 I g s / i Q e K t Y / Z z J P N y v f J n 6 R / O u Y Q D e c B y b 6 H E n y g P m G n P E W K K 2 B T K j m Q o o y Z E B B x B E h A R o k A O Z S 9 a + d 2 b N m 8 A a d f 3 I p G x 8 n E o A o x x E h 4 c A X T o 0 G h 4 i c q A m N B 0 Q Z T i Z J d k Y l + N z n / j h S z M E i m U Y F J 0 d T R C I Z j 5 N P x 2 P E n 6 i v x P B n 1 + d i 3 I 0 v o W C E z l 1 B L D M X a R y / Z w X X l I w E d 1 q 3 b C L f b i w u u P C F x V j Z K 9 S 0 i P U u A f U F h m h Z P Z z 5 y U V h r P / 3 0 s w p D s X k R j 0 R J / X V D Y 5 t F A t A D T 2 8 p T F V B G L h o Q w p 6 / J v o X + 5 K v q U G D Z a T x P t 8 8 H b q Y J u u c D a v M t B p 4 h g N H 4 Z D V w 9 v b B D l h l b x H d v L w o E U E 4 Y 1 Y s c 8 L t i R C a 7 T r W x d + a + D s 8 0 n i q d o 6 X n V 1 B s p 6 o P G u x N G / 2 7 I e g P 5 0 G Z E S o l J b M 2 w j j w I X + X t 1 E 1 x 7 O p w Y V a D H e X D D 8 H n u A x m 7 5 t 0 r h 7 B h p t I k x 3 7 + g q T p f m 4 D 2 u V J f c 5 M O Y j s z B 1 Y p k D C I Z q 8 o U k 2 B I T 0 L n A W 9 Z Y D I n f c b A h Z S V v J q T Q g A h o M P U c D Q K x c f i j y S R Y 7 7 A e k a A P 3 f 2 D a G 2 e i 9 q 6 C q x f t w m H D h 3 E N d d d C a M 1 g h B n o h O 4 R r 2 T y K y + q Q T D Y 0 O Y X j V f C P F M i G f l 5 S c i I 7 4 4 p G k o h s 1 e S k J a 4 V a Z p D I T e f p k H U k f e v G P O N L F 5 l y h z u E t L v n r 9 P o F q m x T b 6 3 + X j 2 e C z x g / B 2 / + P 3 U V X v R Y J 9 N p S s y 7 S Q p R K / E s 2 l 4 5 b J 6 b + U Y r x x m a B K a W h P 3 k h + k h G e j 8 Q g d p 1 + E x u A J p f c V Z 0 3 Y x p 9 E U H c a I l X 5 5 8 m K R s R J z F T Y 8 Y 8 G Y g i T R L V U 5 P b F V C s i R B a D K d Z P v o + y w L A o i D z I 7 K y C n D g G S + F T N R T n N L 7 + w m q y s i T M n T 8 T 0 + e o / a D S G F s C M q q s M 3 M y j 4 p g K I S x 0 X H U 1 + d I s W J h x X N f 6 j x J D i Q Z K l H I I 5 W h G H I i o p V K C L n B j K b W f U 4 / V 1 h S d E n h Y w v C 5 F c 6 U S b / Z q J Y 5 k l e R 8 k 6 y N 9 o A a I c f h 7 x G / F T e n 7 x 6 H y N I 2 N Y t f 3 8 V 6 x O J S i R S y 1 J x T B Z P B / D I O 9 n + w g h + 1 L E S l N M I j r f N P g i N C R F g 2 X n I 2 4 h z U 3 P w h G s M d L o 1 Y a 5 Z M M r G e o s n c 3 a j G I p C W 2 i g o k m 3 / S H s 8 O H S K U d p R Y P 9 C k V d l V 4 y D q w s 3 V Q B I O q k P w H 8 0 4 B Z I E 3 F 1 C L v X D Y X G i s q c M b H Z j Q O o X A d U 0 q L S 0 0 D l M z q z m h g K d + c i E e G i I X x Q o T V 5 C i z 3 6 f T 5 j 1 x F D 9 s k R f i r k V a p i t t I E I S 3 C Q i N S I N F Y a G J 4 t P j L Q 7 2 N E Z F o m 0 l w M o z K C g u Q n I n A i x l z V O y c D + 2 1 C 1 C Y c V N a y / F Z J 8 s 3 1 D K l I f 5 7 i M D k D 8 l y R p v d X c D v u 5 B 6 B O 9 K L M B F D l S m z D n g S U s Q L r X M V T K E 9 8 G j I L K m / F P 2 B b a g y z h M S W Z y T Y B w h d U k o 9 o 8 E x M 7 w J 5 1 4 A p q n 5 / Z / 3 G 0 a k U Y T i Q e I o Q p o K i b W o j L i u c 8 Y U + 2 3 B N g c S I z V V J C 1 H i t z 7 O g j 1 + U o p J G m A g 5 E c N Y 7 5 7 A a T U m z l t 2 Q M M q h p + + o F V q y 5 S 0 k X W b Q W + 6 8 5 M 0 D f i 8 O H z 4 k O J w X C n K 9 O o 5 W q c / H Q Q T O S j h 8 K L N h K R B t p A 5 L 2 F A 8 U M q S D X 4 x m C C U d x w 9 + v M f 7 1 M + 8 P E J Z l J + y y c K M 5 S j h 6 T 1 2 g 9 3 o L O t U z A Q P 9 + h g / t E 5 n U k G s G h t k N w e Z x C M 3 K x e U 5 v 4 p J m k 2 M K n c 8 P I Z C b G N Q W q o h 7 l M l J D v e U 6 B s L M h O D l 3 h E q y 6 F t / G 7 g p k Y M w d W w t H 2 M D o 6 e 8 A 7 M / 7 g 3 / 8 T v / 3 d f W K d k 8 k Q Q G 1 1 B a 6 / 7 q q 8 z M R g Z n J 1 R v I y E 4 N l T 4 T z G I u B m J i d Q r / x Z G 0 q U p h J C v L E f G K 8 C y A 1 u q f C G E s P l v E j H S t m Y j A z M V K Z i c E + P Z f K Y 2 T 5 U C Z r G f R E g B y 2 P u 6 4 4 3 D i i S e K 9 + e e c y 4 2 b 9 k s N k 3 j J e 0 c z r 7 6 6 q v A W 3 v a H Q 6 x O 2 A u 8 I L F p 5 5 + i g i g A z + 5 + z 8 S T K I 0 k q / L U T 1 e P 2 U k 1 e r z e 1 B X 2 y B W 9 C r M o 5 w q N E t G v 6 x Z s 1 p U m l 2 2 b B l + 9 7 v f 4 g c / + C E W L 1 4 s G I r L Q H M m B S f w M i N x U f r z z j s f q 1 a t x C K R T H u k 4 I H m B 0 l 5 G N W e T U B 0 J v 2 T O Y 6 s o b z O H l g 6 n 4 C / 9 Y 7 E 0 e L B d R 0 e e + J p 3 H b L Z / D Q I 4 / j 5 J M W Y 8 F x S t j c M L Q C k f K T o J G H E Z E a S Y A o F k Y m F M F F / U r 9 H p G D R C D 2 w g S X 0 b a c 4 I K P Y t v O K a A Y j Z R w Q f I h M y i h w u L p Q Z V v C + J 6 A 6 S o B H / D l 8 Q 0 R l 9 / P + r r 8 q 3 l O n a Y Y C g O G o y M O l F X V y 8 6 m b f 8 / P r X v 4 4 N G z b g l F N O w X P P P Y c 7 7 7 g T T S T 5 u D w y 4 8 o r r x Q E + / j j j 2 H 5 8 h V 4 5 J F H h J a 5 7 r r r 8 M A D D 4 i N 0 x Y u W I j B o U F R Q J K r w D I D c F S R z + E 6 5 p x K x I U j m Q G + + Y 1 v 4 q f 3 / B Q n n X S i 2 I T s g Q f u x z e / + S 0 x D / W V r 3 w F 9 9 x z D z H E C f j o o 4 / F / Z n x F i 1 a h F t u u Q U v v P C C q D 3 B a 2 l 2 7 9 o h 1 t Z 8 9 a t f E z s d c l 0 K Z r T 7 7 / 8 H M d 2 J 4 r f F g 5 k o / + A L y 5 L + p t K l O E a f x a E E 8 c j x K L w e F y n r C C y H / w D f L G X P p 1 S w 6 c Y b 3 u n 0 2 Q z B u X z x W H I e h O 8 h g 8 u 4 J f 0 C K e K B 0 b U G w c r J C 0 k G o k 7 E R 6 2 w 1 h x d u B 7 B X p L C + c s r 5 0 Z 6 n 2 q C w y Q U 3 o V O 7 o V E g p o t E B g N I m 2 Q d 6 I H T 8 7 K W s R 0 V Y j q p y F u r E f Q Y I Z b 5 s l u D X R h D 6 J i m 1 M Z d Q P v o 7 8 2 P f n A 6 m 6 H Q 9 L B Z T 2 9 q A y P o 4 F g q I H B E U x r r O e n J 0 L Q 0 O B p x R 6 2 N 9 / 8 G b H I 6 6 y z z 8 b W L V v w z r L 3 8 L U 7 v 4 q e n h 6 h X d j k e / T R R / H T n / 5 U l F J m s 4 u Z k Y v 5 8 4 Y B d 9 5 x B 7 7 7 v e / h t t t u E w z F m d / d 3 d 3 i n I s u u h h 9 f b 0 4 6 8 y z 6 G 8 / n K 5 x w V y 8 L I P r U v A u h J y S x L v g c S d c c 8 0 1 o q j L 7 t 2 7 x Y P 3 0 j P w c / 3 8 5 z 8 X m b 6 p z / r d 7 3 4 H v / n N b / A u n f / z X / x S a F S u O c G M d + + 9 9 4 r f 5 w M v g m R G U B z Y F C 7 J Q m F G U 8 C y i m O i B N Z Q Z I K q s P f 9 D p 6 6 7 9 L X y j 2 c J M x K K 4 o L A O S D H C G G V Y u g Z E D n P Q A D + u G 3 q T X p I f L 7 b L y V e R 4 o U d x J N F Q x W i w V J G D 0 o 5 t g D K x D X L I R 8 1 + J u C n 3 N j Y C e b R Z L B 6 E M 6 L k 8 m k 4 A E T C S B s J I G L K 3 X 5 G 6 d h O m H T V 6 I r O J M X x y U y 9 i C e 1 l V U L 5 u A N g d l O Z H N u A W k W T l g 9 e + l S o Y m + + K U v 4 W c / v 0 f U i 1 A 3 Y r 7 p p h u F J u K E 2 F t v v V W s o O X l F r w P L l c x + u a 3 v o X L L 7 8 c N V U 1 e O X l V 3 D q a a e L c 5 h Z W n m j Z Q K b c 7 z c m s E S m h m V l 1 q w 1 v o e M S P / n T 9 v n k h O T A X X l m A m / f 7 3 v 0 9 a a J 9 4 7 r O X n i 1 2 6 P j L X / 5 K 3 4 1 g K Z m p / / 3 r X + O 5 Z 5 / B 9 K Y m k e s 3 G b g A C x l R 9 M r P T D y 5 G + X V z E V C v R I z l l q m z F P / P Z i 6 n h X v u d 1 2 u x m D g R 2 I c D W m I 4 R R l z / i F b X N n m A m v W 8 f b G M v I R 5 k 3 y c J F q Y b N 2 + j M V E Y R I 5 O H k E T t b 4 L I R 6 G q f 9 5 2 P v v g 2 5 k L V 8 U k c p T 4 a v + N P y N X y z M T A x m p h z 1 K K S U 5 O O 4 R o 8 4 7 7 l V g J k Y z v K F G H D U o D 7 y D s K 9 9 C y f A L J 8 K F 8 g Q t x b K 5 Z D s 8 b g 5 F K R 4 2 c x i 0 h w V p J A B l h d / + Z 3 v x E M 9 c + X / y m 0 E d N o J E 5 d Q I T D / 2 X u S H c 0 y L e P j 0 K + / E q 9 l 7 K U P r v a b f G Q y B k O x X R p O 0 T k Q + q z C R 8 q o a F 4 W 0 x e 5 M f f m / r e g r v y U m z d v g M n H 7 8 A 2 o T D O + D f j l p L / t n 9 Y 4 H A s I S P N r 3 D w p 0 E a g j / d p o P o e p r S K o o Z l H M 3 w m t J V m j P D c U T a 3 v Y Z N t k P p 2 h L S k h L g 7 A n / 9 T Z C t e Y I j U / S 9 J H 8 b Z J 5 K S I C D E m O h 9 s S n 4 s E B I X 2 0 A o c P d + O s 8 o / h b b x L H D 1 W k D o 3 D p O A j J N f E 4 G 5 J o a I V h J 1 G w y 8 O 7 i Y m 1 F u x u W W 2 D z h T z w A w l J J m C t i 8 p Y n Q J W 1 3 m J J B Z t 2 V 1 x x 5 Q R R i R A 8 / 5 D A 6 S 9 H D 7 5 W o e u o z J N u u r F J x + m 3 s p A M P F + V u B L 1 g X I s F c l 7 c D s i Z M c X L w v S n 0 9 l K P Y x W R M 8 / 8 J L m E 5 a e s 6 s G S g v K 4 E 9 + C 4 8 p u Q K 5 a l C F 9 q N q D H / 9 p q 5 E A p H E e 4 z w N 7 M T K G g 2 7 s B 9 b o T B G N L n k 3 w R a 1 4 Y P e 7 O K 3 e g f f a B / C z J T c T J 4 4 h b m 2 G d e w R 4 g s T A n O U a l d T A u f O T X F e S G j D l E W F 2 W F z B c 6 R M K Z X z 8 L h 3 p 2 o r F O Y l j d b r 7 S 2 Z A t T o k l b 7 1 8 R k c o R q v s 0 E e n R + Z Q T G i o S 9 4 k 5 j j l V l 4 g B n w C p a H a U 4 2 G S Q h l p S G o B x w R f 5 Q H r J I U R e Z a e F Y b O m E u j T A E x c k a 1 7 I T m B i d O M j G H 4 2 4 Y N Q 4 R E U q F R S I J L J Z d U O c H N W Q q y T C n l I Z K A 3 v G d C 1 3 W A + H M U l 4 U w U L r Z d J Y z e R 6 b n g u L m I x q L o 6 u r F u N M J f 9 C H s 8 4 4 E 4 F Q C P Z I G 6 K J 5 R c x z m 2 c Z H G k C q v J h w O j e 9 F g P T l x J B d k d H p X i X B 5 v S V 5 n q s 9 h p K W 7 D G J O L d D X 3 o C v G E f b I a M i N t U s i L y I l 3 o F A M p N C h + x a M 8 i v y l y S x y A 8 y J c n d T A W / t a X G + C H / Z p x G 3 F J d 3 G A + F o U k U p p l g K L b f a 8 y 5 i 8 d 3 d f a i q Y E L X e Q n 4 r w I D y O u J 7 + L + s 0 / N I K I 3 4 K S 5 u J z o 3 K C 1 8 K k z K H 0 + j c K b d R g P h n a x B I K 0 r n E u 0 n B w G u D q l G C X t 9 C R G U d 5 t R E 0 4 Z y c 7 c B J 0 3 L m M c g e M M 8 T y a J k r z F w h D v R V i T H f l i 7 f j E 4 y 9 g 3 r y 5 O P 2 0 U w S T 8 c r Z T K 1 n c G 8 k S R p E w M 7 F L o s j O L N 2 m A R H d i n h T P A m B C Z t K S y 6 9 L q A o s B O w h p R I U c D Z H V k E 6 X s 2 w n J u j D x 6 f 8 e / P 7 d C I i d X H I j t W 7 g k U D j 7 S D m e g U h 0 2 m I V J x O Q z G 5 e Z L l Q 6 V i 3 / 6 D m D s n k U 6 S q I x 0 J J A D 3 Q j r m x D w h i E P x l E 2 J 3 c n B E m T u C J 9 q D H l N 1 2 S 2 6 Y k M R L c R 5 0 3 O 1 2 z C m e Z m p Z Y 1 L a 2 w 4 D T p n M Z M 7 p P Z B w m t t + F C U H f J 3 6 3 d 1 C P l o o o P E E J O 8 g U O p 3 O t x 6 B V t K E d i F u X C D e c 5 B B T 9 q Q N Y M h f g 7 q H K w 9 k + C E Y U 4 E r r T G 4 Y 0 M w C b q J i Q l t 3 n o d Q S q L q e P k 2 h 1 E W O e x M E t A C / 1 j 6 1 Z E S g D / m 3 k v y 0 i n 9 l D F l D 6 m E e c 2 0 h r p S 9 H P y K I G h 1 H 7 s s K k K U y G h 0 U f R a O u c k i S Q Z 0 v K 4 g z D Y j q o t N h y o G 5 P c Z B z + A Q W o n 8 7 8 e o c o L x V y Z r G N N r Y x X T o Y a G B g U q 0 j T M E W G W t 9 p Q L V j H C 1 l 1 o l 6 b r L 7 M F z 9 L S i d k y D 8 S S b v c o M J M l 8 Q g p F f o n e M 6 U Q w o M b O 2 i n R A Z F R y I k c u W M F v d x H N n l 2 U m m v b w O Z Z K e S a b 1 Z + K E 1 p o U T G j V I L g V v r 8 L o 9 W 0 n b e Z F k y 2 l U h P P X / W 9 D G 1 N C e K j b t J e Z 5 I f 0 0 D a Y j d p i 6 n 5 T r n g 7 T T C N j 2 U + K R A y Y n M L Z W X H z L i n J n p 5 0 8 F R 7 M + S p n a 0 Y v s h J 4 D O z D Q t h e e s R E s u v p K U Q O D o 6 Z j Q z 5 U 1 N h I G 5 f A q k t q 7 i g 5 8 / z 9 l N a f T Q o a T A 7 v x 9 P W Q / E f q f D i s S k 4 k l w 4 c D C 4 A 0 1 k h k k J W 5 s b M r 4 / A H + d H Y 2 8 t J Q g C j F a F J 9 h M k i B N h q E Z K Q n F Z J 3 F 2 S b o h W K A U + M q h Z O 6 r L x n E j 0 k E A G v + Y q v R X 1 b o H W d g I x R U w s 5 7 b r 6 4 k s j + U A E g O Q T 8 t 5 l t Z w N 2 B 0 k F C Y Y r Z C B t T 8 v k K I u z Z A Y y d T T 7 S X 2 q N a B C L 8 S 3 + n E G S Q g r 2 Q p z g h z H S 5 5 Y N X M W 3 O C a R 9 b P C O j a K q e Y b I m O C J 6 l z g T J 5 K 8 2 y x i y J L M X X V g 8 8 1 B k d 5 J X R H n K O a G 4 K h P N F + m D S l B X O 7 B N g R Z f + F K 9 s U g 4 y o D F f e c X d 5 U D K n U m x L L y B U P w / Q Z A 3 j w c 5 1 D n W S W C O V I 9 2 + A H j F r Z Y z 3 y f C t / S e j o 2 F h 1 C e k r W d h f w K 8 B N B K u P n g r p u b N i r Q Y U p A J v r T f j L r 6 X n n B q h s L B j I a s u B s 2 E N n I Y 4 7 I B D s M 0 6 q n 8 m q u o s s t H k q 6 U A G e M 8 I J M 1 d / j 8 t C 9 0 Q E Y O Q 8 1 R 3 S s b f 8 Q Z s 1 t Q I m h C e E w F 9 a J C O 0 W 9 L h Q U n F s L R O G 6 B W 7 r m 4 i n M j Z D n n B m q a Y y T 6 2 5 1 l i Z N R N 8 / R 6 Y S o 1 J 5 m J w S Y P S w 6 x I X P K 8 V S I i b 2 M A S T 7 2 e n e j Q 4 X a a 0 p M l O f S w u t T I K B K Y g G d n V H F A e H 2 t H p 3 A d 3 0 A N f u I g 2 / o t Q i J k Y 6 i L M K h u v W z P C V / 6 p C W Y y e V f D 6 F E 2 5 l Y n l D s 9 u S c 0 e b 6 Q A x O x k K q l i G n I X 9 X G h 8 g H J h N U 3 w q z r p x 8 P r 9 g J l + U a 4 7 k Q I K Z l M p L 6 r V S Q W N 8 h L 4 4 g 9 O v U o M n v O C z z r K Q B E + 6 b 6 q C K Y o D V h y M 8 c o d 8 G t 6 o d P H Y S s r F 9 M G L E i O J S a o V J N w e g 8 d n m S y r M A S Z o m 3 T R F v S O P k q H A j y V b Y 6 s x i A + Y J s N a j e y t 1 E O h 4 y l Y k I n c t T h 2 V 4 m d F f Y e I i Q 6 j w z s E p 5 w a t p U Q I E e E d w L J B Z 4 H 2 9 5 n E L X E q 6 X t d D r / l p p P / d l Y 1 g W 9 k S S 0 R o 8 W u w H D Q Q 7 N 5 u n o S f o / 5 p v 6 Z O O x B A t p 3 q 6 H E S Q f b F h / G v z U L 9 b x 1 e L Y d P s Z Q u v l g l Z P Z q R B g + B 4 G D J J c g 7 + x D T V G O Z d K q l / e e 2 U n l c m k C C y 6 g p n O H D R H 4 W 8 6 G a c 7 6 e C 1 2 3 x O B 8 j c E k w V 6 g N X I g m F y q r s 5 e f O M N d c E c 7 Y D Q o d f i P J T L E P n D C 8 Q v S a C b M c z 6 Z i O V 2 R p X 9 f v L D a C 4 h W 1 e D 8 Q C X T Y 5 i 0 L + T p G B K Z z N 4 K x L v b j G g n K F B + j n x B Y G k Y 1 9 M q x w n m P U W R E Y 0 e O 3 1 t 9 H b P 0 h S t A J 7 9 y m F C l U I A U Q v m R h x c d l G W P U y C c h 0 X 2 u 6 o x X N j h n i 1 e H r I a b i U m d H 1 t H H e o C O B D p R z E a B g z S Y x a R H p H I J z P 2 v i m O F H p G / M 5 U Z M N 4 R x v 3 r H x b H q s 3 J S r c 8 b m n R 1 E l B F 9 Q l B C I v j 8 + w W o 4 c c m J i l 7 R q 4 n l 0 v L Y 9 A y V l F g T 8 2 d M h r N H y T Q w f D b J 6 x u d n l c 6 g B w 0 P I O j f R w S + U 3 y e Q G r s P z R I 5 l o n / S 1 c G y 0 w H k K E 7 G u L Q S Y z R R a O f A 2 p 6 s w O 5 s 2 0 Z N t x k O J K J j G D G U y A p O N w W w A P / f 5 p l K I a / 3 z q L X o s G X q T F Q 1 1 1 b B p 3 Z g 9 Y z o x X p C Y b R x R T 9 s E W + h s M x E 3 T Z 7 K U 2 W e g 2 h s E h 8 g V e J k Q C o w L 1 I s 0 j T 4 M U S g T t k k w B F + U / x l M 5 A r p K b C F d T i n T 3 / w G H N y x j 2 j Z J b m f 4 s U 6 5 9 z i 6 C a q 3 w o s i j n g z m g J d T a K Z M R E l L W a P p + Y k M s 0 V x Z z j g l o l i m I p X W x c L y T m w W 8 Y k m m U y S F E X 5 A z G 4 D 1 J u T A 9 V 0 d l u A 7 I s L b I G A / p y d 5 P a V i o D 3 F D N X q 9 m 1 B l m Q 8 T 7 5 T A Y F O Q 9 0 E a C W P 1 m j W 4 6 q q r s G X z Z r z 9 9 j J 8 + / / c Q Q M t o 2 v c h G p L O Z r K i V l 9 w 9 C a C v t S 7 E x 3 + V a j 3 n x y w Q C M O 9 K D S o M W n q i V n N 0 8 z n M e m p e j i a k A M o v S 6 2 g c O 7 C W C M d 9 I i S s g D l 8 a k x o 6 n 8 d 4 b L T 8 i a n e g c C e O b N 5 9 D a 2 o L m 5 m Z 0 d B z C B e d d Q D 7 Y S j T Z z 6 K 7 F X k / P 5 n A l u x S Z E e C Q G w M / u h Y 4 l N h c H 2 + o N Z A P Z N 8 T t 6 Z J F N A q G C / s M z Y k t W u e C I A I m m L E y R p 8 1 A + r w 9 W 2 x T n h d g Z z J h 0 5 O L 7 X F j + / F n K i k 9 2 / H i H R G t L L E d R f g I H B 8 L 9 C E q 1 s N s s C A f d + O W v / 4 C 7 f 3 w 3 D h 8 6 j H n z Z o s y T W 3 j i j k 3 M F a H E 2 t G o d M 5 o M m x X I F 0 K 3 V L + j M x m J m Y q V J R Z 1 4 M Q 6 K g y p S R M T a x Y G g i u f V f A f Z l 2 P z i A M F k P k 0 h G F x b o I s N w l 9 + G b V J w p t v L h P 7 M L X O a E V J Z T 0 J H z a v i T Q n 4 S E 2 d 9 / / 4 G O x L c 0 N n 2 Z t q J L W J D 8 s E k d m o i n C h t f g q a 7 C Z H D o u c 2 p 2 T z F C S y u l Z j G U P 0 D g 6 j L n N C d D J O U j W K 4 e v 2 i 7 l 5 F s 1 V 0 O m P / g U O Y P 2 8 u P Y U G 9 9 7 7 G 7 E 9 6 G c / e y P a 2 n t g L v O h w T 6 N t J 4 d b S P E o F E J R l 0 c J d o B O C x m 4 l + b S A m y k f m Y C 5 x x Y c o s Y p I B n g D k e T I G B 2 S s u h q U G V q p 2 1 I 6 L u 5 H h J 6 X S x n z 8 b G B b p T X p g R l c v S x H A v Q 8 0 0 9 h + z / C c T J b w 2 P k N a q E 2 u n w k h f 4 c q B n U y B y B u 0 P f b Y U z j 1 t N P I y d d j 4 f H H w W Z R i D H G 8 1 Y l p 6 T 3 6 V G C g 0 U c s S s E f 8 Q J S 6 K 4 j C P i g 1 t v R c A X h t k 6 l c w M C R X G H B P P L P y Z w X h O N s L x B f p M 7 3 n V G w d i c m Z K F A 0 O K H D B + E n g 7 R 4 i U y + O p l n 1 e P X 1 N z E 6 O o b P 3 3 a L Y K b f / + 7 3 C I a C u P s / / w O 7 B j S w m Z e j 1 n I 8 M Z A N R v Q g B C X N S B 9 r Q 0 S T e 1 K X 4 Y n 0 i Q l U N o U M O S r 5 p E L V V B Z d J Z k Q x L G E a Z b T R Z q Q c c K M Y t v b h G A g h L H + L t j K K q E 3 m s X v J u Z g c t B J P D w O j U F h Z j X t 6 P 9 P i E V i M A d W I u w 4 F x F / D H q L o u k 9 5 N f Z j c W T i l n v R i B y d J P N + c B R O s 6 L z A S H x 3 l s o v E w W U l E B 2 R 6 8 + 6 c x j i Z y O R f j Y 9 5 U V p R f M i + 3 F B k g R d y W 2 B U M m M m G G r 3 n v 0 4 b n 7 h y q O Z m G y L S J 1 O j 5 d e e Q 2 j I y M 4 c P C g q G H O q 3 l P P v k k M u t 8 p N z G l U K C B W D S D C I Y J 6 1 Z 5 F g O B n e S y m 6 A W V t O p t A I R k K c 5 z c L N t J A K s b C h 6 i z l M R J f 2 x E a C A 2 + 7 j z d q 9 e J p z X R e d d j U h g h E z K 7 P B / G l L 6 O + b e B a 2 j + G y N / 1 v g y K 0 h R 7 a + N t y G m F p 4 N O r F S D t Z F b O K J 0 A V M k / W c z R w C g U i p 4 r c 5 p + M U C R E Q t U l G M t I b d S L P L s k 5 H A Y U p E Z / L w f V V H u Q E q F X S F q O T 1 j q s z E p t 5 k E 6 p M o F y A x e 3 x 4 M u 3 f A 1 f u v Y r q J 8 + C 8 H x g 4 J o U 5 l p + e H 0 h v P M P M P v T q S U p B D u 4 P C w 8 M t U d P p W J t 4 p + X G 8 b J u l l Z U 0 U J N 1 S R o z M V R m Y g w H 9 9 K / y Y v P X 3 I J F p 5 9 u d j o g J l J 5 r S a I m E p K S K 4 Q 3 2 y f e c e M e P / S Y N N t F x Q m a n X p 0 z 6 R t 1 b R N W k l 5 b t o c d T t K / W 3 w e z o a Z Y O Z a E d z c Z H o Y s Z u J g x r F E u T G X t U K u g d 5 E m r Q G N m N V F j M x m J k 6 9 v Z D w / O b e c A W D m e q F + 1 b C 2 Z S e u r I T L 4 j W A s T j w Z J M 1 Y g V u O n x m b f 8 t C w D j O r l H m E u L 8 N m p T V m U b 0 k e l X L x g / 1 b E U p Z 3 J I m F 2 U F Y Y m z H u d K G i v L D / l O o L M D M 2 W f N H r Q x y F 8 J S / p J c A o m f S o G 9 k M 3 p B f z 7 f T t R a z 0 e v b 0 D Y k v T 8 8 5 d C q O x + J y 3 T x K j 4 4 P Y u n U v 5 s 2 b J 3 Y G a Z 1 d L 5 Z 2 q P B 2 j i J Y V o p K h 5 b 8 2 D j e X v Y O W p p b U F V V g d q U Q v p p C J A g P I a b A q j o D 2 w V K w p S z X k 2 + 9 j 8 O 1 L 0 d I y h o c E B S Z 8 u 3 E o N 0 x M L U 4 t H P N A J j X k 6 p P H R Q b k o O 1 F F M b l a G d C E D 5 O D 2 w z e G U G v z 3 2 v 1 e 1 G n N m i T B j H / R 3 E U O k 7 S M g c Q T E n N Q t H E i f b N V 1 F h L Q N 3 5 X r 2 I W C Q X h 9 A d i s F l G H o j u w G t O t Z y s n 5 o A u e h B R 3 S R L A B J N i j q 3 Q l e 6 m K S 8 h P 3 7 D 4 l 1 T 2 s 3 r M H M 1 t l i V e 7 / K 3 j h p V d J E G l x / W U L E T c q S 9 x 9 k U F Y 9 U l N z m 3 Y t n 2 P K J 5 z y g n T s e v A k C g p F y a Z x 3 O J + R A L D k w 6 f X E s w c E l X z S R o X O E 6 C X B M b P B q q y t S v D C 1 N d S y Y j 5 u i B 1 D W 6 R u Y L o U L c f V d P M O L B j B E t O W Z I 4 K Q O c N V F g p W w m 5 M T S A t 9 g G D o 7 2 b e x C A 6 O m j C / Q S / C s K n g I p Q 6 U j f a 0 A H E S B K p Y M 1 j s 1 k R 9 + 0 j J s s u D F k o 2 s f I F y 5 d 3 + N G X d k u T L O e k V c 7 M W T X a s C x R K y e V e H D q I g i T Q Q c 6 O d s K q 1 c u R I H D 3 f g 5 p t v h J n L Y K W Y p Z 8 U Q j F 3 / r m y P I h 5 d p G B U U + S O Z d g l L B u / R o s W H g i Q i E / y h 2 l Z L 5 R H w 8 / B 2 / V T Y l z 8 u N f z V A M 9 p V 5 s v d Y Q C v H x C 4 e Z u M M 8 O Z y x U I b 2 k 9 0 O w f S 9 u 6 X J 0 b d o q 0 m S T W E Z r F S N A O c 8 D r J L D m b Y O o m W / H Q K D T G C v i 7 L L A 0 K Q u / O s e 1 E 5 s e Z 2 J k Z A y V l e W Q v W T H 2 5 K p L m k I k S S a Z B J 6 d H Q c F R V l G B o e Q X V V d j F 6 b m x + 9 i E G D U l k S h A P k V n K w i o 2 9 j G k 0 q V i g k 9 F X 3 Q T m Y l n i g B I K O o T / l q p f D w c B j + 0 5 v R Q M 6 e 4 c F g + E v R C Z + S d 8 T T g 7 H 5 2 m j N 9 u 6 m i 3 7 8 F l a Z 5 x N j F h + l Z Q E g l + X f E z 0 T Q G Y K p N D E t U g Q N M D Q k F O M p Q v F f A S / 1 a S h H d a R i w b K P 6 6 a k l h x 3 k A L Q W 7 L 3 4 M q F O N G m h v y 2 N N G t p c G u y O n s E X i + a R K o z M S x e o 2 x H L 5 O 8 w Q z M Z i Z e K l 5 L j A z j f R s m W C m U H Z a F s K h d C n U N p o + e c v M w s z E m i E X M z E K M R N n H 7 N / x 6 l R q h U s G a p F R y f B M y F x 9 P k 3 E 3 + X Y 7 R N j x J D A 8 p K H N R / y b Q X z m Y Y I a n F E U X + 6 5 J 6 M R o + K N 6 z V s k l U a O R 4 l J c 1 J A x Z 3 9 r R c m z y S H z / B I v a S + C m X Z s 3 y 4 Y n x G d y D 4 n M D N F v X C T C / 3 E l q c Q z N j T V k U k / q + f K u B N A o 8 G P N 6 p l g w n B 7 i I u X i 8 4 N u T O J o f z E y s D N I Y a t / W E d g N e b Y v y Z M e r 0 L 1 w / r 6 B z H m d G P Z O x / C O j 0 9 r 8 o d 1 O S s 2 8 A w 6 8 Z R X p 8 s k 5 y 5 2 y L v 6 y o b m 8 i / S k 7 q t V a k P 5 P K L F P y C V P Q 7 c k R F e L t a 1 J y w P x w o n u H A Z W G R V i + Y i W O n 7 8 I N v Y 9 Z N J s X P G U o D C S 8 p y Z m R m F E P A V V 5 N P X W o j 0 n D S m D 0 b P N G s l 7 t J M F R C k 6 M + h I q d u / e K y s H L 3 v k A L i + N G 9 e j J 8 T C S p s Y D 2 1 8 H A 9 v f g B t A 4 9 h z N + P F 7 e + m P h G g T 5 K b S Z B o j V / M t t / 5 g M H J q K y k p V z N J C p z b b Q A M p 1 0 1 B J 5 p v 6 g j V p M b E v j 8 A B 6 t f s s W J l M B H l C 0 a 8 G A x v w z T L G R N L O V I R D / a T 3 Z 1 d G / q N t 9 6 B 0 W i E 2 + 3 B 5 R e e B L O 9 T q j P B x 9 + X O x U 7 n S 6 R P R t 9 Y E Q z l u Q 7 n 9 x s O C J J 5 / B t d d e g + 3 b d + C s J a c L P 4 q L b v I 1 V b B / 5 f O 4 U V J W R o p y E J p J N l z j w i d c W K X Y o A W j p 7 c P t X X 1 2 W X C y J z T 6 E x Y u 3 4 j B g c G c c m F 5 x N B J 7 5 L g C s T D Z P J W m M b x H C + 1 c 4 5 w B P L F m 1 y k R v v a M i 7 v R 8 r T M z h 5 c H H K 1 a L M t f v v f c e P v N v N 2 P m r F Z q L p t 1 E n S J 4 q P u 9 i g c L c p 7 F l S v 7 H 4 d 1 8 6 / E o b x t Q i X n E g 6 y j i F 0 m r H D u G 4 V 0 y c 8 8 r w o 4 N i c a h w R F w w 2 E 5 N f J o c P O e m i w 8 g p i U h Q l p 9 g q H a O z o h V X a h 2 a Z E v D L z 4 W T O O s 8 I C r C K Z P O K X 0 8 8 + S Q u u P B i f P j h R 7 j p y l s g W + j B U i S i u v L U 7 f F h 7 V o a S L 0 J 5 5 1 1 A j 3 M M G I k E f J l a X M l W e f o K K p q F U d 3 1 K f B t H I X / M H 8 w Z F g V B K + E B c + K Q Z q G J 3 b k a r d e v r 6 4 a H n b W 6 0 E F N V C C b 3 + X w Y H 3 e h h k z U K J 3 P Z a L 5 v M Z 6 R d i M B M k 8 K J Y p q E 8 q T L O E P 1 U M n O E O 8 B Y 4 l e Y 5 9 I v C Y d 2 4 d x 8 0 t s K 7 e 7 j c X p S S q c o 5 g f m Q W r w l F 0 x D 7 8 N d w R V 5 Z R i O n S w o C G a m q e z 8 n g t M 3 5 m Q e L e R e F T s e i I 0 0 x Q h x 0 I K Q z H R c m l l F b 2 + T R P 1 3 X x k h n i J i L i e Q / X 0 0 8 S x V H z 4 8 U q x O / s F 5 5 1 D x G V E y B O B w a r D R 4 f N m F s d Q X 1 p D G s P R m H y 7 Y O e p O G c Z g M 0 Z l 5 G H S P J N v l c l p h r I n q b o P M i l A 6 f U o z R 1 z a m Q w v 5 d c o m c O n w h m T 0 e / S Y Q w I + G u Y l L X R e S o 6 e W n s j s w a H X t O H / m C O N W Q q C j y / R Z + u s X K h 2 7 t G X K L J l h 6 J H Q + 1 o 7 G k B u 7 B Q 9 A 6 5 u P d 9 5 f j 4 o s u S H x 7 5 H A d I q 0 5 f Q h 2 f f 6 d K 6 z 6 U f g i x 3 4 5 e T 7 4 w t 0 I y p P 7 9 J n I x U S p M H k 7 E b Q p 0 w j x o B n V J Z P M P 6 a B h L F 3 E 8 9 D D a V l t H u 8 X t h 4 J 7 b U g w S j 1 E c + k C K l M 2 H W c Z G M C n D h y 8 B 4 E N Z K M z 4 4 a M I F s 4 J k S s o w J e a e 1 E h I p 2 c 1 p t u L j z R l g S j K p B 0 g d X / k 4 V l u 3 / Z d e 3 D c / P l 4 + e V X c M P 1 1 y a + S Y e q v b S R g 4 j p Z x F z k b R m m 5 a g o 7 5 Q N + F S o Q v v w k C q 9 i j A Q L n A J b G 4 n B i D L Y Q K k z I f w p q J N 2 n L h D c 8 D A f 7 v a T + 1 3 9 4 i M x G G a W l J V h 6 9 p K c 6 3 + m C m d n E K X T T e j y r B L L N l R k b i R g D 7 w B j / l K 8 X 7 I o x F 7 8 l o y p k a m g g j 5 h 7 H o O P l l P s Q 0 O r C H Z C X z y k n a Q 4 W G N G s 8 E T z J D z b p Z I z 1 R 9 H R 1 o d 5 8 + e K 5 O s 0 U F u q S S g O Z S h q 7 4 g e z Q 3 5 8 0 d V 6 A 3 k E q x d Q Y o l r e p R Y R i l A Y T k W m G C p W o z o e b I X O O N 0 D x 9 Y T i m G T H g 0 a L W r g y m S n D 6 6 A F E d M l Q K t M k L 0 f P l T U x K e g n M k c d q U P z Z X a n P o O K 7 r 4 B b N y 4 S W h K H b X h i s s u J i G Q n + j 0 e g O 1 N 8 X c 8 a x D 1 L A Y 4 y 4 3 q q q T 4 X s 2 F Q e H h l F T X Q 2 j 3 I a + l B D 7 J w V e 6 L d 9 Y x d 8 X j / q 6 h r Q 0 9 2 F y y 6 5 T L S r O A O y O I R c E R h L C p u X K o z D 7 y N U d W H i E 9 D v 0 q I u U d 2 q E G R O K A 4 f p m E l Y W 1 T C m g K J p g k q 5 z B 8 0 Y x Y u x A y A e z U c 2 i U P w i K V y G A F l P e p 0 R Y 2 M e N L V U k h A e F t 8 y A Z q 5 N F 7 Y j Y A 1 f x A l v + k n k X W 2 A h X l 5 a i s r E R 9 j U N J u S q K o T j C l y N Q I Z P N u X 9 I T y a Z H l V B H 0 q m m 3 F g S M L s a u W S 2 9 p 8 W N S q N F I X 7 0 U 0 U U 2 V K / S U W e J H 7 s w m n l g K 7 o O c Y x d A N 6 9 4 p X N 4 R l + v 5 Y a v R E 9 v D 0 4 6 8 U T M n z s b A 4 E 9 c J A J Y 8 l R v Y m L X N p F 2 F y i D t J k M d x w 7 z Z U N e Q o 9 E i 3 j H n 3 Q 2 u b g 2 F 6 r q k s W Y h G 4 u j v d W F a c 5 H V p B I Y 7 I i i a W Y p Q h m F c 1 i r p f q / S t Y 7 C 5 7 i n 8 n n D 5 G l Y i I t w R P j 9 L s C P 4 2 T 5 h g M 7 E O d 9 X h Y h 1 6 G r / p T 4 n i u b J b M 1 Q C y Z w s k e + 4 9 u 4 p d / 2 S J B u A n f 1 0 T 6 B Y R U I 2 m B K v W d u O M c x Z j 3 a p t u O L c u U S + O g Q C I 2 T K + x A 1 F 7 9 Z N v u 3 n F y d D 0 w n L F A Z Y + P u 4 h g q 7 t 1 N D m 5 G M U W 6 U F f X I V j t z T D 4 y I 8 g X 8 R s M Y o H 4 N J W n a M S 5 t X G J z p U 9 u 2 B l A g / 9 r u 1 I n D Q U p 5 7 H m N S p D w x h 4 Q j U n r h m G 6 n d m K l c C 7 w k g w T + X u F w F u 6 c I H / X J C D h y F l 5 K t F f Z 3 Q i Z 0 m F M r r G T o I k y O 3 s x + K e 2 D U J I M q P B 7 B Q I T 6 r z h N U A x 4 j i q 1 w G O n d y X 9 K 2 G 6 L c e k f Q K c k r V i 5 S o s O u E E s V 9 s T V U p M Q t 5 j / 5 B a C 2 8 g D E / V 4 2 H u l B m b I J p 6 D 2 4 K y 7 O u T t J N B 4 U u 4 p U W x Y I p u L Q c z w 4 B K 0 1 P c 1 M h b L M v T B 5 K h E 6 G d q Y A 1 p j D F v X d W K g f w A X X b 1 I z A U e C 9 g 0 j e S 2 J I W A C p 6 x e P e 9 9 1 F G W o r N 6 8 b 6 6 s k Z y m L 0 w B / i r S M 1 x P n A i y + / L v Z l a q i v x d I z l 5 K E 0 c D R q A Q X + K J j A T 3 K S f u k T D g L D I z 6 U V P O m Q L K 5 z A x V F o 5 s a k g 5 W c x 5 3 p o S 9 O D J a w B u a x W P q Q m x 2 Z C a a d S 8 D M L K j 2 x m R E a h T a x f F y 8 N 2 Y 7 5 Q c O t a G 8 M d v 8 i 3 M o P i X 5 k t O j h E Z U O y c H 2 E x h r c f L w H l p S j H g 8 y t M i p m d L 0 W p f 2 A Y z z / / A g k Y c s L J j L 3 + U 1 e T V k 7 2 X Y g Y 3 T 8 a Q l k j + S 4 c D a R n N G p G 6 X o V 4 i P 7 l P o U 4 W Q e f Q W B i u s S n 5 T + 5 K d / 6 + 1 3 c P b S c 7 B 2 z R p c d O F 5 i J E A k g y l O V d c q 8 i n o V Q m y k Q k o K N n O T Z M l I k S 7 Q z h K q S C x + T x x 5 / B p 6 + / D l a r 4 n r k Z y j q u K i n H W 3 9 x C T j T s y a N Y v U q Y Q 1 6 9 b i 8 k s v h h Q Z Q X 9 f A N V N 9 d g 3 a M L 8 2 k / e b 2 B 4 Q h q l c H / K U 8 e D A 9 A c g / w x 3 s e 2 z 7 e N 7 O b Z 6 P G v V 5 J m 8 9 I 4 7 9 g x A n + Y 1 1 E R Q e V x j k d 4 I l q T f 5 D D o S g M i V n s S D h G m i H d t O Y F k D x f d a R g x s 1 c 6 v D Q w 4 / j u A X H o b 2 9 A z f d e I P I 2 G e m z o W B 7 h F 0 H O j B 6 R d k m 7 k c b t e F D i L s J y 1 T r k y 3 6 A e W o 8 t y H u p I O z M z h a M x E s D 9 J I A b i Q G V e x j l X r F 6 g G m s E I a D + + n 5 k / 0 x W Z T u k 0 Y x o f S c D P X L X / 9 G 7 G V b U m L H W W e e k U a 8 j J h r N w L h F t i q l B S T d g 4 / T 9 F 8 4 0 3 H M h N k p 4 S U n + q i + x H V K Y 0 l m j y i + R B e D N n m X k 7 X j d O l y T 3 W 2 l F r X i T m o e z 2 b H W v I u r t p F 5 0 k b m X e + c S j s x x h M 7 r C c J m N 5 G G G S E N k 2 Q Q N v d S 6 W q w z 4 2 a e k W T T L V W B E t u f m l S d v d j V J r S C Y E n j 5 n / e Z u i y e B x + r B h x S 5 c c H X 2 l A k j E B 2 n 5 x w l Y m t B P H C Y x q E V Y 2 P d p J F W 4 C u f v 5 J M e x J U 9 J + G G I + 3 K 5 1 K j h 8 z V G r f x G V y K H J M c X x S O N A / C 7 P r D i Y + K Z i M q f J r K P 9 u s v e O w 6 E R P W Z W K t q H l 3 f 7 e 6 v g L J X R m J L k y h f g 9 U y z E u u Z M h E L d p F 5 V H x M n 5 1 s o 6 j l V k C C Z T x 1 z L m O T L / T s w i 0 G I T D i p b g H T J S L 9 x E / k a x w Q W e S A V v 2 0 O m H 5 s q n P 7 P + X r e y G D i D A W 8 Q t i S w l C F U I x 5 F 5 E D 0 P N + V w n w U o Z U 3 4 k n j h n 8 L M W a i p l 4 7 Z n 3 c f X N y e i d C j Z R R 4 m J g u N m Y l K j 2 M W f l 8 X U k O l o G P w A h 0 2 L Y T O 5 4 Q 5 3 Y 7 o 9 / x K Z V H B y t l W f F C I i l + 4 o w A E D Z z A k 6 K L M b J o y b W T C 5 w l j e m X + r X x y 2 i l m 3 b B g J o b K T K E x D 8 I + G 2 w t U V G o P h X 8 j L 2 u D P v S f w h G q R / 6 e D d J 5 v w S P h f G A y y h p 9 b y W K J 2 W t E d x u f R y + c P C m b i L A S D u h x D g F k p G c H J B G d + q K 4 G n 8 J Z C e w T w L 9 n Y i 2 N N 5 r O T I x C W Q k q 1 F t O x g D M c D w f l I p M Z u I g E b + O l J k Y q R k v j G A o I t K W D h x q x 0 t P r U R 1 h R 3 V p V H M a G m C q V S Z c A 3 X X A B 7 d A / G g 9 0 w y G e h C G U o k M p M j E I R t m I w H l C Y S X l / 9 P l + V r s B o + P 5 S 5 k J z h j 3 S + Q L J C n R H 0 x 2 Y N y / H 7 5 O E 4 z l d p j K F E d 6 b k 2 6 v 9 T l 7 i C / J o o e p 2 J r x X 2 H I V l m I i T X I a K Z h r B 3 C I N D I 4 L a f b 5 g V n H F V H S N 6 1 B r n 5 z o M m G o X I q o c 3 P i U x 4 k m E i 8 C E 6 X j 5 x J J a A i i s n H k x N + N b q T x d L 9 z E B B V 6 K N H E n m w A Y X i 5 w 4 h d 4 Y L S U i v y y f Z C 0 m O 6 Q Y o c B m K d f l K 7 R M O 2 / 9 8 S m A i b H E l l 5 X w 2 T U o 6 e 7 G 7 P q I r j 9 t u u h M 9 j g E Z n 2 E v V j c k 6 n t P w M t N p O R a 1 D J v 8 0 D g 9 p 6 0 H P 1 O x x J W w 9 1 c V + n y x k S / 4 F j Y K h y i y y m L N x B i S x Q E z S K Y M k R Y L w j j T B O j 3 J 2 Z w B o U L U G K c X r / m p c O x H Y y J U 7 S T J y e B c s V V r 1 m P L / g C e f e 5 5 6 h x J E H B a o c s M N J U V 6 Y v l I D o 5 Q g 1 N 1 S h 8 T u o r B a O j b p S W J D U n D 9 x 0 2 9 n i V W 1 c B J P J B I c 9 G d p W 0 Z Q R j k 8 N D / M 1 O B T M a 3 M m k H F f 3 q K 0 G P R 2 F l 4 w p + j P b O L k O S c V 0 e j U 0 3 M y w c w 9 d 2 a 2 l r j 1 0 4 t F E j L T C j N 3 i S H H 5 t a S l j y 6 G A w D K 0 T f 2 P U 1 q L H H 0 O / O a R j l B b e T A 0 X / L y G f w E z z o f T R T q L H K L Q G K w Y O m l H a W o K N 3 Q a c O j 0 9 O b L L 3 U 5 M l N Q i P L F r R A u q q L O i r u 3 4 a N O o y D K / + e a b E Q p 4 R a 4 b p 6 l 8 8 O H H Y u H f r Z / 7 L P k t 2 S V z p 4 w U 3 l E h 8 Y x 7 r n p q K Z D j R I w p 9 b 9 T k Z k g q 0 L d t Y K L 7 a f W v 0 g F t 1 H 2 b c O I N m O N U u 5 b H X P E y A b V k t r k w A Q T M C M z I M H g M Z a m U F L Z 1 R 5 G S U u y T b L Y 4 E E v 2 s t Q F 1 E W g h Q c h W l 8 J Q J 1 u V O 8 i s F o 6 K B o 2 1 T g C Y Z J y C i / M e q 0 s K a k i R U D n q x g e t F o k v f 1 B G z Q a W M w 6 f 2 o y k g s y B m U 8 H b o Y W t O N + t C U Q n 9 v t z z A h X G O v Q M O T G v i R M o J T h D H e Q A z s D a N e u w / + A B V F X V i L m d 8 8 5 Z K l J j 8 s 0 B Z S I f c U 9 A f f K U U z g 4 I O t b o M 2 R c 8 j g C B c v k 8 i F f P f r 8 W 6 e W N T H h N p k V y J e 4 l w i p I 6 O T r z 7 3 n u 4 9 T P X I W 6 I Z 5 t a R 8 h Q h d o v f D H 6 b s M W E 2 Z N H 0 Z 5 h a L 5 e I L Y Z E 4 n G m Y q X l W c W n i E y 0 0 7 9 M W t W 3 K 1 R V H S q j C g 7 N 4 q N s j T q B s A E D j S Z y 5 y z z C t + z B i j h k Y 8 f F q A K V j e G f J 5 i K i x C w I R h P r z P 4 V G P W W o 8 I 2 e e n n 1 M j f B E N x 8 I D 9 H U + b H v b W J D N x G J r 3 m + W t N I 1 k B / M A 8 w 4 W D n N c m I n q c L O T z k s m S s y S k u 9 n M J H E p O s Q 8 U r + r Z D s S v Y 6 b 7 W S u j t E I U S D i q m p I / N r K o h 7 9 0 L D i 7 0 E M S r 3 Y k Z y u b y w 2 f J f K x K J Q q 9 P l 9 y d n n V o I j 8 g L H v h j 4 w j 5 D S L H L 8 d O 3 Y K j c A T w B d e e B 5 0 k Y N C W P T n W 3 V b X J P T E A r G Y D Q V l v y j w 1 6 U V h r T m C U f V G 3 F p d O q T P N o z L J 3 X 8 w F 1 2 E y 6 W Z I i A e 6 S D F V k Z m X H q S Y C i w 9 T 8 L f + D n h e + b K p i g E 3 k u Z h c i / A s G w C S Z D c U E M h 7 Z p I n A j G E o T H 8 X T L 3 w M i 8 W C a 6 / l m X K F o f L t j D 4 5 k o T M i D v X Q V N 6 e u L T 5 B j w 7 0 a t 5 T j B U K x p R D 0 H 4 t j M u u F h Y o C B g V H U 1 F T C Y u L C 8 P Q f 3 T b u 2 w 2 X z k I D Z o c l J b r F D M a T j Z y R z c w z P D w m l s y b z Y a 8 W m v Q v w d c W W f 1 m 1 2 o r 2 / A n D l z s X n T J l x 1 1 R V k C i i / M e l G 0 O M b h T b q R 4 z u m x M 5 a K f f V Y O 6 k u x I Y L H g k t P + M Q P K q w p H U b k I D 1 d Q V d K R i p / X U u E 8 H E F F U y + 1 j f y k Y 0 D Q l q E X 4 a / + d O L T 1 D G V U D o L j W D E g Q o L C V J J R o C E 4 m T w h 8 w w 6 M M k + H P T R C 6 o W k r q 6 t g n j 4 7 5 M K 2 m g Q g 4 K v Y G K h Z j f r b d J J R b 8 t + 4 3 b 0 S z e b j x a Q e E / t k 4 x G L R i A n Y q z s d k + A f q g 3 m 9 H d O 4 i m x j p F + + U B m 0 o a k s J y y r 5 G D F 4 Q u W P n H q x c u Q p 3 f O 3 2 x F E F S s q R V j A a / 7 6 / f 0 g w a D Q S Q 1 N T L V z R d p T z U g p u R A r M e i e 6 v S l M w d u p 5 J P g K T + N x b V k + h Y / Y L k Q l U P Q i e X w h T u V T V D O n e M N 0 1 J 9 K l 4 2 z s U u O R C T C 7 p I F 6 K a G n g G Z N g b p m Y l F I I U C 0 A + y v r v 4 5 E O 6 s P J g i 4 S + t r I a n K Y R V T y + B N n I S Q n N / T L h D 9 k g c V Y X B m C T J Q b Z p G 2 1 0 A a 7 d s i a 0 2 N C H T b Y Z 6 W X B g 3 4 t M I v 6 k h J f 2 e a Y m X R d Q 5 k s c 4 G 1 u T W G D H h M j I t P t l / 0 F I R W 5 v L 8 p 1 s f 2 Y A F 9 r 2 O V D Q 3 0 1 o s R s K v Y P 6 T C n O t v u D k R d Y r K x O h q G o e x 0 Y h I d P v j o I 4 y O j e N z n / k M I u E g M W P 2 7 5 z E B 6 U F x p i 3 N N m 7 r x 3 z 5 8 6 Y 0 G Z s 5 g 1 k p O w Y / Y M I W f I s O 0 / n x S k h F p P h 9 4 Z g L z G J X D u P O 4 R A I A y T i U z 0 E j L 5 U h Y 5 F v K 9 G D q N G a W G 5 E Q 7 b / P J O x O q i I 6 s g G S b Q x a B 0 o 4 w L x q 1 T 8 2 Z n w w O z 4 t o 0 9 y Y t a q a q w 6 N j b l w 8 N B h n H J S j q z + D L i j S i Y K C 1 8 W g G Z t L d a s 2 o S O t m 6 U l p a K y s W X f E q 5 z p i v D O X W c X F u x G f F g b 0 d o o L v 4 l O b S X M d f R k y 1 l L S 3 T / 6 k f z D H 3 w b 7 n 4 / b D V J i t r U r c f J 0 5 I E r K Y K 9 b q 0 6 U y W I K h C e y H p I u 1 w y a 2 w F q i f l w r W U K P E R D X V n M V b Z B g 9 g R 7 P F p j j D d i w b g c u u f h 8 v P r a M l x 3 z R W J b / P j A D H o b G L Q 9 l H F Q c 5 H j 0 y o 3 T 1 D a G q o w F C I t 9 d R T o x E g 8 n S v x E v O a V 5 5 o e O g q m O F a z k B + W a 6 J W j X m i i 3 Z D J v 0 o F L x x l a a r J W G + T y + c s F u 6 g h G r 3 m w h W X y 4 s B 3 / A j 2 3 b d 8 P p d A q B c c X l F 0 8 I 6 K m A i + O 8 / 9 p 2 V N e V Y t G p r e S z J 7 X Y Y H s E G z Z s h t F o F n V O z r 3 o Z E S l o 6 1 J k Q S X J R A + 1 N g h D 8 p n 2 h O H F Q X B 2 o k Z i N / z J G Y q u s e 1 m F Y W g 9 s f g 8 O i h U k 7 T P Z 8 7 n p 5 X M S C F 1 5 N B i Z U X g R W U c F L B q b G R B y + P d z W j q 3 b t q O 2 p h r T m 5 t R V V k B g + y E Z E y m + f C k o l k f h 8 O U H C h u J 2 e + c 3 U g h 1 X x 0 b h u R c U k 9 S g 8 r t U w m k 9 H M B i C 3 u 6 H L 5 w 0 J a z B Y f h M u f v j / y Z D R W X y C 8 h E 5 F X B P C n M J h / X Z 3 B E B x C R y y C Z 8 u + k 4 u o J o i S x q u B Y g Y M 4 9 9 / / D z R N n 4 H y 8 n I s X D B f F O i x E r F P F d y t H B T j o F e J K U S M x b t X S g i 6 D R j s H 8 H O H f t h I k a q b a j E g p N q o Z X t x 5 S Z V A i G 8 n W Z Y W 0 q P C / U 6 V m D 6 f Y l I s W o x h 4 l s 0 E 5 L k V I o u l z b 2 T t D H a j A q M I 6 B f n j O i o T F R W X k I 9 c m T + x G 9 / / 0 e c d u p p 8 P r c u O K y S 4 g Z 0 x l B 9 u 2 H Z M 2 e i 8 n E n u 4 g 5 k 8 r j m B 4 S U u X u y / x i Q W O D m W m Z g z 0 O V F X X w L / + D r 4 P 2 G G 4 k A J J / C q 8 0 2 5 I G r B 5 5 i j Y D + K n X U 5 u B 0 a / V x I K S H w f P C 2 6 2 F r y f Z b M 8 P x k 2 H d h i 0 I B Q M 4 8 a S T 8 O K L L + H f b r o B F g 3 5 L d Q v s n G S n U 5 y g I e b t 9 r h I k 2 p y d Y 8 r c A 1 E T X R M o w T j T n K D N A Y g t T u I 6 O z Y i E Y y t 0 T g q P R K M a a a + e p W / V n r t v J A g 0 K K z q R u p w T s i i 2 H 8 T 0 C S 3 H 6 n 2 U b O S y U l 4 H U 1 g L F A N m S j Y N 2 t 0 r U G N Z A I s u 3 Z Q x x N s R 1 h S 3 J S U v f E z 1 D 3 O B l 9 6 P k k O c D y K Q 4 q + G h m z 1 X H s Y C R w D p u L 0 p o n t U w u g / e A I W m Y p W p q Z i L W 5 z n e Y t F Q L 9 I 4 8 F X p z w N U W Q k l r 7 r m 9 q e J v f 3 8 Q X / 3 q l 0 Q e p T 2 x j k h D G l 4 m 7 S n r k 5 b S Z B j 1 k y V h y U 9 D R 5 t Y m w 9 h 6 n t D n r 7 X u I b G Y a 9 X T D K m e Z W Z G A W Z i e G n B 8 7 L T A w J H p 8 O / S 4 Z L n c A 4 U h c E D 9 n I 4 t l 1 V P E r v 7 s 5 1 H t 7 B b H 0 g l m Y u d U m V W P 4 a C v G 1 F f u z i e i t S l C + o 1 q g u k R A m Q d A u T q R e J 5 e 8 X v n e J d i d q b L P J Z 5 z a k v Z C 4 O v y v y o m y 0 x Q w c z E 8 2 X 9 P U 7 x G 7 2 v D 2 U V V 0 w w E 9 d G L A a W G r r f M R A E D I 6 w 8 u i r z M T Y 2 e b G e M g A r a u 4 Z e / s 1 h V i p q h 8 D D J x c o C z 4 f M x E 0 O j 8 V W z m E 9 8 V M A 5 W r x H b i F o A 7 v I W c h Y F p 8 B N k c 8 Y T u m l e u I a J W B e / H l V 8 n v I N W b Y 9 6 n y 7 M u 8 Y 5 p N 3 t S b U G d Y n K k B A H J r M m + D m s J z l L m H L D p 9 q W w l 2 a b E l q d F g O D S p K j G h F j 6 4 j b n g + a 4 E 5 4 L A 3 Q a / O H 7 B k h a l u f Z x c M M d J U u S Z O p y 5 L R J t S f 2 j U 2 M g F L s X 2 d f n r 0 0 X j C l F x O l J d I / e B h I Z p y S X w X E A 0 c x V q P u i t O o S 8 y X Z z n / k D 5 P B P o S 1 c v / B w W w e 6 e / o m + l z F c X N b U G o z I l Y y E 7 H + l U Q v i S 9 y g O t + Z B Y b z c T R b H N T C J n Z 8 J n Q a B 1 e e P u C c L d x Y q f S C v a P U j U V w x l I 1 0 S h e G 6 7 m 0 2 6 c a e H h J k W j z 7 + O L x e D 9 5 6 + 1 1 R U N G g 1 + D 6 6 6 6 m c x I n Z 6 B a Y 4 A + 3 o W Y Z 6 c w T T j Y w a X H M p G q 3 N S Q f S E E I q W I e p Q N r x k s s R m 5 9 j j K V T g m R s / g c 6 / F U E Z R f i 7 h x S 8 O S I R T S v M G D I q m H I / t R 8 x d W b Q 2 K Q S d x i i I 0 K y r w G v P r k e p q Q W r l 2 / D G W f l X p v D 5 h 2 H x y d A f a Y J j c D r S V I q V + k t V k N x T Y p A Q I J O r 8 O H y 1 e L T e M 4 4 b m 3 r / i C k 1 w M d E Z r M 6 Y 1 5 i 7 3 H Q / 2 U O f t w S B m w T T w p j g m A g 1 E l 7 y N D m O A z H I u o l M I k 5 l 6 A d 6 S a R K w r 8 X a K B O Z l k I m J l K P G L 6 h M G S / H Z b G A F Z 3 m n F W a 2 i i 1 F f b q L I q l 6 N i x u h u O L F A r A f i e Q R 1 U r S r u x d + v x / P v / A C L r z g f J x 5 x v H U G Y p 5 x L y a V 6 r E w z A b f d T Q b B M p H u M i m 4 c h 2 X K v i C 0 W X H c 7 o s t O m u U o 3 d D w K J q m 5 a n p 7 t + L k R y O f T D q I Q 2 Q r k V t Y m c Q a i h H K T V J s 9 A Y n g b J 7 B J + T x r y j 0 s C E k b 6 g 6 h r K M O e H T 3 Y t m U P Z s x s Q l V F D a b N K W x B i I W G + q T A q D f Z S A j W i b F K B T M E 1 w c p B P 6 N 2 + v F a K 8 L c 0 5 o x e r V a 3 H q y S d m B Y D y g S O w M 1 o L + 7 G y j y w e Y y t C 9 J 9 J 5 A X K 0 D n 3 I F p a 2 A p K R R R h O E P Z 5 v 2 / E m k M p c I z G K Q G W u F o T f E z 6 M X 8 E B t d A W 3 F U n G M J S b 7 R X / / + z 9 w 7 b X X o q e n G 0 v O 4 F W z y u + s J j 9 8 w f w 7 M U S 9 h 6 G L k x R w n J E 4 k g d 0 P V 3 k E K K G y a N 1 u c B z Z f F w B J p 4 L 6 S U n R E n Q 8 z f i 3 G t V 7 w P R w 0 w 6 N K D D O x 7 + S L K p t e 8 2 b W e s 8 x j d I 6 G z K g M w r X J r T C Y Z Y w F U w Z 8 E o b S x a s w P D h C / a 6 D w R q B z q p s x F w Q G U J L I p + k h A h U V 5 5 7 z y 9 1 X 6 5 8 2 H f g E D o 6 u n D W W U s Q H 7 A Q T R T H R C p Y w J r M B m H 6 h u N c g Z e E W 9 p C T m p n p A f R j E R d 7 l s N C y z 6 K + d L 5 y L 4 Y 2 P w H + W G a 8 c S O R m K c X B Q i 4 a g E e Y m 0 h A p 9 m 4 8 O A K t u V b Y 5 d F o m P 7 q 8 k 6 + 8 i 7 u g T h n m q c 7 8 Z H h j + E O m 1 H R k L t O Q T 5 E x j Z B X 6 4 k 2 U 4 F M d J C 1 A h o w n s Q 0 8 2 F z j x 5 e N x q 9 q F z v B v l 4 X G 4 I 1 5 E b d l L + A M R l 4 j k W f W V E 3 3 U a K 0 Q e X 2 5 w I v v g l 4 t Q o Z O 5 c C k G o p 4 k 5 g z 1 7 x c a C Q O Y 2 W C a T O Y S B O P o L G 0 G b 2 D W 9 F Q e 3 L a g t F C Y H N 9 x a q 1 6 G j v w L z 5 8 z A y P I x L L k 6 W c 3 Y e i q B 0 Z v 6 A T C H w E v z U 7 U Z V c F a G r p J T n 5 K N Y C a e O 1 t Z V K g J D C B O 9 J Y J T r v i V d b / r 0 F r P 9 t 6 z + 6 R A 1 h c l z S p u J 6 4 L 6 J F V V 0 I 4 4 d C k C V y X s 0 6 d H T 2 o r K m U Q y w G l Q Q y w g S 4 N n v 1 G 1 o Y n A g P v I + N F a l c z h V J x r X Q m e f C 4 u j U d w n h z W V F 1 p z v b h G z N c G y V A n m G Q y C G Y i 8 G b F v q g d R p n L F Z e S E s n j j F N 7 Y o F t G A g H E I n r E d Y b E T e U 8 I U w z V E H j 5 + k Y W K i W q 8 1 C Y 2 R F D g y 3 I F x + j 7 3 t b m U V 0 z r Q o 1 1 H n S x c j J u J r f l U / s 3 E x o D 3 T e l C z T + A Z S T 4 T M i + 0 l q x y D r r S g x 2 q i f 8 0 + s 8 7 P z K x C I 4 I G H H s Y 1 1 1 x N p n w c p 5 1 6 M l p b 0 h c N h s d 1 M G Y n W A j s G 9 L n 3 Z y B 1 z D x S m U u 5 + w K d 4 k k X f Y J 4 z H S / t Q + T c r k O 6 O y I n k T L t x v G F m J m H n a x H h z a Q F v t F j f T b W t 8 o P H h Z / n W E D 6 6 a s / k B c 0 n I y L W s 9 L H C I t R M + Q 6 v i P H v C h b N q Y K P J f C L G 4 R A y S L n Y t 5 B v F o 3 7 y O S r o b l P g n k n A m Q 1 G a R h B n w s a + w I 6 k q P T y F y I h R Q z T c M L y 2 h A I o P L Y K i 9 T B z X G j M I j Q b X 4 1 q D k D n 3 p C x n b E f I D D E T 4 d p M J S Q h S X P p H Z A T O 4 f U U v M G p m A R V R j n i J I A Q W 1 C Y x W D H M 2 s J o J w R + g 6 i T q B K i p 5 z y T T C Y l P 6 R B b w c R d + P D t r c R M A e 4 q s Z U p U X n i j G y E P G E Y 7 e l 9 x q Z Z q g X D 2 E 8 a Z k 5 C w y i L D z U I x M a F e c y M p e Y R 8 t o q y Z H c E 6 w Q D H 3 v I 1 x 3 g d i 0 T g k M Z K P f S a Y t 3 a u q J N V C m J y h j i W E y T f o 1 s K P j 9 H i O F t U X e U 9 a 7 l U s n K G V i y f C I 4 5 E S 7 R o d S Y O w a / o V O P U 6 f n C C e 7 1 5 G P V P z S D Q Y H Q j j v j 7 P Z u W g m g w c u z k y Q s Y S D E Q + P Q W 8 k U 8 p L A 2 Z N D z y w / 8 R 5 h n 3 k f N c n n G / e + M A f q I B E v o O q q W R i + o B / G / w p B S t N O s 7 g Y F / G g T / / 5 Q G 0 N r f g 3 C v m C y J J h c 7 X S 9 q Y T E r W b r b i F u 2 l I u q s I i K w I g A n g v T K Q g o 9 p G a p 1 x q t G A j l 3 g Z T a K t S r i u Y L c R 6 f O v I N F X G J B g M w 0 x 9 y k S a y R x + Y j Q 2 5 0 d H n W K J j F 7 W Q W d i w Z Q 4 I Q e Y O X m L n 0 y M k 3 l W Z k h W i D X q f Q h F J s / Q Y L C G 4 3 l F s 3 M c c l U z / Y 6 j y N m S i 4 N E o a i b a E c R L J k b G v w r I B g q S j Z 3 I M q 7 F 9 Z h V Z s B Z 7 W G M T A 4 h t q a c v I j e v D c 9 q d x Y V 0 l d r k 9 u P W U b y V + m o 7 x g A Z l 5 j i i 7 g O w l Z b B 7 3 V D Y 0 k n b l 7 K w R G j 5 j w 7 b z A j 8 a J F 1 n T F L k J k 8 C I / N d v a N 7 I D Y 9 4 o p j W R 1 k q Y Z q y N W E O p x M I h d J 1 t F r V e + a y P t a M / o v h Z X F 2 V T Q C e 9 3 n 1 2 f X i b 2 1 d D a w W G + a f k s f e Y b C f w 3 N t Z A Z O F X r Z T N L f A X t J H L 5 4 w s E u Q L S M W r 0 B A w W 2 E K 3 k p F B z 7 s g o h 8 C Z 0 B o t p 5 D 2 0 I v 2 c k 6 f X a 9 E O j m f z k A m c i a Y 4 W J h M t 9 I e G V C C D w y N 4 t J Q 4 q P r Y C m X A l s F Q L 7 S V y T Y t w 1 j A / f W Y + 9 e / f h 6 q u v o H t J a F l g J c F i I F p J 7 w N f W A l 1 m 3 S l 4 v t / N Q R D M a G z d l J q J Z D Z p q W O I 8 k U I w 7 / 2 7 o H M e 4 f J d / I g u 8 t / S Z 1 m A Y 7 + / R Y W K 9 o o 5 i v G x a L h L B v E F H z o g n C T g W H 1 J 9 4 5 l H c 8 O n r y e f I j t j 4 I 8 R I K X l Y u w f 0 4 n N L R e 5 g R y p 4 8 7 O y s h z l f E l b R M n X 0 o Q 6 E E v U E e f V p h p D G W k m f g a W 3 G w S D s O p 8 W D / 1 h E c f 9 J M h N y 8 U 8 M o 6 p r N o q K Q p 2 h b H S h x 7 o G r Z N 4 E o + Z D j J i P f S O d W n s i 0 X S L 3 A p d e D 2 c R O y 8 R 3 E u V E R J g 0 V D G E 0 s r c g H m a R 4 l S 1 3 A K f H t 1 4 E U z h I w G X H O F m 2 W I w d d q N 8 h m K l s F Z j 0 z G 1 + H 8 x i D o 3 Q l d 6 S u J T Y Y y E D m D H + j 6 0 H W 6 H m Z j 8 u p s v Q Y C Y p n 5 0 E 3 a F l m B 8 b B y t C 5 X n U Z l J B U c T d V r z M Z k H L B b S + N i A r B V 1 F l j C a O i / d F X K F T / j x l n w d h h h m x 5 A P N g J W 0 k F 3 I M H o S v j X R P S i Y d L i X H 1 o 3 f f + w h j 4 + M 4 d O g Q f v 5 f 9 y A S J m l T w D 7 P x G Q F / 1 V 0 d H a h e X p 2 B K 5 Y y M x Y / p 3 Y 0 6 H B x k 2 b c e P N V y B A W i K f n Z 4 P V Y h g G H o y t f q F 9 I + Z C 8 + o M 0 N J J F 0 d M T 9 K y u e h 1 9 2 N O E n U w F A Z z N V O S O 4 2 T J u 2 F N 0 j e 0 R + m 9 1 1 A D 4 y R + O m 4 j Y 2 a z D Z E Z L T 5 9 b 6 A 9 s Q j n l g 1 d c c c R U h 1 2 E J J T O m 1 j c q 5 P G 1 k M k c 0 2 S Y 5 Y x U k z w T n O T K / c V j Y o w 2 Y H R s j M 7 v R 7 n D g I 6 e Q Z y 8 V J n j 4 q U a o a h L v E 8 F h + z N + g L W x T G E 5 B o f k U M R N z Z 0 l + O s l s x 5 F r Z B i c X 8 n Q i P H Q 9 T Y / 5 0 d y 6 T + 9 T T z 2 L + / H l i K f 3 W L V u x c O F C L F w w j 1 g 0 Q m S b H f n K t d 2 J C s 7 M K C U T c j K Q p T G Z Q s j C c 8 + / R P 6 B j x i x F Y s X L y I N t p c G 2 k H D x b P y A R G 9 m y o 0 g V H E z Q l i j w Z g I 8 n t N e Q m / l K y 8 9 m U H N f a 6 O E V T Z m E h M B w C c x V S V 9 q q r 6 A y T 8 I a x l X v c 3 2 n 4 4 W r k P E U D O P j K E 0 w X 0 k E H J v U 8 q L R 7 k c d i 7 E p b g o h P P P V 9 7 A y a e c D L v N h N n H T U c g N g x t 1 I c m d G L U Z y D r o B X + s D I v m A n V r / q k I Y 2 O d M v r O + 1 Y k s F M D M m z F j F t G f l C c + H u D s A x z Z w 7 O k Z g s + 7 N t 5 b h n H P O h S W j 6 k 6 H Z 3 V e v y k f O H c 1 3 3 w j Z 2 T w d i u 8 2 Z V B n y f 8 n Y J g O I L t 2 3 Z g Z G R U z J + d e t p p K H U 4 6 D 0 Q c q 2 E 2 5 h n q U W R q C F C G E x Z T a y i 0 V J C 1 h k x D z G E 0 0 8 + q q k M 4 0 H y L W 2 t Z D r r c H B v P 4 6 b P x u u S J e Q w C r Y L I 5 5 S 0 j L p d T 3 m w x E W D X m c v i 8 v a T J q k U u 4 y e B k C 8 C o 3 V y P y k X J N 8 2 y N Z F 9 E b C w Y O H 4 f X 5 s X g R + b r E n x w A s e Q I Z j A O H O o Q Z e d a Z 9 f T q S E R M c w F X c S P h t B + u M n P 6 7 U 2 g r f m H P e b s K V j N f p 8 Y X z t z G s S Z 3 5 y k F 7 Z 4 J L P n 0 0 2 f Y o 5 F g 7 1 w E C q U x a b V G v g G f b B U Z 2 / Q i m D l z 7 U O j j W x e n t U 6 9 o M x n c H i 8 c 9 u x n K K T l G F o i 9 l d f f R 3 b d + z E L Z / 7 b H a K U W g n R n D k z q s x M I g Q R w b z z D 1 J H m I W W w O 9 4 e i c H u + + t h n V V d U k Z U v g 9 I 7 i x N O b S b t n + 4 o 8 W W y S K j A a n n w J Q p O j f m J 9 l t 1 U C 4 u G M 8 w L J / A e D U L e M I y 2 q f e Z w Q j 8 4 / 4 n s W T J E p F B U V N T j Y b 6 G q I 9 p X a H T l 9 A C x N h j Q Y 5 Z D 6 5 1 c J Y t m c r 7 N p x t J T Z y D b S 4 I X 9 n T h n x t l Y U P / J a i r t k g V 1 9 / C 2 J n P n z k b U 2 w 5 t p B N a M 9 n X p C L Z 3 O P I W G T Y D s M k / o z d m C w p x m + O Y H V G F j g t h m f v G c Y c W p G R O j H M 8 2 d s K q o L z b i 8 t E 6 K Y c a s O T j n 7 D P E b i K p s J o 8 6 A 8 d W V E O h t n f h y D 7 S n m Y y W o k w t Z z 9 a V y P P P I 2 9 i 5 p U 1 s p 3 r W x X N Q W q V D b S O b m b k J h J 1 9 r U 4 n N v s K x P M X F m E 8 / + x y N D f N x L 4 d A / j n i 8 v w 9 r J l O O / c y a N o h V B o s t P f H 4 K x t D g t x U y i M x j w 4 M O P 4 6 S F r f D 4 4 z j p x B N Q R 8 x k t 1 k n r N 1 c C y E z E Z H 9 N M b F C Y q V b d t R a d b h g 4 4 B 1 J Q d j 1 u q T b D X F p 9 2 d q S Q I s E e O R o Y g n d g N y R y f n n C V F + l p J v 0 e D e S G T E f g X 7 e V K 2 4 9 B X G k F e D 6 g I b n h W D 7 u 4 e c s q n P q d T L A z x T v R F i q u 7 l g u 1 R A A D i a z 1 X G B h V E P C o M d t x o N / f w z f + v d b y W H 2 w q C z I Z y x h W c h M F H 7 h q 0 w V Y w T 7 S U 1 M U + Q 6 s j X 6 z w 4 h r L S U t L C b + C 8 8 8 5 C Z Z M m r f D i k Y K z W H I p D D c J r J c e e h a f / / q N b L n l B G e k / / V v D w j h 0 d r a i o G B A T G 1 c f M N V 5 C i z p + X N x l 4 5 0 d P p I + e y 0 z P N / l 6 J w 3 K S F w l z c O 6 s U 3 o P 4 L U t a k g K 5 c v 6 t w G v S 5 O t u 5 i p g o 4 2 8 I o b Z 2 a e j 8 W J h 9 H H S d b h D i Z u Z c P Z u 0 Q u v 2 T 1 2 c r B I 2 v D 3 F r 0 n w 0 6 K z 0 L B Z s X r M P J y x e i I o y 8 p e 8 I w j L Y 4 j F i 5 O q 3 p A N N m N u Z t M H G 2 G w B 0 W 2 A d e D a N s 3 h g 3 r 1 + P 8 C 8 5 H 7 T Q H A p E B 8 h k 0 K D V M J 6 1 8 b G s / p K K 7 s w + r 3 t 2 M m 7 9 8 V e J I b v g C I f J v 9 W J v 4 9 b m J k S c 2 6 E r y Z 2 1 o W L f / o O Y O 6 e w 7 8 c R v 5 F u i I K l h t L c k 9 q F 0 O T e j C 7 H S Y l P x x b j I 4 E c Y S A S S z H r C Y i 5 t y P u O Q S j r l z Y u J x x w B O u k 4 G D C e r a l a N B M R a j y k x c 8 q x Y G D V H z 0 x l n L B J z K S D n f r H g b a 9 T j z / 6 P s I e r Q 4 b t F M d H a 1 Y 5 T D 3 J E e + E L M U N k B H 8 5 e j 8 V Y B X D 5 K w X 5 m I k R M f W I 0 K / G P 0 3 U k 4 A 2 h G s / t w S O u i D 8 0 S F U c x f I 8 i f K T I z a i l o 0 N e T e E z c V V r O R B L M G L d O b R C T W Z J t 8 9 T I z k 9 + f r X n Y 7 e j s 7 k V b e x e e e / R j z J g 5 H R 9 9 u D L x r Y I B Z 3 G + E T N T 4 9 h G W F 3 t k O j B N O R r 2 l z 7 0 T i 0 B q 0 4 g C b P Z t S 7 t 0 H i V Q N T h L 0 k Z R d 4 n t z l i b A G y Q L J q p S R U u a e Q u K v u T E A r T 6 d c O O R K D R F R N n S w a y S X 6 s E A k G Y i 8 g G n y p i H i L w 2 D D C U 9 g B P B c 4 s N C + e w w m s w U d H d 1 k d u m x 5 M y T I U f G U V 1 Z j n B w D I M J U 3 J 6 a T N G + t d B q z X Q y 4 R x U d x R E p V J L c b J T Z b c k B A b r 0 B t f T m G A 8 l F k 4 x G c y m C 8 c I T v k e D b t 8 a T L M u g a / D B G v z 1 M x l T f A g 4 o n N 3 y Y D a 6 p 5 v F v / 4 D D e f O t t l J W V C 5 r o 7 O z E e e c v Q X l j M e J 2 c k g i s k r K I s e U h H 1 0 D 7 z l 8 + m 7 x I E i M c E h o l Y b 5 6 7 F l G K X v u E A u o y k b u i C t p Y Q / N 0 G k j T p j J C L m a J k h u U D S 5 o / / / U f i U + 5 w R 0 3 N J z u h P v 8 R x 4 4 Y M g R L x F z 4 K i Z i f H 4 3 9 5 C 8 / w y 7 N i x C 6 e f f T y M V g 2 C m n 6 E j E F 0 e / o m m M n o 6 U S n s w M + c y 3 c h n K 6 P w m q 0 D g a b L V H w U w M G d q y E Y w F O 2 C O T k e Z f v Z E u o 9 v b A p J t k c A 3 i K V S e C j N W 8 n j k w B Y r 6 t O M w / b h 5 7 G z h 0 + D A C p L E u v e Q i X H z R h b j 9 9 l u O G T M x 2 E T O x U w M T 8 V 8 N E d 3 0 r u p 3 W 9 C Q 4 2 H u l F n M S A Q L a f G 6 O F s D 6 G 0 J S X K Q 2 e J c m P T p 0 Y M r 7 7 2 J m b M m I k V K 1 a I D c w 4 a v f D 7 3 8 7 8 W 3 x 4 J W 1 p h y J s c X A x Y V V T E f P T I w a n Q 4 u y Y p g J H t G X o U + 4 k M k x z b 8 j D q D E f 1 h Z U l J J g y j O 2 A y W G E u n w s 5 7 M Z Q y l a f h V B j O Q 4 7 d x / E S Y u b x T L 1 T x p / + 9 3 j u O N 7 t y Y + F Q e D N E b + Z O F s B Y 5 q e r 1 + / O 8 f / o i v f u X L q C g v E b U / 1 I I 6 n 1 Q V o 0 J o J V O 7 j f z X Y i E Y K k 6 O m t t Y j V K j s j w j n 0 r 3 j 4 X I h q 9 G W D M A R 3 3 2 Y H O B E 7 U m w y B p m V U r V + P 6 6 z + F n b t 2 0 W C f g H A e Q s q F K V c l 5 e X Y i R A 7 Q 4 5 H Y b O G S U u Q B 3 u s I L P G 5 n t k E 6 0 / M g x L Y s m 5 3 t e L i A h Y 5 C Z u w / g + x A 0 2 R K 2 J g S L T w z i + G 6 H y 9 P o Q t k A / v G b e I m h y l M r N 9 H h + 6 B 0 l G B l 0 w 0 D C p 6 z E L n I y j z X 2 r x 3 E n D O m Z l q G A 6 M w q J k k G W C r 5 e t 3 3 o l I N C I m 3 z s 7 O 3 D G a b l z / X g C n J d w / C s x 3 b k e n a X F L Y a V R t o / k n U l x 6 H D s 1 a s 9 7 G N z U P J J A U f O W t C J 1 c i I o 3 A 0 W A S k m V g Y B g h k i R 9 v e R X 0 O f 9 B w 7 g 0 9 d d D o P h y M O k m c g s A 6 2 C z Z B 4 K A T J o B O z 8 e b S a e j x 8 k L A q f p 3 B U B O a l k 8 g H F 9 j k T c B K J E 0 L p E W L j e 5 E B f M D 1 V i 3 P K R P E U 8 q f e e G E F b r / 1 K v S 4 e 1 F j M K d l W g S i o 6 I Y C 6 N S D m F E K q y Z d S B f V 6 5 D N L i L G D A 5 + c 2 Z 5 B X m F g w O O E X p 4 R K H b U o M p t M p u 5 L w S 9 0 M W y a T / v 7 7 H s d X v 3 t L 4 q z i E f O 1 Q 2 v N r i 2 x Z + 8 B j D u d O O v M M 0 i 2 x B B F k N p U i A Z l k T T 7 r 0 T 5 y A 6 y O i z w l B T a n h T 4 / w D c K / o v 5 r l 6 0 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 P o l l u t i o n   C a t e g o r y "   G u i d = " 7 3 7 4 b c d 6 - 9 6 e 0 - 4 6 f 4 - a 5 9 1 - d f 7 5 5 8 a 8 7 8 e 5 "   R e v = " 3 3 "   R e v G u i d = " 6 e 2 6 6 3 1 f - f 2 7 3 - 4 1 0 0 - 8 9 6 6 - 0 0 b 7 c 2 c a f 7 e 1 " 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 T i m e C h u n k = " D a y " 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A v e r a g e & l t ; / A g g r e g a t i o n F u n c t i o n & g t ; & l t ; / M e a s u r e A F s & g t ; & l t ; C a t e g o r y   N a m e = " P h o s p h a t e   P o l l u t i o n   C a t e g o r y "   V i s i b l e = " t r u e "   D a t a T y p e = " S t r i n g "   M o d e l Q u e r y N a m e = " ' A l l D a t a M a p ' [ P h o s p h a t e   P o l l u t i o n   C a t e g o r y ] " & g t ; & l t ; T a b l e   M o d e l N a m e = " A l l D a t a M a p "   N a m e I n S o u r c e = " A l l D a t a M a p "   V i s i b l e = " t r u e "   L a s t R e f r e s h = " 0 0 0 1 - 0 1 - 0 1 T 0 0 : 0 0 : 0 0 "   / & g t ; & l t ; / C a t e g o r y & g t ; & l t ; T i m e 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a t i t u d e & l t ; / G e o M a p p i n g T y p e & g t ; & l t ; G e o M a p p i n g T y p e & g t ; L o n g 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5 5 9 & l t ; / W i d t h & g t ; & l t ; H e i g h t & g t ; 2 8 0 & l t ; / H e i g h t & g t ; & l t ; A c t u a l W i d t h & g t ; 5 5 9 & l t ; / A c t u a l W i d t h & g t ; & l t ; A c t u a l H e i g h t & g t ; 2 8 0 & 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8 & l t ; / S w a t c h S i z e & g t ; & l t ; G r a d i e n t S w a t c h S i z e & g t ; 2 3 & l t ; / G r a d i e n t S w a t c h S i z e & g t ; & l t ; L a y e r I d & g t ; 7 3 7 4 b c d 6 - 9 6 e 0 - 4 6 f 4 - a 5 9 1 - d f 7 5 5 8 a 8 7 8 e 5 & l t ; / L a y e r I d & g t ; & l t ; R a w H e a t M a p M i n & g t ; 0 & l t ; / R a w H e a t M a p M i n & g t ; & l t ; R a w H e a t M a p M a x & g t ; 0 & l t ; / R a w H e a t M a p M a x & g t ; & l t ; M i n i m u m & g t ; 0 & l t ; / M i n i m u m & g t ; & l t ; M a x i m u m & g t ; 2 . 5 & l t ; / M a x i m u m & g t ; & l t ; / L e g e n d & g t ; & l t ; D o c k & g t ; T o p L e f t & l t ; / D o c k & g t ; & l t ; / D e c o r a t o r & g t ; & l t ; D e c o r a t o r & g t ; & l t ; X & g t ; 1 5 & l t ; / X & g t ; & l t ; Y & g t ; 2 8 9 & l t ; / Y & g t ; & l t ; D i s t a n c e T o N e a r e s t C o r n e r X & g t ; 1 5 & l t ; / D i s t a n c e T o N e a r e s t C o r n e r X & g t ; & l t ; D i s t a n c e T o N e a r e s t C o r n e r Y & g t ; 2 8 9 & l t ; / D i s t a n c e T o N e a r e s t C o r n e r Y & g t ; & l t ; Z O r d e r & g t ; 1 & l t ; / Z O r d e r & g t ; & l t ; W i d t h & g t ; 5 5 7 & l t ; / W i d t h & g t ; & l t ; H e i g h t & g t ; 7 8 . 5 8 3 3 3 3 3 3 3 3 3 3 3 4 3 & l t ; / H e i g h t & g t ; & l t ; A c t u a l W i d t h & g t ; 5 5 7 & l t ; / A c t u a l W i d t h & g t ; & l t ; A c t u a l H e i g h t & g t ; 7 8 . 5 8 3 3 3 3 3 3 3 3 3 3 3 4 3 & l t ; / A c t u a l H e i g h t & g t ; & l t ; I s V i s i b l e & g t ; t r u e & l t ; / I s V i s i b l e & g t ; & l t ; S e t F o c u s O n L o a d V i e w & g t ; f a l s e & l t ; / S e t F o c u s O n L o a d V i e w & g t ; & l t ; T i m e & g t ; & l t ; T e x t & g t ; & l t ; F o r m a t T y p e & g t ; S t a t i c & l t ; / F o r m a t T y p e & g t ; & l t ; T e x t & g t ; 0 3   S e p t e m b e r   2 0 2 4 & l t ; / T e x t & g t ; & l t ; F o n t S i z e & g t ; 3 6 & l t ; / F o n t S i z e & g t ; & l t ; F o n t F a m i l y & g t ; S e g o e 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4 - 0 9 - 0 3 T 0 0 : 0 0 : 0 0 & l t ; / T i m e & g t ; & l t ; F o r m a t & g t ; D & l t ; / F o r m a t & g t ; & l t ; B a c k g r o u n d C o l o r 4 F & g t ; & l t ; R & g t ; 1 & l t ; / R & g t ; & l t ; G & g t ; 1 & l t ; / G & g t ; & l t ; B & g t ; 1 & l t ; / B & g t ; & l t ; A & g t ; 0 . 9 & l t ; / A & g t ; & l t ; / B a c k g r o u n d C o l o r 4 F & g t ; & l t ; / T i m e & g t ; & l t ; D o c k & g t ; T o p L e f t & l t ; / D o c k & g t ; & l t ; / D e c o r a t o r & g t ; & l t ; D e c o r a t o r & g t ; & l t ; X & g t ; 1 0 6 2 & l t ; / X & g t ; & l t ; Y & g t ; 2 4 . 5 & l t ; / Y & g t ; & l t ; D i s t a n c e T o N e a r e s t C o r n e r X & g t ; 1 9 & l t ; / D i s t a n c e T o N e a r e s t C o r n e r X & g t ; & l t ; D i s t a n c e T o N e a r e s t C o r n e r Y & g t ; 2 4 . 5 & l t ; / D i s t a n c e T o N e a r e s t C o r n e r Y & g t ; & l t ; Z O r d e r & g t ; 2 & 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P h o s p h a t e "   C u s t o m M a p G u i d = " 0 0 0 0 0 0 0 0 - 0 0 0 0 - 0 0 0 0 - 0 0 0 0 - 0 0 0 0 0 0 0 0 0 0 0 0 "   C u s t o m M a p I d = " 0 0 0 0 0 0 0 0 - 0 0 0 0 - 0 0 0 0 - 0 0 0 0 - 0 0 0 0 0 0 0 0 0 0 0 0 "   S c e n e I d = " e 5 c a b d f 4 - 1 6 2 c - 4 8 f 1 - b 2 e 2 - 4 e 2 9 f 8 0 1 b c 9 6 " > < T r a n s i t i o n > M o v e T o < / T r a n s i t i o n > < E f f e c t > C i r c l e < / E f f e c t > < T h e m e > B i n g R o a d < / T h e m e > < T h e m e W i t h L a b e l > t r u e < / T h e m e W i t h L a b e l > < F l a t M o d e E n a b l e d > f a l s e < / F l a t M o d e E n a b l e d > < D u r a t i o n > 1 0 0 0 0 0 0 0 0 < / D u r a t i o n > < T r a n s i t i o n D u r a t i o n > 3 0 0 0 0 0 0 0 < / T r a n s i t i o n D u r a t i o n > < S p e e d > 0 . 5 < / S p e e d > < F r a m e > < C a m e r a > < L a t i t u d e > 5 2 . 1 2 2 8 6 7 1 3 7 8 9 6 9 1 1 < / L a t i t u d e > < L o n g i t u d e > - 1 . 6 9 2 3 7 5 2 1 4 0 3 9 0 5 9 1 < / L o n g i t u d e > < R o t a t i o n > 0 . 3 9 2 3 1 8 3 7 6 2 5 7 0 7 8 8 8 < / R o t a t i o n > < P i v o t A n g l e > - 0 . 7 9 2 3 5 1 5 7 2 0 4 3 7 6 8 < / P i v o t A n g l e > < D i s t a n c e > 0 . 0 0 4 6 1 1 6 8 6 0 1 8 4 2 7 3 8 8 3 < / D i s t a n c e > < / C a m e r a > < I m a g e > i V B O R w 0 K G g o A A A A N S U h E U g A A A N Q A A A B 1 C A Y A A A A 2 n s 9 T A A A A A X N S R 0 I A r s 4 c 6 Q A A A A R n Q U 1 B A A C x j w v 8 Y Q U A A A A J c E h Z c w A A A m I A A A J i A W y J d J c A A I j o S U R B V H h e z b 0 F g F z V 2 T 7 + 3 H F d d 8 v u x k N C E q K E o I H g V q y 0 t F R o S y m 0 h R b 6 9 S s t 9 P t q f C 1 V C h R 3 l + I u M Z I Q 9 2 S T r L u O u / z f 9 9 y 5 O 7 I z s 7 N J 6 P / 3 w G R n 7 t y 5 9 9 x z X j / v e Y 9 k G 2 i O Q m V C I O K G J 6 h H T X k Z H n z g I b z 4 4 k v 4 8 M M P 0 d H W h p N P P R V P P v E 4 v n 7 t N / C t b 3 0 L D z / y M C T 6 7 7 r r r s O a N a u x f / 8 B n H b a a X j 9 9 d d R X F y M l S t X 4 u D B J l x y y c X 4 9 6 u v w W q 1 Y v O W L f T X g u 9 / / w a s W b 0 a b r c b a r U a w y P D W L L 0 R P z x r r s A R D F l 6 j Q 8 8 8 z T W L x o E W 7 5 y U / w 7 r v v w e l 0 4 p Z b b s Y 9 9 / w T 5 5 x z D p 0 H 7 N u 7 B z a 7 A / 3 9 / X j r z d d x 2 e V X 4 u q r r 8 Z T T z 2 F 3 / 3 2 t 7 j t Z z 9 D X l 6 e a M s b b 7 w h r v m V r 3 w 1 d u 2 F + O j j T 3 H F F V d A q 9 V i y p S p 6 O z s E O 2 8 4 Y b v Y / U q a p / H j a n U l j W r V 2 H 6 t C l Y t H A h / v y 3 f y A S i Y h r b t u 2 H Z I k I R w O 4 9 p r r 8 X b b 7 + F D 9 5 / F x s / 3 4 w z z l i B V Z 9 + g o U L F 4 m 2 K v B 6 X Q g G / P Q u S v / z K w i o 9 P Q 2 i k 5 H K 0 q N F Q g h A I s u H 1 J w B A M t K g S c Q V T N N 9 N 5 R v k i M Y Q i g D b q Q v + B M E I W N 4 r K C 4 C + L f j d o 6 u p P V / D 0 0 8 / i + H h I f z h 9 7 / H 7 b f / E n + 8 + z f o 6 R y E s b A S Z m 0 E W n U U D p + E P E M U U X 8 X V B q 6 B z d J k w c p 0 E f 3 M y G q z g M 9 Z O y O 2 e E N S u i y a 1 B u d c K q N y A U J g o J h 2 A / L K F o B l 2 D r m P p + h t c 1 T + K / W J 8 S C E P 1 J 6 9 0 P i o f W E 7 v K U X U f v y s S e c D 0 d U K 8 4 J B Q N 4 9 s + / x U c v P I l T L r 4 S + 7 d s Q F 9 7 K 7 5 9 x / / h w + e f w K I z z 8 X j f / g V 8 g q L c c Y V X 8 U 1 t 9 6 B D + n c h 3 9 9 G 8 p q J i E c C u K c a 7 6 N N a + / D J d 9 B N P n L Y L e a M S y 8 y / B v T / / E V w 2 G 3 7 7 / F v 4 x V X n 0 9 + 3 M W n 6 d E Q l j b j 3 F L U L p R K P Z x z S w Y 5 t U Y u + B E a N j g b J g 6 K i O k S J a K J R 6 h C V R H / D U E k q O p U 6 H i p i I + p 1 + j c R k T D w 4 M M P 4 K W X X i S i e o + O 8 P f J 5 / C v m Q m V T / L 3 R B U C K k T o E N 0 u B j 7 O 9 5 R / F x W f i X j 9 E W j 0 6 t h V 5 N + H a d D U a p 0 4 I k O + d n I r 4 9 e T k X h / u i 4 9 q 5 o + J v 8 m G f v 2 7 8 O B A 0 2 4 i x j / x h t v x D V X X Y S I Z C A G U 0 O t 4 V 8 C P l 8 A f / v 7 3 0 g Y v Y j N m z 6 n I 4 n 3 T G S o s W i 3 H 4 6 9 k 8 F 9 V U u P 5 e i e h b y a w + j x 6 + g + g 6 g u m I u A 3 4 N N W 3 a h o 7 0 d 6 9 Z 9 h r / / + R 5 c e 9 3 X c d M N 3 8 H 0 m X P Q d H A / 5 h 0 / h / o 0 S g y + F m W l F W h o m E x X V M E f k h C k 8 b L o 5 T Y z p N A I d Y U f U V 0 5 f 5 K P E Z N F d Z X E F A 7 q m A A 9 C j V G 0 t M 3 N B 6 S E b t 6 9 Z h a G o Q h 9 u y p 4 H t o 1 f L 7 k a Y w i n W P I F L / H f R 6 d 6 L C e L z 8 R Q x 8 B R U x 3 E h f M 1 o 7 + z D v h K X y F x m w J 5 w 3 y l A 3 r l i A g N e L v K I i W A t L 4 B w e x G B v N 7 5 5 + + + I y Z 7 C D + 7 6 B / 7 7 y n N R N a k B l 1 7 / Y 5 x w + t n 4 5 V X n Y v 5 p K 3 H J d 3 + I b y 2 Z h h v v + i f + d O O 1 O P / a 7 2 H O s l N w 9 0 3 f h t F s x t J z L 8 Y n L z 2 T w F B v o W 7 G b K h I + U R U 5 v Q M Z R v u F z 3 i 9 B 5 C v m k q T J Z C + k S s I 2 i B / y H m o r / J h C Y T o t L 5 k V A U + w 7 u I Y I 7 g C 9 d f D E d l j k 4 j i j C x D F q v m g 0 R N 8 r h B b 7 S 0 w b B h G m u J w 8 Q M x + 8 n v 5 H k F f E D q D 3 I n J o G u H S d J L 9 H t V b A R T E G Z N Q F B J W r p a Y t t l R k t m 5 v T o 7 u n G s 8 8 + h 8 W L F + H k 5 S e L Y 2 F W E / R b t V Z + D q / X g 6 e e f g a X X n I R S k r K x L H E Z 8 j G U C H q l z 5 X N 3 V F h B g 1 j M 7 9 w z j j t F M x s D e C E d 1 u H D r Y R d r 6 X b r / i Z g x Y w Y 2 b t i A / o F + 3 P 6 L / 0 K g e x / 6 O k p R c 9 w g X Y n E j 6 6 O H k h P z B 6 G P + y j 2 / v h C g 7 S P f z Q E W O Y N G X 0 1 0 R a R Q t / I I A + t 5 m s E w 2 C 9 D g m b R Q N R S F Y 1 E N Q a Z k W Z N h 9 K g y 6 V S g 2 R U i r R a j X e B x p n H k 8 w y 5 I N I Z R b X H s b C B A G k p H W j A R z K R u G w n v M h 2 8 I e o z / w h 6 e j r g p m t b y H p p b K i n 6 y X / h r p D 9 C A L e A 1 d j 3 s y k a G y Q x 5 f t i J U N M D S K N 3 J S B b y E 4 E 8 p g p D B c I e e l Y j O j 2 b i K H 6 m 4 h f r O g 9 P I S K O h / y y u b z k I g b h e h p N G S W Z Y V g E A 1 p K f H Y U I l O l H 8 T H t V u f P t Y w + k Y E 7 8 C P j t A l 2 C T Q K / i a y X c L 3 Z u 0 B + C V h 9 n U t J L 4 i / p F f G X w a p f Q + Z b 5 g 6 S u 2 8 U f G 0 + m w 6 x y S V 3 d u p v 5 Q H J D B I E R B g q j X J X v i a 3 S W 6 f 0 g 8 K s j E U 3 1 u n 1 + P G m 3 6 M e / 7 x V 9 j 7 7 H j 8 + a f w n e u + j W 0 b V 2 H I F U Z B n h U n n r Q U b l c Q J n U P a Z B q m A 7 + F S F V K Y a M p 8 L Z b U b 1 H D u 6 / C 5 U W m d D 4 9 o D k / s t G k f S b i H S M v z M Z H 2 Q X C E T f y r d U 0 3 a h j U + H V e x 5 j E j W L k C U d Z G Y S 9 9 L Z u Z r N X 0 G T R R K r y h Y b h D Q y g x T J V 5 g z p G 6 V U h u I i x N 2 1 v x 5 J F s 0 g Q e 0 i N M d O m 9 n t m D L h U 6 D d a s j J U m D V q D G o h R H n s V d Q e e n Y a Z 6 Z L p g c F 6 j E K Y H y w l m o k 4 T N G Q 7 X t P R z N K z e h w 7 W Z m I f U e M W K m K Z I B D e I y Z G J S 2 k I m 0 r E M H y M q J J / I s 4 i y a Q o i g h 9 H y a m 1 G o 0 4 m E E Q U v 8 e z q P J E 4 k q o G W B p L B / K g W 3 4 1 2 P 7 1 k Y g 7 6 6 B q G b I R N I J O F R C q 9 S T 4 v 3 t q x E C 2 h f 3 i g 1 f w Y 4 i h 3 N r 8 b 5 3 4 C Y R I k N F z U V F l L p W P A 2 D P R / 1 6 P S 3 x m r e D 3 + b F 7 9 z 7 h c 0 6 b N g 2 / + 9 3 v M H v O H J x 2 y q l 4 7 r k X c O U F Z 8 N S Q n 6 R S g P j 1 l 8 J Z e C d 9 U P y I U r I v x q G u f U e e P x F + H R k A R b O X g y N R o / 9 u z d i W e m 7 p G b M c B u X Y 3 + 4 A d V W k v 4 a I w 0 R a R B o i N g H Y N b V i J Z l g k R a T d / 3 J s k y s k w i d g Q 1 9 Q j n E Q N o i + Q + 5 g d O k f Y M K e y H u f s B + P J P h 9 6 3 F U F t I 4 L 6 a m h d h 6 A O D p C W c F A P 6 d F p + x K K Z + b H f h V D h D U p P W Q O x N 0 d M a L f r 0 k y W x M R I Y v E R z 6 X S V N M G i 5 A r o w P B v J B h a B I g Y + Y W g q r o S d h N h H o 3 N t Q Y J 6 G P I m Y l 5 6 b x w k q A 6 T m D Z 1 R b Q O Z A 0 y Q J L U m V e T j 6 6 / 9 B o f C A 7 G f x n F j 8 Q p c d c p 5 o 0 T K 0 I x 2 A B F X h J h J t h U F Z F K K E 1 m E z Q R 6 L 5 h w D G K E J y C / 5 3 / D Z I y z 9 u M A A G s T H k d m A m V M J d K g A T I 5 g / T K M 9 I X M U 3 D v + X r 8 G 9 l y c T X V q 4 f B z O T h i Q I f 8 8 C Q E U S W / 6 t D C G 9 R X v H / p a f i L + T t T M 3 T j G V 4 + e G S S N w I I P N D m 7 4 9 6 6 / H g 8 + c D / u + v 2 f 8 N P b f o y 3 3 n o H 5 5 1 3 n t C w t k M k d D R D y K s r R t u I B n k a B 0 o t 9 L v g E M w D z 8 N X f y s O 7 d 6 A 6 X l t 2 O F Y i J 1 7 d m L l w l K 8 + v F B b N 6 6 C 5 d d 9 i U s X z I H O p L g c i f 5 S S M M i O B C V F s i N 4 j 6 I h D 1 k s l n l j 8 f B f S D 7 y F o P g 5 2 Y j w r W T n Q 0 C s G V 7 A f Z m 0 p P A E V M X B i j 8 p w 9 N t g K c o j O h Q d l h 5 s q r O m F N e N 9 2 l r h A R G V C 0 C I T y s 7 M e x / 6 o h 4 e z 3 u m G 0 8 H W J L s f e d l z w O H G w b D x I 1 K 5 q k i 3 5 k u x O K F C p D S F Y t V X 0 a k C x m Q k E g p k 2 a D v H v P r t w 0 I 9 7 t 6 1 G 6 + / 9 g Y x E 9 8 4 i m 3 b t + G N N 9 8 h Z z m M R x 5 9 V F y D w c w U I H v u h h / c g F / / z / 8 Q 6 W k E M z 3 3 / H N E h M R e x C w P P f g I a a A w A q S F g v R 7 P k b 0 J / q C u 1 C j J V P I o C a T T w 2 N T o 3 3 P 3 q f j s m f P d S h T z 3 z A n 7 7 m z t h M a n g c H l w 0 0 0 3 Y d O m z / H b 3 / 4 W P / j B j f S A K n L m N a K T + L 3 4 n P D S 0 I C y R g j 4 g 4 g E y G E X 9 q c y f O S f E Q G y c x 9 h D h b g v 9 w 6 h d G I C Y k h W S u L I A 4 z D / l W Y W J w f k V J y A S D Q e h 1 e r S 3 d u N 3 N / 8 V f b u 8 u G b l d z C w 2 4 P l x 5 2 F n m 0 D s D W p y A 5 v o f 5 t g q n 1 L z j O 9 T D 5 K 6 S V i O P X b u n C Q 2 u r 8 d b b H 2 L y n F N w / Z + 2 k M 9 h x N 4 9 + / D x d m K 6 i l r c + o P b h c + l M x C j s E 1 H 0 l i K e B E x N K K P i N s T 6 K V m s 6 9 J 9 z k G z M T w l 5 y N Y S L i I D F u I j M x L N o y 6 k N p l J n Y p x J j S r 7 6 / j 4 N / O Y i D P k 0 s D f L / Z 0 W / B y a P H 4 j f 4 6 B m W m E H s V H Y + K n 5 3 F E y P / T E 5 N p L a R J y + E i b e S I a I V Z m P m l i b 3 U C c e 0 c J O W 4 b 8 2 0 l q J x 1 N f T j K X A 2 L 8 k 6 H + 0 b U / v b O L 1 H A J M R N L a Z 3 e i I f 3 v Y t O t S N 2 S h x n Y x o W T Z l D p s p u f P b Z Z 1 i x 4 k x x f M + e 3 X j i i S e x f P l J e O W V V 0 R w 4 u W X X 8 H J J 5 0 C v z + A k Z E R f O n S L 2 H b t m 1 o b W / F 9 u 0 7 U F 1 V g T / d f T c C Q T 8 G h v r x 9 L N P Y 9 + B f f j w o w + E V F + 1 a h X e e + 8 9 d P f 0 4 o k n n 8 T p p 5 0 G h 8 O B n T t 3 4 f j j 5 4 h 7 f r Z u F Q 4 e 2 I s F J 8 x H S 0 s L 3 f N l / O x n P 8 N 9 9 9 8 H g 8 G A X 9 9 5 J / 7 1 w A N 4 / / 3 3 R Z j + 2 W e f x d t v v y 0 Y 5 A E 6 f r i 5 W Y T Z j 5 8 7 F w e a 9 m P m r G m i D 0 L E 2 B y 5 Z B O W G V E o I P G J N R h r Z J l I 5 L 8 8 2 P J f f s c 2 e o S u w U y m J g Z j Z 5 h D 8 y x J T W Y t 0 V 0 Q R m s v r L X F 0 B V G 4 Y Y X G / e u Q 0 N j F f Z 2 d K G 5 z 4 2 q e Z f j i h v + g m u + / g 1 s / n w b t l J / n X P u h d j 4 + Q a o o z Z 8 5 e w 6 l N Q u x K k n L 8 P M 6 V M x u a E R G L b A U B w i 0 6 q b W k F Q 6 Y V p y B r J b K i D V k 1 a i w R g n 7 s H F l 0 y 8 a e H 8 m z Z Y d D k w 6 i J B y 9 G Q Q 8 c C I X x + a a t + O T T 1 a Q w w 6 i q q i K L z o o S a g o z G r 8 M h e T T B C N w t A R h K B q r G b g / Q 3 4 v n M P 9 p N V 6 S O D R e 1 M p g m R 6 q m h s h O X B L 8 J H L z 4 j n j G / p D R 2 K N s z 8 H H l p S B + f n 9 H K 3 a t X 4 P a K d P F 5 z E g O i h S B W E m U z o R 6 p / 8 6 E d 3 q l W d M J o s J G m 8 M B n y s z D U d C y b e Q I K C g q w f v 0 G n H H G G Y L 4 W l p a s W T p Y j z 9 z D N o a 2 v F v L n z c c H 5 5 2 P 1 u j W Y O X M G H n 3 s M W K c g G A o m 8 0 u i P / Q o c P 4 z W / + F 2 v X r h N z O h U V F W K + 6 G 9 / / R t u / + U v M W v W L H z 9 a 1 / D / f f f L 7 7 j 8 H h n V x c a G x v x + u t v Y N + + f b j w g v O I s d e j v q E B L p c L u 3 b t E n N L r 7 7 6 b / z o h z f h f 3 / z G + z Y s V 1 c 8 0 l i n O H h Y d z 5 6 z s F o 5 1 + 6 i K M 2 N x 0 3 g 9 J q z 4 C q 8 W M + f M X i A F S k 9 Z S c 6 C B 7 L c I a Z s I D b g U 4 f f c 5 f S e 1 F E k S g M d Y b U k m 4 s M D v q x / 0 k 8 l H Y Y t 1 N b u r p 7 U V l R i h t u v I 2 e 4 y 1 8 7 Z q r 8 c C / H s T F l 5 2 P / / v z n / H l L 1 + F 7 3 z 3 e v z j 7 3 / D u 2 8 8 h 4 u n b s K 0 k 3 + M 3 k A h z j h p O q q r p 0 J t p V f X R z B H 3 k P A u A Q B Z w D R g B 6 q A i + N c z E 1 x E m S n d S b m E c i T c X z S j E N E i S H v d f d C 5 t / B C r y Y w 1 a g z g + F u m e Y H y 8 / e 4 H + O D D j z E w O C S s z h P m z U F v X z + M B q O Y N 2 w 6 2 I K 6 2 u r Y 2 T J Y + D A z C c 0 e I J N L M Q O p X 3 t b 9 x K D V M E e y U d Z e R E M Z M 4 N R P X w k 4 b g e a O X 7 v m T s A w + e f k Z + F x O t O z Z j u 2 r P 0 J H 0 z 5 s + f g 9 t O 7 f g 7 W v v 4 j h v h 6 8 + 9 R D 6 G 1 r w b 7 N 6 8 k 0 9 K B p 2 2 Y x V 7 V / 8 w Y c 2 P o 5 t q 7 6 E K U 1 d d i z c Q 0 2 v P c m D u / c g q L y C h R X J r d X h o R y 2 0 Y Y i L k T o c q r M a L A U g n b P j M O f e S k h y L n l X s i D Z i 4 2 C R T v l 2 z Z h W 0 B j K n y A Q r K i r C i S e e C A 8 1 d P X a 1 X j 8 y S c w f W q c u 1 l D s K S u r q 6 m p k g w G o 1 4 8 s m n 0 d 3 d L S Z U J 0 + e T E w 0 U 5 z D 1 2 I N 9 S m 9 l O 9 O X r 4 c 9 f U N 6 O r q x n e u u w 5 n r T w L n 6 x a Q 4 w a x N a t W 1 F Z W Y G l S 5 f i 7 / / 4 h w g r r / t s L U L h o N A w z N A 2 m 4 0 Y u R k P P / Q w a W M y e Y j 4 d T r Z S Q 0 E A t D T g H P Y O B F s p G g w K M L 1 G j 2 Z S v y s G h r 4 Y I j 8 0 B B U Z L b y X w 7 p h + i v R P Y 3 + 0 u J k E J E z D E s t v w F U y Y 3 4 v s 3 3 Y 6 y s j L 8 6 7 6 / 4 Z V X X 0 N H R y c G 3 I d w 1 y / / D w Z S j a / e P h u O L V / G I t 0 t p G D U M J L z P b M s S G a b h f y G M H q d a m w M n w t n w Q + g t u 2 C o c C A v M l h e D o c 6 H B t h E / M y x F R k n R 3 h 0 f Q H m w j + 6 x L t K F Q X 4 x G Y z 6 9 W G O F h N + Y E a N m L o F o Q g r 0 0 y G O a s U o Q I T M P c S l I + K j 5 O / G e e e c h R u u / w 4 J O D d Z E X v J + h j B y j N P x + J F J 2 D a 1 M l Y s G i J O D c d m J E 0 O h W 8 w 7 E o H d 2 z Y t J M Q Y 9 l 1 p T B I a i 1 O t R O m 4 k 3 H 7 0 f W p 0 B I R 5 H o w l z T z o V A 1 0 d w o 9 y 2 U Z Q 1 T B F P l + j J Y a p J f f C R 9 9 3 y s e Y J i d P F e P m I Q u o + 3 A T O g 8 e I A 3 V J g Q C a 0 E Z Y + 8 f I s G W 1 E c E a W S o L 8 o S 1 t 1 m g r X B R 7 Z 5 I Z a 9 8 i P h M 6 X i z 9 E L 8 e O L v h H 7 N D 6 4 2 3 m O K h 5 W T g Z / n 1 0 O c m M 5 z E k P T i e y w / j A g w 8 K x 5 6 h / D b 1 G l L E j W j M T 7 j + + 9 / H / f f d B 4 / H g 1 / c f j v + Q l o g w o Q / O A h 1 a Y n Q N o 8 / 8 Q Q u v u g i 5 J P m F Z 2 Y c M G Q r w 8 a A 0 9 4 M r K 3 m L 9 l Z o u S N m M T R 0 u M G E 7 4 f f u q q 1 E w 7 x 8 k N P Q Y G r a h w O i D 5 G i B y f 8 h / O 5 y 2 A u / B N + g B d b 6 K N a / c i p q 9 E 0 4 f u m t c F b d K n 4 / 6 A 7 B F d 2 M c s M M M r M K x D H 2 i 4 w d T 8 B b + w 3 Y D q p Q M C 1 9 + 1 z u n b C Y k y d U k 0 G t J + a Q w t R 3 a u o 7 f o 3 z v G x S R o X m 4 7 k 8 E j A i i s a / U c H l V 6 N t h D Q 9 8 f U M E g Y K O J B g 1 P I 5 2 e H s 8 M N S T d o 1 c T B i y H U e i m T P 6 O T y e G A N 5 x g e x M X f + W H s S P p n 5 7 g A h + A Z P A 9 V 0 / U c / D W X i s 8 M a b j 3 Q F S l K 4 S z x 4 v 8 a r N g q G d W v Y F + + 1 D s l D j O O G 4 x j p 8 8 i 9 6 x V E t u K R l G d J u x T h o j S p 0 d C b M Z J X + f f Z i O A R L m U I a G h k R o m s G + X G G h b O + H + v r I 5 y X f h r Q h t 0 p h 2 l Q w Q 0 k k 1 b n F P K e W X j S M h Y j s B X i i Y J A u X C L C 6 i 0 f f w V l j d d D 5 9 o O T b C T r D E J r t L r E B X X l 8 H S 2 H 6 4 E 7 s 3 f h M l m p 2 o P K E b h g b S k O o o h v x 7 U W b g / p c R 9 A S J A S V h K u n y 2 J + I I D C i J j 8 + A H N Z g i n H J i D 3 R w 4 h 6 X S Q g o O j U U L J 3 Y S o s Z Z 4 h q + f 0 h c 0 z p L n E K L m G b E D C r j X y I U n M / S T T 1 Y J v 7 q 4 t F Q w 2 9 w 5 x 8 X O G Q v f c B c 9 V + W Y S O B u Y i h n D g y l I N 3 E P U d + R b t i 5 v r E E c U U a Q i l R D S S n / p H V 0 S X I / r g T A l n i 5 6 0 k 5 9 Y g h y 6 / A L y g / a J H 6 R C o 7 G g p p o 6 M 7 U j c w B H v C T S V N w 1 7 N 6 z g 8 8 T s 7 k S 6 E S Q q K E Y 6 R i Y G Y q h K Z e 1 R y g i i b B r K o L e P q j 1 x I R E j M o k d U 5 g U y r i I 3 P Q R W a M h Z 7 W g M O f X I O + n p 9 S P 5 J 5 a S Q N F n W j o M o s m C 3 o C Z F d L 5 s 6 B f k l 2 L 7 q D F R Y 2 z H 7 K 8 T Q N O g b 9 v l h P k h C z u A h p s y D I c 8 A j 9 0 P V 7 8 P f n 0 e P m r X o t B K B q o 9 h F s u N 5 G 2 i q B g a k J 7 R Y Q v d y J M C 3 4 m E d n N B V F s 3 7 k X G z a s J 3 O 8 G n 2 9 P f j + 9 7 9 H d C B r K 4 f L J 6 K x 8 + f N Q 0 t r K 2 q q K l B e r m S X J C N M f r q z H T B X R 6 A 1 a b N q K G Y e t j K Y W T n L g v 8 q x 5 O Z K h 1 V p A d r J U 5 P 4 7 M T G V D J l G C o 3 B 2 I m G u g / t m t P 7 3 T R w 6 9 I V 8 r o l J 6 v R F 2 x 1 4 0 N G h I m o e T X l u 3 t q C m p g G / u u N X 6 O 7 p w f H H y y Y E J 6 / + 9 N Z b h T 9 0 w g l z + f L i e B L o 4 T j i J Y M Z K 1 n a f / z J x 8 K v s l g s I v Q + f / 7 8 2 D f j 4 w D Z v J s 3 b x Z R w 8 W L F 8 N i 0 u H v 9 / w L m 7 Z 8 L g I B 7 P Q v W r R I X H t g Y E A k z t Z X V a G E N F f 7 s B 1 v v P 4 a D W y K O U S + A s 8 1 R G 1 B Y t A Q 2 C 1 5 4 f n n M H v W Z P o c o J b z h B 4 R B / s R / J m c f Q n 0 m S M X P M n H z E c m U H T E D Z X J J G x 1 3 + 0 v o / Z r K 1 B + Q j k q G 6 3 E G M X I K 7 X C W m x B f k U e i m s K Y C J / S a P 1 w L B J g u k X 6 5 D / X 7 e J 5 t S U a l A + 3 Y r y y U W w F J l h M J M Q L D a j u C 4 f b + y U s L v Z h 0 t P y c d 5 i 9 Q 4 u L 4 Z f c 0 2 D B 4 g X 8 + l Q Z g G X m f i y d 3 c C C g t Q j a i T l P s Q y 6 Q U E E M s m j R Q v J p p 6 G j s w s H 9 j f h 4 K F m z J o 9 h x i s F 4 O D Q 8 J H m l x X R m M T F 4 C J 8 A Q i R J N q G I r J w o n Z b x y U 8 I V I G C c w i / J o / F c h s 0 Q G G v v o Y w 4 k g V O p R m 9 A 5 3 L f 8 Y v N y D A J X 2 b U I h V Z A r E o n 8 o 3 I L S U 0 F C D e 1 0 w l q l g L b M I k 6 + t f R X q 6 z n + n 4 x P P u n F a a e e i 1 A o h B / f f D P u + c c / x H E O B J x 2 6 i m C w f 7 + j 3 v Q 1 d U l C H v T p k 2 Y O n U q 9 u 7 d i x t v u A l / + d u f c f H F F 2 H F G a f h h R d f E d / P n n 0 c r r j 8 C v z y V 7 8 S m d 6 P P / 4 4 e n p 6 c d u t P 8 V f / v p X n H r q a S J 6 x 5 n j 5 5 9 / v o j 6 c b b 3 O + + 8 g x / + 8 C Z M m T Y F 9 / 7 z P r S S l P u f X / 8 a f / j D X f j a 1 V / C J 2 s + h 9 1 u R y 8 N 3 B 1 0 b Y 5 M M n 5 1 x x 3 4 y S 2 3 4 N f k T 9 3 1 y 9 v x 4 a Z 1 W L P 2 M 5 S X l m H Y 4 c K J J y 4 j q U q O P T m u H G R Z 9 9 F H m F J f j 9 1 0 / R U r V q C o q H A 0 l y 8 z Z N + P w Z p Q Z b U Q U 5 l x + O q r Y b 7 g X J g u O F 9 8 x 7 B 5 y e 8 x 8 v l E P I M B B M l P M t W Y o f K 7 0 V 5 T j + r 2 b u g s s q n W a d O g p i D L v E 0 G h K I + q E N u U l D F I n h y 6 P M W M h W N i G g d K J 9 S j P x S M 3 R G H T R 6 0 s I 8 M 5 2 d 1 i a E / U 3 N w u w + a d k S E j 4 R M h k P k E m Y P h T t I / / K H 5 Z 9 L C U P 0 O 6 V k M 8 T 9 g n w R D U I E X G z t v M N h a E u N s L A 5 y e 0 + 9 C A B l N K x + k r V m U K p x E D S T w J r q u Q P + c A I 9 k d W j H W Z O k M b 0 e o a K 4 8 6 o X 1 b n h 6 4 4 7 j e H j p 5 Z d w 2 m m n x j 5 F c N O N N + K N t 9 7 E z U S o 7 K N 8 8 5 v f w C O P P I y r v 3 I 1 b L Z h n H H 6 6 f j G t 6 7 F s m X L Y s s x P G J p C J / L c 0 e v v / G G 8 D m e e e Z Z X H j h R Z g y Z Q r + 9 v d / Y D k R 7 t N P P 4 3 p 0 6 e h u b k Z z 5 O G 4 H D y R 0 T k J 5 9 8 s p j r 8 n q 8 M J M G 8 L j J o S a J 4 n a 7 c L i 5 h R i o U E T 4 L j j / P D z 8 0 L / w w P 3 3 4 F v f + g Z 6 u t r J r M 2 D h 4 S C q r Q c C x e f j K i k w 1 4 a + F / 9 8 g 5 q 1 0 c i B H / j j T / A 4 4 8 9 h r M v u A A O 0 s D M 7 B s 2 b E A n S d q x 4 A F P H H R F s p E 0 o 1 c 0 I P c t d / 3 I o 4 + L p T I M 9 p c U Z n K 1 a K E n K y G v z i i W V j D 4 t 8 x M 9 o M S m g a 0 q M k n R / 3 A e M y c A j L 1 7 I E u t P n 3 o d X F k c 9 D q J x X i f n n G 3 D C + V N R P a M c F t K Q O j K l V G z y R r 0 I U X s P b m j H t l f a 0 b x u F 2 y 9 d l L G s i S e K G Z M a 8 R J J y 6 i 6 8 r P G d W n C 0 H L M B A j 5 R v I H 4 w 9 P y O V m R g m K Y Q 8 s g Y K S c 5 U l q t h 7 L H D H P S J Y 8 r r h F I v R o Y j S c f y A x 1 J n w e a D 8 U / R z 2 w E v 3 k 0 d g k n p P t p T A T I 1 Q 0 D + b 2 e 6 D i G e w Q c W X R N C s c L f I g Z w J n C w w N D + O F F 1 4 Q h P X G m 2 / S U R U + X b 0 K W o 2 O B k Q t w t 2 P P / q w m G v g 3 C 6 D T i 3 6 s r a 2 V k T a r r j i c p E 3 p Y T D / / S n P + G t t 9 4 S 4 f S q q k q x p m j 9 Z + v Q M K k a E T K p z j 3 3 X O h 0 c p 6 V W q 0 R 2 d y s e n l e 6 u q r L o O Z T G n O R G B N + M J z T 2 P R g n k w 6 A 1 k A n 4 u Q u X D I z b Y i Y G X n n Q K M f l j O P X 0 M 3 H P P + / F 3 L l z s f H z T e K 6 D A 7 r P / z I I 0 I z H W x q I k 3 5 B I p L S s h 1 U o + G 1 / m c / P z E H D T u U H 6 x l M s s 1 q P E v I w h k v 5 u c U / 5 X M U E c z X r E K l p J Z N G N i s U K P I 1 f 0 o E 5 c T k U U 8 z 9 u 4 7 E D u a I 8 h v K i E T q d 6 y H F Z t B c I 6 0 k h W M 0 n i E v F d H H R f 9 o 9 U R v L 5 t J i 6 t I 4 Y T o P G k + a g o C J / 1 N y K k n 3 l H H K i d W s X t r 1 2 G K 3 b u 2 k s 4 o Q 1 L n j d 1 T G G t d Z I J r k a 9 t a A m C R W M O w h w c a T 2 + G Y A E v R P p M n 1 8 f e E T j I w o m 6 Y / L 9 U v g h Z K d r 0 i v E 8 7 T J 3 7 n r b o o v 3 + D p E 2 9 I Q n l x I d o 7 V p E P l Z K 8 S J B N P l 7 g l 0 o 8 p M r J r C B F L Q a F I 3 5 y w I H u G + K J O v l 9 W r C q 5 b U 4 a o 4 a x S W 7 A P s x 7 K O Q 5 B C N J E 2 S z i l + 6 G H S h l / + M s w 8 v 8 S I + B C m 8 6 Q Y w a R c V V x L 2 N 3 0 l + m X / y r h d f a x 7 v 7 L 3 f j t b / 8 X n K n M C J L Z p i 0 v F 7 7 d l V d c I X w x W X 9 w W / h q G Z 8 O I W J C e L 2 Q i v O x 4 Z p r o X 7 1 3 y h v / Q T F e n l u x H F I h W r / N D i P 2 y 8 + M 7 h t r b 0 h u I + r w p z h f n H M 5 Z d I I r r Q 8 U Y D p l w u H 8 s Z T F A i D B 4 H p 0 j x x H V O i L B v 6 B V j J W e H j w W n b L V 8 3 g U P m V r W u h A m L 5 g U + w b w k 8 Z 7 4 s l n h C B l k / m C 8 8 6 O f f P F w H b Y D 4 / O i 6 r a 2 N T C O G C / r q S 4 i C y m 3 M 7 P h l G G Y r i 6 A y i f U Y p 9 e 1 e T B h l L u A P U W Q t P Y F s 4 R I M R E f 2 b z l F V I n g M D u m K c D k z D j N d l N 6 r W e P k O J g Z E K Y 2 Z E 2 7 Z y I Q 2 e f c n j j J s / x K d 2 c l v C 7 C 1 u R 7 K T 4 X Q 2 G o o 8 W G 6 6 9 H 8 M E H M T f G J C N N A R R M 1 a L 9 t X J M u i S Z S X o 8 Z J O / u R 7 V l 3 9 X a H 5 G O O j F g Z c m o X J p G w r q O c g g D o + P s I v 6 n I X A B M E D n C m q x x O 8 q n i G t u T v J H O O s 9 g 5 y T i I e + 9 7 B G V l p X A 6 n K i q q M X i h f N R X E Z 9 G h w k p o w l 6 h 4 h O E a c G N B K h e R t R c R Y D 0 8 f C V a 3 C X k N N O r j 9 F V f 3 w D K y + W s h 7 b 2 D r K w a q h / c + 3 g O B I Y K g p 1 x A F z 4 S Q x Z 8 Q N 4 E k 1 j n a E I 5 w A q h U P I u a U o m T G E W O o V U E i 6 j Q q k p m H O j z C o U 0 y B S f e r P H B j Y 5 w Z I 0 1 E b H I m A 5 m h u J D K a H i R O a a G B S N d O R I X A 9 l a 4 q i N v + v c J b f j E M v l q H x 0 h a i X Q M C a y q h P 7 k H w 4 F W F O k n i 3 M V d O 5 5 H U N b r 8 P c r / X D f o i c 9 S m x o c s F k Q A x g D x W w b A X Q 7 6 D q M g 6 0 U t I E E p j w H Z 8 L A p m d 7 j x z L P P k r n s R 2 l p C Q r y 8 n H B B S v p m 7 G i y + f y Y t + n 7 d C S r z R 7 x c w J D Q Y v w w g T X e k 1 Y 6 0 n h j 9 s F + e Y t X H h x x 4 M r + c K t J E J W M Q r E 2 g U q V k W f Y R 8 N m B P j x b L G u Q x i Z B p E I 9 E y + B j w o r J k b m k k f 6 m q M r f g 5 C q D j q t H 7 r 8 e u x + / U I U q P a I i / C L p T b / 7 T D 8 A k v P + i a 1 k k m Y 1 9 i G i E C p V a N 2 p z L A J K W I C T k L 4 c i I 9 x g h 7 J H X w H B Y W 6 U R w Y e J t y e T T p s 4 m K F 8 L g 8 c b R E U k m a y d v w J z t q f Y u + z Z Z h x u c x Q r f + u R P 2 l 3 d T f c e 3 L v d r q X I / g b 9 + E 4 Y E H U a d o u A N h F E 7 P k c m F 6 Z x F o 6 e D v x v Q V 4 m 3 C h 2 w b t i 8 e Z v I K p k 0 q U 7 4 w t 1 d n S g n b R T 0 U n + n 8 L h a 7 R P j I C a W m U F 5 A j S h P w + s a 4 b B p M O k + d n X a B 0 L u H o 8 M B b r y N 9 K 3 w / t H Q O k m Z J z 8 5 x + F b z U 7 D I L 0 w E w O D C E k t L 4 R H w q V F 4 i m E 8 3 D + N f j z 2 N D T v a a d B 9 K D D a 0 V j c j Y a i L t Q X d o 7 + D Q X c U J F 0 + 7 + 7 / k g S 6 U W E W P o T o e 7 Z u w c d n R 0 i f + t / / v c 3 2 L p t C w 0 g a w 3 g v v v v F / U Y F H D I / d 3 3 3 h N p Q K + 9 / r o 4 N j g 4 i A c f e k i 8 Z x x o O o D v X f 8 9 D I 3 w k m 7 g + z f c g N / + 7 n f i / X h 4 / o U X Y u + o A 9 g c J S K S 6 G + Y / D v O z e P U m m z g I I 0 M u Q N T m Y n 9 Q 1 6 u H i Z h w u u 7 m M S S w Z p s L P g 8 d w 9 Z A e Q 8 F 0 6 y y c d i g i i 6 g Z o Z o v 4 i A R R b P Z I E d 3 A I D d Y T 4 d i z Z z R Q w W B m G m n y 5 x a B E 8 y U 2 t Z x E I v M c T C o s 7 s P r / z 7 T b z / w U d i u c 7 0 G g 3 0 W h U C P j f 5 H 4 V E G 9 4 x z C Q U G C + / 0 F f Q X 9 I q u h J I v l g 2 f A z T T 2 o U z N S 8 u Q 3 7 V j f H j n 4 x s F S a S O F S n x 0 g D k m D V G Z i W E m T M T M N u D m d D E n M 5 H S O p S W V U V O K 4 + f O w Q 3 f + y a W z q t B H k m c x E W C S a A e 4 v T 7 n / / X z 8 i R a 4 o d j I q 5 n p H h E f j 8 f j F n 5 C a 1 f s + 9 9 + A 3 v / 0 t D h 8 + j A d I q n I m O o N N g 7 a 2 N p x 9 9 k o R E W T s 3 r N b z F U x s X L 9 h 4 c f e R h / / s v d u O s P / y e + L y k p w X / / / O f 4 3 e 9 / j 5 / 9 1 3 + J S W C e T + I X 5 + F x d j p f / 8 a b b h J h 8 + 5 e D m 3 L o 6 u w B 2 v y E G l W k a d G 3 3 E 2 R T r o 1 O k Z i c E r l H n p R / y q / C 7 + X r 4 n f 0 4 m c G U B o r k y d q 6 u F J b O f 8 J V L e e N W Z 4 k M 6 x Z J i a O s A e 9 / W h z r x W f G R Z t M d 2 X j v M r d k x B 4 T S 9 c H X s r a Q J s o E z J Z L a O j 5 4 s p r B E d X q y j J 8 6 Z I L c P Z Z Z + C 7 1 3 0 T U V 1 y V o N E L o F a T w I i g X Z i / B g H H Y g a Y p q I / f A A L 2 L l v g E a F 0 7 C z F M a 0 b G 7 G 3 s / S m Y s u T y B D C U K P e I n G y 4 d 2 F / M A t a 0 h d P J f a E O t R 3 K Q R D F U C q W N w H d I 3 H t Z r X G A z 0 i 1 S x M r l G b v Q k R H R E X 2 8 p j / K F U 0 M P Q A 3 H Y v L 9 v k M l S E B l P s D 3 1 9 N P 4 5 z 3 3 i C U S q 1 a v E n N M C x Y s E H M 6 1 1 z z V a x Z s 0 Z c g d c 0 c W Y F O / 0 c R m c s I I e V 8 f 5 7 H + B H P 7 w F D r s T Z q 4 b Q A 4 t 4 2 t f / 4 q I w j U 1 N R G T / Q F P P f W 0 W O 9 0 1 l l n 4 t l n n x F L M P r 6 + n D q q a f S / U e w d 4 8 c M W M i V M C k p I n R E 6 c Z K a l J E p s j Z H f H k U p 0 3 O n y h d Q 0 s P J L T e z G p p Z I S h H f y e D f 8 u D L q 3 7 F m i r q L 1 6 e k H p V v 5 r 8 h x j Y g n e + + L J 4 X 3 A T + e x E r J P M y 8 V n B S w Q S B 4 k a S g F G o M a + f U G O A 5 n M O m Y c F N C 5 K + + 9 q Y g r k x g I l 6 / c x A H D 7 f G j s T A w Q j m Y N K u Q / 5 D s Y M x M L F z u D g G l S 7 x n o Q E x m C N G S X B w m 0 R 4 P B 2 0 I b a 2 Z W Y t W I y u t v 7 8 c / 7 H h Q L S H k 9 1 Z t v v 4 d 2 M n s 7 X O v p 7 2 d w B t L N B x I 4 + E I a f T x w f K B g C k / p R K j f 0 v d D d 0 9 8 p Y C C q s I Q f O S T p Y K V k F j E W h 6 u g d S V D 2 e z B u 7 e c r F E Q 5 E C Y 0 H O H Y l Q X u r A + G z t e h G U 4 L R 4 Z p o b v v 8 D c b y 0 t F Q s q e A 6 f Q x e k p E I z p b g N U u V l Z X 4 b P 1 n d A 3 5 + 3 P O P l t k X / C c E m e V 8 0 T w O + + + i z 2 7 9 4 u 0 p I G B f t z / r 3 / B Z D J h x / b t 4 h q l p b K k V O a K W F v y H B g Z V y m 5 W 3 E k 5 l p G O V I l E j 3 p 6 d J q L Z l x G C x A R g m A / s p T A w k X i 4 E z 7 P k s D s 5 l I t r E h F h m E v u / X x t 9 7 9 + + Q 7 x P R e n K s 9 I y l I K 8 y S E M N 9 E z J A o S H m h q i M 5 g w t p 1 G 2 F z k N m u 0 e G y S y 8 W 9 K 9 A o 9 X h 0 K E W / O 0 f 9 4 o c v C e e e g Z L F 8 z E 1 M n 1 k L w t x J T k t 7 H K 4 f 6 K R f 6 U 0 D / D H R x A t 2 d 7 7 B M / N / V B 4 r N n M b W Z G N / 5 e C t 0 1 k o 8 9 8 I r e P b 5 F 9 H e 0 4 Y b f / A 9 T J 1 S j 5 m 1 0 z C 7 d C k + e 7 s b j / 1 t F d a + 2 Y X d a 2 V h m x a k 0 S V f B g 2 W A u 6 f g s r 9 C P n C c L Q T U y e g q j J 9 Z D e x d N q h w W T a H o 3 y S c 5 t k M y T Y S l s Q N t 7 y 1 B v 2 i h O S M Q n j j / j t P O 5 U C H / R O 4 s D j 6 M h n V j S z U C Z P p 9 v m m T S A / 6 / v e v R 2 0 N J 9 T K O N x 8 m M y 7 f T j v / H O I k T S k 4 f h a H A K P N 0 x 2 f e O D o f g p 3 y c t d e 9 9 / 8 T u X X v w / v s f 4 K c / + Y k 4 H k e U f L Z / 4 b v f + Y 5 Y x z K W l J W O Y M 0 q P w G P e d J 5 r K 2 E b z O W U Z R f K x h 7 f f o 5 C 2 + 5 O 8 Z A i f K p v L 2 I a i 2 I a u R Q 9 q 6 i M u j r a j F t + x Y c p P f l Z C 7 n f f l K 8 V 0 6 h M I + I t 5 t q D K f Q M J B D l 0 z U T r J h + W c O O 9 g B B 3 D L Z g 9 e z b W b 9 i A Q w c P 4 q o r L 0 s S l I 8 + / h Q u u + w y M U Y s W T 0 e L 7 5 6 9 Z U i C z 6 i n 0 R a U k M m + V r 0 k I A 6 l w S d 2 W y A 5 O 8 h Q V A Z u 0 I q o g j 7 4 w a p M P 8 U s P b h A i / j Q A l 8 M A a H b c L 9 e P n l V 2 E g Y a o j b X f u 2 S u g i u q w / d 2 D M O R F M e P k e B R U p p i U E W J N m i n s n w T W q v J 4 j z R 7 U d B A z x o T B v 3 9 g y g r G z / M z 5 P I n O M n D Q y 2 R 7 U s o e n m H B r n X L 5 t m z 8 E M R r d h 2 7 C k i Y m 6 q c d t x g V V f V 0 a 1 7 / E i E N w B O u s i T i Y A O H T T U a j f j c 3 z 9 A g 2 t C Y U F 8 I p D L O / E S c p b q / D t e Q 8 O Q 6 + V l B p / L v p V t 2 C k S W v l e X q 9 X R J j S g z u I r 6 h c l T s 6 / R 3 i X Z k I O i r C z L L m S o Q y Z H w 1 + T 1 P Y s t X S G W m E P W p R p g 5 8 r 0 V h j K 3 / B 3 u B t l / c g c k b K s o R c 0 l l 6 D + k Q e w j x i q 6 r 5 7 k H / V W I b i Q j q d r h 1 k x 8 9 G X f E B 6 M l s r S y Y J / q D U 7 3 y r H l o a J y M g b 5 e n H T K G b C a a I A 9 T c Q E d U T h b F X E W s 3 L W y I e B M I 6 G L U B 9 A 8 H U F R a L Y J K f f 3 9 + P z z T f Q s Y V x 0 8 Q U o z M 8 T v g F D C p A g y J L r F v b L P l c S M 7 H v l m R u p o e N z P y 3 3 n 5 H L P b k h a J s p X y 2 b h 1 m T K m D 3 + s k D W u F O S + f G N s i E 3 t g C G s P F u K d D S 5 c u D w f H n 8 U 7 6 y 3 4 4 / f S w 6 p S 7 5 2 8 t v o + T O B t S 6 N k S / s o J 6 J w K g u I D d s B F 6 X B Y Y S o n S i / d b W D j h J G 3 N d w g W 1 w d F 0 s X S Q N Z R Y M m 2 F K t Q P Y 9 E U H H 7 0 c W i H 7 H w f A p M z D Q L 9 H z h x G a a f d B I 8 R M x 6 6 j Q u h c V O u o 5 M O i 2 Z X O z o 8 b M q 3 M 1 I J G 3 B f D H i 4 o l Z P k 9 e l 0 K D k K b T x X L z N O S e H h F q C 3 W A u D x f M 9 f f c V v 4 / r E P o + B n Z m L I 7 F e K f i H w M y U y E y 9 B i x d 1 o a 4 V 1 1 Y L h g o 5 u C J r P n 0 v k Z m k h d U g X 6 P H a S c G K U R X b Q k m P f E o 8 h I S a D m P b 1 p p k J i J C D 0 m h P R 0 z 3 U f 9 u O K K 6 + A Y 4 S E l 5 F 8 k r C T 5 F 8 U z u 5 6 W G q 6 E Y w Y 8 P J r 7 4 r z 5 8 y Z j b n T S / H s q 6 t x x W U X i 2 M y J N z 9 l 7 + R t r 8 Z + w 8 0 Y c a 0 K V l M / g T w s n o R m F A 6 T t Z Q K s 6 K G V 3 l m j v Y 9 B r m R Z f k W 7 N n m h s k / P w h G 4 Y d Y S y e a c A i k w O V D R q U 1 s U 1 i q i A y 6 U A h D U Q H 2 Q p 0 E 1 W A g m H R L 8 u B f Z W P 8 m h K C z l Y w X r u h Y d T m q Q B U g i k j I l 2 G w w m f L R f v J y N G x M Y / L 9 + W 6 c c t O P h M T i p F Z O w + E q Q h y Q u O a r X 0 Z L S 7 s I V i x Z m l z T m 2 / A j 8 L L J v 7 v r r t E 7 h 3 n A V 5 6 6 S V 0 X M K H H 3 0 k 8 u R 4 1 a y C 9 9 5 / H 2 e v 5 M l B G S + 8 + K I o D s M Z 5 X z + E 0 8 8 g Z t v / j H m z + O A h s x A H I S Q G Y o l q j y o H M 5 v b 2 / H S c t O E p / T Q W n f W N A 3 X H k 1 t l g x E 0 Q H E h E m C h I G a y g u M c w a n d v o c / Z C 3 / M v O M u V V a F x K M I j N D i E L l U 5 T F p y l v 0 q T C 4 h w S N W x h Z k H H z b A G k O + m 0 h + Z O / + O W v R Q r W 1 6 7 + O t 5 4 + z V 8 n f 6 u 2 b A K y 0 6 f i X x 9 r c j o 5 i R U + H v l c H Y C x K p b E V 6 f A J j B h W + l I 9 + R n p c Y 6 j + D D K M W H I L T o U P z G h d q F x l R V E Z t S 2 N u H h r U Y A r 1 b T q w Q E k c S 6 5 z 4 e 7 U I q 9 x L K P z x C / 7 7 6 H Y O i / 1 N 2 4 8 8 0 6 L m h x k Y i a O 7 G i 1 R j g e e x Q F n W O X w L e e f Q 4 a T l y C 5 5 5 / X o T H O c r G 2 L j x c z L 3 g q J 4 i s v l F H N B u 4 j 4 O Y u c V X h P T 7 d I W H 2 b 7 P X t 2 7 f D T z 4 W p / o c P H g I / 3 7 t 3 4 L g t 2 z Z g n 3 7 9 + M k 0 o B b t 2 0 V m o s Z Z + a M G S J h l Q M c H D V s b m k R V Z V + 8 I M b U F 1 V j T v u v B M f f P A B 7 G Q y c D Z 6 V 1 e n K B L y 7 3 / / G 2 1 0 X V 4 i 0 t P T I 5 Z i Z E I w L K 9 v S Y b M p C L 6 y e a f M A H T m y 4 i 6 B U z i + U 8 R j n 6 x 7 Q l B o e u w / 8 6 v B 6 o h r o Q L o i v u m V l w G M n s X b x t k N V U E 0 m R R R m f R R F p t g A i t W 2 y c Q j / F Y 6 9 s S T z 8 J D A z 5 t x i y x E p a L 5 / z 3 b T e j w D C A R c t W I O I N o 6 z E S q a 3 H K 7 m N v F c m 5 p 8 O A V 8 X / Y 1 e G I 5 j q i I q O X r 4 v 7 v m m Y 9 J h X K 5 t 8 o 0 T G T C z + F W D r I U T E m U m 4 b H y M I P y a 9 I M g V L G x 6 v T t E c u 8 o f E S f 6 T I m 1 C b o T X p U z L D C a B h B m 6 M c I w d a 0 b 1 J j f b 9 z b A W G 6 E 3 6 + J 9 m w K m T X Z b E s F K Q 1 8 o x C a G D z k R J I H 0 8 K O P Y f / + J r E J R n t b h 1 i G x K F z V Y W Z J L w o 6 i E P G A 9 w Z k T J L D g g s r g 5 b M 0 V U B l X k r 3 / / g f v 0 W c v N m 3 e R L 5 N n i B o X o e 0 c + d O M c h l 5 R X C + e U Q 9 2 v E R O v X r 0 d L a z O + + c 1 v i o W J v B y D l 2 g w u J L R K S e f g m / R d 7 / / w x / w K l 2 L G Z N / z 2 H 3 b 1 x 7 L T H g V v z x T 3 8 S 2 v K b 3 7 g W j z z 8 k I g e t r a 1 E 6 M e x M 9 u u 0 2 Y p X x N J Q K Y C a P L B X j w R 5 F A B B y k Y K I W v o e c p q J A F O F U a I f + k 4 e f i S o q V u u y 1 m R N x d M L x d 5 V C E y 6 X J z L T m y H T Q 2 V 9 6 D 4 z B W K o m Y u j 5 z M O A p U a g 0 C w R A e e u R x / P w X d + B f D z 4 C n z 8 k S j W f c f o p C N u b E X T Z c f v P b y V m o f a a p 1 A T u E y X H k Z d M f z O u H n C z x s i e l K S x K N G 8 j F i A Z I 4 J N R q G 0 Q F 1 k 7 X 5 / D 4 e j G / + h C d T M 8 W d k M V 6 B f m l H A X Y u e L g A W X F I t N W E u e A / Q P d 0 4 E T n 8 P u t 3 b x P H c I Y 8 L C 6 R K 4 z z x X o G U K S U q E b p K W P M O I 2 9 W C J U r e 1 B z c g m s p f J z u u 1 u 7 H j 3 I H a / Z s O O d 5 r g c X g F Q + z d K 8 + v D r j U G L Q x Y 0 l 4 5 L E n 8 f n m b f h 0 1 T p U z K 7 A n r 2 7 R b X f K y 6 5 C t d 9 6 x u Y f u L F s L l D g n f G i A 4 W J p l t a E k w C x M / c z K v a f K S 9 s j P y x N a Y M 6 c 4 8 V C w G l T p 2 D W z F k y 0 9 F 5 H P J W o P S D V q s R j P T Y Y 4 + L z w r R M 1 F y / T Y 2 1 X j S 9 j v f u Q 5 f / c p X B E N x K J 5 D 5 p 9 8 + q k I j 1 d X V x H D 7 s B j j z + J 6 p o a v P f e + 2 K h o Q J 5 2 U e m Z x k L r v O d X m 7 F w E z F U T V O a S I G Y W Z K n G P i d z w / x e F 0 L u o p I o Y e e U 5 E Q 4 w 4 b I 7 7 R U V 6 O 2 o L w o i a m I n G o r t 3 Q I S y e U A 4 j M 0 a 6 X e / u 0 v U J b y E B M d 3 v n 2 t y F T w + 9 x k c Y W h K 2 x A v j U A D f W j 5 O s Q 1 3 C S T 9 z m X o c B w y a 4 u u I R O A Z P H c S U a h Z E 0 e v Z J U z B z 9 r r M R h s Q 6 t 7 A 4 b p u l F 9 O b 2 q 6 U J W c a b Y w Y P 9 q g A 9 r 5 h E p j + m 2 E J C Y j o r 9 V 2 1 m n w u D r / z e S y Y e A 7 Q T + 9 Z U P E 4 M X P S d 2 E x N + i H z 9 u E g L e N j g 3 L f S k g j 5 A I j r C W I t i D H W J O T B Z k c T i C 5 C f F f N l + Z w m 0 Z j v 6 v C 1 0 7 m G y m P o x 9 5 y p m H 1 x A e a e O w 1 6 i w b e o A 1 W v w U 9 O 9 w 4 v H M D X n r + f q x Z t w H f + t Y 3 M X 3 6 d J x 2 6 n I E / R 6 c u G Q h z j z j F B g s E n x 2 H 8 q d L l F j U C j s V B / K b M l H 2 0 n p f a j 3 y f 8 5 4 5 Z b S F M w 1 8 U O Z g A 7 6 Z I q O r p C 1 p L H 0 R k i Q C J a J j v W L B s 2 b h C m 4 + T J j V h x 5 h k 0 c H L k 0 O c J 4 N n n n s O 3 v / W t 2 N V S Q A 3 n + T A n a a u 7 / / x n s R 8 U L 3 9 f u f I s H E 9 M n Q i e P M 5 6 r V H w A 8 k U x k P A 7 / g V f 0 w 2 2 m L f h 3 i W i w h D M p L D y w Q l H 0 9 F 0 M f E w l Z I E U k / N Y I B j 4 j y O X 3 D 9 H s N E e h e G H z T U F F B x E n P z s / 0 3 7 / 4 J e 6 8 4 1 d i E e R X r / k 6 H n / 0 Q X E t O Y A j m 1 m y v E s / A K K I i n m a e K 9 k W 2 g k A 6 z d i 5 E 3 Z a y 4 G H B F U E q E k e 4 Z I t 5 m d I Z 6 q T 8 i K N E v h E H D d T d 0 I j 0 t U U h m g s v H b k Q U x n A r / D o u i J n b 8 g h 3 q A 8 m N R e r H C P v 4 + D l J J J O l J V 2 B s k f z B H N / X V o L C M T l 5 7 X F P L C o 0 l + D m O 0 E i a D S f R z d 3 c v 3 I c l 2 P R 6 P L s l i q v P L M b z H w 7 j j 9 e P N T W 5 P q W r g 8 x 9 2 3 B f V C J O j x p q B U O Z z A V o u u s P M P R z A m a c y B i u 8 8 7 D 7 L P O i n 1 K D 5 G d Q D + h f k Q 4 F I L d N Y K C g n w i A u 7 c C B K z 0 3 k 7 F l a z 5 e X l Q g q y d m K n W H b i 4 + B I I h M c z 5 V w G / l h + W W g B x 2 x D x P x W e F x y Z o w 1 f 5 N B 7 6 P u F f S f e S G J z 5 x u r k q M W l L h M X l w R h c I k y i w W U W U 0 w d B a H B P v K N i K F K y J w j C c 2 b B Y S I m d r d A 0 S c G t x 1 x z 9 x 1 Z W X Y + m J y 8 j v + w i 1 N d W Y N a U S E Z V J 9 I v g H H F j + o e l N w c M W E t m Q I d n A / L p f i M q N l 3 5 S Y B y / R z q M w 1 c h 1 Q o m j b 2 t 5 v a d V h Y 4 0 W H e y N q L I u T g h K 8 D C J q T F i E F 0 M o G C T t m d n k Y h p g c 1 I p 4 S X T 1 x e T / K p k a / D I q Y h G j G G / Y B L Z k y W T N 0 S a k A e Q z 6 H v I 8 S k Y X q F 6 D k 5 8 0 R D D c 1 X N C l h Z N i G w q I 4 4 3 P Q 4 f Z H H f j 6 u S W 4 7 5 U B + A I R X L j I g n M W k w 2 S s C O M g r E a i h i K l 2 u M R 5 g 8 L 8 R E y R B N j 2 q T M h A Y T H x R d Z C e R 5 5 7 Y i i E q Y C d d 7 4 O S 2 w G h + S N Z C p y J J B L M n O W B b e F 5 0 X E E m 0 6 k w m d z Z X U a x 0 Z + J r x K y V / S k Y 8 l Z 8 0 p K e f 2 k O t M c i Z G o r 2 4 l Q m X i z J 7 B r o 6 2 M 2 g 5 o E B s + b 9 f X 1 k o n m Q 1 9 / L z Z 9 v h n f I N / v o Y c f I T / o W 9 B O J D p G f S + X 6 4 q n L y n I x A S M k f 0 h F M 4 Y O 6 4 H R 7 a j z F i E / J T 5 G s 6 Q i B o b Y p / i Y O u C / d l M i E 9 D 0 B s R l K D x 9 x 6 m a y U v R z k a M N 3 Y / O 1 0 B x Y e M p h h o t m 0 W g Y U 6 O q g Z j M 1 l o 7 G l s A A T + j G 1 k c x v E E N j N q 4 S c n W x P 6 1 h x A a t m L O B Z U w W o z U L 6 F k h m I V q 9 c Z Q Z o Q W g t p g g x G t i e U n C v F 2 4 a k Q 5 Q Y K s R b 0 V j k z u d o m l I v I R H s + D q H Q x g a H C I N a R S p M t U k r X l A e L 5 G x e q O I Q Z n A o Q 3 U b D t z h q U q x a l I E B O p 9 Z A b O 9 4 G 9 4 A S f y A G V r Y Y a 0 l v 0 h E A O P a S e M 9 S J I w H 7 0 f b A I P U R M 9 y / E z a z B k j + D 9 9 9 7 C 0 p W N q M l b S A w q E 0 O Y h A d X R T o a Z C t + o s A 7 7 K P u I 8 2 e L 2 d X p K L H Q c 5 / X o J Z 6 C P T K M u k K I + K Q i G + Q J h 8 O j L n Y 4 w k t y e l P h / 7 d m Q J H S u k 5 h K q i a F Y + 2 g l K 9 G Q h K B X g w 0 b N s H h c G H F B V y N K z 0 K t A 2 C 5 g T Y F x S m a X r a T w c 3 u S i s t Z 9 5 5 j m Z o d i 8 i A R D p P 7 a o b Z S J 4 T c c P f l Q V f k F 3 X Q E s F b O s p d y b d U o d w 4 R 7 z P B E + X G q Z q m X B C 9 E d D 5 s h I s B 0 W d T k 8 4 Q H k 6 + S l 0 o q P g M A g O M 3 f 6 Z d g T b P / j 0 T f i 3 o I / 0 E 4 2 j 2 w V u m h i g y i Y 9 2 3 6 K m j y C / 4 H / T 0 / Q r H z 7 8 W U Y 2 W e M q A U N 7 x C J t r Y B p + D p 6 i L 2 P D 2 e e B V x N V v P E 6 7 B s v g t / Z j i l z r y d / W w t f 9 V W k y e L Z y s c M 4 6 T 5 O A 6 r R d n m d B h 2 k 1 k Y 2 4 F F g A M I u j L y h S R Y Y h P Q 6 c B b 1 p h 0 s d 9 x s C F h J W 8 q J H + v C G h M h G D T w R s e S R L s r g E t + a x u d P T 0 o b F + B i o q i 7 F x w 2 Y c O n Q Q F 1 9 6 A f T m I P y x T H S u 9 G Y j i 7 2 q L h 8 D w / 2 Y V D p L 0 F 8 q R F t 5 + c k E y q c l a S i G x V p A m k n m 1 i j p b v Z d k i f r 2 D m X j T 2 O d M k L 4 T J 3 D m 9 x y V 8 n 1 y / g X / N v l F s r v 1 e O p w M P G H / H L 3 4 / c d W e M 9 h n U + i K N K Q k + e k l t 8 3 v s w m N y b 5 T m E 2 6 C v b / 5 K i W K u Y f q i I u 8 o M s C D n s b M N C V V 6 E C P l O H e t v Q c k C u f Q a Q / I N w j L y F H y a J Q i W Z p 4 n y x l B G z F T d s c / 5 A 2 T u R q A q T i 9 L 8 b + D x s m / i D 5 H + E e 8 n 3 k B Y Y 5 Q e R B j s 0 q S I t j s B Q + U U N x T u M b L 6 4 j M 1 z C j F l T M G m 6 0 g 8 K j b E l E E W p e U p a 5 l H A S 5 C G h 0 Z Q V Z U m x Y q F F c 9 9 Z b G S 4 g w V K + S R y F A M N t t k P z V z I 2 Q w o 3 H S D R N 6 8 r m K p S Z 8 b E G Y / F I Y g t / z + c r f V O T K P P H r y F k H m R 9 a g C i H 2 y N + I 3 5 K 7 R d N 5 2 t k v m c k 5 C N t b o P G W I F w b y / U J U Q U M X 9 T e X 6 R O s O r U w n B / h F o y 4 q I E Y f R u v Z m T G 5 c y P Y R / N Z T E C 5 I M I n o f E P f S 1 C R F P U V n o G I q V G 0 h S N Y w 4 H D K N P N I B t e N q 1 Z O h v V K c V S Y t p E w a j G T w N b q x v B E i s K T E 5 o E y r s K n D 6 V L A a 6 B l y Y F A F k u d g x i m A M e D N B Z R i L x w 2 F x p r 4 n C F y C c d Z / 0 T g + u a l J g a S F B M z K z m h A K e + k m H i L + f / C g z D F x B i j 5 7 3 G 6 R o U I M 1 R O V 6 E s x t 0 I P Z i m o J s K S C Y S V S 3 t r i 9 g p w m w x 4 9 F H H x U h b l 7 j d N 5 5 5 4 u 5 o b b Y v A 8 P 4 E F S r w t O W E D O X G I H E e G G i c j E w r 1 0 D K M w g o z 4 J y J w 4 W S O w x h p w D m F Q t T G H F T W s h r 0 I 6 r K o 9 d Y 9 a 0 K 8 c r g E C I a l k r J 7 R k L Y t f e P q h 4 i x 1 i K M l k g i q P J w u z M 3 2 I z u 2 9 + W b k 3 3 8 P X S E K R 7 A L A S K G U k N q H f A 4 p K A L a t t a G P x 7 4 V S R W V J 1 D n q 8 2 1 G q n y k k s j g n x j h C 6 p J Q 7 B n 0 i p 3 h F 5 w w F / W T 0 v s / j m a V S K M J R r z E U F k 0 F R P r m A n f d O A + Y 2 T r t y x g c + A I g g l j 1 m O l j h 1 9 5 L o c 2 T T S R M C B C M 5 6 5 x x W v S F u 1 v J 2 Q Q E U Q U v f 0 V O o y Z Y 3 k X S Z T G + 5 8 + I 3 7 2 x v x c J F C / G 9 7 3 1 P R N 1 + 8 5 v f i M V 9 v F k Z Y 8 + e P b j p h z d h y d K l u O W W W 7 B 6 9 R q x e D A J 4 h m p w 2 I 2 F A + U v G S D X w w m i N h b A t e q k E H H R 5 l J / i 2 f K M x Q j h 7 S a f w S 6 7 f 4 o g R R c o z / k t q X N M z E 9 J 5 e X G y e X E S E A m P 3 v G I E I m R / j w Z w x u t 8 N n j p 3 m Q a 8 N + I l y c l 0 x N D 0 N N L V p A 8 R 8 K b s M W e g q 4 g I V 9 b k 5 W Z G L z E I 1 R 6 D l w 1 t w h m Y k z p X Y O 8 5 k f Q 2 t Y J 3 p n x 1 p / 9 N / 5 0 9 9 / E O i e D z o u K s m J c d u m F G Z m J w c x k b w t m Z C Y G m 3 1 B z m P M B W J i d g J E y 5 O 1 i U h g J s n H A l r p q c x I j O 4 p 0 I f j 2 S A C 1 K R j x U w M Z i Z G I j M x o r p y U S q P I T 9 J Q k 4 U r 2 Z V 8 N j j j 4 s N z N Z 9 t g 5 u l 1 u E S z m A o R Q 2 P O G E + X j p p Z f F Q k H O 2 1 u 7 d o 1 I a m U 1 e c o p J 6 O + v h 5 z j j 8 e K 8 9 e i R / c + E M s W b w Y J y 9 f B r V 4 S H m r T L 6 e 3 8 f 1 C F h u c w g 9 x k T 8 W T A O k S 2 X H m P Q 7 z h K x f N A i c y i R C O j w j Z N 4 M 4 E S F n m b z S 6 N D l h a c H P L V 8 / S i p e 9 E K i N C D w J + U Q m 3 + j 3 5 I P y e e b m u + T P 0 8 Q o s j n M y / A N + V m 3 P t Z v s i Z 5 H m + / / v D b / H f X 5 s v 8 v 8 C X i c J m H h o N x X c L u 7 n C F k W h g q 5 z 7 N B q 0 t f g y 8 J X P B x A k 6 7 Q J Z I X 9 T A I X 8 a 7 3 F q f / B y i 1 T 4 1 X q Y n J 2 Y 1 P s 6 a o f e R V 3 f e + A N u B l c i / + L B E 8 5 i b / i X w I H D Y Z G H O B q r W z K 8 R o b X u r O G d 5 s 4 r 3 1 9 l u C 2 5 U X g 8 e D m U K B Y A p 6 8 b z R 2 2 + / I x j r 7 j / d L Z J f 3 3 3 3 X Y z Y b K J u O d u m Y i 5 D V J t V i Q l Z c U 0 y D Q U D M f g + g n H o u H y 7 H E G / S S P h V F q e X I 5 9 S A P + L s w p L m O Q e C 3 u L l l D M V E q v l P i d b m p / J F f O l P p 6 H e 8 d Q 7 L V G / 9 d T A f / K N 8 M I b 8 n W V Q b Z a X T Y T i q j I J f J l r v n K l m O v 4 x t e / I j a n 4 7 l A R q D s F E Q 1 Z m p p M U y 2 j 8 S x d O A u 5 n 5 W 6 X S I k A n u 6 c / M f A K j F k I W j O b y T Q A p 4 8 m F 9 g 3 t T 8 P S 9 n + w d v 8 F l v Y / w z L 4 K M x d 9 8 D S e y 8 s n X S s 4 + 8 w 9 j w L 7 e B a q J 3 N 0 J A v q 1 g 9 m o D S h i j y 3 f v Q V n E R O o r P Q X v 5 2 R g M d c I 3 8 A H q t f v F X O A X D c F Q v X 2 D 0 J A E r G D f h w a V O 3 3 r 1 i 0 i b W f t 2 r W 4 7 b b b 8 P R T T w l S Z U Z g M N M x o 3 G u X i I S a E s w i z / g F 5 O A Z 5 9 9 t i h j f N p p p w l G Y 3 O O o 2 X M Q D w B z B D a R 5 4 R P C r I V + P O T m y N j K g n M w F E y W T g R Z B c 7 y / + 2 1 G Z M w r F 2 N C V l E B D v h Q T a i J Y Y S q H O H j B V 2 I i 5 t 9 F V V q 4 p 9 5 K h H M 3 f Z D v s e k A 0 N T m F P 2 u 0 c p M m o o I M V I i + B 6 p a 8 g 4 R c h X k r 4 q q 8 b V B J N L L o r D 4 D S g m I W c E R z F H R c p S 0 D G B T G B d n C z Y B B T 5 y P E T P 2 I G E r h q / s q X J N u g 7 P q Z r j q b o G r / E a 4 q 2 + k v 9 e T y U v H a n 8 I b + X V C J Y s R 9 j a S A K S t G f M V I x o D O T v B a D 1 O d B T M T a T x 5 3 X g B 5 r L X S 2 d 6 E d W E d C X c 5 y + S I g o n w u 3 v p e G x G E k R r l Y 8 L g b T e Z O V h r M U O Z z Z w a Q w Y N / W A s y c o Q b g 0 R D I c x 2 X T j h x d V / P j S d D w a Z u a h 9 w r l H T W Y g f h i 6 S 7 I A Y 4 w Q i Q 4 G G p i g l R E e n l N E X 9 X S m 3 P X I + C E b S N k K 3 v F 8 y U H X z F + I W a y c / M v / 3 2 0 e x 2 Q 9 u z 8 E 2 6 G p s e K Y P R I K H 0 0 g / I i Z 5 C v s 0 E T a g Y d N E u B K T M x f g V a N 3 7 o f f v Q f f I W c i b H N 9 l h S f 2 P 9 + 8 F Y s X L S C 6 J / M + a B e a P S v G W 9 4 e I f O y 7 9 / Q o g d e 7 W K E i h a w d A F v H x q N 1 f w b F 7 E I d C I i k R B G g i k F Z H J E S d 9 n Z B 5 O h a 7 6 G E x V p G D M P J T b G x T 7 1 f J y a M 7 s Z i 3 F z G Q y G U U k W A 6 h Z 4 Z g n h j Y h G G p y 4 w T J N 9 M w 4 x E / 6 X u S H c 0 Y E Z J H w n k d v A r f q + w k + x u t y c t Q 9 E I I d z f n / 6 7 B J C O h j + s S d o h I h N S 2 + a L L Y H n b T F 5 k R 9 / b + h + G / v m f p u 0 j R r V H a 1 Q x x z e X s 8 O V J g y z + 4 f C 3 g H J H y y + T 2 h K A P U r i 8 v c c N f d j E R r + x v h j 1 t 5 B 7 F a 5 S n B w s y F b S d 7 9 P 4 9 t F z D J J 5 S 0 a 3 I w h P 1 V W I m j M E R 9 j 3 4 k n T H C F 5 m h H l q Y Q Y 2 N 8 e 9 r f E P u U O t r K 0 o W I c P t y B 5 U W f k v a 7 U R w 9 V p D a N g 0 Q 3 Z O x Q N x i L A 8 j S C Y X 1 2 3 Q 8 e 7 g Y m 5 G v h m X W 2 I V x p 9 4 A F i b y f / Q Z w 5 S 8 A S o v N Y 7 C Q p R 8 S k q / i E f O w Z m H X c p X U l + m x b U 5 e R j y G Z R / D w O X 2 v L S 6 h N L B l 4 v i p 2 J e o D 1 m C c d 6 c 8 V + I 9 + D m C p L l y l w V j 2 8 c M 5 f P K 2 + 6 8 8 O L L m N T Q i O l T J 2 P 7 5 K l g U q m P V Y Q 9 E m h I 4 4 T 0 m b f X N P 6 A T K Z / / j 3 2 S Y Y / E E K g W w d r P T O F j A 7 X 5 6 j S z B W M L T k 3 w x 0 y 4 8 E 9 7 2 N J V R 4 + a O n F r 5 d d T Z w 4 j I i 5 H u b h R 4 k v D P B O l 6 t d T Q j s / 0 1 w X k j s f J E Q Q B s b N p d h G w x g U t l U H O 7 a h Z J K m W l 5 s / U S c w P R Q 3 I C M x O z p e t e B K U i + C s v J y K d Y J t S M K q h g h G 3 m O N o L D i d y C B O C N G Q B 0 F f A E G X F q Y K U 8 J 3 5 E D 7 w 3 R / L m S R j c q 4 O K R s Q n m G / M R 0 U R j z c 5 x N T w O t / T W o y R b 2 T c o c L Q t F 2 a / j S d E O 5 O v q M C g 6 X j w m / N f d h a J v X g H z G R e I z y 3 D a u Q Z o i g 2 R d D 1 t W t h W H A C i n / M l Z 1 i 4 G U C J I H b H S b U F e T g U 2 T B R x 9 / K j Y k m H 3 c D I T I J 2 p v 7 x K B m q E z V o B T U K t 7 u 2 E N N i M U W 3 4 R J j 9 V P c 7 i S A V m g x t N Q / t Q b V 4 Y O x L H 1 r P O w e l b t o K X M n r b X x b h 8 i p T / L z N W 1 / G i h W L Y B 9 J 1 i Z B 2 w 5 o C + b C F X D D o k u Z A J 5 I V k R G j B U 6 4 0 H y 9 8 V G M o I h Z I 4 E m q L V Z E Z n j u x m A m / t a b K 9 B E / h 5 Y i Y c s s 7 j P g D U M U K 0 4 w y V J 9 3 J 8 q N x 4 / x o R h y d j E z z c Q e X o Z s E j C E l m N N d h Q a K s L 5 V d R i t S F u m n E Q g R 8 i V R s l g o M N v B I r 1 B d b 8 J d i 2 n E 1 Y 2 l A n j N K / E 4 e v I k 9 O Z u F o + H / B H g 8 N j z 8 0 B O Y O X M G l i 5 Z R M 9 B W p G 6 5 I O S M s F Q M 2 I a S u f Y R M / i g 9 f K x S 5 z u 7 N R P Q B v e G w p Y c b q y l o 0 c v C I T f e u d T C o C 5 I S m t 9 / + k u o W 3 Q d Z k w 7 L 3 Z E R j T k J Q E 4 l i i j 7 l 2 Q z N l z O P 8 T 8 H j 2 w C t 2 c k m P x L q B R w K V q 5 W Y 6 1 X 4 D U s Q L F 5 K Q z G + e T J 6 B j N T K j g I w c i W q j 8 + 6 B Z k L g m w K a V Q a F q Q 6 R k L B W e C l N b u 5 m q u L C E S i Y 8 Z O W 7 K R C L 0 P T E c M 4 u m Q k n R i X 8 v g i U m W Q p z Q C U Q k g M u f M W J M J O M + H W V B 2 a G t n t 1 + M a 1 X 8 W S x e T 0 x 0 K + L B w i W p 1 Y a + q K L Z Q L 5 C 0 k Z u K d C i U Y + 9 + I 9 1 8 W e E O Z 5 4 w i s U l o 7 c K F I n M g d X W A N L w W + t 3 f i H 1 i / 0 0 u W M k 7 r a Q i a N t + b J i J M / S P E i Y u j 0 a w a C u g S w n k u O w + 9 H t i 5 Q W O E B F L v Y g w B k u W U S c R H Z P f p + 9 6 F d b u P 8 P Q 9 R x p S / I X e W l G A l G n Z T m x u I 3 A 8 0 k c H u c a E O O B 5 5 b W r F k d + w T 8 9 L a f E R H J N 2 I + 4 m v e 8 a t f 4 v E n H h e 7 f 9 9 w w w 2 w 2 U b w 4 x / / G B 9 8 8 D 7 e f / 8 9 3 H b b f y E l O j w G X P i f L x v y x f 2 N 9 J V 6 + N H i j 8 c M w 3 6 c n F S h H I / l 3 c W g y b M K h m P z V E e m 6 c Q Z S U F i t 8 p X Y Y a P q u R 6 B T 3 e L e j 2 b K H 2 B E S 7 C p Y u F g z F h M H o c u 9 E u 2 u d e O 8 t u 5 A f m h o e h K n z e T I J 3 4 W 5 9 w U y T e R S x F H 3 H v E 3 W 7 S I H 5 l f p i 9 d I j 6 n g q e + v A m z H x U m u X 6 D p B 2 b 5 6 c t k L 9 b d S i z Z s g F k l 9 e p n 8 k Y B 9 U r d F D Z + Y E Z e D A 6 k + w 8 4 3 3 S P P K / h U H w / y + E C k C i X x A r p 8 e R 4 i I I M j L H o 4 E J M z 9 1 Z f C W X U L f N V f R l R P v r i i w V n o h c m l i U f 5 + I 8 E M 5 l 8 X L + A G e D O O + 8 U 2 R B 9 f f 3 g A v 8 8 M f b j H / 1 I b F J 9 5 Z V X 4 N l n n 8 P 5 5 5 + H s 8 5 a K e a k 7 r r r L r E M n S v D b t u 2 F S e f c h K u u P w q v P f e e 2 L v X J 4 E / v G P b h Z 5 g f / 1 s 9 v E d X 5 9 x + 2 4 8 Y c 3 4 x / 0 / q m n n s K 8 u X M x e 0 5 6 C c i p R R x M C H l j p p k x b p p J p N m i E 3 V y Y 1 C u e 2 S Q + y 0 J o w 4 3 x z T j i b p K l O 9 Y g K c 6 O A / D H C D C 1 O c h q s 0 c M f u 4 q A y 8 t K 9 y 7 a f Q z Y p X X F K w p p p M T m p W z W D 2 o E j E / j l U V h o b 0 V f 0 T I o J J M K / 9 H c C / S / 5 u h A 1 j B / i T w R b S l s / e g 2 1 0 + f C a L H A N T y E 0 v r J Y h m H l 3 e p T 4 M I M V C J c Z r Y R Z E l s b L q w W 0 f R l 5 R C T R j y 1 0 d F c T V n K E e B G N F M B T S 4 A l b 3 s 3 9 u F n H i d J f z E y 8 H x B v Q 3 P 3 3 X e L g i h c m o v / K u B t a V p b 2 8 T 5 L E U 6 O 7 r F / r k 1 N f L y 5 9 d e e w 2 L F i 6 g a / u g 0 + t l J v z j 3 W K T a y 6 2 s n H j R p I e m U 0 + h e g 1 h j K o 7 O K I + C x 8 l i N k J u r y J G Z i B p g Y 0 u i x 0 b Z w C E d m p i N F L E 1 x D C y 6 C E y 6 K G y a O s F M A y 4 V I i E / T E O v 0 E P E n 2 H X K / K m A 3 w Z b f 3 Y l b x R E n I 1 Z L X w z i T y L i H p o Q 4 e h s t Y S R R j p P 5 K Y C Y G R 8 a U Z + Z 5 q f F A p t N E m Y n B v v z 8 F Z e g s L w G R m s h S i d N I c b s h Y 0 X L s a s o V S 0 H h q E P d g G v V 4 j m I k z g R i 8 o P B Y M x N D X N G q q Y z 5 I G w W y Y P R 2 t I i d r N 4 8 a W X x G d 5 S T y R B z W C d 2 b n K k V c n P K K K y 4 X v t Y d d 9 y B 5 c u X i 1 S l v X v Z D I n i y 1 d 9 G f f f d z / m z z 9 B M M 9 T T z 4 l o l p 8 L b 5 G B Z l X T U 0 H R T Z G X 2 + P 2 L Y m P V I 6 i w a T j 4 Q G B s i s 5 O n i i R G t T K T K N V U I E C G F I y F x L S 4 U w 3 r l / x V k m 2 B m 8 K 7 p j F I L r 1 v T w 1 3 0 p V F i N 5 D Z e P B g k 3 g a f n F m f J t z v f h O Q c / L r 5 A 4 o v s 0 N B A f U j / 4 F W Y k z e r v h D r S j 6 h 3 B 8 L a R h g 1 R Q i G P U Q F K j K l M m i z 2 C S v X H k p n X C i l s Q q J R 0 J O G M k c S U 5 l y 6 r N M 2 h c U t v x v F z 8 / T J s J 8 E Q r Q V H l U X N N o I L I V F Y t q A z c N j i T E T u 5 J a H 9 u U e e J g f 4 Q T Q h V s 3 r w J W 7 d u w 3 e / + 1 3 x W V 5 b F X f 2 Z S R / k g d B u U b q d w Q i e t F 1 s a w H l J e Q M I h p G K H S 6 f o Z + o g j a i y U 2 D x M N E + Y k R R o y O E L 0 Q W y 7 t + b D X y t D L 8 9 l i Z f N n C C s 0 b U 3 w C e / p 8 y V P w V I o r Y G I s i s k B R a H L d 6 W e h d M c O 1 L z + K k z L T x J 9 5 7 c F y I q k v o x F 0 P q 9 e 1 F m T C z O y V k 1 8 X H O D r o g b 7 K m a C R R w v n I 1 j + l A 5 c E U x M z 8 d L 3 d L C P e J B f m G b J D m n Z Q t 3 Y e h l H i z G t M J t S w 6 T p q D P d M T 6 a f L n G h s Z R Z h K I a R a Z 4 M m 4 I s L m C d N k q G S C F 2 e m M B M d G z 2 7 p E i + F j E p F z 5 h n 4 8 L d C i R y T E g Q t d K d D 9 + n 2 I e M v M o L 7 n A f + p 9 J 4 K j + e 2 x g c J M D C 7 h z P q A j x h 7 5 C 1 z E h / P R h Y F 9 x g z E 4 O / M x T q M N I a w A M b H x H H E p m J q 1 P l z k w M u q A m F t z g 5 f H p q r 0 e E a K x i V 2 i i V h 7 N L y 2 P Q X M T F 7 P 2 I g i a 7 R M E 8 N H g z Q a S i u 2 v + e G R k m 9 B 8 N O 6 M G b Y 3 G o N Q 2 x h N g E i J l d S s e l A e + / E / Z G o C / U i p A 0 R 9 E Y U t g r S m w p c A a 6 Y d V V k d o g n y 5 W G l g K D M X u z 9 u L D K G 5 + T C Z k f P g f u R R Y i I J j n P O Q 0 O 9 s j M e X Z e Z Q h N C 0 O c n 3 p n Y A I a i P p J 4 v C R k n A n V T H w T c m f s h 2 D A J 5 Z c j A e X X 4 I l T T 2 N I 0 H I 4 c C W + i n g 3 p s S 0 1 D W w F t w 6 s 4 X J Z n f K S 0 V 2 u v 4 2 H d 2 n x o b m u 9 F k d G A 9 1 v 6 8 d 8 r b i M B d x R t C e W 6 S D F 3 + M I 2 M j l j F k o K z C E v 3 G n m z h j y f O p Y 9 2 C 8 + a p I K E D m 9 D j 0 E I N k 6 9 0 T 5 S 0 q j w Z S y E 6 S M J l w e U 9 S L k z P 1 V E Z 9 q Y o z A 1 R j P i 1 Z O 8 n a C V / N y K 6 M n S 5 N q P U N A s G 3 i m B w U E S 3 g d p M I B 1 n 3 2 G C y + 8 E F u 3 b M E 7 7 7 y L H / / X 9 4 m R o u i a z M v J f Z h v 6 0 H Q P Z A 0 2 Z s O H H B o d 6 9 D l X F h 1 s V 1 j m A n S n R q O E N m 6 J X 2 p C I D Q 0 W Z o T i R k 8 2 i r B k k R w 7 W E o G I e z R M z E + W q U G 2 z V s w u P J c 8 V 5 h K I a h 5 w 0 E C p c g E i u D l g p X r x f P v v U 8 G h s b x L q 2 1 t Z D W H H 6 C v L B 1 q D O u p z u l k m i p M D T Q u r v 2 J h W 3 v A w P K E c g h 4 E r s / n U + u o Z + L t Z M H A A j g d 2 C 8 s 1 D e M e a 5 I k K w a s o 8 l d W 4 u Q J K G 4 k W E H N K e E N h k 4 6 h P A r h c G B e W P 2 O q H D l k x 4 9 3 S D Q 3 k I R I R 2 M c l Q r 0 w C d V w G o x I e B z 4 L e / / y t u / + X t O H z o M G b O n C b K N D W P y P M 4 v c O V O K F 8 i L R Q X t p s a D Y M 0 0 X X m J l S o 3 i V x v n Q q Y 5 Q g q a M T Z g 0 o p L c + p + A 4 s t w g M C s Y c a I I m / v L A Q K L o O v 6 j f i n A N 3 3 A n V P + 6 F R F b H l J 7 0 c z 8 6 + 1 Z o w n 3 w F B H j E c G 9 9 d a 7 Y h + m x s m N y C + p I u F D B M r J v O P w E C d C f / j R p 2 J b m i s u 5 y 1 z F N I a 5 4 c 5 4 s h M N F n Y s E u Q P U U u j j w t P 3 O i 3 5 V Z Y C W C a y U m M V R P b x 8 q K y b o M I 5 T N o p h 7 / I Q Q 0 R R X G 8 W n c 4 4 0 H Q I s 2 b O o F a o c N d d f x S r f r / 6 1 S v R 3 N I J Y 6 E b 1 d Z a 0 n p W N J N m D 5 K J q N d E k K / u R R 7 5 e J L a A l e A z C L d a N O T 4 A u P k P T O v t q U a w H 2 + b g k m u y g m j X l 5 K Q 2 U r c l d F y E T F 5 q L 5 c y 5 u P D v R 0 o q k j I 7 0 r T x 1 E y Y b O t D v 4 i w U s u X J 9 W w u 4 E a i 6 W t d G n s + e h q r s b u p k z U b 8 u v h 4 q L S J B q A K D p L U q o U M P A k j e r Z A n x l M F I m / Q 9 v j j T 2 P x k i X Q 6 7 S Y c / x x s J h k Y g z z v F X + o u Q + P U p w B J Y j d t n g C d p g i h W X y Q u 6 4 d C a 4 X U H Y D T n Z r b J k M g U T F O Y k 4 U / M x j 7 + U F e W 0 e f O R b A L e P q y + K k G C b M T L z 7 w j j M x F B H X K S q e Q G d C q + 9 8 T Y e e e w p s U N d M B w V z O T z + / D V r 3 w Z u 3 s 0 U B W 2 o d B U R Y 6 m E d p w K + o L Q 5 h a G s T k v I P I t 5 Y K Z m K k M p M z K G / X L 5 t C 2 Z m J N R U z k 0 k j h + n Z Q S 3 Q 1 p F P k b y s 2 m g p E i k t t t 5 O B P 1 e w U z j z V N F E + o w B I k h / 5 M I B Z x o 7 y N h k e C D e 3 t 6 e P h h X n G 6 f C A b V F o E 1 W X Q O T 4 V z B T 0 x E 1 z r p O Y z r o o L y v D b b f e j N N O W Y Y T l y 4 a Z S a j 1 g F 1 / u J j y k w M v t 6 Y j P E Y O D z O Y 8 k F b N w k G I I k 3 B w a E / T h I E w m L W x D E 1 l d T A y S z n f k A A h b Z J w Y r C d X i S s 2 0 T F m J v G 1 o q H 2 7 D 2 A 4 2 Z l r z y a i v G 2 i N R o t H j 5 1 d c x N D i I p o M H R Q 3 z l S t X Y u H C B W T W u U m 5 j Z A W y j z D z z C o + u C L U K P T P F s 6 9 P l 2 k c q u h l F d J B z X Q f 9 + k j R T Y S E N p G A 4 c A h F O t k R 9 Y Q H h Q Z i s 4 + 1 5 5 5 1 7 w r n d d 7 p F y H o H S Q a G 6 e M V g K 9 h B 2 7 o c 6 b H f v 0 n 4 d r 5 y 6 0 7 V 4 h u m r 2 V 2 Q N 9 U 6 R n H j b s H 4 t 9 N P l L P Z A 2 A m d 2 O Q g G e p A M 8 K k p R l S y I X B F r I q p k 5 8 z i j K e X o c D Z x o r Y k J I L 3 5 F 4 U / 6 C e h a q d h U Z H / a 4 V W k 5 w R H w 0 E I O W Y w c / 7 U e X k D i R U 2 B U y h 9 M z J s p M b O p l Y y Y G E y h v Y O 1 w O v G d r 1 2 P b 1 / y X V R N m g r f y E F B t I n M t O p w 8 o P z z D z D 4 4 i l l C Q Q b t / A Q J L 0 a H O v i b 0 j i W m Y Q / f l + u d B M u N K U G d e l s R M D I W Z G A O + f f R v / O K z l p 2 N O S e f J 6 J x z E x R T q v J E a b 8 H I I 7 1 C c 7 d u 0 V + z 0 d a / g 6 O 6 F 6 B C j g N X M E N t G 4 l / i l a 4 w H B h R m 6 n J v E n 9 D j q 2 i a t L L 7 + 6 l 5 s l q S O 3 p h l F X n q s c i 8 O 1 h w S 2 b g w z c T D j W K J I H 1 9 s G A e 5 B l o D r F w O j 7 R H K j M x m J l a 9 / V A F S u D n Q 4 6 l V l E / n L 2 r Q U z y T 0 l e o 9 3 a J s Q x F q Y 8 U 2 9 Y D B A z u k l + P E P b 0 D D 1 C J o p Q J o 1 W R t p p n Y q 8 6 L h 5 M j H p K U W t l + V V m m Q w / Z n F O S d s t L e a s T i V S 6 / B i T z C e L F c b 8 / d A w + U + q f D I L 5 L k m l l S p Y E J L h O K A p l P x e m m c a j k J P w l 4 x k a g e t y 7 6 B Q J n V 1 9 e P e 9 j + A n e 2 z u n F k k x M Y P n 0 8 E / Q E H X u 3 f B v N W a l K s O C M P K z e P X 1 w k J h W G Q B 0 + / P h T 9 L m r 0 d 3 V h n P O X y 4 C H Y x Q 3 j Q y b j s w 5 J A J L x i K 4 P U 3 3 8 G u 3 f v R 2 5 e c c J q E p F 0 Q 4 5 g k s u e P H D 3 e b c K c V 8 D j y k X + j w T 1 M 3 m H E z U 6 W 4 f J / R k 7 D o o r M B F E e B d I g m r C q R e c q z X B h W W q w G E i d i 0 0 l a 6 M 8 y t 9 r s S o X D I T + F G F q O d Q U p R G 3 n i A O 1 a G x W I W 3 x c X j f W f g q R t e M K X 7 8 x Z 8 S M j I / T X P 8 q g 2 e z 8 S D j 3 z I Y g + Y I M Z v a m p s N Q q 7 X o 2 M / 3 s 6 G m u h z n n L 0 C e v 1 Y w j 4 W m L b h p 7 i 1 s V V e c l c a J w i F o R L x 4 s u v 4 d V / v 4 l S k w 9 n n n E a q i v L M W l K M f m e c f O W n + G w v R 9 7 d m w k K 6 E L 2 7 b v w H n n n Y f J 0 2 a i I m F X i l S E p Q l G i X O E H I 1 N v j b 7 U m b N k U / 5 1 N Q X k a D R o K t t C E Z R R U n u K V s g p W 5 g D l A Z 6 x B 2 t 0 H l D H W R P X o Q + w 7 t I H + j C Z 9 t + i x 2 S h q Q 7 Z 2 1 I E c K o r G l B c 6 R W m F C e c l v 2 t J K f 4 N j C X h J r e z A q 6 k N K l M 8 i Z M 1 D y N 1 b Y 6 y i w d H + 7 K B m U a r 0 Y j 8 Q T 6 T K y 6 V F B d i x 6 A f n d 4 N Z B L K y a O Z E H T 3 C 8 0 V I t N V e d n 9 v M N 6 c s C B T a U N u z 1 4 9 P G n 4 f U H M H 3 6 F D J r g 1 i 8 Y B G K C o 9 V d s B Y + G O B l O d 8 S 7 C m 4 A w S P o D 5 s i + J Y 4 x 0 D P W l l Z N x y f n L E N H H 6 0 W Y t Y r V I G H D x v V w u n 2 o q a 3 A K c t O h C m v G m d M a h I Z G J y Q O 1 E E 1 t a K U m l j W 3 L 0 4 L m 4 R E F w J K i e V A w v m 4 c k R D i N S U d m f m i C 6 7 W Y b t X m S V C N B F r h 4 h 3 j K p 2 C Q a t m p N h D C p i g 0 z i y i W A T T E H E P w T J f B w 8 7 S a Y y 3 V i I + G R U D 4 W 1 P M + O 2 M 7 1 m Y T 6 e N j 6 t K x 5 m G o e G u U w F h T I z X a N z Q 0 I v 7 2 D 8 g z 6 a l z D 8 r Z S 2 r y h H + V q p 0 4 S 8 H u i + c D c n Z y q h a 3 h 1 q E m c g B k H b X B r Q 4 1 m D Y N o I T F z T i m 9 d + F Q a d d v Q 3 S t I m 7 7 e r m F O c 3 c 9 9 f r T o 8 W y F U q + 7 s O P n M D X 9 U K R m a Y + L p Q p R G 9 i W S G x 9 1 L 6 O h n E 2 S e Z M g j G K p U t O h I X G q 7 i w c H R v X l f p V f T V + G Y q T 6 6 r i L g S s X a 7 H / v J I v K P y A s X j z X Y V 9 Y f 5 U 4 m P F w c S w i T / x 1 Q a W E P t i P o Y f 8 6 N w Q h 9 2 c S t a l J y h a n d f Y I P N 8 0 D s S q V w Y R j k p f B H e b E a a 6 u C T n H c S 3 d K S P s J S U F G G w c y s k i 0 w M / j R j F / A n r 3 l p H k q e v G X C K S b t w 8 R c l m D 2 J C K b P u P s Y z Z J 8 w 3 x S U x J V 0 a P k y h k e C Y k I h Y I + g e K M N S s R b 6 u G o X 5 e d R / 8 U K K n M 0 w 6 D 8 g I o r 8 1 y 6 R J R A 4 K N 6 z V u H 0 m V S E y O f M B b z 6 l 8 H Z 3 2 r I / W k x A l 4 6 z O x l O G G + O M b t Z r 3 D / R L l + S V e 0 p 4 v 5 + x l w 8 4 d O 4 T G Z Y R G s 8 8 J n P Q b c s F B 1 t G T W 5 + G T 2 Q B j k U w E g 9 I B H 0 2 B I j L X d Q 1 + k K 5 X V 8 E e J P A o w G P d 6 L w 5 e Q A O z m h P F 5 w 7 4 0 d z Q y V v h R R 1 9 5 k h t q / b V D O o 0 u H m K T N B L a 5 G d 0 9 f S S t H e S A f w z z p D i B M R w + F R b U p i c a o 2 Y E R V X x D k / d b Z H 3 d Y 3 q 6 x D x x C f 1 G o u T 2 6 Q w i 9 K W i a L D O d Y 3 5 N 3 G o + H 4 f T y w o W O n D i W 6 e V i 1 e g 2 O n z U P F j a X o h K Z t b I u k B l J b u d 4 8 1 a J 8 L p z m 7 d S 5 m F E G k 6 M 2 f N v o t e N f D 9 A U y v P i Q S G y e m m v 1 H S m J K u B K o M O W 6 M X X v 2 Y X D I J g I n d q Z + r k d P C A f k Z 2 I 8 v O k J P L L l Q T T 3 P o 5 h T w 9 e 2 i Y v 7 V G g D d E z k y B R G + P b f 2 5 o m E O m L z 1 b f H r u m M M W a B c 5 m E e L K D 2 z x d + L I k 0 t S v T T R 1 8 w J 2 T a k y 8 P b x P R x N i x Y m W g m k Q + B L / K i U C q 5 / B 6 o P S M E + E c t T R 4 8 + 3 3 8 M F H n + K l V 1 6 H 1 9 m N q s o y F B b k o 6 N T 3 q G b T T l e R v / J b i f y Y m t 3 F H C w g L e s Z w Z 8 + 6 M 9 c i i d t E t q N d p Q K I y A z y s n 7 e a Q a M n L N D h o M R F 0 d n W L S e R U S M Z 6 6 E w m b N m 1 B 2 9 / 8 D H 0 0 U I s P W E e V O E Q r r 7 8 U u p Y z m I 3 k Y k 5 R D 6 G X 5 Z o C U g X Z V T g C S f v B G n O y 2 5 S p 6 L K d A I x i R Y h t 5 u 0 F j 0 3 H e O n V g R K f j l n 4 E u Y / P K L 4 n M q P l 2 9 D m s / 2 4 g 7 f v 0 b 6 D Q 6 F J K v d + Z p p + D E R Q v Z y B C Q Q n G L 4 r r F 1 6 L I O h X z 6 q / F r c e d h G v m X i r 6 W k F Q M 5 l + k C w J u 2 g s y + 8 C K j + U q 0 w d K w Q i L p F y x f N R i s Y + M r D F w U V 1 m O 7 J M h E h / 8 w R b M k 0 h a T / t N F p A Z 5 z U 4 f I n o 1 1 2 O j E b k t r G 6 S S d t R b 5 P B m a j 5 c 1 L O f L p a 8 W w S r S G Y A f j 3 5 1 F N Y c e Z K f P z x J 7 j q g q 8 h a r L T I M U l o r I G x + F 0 Y / 3 6 d d B o D T h 9 + V x o I g M I k 0 T I 9 B C 8 b N 4 2 N I T S W C W i I b c K t U V 2 e H y Z i c 8 X k o Q v V J K 4 G 1 8 W K C k 1 / B y J 2 q 2 z u w d O a m 9 9 j Y k I t 1 g w N C + q H B m x o 5 x M V F 4 3 x X X Z + b y a K j l N Z 9 B H 5 k F K 1 a i M o D 4 p N k z N y n S J s J G / y 1 v g l B i n 0 y / i 0 U J m q L b a B r 4 c a V A 5 c z z i 2 g + V J f v u H n a H C w V k q i q + X T q 4 W n W w 1 G c m W E P / h 3 A U c / n j K H Q p j x 2 N h F C w W 7 Z 4 7 H P I Z z x C y y E V z E w T 2 f k 9 H W Q G S o b Y W I D a z L u e C M 0 0 Q U S V m h J M t L w 5 t I I u 9 + b R + m 5 u M k N c N G C S t x l l k 5 a I Y 4 n 4 + N M 1 4 N 3 Z V 5 x + K h G X n p z Y I H R m D T 4 5 b M S M s i C q C s J Y f z A E g 3 u / i L Z N r 9 d B Z e Q U H k 4 R G T / 8 z o E O L i 4 5 O h a C / b O D T 8 l l 6 J q H N W g g v 0 7 e B C 4 Z L n 8 U P U 4 t p p M 1 F w r w E h U 6 L y F H T 1 k K k L o k Q K v q R o 8 v S 4 p L l v a b t C U w q Z M r E q W i w / W Z u E S d Z Z l 8 g D C y Y S P 6 z 7 t Q H G f D Z 9 5 Q N 9 7 / c B V W n r V C f H 8 0 s B 8 K k x n T D 6 s 2 O a 8 v E W b t E N z B s e 3 + 6 P 6 p U E X s a C B Z W P + l e K b 7 0 c I d 6 I B P 1 F 6 c G N I x U S I M r j b 4 L H L k M + I z o i x / I v N c J I x d m y G N D P U n Z b Q 7 X S 5 Y e C e 2 F G m i l 7 r J B 5 K l d C q M G i 6 S U Q y u S e A d 8 c F c Y s R H B w 1 Y M d U H H 2 8 t q Z W v F f E P C O e t z b k O k 6 z j O 8 c Z Q Z R j U P e S Y 5 8 9 U y M b + P l 2 7 N 6 L 4 2 b N w i u v v I o r L k t f E U j R X u r g Q Y S 1 U 4 m 5 S F q T Z m J o q C + U T b g U a A K 7 0 Z u g P Q S V T w B c + U g p J 8 Y W Q r F B z u p g z c S b t K X C F R h A 0 y k 3 o r q 9 G x s v u A D l X / 4 y C s j k P u X k Z Y L Z j x a 2 N h 8 K J h n Q 7 l w r l m 0 o i E Z I y C b M C 1 m 9 b 8 J p l M 2 6 f q d K 7 M n 7 8 d 9 L M Z X c q S j 5 f D O u l F 2 A X B E k / z A c G i G / j M x Z l U Y I C j O Z V z b S H g p U p F k j s e B J Z r B J F 8 V w T w i t z d 2 Y O W u G S L 5 O A r k 5 Z S Q U + 1 M U t W t Q i / r q D E G 6 B G h 1 B r K 6 V p N i S d k F P h v 0 U i / 8 0 Q p h g i V q M 6 H m y F z j X T S c 3 Q H k 1 e r R 6 1 S j w i o P p k J w 2 l A T 2 d h y L h m D a d L N G e N H s p C O f h L l q C N 1 a K b M 7 s Q 2 K O j o 7 s W m T Z v l e S l 6 h v P P X U l C I D P R a b U 6 k e 0 x C u c G h H T z M W J 3 o L Q s P q H I p m J f / 4 B I F N V H m 9 F N f f R F g 0 u n 7 d j U D r f L g 8 q K a m j P W A n T L 3 6 O x p / c n K M B m R v 8 9 i D 0 + Q k C g h B c U 4 a S f B K Q 2 i o 4 Z 8 Z D 4 f q B D + E v P T P 2 C V h V T P 7 0 7 4 A 5 1 / X Q O G U 2 g 6 O B E T H 5 H w U J a 4 t c 8 U o w w T h Z 5 Q x 5 + b s a X r 8 b R r 3 C 4 P x r o o 1 A I b x k P W k 1 e g w P O 1 H X U E J C e E B 8 y w R o 5 K 1 4 A g 5 4 z f E g S i o y m 3 4 S W W e r U V x U J G q h V J X n y f 5 X T g z F g Q r O s E 0 B Z 1 Y f 6 N e S S a Z F q c + N / E l G N P V L m F Y m X 3 J 7 s x v z G u W H 1 E S 6 E F L J d Q W 4 Q k + h K S J M u S N C r M W S b z + i a X Y B d J D / x O f w J C S n O r F Z 2 t n V i Q U n n I B Z M 6 a h 1 7 s X e W T C m D R j s y q c P g l W E T a X q I O 4 S k 4 y w w 1 0 b U d p t V y b L g l 0 y 7 D r A N S W 6 R i g d k 0 k y z o U j K C n y 4 7 a + u x Z 8 q n o a w 2 h b k o B / L w q N g G s 1 R L 9 X 5 6 E l h d U 5 t 4 m t 8 d P l o q B t A S v I 6 L f J f z 0 o 3 v K s G g m m Z o O Y N K l 5 K + R 5 u j z 7 k e l + X i Y + 1 + B u + x L 6 H j w Y R z 6 G T E 4 n T 8 p Y W G j N 2 B D R b k 8 G c 2 l n 6 P O r Z C s J 4 j P q c h 1 / Z M p 5 I W H / H W V t 0 N E Q F W q f K x d 3 4 E T T 5 2 P D W u 3 4 / z T Z h D 5 a u D 1 D p I p 7 0 b I m H t q E f u 3 n F y d C U w n L F A Z w 9 Q h O T F U x L W H H N y U Q v R 0 o f b 2 Q z B b 6 6 F z k x 9 B v o j R p B c N s P t U a B u S M L M i M p r R E H X v h R Q L P / Y 4 1 C J w 0 F A 0 / k R h W i S 0 W B v t Q F B K r k H d Y V O P r h R O B 5 / X D w P 5 e 9 n A 5 a h 5 f V E 6 R H 2 H I R m T 1 8 q E 3 G 3 Q i J 0 m Z M r r 7 D 8 I Q 1 5 6 Z 9 8 f c U K v i g d V e D x 8 3 i D 1 X 7 I m O B r w H F V i W k 6 b a w 3 9 K 2 G S J X N m i M v t x e o 1 a 0 V t R N 4 v t r y 0 g J i F v E d P H 9 S m M u x 9 7 z o s K X s D L 6 w C J l e R C V Z 1 I a q X P y x + O + J v R 6 G + D o b + D + A o X o l P S V t X 0 o P x 1 k e N H f K 2 M 6 G I D 6 v u r U N w 2 u 8 w 1 b g W j c v u J V + l H 2 r z 2 P J m D C 7 A k j T Y a S B P S 0 S h D u d B r Q 9 j 2 4 Y 2 9 P b 0 4 q y L 5 o m 5 w G M B i 6 q G 3 J a x E 8 c 8 Y / H + B x + i k L Q U m 9 c 1 V W X j W w c m v V M w E 0 / 0 c Q m x V 1 9 7 C w 8 8 9 B j e e u s d F O Z V Q u s K w l q t k 7 e 7 I b O P t Q / X j D u + O j z K T I w + X 7 0 g H E Z l X h j V 9 D o W 8 N n l x N l E G G L 1 K j J B m 8 Y P V C A / Z w Z m Y l 5 h Y W 2 o R z i h c m 3 Y P 0 T M x M 5 s X I z X l E 3 F c G d 6 B t F K y c E Y j r I Z j N m z z 4 W Z Q u B l 4 L n A S z 7 I k C + e s V B h n J u W m X p 6 B / C 3 v 9 + L f z 3 4 K D 7 4 8 C N c c P 7 Z Y u q j t L h Q M J O f G N 0 x z M Q k o e f Q m 3 B 4 S e O R Q g w c p H F c e B + C s Z K z z E w M S e 0 S W / 1 w 1 W D u 5 f K H H h B S / J 1 3 3 4 e P t D 8 H m a a 5 / h t 6 f y f 1 c T A j M 8 l I P 4 7 M R B x g k I M M 8 j l h t Q N u p x / H L S z B i g t n H z N m Y r g i n W K K J x W S i k z 9 v n 7 M n j U T y 5 Y u Q l 3 d p C w a i j o h 5 G x B c 0 + Y V J l N L A j k v X E / 2 7 A e 5 5 2 z E l J w E D 3 d X p T V V W F / n w G z K r 5 4 v 4 H h 9 K t g 1 Z N o S G g 1 b w y t G q e e R C 7 g f W y 7 3 d v J b p 6 G T s 9 G k c W e w C M p I B t c M w h P g N d R E e l k c I 4 H e S J a l X l w A / 4 Q d L F Z 7 G C A h F B K 7 N k T G j y i 7 G c F n J q U u t T h 4 U e e w H G z j 0 N L S y u u u v I K 8 H 7 L S q J w K n o 7 B t H a 1 I m l K + b h / b + X i S B D 3 3 U k M O i 7 6 q F e a P w H E f C Q l i m S p 1 u 0 v a v Q p j 8 Z 2 y Z X i H V Y U w f 6 M D D Q g + q q G v S 9 + B I 2 t l 4 v t N u s L 4 8 f R h / w H a D 2 x / t j v C j d F 4 1 c Q u l p G e q 3 v / 8 j 5 s 2 b i / x 8 K 5 a f d G I S 8 T L C 9 j 1 k C z f A U i p P b r V w + H m C 5 h s n y K b L 6 c s Z C T / V h A 4 g p J E f l t N c U u d D c g E v h m x 2 k C 1 D 2 o K 1 A S 9 O q z D O E / N Q V u t Y d a 8 g 5 G q j X r S T h h q 7 2 Q K D I 3 M c o X M 5 f b B Y D a R h B m F U J 2 S D 0 3 M k 0 l V f t w P l V f I 6 s X i t i N w g S 2 7 y e Z C s 7 U o M y Y T A p b a Z / 8 M 5 1 P h 2 2 t z 4 f P V u r L h o C d 7 + S x m m k B t s v F 7 u / j r y j b y h E W r n E B F b A y L e w z Q O j R g a 6 s C m 4 5 Z g E j 3 Y c b 1 7 y Z t T Q 0 W M 9 9 G k C 6 C m B 2 b 2 r k 3 w q z K B G S q x b y J R c i j S T H F 8 U W j q m Y p p l c k b D o z H V G n F 6 i 9 + f i v O P 7 U a y 5 e d i E M D c b M l E h i B q 0 W D n s j x o 8 z E q C d m O j i Q 2 W Q J 8 4 r G F G R j J t n J z r 3 j m J n C t g 3 i P R c U m S g C g R B C I g l W Z i a G P + w U 7 7 M x E 0 N j m S S Y i S d S O S G Y o T j T n K / H z M R g Z m K k P l W q k F a Y i Z F + E 4 R k B K P x 9 C 7 2 X 5 n A E 8 E T x 8 x k i a Z i h M z Z X J i J Y S 0 w w + 1 2 Y v i j j 6 m P S B D 2 y M 9 g P O d s a r s k 7 h c Y M a O 3 3 4 6 W P j 1 G b C O o r G z A 5 f u e R V H z P j j J X 2 z 3 7 U L U s o g Y I g o 2 j D U n x e f Q U u E O x h m t N F U Q H A E z c c B g x O v D s M c 3 6 n L k i l R m Y r Q N 7 o q 9 S 4 + 0 5 G f U D J D z J A c h p p T I p p x / 2 I m A 2 w J L Q 0 g U q k 8 E 0 0 S X P X n w O e e J F + d p I x 1 E T N m J M h U j X i a q 7 O Z A K s I h O b y d S q A Z w e f R y 0 0 d z S Y X Z y E k b 4 n C c b p 4 B C c V n P m h L F T k U z g r Q d I V k I 2 2 V 6 z 2 Z K T L K M + W l a B A u S U v 4 8 8 G Z p L U j a U T A x F K F g a / x r t W N n D G y 5 5 v X o f 8 3 5 G w + D U 9 O x 3 b f d l l a D r U g p e f X o O y Y i v K C k K Y 3 F A H Q 4 H s U w X K V 8 A a 2 o s R X w d 0 0 e W w 7 W s S B h t T U + U b m X d z M W u T N X K 2 C F s u G C E f T + l P Z q y j h d m q w 9 B I Z j 9 W c M a I R y J f I E 6 J H l 9 C y p D n A N x t B u i L r D A U y t p q R n m y v 9 T u a C W / J o R O m 2 x r R d y H R c 6 T P 1 q J o K o W A V c / + v o H B b W 7 3 T 4 M J C 0 m T E b 7 i A Y V 1 v G J L h W 6 k l M Q s m 2 J f c q A G B O J F 8 F m d 8 N s l j U H 7 3 S Y u C K 0 X L N Q L N 1 n K Z y I 9 t g z c i S Z J 3 y 5 W O T o K f R G b 8 o n z e Q Y k 9 O n I J f s k F y E A m t P X g u U b Z l 2 x v r j E w A T Y 7 6 l g E x b l / C b x D F 6 d f q 8 m F o Z x H X X X g a N z g K n y L S X q B / j c z o F R S e i 0 b I Y F X l R r D v 5 F M G I E w 0 V s D A 4 2 o 3 T j j W i p s w r l g V D F Z r k h W M 2 r 0 T m W S + k W A K q F P T B N V g H 8 6 Q 4 Z 3 M G h I J W + 2 H x 4 o T a 4 r w D q I m F q m 0 x 8 4 J z x T j 5 c u s B L 5 5 7 / g X q H E k Q c F K h y x T U p U l Q T Y s 0 R B c N 0 o M m a h Q + J / G V g K E h B w r y 4 5 q T B 2 6 S 5 W T x K t P P E w s R 8 6 z x 0 L a C 1 G 1 B E z e v 5 m t w F r I r l L B s P u W + e l X 2 o j Q K u t r S b 8 + i Q N a f Y w V T 4 s L H U G j i 6 T m p Y O a e M U X W E i x O O d D A T 3 z t 5 S e I x F i m F W b u f F 2 a z a 0 l N T F R G L r e 1 a T N I + D J D f 3 J y 9 H j S G s Y Z Q Q / J w e K / l 9 C J o G Z F J T Q h t q I H k N Q 6 8 g m P m h E Q W M + N n X o s H h S c n J k u 6 O F m C i u R X h i V 0 9 d X W o N I 2 T f g U 8 2 D 4 k s 8 6 u v v h p + r 0 u E o b l w C u 8 x y w v / v n 7 N V 8 l v S V 7 a c U R I 4 B 0 F E s + 4 p 6 u n l o B o h I g x o f 5 3 I l I T Z B U o u 1 Z M s r J f q c G U 0 j R h V H r G q H s 7 B t U p a 7 7 S 3 + q Y I 0 w 2 K E 9 t s M / E z M 1 I D U g w e I y l H P w z B b Y m F 7 Y u b R T B B B 5 1 / Y k L U P X m m + J 5 G S x Q E 6 N x 6 S D 5 h q A f W g V f d X w 1 8 U T B K 8 v 5 2 S Y C J + 8 P H Y t g 6 j V q m B P S x H I B U Y O g F 5 U q f t + q t h / g c O U j M G g 9 5 O c l J x a k j f K 5 W r W w 1 C e b d f 6 Q h B 5 3 + p n r Y n 0 l O v t t m F n H C Z Q S b P 5 W F B o n Y / 1 n G 3 D g Y B N K S 8 v F b P v p p 5 4 i U n 7 Y V M o F m Y h 7 F E r L E 0 7 h 4 E B U 2 w B 1 h r k m e T O 5 9 B o y 0 / 0 6 X V t G l w g w o d Z Z 5 S R h c S 4 R E u + J 9 f 4 H H + D r X 7 k U E V 1 k r K l 1 h A y V 7 f m F L 0 b f f b 7 V g K m T B l B U L G s + n i A 2 G J O J h p k q v i O + D C 4 3 n a f N n H K T i B 0 3 3 I b B 5 x 4 T p M w a q r H 3 M F S 6 u P b m w I Q x T d Z J O q g d h x H O m 4 x B N 6 8 G k D u m d V g j A l v j g Q X B U G y d 2 X 8 C Q 6 4 i F F v i / p K j f R 0 G 1 v w X V i 4 k c 9 q y H L 3 V v x f H C 7 W T q f + 7 E Q o a 4 g z F w Q P 2 d 5 z N W l g b 4 8 z E Y e i d 3 T r i R g 4 l c + l f M t v o f Z 5 R 3 v B L G W 5 2 0 n n J R L 5 R k v P 9 d A a S m H Q d I l 7 J s w 2 S V c 5 e T 9 x q Z T y E f L K p q Y l V 8 c k V E d c + q C y z Y s Q o 3 4 s Z y W 5 3 w W L J f K 1 g M A S t N l l y t z k 3 o I 7 8 g E D U B U 9 w B H 6 b U e T 4 7 d y 5 S 2 g E n i E / 8 8 z T o Q k e F M K i J 9 O q 2 9 w e O Q l + X x h 6 Q 3 b J P z T g Q k G J P o l Z M k H R V l w 6 r d Q w k 8 Y s l F M k 8 Y P i c p Q R c 3 O I R c w t 5 R D y z g R T 5 1 P w 1 F w j f M 9 E c z k X D P r 2 C y H y n 4 A v Y I B B l x z E 2 P b A y U I Z 8 N S B 6 d w 1 s a P A + g 8 / R X l 5 k d h J X z C U K j K E Z 1 7 8 F C a T C Z d c c h H x g M x Q v F w 9 0 w r b 7 I g T M i N i 2 w B V w d L Y p / H R 6 9 m D C t N x g q F Y 0 3 D B d u b Y 1 L r h A W K A 3 t 4 h e p g S m A x c G J 7 + o 9 t G 3 H t g 1 5 h o w K w w J U S 3 m M E 4 E y J C 1 2 L m G R g Y F k v m j U Z d R q 3 V 5 9 k L L t u 8 7 q 1 2 V F V V Y / r 0 G d i y e T M u v P D 8 0 W w K g 2 Y Q n e 4 h q E M e h O m + a Z G G d n r s 5 a j M H x s J z B V c c t o z r E N R a f Y o a j D i h V Z l i K U j 5 T 6 v p e D 9 o j J h 7 r E O Y e N i 2 l E w F M P U / x I 8 Z Z f H P k 0 c m f y X d G C h 4 Q v m o d h E g l S K w k t C c T x 4 / E b o t A E S / H G a 2 H j v q S S 0 I n Q c m L z g P J j n / 1 w c 3 3 z f y W A Z H G 6 8 D S e U t U J q b 9 0 f H R p 2 o 7 a 8 m g g 4 J P Y G y h X D H u 5 e C U W m 9 M T I 4 A I m 9 c b j x b Y y T O z j C Z h w K I h o b I 6 E 3 e 5 R 0 A + 1 R i M 6 u v p Q V 1 M p a 7 8 M Y F N J R V I 4 m r C v E Y M X R O 7 c t R d r 1 q z F 9 6 + / L n Z U B j M a a z F m N P 5 9 T 0 + / Y N B Q M I y 6 u g p w Y Z Y i X k r B D 5 E A o 9 a G D l c C U / C u 4 J m W m i f 8 N B x R k 7 T L 3 G + 5 I B T 1 Q y O W w 2 f v V D Z B u Q S X l l 6 J P h U v G + d i l x y I S Q d N s B 0 h V T n e K 6 0 d 9 Z 9 U V i u m t h 2 d 2 Z W 6 h d G R Y C T Y S n 0 4 N u h S O P Q o 8 k d e R u u U N + m T h O 5 m s p r y j O j s 6 M D x J 0 y F P 5 q 8 S j o R H r 8 J J v 3 Y p e 2 D 9 z y N A 9 H 7 R T J 3 X T l Q e b m s n Q 7 M u x R D 3 x 4 U D D W p X M K s q / s g D X V v j a o N N f B 2 W G G s j S + M G 3 S r h N 9 U n R 8 f d K Y l X h b B u X g K O B t b F U v N Z 0 J k p N r 9 U c 9 B S K b c 5 h P C v N 6 I 7 c c Y + F o D d j e q q 8 o Q S t h / 9 0 C / B t P L x t r d 3 p A d Q 9 7 D K A s F o C t c S k y i w U e f f C I K Y F 7 z l a / I e z S l K T J p I z 4 o y D L G v K X J v v 0 t m D V j 8 q g 2 Y z O v N y V l R + / p g 9 + k l O R K Q T I v T g j h c B Q e l x / W f A P 1 e Q R O h x 9 e b w A G A 5 n o + W T y J S y P y O Z 7 M T Q q Y 1 K R S N 7 m U 5 t Q 6 T U 0 u B q S Z T p Z B O W w b 9 m K 9 W e d A 9 a B P M M 1 v a 8 r b d H M i S L P + R K a V V e O W V X N R V e H h + 0 4 e O g w F i 1 I k 9 W f A k d I z k R h 4 T v S 8 i n 6 V t + O 8 8 g Y 2 j m 4 F J / b v i U q F 5 / 9 J f k 6 w + 5 C F J l H x L l B t x l N + 1 p F B d / 5 i + t J c 2 W O q u 6 s J F O P / k 6 m x z a 0 y 8 w U G r F j 3 6 w L h M b m E J i h Z 4 3 I o p B u / 8 U v o r f d + m M 4 e j y w l M c p a n O H F g t r 4 w S s p A p 1 2 d X J T B Y j q G x 7 I W m C L b B H G 2 H O s a Y b a 6 g h Y q L y M s 7 i H d 9 Z T U S n c y u M k W p 8 v m E n z l 5 5 B l 5 7 / V 1 c e v H 5 s W 8 z o 4 k Y d B o x a M u Q 7 C B n o k c m 1 I 7 O f t R V F 6 N f l M u S T w y G f C S p Y v 4 Z Z 4 8 m L I R L w l E w 1 b G C W V u a d q I 3 G n J B F e p A l P w r B e 9 V T 4 L K 6 x U T s u w / z U w w 9 9 L 5 n L n C 4 Z N Q 5 n g L v r L z h O X g 8 X q w f c c e 2 G w 2 I T D O P 2 / l q I D O F Z w a x c 1 p r A Q 6 K p / D v M W N 5 L P H t V h f S x C f f 7 4 F e r 1 R J H O f d t Z C h K T k D S J S s Z W Y i S m b w z f F e 9 6 E V C T X W N x O x 3 n k O b U 3 n 5 i J w W U J h A 8 1 f M i J o i l W c Z D B C o K 1 E z M Q v + d J z E R 0 j K h R W x i G w x N G n k k N g 3 q A 7 P n 0 F T y 5 i M W 4 u w E S m F B 5 E V h x M S 8 Z m B g T c f j 2 c H O L q G 5 a U V 6 G S f X 1 K C 0 p h i 5 q g 6 S P 5 8 3 1 k X Y 1 a i P I M 8 Q H i p + T d 1 T k b W j y z L K P x n U r i s e p R + G 0 r 4 P e u F R U o N V a P X A H 4 q a E 2 T c A t y F 9 f / z / y V C h K P k F Z C L y q m C e F G a T j + s z 5 I V 6 E Y w W Q k q z M / t b M f + J 3 X M e x e O O 0 n 9 K B A d x H n j g X 6 i b N B l F R U W Y M 3 u W K O g z d l v a 8 c H d u v 6 V b 8 L q f Q t T L / o M L h 3 X R J H g c + j Q 1 z O I X T s P w E C M V F F d g t k L K q C O W s d l p p a f 3 I X B Z 9 4 U 2 q m h t B C F O 1 8 X x 7 f E m I l F Z u 2 N X 4 X x F 9 e L 4 w z B U O 5 2 I 8 x 1 2 e e F 2 p y f Y Z J 1 m U g x K r e G h D 3 J k I I k 0 b T J 6 5 E U 8 H b 3 x R i C V z s / b U R H Y a J C 5 v q U F J p c 8 a c / / x 1 L F i + B y + 3 A + e e e T c y Y z A h R 9 w F I 5 u w J j Y y 9 H T 7 M q s 0 t m s h L W t o d 8 W U j H C k r N N S j t 9 u G y q p 8 e E Y 2 w P M F M x Q H S j i B V 5 l v S g e W 9 O n q 1 r M f x c 5 6 1 L c D K u 0 M S F m 2 c n 0 z t n s H N 1 t F P u y s r u Q y x a n h + P G w 4 f O t 8 P u 8 O G H B A r z 0 0 s v 4 8 l V X w K Q i v 4 V u E N V P v A I s D z d v t a M j z Z S Y H 8 r T C l w T U R U q x A j R W F 6 h D i q d j 5 4 7 d z p b H 9 N O / P x l M S 1 0 + A f / g + F X P h D H 6 0 m z F n c l 7 7 k l G M r R 6 U d e j V 5 0 G t f O U 7 b q 5 0 2 l l c q k a U G D w o p O p C 6 n R Z S 0 R D t J N z I b Y l q O 1 f s Q 2 c h c a o z u I B 8 8 C j B T s m n Q 4 l i N c t N s m D T J p o w u 0 o K A i r t k f P D C x 0 T / M B 1 4 6 f 0 Q O c S Z I A I p n j K o y F b P W N 7 q G D A V p z e N b p + a B S 0 H B 9 E w V d b S z E S s z T X u w 6 S l G q D N S w 7 a p I L r E b 5 Z W i l q o v K d Z r U c h D r / 6 M t K 3 3 f / Q / j e 9 7 4 t 8 i i t Z l k b q X g f Z d K e U W 3 c U h o P Q x 4 i a F N m G p p I N D A d N p K P V E u + U h U z T c y l 2 R D T T o l M l g i p b f + B a F 5 J g X C 6 J w y u X W 5 O W c m b A r + r C 4 O h K l h U P l E V S a 9 T k 9 2 t F w G G T K H q T N j d o 8 X s y s z R P Q U c n R v 2 H x L r g N q d 6 1 C t q o X G n M x U n G 2 t 5 o V A B M W J J 4 G e f d K Z p J v f t g r D + n p y 4 j O 3 o 8 D f D 1 P J G b D 7 u 8 g U T B O m P Q K G 4 m e S R 0 j + l / M O U 4 v n Z w L P l / X 3 O F B Z k 0 / M 1 I 2 C 4 j N i 3 7 D v R 3 6 Q J r 0 f t P q c 8 2 H 7 X N 7 y h n 2 F 4 4 f I 3 D s C M k m H 1 M D J n v 0 t q K 6 p Q n G 4 A + H 8 8 X P 3 u A 6 h O k t b Q l G v K I B 5 L L G u 9 j R I R D d M S Z V p m I m h U r n L W M z H P s r g H C 3 e I z c b 1 N 7 d 4 z I T m y P O g B W 1 R R r q Q N k v e u m V 1 8 Q O G O m Y q d 0 p L 8 F g J O 4 E q E B h p o Q g I J k 1 Y 6 / D W o K z l D k H b J L 1 F F g L x p o S z E z K t i z K w D I z J R Z u T I X K t w t O U 3 V W Z m L 4 6 d m 6 n b u h C 5 O m S j d x e g R E K T R f w g / 1 K g u 5 w A X Y s S F z f b p Q R D b j O R 2 p s o b 7 Q E J 1 b X z V L h c Q z c R M j F P e e V M s t 2 C d w d 3 i d 8 W f m / v M w 6 t 1 J / A s X L / w c H M r O j q 7 k 5 i J c d y M B h R Y 9 I K Z w k S s 2 e I R X P c j G z M x j j U z M U 7 q + B S 6 8 u K M z M R Q q f N c c H X 7 4 G j m x E 7 5 K d g / U s w + B T Z v s u j 2 R 9 J L R z b p R m y 8 l k i N x 5 5 4 A i 6 X E 2 + / 8 7 4 o q K j T q n D Z p R c p 2 n M M y l Q 6 a C P t C D t 3 U Y f L w Q 4 u P Z a K R G W q h O y z w R s s Q M g Z X w 7 O E p u R b l u W d I V j w t Q G t 2 M 9 + l N 2 j u c S X v z i g E Q g o T S v V y e b n S P h A w g 7 S q i 9 4 7 d x P P A 2 l 0 y E R k 0 x X n 9 u I w o M D V i 3 a j t O X C 5 X C U o F m 3 c c H h 8 F 9 Z n K P w i X M 0 6 p G h I q 6 Z Z 2 j 4 L u N 3 e 4 H 7 P u + C U K 2 1 + G 1 y t B o 9 X g 4 1 X r x K Z x n P D c 1 Z 1 7 w U k u B j q 5 s R 6 1 p I n S I e L r p M 7 b i z 5 M h a H 3 L X G M s 2 9 C R J e B W D N 7 y S z n I j r Z M J 6 p 5 + U t m c Y B + 1 q J a 7 M U L N j + K v 2 b + f 6 j q U c M d 3 8 A U Y 8 V p h o v 1 r U Z s b z R P 1 r q q 3 l I X p X L U T F 9 a A 9 s m C 1 M J J 5 H U C Z F 2 z u 6 4 P F 4 8 M K L L + L M F W f g p B O P p 8 6 Q f b C s K j o S g F H v p g c d m w 8 W C X O R z c O Q L O l X x O Y K r r s t S g W n g K N 0 X E a 5 r j b 9 I M O z D 4 N p 7 E B f y E k a I F m L W n T M o P S g H K V U x X 1 P f a A W k t E u / J 4 k Z K c L g o T B H h 8 q q w u x d 2 c n t m / d i 8 l T 6 l B a X I 7 a 6 d k t C H d o Q I T H F V Q Z L C Q E K 8 V Y J Y I Z o r p q v J 0 o V X C 4 X B j q s m P 6 3 E a s W 7 c e i x e e M C Y A l A k c g Z 2 c s I N i O k T d Z P G Q i e 6 n / w w i L z A K j W 0 v Q g X Z r a B E h B C A z d 8 S + / T / D 5 I Y S o G z z 0 c P a E Z e Y 9 y c 4 p O Y H 8 J D q 6 E u P k U c Y 4 k Z C E Z w / / 3 / w i W X X I L O z g 4 s O 3 E p q W v 5 d 2 a D B 2 5 f h l Q c Q s h 1 G J o I S Y G 8 E 2 N H M o C u p w k e Q k g 3 f r Q u H X i u L B I I Q h X p g m T i I H B u C H u 6 M K K W V 9 w G Q j r o N M l B B v Y D 3 E F 5 2 x y 9 O p 9 M Q R 3 9 i M 5 R k R m V Q r i W a C N 0 R v L t f A k D P g 5 D a S K l G O g b p H 7 X Q G c O k h 9 I f t N 4 2 7 a k C C 3 J f g j 5 R K C a o v S r Z N n s Y 0 2 V C f u b D q G 1 t R 3 L l y 9 D p N d E N J E b E y l g A W s w 6 o T p G 4 h w B V 4 S b q p k m t A E O x F K S d T l v l W x w K K / 0 U z p X A R P e B g e E h 7 / r y A t Q z E O 9 q l R 7 d P D W E c a I s H e j f g G o T Z W C L s 8 F A r Q X 0 3 G y V c 9 O u G N c K Z 5 c q Q w O P A p H A E j i q v H l n b O h u D w Z m i L 5 C T b i S B M W o g e A q r A X o Q 1 M 6 A x j h 8 e N x v d a B v p Q F F g B I 6 g C y H L 2 L K 8 3 q B d R P L M 2 p L R P q o x F 4 u 8 v n T g x X c + l x p + X S z 0 P K 6 G I t 4 k 5 k w 3 L + c f j E B f E m P a F C Z S R Y K o K a h H V 9 8 2 V F c s T F o w m g 1 s r q 9 e u x 6 t L a 2 Y O W s m B g c G c P b K e D l n 2 6 E g C q Z k i f p m A Z c D S L c x G m d l a E o 4 9 S n + E M z E M 6 b J g Q m V t x c R o r d U c N o V r 7 L + f w 1 q 6 8 n m O / c M N m F + Z d y k 4 l J P 7 q A a p Z V + j B z y I y q R 8 2 r U o L W t C y X l N W K A l a C C W E Y Q A 8 9 + J 2 5 D E 0 Y e I o M f Q m W W O 4 d T d U I R N T T W G T D l 1 Y j 7 Z I 2 q p U B t r B L X C L u b I e k q B Z O M B 8 F M B N 6 s 2 B 2 y Q h 8 9 R G 0 v I C W S w R m n 5 w l 7 t 6 M 3 4 E U w o k V A q 0 d E l 8 8 X Q m 1 e J Z w e k o a x i W q t 2 i A 0 R l z g R O H w j t D 3 6 a / N + 0 K F 1 X a U m 2 d C E y 4 i 4 2 Z 8 W z 6 x f 1 O h 0 t F 9 E 7 p A 5 e l F E R k + g 1 E P S e 0 w o l o z 8 v U W 6 u f M E + v c d n 5 5 v U E 8 + P A j u P j i i 8 R i w C W L F 6 K x I X n R Y G B E A / 3 Y B A u B / f 3 a j J s z 8 B o m X q n M 5 Z z t g X a R p M s + Y Y T r b d D z q R I m 3 x k l x f G b c O F + 3 e A a h I 2 1 o + P N p Q V c o V x 9 N 8 W 2 y g w e F 2 7 P s Y B 0 x 2 u 3 R m d X L 8 R Z j a f H D p E W o j Y k O v 5 D T W 4 U 1 g 6 L I v / Z E I 5 I x C D J Y t d E v l E k 5 C G f o 5 j u N g H u G Q e c 2 a C X B u B z 2 6 G y z q Y j a T q N z I W w X z b T V J w m T A M S 7 H s X u o p z x X G 1 P o X Q a H C d 9 s / g N 6 a f l O W M 7 S C Z I U Y i X I s h n y Q k a S 5 t H q K x n U M q 6 P F 6 J 2 A R F e u n i 5 I A P v U E 9 n R N 8 5 h l R B C O I F 3 H k J x J X s J 7 J h n m x j 4 l g 1 f 2 + i J 2 f P z O N m I m L 3 c V r r 7 6 S n Z a Y 2 e M B e 9 m q L c m 9 1 l q + J t x g D T M 9 J i G k R c f q u A N j w j z m B l L y S O M O r Z B y s t t E z Z d 9 4 c I V K 4 Q m 9 b x F E I 6 9 N j I t K V 7 l e Y n W g j j M 9 S x h D D 5 + h x q e P A p G v J O F l V X e Z t N L p U s n 6 E W y y d 8 w z Y E 8 j U o 0 K e f T P y 8 T Y v F k 9 K E k x 0 b y E f K f e k G g w M h n P f H 2 e x F s X b w w E W Y C V K W c D A i g W F o 9 W R K u W j A z M m B B / a f O M + w m 5 z v q p j z z R s f e L z F k M h 3 U D R V l J j e 6 9 k O j z 6 + i 4 R B w x k c 7 M v k 4 Z 5 / P o j G + g a c d v 4 s Q S S J 0 L i 7 S B u T S c n a z Z L b o r 1 E h G y l R A R m e G G D j 1 5 j k E A P i V n q F X o z e v 3 p 9 + 0 S 2 q q A 6 w q O F W K d 7 g 1 k m s p j 4 v M F Y K Q + Z S J N Z Q 4 P M R q b 8 0 N D N r F E R h v V Q G N g w R Q 7 I Q 2 Y O X m L n 1 T w 1 r O F u n h R S 7 3 W D X 8 w t 3 k 0 1 n C 8 W t d o G 0 G 0 t J 5 + x 1 H k s Z K L g 0 T + k I N o R x Y s 7 M s r q 4 r / U x A M F S K b 2 x v i 3 Q s r s b Z Z h + W N A f T 2 D a O i v I j 8 i E 4 8 v + M Z n F l Z g t 0 O J 7 6 + 6 E e x n y Z j x K t C o T G C k K M J l o J C e F w O q E z J x M 1 L O T h i V J 9 h 5 w 1 m J F 6 0 y J o u 1 0 W I j M Q t Z d y D O z H s C q G 2 j r R W z D R j b c Q a S i E W D q F r L F P p 6 e X P 2 n A L e o K y n 6 V X 5 w k T g O d 9 X n t u o / h b U V k O s 8 m C W Y s y 2 D s M 9 n N 4 r o 3 M w I l C G z W S 9 M + D N T 8 C d y T m Y G c h W k a F V o f e L F u I l n B S q D F 9 Z J T L M j O h 1 Z g W k f b Q i u f l n D 6 r V o 5 0 c j 6 d j k z k V D D D h Q N k v p H w S o U Q e G R u 5 p K G F B l e D V W R H N j K B v a T u C b F i H 0 A H 7 + 3 E f v 2 7 c d F F 5 1 P 9 5 L Q M N t M g k V H t J L c B + 6 A H O o 2 a A r E 9 / 9 p C I Z i Q m f t J N d K I L O N S + m S Z A o T h 9 + 3 4 S G M e I b I N z L h J 6 f 8 k D p M h V 3 d W s y p k r V R 2 N 0 B k 0 l C w N 2 H k H H e K G E n g k P q T z 7 7 G K 6 4 / D L y O c Z G b D x B Y q S E P K w 9 v V r x u a E 4 f b A j E b z 5 G e + 8 N w a k L U L k a 6 n 8 r Q j H 6 o h L 2 l J i r E L S T N w G l t x s E g 7 A p n L i w L Z B H L 9 g C v w O 3 q l h C J X 1 R l F R y J m z r Q 7 k 2 / b C n j 9 z l F E z I U z M x 7 6 R R q k 9 E X t 0 U 7 Q R m s B G 2 I j Y e Y / i d C g O k Q Y L + T F k y L B E J I Y o S f F S S / o A T q d 7 o w i m c J C A y 4 5 x s m y u G D 7 s Q N F k 2 U p h r c a m Y 6 4 Z G w p C t k 3 Q F C y K f c q O Q X 8 T d m 7 s R v P h F h i J y S + 9 + m x 4 i W m q h j Z j t 3 8 Z R o Z H 0 D h H b o / C T A o 4 m q h R G 4 / J P G C u k E a G e 6 N q U W e B J Y y K / k t W p V z x M 6 K f C l e r H p Z J X k R 8 b b D k F 8 P R d x C a Q t 4 1 I Z l 4 u J Q Y V z 9 6 / 4 N P M D w y g k O H D u F / / + d O B A M k b S a Q a j R e w X 8 F r W 3 t q J 8 0 N g K X K 6 L M W J 5 d 2 N u q w q b N W 3 D l 1 e f D S 1 o i k 5 2 e C a U I Y g B a M r V 6 h P Q P G 7 O v j G W G k k i 6 5 o U 9 y C + a i S 5 H B y I k U b 3 9 h T C W 2 S A 5 m l F b e w o 6 B v e K / D a r v Q l u M k c j h u w b s i m o N l j h j y b P r f V 4 t y M Q d s K s L T / i K k L 2 w x L y J 0 + s b x R E R 9 Y j S u a Y K s U s Z y S a 5 K n g J F f u L x 4 T f a g a Q 8 P D d H 4 P i v J 0 a O 3 s w 8 J T 5 D k u X q r h D 9 n F + 0 R w y N 6 Y c d f 7 Y w v J P j I Y 9 Q c d + L y j C M s b U u d Z 2 A Y l F v O 0 I T B 8 P A w 1 m d P d u U z u 0 8 8 8 h 1 m z Z o q l 9 N u 2 b s O c O X M w Z / Z M Y t E g k e 3 Y y B f v g 5 u 4 o U A i O D O j g E z I 8 U C W x n g K Y Q y e f + F l 8 g / c x I i N m D 9 / H m m w f T T Q e T R c P C v v F d G 7 i U L l H U L E G C P 2 k B c W k t w u X X r i L y A 7 n 0 3 J E b W F G i 9 r y j g k e A f y Y S y N + 1 I T 9 Q U M n j 6 Y C 5 f T l c b 6 T 0 c L + y F i q C l H x l A q 3 3 4 S C O m 3 K e X c T i 6 H n Q 4 R K S I K 4 f z 7 1 T e x c N F C W C 0 G T D t u E r z h A a h D b t S h D U N u H V k H j f A E 5 H n B V C h + 1 R c N a W i w I 7 q x z Y p l K c z E k J z r E V Y X k i 8 0 A 4 4 O L / J q j e m j Y w Q 2 6 9 5 6 + 1 2 c e u p p M K V U 3 W l 1 r s v o N 2 V C i J R T p v l G z s j g 7 V Z 4 s y u d N k P 4 O w G + Q B A 7 t u / E 4 O C Q m D 9 b v G Q J C v L y 6 D 3 g t 6 + B Q 5 9 h q U W O K C d C 6 E t Y T a y g x p R P 1 h k x D z G E z U M + q q E Q I z 7 y L S 2 N Z D p r c H B f D 4 6 b N Q 3 2 Y L u Q w A r Y L A 6 7 8 k n L J d T 3 G w 9 E W O X G I r h d X a T J y k Q u 4 x c B v z s I v X l 8 P y k d J P d 2 R M 3 z 6 I 2 E g w c P w + X 2 Y P 4 8 8 n W J P z k A Y k o T z G A 0 H W o V Z e c a p 1 X R q X 4 R M U w H T d C D a v 8 B O M j P 6 z L X i A 2 7 R z w G b G 1 d h 2 5 3 A N e f d H H s z C 8 O 0 q u f 2 6 N n T C O b P s E c C / g 7 o S P V G R W b V K v g H H A j r y x z h V I G L 3 2 o y O N Y F / 3 + C C r a j A e H 0 4 U 8 6 9 g 2 Z N N y D D U R + 2 u v v Y E d O 3 f h a 9 d 8 d W y K k X 8 X B s X S u S O D 3 t s H P 0 c G M 8 w 9 S U 5 i F k s 1 v e H o n B b v v 7 4 F Z a V l J G X z Y X M N 4 Y S l 9 a T d x / q K P F l s k I o x F B h / C U J d X t X o + i y r o Q I m V Q n 5 w N k T e I 8 G f l c A e s v E + 0 y n B / 7 1 w F N Y t m y Z y K A o L y 9 D d V U 5 0 Z 5 c u 0 O j z a K F i b C G f B w y H 9 9 q Y b y 7 d x u s 6 h E 0 F F r I N l L h x Q N t O H X y y Z h d 9 c V q K v W y 2 Z V 3 8 r Y m M 2 Z M Q 8 j V A n W w D W o j 2 d e k I t n c 4 8 h Y c M A K 3 T j + j F W v L C 8 g 0 J s j W Q 2 S C k 6 L 4 d l 7 h j 6 N V m Q k T g z z / B m b i s p C M y 4 v r Z H C m D x 1 O k 4 9 + U S x m 0 g i z A Y n e v x j i 3 L k C q O n G z 7 2 l T I w k 1 l P h K 3 l 6 k t F e P b R d 7 B r a z N 4 O 9 X l K 6 e j o F S D i h o 2 M 9 M T C D v 7 a o 1 G b P b l j W Q u L M J 4 4 b l V q K + b g v 0 7 e / H v l 9 7 F O + + + i 9 N P G z + K l g 3 Z J j s 9 P X 7 o C 3 L T U s w k G p 0 O D z 3 y B B b M a Y T T E 8 G C E + a i k p j J a j G P W r v p F k K m I h j 1 0 B j n J i j W N O 9 A i V G D j 1 p 7 U V 5 4 P L 5 W Z o C 1 I v e 0 s y O F F P R 1 R k P e f r h 6 9 0 A i 5 5 c n T L W l c r p J p 2 s T m R G z 4 O 1 R I a 8 m t / Q V R r 9 L h T J L b p I k E z o 6 O s k p n / i c T q 7 Q R d r Q H R y 7 R C R X V B A B 9 M a y 1 t O B h V E 5 C Y N O h x E P 3 f 8 4 f v S z r 5 P D 7 I J O Y 0 E g Z Q v P b G C i d g + Y Y S g e I d q L a 2 K e I N W Q r 9 d 2 c B i F B Q W k h d / E 6 a c v R 0 m d a t w t V 3 I B Z 7 G k U x g O E l g v P / w c v v G D K 9 l y S w v O S L / 3 v g e F 8 G h s b E R v b 6 + Y 2 r j 6 i v N J U W f O y x s P v P O j M 9 h N 7 T J S + 7 K v M G e o U E j i K m 4 e V g 5 v R s 8 R p K 5 N B G N y + U K 2 7 d B q I m T r z m e q g K 0 5 g I L G i a n 3 Y 2 H y c d R R 7 O 2 a B e O Z e 5 l g V P e j w z N + f b Z s U L m 7 E T H H z U e d x k x t M W H L Z / s x d / 4 c F B e S v + Q a R C A 6 j H A k N 6 n q 8 l t g 0 a d n N q 2 v B j q r T 2 Q b c D 2 I 5 v 3 D + H z j R p y x 4 g x U 1 O b B G + w l n 0 G F A t 0 k 0 s o T D 6 r k i o 6 2 b q x 9 f w u u / s 6 F s S P p 4 f b 6 y b / V i r 2 N G + v r E L T t g C Y / f d a G g v 0 H D m L G 9 O y + H 0 f 8 B j s g C p b q C t J P a m d D n W M L 2 v M W x D 4 d W 4 w M e t O E g U g s h c 1 z E X b s Q M R 5 C H p N k b B x O e O A J 1 z H A w c T l L U r R 4 N c L E a F m b j k W a 7 Q q 4 6 e m Q o 5 Y Z O Y S Q M r 9 U 8 e m v f Z 8 M J j H 8 L n V O O 4 e V P Q 1 t 6 C I Q 5 z B z v h 9 j N D j Q 3 4 c P Z 6 O M w q Q B r V O 5 m Y i R E 0 d I r Q r 8 p T K + p J Q O 3 H J d c s Q 1 6 l D 5 5 Q P 8 q 4 C 6 L R L 5 S Z G B X F F a i r z r a N p w y z U U + C W Y W G S X U i E m u w j F + q m Z n J 4 x m r e d j t a O v o Q n N L O 5 5 / 7 F N M n j I J n 3 y 8 J v a t j F 5 b b r 4 R M 1 P N 8 C a Y 7 S 2 Q q G E q 8 j U t 9 g O o 6 f 8 M j W h C n X M L q h z b I f G q g Q n C m p + w C z x P 7 v J E W L V k g m S W y 0 j J c 0 9 + 8 d d Y 4 4 U 6 Z T e z S D A E V Q 5 R t m Q w q 2 T W K l 4 v L 5 U / 9 k Q R d h K B h w c Q m M A O 4 O n A g Y W W P c M w G E 1 o b e 0 g s 0 u L Z S c t R D Q 4 g r K S I g R 8 w + i L m Z K T C u o x 2 L M B a r W O X g a M i O K O k q h M a t K P b 7 K k h 4 T w S D E q q o o w 4 I 0 v m m T U G A v g i 2 S f 8 D 0 a d L g / Q 6 1 5 G d y t B p j r J 2 Y u q 3 w H E T H k F n l k T T W T d + v v G 8 B b b 7 + D w s I i Q R N t b W 0 4 / Y x l K K r J R d y O D 0 l E V k l Z p J m S s A 7 t h a t o F n 0 X O 5 A j R j l E 1 G r j 3 L W w X O z S P e B F u 5 7 U D V 3 Q 0 u C H p 0 N H k i a Z E d I x U 4 j M s E x g S X P P v f + K f U o P 7 r j + g W Q n 3 O 0 5 8 s A B I x p 0 E T F 7 j 5 q Z G E / c 9 z b q Z x V i 5 8 7 d W H r y 8 d C b V f C p e u D X + 9 D h 7 B 5 l J r 2 z D W 2 2 V r i N F X D o i u j + J K j 8 I 6 i 2 V B w F M z G i U B c O Y t j X C m N o E g q 1 0 0 b T f d z D E 0 i y P Q L w F q l M A p 9 8 9 k 7 s y A Q g 5 t t y w 6 z j Z r K 3 g U O H D 8 N L G u u c s 8 / C y r P O x H X X f e 2 Y M R O D T e R 0 z M R w F s 9 C f Y h 3 K 5 z Y / U Y 1 1 I i / A 5 U m H b y h I n o Y L W w t f h Q 0 J E R 5 6 C x R b m z S x I j h t d f f w u T J U 7 B 6 9 W q x g R l H 7 W 7 7 6 Y 9 j 3 + Y O X l l r S J M Y m w v s 9 n V k M h 0 9 M z H K N R r Y J T N 8 w b E z 8 g q 0 Q T e C a b b h Z 1 T q 9 O g J y E t K U q E b 2 g m D z g x j 0 Q x E A w 7 0 S 7 k F g s p N x 2 H X n o N Y M L 9 e L F P / o n H f 3 U / g + z / 5 e u x T b t B J w + R P Z s 9 W 4 K i m y + X B X / 7 6 d 3 z v u 9 9 B c V G + q P 2 h b F 9 6 t F W M j g S N Z G o 3 k / + a K w R D R c h R c + j L U K C X l 2 d k U u m e Y T / Z 8 G U I q H q R V z V 2 s L n A i V K T o Y + 0 z N o 1 6 3 D Z Z V / C r t 2 7 a b D n I p C B k N J h w l V J e T l 2 L M T O i E Z C s J g D p C X I g z 1 W i L L G 5 n u M J V p P c A C m 2 J J z r b s L Q R G w S E / c u p H 9 i O g s C J l j A 0 W m h 3 5 k D / x F y f U h L N 4 e u I y 8 R d D 4 K I j W U / M 8 0 O b l Y 7 D P A R 0 J n 8 J 8 q 8 j J P N Y 4 s L 4 P 0 0 + c m G k Z 8 A 5 B p 2 S S p I C t l h / c c A O C o a C Y f G 9 r a 8 W J S 9 L n + v E E O C / h + E 9 i k m 0 j 2 g p y W w w r D b Z 8 E t X k H 4 d W 5 3 q x 3 s c y P B P 5 4 x R 8 5 K w J T b Q E Q W k Q e d U G I V l 6 e w f g J 0 n S 3 U V + B X 0 + 0 N S E y y 8 9 D z r d k Y d J U 5 F a B l o B m y E R v x + S T i N m 4 4 0 F t e h 0 8 U L A i f p 3 W U B O a m H E i x F t 5 r p 0 I S J o T S w s X G X I Q 7 c v O V W L c 8 p E 8 R T y p 9 5 8 c T W u + / q F 6 H R 0 o V x n T M q 0 8 I a G R D E W R k n U j 0 E p u 2 b W g H z d a C V C v t 3 E g P H J b 8 4 k L z Y 2 o K / X J k o P 5 + d Z J s R g G o 2 8 K w m / R I 0 K T S k x r Y Q H / v Y E v n f L 1 2 J n 5 Y 6 w u w X q l H J u j L 3 7 m j B i s 2 H 5 S S e S b A k j B B 8 9 U z Y a j I q k 2 f 8 k i g Z 3 k t V h g j N r i T P g / w M b z Z S L L W b 0 s 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 N a m e = " P h o s p h a t e   P o l l u t i o n   C a t e g o r y "   G u i d = " 7 3 7 4 b c d 6 - 9 6 e 0 - 4 6 f 4 - a 5 9 1 - d f 7 5 5 8 a 8 7 8 e 5 "   R e v = " 3 4 "   R e v G u i d = " 6 c b 2 6 4 0 1 - 3 b 2 f - 4 3 b 7 - b a 7 0 - c 3 4 b 9 4 c 3 0 b 0 5 " 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 T i m e C h u n k = " N o n e " 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 N a m e = " P h o s p h a t e   ( P P M ) "   V i s i b l e = " t r u e "   D a t a T y p e = " D o u b l e "   M o d e l Q u e r y N a m e = " ' A l l D a t a M a p ' [ P h o s p h a t e   ( P P M ) ] " & g t ; & l t ; T a b l e   M o d e l N a m e = " A l l D a t a M a p "   N a m e I n S o u r c e = " A l l D a t a M a p "   V i s i b l e = " t r u e "   L a s t R e f r e s h = " 0 0 0 1 - 0 1 - 0 1 T 0 0 : 0 0 : 0 0 "   / & g t ; & l t ; / M e a s u r e & g t ; & l t ; / M e a s u r e s & g t ; & l t ; M e a s u r e A F s & g t ; & l t ; A g g r e g a t i o n F u n c t i o n & g t ; A v e r a g e & l t ; / A g g r e g a t i o n F u n c t i o n & g t ; & l t ; / M e a s u r e A F s & g t ; & l t ; C a t e g o r y   N a m e = " P h o s p h a t e   P o l l u t i o n   C a t e g o r y "   V i s i b l e = " t r u e "   D a t a T y p e = " S t r i n g "   M o d e l Q u e r y N a m e = " ' A l l D a t a M a p ' [ P h o s p h a t e   P o l l u t i o n   C a t e g o r y ] " & g t ; & l t ; T a b l e   M o d e l N a m e = " A l l D a t a M a p "   N a m e I n S o u r c e = " A l l D a t a M a p "   V i s i b l e = " t r u e "   L a s t R e f r e s h = " 0 0 0 1 - 0 1 - 0 1 T 0 0 : 0 0 : 0 0 "   / & g t ; & l t ; / C a t e g o r y & g t ; & l t ; C o l o r A F & g t ; N o n e & l t ; / C o l o r A F & g t ; & l t ; C h o s e n F i e l d s   / & g t ; & l t ; C h u n k B y & g t ; N o n e & l t ; / C h u n k B y & g t ; & l t ; C h o s e n G e o M a p p i n g s & g t ; & l t ; G e o M a p p i n g T y p e & g t ; L o n g i t u d e & l t ; / G e o M a p p i n g T y p e & g t ; & l t ; G e o M a p p i n g T y p e & g t ; L a t 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5 6 1 & l t ; / W i d t h & g t ; & l t ; H e i g h t & g t ; 2 7 8 & l t ; / H e i g h t & g t ; & l t ; A c t u a l W i d t h & g t ; 5 6 1 & l t ; / A c t u a l W i d t h & g t ; & l t ; A c t u a l H e i g h t & g t ; 2 7 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4 & l t ; / M i n M a x F o n t S i z e & g t ; & l t ; S w a t c h S i z e & g t ; 3 8 & l t ; / S w a t c h S i z e & g t ; & l t ; G r a d i e n t S w a t c h S i z e & g t ; 2 3 & l t ; / G r a d i e n t S w a t c h S i z e & g t ; & l t ; L a y e r I d & g t ; 7 3 7 4 b c d 6 - 9 6 e 0 - 4 6 f 4 - a 5 9 1 - d f 7 5 5 8 a 8 7 8 e 5 & l t ; / L a y e r I d & g t ; & l t ; R a w H e a t M a p M i n & g t ; 0 & l t ; / R a w H e a t M a p M i n & g t ; & l t ; R a w H e a t M a p M a x & g t ; 0 & l t ; / R a w H e a t M a p M a x & g t ; & l t ; M i n i m u m & g t ; 0 & l t ; / M i n i m u m & g t ; & l t ; M a x i m u m & g t ; 2 . 2 6 4 7 0 5 8 8 2 3 5 2 9 4 1 1 & l t ; / M a x i m u m & g t ; & l t ; / L e g e n d & g t ; & l t ; D o c k & g t ; T o p L e f t & l t ; / D o c k & g t ; & l t ; / D e c o r a t o r & g t ; & l t ; D e c o r a t o r & g t ; & l t ; X & g t ; 1 0 6 2 & l t ; / X & g t ; & l t ; Y & g t ; 2 4 . 5 & l t ; / Y & g t ; & l t ; D i s t a n c e T o N e a r e s t C o r n e r X & g t ; 1 9 & l t ; / D i s t a n c e T o N e a r e s t C o r n e r X & g t ; & l t ; D i s t a n c e T o N e a r e s t C o r n e r Y & g t ; 2 4 . 5 & l t ; / D i s t a n c e T o N e a r e s t C o r n e r Y & g t ; & l t ; Z O r d e r & g t ; 1 & 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5 & l t ; / X & g t ; & l t ; Y & g t ; 2 8 7 . 5 & l t ; / Y & g t ; & l t ; D i s t a n c e T o N e a r e s t C o r n e r X & g t ; 1 5 & l t ; / D i s t a n c e T o N e a r e s t C o r n e r X & g t ; & l t ; D i s t a n c e T o N e a r e s t C o r n e r Y & g t ; 2 8 7 . 5 & l t ; / D i s t a n c e T o N e a r e s t C o r n e r Y & g t ; & l t ; Z O r d e r & g t ; 2 & l t ; / Z O r d e r & g t ; & l t ; W i d t h & g t ; 5 6 0 & l t ; / W i d t h & g t ; & l t ; H e i g h t & g t ; 1 3 5 & l t ; / H e i g h t & g t ; & l t ; A c t u a l W i d t h & g t ; 5 6 0 & l t ; / A c t u a l W i d t h & g t ; & l t ; A c t u a l H e i g h t & g t ; 1 3 5 & l t ; / A c t u a l H e i g h t & g t ; & l t ; I s V i s i b l e & g t ; t r u e & l t ; / I s V i s i b l e & g t ; & l t ; S e t F o c u s O n L o a d V i e w & g t ; f a l s e & l t ; / S e t F o c u s O n L o a d V i e w & g t ; & l t ; L a b e l & g t ; & l t ; B a c k g r o u n d C o l o r 4 F & g t ; & l t ; R & g t ; 1 & l t ; / R & g t ; & l t ; G & g t ; 1 & l t ; / G & g t ; & l t ; B & g t ; 1 & l t ; / B & g t ; & l t ; A & g t ; 0 . 9 & l t ; / A & g t ; & l t ; / B a c k g r o u n d C o l o r 4 F & g t ; & l t ; T i t l e & g t ; & l t ; F o r m a t T y p e & g t ; S t a t i c & l t ; / F o r m a t T y p e & g t ; & l t ; T e x t & g t ; A l l   T i m e & l t ; / T e x t & g t ; & l t ; F o n t S i z e & g t ; 3 6 & l t ; / F o n t S i z e & g t ; & l t ; F o n t F a m i l y & g t ; S e g o e 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i n c e   J u l y   2 0 2 3 & l t ; / T e x t & g t ; & l t ; F o n t S i z e & g t ; 2 8 & l t ; / F o n t S i z e & g t ; & l t ; F o n t F a m i l y & g t ; S e g o e 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  N a m e = " E C "   C u s t o m M a p G u i d = " 0 0 0 0 0 0 0 0 - 0 0 0 0 - 0 0 0 0 - 0 0 0 0 - 0 0 0 0 0 0 0 0 0 0 0 0 "   C u s t o m M a p I d = " 0 0 0 0 0 0 0 0 - 0 0 0 0 - 0 0 0 0 - 0 0 0 0 - 0 0 0 0 0 0 0 0 0 0 0 0 "   S c e n e I d = " a 5 c 4 d 5 1 9 - 2 1 3 0 - 4 4 d b - 8 1 4 8 - 9 e c 2 8 3 4 b e 9 5 f " > < T r a n s i t i o n > M o v e T o < / T r a n s i t i o n > < E f f e c t > F l y O v e r < / E f f e c t > < T h e m e > B i n g R o a d < / T h e m e > < T h e m e W i t h L a b e l > t r u e < / T h e m e W i t h L a b e l > < F l a t M o d e E n a b l e d > f a l s e < / F l a t M o d e E n a b l e d > < D u r a t i o n > 3 0 0 0 0 0 0 0 0 < / D u r a t i o n > < T r a n s i t i o n D u r a t i o n > 3 0 0 0 0 0 0 0 < / T r a n s i t i o n D u r a t i o n > < S p e e d > 0 . 5 < / S p e e d > < F r a m e > < C a m e r a > < L a t i t u d e > 5 2 . 1 2 2 8 6 7 1 3 7 8 9 6 9 1 1 < / L a t i t u d e > < L o n g i t u d e > - 1 . 6 9 2 3 7 5 2 1 4 0 3 9 0 5 9 1 < / L o n g i t u d e > < R o t a t i o n > 0 . 3 9 2 3 1 8 3 7 6 2 5 7 0 7 8 8 8 < / R o t a t i o n > < P i v o t A n g l e > - 0 . 7 9 2 3 5 1 5 7 2 0 4 3 7 6 8 < / P i v o t A n g l e > < D i s t a n c e > 0 . 0 0 4 6 1 1 6 8 6 0 1 8 4 2 7 3 8 8 3 < / D i s t a n c e > < / C a m e r a > < I m a g e > i V B O R w 0 K G g o A A A A N S U h E U g A A A N Q A A A B 1 C A Y A A A A 2 n s 9 T A A A A A X N S R 0 I A r s 4 c 6 Q A A A A R n Q U 1 B A A C x j w v 8 Y Q U A A A A J c E h Z c w A A A m I A A A J i A W y J d J c A A H 6 j S U R B V H h e 1 f 0 H g G N 3 d S + O f 6 5 6 l 0 b T e 9 n e 7 F 2 v 6 7 o X b G w M 2 B j s O I C B A E l I I D i E 5 L 0 H J C T v / 9 I h j 0 A e h I 5 N s c G A s Y 0 L x t 1 e e 6 u 3 9 9 3 p f U a 9 X u l K 9 3 f O 9 0 q j M p J G s 7 s m + X / s 2 R l J V 7 d 8 v 6 d / z z l f K T g 3 q E J n Q y o b Q z x t R l d r C 7 7 9 r e / g M 5 / 5 C z g c D t x 9 9 9 0 4 e v Q o 7 H Y b g s E g L r / 8 C q S V F B 5 / 7 A n c d N N N 6 O j o w G O P P Y Z N m z a J 4 z / y k Q / j n n t + D 5 / 7 3 O f w h S 9 8 A R s 2 r M f w 8 A i 6 u j p h M B g h S R L u v P M O / M k n P o F I J I K r r 7 k G 4 + M T 6 O / v R 3 t 7 G 0 Z H x x A K h f D l L 3 8 J f / m X f 4 W f / v R h c b 4 b b 7 w R L 7 z w A v x + P z 7 / + c / j W 9 / 8 J p w u F 2 K x G D 7 7 2 c / Q t f 4 G l 1 5 6 K S 6 6 6 C I 8 / v h j 2 L h R u 5 / r r r s O 9 9 1 3 H 1 5 9 9 R V x T 3 f c c S d e e f l l x O I x c X 8 3 3 H A j X n r p J V x y 8 c V g j E 9 M i N 8 u h w V S J g n 9 7 E 6 Y M 4 e h K I 1 I N 1 0 B S A a o B g t U c w N i M z G E x l L o u L h R f E c n j y B r 7 o W U m q T j T H S c l 3 7 r x G e l U O l / / k n T l 8 z 0 p 4 r x 8 D C a r W 1 Q k I L D 5 I a U D m B u S I d U J I 2 O L X Y 6 z p r 7 r g Y l C x j V K G Z P Z K A 4 Y v C 2 e o C Z v f i H 7 7 + C D 3 3 o g / j x j x + i s f L h n / 7 x H + k 5 / x r / + u X / g 6 n x e V g b 2 m E 3 Z m H U q w g n J b g s K l R 5 A j o D X Y N v y e C i + 5 + h 6 9 m g 6 l 1 0 / 1 L u i r W R S E u Y C B n Q 6 o z A a b Z A y U g 0 f g p C Z y R 4 1 9 I 5 6 D y O i X 9 H t P P T u W 8 s D U m J Q x 8 / C k O S 7 i 8 T Q q L 5 X X R / b h z J u B F W j e I Y J Z 3 C Q / / 2 9 3 j + Z z / E N e + + G 8 f 3 7 s D M 6 D A + + s V / w X M / f R C X 3 H Q r H v i n v 4 G r o R E 3 v O / 9 + M B f f h H P 0 b H f / b u / Q k t X L z J K G m / / w E f x 6 u O / Q D Q U w J r N l 8 B s t W L b O + 7 A 1 / / X p x E l m v / 7 n z 6 J z 9 / z D v r 9 F H r X r I F K N M B Y q Y + i W Z L F 3 3 l I p 8 b 2 q Q 5 z E 6 w G E 0 1 S H F 5 v D 9 R s l i a Z B k Q n 0 e 8 M d I I o a O C h A 7 3 D X x N f z i O b o f H X 5 1 6 A Z l p 8 X n o M f 5 v O u P B K + 5 y P Z e i Q p b f o c j n w + x o h 8 v f U 3 D k z c h Y G s z 5 3 F u 3 7 G Z o 0 v d 4 k 3 t G g n b v 0 L g v n 0 6 A i k U j i q 1 / 7 K h 5 5 5 B H s 3 L U H e j q Y v x M O h 2 E y m Z C W Y 9 q h V e A Y + i c E 7 H f B N 9 G K 9 k 1 0 j 3 w x P T G C P A 7 V 2 E T E F B W / 6 8 V o 6 E z u L w 0 8 V t 3 0 W O H J 9 X B 1 n c G U b I L e M I 9 O z 4 V I y X H s 3 n s I Y 6 O j 2 L 7 9 d X z 1 3 / 4 D H / r Y f f j U n 3 w c a 9 Z t w s l T x 7 H 5 g k 0 0 p i o 9 2 2 t o a W 4 j g b W C z q i D r E h I 0 3 w 5 z P y 0 G i Q l Q E M k Q z W 1 8 i v t P W I y 1 d R O z x G m g U n R 8 N H N S G b 6 h J / V i k P T Z q x q T s N i K J y n G H w N Y 4 4 m A i c z a D R 9 D 9 m + j 2 M 6 c R B t 1 g u 0 D 3 L g M + i I 4 Q I z g x g e n 8 H m i y 7 X P q i C I x n X A k N 9 8 s a t S C U S c H m 9 c D Y 0 I e K f x / z 0 J D 7 y h X 8 g J v s R / v S f v 4 b P 3 X 0 r O n r 7 c e c f 3 4 + L r r 8 F f 3 3 P r d h y 3 c 2 4 4 w / / D H 9 w 2 W p 8 8 p / / H 7 7 0 y Q / h H R / 6 I 2 z a d g 2 + / K m P w m q 3 4 / J b 3 4 0 X f / 6 T I o Z 6 E j 1 r N 0 J H y i e r s 1 d m q K B / V o x I J H E a b t s q 2 B w N 9 I p Y R 9 A f / 0 P M R b 8 L x M k o Z Z q s Q q f Q Z 3 i o I c g 9 x 8 E F q M g Q x + j 5 p K p C n + e J O / e b m D Z D 3 2 S i 1 o a X / + U X / L d 2 j X Q y D Z N F G 8 R S 0 L k z J O k l + n 6 B q 0 u Q Y U 1 A 0 E m k I X P 3 z g z 1 o x / / C H e S x v I 2 N i 0 w 8 + z c H D w e D 5 J x I q Q l M H s o R I y X R u f F G u N I 2 Q R U 0 i Q s 4 T X i p K c g I a X S 4 C 8 F h c Z l J j p J Q 5 F F V s p g / L g f N 1 x 3 L e a O Z h E w H c b p U x N 4 5 p l n S A t f g b V r 1 2 L n j h 1 0 r 7 P 4 w u f / J 1 K T x z A z 1 o y u D f N 0 J h I / p h 5 6 W D O y J O l k 0 r L E H Y i m 5 + k a M k z E G D Z D C / 2 2 k V Y x Q k 6 l M B O z k 3 V i Q J q G x m Z U 0 e 9 V 4 N D 7 o D M y L W g I J X W Y j + n Q a M u S V s v S z P E 8 0 j z z f J L w k G g O V a O m q R k p 0 l A m 0 o L F Y C a N B U l 4 t 5 i Q U G j u 5 Q C m p s Y Q o 3 M 7 n A 4 M 9 P f R + U q / Q 8 M h q I A F v I H O x 9 N U z F C 1 o Q n S T I a U A k 2 w V G Y t M L 0 W h P x y o N F l n q F S m T g 9 q x X j 8 d 3 E U L M n i V + c m D 7 j Q 2 t X F B b P e p o I m W 5 A D 3 8 w C m 9 D Y V A r g i Y K N J D x O V Z T a d h c J M 2 M b v F R N E X S X m + B g f 7 T 6 X M P k / b T 5 2 Q K 5 c D j d 2 q O 2 J A e d p V 7 G j A V J g X p I B 3 r w c T R a X S u b 8 u 9 S e a F E q J / V Z h 1 H n o s O g G N y e T 4 I D q 6 + h c N 2 g J 4 w o l p e Y J 4 c P n c C k x 0 f x m S p m Q C G Y n o i S n F o X R T K T l J Z t c 0 E U n h u u W Q U h O Y O d 6 E p v U m M p l I / s t D Z P L R P d D 7 z L h Z U 1 d + 7 P P / 1 A A R o N m M T 3 7 q f v z H 1 7 6 C 0 E w I D / z 0 R / j 4 x z 6 K f T t f h i + a g c f l x B V X X o 5 Y l M Z Z P 0 V M 2 w n b q a 9 A 0 T X D Z 7 0 W k U k 7 O j e F M C F H 0 e 7 c C E P 0 C G y x J 8 n 8 I u 1 G Z j q P A U 0 u S K 6 Q i b + K r q k n b c M i k O e O N Y 8 d 6 f Y b S Q C Q N s o k 6 G P N z G S t Z q 6 i i c q R U P y I K T 4 0 W V Z p v E G P n X 9 y Y Y U Q v e z e P 4 r L L i E 6 I 5 M O g m m X G p s C 5 q I 6 z F o d N R k q w x o 1 B 7 0 Q o s w 6 O r o f e n a i j w y P g 5 g Y D f p F C m B p s J Y a I O G z S E O N H D 2 j u l p t G I v u E c / l N l 4 N r 7 1 s 8 I g D F Z L y B r J f h U S i G 2 M T Y D Y 2 B Q / 5 C U a D Q V M 6 9 H 5 0 k q R N J 4 + i j r T e j L D b V w + s g B z 3 Q Q b Z 5 G a W / C p N s g H z k S 6 s b q H z E W Y i O r T a y M z K T S I U O o 7 s e c b g K 1 E M X O M Q f 5 d C k 0 A M w / w u Z N w 0 i U V S l Z E h Z u E j J M H Q h e M Z C o 1 r L C U h I t O 1 n R l h o u h S 0 0 x z y O j Z / 6 k 9 0 V J q D H O j T q T C 5 O d c 1 E z m U Y D 8 j t L r S 5 k I P Z O N T m w U p r S R z E n W C n J S x u H D x 9 D Y 2 I j V q 1 f j H / 7 h H 7 C R / N D r r r k W D z / 8 M 9 x 9 + y 1 w N J F f p D P A + u b f C G W Q W P 9 n 5 E O Q O U l C y T 7 8 H 4 j L X r w U 2 I q L N 1 5 K c 2 P G 8 c M 7 s a 3 5 G V I z d s S s V + F 4 p h + d T p o P A 2 l N 0 n o q C b a Y M g c 7 M 3 o N s O 9 o n v m 1 G D M p S 1 r Y 0 I e M i x i A B S E 9 h 5 j / C o J L y s i w T 3 4 L S f f 1 M C f f R N o 4 g L S 5 E 8 b o a e j T c y T I w j Q D Z o w H 3 4 P G d Z r Q X U C W N S k 9 Z B 3 E P Z m 1 Y l Y 2 l J i t x c g S r S b J 5 7 I Z G k m A p s i V S c J C l o M Q F G V I E l N L G T 3 M J M y W A 1 N s H z z 2 1 X B J x L z 0 3 D x P 0 J H f P b h j X D X 2 k z l A W g k k t X r a y h 6 0 B O S z 8 G A W I c / d r P K z w u 8 q H W i W 1 C w d G K o w 9 1 j J V j L N c u J M I P 8 3 m X M p k v Q Z U s 2 C R / n 8 f B 7 6 4 f f I R p T 0 e q T I 5 E z T j 8 v K E 0 1 S N 3 8 e O j B L Y p H 9 Q P Y f F k 6 f O z f / Z q l p Y F u T L i C O o + 8 n E 3 E k k w k o i g K z O q s x t n 4 x Q 7 P v o R o a E B g O E 3 M 5 S J k m Y W + k Z 2 R n n j + n c 4 6 O T y M c C o r A z O 2 3 3 0 4 a 6 F P 4 9 r f + E / / 8 j 1 / C Z / / q f j z 5 5 N O 4 7 b b b h H M d P E 1 j Z f D B 1 d O I k Y A B L k M Y z Q 7 i + r Q P 9 r m f I t n 3 l z h 9 e A f W u E Z w I H w x D h 4 5 i J s v b s a j L 5 z C n j c P 4 a 6 7 3 o O r L t s E E 0 l w b Z D I 0 i B C 5 u D C g j 9 H 8 5 d S E 2 T y L W 2 G L g X z / G + Q t m 9 A i B j P S V Y O D P S T Q z Q 9 C 7 u x G f G U j h i Y x 7 o U 4 d k g H F 4 X 0 e F i x l w A m + q s K c V 5 F y Y P w 1 k S G K p e B E K Y L t i P S y Z T M J C W l R M x W B 1 8 X q L L x Z d d E m w e 6 o m m l o J E 9 9 V J s s U t a e 5 E H t L I / m H V 3 W M T U S M T P Z z d u Y S J R 8 g Q Y z B b a M E K h v a w Q p N K p F Y X m I q Z j / 2 v A l P l k S X N o T I 1 E x P y b z a z + H R M h G w + 5 c + h f Z f P n 7 s G v R b M Q Q j H + W / A a i Y W F T Y y v c g y 0 / K J S q 9 X C w o 9 v E r q i p m J 7 5 + l W k p O Q M 6 G 4 U u e h E X q E / f X a C V z l D S O x J J I m S e T r p M Y i f w e c t 7 5 / v g 5 E n N T i M 6 R R g B J R L 2 C R N a A 5 3 Y 9 i n v v v A e D I 8 P o J S 3 K P q d C W k p P z 2 l y m B D z B 0 l z N c B k P E X m 2 z S a M z v I R P Y i 3 v E + 0 u o K 9 u 7 i A M Q Q G r w t u O 0 d t w m z 8 C / / 4 n 5 8 5 7 s / w A U X b h Z B l I 3 9 F 6 F v b T M N E E t L T R J L R N S q s Q W z 8 a O k p b z k H 9 H 9 s 7 1 3 H h G U x 2 h G F H j J 1 K 0 F 9 q k 4 s q g j X / 1 Y e C 0 a H U Q b N P 2 m 2 R T c A 0 t r p W K w D x V g O q Y 5 0 e n J O q K J 5 x + m N o 1 K 6 k G e 2 / j 3 Y l r J k j W h K 1 M O x a h q 8 g 2 9 M a 7 6 G m 1 Y 2 a S I E x Q z l N / n E y H s / o E B + n s e P v o Z W L G S O J g e I s c k U 5 M T s N m s c H v o e 3 R v G d I c b D M J A c l M k n t Y n d A C 9 B 4 R L P + h B Q H y k o A f S h u K d F r G 8 N A I m l t a R H B g a n J S a I r u n h 5 x P z 7 6 W b F i B a L R C K a n Z 9 D Z 1 Q m r x S J 8 P m Z C c U 3 i b P Y N K q G S I 8 r 3 y s z I z 8 T m 3 u D e c c y c j M D a F U f f B R 0 4 M B W D 3 R y C w x p A l 3 0 r M R P 5 c D S g Q o I I z U X X 4 x B 5 b m K G / H o 0 2 F R 4 y H m v B C k 9 Q 1 Z g F 2 m l N I K R J F 5 / / R V c c 9 G 1 O H b m O E K x I K 6 9 7 k p 8 4 A M f w a 8 e / T l e e / V V 7 N 6 7 F 3 f e 8 R 4 8 / v i j u P z i V V j X l q R 7 u 0 2 E f P m u S a g i d J q u u U Y h 0 2 q C G N k t w s t S c o z + J u l e Z A b P k J n e a m c B s B Q K c 3 J W o A F N p U k Y 7 N 2 H U 6 d O Y 8 O G d d h 6 0 R a a m x S d u Z S B M u k s I i M K P C s X m 2 T s 8 6 S T c c R C f s i x K E w 2 G y a a 1 l f 0 o Z 5 7 5 C c Y 2 L A Z f e v W 5 + h r u c 9 Q O H 6 G B N j g 0 U O 4 4 u 3 v E q / L w b S y Q h 9 f z F C j B 0 f U p G k W T c 2 d R B Y p e D 3 d 4 o P h o S H c f M s t 6 O / r w 8 W X X A K 7 3 Y 4 d O 3 a Q r W 7 A L 3 / 5 S 3 F M L B r F p k 0 X o L 2 j H d u 3 b x f v M V S O + g k l U f l h W M M x + N M D + w / i q 1 / 9 G r 7 / / e + L 9 / 7 l X / 5 F r A U 9 + 5 v f 4 O / / / v / g 7 / 7 u f 8 N C D P O p T 3 4 S z 7 / w P A L + A L z k d 2 z b d o U g t g M H D 9 E 5 9 o u h K I U 2 O G Q 0 0 r 8 F 5 q r E U I y 8 u c f g s L R M J h 9 r n L G j Y x g 7 6 I f X 2 4 d Y f A r e F Q p 6 y d f x x Q 0 4 P a / D Q G M G r W y W 0 S m P z h i x o T V n A v B a A r + Z 1 7 R E Y M + / 8 B I a m 5 q x Z W M P / v T T f 0 P C Q 8 E D D 3 w P 9 9 / / G X z p X / 8 J n / r 0 X + C v v / B 5 / C k 9 6 7 9 / 5 f / i 9 Z e f x A c u H s J s 2 + c x H D J j R W N I R J P 4 v I b J 5 2 G 1 H U f E 8 6 d I B p N I + e y w 9 E V g Z O 2 Z m i d 7 j E w 8 H g I y 8 S Q 2 + 8 w a E w V k H 4 J J D u o A X p M X b i v 5 a e c R T z 3 z W z J v h 9 F H d M N r i + v X r s I z z z 6 P R i 9 p S K K h Q C C A K 6 + 4 N H d 0 K T J k K W T p x 2 j J M R y N 2 f T w U b T 3 r c d M W E K L U x N Q + S g f r x s 9 / u 3 / w A V X X Y s j O 7 c L 5 p P J X G e z r b G 1 H Z G A H 0 5 v I 2 b H y D J Y u x E n 9 + 1 G 9 6 q 1 9 L m C / v W b E C L h f G r / H l j t D p i I x t j U v / H u D 2 L k + G E c 3 7 s L w b l p 3 H b f H 2 L 1 l s r 3 u y 7 0 K j y N 6 3 O v N O i / + P e f + 1 u j Z E P 4 t I M I Z w 5 t q 7 0 k R Y A f / f j H C A W D + M z 9 n y X J + D h u e d s t e O K J J 3 D 9 9 d f j 2 m u v F V 9 + + q l f Y 3 x 8 H H P z 8 7 i B 3 u d F 1 d t u v R V v u + V m u N x O v P 2 W W / H 1 r 3 8 d z z / / P L 7 5 z f 8 U C 7 t / 9 m e f I k 0 T w A f e / 3 7 s J 2 Y 6 c O A g n n 3 2 W V x 8 8 V b 0 9 X T h y q u u I i 2 R w W + I o a L R G C 7 c v B l X X H 4 5 z p w + h W 9 8 4 z / x 2 + e e E + r 4 3 t / 7 P R H 2 X r 1 6 D e 5 8 z 3 v E / R S D H V M y 3 s T f e U Z h V G I m B k 8 G m 7 0 s A z g M n y G t y E z g b n G j Z 1 M b m l d a 0 L G u m e x + L w b 3 n M b s w X l 4 o 2 b M H j 6 N c W K 6 2 T P z s M t h 6 K 0 6 W G w W O i F L l N J r 9 f f 3 w e l 0 4 v 7 P f A 6 t r a 3 4 0 r / 8 H z z + 6 2 f w 2 m v b c d 2 t F + C 2 b X e T K R H H R 7 a O o 8 l z H K t 6 t s K Q P A O 1 6 U o 0 2 1 V E Z D P x i E L M b M S x x G o i m q 3 Q B w 9 B 7 + m E 2 U u f j / o w Z z g M s 6 m N / A l i P L o + R 9 y m U 0 N w k 2 n N v q D V Y I N X l 0 W D 0 Y g k n c 2 k N 4 t n r w g R f M g 9 A 2 t + Z k z y m b X x p P d Z M H I w I R M l S i I z V 5 7 E q r W b c Q n N 5 b 7 9 h z B P d N F C z 7 l p w 1 p 0 k y X B F k d b R z f d m 3 b K c n D 0 l e V P k u w 5 o 1 W b M 4 e H z F i C v S g A M a e a y R T m i G 2 W N F d Q L O q 2 d P Y i R U K Q G W P 9 J V f g z K H 9 5 E v a x B p V c 2 c 3 m d c G B O f n M L D p Q v h n p o W w 1 B M 9 h n x z 6 F m 9 j p g z q D G g 2 4 P R E 0 c x f v q k M C f X b r 0 U 3 t Y O u i o z c + l 8 N p j M s D H B F M 2 z F P D N q E w 4 s R E b n P 3 k V O d M v h / 8 4 A f 4 + S O P 4 N P 3 f x p f I w 3 y 4 5 / 8 h J j i m / j V r x 4 V B M B 4 J z n Z r E 1 Y 6 n z k I x / B d 7 7 z H f y W m O P 3 7 r 0 X a 9 a s Q W 9 v L y 6 8 Y D M e / u l D C I d D + N j H P i a O + f S n P y 1 W 7 w f I l P z z P 7 + f p P G / 4 3 F i V s a 3 v / 1 t / P u / / z u e I C b + 2 n 9 8 T Z h j b W 3 t w t w 8 e f K k 0 J Q / + M E D x D B Z u p d f 4 e / + 9 m + x a 9 c u k R W R h y 4 b R V Z X K S q 4 N N i t U 1 K a h i o B 3 w h H 7 H K R x 0 p g R j + 5 4 y T S / g Y k U l O 4 5 D 0 X V m R g o 9 E E H / l N H m s S U n g I N v k 5 M m d a E W p 4 D 5 L z D j j 7 V E y m 9 q L H e Q m c k 1 9 C p O M v x f f m Y w q i 6 h 6 0 W t Y S Y + Q 0 C w k O 6 9 i D S H R / G M F T O n h W L 7 4 e I x o 7 C I e 9 d E G 1 F P x 8 H P G K k Z l o J w b h o A U T c e X z M T j a q I q A A S / M s 8 v A J h t / R 4 e o r M d I Q E e + L b C 2 p e C 4 c y D B S r 7 H U o i M y X B 0 m i p a O f W u Q x U v L i + F F 3 / x E 4 T 9 8 3 j 3 x / 8 s 9 0 7 l Z 8 + 7 O g x e h + q a e B h y 1 5 3 i N U P y T 5 9 Q d e Q Q R 6 Y S c H f a F x i K f R d O C 2 K / 6 m / + 5 m / w w w c f F M y z Y c M G P P K z h z A 1 N Y v L r 9 D M r h M n T + D P P / M Z 2 E g i M F F N T 0 / j i 1 / 8 o k g R c r l c x F y r S T p 5 s W f P b p E 6 x I y 1 f f t r x G Q R f O 1 r X 8 X d d 9 + D h x 9 + C F d f f Q 2 2 b t 2 K k Z E R t J A P 9 c / / / E / 4 5 C c / J Z x u T h u 6 / / 7 7 Y b V a c f P N N 4 t 7 P H b s m I j I v P z y y y V h T 4 k I Q + V Q d R 3 I D x s z U n 7 u 8 i a f Q D q A y S R H Q X V o d 3 T R B N U X X g 3 7 Q j j 1 s g 9 K J g l v j x W d 6 1 p g t 5 D W i 0 / C F N k L Q 3 o c k k l C t P l j Z I 4 V 1 t 7 Y B w y d G Y e z p 0 W 8 j o 7 o Y e k 3 i k V N n 3 w U L Z a C i Z G O p 4 k B y Y c i 1 W p y 8 V p e F q m A n n g + B X s L a c k 8 F A 7 d s 8 Z a n v O f h 5 S e X 4 g S S r G T U K 3 k F p B p q Y 1 c E T h Y F T 8 N 1 b 4 2 9 0 Y e L F Z S 0 J F 2 f P H F l y H L K T Q 2 N w t m u 3 D T h t w x i 5 H 0 T 9 B z t S + K B B 4 m h o r U t b C r o X h u 8 + A 1 K X F f Z V Z E / V C x U v K h m S P N M o 0 P m c 9 s l Y h M i c i Q m b S T T L y n h 9 v N Y f N a F 6 n M u e W Y n p r C 9 t e 3 4 w H S J p e R y f Y / / 8 f n t O i d + D Q X y s 6 b D u c Z U p a k 7 D L D w m z u 5 e e t m K F 4 s T a i 8 5 J 9 r a D R V b T o v A S k 2 A T M U 4 / C 4 M 4 i P u v E i d C 1 C M 0 m Y J B c x B w m p K 0 Z G N U Y P B 1 2 6 I 3 k e M c V s v + 1 B U m P u w l m W x S Z R A s 8 a 5 h R J O w 4 J s N + y g d Y 4 m g Z c M H i s i A e k h G d T U I 2 u / D 8 q B E N T g P m Q w o + 8 1 4 b a a s s P K u K C J F D 0 O c a 4 e M g T J V g z 2 K o 2 H / w K P n d b 6 C 9 v R M z 0 1 P 4 x C f + K B d I I Y E T T W L 3 7 l 3 Y Q i b 9 E P l c X R 1 t Z A Z r Q q Q c G T l D 5 i y Z f Z 3 k X 9 m M N T U U M w 8 b E 8 y s v I j P v / P v l z J V f X T M Y K 2 U 4 S U h / r u I A Y t T j 3 S x M W T t X W T y z c + o 4 f E k 3 C R F y 6 N 8 1 V H 9 Z v I R N k 6 k / e E P f 4 h V q 1 b i l l v e T k 9 H n x F D n Q / w W f g O 8 u A g R / F q t 4 5 s + q z e Q e 9 r B K q X F k e P 8 q h k F q S S M W S H n o R x / m U Y + p q J j m h m i O N U m S Q w H 5 u k Q T Q b o Q T o v E a S 1 B k Z B j N p A R v Z 7 J E G y C s + Q D d B n 7 H E J h 9 D S o 0 j a 1 l F N 7 4 U M X L Y 3 Y 9 s O g m D v R l m d / X 7 L s Z 3 n 5 H x 5 o k 4 P n l X E 1 a 1 K z i z Y x D R G b o 1 n R N N X W 7 Y u h N w N b v E / J 4 1 l C B J n O U H M P L L H 4 / + 6 g k i a J 2 4 h z v u v E M E v Y 6 f O I k t l 1 2 P R r v m 6 1 Z C P J W F z V R 6 3 8 x Q o b R x Q e F W 0 k D n i m q R Y q Y X T o M y G U h D F T G U P n w a G e c K T U P N H 4 3 C 2 q K D s 8 V R J 0 N V Q p 7 E K z + Z J t y 0 Y z Q 7 V L t Z d r K l k j A q D 6 5 2 D i 1 l R C / C 5 h x d j M f J x i c J Y S P C Z d O I k Y 8 Y M n Q 0 A C x H l v a h y M E m U 0 w i 5 1 y I M / 6 f 4 + V k k j D R y 7 w G V e 5 D 1 Q t + 0 A V f a 2 k C D i b I 7 + E F a U J 8 P o U 0 + U m 2 L r t Y s w k N J m h e j D A 5 t P E Z D x r Q 5 S k 8 b 7 1 Q 1 C T 0 S o w U V C M U E g q n d w 2 R q W h F 1 h h G 6 8 p G u J v t 5 M C b S C g Y N K Y 7 j 8 R 5 / O S g W O q 4 c t t l P M i k u U + Q S b g m 9 2 k p k u R f y R n N x 8 r n A Y Y S E t x W 7 e 8 8 4 q o B C t E B a 7 u k L w N 9 o x U W P r 7 o v k / P G b C y e Y m x 4 r n P a x y a N x F 0 M V V P N S u H l W j V K I I V N N 3 + / V C 8 5 D M z Q 2 X i M / A P W t C y y Q M D O c x L g i U v m R C c C C r s c 4 M D 0 f Q M H D o y F 9 m 2 z t 0 k L 5 A G U k N o 0 K 3 S s g 5 s t c 7 N 9 i w N Y C i K N / f t o + P T u O S S S 8 j 8 c U N J k w b Q c e o M D y w R F 6 d 5 5 B B I + o l s J Z L G J p o I m 1 g j s s R 2 w G + 7 F T Y j h 4 x D 0 C f H o a f 7 4 9 Q Z K T q N d M t 1 5 E x b E Y x L 8 N h K J 4 u R z W R E a L V u s D n F Y X J 9 k d 9 S A 1 w q w 5 k K + X U 6 R n T I C G s X + x k 8 f E W U Q Q i d k j D j M W B 1 c 8 G 5 r x t 0 b 7 7 U K C L p K f G y T d d E R N s F j z l J f h H N 1 4 I Z S O P A f g V p d U U x Y O j N K U Q n A X d r C N 4 V P X A 2 O s g 0 X U r D 1 g E l K u j l f C I y l o C t 1 Q S 9 q f T + R v x 6 9 H p Z Q G u Q U t M l D H P m z D B W r O j T X o h o J Q l R D s Z U S F G q B / b R r 0 G a n Z s T w t 5 A B B E d k W B p T c H s I s e b O D a r B E j l x h F V E i T l J B A L o d e 9 k g j x T X j t l + R O U y A Q D S r M v q e I x G X E 4 j I c h i i m o h + D Z y V L g + o S m 8 O a z / 3 2 N 7 j 5 A n o Y y Q x 9 a g R p 2 w X I u C p L M y m b h i H 8 J j n 4 b y L e 9 n 5 i E D s s w e d J J 0 f J n p 3 B Z M f t R D T a m l o 1 H J o y Y l P 7 W R B p D u y s k 1 T R H N J l I J W N i 2 z v P K K D J m S 7 h + A y d u b e 0 X B y z q g x E U 1 Q a D g F T 9 s U V G u O A J Y B i Q S K a u m C T z 5 N k t w N u 4 E D D K V M W w k c B l f N H D I u g M P N 0 U A U v p E w A m N J N P R a 0 b 2 p D f q 8 s 7 I k W I A t f e 2 z A Y + R o 9 M g f F L G v n E j t r R y b R f R s 4 h a n g 3 K 7 p c X 9 c V b 9 F 5 Z S h R j o X y D L Z 6 o T P / 4 U w g 6 p 9 D j 6 k e C z A R / w k f u A 4 v N B H p d K 3 J c n E t g z U F K B e C I / R Q J / V V Q b D 3 w K / N o M P e J S w 0 e n 0 D / W n L W y q R u H r r E F C y z j y L R / v t E m K U 2 u m n + t z D G j p K J 0 I Y s O a b p h q u R s d I E L + G L m C d + i T P u X j Q Y i e k l d V E u G d v c E 0 E d 3 W M G N m s + a 6 O A i f h u M W Z d t o L Q K E e e S O u N K H J q P 4 P P y Y T d a F 4 p X o d P 6 + B a w f Z w 4 S b 4 / k Y D e v Q V S d e o r J l C k T M q P K s q j 2 V V Z D j p u J S g 2 M Q t z 7 u s C h J e y N K 8 s z l b l n y c R z q l Y G j X B O J k a j l 7 F K z Y 2 p v 7 B J B T a T z 4 w 5 + I S K z X 2 4 D b b 7 s l 9 8 l b g + A Z G X F T A h 3 d 9 f l 8 p 0 4 P o q n R i 4 a G c 1 / k X m A o R n A k j m T j K N o c p W F P t m 0 t u b U D X e g Q T L F j M H n D i E 7 r k O 2 5 r 8 Q E Y / Z V k 8 O Q L C R J S e v N n C Q 7 f a 0 X + v g g L I E n y Z R q Q q r 1 e m R N J C X P M o z L m E 0 c R Y u 1 d J V 6 A S T R D f 6 9 U B q 1 K t z i 2 p y o r I P D r N m 9 y w e d Q y x 2 n g f T h x A 4 S V p n l V b F X I 6 p + H 6 6 Z x c J h V 7 y a 0 q v F x h K w N P H G e S 5 N 5 a C W H g 9 C z N L c 3 x z L 8 r A y d Q s + X M Q h Z V m z m I n D 5 n M z K 9 / 4 3 t o a W l G J B x B R 1 s 3 L r 1 4 C x p b i G B F u U 8 u U f c s U S 3 b J Q 8 p M Y w s a f L 4 T J J k i Q 2 u f p 6 z 3 I d V M D M z h 9 Z W b R F 5 Z H Q M P d 3 V l U A t F D E U r 4 T 7 h D T y D b t h I v P a 3 m q D L n w G E / P T a O u 6 A H E p D r 8 8 i E C 0 D 4 m U G z 3 e g + h w F l V X C h u c n M T o E K z B J z E X u w K W N Z e R J F z + j S 0 F H t S x 2 B t w G j r g M n U s i u R x O Q f b w o p 3 c + 4 d D c V + a P 2 g s R E a q Z o J y U O 4 v J M G T 6 r o d n 8 F k d Y / z 7 1 T C r 9 8 B l 4 z W Q R F 4 O w N f 0 K P Z q e E 0 G l y 1 t m M r h f k z + Z 9 g z R Z G b 7 k K b T V X O g l s G b i c o 1 K E I J F 0 3 C h c A w / e e g h J J M y m p u b 4 H G 5 c f v t v F a 4 W A M m o w k c e 2 k U R k s W G 2 9 c t 6 x h 4 z K M D D G y m c u I K k D O h M Q x d i M X d 2 r g + e Z 6 L v I g 4 P d y Z Q L J F r o t F q p c r 3 q E z P 5 t / V q k j i s T R K 1 c E f g 9 p p d 6 m U s K z J 5 U d f I U F F 0 P O f 5 R H D o x B n 9 Y w c s v v 4 T 7 P n A v 3 J Z 2 P P L r n + D O O + 5 A c 5 M X w 8 H d i K e t a M U w e j G I Z P Z C c v K v 1 G i K I 3 Q 8 0 C S 5 f P O j c D k 6 C n l Z / w W w D n 8 f U e + l 0 A W 2 w + T c C N m z j Q Y s 9 2 G 9 S A e q m j k l E N K c T 1 5 7 4 D O p D M I j W T S Q Z n K O f Q m R 7 s / m P q k O H t r h y B v o d 1 6 h v Z F D 4 E Q G D W v q 1 J Y c D V 2 u R U A + F H I + F B M U O 9 u s G / b s 2 Q e 3 x 4 P e 3 h 6 R S j U 5 M Y 5 W 0 k b p B J m / Z T y u 1 7 O z H 9 f c B G Z Q 4 W 8 W J u H E d r J c b C b 0 b q l d o 3 U + E J 2 K w 9 r I w Y v K 4 z A 6 N k e a S d N S e X C t X I J u u 4 W z 4 w n z c z 4 0 N V d f j 5 Q m Z 4 + r u 7 c f w 5 G j R 0 S B G + f Q 9 f b 2 4 a N / 8 G H E h v W k L u l s 6 V l k d E 3 Q x 0 b h x N M I O z 5 O v r g e 4 9 F d 6 L G s J o I r u g C N a C w y j L S / l c y S + r I V K s G X P E 1 T J 8 F r K Z X S d S P F 1 b 9 t C w u 2 s 1 E 9 m Y h R O M b / H 6 K 9 n 6 E D K n P W a 0 N m X M U S K z V H 3 y 8 d X E Z Y D s K f n I O d / C 8 d E a h T 3 w Z T U d R K S k 6 Q J i s N L j B U 0 h C h M 0 b N / 8 m d 2 z H x V U Q 7 8 6 k u 1 R E l y 8 F R P M Z F C J y U a Y 7 Y E a + H s Z j a 6 5 O 0 A q S V Q X 4 i V x e M j k 9 i 5 8 5 d o l k P Z 7 L 8 0 Q f e J n z I P N R M W p S l F I P l i 6 4 s a p z 3 P c s x u G c E c j y D d d c M 5 N 5 5 a 8 B C I X h S I U G 0 v E X u u Z g O T T b y O 4 u G L x K J k U A p 9 U 2 l g N + n B o M B N L j I J l c 4 h U L L S p 4 / 4 k f j + g b o u N Q g N g 1 z 6 C V E O j 5 F N 5 S h w Q t h M n N a H N f D 1 Z 9 k O 2 d k Y j y G K m N + K I 3 m 1 Z 5 C 2 X u d 4 N B 7 K D 0 G m 7 6 R 7 P A M L A Z P L i J V P 3 g x l 8 / j y e p K C J u r S s b J 0 R d h 1 I w M x / T X i Z j v p 0 / K C K x G R s F E Z B R p l r I E Z i g 9 j a 7 X z K X k O f A S A m l p S Q n T t X u 0 9 w j B U 2 k 4 + / X Q F 6 X Q C M b u + t P c q 1 L w s 4 / F 3 0 C v / a r c O / w e 8 S G Z L n l f t h h K M o P Y d B r u v h p h + x r P V Q 1 S Y h C q t Q q B F 5 m Q x c i k S R N y h C s H v b n o m C I z U S y 9 k P Z X 2 Z c u m o O x w 5 O I k O + z / s b C d T l 5 V 0 s V o q 8 R Q 7 C 2 D M g j a D A X A h 8 L q N N f 5 G h l a D A L z 8 r l + c O T A Q M 6 G h Y v q X D K n b i 3 / U N v q E 6 j D Y 2 2 d n p A P 7 i E P J t W k Y o p s D i S c A Z / g E h T T o q S / Z q R A / T 4 e m R J O o 8 l R 0 l 6 x d B B U l r S d 2 F m c B L t a / o W x q x e s C / U b S 8 1 Z 4 o x E d + D T p s W Y K g X E t 2 b P 9 u H B p I q 5 T g 1 Z 8 A q X v S j A b A N f R M Z S x v k 9 t v p S 4 t N A V F T x J p K E G M W q R R n X 5 j F 0 n R S m h a T 6 z Y u l r g Z M t a j Y 0 a Y m 1 K w u B c T s n H q B a T b b 8 i 9 q h 9 j Q Q O 6 q y z u h s 8 Y 4 F p R 4 b N F 2 l b C o 4 8 9 g f f c 8 U 5 B B J X A R P z G j h 1 o b G r B q v x a D Y O D E T x O k r 4 k W i l A 5 8 q k c o K V o D N V D r h U B P c a Y a t B 9 C P R Y X J 0 B o 8 + + Z h I h e v q 7 E A 0 F s M F V / N i e e F + e 5 z b c n + V g W M B V T R 6 O T j a G R k i S 2 z F 4 n G Y n J p B R 3 v B H 8 s j y Y K t S o 8 N a e r 0 m J r w c T 8 F l 0 h X T 8 S m Y D D E 6 J N O G G 2 n Y O 8 k k 4 4 w m z h O J p M W / e N J y H L F K Q 0 Y C x c W S J y B G x w M o X F l Z Y f x d w k 2 u 2 K 6 L t g q l F 6 X Q 4 o P Q b V p 1 a Y u 3 1 c R b q x u g s k y a b c y G I y k q Y o l N U l S 3 4 k E G t f W X v c w + A + I l f X z D f / J G L y r 6 N o 5 O u b Q u C 4 1 T 0 K 7 C y 8 8 / y K Z 9 R v h 9 Z I f k 1 W E V M 0 T K C / o H z 9 2 A k 8 + / T S u v f Y 6 H D p 0 E B + 8 5 x 3 0 g Z M 0 F Y 0 R h 9 0 5 O l d F W s b S c w i l y J c y a M m u k k Q U Y S p K J K 4 Q u s + D s z O e f P p Z v P v d 7 8 S D D / 5 I 0 F d / X y + u u O I y U Y P X 1 9 S H h M + M H Y P P 4 e S p k 1 i 5 Y i U 8 H h d u u 7 V 6 + F 1 K j p C V U E G D V Y A u f g I p 3 U r E Z 0 N w 9 S x v T f H 0 v B E r m w p C Z C H K J 0 X 2 a T f A D j i Z N Z E R B w L e 7 T A a z G i 2 r i M / J C d l 2 f l m 8 0 F k G 5 M N P 0 u q t 0 W 7 8 b m j U X j X O k h r a b M Z C I T R 4 O H F r 8 W Y S R x C q 3 U T 5 q J h y L r j 6 L I V i r i 4 7 R d 3 q 8 m D I z s Z u q e g M i o K 6 B p M S 5 s h L H g X C U c 2 1 z i / j y Z 2 I q Q X 6 z r c 6 K O 4 3 Z V l 8 m e Q m 2 5 e t C b G K G c o s 7 n M X K C L c l 8 I z 6 r c + y J Q s d i k 0 C W 4 m 5 I D 6 l l m D H A G + 2 R 8 H z r s F 9 G 8 a E T L R B m J x u B w 2 J G Y z 2 L M P 4 S N G z c K L X P 6 1 C n c c / d d g l D z + P 4 D P 8 J d d 9 2 F p 4 m B O G M / H k / g / f f e L b L g u V m n k R z 3 l 1 9 + D V P T 0 7 j 1 l l v I d 7 J A k q e Q L 1 R c D N J O e b O f U G L q l X W 6 q o Z 8 4 I M x 7 w / C 5 X T i F 7 9 4 F B a r F S Y S 3 r f e c i N 0 q g n 7 n z k F i 0 v F 2 q s L / j U H S z h V r Q R V x n 8 x W L B o g i I w m I C n n 5 4 1 R z y z s / N o a V n a 7 f D H d U S j d A 9 z 8 6 M q E 2 n x x c O p S V J r Q U j D 3 Z A 8 C X j b G 8 l + j y K W m Y O Z N J n D 2 I J g I A R P g 1 u s O e j 1 Z h w j 6 f b E E 0 9 h z d r V c N g d u P L a 6 5 F O 0 g T b C l J q L E 4 m h G k l b O Q X p b N x z M s n o B C B M z N V X 1 d Q 6 V g i o M R e d N s u F 4 G A q u B n Y H A i J z M W Z 2 / w w A h G K 5 K W R e C u R + U L v x K Z t S b f K 5 A 7 3 p 1 7 p w D 2 Z X j i e M A 5 j 1 D O B M X z M E L k V r q L L K C R 8 C B 6 b f R Z W Q 2 V f e i r i P V r m p C v z 7 m 3 V p I f n L 9 X C 9 x I Z z x 6 g O z 4 j e h p P A E z P V + 7 Z 7 N I 6 / r e 9 7 5 L B O h C / 8 A K z M 1 M 4 8 p r b o D T R q M a P 0 l M Q P 5 c r t K X x 1 M s z t P 4 p z K c r p X C r D 8 F b 3 O n K O i c m Z 3 F r l 2 7 R f r V u 9 5 9 O x r c L l E B y y h P 3 S l H R m Z z u I y Z 6 v T d g q E I n n z q a W F S X 3 7 5 5 V i 1 a h V e 3 7 4 d a 1 f 2 Q E 5 E Y L I 4 Y X e 5 i b E d G r G n f H j t V A O e 3 h H F O 6 9 y I y 6 r e P q N E P 7 1 j 0 o t J D b 9 i / 3 Z R c j 5 d c k M + b 3 E W F a 9 h 9 y w A B J R B y x N n M w r Y X h 4 D B E y b b k v 4 d b u 9 E L u Z S V o G k r k 4 5 E m k S c w r n A b L Q W u q Y v g W W 0 U k x g n m z R G D y U H T e j r 6 8 e 3 v / M D v P 3 W m / H 0 U 7 9 B K B z G 5 Z d d h q u u u g L R q S g M V p L 8 n o J z H E 3 p Y D V k R e y f G y 0 a R P d R T U N x G k y E r s f v a d 1 E S 5 k q k Q n Q A 9 a Z r J s O k Q Z r 0 B 6 W S 8 C F s 1 s f R A s z Z 9 k g 0 Z g Y I o e g N F S x 0 w l y N g q 9 a o B B b 0 H k j B H O F Z q E j q b D m I + T 3 5 J D n 9 V G 9 6 N J d i n J g R 8 W R B K Z S f Q d i 8 Z E U 5 E Q M U g D v P b F k 5 V P Q R q P E q H n k o H N N F b b n 5 v F + + 5 + H 8 K B O T i s B p I n E U g k 4 S O T f X B 0 T Z I g s u A X j z 0 j j t 9 E p t 6 F a 5 r x 0 K O v 4 H 1 3 F Q s K C V / + v / + O z / 7 F n 4 v s 7 7 W r V 5 Z o s q r g d s 0 m L r f I z 5 m m o X Q G P c n l e r R C K d g 0 9 X P R p Y d 7 L V Y n 2 F J I + F / f C c I f z u D S d R Z c Y g u j v d + A 5 p 7 C 3 I s O u N y F S l g D B f o S z X W 4 5 2 I N h z 8 0 L J M c I i u m d X G w Z / u Q C V f 2 a w K k G C W Z E o z g U I A 0 i 0 W E x b P O G d L U 2 q I X w 6 5 r Q S Z i Q C a t Q z Z B 3 G u I w N V F q p w k h l g p J + k V H j L D N Z D T F D l U 6 i L K S G W i 9 P 7 Z m T 0 l y D m h I b o n N z N U c o x s t 9 p 5 f M V g r V N x 7 Z k Y w z r x S y T 6 P p x 7 o z K U p C K k s 9 l d u k w w H D q D B n M D 3 B Y a I 5 k D G D o 4 A g 8 j 0 r r Y T y v u 5 j T i N 4 j E 3 r C s w 4 o m j o Z x Z S y Z o F U m n 3 s f s A / b 0 N y C z / / 1 3 4 m q 5 g / e e x + e e O o x 3 E e / X 9 3 x M r Z d v w 5 u c 3 c h 6 4 X u B + Z S b S O q b m t Z A J X A D C 7 W H k 3 k l m U E Q / 1 u w P R U Y d K I F i J h E w Z f j a L 7 E i u 8 L X R v F c z N 0 / M G 8 n 0 q B 3 d Y o O R N P g a v H c b G j U T X i x m d F 3 6 5 A J a T u R n S 8 b H f q G 0 W c i T 1 r J Y l + E + F y a m t X u Z d 3 I A y D y 4 5 C I + k Y T D Z k a Y H 0 j n 0 m I 3 P 4 u G f / k w 4 v v / 7 b 7 + Q O 3 I x w u l J u I y l C Z j L h j y D Q K Z d R P Q k I h S 1 j F C W w q u D F l w 9 k M y 9 y o G T I H M r 8 s a 5 l 6 G L j U L u + 6 B 4 X Y 7 A C V 7 X 0 A g x k p 6 G k y R f J D W F l E q O O I E j Y d y t N E p a v n n u O a R 6 3 y v e Z 7 A y E H N H J o e U n I F q Z 5 u x E n e X g t O R e J n 1 g Q d / g u 7 u b l x z 9 V V k L s n 4 5 3 / + V / z 1 / / o s 9 G k S K v Y B J A M p x J J + N L Y X x r h c w E k J M o u Y 6 E p 8 O h V j 0 T f Q 7 S h o 6 F c H z T R O m o A t J z o + X o w 9 Z 9 y z q Z 0 P 1 N T t x 1 Q H C x v u i d 5 u L c p 6 q U d o 0 h y M h D u Q H R t C f K w R C X U c a 7 Z 1 w 9 l c X Y j L s l y z 6 a X / N F k u r U b R z 8 T p c E B O J d H S 1 E z + 6 B 1 E + + n F G m r m a B y t 6 y s t y B J 3 c o f M X G I s q + j x s U l 0 d n U g H C b T x 2 A Q y Y V H j x 6 D f y q I y 6 / Z S n Z 4 Q Q K w 0 2 Y z B 8 j M c y G u z J P f 0 Y y R 2 G s l a y 1 n C 8 6 K V o g p F 5 a 9 B N O T C S v s 4 / o n s + a 6 C 8 E y 9 A A y t i 6 k W 2 / M v U P P d U K G Z 4 W R J L O O / K m I 6 M z K B M A w S B Y E E g U N v y n x B C J t v P a l j Q f 7 T z 2 m 4 1 B t R W t Z V c A R 2 G Q y i Q d / + G O c O T M o + n H c d 9 8 H h e O e o k m V f a f J D 3 D A R n 6 G w U j C k Y l d E L M O c R 9 H Z C W Y n Q X f h h e 8 m R 1 q L h X K U 0 g a b J h P n I D X 0 I O s l I a D T V d y A y Q u w 4 C S M 6 c q B 5 6 k + A l 6 N q 4 W y C J C Q o / N + w 7 7 F u 3 D u l B F C x G W 8 u f y 8 K d o T o k O J P p J x R v Q 5 t W W D 2 K h G E 6 / M Q m 9 3 I y M a R a r r u y G x W H G g Q N H s G U L B 8 v I d F U k N H k y + N 4 P H h Q B n n g s j p t v u V m 0 X I j R 3 1 d d e j V 9 R 8 K J O Q O 6 3 B n R F 3 4 R Q 8 X m k 0 g G U 2 h c m d d C d B D 9 G 4 r E 4 X Y 5 y a T 4 I l 1 w C 3 b v 3 i M k Y 1 t r K 9 5 L 3 M n S i r s V M Z L h F O I z M m m 6 w k A z A X m s K c w k D 5 G v Q I 6 u C B S Q m W L s h U F H J q a 4 j l R W C r I E c p n v t X p v V 8 t c W A Q a 8 H h a T 4 T G W 7 w s V u 3 F s A 5 9 E z H P b Q j P t 4 n k 1 n J w 1 y Q 9 a X z O x w v n F N / A / L M I d f 0 J n P n u P c R 8 4 J 5 5 V T A 5 z W k w n S L g s P / A Y V y 8 d Y v Y s s c f C O D 9 v 3 8 v L r t 0 a + 7 I A o S / Y O 7 U N I 6 1 R 9 R A + V P a r h 6 O s S 2 L Q v k L 2 r E a S F A N E 0 G S c Y + T U z d g Z c d z 4 m 0 u M y l v b C m 6 6 P K c c r 2 a k W i n O B D B 2 p 7 n V + H W B P w + X Z h N W G Z 4 4 b / T 8 a z Z m E m z c W R o X P Q k C J P y M F 3 Z Q t q U x o m L P 0 V k m e c m J w V y m R y c D M C + P l c 4 6 I q K V d n 6 4 e A X Y y 7 s R b P L T 8 f p i d 6 y 8 K g 6 u m T h G T i K n E x H M L U v B L u 1 h Y T 9 U e w / d A A b N m 7 C 1 V d f i V A o D L f T r s m p I h 8 z G S J + I Y / D M 6 D 5 W Y s Y K k 3 O c U o 2 w d 5 k x Q s v v o I L L 9 y E y Y l p n D x 9 S k j I m 2 9 + G 1 q a G 2 n w a h N d 8 A T d 9 J q C + D s + f x p O W 4 j M n w H S U o V A g y h C T A + L 2 e U o o t 3 Q g i a z t v Z V E T Q J L K 3 f 2 L k X l 1 1 y E U 9 N F R m 2 T B S t k 8 R k S a x h a Y O X 1 Z 6 V f u s M m o T 3 H 0 2 i Y U U a z r n v I t r 2 c Z r s 6 g I g n o 5 C j Z z E e G w A a 3 L l B B E y w W h a M Z 8 + C k t y N d r a W s V 1 U q k 0 P v f 5 v 8 b f f v F v 4 H a 7 8 P 4 P 3 I c H v v 9 t 8 R 0 W W H k z S 5 v P k m l b g G i i Y t f G j y 0 A B m t K 5 + S l c K 1 c P G d z 0 S y a S c p W G s U s a W w R p K L / m s w X w 2 K Q i B h N Y u c S b p a z F K J J H d 2 v C m t m G L L J X e j U t A R i y g x s + m b 6 b g 3 1 y e U k k k m 0 l W Y z u 1 4 M z v Z g o G W U / q I 5 V h K I G 0 q f w 6 q 2 w 2 a x i X G e n J x G 7 I y E I J m A D + 1 V c e 9 N j f j p c 3 7 8 6 x 8 v X m t V Z D L p x 0 g T B v 0 z a n E m d W w + T l Y S X a z B i k C Q / C k y 4 / J p H / W A Q 4 u s L S w k p e d H p 5 H u 5 J t n I v X C b v a X r G 5 z U I J D z 1 x s N 5 n c R 0 5 x G l 7 T S u G D F C M S T Z C E C O I 7 3 / 0 e m s h e 5 b U W k 9 G E 3 7 / 3 f Q i l x k h C j a L H f m X u 6 K U h k 0 m Y V u N w F F 8 n p + 2 K G 3 t w T Z L b o v V M z 5 M b t w t o X E s D T t o 1 D 9 v k D 5 A 2 r k G 6 6 T K a p 3 I i U G E e + x m S X f c I F u A W v q O x O S J O A / 7 5 i / 8 P 9 9 z 9 X l x + x T b 8 9 r n n R e + 6 9 S v b k a X x E I u u Q o X w O e g f l u Q c M M i Z 3 J X A y x J k e S C g Y 0 t B Y 7 h W 8 y Y y B A y I n t b B u 3 r x d 3 e P m n B x V w J j s Z 3 o c l x a E p T g M o h K B Y 3 c 8 V a Y l V X A Q R 4 e x 3 x 6 Y b X 8 v f M B z t Z g 8 F K G j u j U S m 4 J M w n P G L 9 n U T i z Q 5 s 9 N v u y N D 8 Z + l H o O V V 6 2 0 A 3 6 h Z m q Y a A P 4 g G b 4 H x O e j w h e + H c d + t T f j G L + e Q T G X x z k s c e P u l p A v N h b H K Y 5 G G S s x H M D I + g 7 W b i x Z U K m A 8 v l M s w D I 4 7 B 2 L X o b V H F E p g u 9 Y E r G O / W i w 9 Q v N I 6 d 1 s J a t + f D q e i p L z r p l n X j 9 g w d + j L v v f h / 2 7 n k T 0 z P T 2 L x 5 M z a s X 4 v J q W k 0 2 0 n a 0 8 T M R P S i i X 7 F y N w y U V 4 g W K t v X H Q m A a P d A D M p p L m Y B Q 3 S D H R m t 9 B g + l x W g G 3 k G 0 h 0 3 I O s w S v m 8 c T h H R h Y e x l + / N D D u H L b F b D b b J i Z n c b u X X v w 4 Q 9 / S A i J j 3 / s D 2 B c T n S M x l 1 r 1 6 W N W T G q M Q E j c F x B w 9 r F R H A q s B 8 t V i 8 J j 9 L 1 G p E h Y V 3 c s 3 y p h v q c N 6 m t 7 d M f w o 8 z 0 L n O 0 L n O M t G 5 A r i J a V A m 0 1 b 0 I N H A D K P W 0 m p V 4 D H 1 Q M + 0 n H M 1 2 B K Y 4 w X d X H 0 U I 5 E 2 E F 0 U Y g J s T R x / 7 T Q U v x O b b m + H 1 U H C O K M s Z i g 5 H E d k g q t C z a I x S i X k T Y k 8 e o V 2 W E z d 3 B o r O p U i 8 0 g j 2 I W w d h H Y d 5 p J H M T R n W G 8 9 u p 2 9 P b 1 w G o x 4 5 5 7 3 i c I t S Q i J c o A K g V M z g d I p i V G I D Y N q 9 D M 0 j 8 Y g b v T C o N S o e + c C N t z a F Y b A + f E l 5 H U X w h 9 d h 7 f f U H G 4 O g s 7 v + z T 8 D n C + D N v b t w + c 0 D 6 H J d v O B z Z k j i 6 2 t I / H p Q q / l J H g l / U l g f F n f l K N Z U W I d 2 V 9 H 8 J M m 6 q L E o y r O S n / V k K g M z q S R N G Z B p K u 6 n b J y W u Z y x F P L a K Q 8 9 M R R r H 6 N E P h h J 2 3 T C g B 0 7 d o u g 2 Y 2 3 V 0 / z 8 h j 7 6 f i c g O D d H I V p u p i e q y E W T w m t / Z O f P K w x F J s X 2 b R C 6 o 8 G 0 L Y S a i q E 8 K g X l r Y E z I 6 i V W / C S I y 7 x m o E z u s m P f b q C 5 + M y B k D n L m E T W 7 B x M 1 W 5 u Q T c B u 7 E V E m y T b X i G A h o z h X g x M g 5 m u o s C J d q c / B W w 3 / y Q g 8 / T b o M 3 T t H E F I 5 M D q I 3 t h i e 0 n J j Q j k 7 Q h 7 b 0 S G R e Z r D P / V y s c J O m 8 7 3 Q A 6 3 r c a J 7 5 C m K N 9 8 I a f R J Z 2 Y h k J 5 m A V X L b z g l L p P m E z 3 A i a E G q F 8 N P 5 n r J w n J q V i z e R p M S H L k F 6 E r g L W t s p t z 3 s m R i V c l K Y W j L G o W t R 8 8 W v O g f V 0 i Q 5 R C d M 4 r M n L G p G Q z 0 r U V b e y N 2 7 t i D 0 + T 7 v / v O 2 8 m q S E P m T H Q C b 9 A S n A E 6 a F 7 m / L P o b V 5 P 9 L f 4 f s S 9 i o B J / U J 8 k Y Y q R u B M h B z Q I D o 2 c B 8 H U q V M 8 O T z C D O J i I X D o D b r a l L v p U x X j O B I C E a r B H u L a 0 G i c c U o N 3 v M K o p w E w x E k A K 8 S J i z 4 f P H L k C k E 9 F x o t P S 4 h 5 x x c 3 + z x V y l A b f R x Y 4 0 1 3 G C J f x B V j t I W Q z D i g N W 5 E 1 5 4 I q R D y q Z B Q Z D C w Q u h y c E S / B O f 2 V h f D 4 C f 8 R 2 E 1 x r P A d h N z 7 B + L z P D h r w h H 4 E Z K G y 5 B u r p 5 t X z d y O z 7 W g p L I I E U S 1 d Z Y 2 R f L L 3 L L a f a D p 0 i A L E N 4 c e e g X I 7 n k j g P p f D F G o p z G p 9 4 Z L t I F V q 7 f i V 6 1 + T H o U D e G X q m Z v v K i s y T R 1 K W R e / 9 j o 4 K I X k W V r w 2 W Y P O C g x V J R v Y d z Q F x w p y r G v u 8 E a n I O 4 X d U C 8 t 6 y 4 Y O G m 8 1 I x m C B i M 5 D Z R o S o N z m 1 4 0 Q w g C a h K N 9 u o Y s r c 1 u G F 1 h r E w l D W + X X I 5 1 N i G 0 p X T V 2 6 e P W x b z r Y C p M 5 1 d 4 Z 0 G 6 m C E J a 4 t e a G Q 5 y 2 l A y 8 i a F 3 4 C m T t c 3 2 P k j a v D M M z v g G Q 0 I S D P k p k 7 A J U I j T v a m t Q T b B 9 B d l 6 D j K f I J M q m Y Z n 5 u W j S m W y 4 A V n b A J 1 T E h E s D n 2 3 m N a S D a + V J F R M y c p p k z z y U c F K C A 7 H k G 5 y w m P j 3 T o W z 3 k k q Y O T l w 7 q Y N A 8 p P i p u t b T B I q r o G V S F U J j L R 9 R E u h 5 r V M L P N 9 N 5 M f z H s v L A U e 1 e e e X S s j S v K Z S d l i c d s G y 8 V h M Z K g Q Q 0 2 p E n 3 I / o l Q x b x O I D S O h E G f A c 1 k / s V i C b S t r C R N m G k q T 9 o C i F G j Y 1 7 Y u 0 J I q h a R B F o C d g a L H j Q i E 9 N x E x X W h K x y l 2 l z c 1 Q m G Z B J w 8 T B m 5 Z x K C c t B 8 X u F L Z G B z 0 e 2 / n V J R R H G p c 7 8 P X m D r r C X 0 f Y 9 S c 0 Y i r C 6 Q k R 5 W y 2 l P k Z R Z D S U e i D r 8 E i H 0 V E R 2 Z J x 9 s x l d i P Z j N n / 2 v C J 8 8 4 4 p l o r K f m E 2 J n + K 0 X X Y i + 3 s r + T 3 h Q J 9 J o W P g Y W e N X g N B U T K x 1 Z c T n a a D 6 u N Y E W z 5 n E U w o 9 6 G 0 + y i 6 B 3 r J f T l q z f d y w I E I z n r n 7 V z N 5 O f n w Z u U p + C F k e u / h I Y q S r P J I 5 3 l 5 p E 0 9 T R Z 0 W H u f V 5 I B D Q Y T I j G E 9 i 5 c 6 f Y q V z s w l 4 F 6 U Q a y W A a z g a S S p Z O j A U M 5 P 4 H 0 O s i 0 y 4 X A v a R 7 c 4 N J y U a A L F h W L m P R A z P z e q T E d I q I Q V K j O 7 N p A U O k g k f 7 M 0 m M i m t W i T J V i G S l N M g 5 x X C 3 5 s Q C 4 v V C C m e 0 t a z N G T h m P g K o p 1 c f n / 2 s A 9 9 j R 7 H g K P G d 4 o m j X / x 2 f + B l u Y W f P w P P 4 6 2 B t b O 9 R X W h U b S c P f W F h x p e R 5 G 3 m d q K S w 3 W J Q Y A a y V a 5 W k 5 D A J U R Y E t R m M o 3 t + e S j 3 S o M 5 Q 4 K 0 b D O H k g L I t x A c h + A S m k U + F G c 0 e H N V r j q 9 X t R D j Y + N i y 6 b L 7 7 8 A j 5 4 3 w c x O z W N L V s v A k d O O c 2 / F u a P z c L k t s P V Q e q Q U 3 u 4 n o Y 3 E C Y i 3 L 3 n T f T 3 9 e O F F 1 7 A r b f d S i N C p l q u 2 W M 6 o S A y q m U v O z r 1 M F j q Z A h h O u Z 9 u j K J d a 5 g u 5 / N z 6 K 1 G i S G i T i 0 M D V b W L G 0 j v w P m s i 8 c 1 / M z C T x b S M / R H z g E 9 r r Z Y D 7 O j z w w 5 / g Q x / 8 f X z 3 + w + K z I m N G 7 S w u W n 2 F a S 9 W 6 F T 5 5 C W u m j M K k d n N Q u Q h G Q 6 j b S a J G n r r C 2 9 6 x F E F X I 7 l 0 Q 9 G q l G Q S K j P C i R h y 0 y j u b Y m 8 i S u c 2 p Q / H O j 4 r 8 w s m p K X S 0 V 6 v l O n 9 Y Y C h e q J z 3 B U m t y T h x 4 i T W r V u H z o 4 O G I w G / O C 7 D + D O O 9 6 N 0 G g M L W v y m k w z N d 7 c f x B b t 1 R v R 8 W B j Z H g B L Z e t g l P P f U M d u 7 a j Q s v v E B s i + N q X Y 0 G c t j N Z q P g 8 O D p J D 1 8 B u 5 u G x H F 2 T M C t 0 M T 2 d n i x T l q p l q O K B H c Z M Q E q 0 E V y w G c t s S Y j 2 o + C N d Z y d E 5 W B y k N b I Z O g W Z B O Q r 2 c 5 8 B b F V 2 p 5 P x e D x z C g Z M e b l 4 O y Q 4 t x I N s l U l B Z i c u T R H H o d y a a l G 0 k m l C C y P j v s r c s 0 b 8 u R Z C 1 d R 2 p X C V j Y F B h K l 5 w j o f A s D O o E W f / k 0 3 K z F 7 N J i 1 G J u h + Z H l a P j K G Z X N 5 u Z M m C S Z q s C K u 8 2 K 2 D I R W B w j 4 5 j U j 7 9 H O Y a n u b d u I c 7 O E h u E g I h u y X 1 5 X h c S 4 Q D D U 9 M 4 / u L o 7 k 6 T E 4 O I S Z m W l c c s l F P M N i k s W B J M m 4 Z 8 E L R x 7 D T T f e i H 3 7 D + D 1 1 1 8 X n / 3 V Z 7 W I F o M X R r n F t J 7 M x Z 2 7 9 m L X z t 1 4 N z G j y + U U n Z W u v n K b W H 8 5 O m 3 E + r Y 0 w m P k I E d 4 f 1 g z E c 1 5 0 i Y s N R m i y L D O q F M O o 7 E 3 Y K R n b r d f T A 9 d P X r J Q Y C U r l X s w l A V 7 I P o H S K V q X g H P o Z z 8 s u I t J P 5 l 9 M Q Q R J m n s b 6 A g D V o K Z D R J C V g y m G 6 E m Y M I W 4 Q 9 t 9 k h G d S J P 2 r 8 5 Q d U V O l 2 t O k 3 Y y + v b A n N i B r O Q g 5 r 8 d W U v l b W w E q m i z T D a J Y H p c / K 0 T l d g q u Q s J p C 3 V g 0 k e / y F Y D C 0 Y V V a i v U K v i P M B w V B c B G j n x v o V 6 J k Z a c / e / f A 2 N u H U 8 R M Y H h v F J / 7 4 D x G J R O C w c 4 p M Z Z N v K k y D n A q j v c k O / 6 k o a a E W n N S l s K V L g R x O I T F l g K N X r d + U W w r M R M w 8 C + Z e H k T I Z D 5 w 4 E X l y N l S k C c x k e x G J + f w V A F n E B w J r 8 b 6 / H 6 6 1 V D W G J 9 Z K l 2 0 U G 0 Z e Q j J 3 n u F 0 M q m U 5 j P n C A n e i X 5 r m e 3 e G 0 i C Z + S l t Y W x t h x m O U j m A y 8 D a 4 V B X O N Q / + 7 y A y / 9 J K t R M c Z u q c Q d F U Y d A F L l b e T C W 6 Z + R W M x M w J 4 6 V Q y D T l O V r W e m I F 8 4 + L Y E U O 6 F m g a e Z 1 8 r V W w d R 5 H p Y q y r D I h / r G N 7 6 N T 3 7 y T / C l f / s K / u A P P o L v f P v b a C K n 9 w 8 + c h 9 8 x 2 S U b O J V D j q T 7 z i r Z 2 J O o a l T 0 J v N s L c B + 4 I u r I 6 H k C b 1 3 X b B u U n i Y u Q z q 8 v B H U T T S g J W U y G 8 z K H 1 s f j O X G b H 2 Y H L B l 4 e 6 8 M 1 K 8 r q p y p A Z F 5 U c L 5 Z i 3 O R H + 9 B Z J l 8 C u G m t 2 P f g Y O 4 + I K N 0 O e i R 9 P x A 2 i z n f 8 m L s V I z E l 4 c c 9 v W L g L U / / 3 L o t B b n k 3 E a 9 m F m X i I 9 D b l m p 0 o p l v x n E 2 2 W b I B J 0 n L S k h G 0 4 j 3 n E P V H u V T I t l + l 5 S n P z v I o F Y K S h R D z j D z 6 g 0 4 s y Z M V z l f Q n R r k + K d 8 8 X p J H d v P t G l j g + D W t r B l / 5 z 6 9 j 4 9 r 1 u G 7 z 2 6 G z J m F p M I v d D C I T c 9 C 7 H N C T L Z u K K j A 5 D T A 5 t D Z R w T N B Z N I m k T R a j n x u G e / X 0 x T n x V l S v d 3 n o U o 3 Z 0 5 V A p s q C k m w y e R u d F g v K p H 4 n D b V p + v U c t T S c 2 I o + f l 5 G x z V V p T l z q Y M / + Q 0 H r c T O x r q x 7 r W g h 9 T E 1 U y B j g P j j X B z x 7 5 B X r 7 B 7 B m 1 Q p 4 G 9 x w J p 9 F x K J t d X o 2 M J D G U c z V t 9 e s B D m l I D V p g r M v F 0 A h j E V 3 o c N w o W B s K b I H M c W O b x 9 5 F p d 1 u P D b o W n 8 3 b Z 7 i R P 9 y N r 7 Y P d / n / j C g s S a y v 0 F a 6 J s u a Q u l E W j F 4 f N N Q T n U + h t W Y U z E 4 f Q 1 K 4 x r Z L O o M n e v z g J g a S J Y + L r S E t e y O 3 v p T k 7 N 5 9 y Q U O l s z G x x l G e t a 2 S 2 Z a M J i E H z H A P u A Q D a R + Q S 5 x Q S A P p y f e p p b U U Z F S D y O A O j 8 f p f r l G / 9 x S b i Q y W R b v 4 1 q A V g O j w 7 z Y k 3 Y D x u N 7 6 L W m i D l d q l f X I Z i c s X / C i G Z H t r q J l 8 v y P j L n w g b y + c 4 F T z / z H H p 6 e r B x w 1 o o G Q W j o x M I B I O I J 2 O 4 6 o o r k Z B l O N O D U H L l F x n R q q 2 G H 1 c E u y W G k 7 5 j 6 G T f r y p U j E R f E 2 t P H U V 9 D k N D G b j 7 F 5 v e 6 e A B G D 0 X I p q K w W E q m 7 P l Z E V U B c / J 8 r S D J M / k Z j I L H 7 S K 6 E q w q Z 2 w W p Y f g O C t P W 3 B n y P e 8 F 5 k b f W t g W b J E t P l G t M s M B Q n q L a K R i m L M T o y g Z 5 O 4 v Q q l Z k 1 k Z p D 1 t g s 0 l n i s / N I x 2 1 w n 0 O L Z g G u h S l a k O T t Z z j z v d N 6 M T G u 9 m C k c 4 l 1 C o z O m q k F b k z E N k E h B l 9 D m q Z 4 K v e O m b C 1 u 7 D W l k c 0 x d H M 3 G J z n T B l y Z c h L V g O 7 m r 7 w w c f w b p 1 a 3 H 5 Z Z c I z b i Q F V I E U 3 g 3 S d I k E k 6 u Z q 6 P 4 K z 6 O S Q y x c 0 s K 4 O L H i 1 6 D 2 y G 0 v U q 7 q R a v q m D S i a z V F Y v x F B j h y D Z N + V e / d c h H j + C R I 1 N x M 9 1 D U o X H S b m e h S y 5 T K k G y + n q a i h O H J Y 5 E M V 4 / i J U 1 i 7 J p d O k u + M d B Z Q E 2 N I G X u Q i K a g z m R F R K 8 S k p k A Q u l J t H K P i y o o b J t S w H z y O A 3 e a m F K L S B X J Z p P W 3 p j 2 I T L e k m S E M 0 k 0 w F Y 2 H 4 X J g S v K 2 n f O z Z j R H + j g k h S w k E y h S 6 n 4 + 1 n s f W N T j 6 M r H m j + J u 1 J Z u c r B l M 2 W v R 7 i r V h J w w H E r q y B z J I p q e z t V o F S S 3 d f Y J J J p v o 5 d L R d s K e Z B n g y i N j 6 N P E y j T 8 f 3 k v 2 1 G N h 0 h i 6 J 0 z t P B / a S 1 S n c 0 O S u U r B e e J T I R + J Q Z M W a p T F h s Z J d H N J S E 1 W F G S 7 3 p U P W A / D 7 z z P M w S U N I q x 2 Q m 2 4 S w R L V w J p a m 6 + K D D U 9 P S O q S E u w T I b a O W J C i y u A / g b 7 Q v 2 / G j 6 D 0 F R / o Z J 3 i c W 7 y m C C r E R c + c e o L t G H / Q Y R D G h 1 s n b K D Q C v W d X Z t r d e G N V J s s k X R 7 A m Y r v I J L u U T O u 9 b D G T 4 N i 0 o F G T Z E 3 y 9 i q M i d g B 0 m Z R 9 D i K z G 9 e v 5 r 8 J f S t b m R 9 Y d J e V 5 I f Q 7 5 g 7 A h p i + X 5 T p U Q H T H D 0 U t + X x G K O z G V 4 + X T Z l y 7 s v T 4 5 e B c 6 q N Y c O r 0 R u g N e o y f P I j p w W O I + O e x + V 2 3 k 1 A m X 5 g G 1 z 8 b Q 2 O r I 7 d j Y 0 F z K x m t B / m y 6 s + W B E 0 m h / f J b y 9 i K P 4 l 1 S 4 e W 4 Y j y Y 0 D Z 5 I H 0 U N m m J S z t f l B A i c S i L c 7 R V M L h m j E W B w M q I F a T V S k 6 G G o D k 0 r 1 I N 8 V j W j u G y 8 I n I j J F D G r 5 V a b y n R N 6 F 3 X E h M k R H l 3 E 5 j B 5 H l + Z x A Y o A U G 7 Q q 7 K k x w O w i o V B / x K w S 8 v l 9 t Z A N 7 Y L O S a a e e F 5 6 n r x F w O t A P C 7 L C D L U 3 e u j C E y X b z 7 / G L r X X E j a x 4 G o 3 4 f m v h U i Y 4 I X q i s h S w z U Z F 0 t d l F k K Z a v t I 6 F / H B 5 m 2 C o 2 a V m + R A M F V G m Y N F 5 h L N a E + y I s v 9 i K M t 0 r o a y q I w c S S E 8 G o F 7 T V N h Q V S o f p 6 g p R 6 M J 7 v S M T R I K X J U 6 + i A U 4 w M + U V 6 T h 5 c C N / S 3 / S e P z U L b 1 H W 9 i J U V 4 B v C Y o Z v x L Y X H R b s p i L 6 t B o S c A R e h J x 7 x 1 0 n 8 s j F B Z 2 L G S r L a 7 r 0 2 c Q U E 1 w m b p p p K p r r r r a L i 8 z Z F 4 M z h j h g s y 8 v 8 f t o S e U a Z g 5 4 l t h I X X w x C x W r e 2 E 2 9 S D V C p D D J Y W 2 i 0 Z C c H d e H 4 t E 4 Y Y F a e h f S G c G I 3 W S I d n T S P a R y 0 B t u d F z V L p o m B k I g q L x 1 q a X c A m D 0 s O z o k r U Q V F Y N O w f A L J f g 6 G j 2 A 4 R F p r m c w 0 G d J D r 5 J g Y A q i i d 0 + r O D U 7 B B G g s c R T k Y Q S 9 X x j L 8 j 1 G I m B j M T g y O V O o M Z M e 9 7 F p j J E t 0 O c 0 T b 2 5 c r n x k j k T f E 7 3 J w 9 J Y D E x n e Z 1 m A m I b 8 V X 1 2 l n x g M k G N A 7 A a v O T z x Q U z x Z T Z 3 H F l y D E T L z N o Q r A c N M d n 6 Y s z O P 2 q O H j C u a H t t k 0 k e C p H a Z m i O G D F w Z i o O o y 4 b g I G Y x a O B q 9 Y N m B B c j 6 x Q K W 6 n N N 7 + s w S i 2 U 1 y i k k 3 j Z F / E E a p 0 I N k 6 T a 4 W i 3 i g 2 Y F 8 B a j 6 6 t h b H p f S 4 n z 0 H k r n E m R p G f p c R O i 4 6 s w 9 F Z B N X i s K 2 E B D k i e k N l s 4 O b h h y Y N I l e e C 3 S A T q c v 0 u P T + P Z 1 T A K o 5 k k t M 6 I f q c J c 9 x w s h p z L z H + m d j y F x v P J 1 h I 5 3 M K k + S D z R k v Q 5 z G x R 7 g S m u g 1 3 m F 0 H q V w O u N O p N O N M f k D d Q 4 + J P R t W A O P K Z c f W C H U W 8 j I s y K H i G 1 o J X d M H n R x T j f L w + u 2 + J 5 P k / w E a O E 5 E H R i K Y S m l o W r 1 U G U 6 M I K 8 M w m w x C k J x P l I l 9 4 M I L N p b Q T I o 0 w S J w w 8 s K E P s o 1 Y D Z 6 i Z b V y f K 2 9 n 3 m I k f I i l Y N N g M Y y O k 6 B E x o Z w O T / o 5 9 w G B p O N k R q + 9 T 7 A a b U j P 6 / D 4 E 0 9 j Y m q G p G g j j h 0 / K T 7 L Q w g g + l G J E b c 0 7 I b d q J K A L P W 1 e l 0 D 6 H O t E D / D s X F i K j 1 N + d k N 9 P m e o L O B Q V e Y Q e 4 x a L M Y k W 7 a B u v U Y + K 9 W r f I n 1 k a T A g M p / C t n d 8 T 7 x V v D s 7 z V h J N X R J 0 w n y b N V 7 s L r N a z h 5 q b m G X t G r u f g x c 2 1 4 G d 4 M N i f j i 5 R D W a N U W h s 8 F i 0 Y m F m e V z q A b T U 0 j G T 9 O B H 5 I v F 5 A c e x f n h E p N q J X d g 0 k A j L S Z F 9 z f R C 3 5 m J H v p V U d f k A j 0 Z e h + r Y A C m r Z R I z m M E E S D r O D S b w 3 X / 7 C T x o w a 9 + / B T d l g q j x Y 7 O 9 h Y 4 9 G G s X t F L j J c k Z g t A i Q w u s I X B s R J Z y 9 K p P M 3 W N V A y S / g A x R K n D F K N d Z F 6 U a L B z y M S 7 d o m A a 7 U k + I 3 m 4 H c I b U Y o a Q e v z n 6 T Z z R / R J z M R + 5 l a X 3 s u z e 5 y K f M W e t i B Y G x V b F 2 S G Z C Q r N V A 6 F t J R d I V O + D F a b 5 s 7 k d x E p R j 1 M l V U W M 2 Q 1 S M H p I 2 q l v W S X A 5 G 2 U 8 Y Y v C c p N 6 b v 9 m g P E T q p w t 6 v I i B z Z k L R g 8 m T y J p a M B H d g 2 b b e t G q W Y B N Q d 4 H a T 6 F 7 a + / j n e + 8 5 1 4 c + 9 e P P 3 0 M 7 j / f 3 6 C J l r F a M C C F p s X P V 5 i 1 t g c 9 J b a v h Q 7 0 6 O x 7 e i w X l w z A B N O j 6 P J p E d E s Y v t e y q i C s 2 r S m 4 p g M y i 4 t 5 9 5 x O s J b j D L o e E N T C H L 4 8 J L V N P I N V w W d V M 7 + h 0 A g 8 9 + V M M D P S j r 6 8 P w 8 O n c e P 1 N 5 I P 9 i p 6 n F f R 1 e q 8 X p x M 4 N y G d u e K R M a P u O L P v a o N 7 s + X 1 J t o Z A r 3 K X H g p Y p 6 Z r + w w d y / 6 L m y u Q C I p K 9 P k J S s Q 8 W i M d g d y 1 w X Y m e w b N G R M 6 q 5 s f w N q 7 Q E U n b 8 I o M k P f p 5 t z / x V i k 4 O J C a Q l J q g 9 N h Q y o Z x t / / 4 1 f w h b / + A s 6 c P o N 1 6 1 a L N k 2 D A c 2 c m / a 3 4 6 J W H w w G V 8 V s a E 6 c 5 G 1 L y 8 H M x E x V j H b r F p h 0 Z 5 l b W D Y 3 m a S 8 k N z 6 u 4 D I Q S Q t z g G C p X y a W j C F 3 o Q h M 4 O 4 9 1 Z 6 J g l P P v m M 2 I d p Y M U A 3 E 0 d J H z Y v C b S X I K H 2 N x 9 7 v m X x L Y 0 7 3 s v a 8 M 8 a S 3 x x T p x d i a a J m z y F b X 1 g D e v K M 3 4 r 0 9 g c a / E E o a a m p 5 B e / m C 7 l J Y o m 0 U I z Q R J 4 Z Q 0 d j H v a G 1 G z t x 8 j T W r 1 t L d 6 E T O 0 a 0 t 7 f j / e + / G 4 N D 4 7 A 2 x N D p 7 C a t 5 8 T g P D G o 6 F 2 e h V s / D Z f N S v z r E C l B j r K m m X l w x k V x u + d K 4 A V A X i d j c E D G b m g V O y O W S K h s H G m 6 X 2 5 l z O / 7 p 8 f g b S s K y l Q Y Y z W T o P t b f g 7 Z f w t k y W 9 N z Z P W a h e 1 U y m U V r h y Y K d c I P I G b Q 8 8 8 G N c e t l l 5 O Q b s e m C D X D Y N G L M 8 L q V + 5 L S M T 1 H c L C I I 3 a 1 E E 8 H Y c s 1 l 3 G l Y w g b 7 U j E U r D a l 5 O Z I a H R X K m d A g t k o j t e k 0 1 z f I F e 0 9 8 S 3 5 m l u 5 S h l g 0 O K J i X X p y L j s 2 S q Z d F z 6 o O P P b E k / D 5 / P j w h z 4 o m O n f v v x v S M p J f O F z / w u H p 3 V w W F 9 G m + 0 C Y i A H z B i H D C 3 N y J g Z R F p X v Z 4 p k p 4 U C 6 j 1 b D a Q 1 1 S 8 8 y D v B M L g 3 R E 5 T c i 8 Y E a x 7 W 1 B M i H D P z U K R 0 M T j G Y u 3 S 9 a g 6 l A J 9 l U A L p c y U g + 7 e j / n 5 B J Z 2 B N v I q U 6 z q k 4 x k Y b Z q m 1 5 r n 1 E 8 q V m M Y i f S 5 L T Z X A 0 f p O C + y H B w e 5 7 l R s i m y k o g O y P T m 3 T n N W T K R y b 8 K + K P w N N Y f s v e a 6 m z w k u s l y V h g q C N H T 2 D D + t q d R 8 u x 1 J Y i B o M R v 3 j 0 c f j m 5 3 H y 1 C m 0 t r b i 5 p t v x s U X b y W z L k b K L a A 1 E q w B i 2 4 G y S x p z T r n k n f 3 4 L 4 U V r 2 X T K F 5 z M u c 5 7 c K D t J A e f h T p 0 U P d U Y 8 M y 8 0 E J t 9 P H h H t j 8 j n N f N 1 7 8 L 6 c Q 8 m Z S L w / 8 l K B r v T P g w 9 K 7 6 s z X + q 8 C R W 7 G j R R n 0 q U F k c v s X 8 3 Y 1 8 0 N k V R T t o F I v x C 4 c H A 1 8 y 7 r 8 V j P / V M h p m Y R q S D C W m Z 7 R K P L s C l B T K U h 1 Z v B z j / 2 6 3 I G i D r t C 1 H J 6 x n K Z i U 2 9 p R Z U m U B T s o x w J I K P f / C P 8 d E 7 / h A d v a u Q D J w S R F v M T C + f K X 1 w X p l n x M O 5 l J I i w p 2 Z m x N + W R 4 j s V d z f 2 n 5 c V y 2 z d L K T h q I O 9 s W M x M j z 0 y M u e Q x + r d w 8 v X b b s G m q 2 9 D R l E E M 6 m c V l M n b O 4 6 g j s 0 J g c O H R U r / m 8 1 2 E S r h D w z T c S 0 R V 8 l / C a C 4 R h + 8 c x R u j 1 N + + r j k 7 C a W u u V Y w V E j 5 D h Y V r E T B z M O J / w m i t Z K + Q a G C 2 k S V v h M D c v Y i Y G M 9 P w s S n o q l S a M 9 j C 4 U z 1 u n 1 r w U z a S J 2 d y X c W t T B Z J U m a s R G Z 1 r j Y e b 0 c X I C 4 s l l b R 8 j G B 6 E r q s 4 0 Y 5 J M v w 7 B + M W O p W j t T B Y J s w N v u G w j / y o Q D K H R W 9 t / K v Y F m B l 7 7 N W j V i Z 1 F C m p S t V p H r m v S o l j U K 2 l D f y n Y o f Q Z r 8 A E x P T O H z 4 M K 6 / 7 h r R l O a / A 3 y B G e z b d 0 w 0 5 A k F f R h Y 3 S F K O / K I j v i Q b P C g y a U n P z a L p 5 / 5 j e h S 1 d z c i L a i R v o l S J A g P I + b A u Q x l d g n K g q K z X k 2 + 9 j 8 O 1 u M D / v R 2 e m C Z C w V b h 5 T L 4 q b 3 9 S D b G I E O m s v p I B v R q 3 L T s y j n l y t M u h S Z 8 j B 7 Q P v j G A 0 V r 7 W 9 i E z r u z X F o y z 8 W F i q N I d J F S O o F g L m o U j i U v t m p 5 H m r Q N X 5 V 3 W Z S T S U R j C d E P g 5 s W j i W 2 o 9 d + t X Z g B R i U U 1 A M S 5 Q A 5 B 5 J C e 6 D w b O F p L y E E y d O i 7 q n N 3 a 9 j p U D q 0 V V 7 n 8 X P P K L x 0 g Q 6 X H X r Z u Q N W s l 7 r H 0 D O z G g i b n Z 9 h / 4 C i C o Q A u u b A X h 0 / O 4 q K L L k K K Z F 6 h 1 + B i Z J L T S y 5 f n E 9 w c I l 3 j T w X T J D g W N l p 1 2 q r c r y w / F o q F Z n Y K K T R m T d V 7 i A 6 O x Z H c 7 c V J w / O Y 9 s l V T Y A 4 K y J C r Z 3 N a i 5 0 o L Y T A o G J 9 m 3 m T R O + S x Y 3 2 k U Y d h i K N w + i 9 S N X j 6 J T N G G a 6 x 5 e D + o b O w 4 M d n i K t 1 a 0 T 5 G t X D p z v E w 2 h s O o 9 t + R V X t x F B D 2 w H X N l E 9 m 0 c M P h F F W g g 4 0 N f Z V H r 1 1 V d x 6 s w w 7 r 3 3 b l i 5 D V a R W f p W Q c 6 E q 6 + V V U E m c p g M j A 6 S z J U E o 4 Q d O 1 / H x k 0 X Q Z b j 8 L o 8 Z L 7 R G M / 9 F N H m e 3 L H V M f v m q E Y 7 C v z Y u / 5 g F 7 N i F 0 8 r O Y V 4 M 3 l 6 o V e P k F 0 u w b S g b F f L s y 6 T d 9 C k m o W f a J S t A y c 8 L r E K j m b Y P l N t r K y D z p z I + K j N t h 6 t M K v k Y A e v Q 2 V b d f 5 e T + a m r x Q o 2 T H O w q p L i W Q S R I t s Q j N W 8 Y 0 N j Z g d m 4 e L c 2 L u 5 7 y w 1 Z n H 2 J Q W S J T g n i I z F I W V h n / S 5 A 8 1 4 g F v j w m l T 2 i V Q A H Q G Q l J v w 1 j 3 o B X K Y 4 9 N b S U D O n u H B Y P p 2 M w m D m n f F 0 4 O x + d p r L f b v l Y i r + J p o s 6 4 i x 6 w / T s 4 C Q 3 P U 3 q U k G Z V g 8 u W W R O m i A o S O h m K 2 1 C + V b g C i N q S y S q M 8 O L P t 4 + 6 T i d g 4 u U g B G 2 + I 9 u C o h S 7 S p I 7 + t R H T r a b J 5 y 8 6 K 4 P W m J Z B n J o 7 V 6 8 x e x E a s C 8 z E Y G b i U v N K Y G a a H 3 9 z g Z n k x W l Z S M m l U m j Q V 7 p 4 y 8 z C z M S a o R I z M W o x E 2 c f s 3 / H q V F 5 K 1 g y t Y i B L o B X Q r K Y j O 8 l / v b C N 2 i E 2 9 S J B r e L x q + Q 9 s L Z D P M k t T i i y L 9 D 0 g R 8 q V P i b 9 Y q l S S q k q 4 v x S U f M u b s b z 3 q k 6 I q r y 9 x S X s d z H T w w A H B + A x l I f u c w M y k R M W + w T 9 8 8 8 d I o s I k E d L Z 3 / 1 S Q a Z G k K E e 8 H w X W z K c H B A i 5 u L 5 Q u x o 7 t 3 q Y G Z i Z V D C U M f 3 z c N p q t I r r U p 6 f B 5 5 P 2 x y a g b + Y B j P / O Y F 2 H t L 8 6 r C S V 3 F v g 0 M q y E A b 0 d h h / D y 3 R Z 5 X 1 f V 3 E P + V W F R b 6 C x 9 J 7 y z L I s n 7 A I Y 5 E K U S G d k R 6 9 c J 0 4 g h g 7 a E K T a T N e f u V V X L B + M x z s e 6 i k 2 b j j K U F j J O 0 + y z M z a i E R K w i f W s i X 2 o g 0 n B J m X w x e a D a q Y y Q Y m q C r 0 B 8 i j 0 N H j o n O w c / 8 5 n m E o j R v k n b e T E p 7 J s Z 3 d z + I 7 + 3 9 N g a n H 4 A / P o W f 7 / t 5 7 h M N R o W e m Q S J 3 v r W b P 9 Z D R y Y U F Q t K + d c o N I z O + R p e A 3 d Y t + y / A / s B Y u J f X k k T t K 4 L p 4 r V g Y L U b 5 k O o q Z 1 H 5 0 2 6 5 Y K O U o R j Y 5 R X b 3 4 t 7 Q v 3 7 q N 2 K r m 3 A 4 g t t u 2 g q r s 1 2 o z + 9 8 7 0 F 8 / K M f Q j A Y E t G 3 7 S d l X L + x 1 P / i Y M E P f / Q Q 7 r j j 3 T h w 4 C C u 2 n a 5 8 K N S 5 K 8 U b 5 / D / l U s E o a 7 o Y E U 5 Q x 0 v G V O D X D j E 2 6 s U m / Q g j E + M Y m 2 9 o 5 F D V N 4 F V x n s O C N n b s x M z 2 D W 2 6 6 g Q g 6 9 1 k O 3 J l o j k z W V s c M 5 q p V O 1 c A L y z b 9 I U i N 2 4 a q i v O r j 9 H L K z h V c F L r 2 y n 8 T b g t 7 / 9 L X 7 / 9 + 7 F y l U D 9 L h s 1 k k w m D S J F h 5 S 4 O r X / m Z B 9 e i R J 3 D H + t t h C r y B l P s i 0 l H m x W P 2 O 0 A q G x U L 5 1 w Z f m 7 Q L I 4 8 X O k Q T I 5 L c 6 + W B q + 5 G b L T y O h J i J B W X 2 C o o e E R S E 2 j 6 H N o E a / y f D i V s 8 7 L g g K s I t m 8 4 p 8 f / u h H u P G m m / H C C y / i n t s / C N V G N 1 Y k E f O V p + F I D G + 8 Q R N p t O D 6 q y 6 k m 5 l D h i R C t S z t N P k u Q Z 8 P z W 2 a o 8 s 7 d X R 7 Q 4 g n q w d H k o o k f C F u f F I P 8 m F 0 f o 5 i 7 T Y + O Y U I 3 W 9 f F / d a b x R M H o v F E A i E 0 E o m q k L H c 6 9 s P q 6 r Q x M 2 8 0 k y D + p l C h q T R s s q 4 U / V g 2 B q G L w F T p N 1 D X 2 j d l g 3 G z 0 O n a N 6 q z V G K B y F h 0 x V z g m s h u L m L Z V g m X 0 O 4 U b u J a 6 K F t y / C z A z L W f n 9 0 p g + i 6 H l C E t l 1 W g G h 0 L O 2 s u B 2 p G 1 h i K i d Z Y t M f r R G z P Q n + 3 G J k h U S I i 7 u f Q 0 n u Z e K 8 Y L 7 z 0 K u L x B G 6 8 / l o i L j P k S B o m u w E v n r F i b U s a H Z 4 M 3 j i l w B I 7 D i N J w z V 9 J u i s X E a d I c m 2 9 F q W W G s i e l u g 8 z q U D h 9 S j 9 E 3 6 D e g n / w 6 3 v q / H F F Z x V T E i D U k 4 J U U l 7 T Q c U U 5 e v n e G + U 9 O I y 6 S U w l K 9 S Q 5 V H j / m 3 G U o 1 V C W P R 1 8 U p e h y l k d i A P I Q u d y v C M 6 e h d 6 3 H s 8 + 9 j J v f d m P u 0 7 N H 6 D R p z d 5 Z O I 3 V d 6 6 w G 3 2 I p c 9 / O X k 1 x F J j S K p L + / T l q M R E x b B E R 5 B 0 a M s I 2 a Q V L e 4 l 1 h 9 L Q M I 4 u o f X o W Z L M t o j 0 S g c v B N b 8 Z s E s z R J P p A m p c t h N X C T j E Z k M y o S g S T s T V Y 8 f 8 q C G 1 c l y Z R U Y c m t P e U j I S O R 7 e h 1 n n 0 7 Z K Y o i 3 6 a 1 P 3 Z h 2 f 5 + Q 4 c P o o N 6 9 f j l 7 9 8 F O + 7 6 4 7 c J 6 X I a y 9 9 + h Q y x l X E X C S t 2 a Y l G G g s 8 p t w 5 W F I H c Z 0 s f a o w U C V w C 2 x u J 0 Y g y 2 E R o u 2 H s K a i T d p K 0 c 0 N Q c X + 7 2 k / n e + c J r M R h U e j x v X X L 2 t Y v 3 P c h E c S c L T a 8 F o 5 D V R t p F H + U Y C z s S v E b H e L v 6 e j e j E n r y 2 s q W R 5 S B N / m F G C Z B f F k N G Z w B 7 S H Y y r 4 K k P f L Q k W b N 5 o I n 1 c E m n Q r / l I L h w U m s W 7 9 W J F + X g J 6 l h Y T i b J m i j s 4 b 0 d d Z P X 8 0 D 6 O J X I I 3 X i H F U t L 1 q D b M 0 j R k t U 2 Y Y M X a T K g 5 M t d U Y q b I Z A q u b j O m I 3 q 0 O b X J z B O c U T m J t K E Q S m W a 5 H L 0 S l k T S 4 K + o n L U k Q a 0 W m Z 3 8 T 3 k M T Y 5 j d 2 7 9 w h N a a B n e M e t N 5 M Q q E 5 0 R q O J n r f I 3 I n s g G L a g k A o j O a W Q v i e T c W Z 2 T m 0 t r T A r A 5 i s i j E / l a B C / 0 O 7 B 5 F L B p H e 3 s n x s d G c e s t t 4 r n q s + A r A 9 y K A 2 z u 7 Z 5 m Y d 5 7 j n I z T f l X g F T I T 3 a a 2 y 6 k I f K C c W p M z S t J K w d W g N N w Q R L Z J U z e N 0 o Q 4 y d k G O w m v N Z F J p f J K U a k C D r i f c 4 8 / s j 6 O l v I i E 8 J z 5 l A r R y a 7 x U G A l 7 9 S B K d d N P I u v s F T R 6 v W h q a k J H q 0 t L u a q L o T j C V y F Q o Z L N e W L W S C a Z E c 3 J G N y 9 V p y c l b C 6 R T v l / s E Y N g 9 o D 2 n I T k D J d V P l D j 0 N t u z Z O 7 O 5 O 5 a S x 6 F W 2 F I z z B W v d A y v 6 B v 1 / O C v Y n x i H F s v u g j r 1 6 7 G d O I o X G T C 2 C p 0 b + I m l 0 4 R N p d o g H S L G G 5 u Y j + a O y s 0 e q R L Z q I n o H e s w R z d 1 3 J K F p R 0 F l M T I X T 3 1 d l N K o e Z Y Q U 9 K z 2 Q y x r n s F Y r 9 n + 1 r H c W P P X f U y w u k 6 V i E f v T 8 k b Q t b 6 a J c 0 x k z i O d v s F s M / + E r G W 9 4 j 3 K 2 W z l F c D q J E 3 I T k v y r 0 q R b 3 1 T z Y l g T j 5 6 7 r E m I i A 6 n R u v P b G G K 6 4 d g t 2 v L Y f 7 7 h u L Z G v A Y n E P J n y M S j W O n Z l z I H 9 W 0 6 u r g a m E x a o D H 8 g X B 9 D Z a N H y M E t a 6 Z I J x o d P Q 2 7 s w + m G P k R 5 I t Y b W Z x A 9 z a a s Q n Y V 1 b d m F A 1 d h R S L n w I 2 9 1 w 4 G D f m / l d Y w l U X T H H B J O S 6 W N Y 8 a C + o V K 4 U r g k g w L + X u 1 I O n 0 p A A r n 0 N N n o F U l q + m x E Z g E D t N a J Q 3 P n s K F l d l Z 1 / O R m D W F Y I q P B / J R J r G r z 5 N U A 9 4 j a q 4 w e N I 9 F X 6 V 0 K v o 8 K i f Q 6 c k v X K q 6 9 h 8 4 U X i v 1 i W 5 s 9 x C z k P c Z n o L d x A W N 1 r g r I o 2 g w 9 8 A y + 1 u E G 2 9 e 2 L K n G L w j C u 8 q 0 m L b K J i K Q 8 / Z 5 C z 0 9 t I 0 s z y 0 M v f a 5 K l F 6 F T o M y 7 o z R n s 2 z G C 6 a l p v O 1 d m 8 V a 4 P m A Q 9 d F b k t B C O T B K x b P / v Y 5 N J C W Y v O 6 q 6 N l a Y a y m S O I y 7 x 1 p I 4 4 H / j 5 L 5 / A 3 N w c O j v a c M 2 V 1 5 C E 0 c H V p Q U X + K T + h F F s K V q 0 4 C w w 7 Y u j 1 c u Z A t r r F D F U z c 3 K a q H o a 5 n g T u g 9 p c E S 1 o D c V q s a i p N j y 6 E 9 p 9 b w c x H y 9 M R m h u y D P l c + L v 4 2 L 3 b K T 5 4 e h L d r s f l X v j E 2 p 0 c J j Z g f n A p g M 4 W 1 H p e B c 2 l K P e D j G y 2 a m V 0 t R W l q e g 4 / + 9 k j J G D I C S c z 9 q 7 3 v I u 0 c m H s Z G L 0 u E 9 G Q x f 5 L h w N p H s 0 6 3 x 0 v k b x k n 1 K Y 5 F w s v o e R a L x z t w r b T z 5 7 p 9 6 + j e 4 + p p r 8 c b r r + N t N 1 2 P D A k g y e S p W H G d R z U N l W e i c q Q T B r q X 8 8 N E 5 X D r V w h X o R g 8 J w 8 + + B D e e 9 e d s N s 1 1 6 M 6 Q 9 H A K Z E h D E 4 R k w S C W L V q F a l T C a / v e A O 3 v f 1 m S O l 5 T E 0 m 0 N L T g e M z F r E b 4 e 8 C E V m X 2 y U + 9 w Y h m 5 y G 7 j z k j / E + t p O x / W Q 3 r 8 a 4 2 E f q a q b K K i A b 3 D C P e I r r q I i g q j j H 8 7 w Q r a s + y S l Z g S m 3 i p 1 O Z U g z l J r W X A D J 6 1 V n C 2 b c 8 l K H 7 3 7 v Q W z Y u A F D Q 8 O 4 5 + 7 3 i Y x 9 Z u p K m B 6 b x / D J c V x + 4 2 I z l 8 P t B v k U U n H S M l 5 t u c U 4 / T J G b d e j n b Q z M 1 N K y Z A A n i I B 3 E U M q F 3 D r E 6 I 6 g G m s V q Y S 5 6 g + y + M x 1 J R u r c a 9 Y T S K z L U 3 / / j v 2 L z 5 g v h d j t x 1 Z V X l B A v I x M 6 g k S q H 4 5 m L c V k i M P P y z T f e N O x 8 g T Z Z a H o q w b l B B S D 9 r B E k 2 e 1 H s L F k I P h l + m 8 W T o 1 u c d 6 J 9 q s m 8 U 6 l N O 5 W N 3 n o U R H a B R D Z O 5 V 3 r m E I 3 M c o Y t G k n A 4 L a R h 5 k n D F B i E z b 1 i u p q Z D K O 1 Q 9 M k y + 0 V w Z K b f 3 Q o l a R N l l J C 4 M V j 5 n / e z 3 c p R I I x 7 H r l M G 5 8 1 + I l E 0 Z C C d B 9 + o j Y + p F N n K F 5 G I D f P 0 Y a 6 R X 8 4 Y d v J 9 O e B B X 9 p y P G 4 + 1 K l 5 P j x w x V P D Z Z l R y K C k s c b x V O T q 3 C 6 v Z T u V c a l m K q 6 h o q f o T s v Q 0 4 P W / E y i Z N + 3 B 5 d 3 y i G U G P i q 6 i J F c + A d c z r c r V M 5 U j k x w l 8 6 j + m D 4 7 2 W b R y 6 2 G B C u 7 6 0 x w B 5 l + l y 8 i 0 H q Q S m l a g n f I K D 5 x D / k b 9 Q Y X e C E V v G 0 P m X 5 s q n D 6 P + f r R d M z u S M 0 c I W w r Y i h a q E e 8 y 6 t J m C U C p F O L m U o 9 p 1 4 4 Z j B 9 1 K v q V i O x x 9 6 D u + 6 t x C 9 y 4 N N V B 8 x U T J g J S Y 1 I x b X t o l t J d P R N P M 8 z l i 2 w G E J I 5 w a Q 6 + z e o l M M T g 5 2 2 4 s C B G R S 3 c O 4 I B B M C k L u m i w W p Z N G + W I R V L o b a q + l U 9 F O 8 V q m B P M x M g z k + y P I B V z w N G v i E b 1 x e B 7 n A i V 2 Z f x 0 z B L U z B m x 0 g y V 5 f w l R B I s I R e 3 p N n c r 3 T 6 h 4 w P o 5 + Y v G k Y C b O Q j D l y z E E m J U K E Z x y c O Z H 3 t X g Q z g r g X 0 C x I 8 u 1 N J E l V J m Y t T K S s g j f 8 m l G I A Z j t e D i l H O T B w k 4 p + z Z S Z G c c Y L I y m n R d r S y d N D + M W P X 0 V L o x M t H g U r + n t g 8 W g L r q n W G + F U j i K Q H I N J v Q p 1 K E O B Y m Z i 1 I q w 1 Y N A Q m M m 7 e 9 z z / e z O 0 3 w B a q 3 M h O c E Y h L 5 A s U K D G e L A x g N n 4 C s R E L z F 4 n L A 2 a I 7 2 2 b L P m 0 f A w + T U K x o O a r Z W N n Y F k W w l Z b U d a 1 4 1 U d B Y z s / O C 2 m O x 5 K L m i s U Y D R j Q 5 l y a 6 M p h a r o G S n B v 7 l U V 5 J h I / B C C o R g 5 k 1 p A R T S T z x Y W / F o N F 4 v S / f J A w W j u G T m S z I E N b h a 5 c A j 9 Y b a 5 R X 5 Z N c l a T 3 Z I P U K B z V L u y 1 e r T L t q / / F l g I n R 7 S j t q 2 E x G z E + N o Z V 7 W l 8 7 E N 3 w W B y I C I y 7 S U a x 8 K a j s d 7 B Q Y c l 6 L N p Z J / m k W E t P V M Z H n 2 u B a 2 X m 6 x 3 1 s L 1 V a 9 o F E w V I N N F W s 2 w Y Q k C s S k 3 M 7 l U j q J 6 H w P 7 L 0 F z u Y M i D x E j 3 H 6 4 Z q f R t c J d O V C 1 U G S n A z O F X v t 9 Z 1 4 8 0 Q C D / / 0 Z z Q 4 k i D g k k a X Z e h p q N M X q 0 B 0 a p o e t F i j 8 D H F P 0 X w + c L w u A u a k y e u 1 3 G 1 + G k x b 4 b F Y o H L W Q h t 5 9 F T F o 4 v D g / z O T g U z L U 5 C y i 7 r l l X X z H g x E j t g j l N f y 4 m T l 5 z y k N R l p + e U w 5 m 7 r U r F 2 u J + 9 6 7 R S Q h M 6 0 w c 7 t N F T a 3 l v T k 0 W V g m n 5 F j I 3 T 2 I p W Z w Z T 4 Y q G U V X w c 3 K g 6 L 8 T q g n M E h / K q I w Q P S r Q m + y Y P m W F Z 8 C N 3 W M m X N p b m h w 5 G h 4 i J i p o E V 7 Y N a M f z T R Y S u g A X t z j E 1 n m 9 9 5 7 L + R E V O S 6 c Z r K 8 y + 8 J A r / 7 v v A + 8 l v W d w y d 9 k o 4 p 0 8 J F 5 x r 9 R P r Q h q l o i x q P 9 3 M c o T Z P P I 7 1 r B z f a L + 1 8 U g 5 9 R j e 3 H v L 6 s R q n y p c 4 7 M m S D 6 k l t c m C C C Z h R H p B g 8 B x L y 2 i p H B p K w d 1 f e C Z V b P D A G 5 b n L B I S q J U q F I o h J X 2 w B F 5 F o r 1 y i l c 9 8 M m n x L M t B 5 F k i o S M 9 h 2 z Q Q 9 7 U Z p Y P e D F C q Y X n a 5 w 3 U j C A Y M + A 4 s x j u a y x I K K Q Y n o s B G O v l K z T l Y k T M U q r w s 0 m t s x P h v E u h 5 O o J Q Q l I f J A V y B N 1 7 f g R O n T q K 5 u V W s 7 V x / 7 T U i N a b a G l A 5 q h H 3 A v J 3 X n Q I B w d U Y z / 0 F X I O G R z h 4 j K J S q h 2 v f H o 3 o W i P i b U H q c W 8 R L H E i E N D 4 / g 2 d / + F v f 9 / p 3 I m r K L T a 2 z Z K h a z y 9 8 M f p s 1 5 s W r O q d g 7 d R 0 3 y 8 Q G y x l h I N M x V X F R c 3 H u F 2 0 y 5 j f X V L o U E F 7 g G N A d X w P r F B n i 6 / A Q C B I 3 3 W O v c M 0 4 f P I O N a g f k Y V w N o A 8 M 7 S / b V E S V m Q e D L 1 Z n 9 L u C L e t H o W L r 1 c 3 H k b 4 G h O H j A / k 5 k 0 A j n Q I G Z O A z N + 8 3 y V p p m s o N 5 g n k H C 5 c 1 K 8 z E / H S z k 8 4 l E 2 6 r p O X 7 m S w k M e k 8 R L x S f B 8 k p 5 a 9 z l u t F O 8 O U Q t K U j M 1 D W R + L Q f Z 6 D H o u N h L E K N 2 L W a k U C g K h 6 P 6 u d J p B U Z j q e Q e i e x A D / k B K T W K e D o A O W g V O X 4 H D x 4 S G o E X g G + 6 6 X o Y 0 q e E s J i q V n V b 3 y O X Q E 5 m Y L b U l v y + u S g 8 T e Y S Z q m G v L b i 1 m n N l n U 0 Z 4 t 3 X 6 y E 0 B k y 6 V Z I y C Z G S T E 1 k 5 l X G q R Y D m z j P 0 K 8 6 w P C 9 6 y U T V E L v J c y C 5 H f B Z I p C y y m + o I Y L n 3 P Q u B G M J Q u 6 8 N P H n k J N p s N d 9 z B K + U a Q 1 X b G X 1 p F A i Z k Q 3 u g M 5 z e e 7 V 0 p i O H 0 G b b Y N g K N Y 0 o p 8 D c W x 5 3 / A U M c D 0 t A + t r U 2 w W b g x P P 1 H l 8 3 G j i B k s N G E O W E r i m 4 x g / F i I 2 d k M / P M z f l F y b z V a q q q t W b i R 8 G d d b Y / O Y q O j k 6 s W b M W e / f s w T v f + Q 4 y B b T v W A z z G I / 5 o F f i y N B 1 K 6 I C 7 U y F W t H u X h w J r B f c c j r u N 8 H b X D u K y k 1 4 u I O q l o 5 U / 7 p W H s E z a T T 2 T N C z k Z 9 0 H g j a N v t z x F v e m 3 u 1 f C w n l M 5 C I 5 l 2 o d F G g l R S k S C h u B T i s h U m Y 4 o E f 2 W a q I S 8 l p J G h 4 + r P n 8 M 3 a 2 d R M C K 2 B u o X v j j b L t J 8 N q q X 3 g o / C r 6 r B e I R T 0 m 9 q X m I 6 O k o e Z i r O x 2 L 4 C + a L R a M T Y x g 5 6 u d k 3 7 V Q G b S j q S w m r R v k Y M L o g 8 e O g o X n 3 1 N X z i j z + W e 1 e D l n K k F 4 z G 3 5 + a m h U M q q Q z 6 O l p Q 0 g Z g p d L K f g h i m A 1 B j E W L W I K 3 k 6 l m g Q v + m o m q y f T t / 4 J q w R F l W E Q 5 f C 1 B 5 V N U M 6 d 4 w 3 T i n 0 q L h v n Z p c c i K k E Q 3 o U i q 4 V k W k V z s 7 l W Q m 1 I G U S U M + x / 3 s g P U x j u F T Q R c L k I F l N L q u I S l 5 w 0 S r I a m F D v 3 L E Z R t s 5 v r a E J T D a 1 p F 2 l 4 H y T f 5 p q q 3 d C E x 5 o S 1 u 1 A Y N x / T C b + p s y j 9 n m m J y y L a X Y X 3 O B t b l y u w Y 0 J k l N v 9 a v w U p D q 3 t x f t u t h + z I H P N R e K o b O j B Q o x W x 4 n Z g 1 Y 0 7 L Y 7 k 4 o I b H Y 2 K K k Y G q 4 n J j E g O d f f B E + f w A f + P 3 f R z q V J G Z c / L 0 g 8 Y G n x h z z l i b H j g 9 h / d o V C 9 q M z b z p s p Q d c 3 w G s q 1 K 2 X k p L y 4 L m Y y K e F S G 0 2 0 R u X a R s I x E I g W L h U x 0 N 5 l 8 R U W O t X w v h k F n h c d U W G j n b T 5 5 Z 8 I 8 l P l X I D n W k E W g P U e K i 0 a d y 3 P m l 4 I r 8 n M M 6 u 5 e V F X N X Y f 8 / h B O n T 6 D S 7 Z W y O o v Q 1 j R M l F Y + L I A t O r b 8 P p r e z A 8 O A a P x y M 6 F 9 / y H u 0 8 / l g D v P a A O D Y d s + P k s W H R w X f L p X 2 k u c 6 9 D R l r K e k L n / + 8 + l d / e T / C U 3 E 4 W g s U t W f M i I u 7 C w S c T x W a C O l L m S x H U L X 2 Q j K k h x B S B 2 C v 0 T + v G K y h f M R E r S 2 c x V t n G D 2 H 8 c i b s G Y 7 s W v H Q d x y 8 w 1 4 7 P F n c O e 7 3 5 H 7 t D p O E o O u J g Y d 8 m k O c j V 6 Z E I d G 5 9 F T 2 c j Z m X e X k c 7 M K 0 k C 6 1 / 0 1 F y S q u s D 5 0 D U 5 0 v 2 M k P q r T Q q y p R 6 J Q x q O R f F Y M L R 1 m a 6 s r q b S r 5 n P U i n J T Q E n 4 S y Z b b h O U Q T 8 S x / 8 A R B I N B I T D e c d v N C w J 6 O e D m O M 8 9 f g A t 7 R 5 s v n S A f P a C F p s Z S m P X r r 0 w m 6 2 i z 8 l 1 b 7 s Y i n S u P S k K 4 L Y E w o f y n 4 7 A u 9 K Z e 1 t T E K y d m I H 4 b 1 7 E L M Z Y Q I / u h g z C 8 Q x c N j 0 s + j m y 5 y v 3 y + M m F l x 4 t R S Y U L k I r L G R S w a W x 0 Q c v j 0 z O I R 9 + w + g r b U F v X 1 9 a G 5 q h E k N Q j I X 0 n x 4 U d F q z M J l K U w U P y d n v n N 3 I J d d 8 9 G 4 b 0 X j E v 0 o I q H t M F s v R z I p w + i M I 5 Y q m B L 2 5 B x i l s r j 8 V / J U I p K f g G Z i F w V z I v C b P J x f w a X M o 2 0 2 g D J U n 0 n l d B 4 E u 5 c V c H 5 A g d x v v W t b 6 K n d w W 8 X i 8 2 b V w v G v T Y i d i X C x 5 W D o p x 0 M t t k Y m x e P d K C c m w C T N T 8 z h 0 8 A Q s x E h t n U 3 Y u L U N e t V 5 X p k p D 8 F Q s V E r 7 D 2 1 1 4 V G I q + j 1 7 l N p B i 1 O h U y G 7 T 3 p T R J N G P l j a y D y T E 0 w o e E c U v F i E 6 e i R q 8 b h q R s / M n v v R v X 8 V l l 1 6 G a C y M d 9 x 6 C z F j K S O o s R O Q 7 I v X Y s p x d C y J 9 d 3 1 E Q y X t I y G J 3 O v W O A Y 0 G D p w / R k E O 0 d b s Q D O x B / i x m K A y W c w J t f b 6 o E 0 Q u + w h o F + 1 H s r K v J A 9 A Z 1 0 I q C o F X Q 3 T I C E f / Y r + 1 P B y / F H b s e h N y M o G L t m 7 F z 3 / + C / z e P e + D T U d + C 4 2 L a l 5 i p 5 M K 4 O n m r X a 4 S V N x s j U v K 3 B P R J 3 S g A D R m K v B B J 0 p S c 9 9 d n R W L w R D h c d l u L r M Y q 6 5 d 1 5 + q / 7 y u p 1 F o E l h R S d S l y t C F c 3 2 k + h d 0 H K s 3 n 1 k I z d 4 u A 6 m t h a o B 8 y U b B o M h V 9 B q 2 0 j b I Z S U 8 a U H U J K V 9 + W l F z 4 W O w f V g K X 3 v v I I a 4 G E U i J t 0 B H t n q l P Y w E z g N T c X r T w v a p N T B 0 a h 7 9 q z Q t z U z E 2 t w Q O 0 N a q h 9 G V 5 U O v R U Q G p T h H q i 8 t r d c f O M / v 4 M / + q O P i j x K Z 6 6 O S E c a X i X t q R o L l t J S 8 M X J k r B V p 6 F z T a y t h h S N v a n K 2 O t C s w E 4 O z S T j G k + z 0 y M m s z E i N M N V 2 U m h o R I z I C p k I p Q O I F U O i u I n 7 O R R V n 1 M n F 4 a v H 9 5 O 3 s f t c 1 C 8 z E z q m 2 q p 7 B q d g Y l N i Q e L 8 Y x a U L + X O 0 1 E i J E i D p l i J T L 5 2 p P i 5 8 b b f + E F o d q 8 l n X F 5 J e y 3 w e f n f P J b K T M i D m Y n X y 6 b G g + I 7 x t g k G h r f s c B M 3 B u x H t h a 6 X r n Q R A w O M L K s 5 9 n J s a h w T A C s g n 6 U H 1 l 7 + z W 1 W I m R T 0 P m T g V w N n w 1 Z i J o d P F W l j M 5 1 5 q 4 B w t 3 i O 3 F v S J w + Q s l J X F l 4 H N k U j K i W 6 v g Y h W m 7 i f / / I x 8 j t I 9 V Z Y 9 x m N 7 M j 9 x b S 7 e F F t Y 7 t m c h Q F A c m s W X w e 1 h K c p c w 5 Y L 3 O a + D 0 L D Y l 9 A Y 9 p m e 0 J M d 8 R I y t I 3 7 2 a t A l D y F i 6 4 R R X z 1 k z 5 D p 2 S Y j h 2 H K k K a q t H C 6 f F k i n q n 4 i 2 a d g 1 x g D w 7 s q N 6 f T s l q R M X p S O 1 d P A Y S O r s L J f D c Q L S 8 C r U a j H Y D 5 G j h u X n M 4 g l y + J f x L N y / 8 M z g M M b G J x f G P I 8 N a / v h c Z i R c a 9 E Z u p V o p f c B x X A f T / K m 4 2 W 4 1 y 2 u a m F 8 m z 4 c u j 0 r i i i k 0 m E B z m x U 3 s K 9 o + K N R U j m C j V R H K 2 s t 3 N J l 0 g G C F h p s c P H n w Q 0 W g E T z 3 9 r G i o a D L q c N e d 7 6 J j c g e X o U V n g j E 7 i k z k k D B N O N j B r c f K U a z c 8 i H 7 W k i k P V A i 2 o b X D J b Y j E p 7 H F V q H J O h e 4 i F 3 8 B s W V N + b u H F P x y Q S B W 1 5 k 2 Y N E 0 Z y J x A J t x U t z a p B Y P O L I j Q a m j E 4 w / v h M f S j + 0 v 7 8 c V V 1 W u z W H z j s P j C 6 A x 0 8 n z i E Y K l M p d e u v V U N y T I p G Q Y D A a 8 M L L 2 8 W m c Z z w P D F Z f 8 N J b g a 6 Y q A P 3 V 2 V 2 3 1 n k + M 0 e E c x g 1 W w T D 8 p 3 h O B B q J L 3 k a H M U 1 m O T f R q Y W l T L 0 E b 8 m 0 B N j X Y m 1 U j n J L o R w L q U e M 2 G w K a t w J W 1 c C 2 0 e s u G p A X m j 1 N e j T q n I 5 K m Z W j i C I j a I e i N c R 8 o u i o 2 M T i M f j + N k j j + C m G 2 / A l V d c Q I O h m U f M q 1 W l S j Y F q z l G D 7 r Y R M p m u M n m G U i O y h W x 9 Y L 7 b q c N i 5 N m O U o 3 O + d D T 3 e V n u 7 x Y 5 i v 4 N g n l Q h p g F I t 6 h A 7 g 9 C D c p R S V z A L z a l u S N a Q 8 H t K U H 1 e c p A w P 5 V E e 2 c D j h 4 c x / 4 3 j 2 L F y h 4 0 N 7 a i e 0 1 t C 0 I U G h o L A q P D 4 i A h 2 C 7 m q h j M E N w f p B b 4 O + F o F L 6 J E N Z c O I D t 2 9 / A p R d f t C g A V A 0 c g V 0 x U N u P V W N k 8 Z g H I N N / F p E X q M I Q P A r F U 9 s K K o a C F I L y Y v P + d 4 k S h s o j M p O k B 7 T D N V D k Z 9 A P 8 0 P G 9 w r 0 j d e I 9 1 h i s l / 0 n / / 5 T d x x x x 0 Y H x / D t i u 4 a l b 7 n t 0 S R y x Z f S c G J X o G h i x J A d c V u X e q g M 5 n S J + G Y l o 6 W l c J v F a W T a W h y 0 5 A K t o Z c S l k 4 h M I 6 K P i 7 5 R i g s l Q G m R g 3 y u W 1 j a 9 5 s 2 u j Z x l n q F j d G R G l R G u Q x 2 A y a r C n y y a 8 C U Y y p B t x t z M P I 2 7 A S Z 7 G g a 7 t h F z T Z Q J L Y l 8 E j c R q M F b e c + v / L 5 c 1 X D 8 5 G k M D 4 / i q q u 2 I T t t I 5 q o j 4 n y Y A F r s Z q E 6 Z v K c g d e E m 4 l h Z z 0 n O l x K G W J u j y 2 O h Z Y 9 F u t l s 5 F i G f 8 i J / j h m v n E x U Z i n F q R o / O p B n W H t I Q R f Z u N j k P v b V N 2 O W K k q L f h q q L r 7 y L e y L L m e a l T n x 6 7 i W E U 1 Y 0 d l b u U 1 A N a f 8 e G L 1 a k u 1 y k C E t R A 8 B X e o o M o a 1 M F i X D o / b r T G M B M b g T Q U Q T k e h O B a X 8 C f S I R H J s x u b F s a o y 9 4 o 8 v o q g Y v v k l E 9 Z N O I 9 s a S G o p 4 k 5 i z 0 r q c P J + F u S n H t G V M p M u m 0 e X p w 8 T M P n S 2 X V x S M F o L b K 6 / 8 t o b G B 4 a x r r 1 6 z A / N 4 d b b i 6 0 c w 6 e T s O z s n p A p h a 4 B L 9 4 u 9 E 8 O C v D 0 M S p T 4 W H Y C Z e u 1 o r K t Q l p p E l e i s H p 1 1 x l f V / N + i d V 9 v / 9 s j 8 S W x p L 5 h U 3 E 8 8 l t a j u V 1 G 4 L Q M V S L n 1 W r A 8 M g E m l q 7 x A T n g w q i j C A H X v 0 u 3 o Y m A x e y 8 8 9 B Z 9 c G h 1 N 1 l K w e B u d a 2 F x d 4 j o V r K m q 0 F s 7 x D k y s U F I p n b B J E t B M B O B N y u O K U 6 Y V W 5 X 7 C E l U s U Z p + f J J P Z j O p V A O m t E y m h G 1 u T m E 6 H b 1 Y 5 I n K R h b q H a q L c I j V E Q O C r C i Q B 9 X v n c 3 M o r o w + h 1 b 4 O h o y X j J u l b f n i 8 S 2 H z k T X L R o C X X w a X j J 8 5 t U 4 S e 0 M V K M d b r O D x r n 6 w j r f O / 8 k E m l 8 + 7 v f w 7 v f / S 4 y 5 b O 4 7 N K L M d B f W j S Y C h h g X p x g I X B 8 1 l h 1 c w a u Y e J K Z W 7 n H E q N i i R d 9 g m z G d L + 9 H y 6 o s V 3 R l N j 4 S L c u N 8 0 / y o y 1 u 6 F + e b W A l G l X t 8 t b 1 t V B 8 8 L 3 8 / 5 g P T F x / 5 S 3 d h 5 M d 4 2 c H 3 u L d J C d A / F j r / v Z A w N 3 X 7 R 5 L 8 W M l m J G K R U 7 N r I N 8 o q c f I 5 G u l q y + C e J c C Z D W Z p D s l Y C D r n R n q n w q C R u Z C R N T N N x 4 V l N C H p m W d g a r t V v K 8 3 l x E a T W 4 k 9 D p k a + V F W c 7 Y T p M Z Y i X C d V j c J C F J c x l d U H M 7 h 7 T R 4 0 0 v w y J q N K 8 R L Q G S + p z G q g c V H r O F C C K c p v P k + g T m 0 c R 7 J l k u z L 0 q h d g K J h v C C 0 / v I 2 Z K 8 F C J r U y J y n N H L I Y c S c H s L B 0 z N s 2 K L R j G C d I w a 3 I a R i s + 1 C G R C Q j z m B k r n 0 f I t V W S q 7 A n W C 2 Y J p 9 D q v 1 G s W m d F h h Y j K k g m b Z 0 r W Z 3 s Y W w N E O d T w i T b y a s R x w v o d 9 1 t e i 6 y n v W c q t k 7 Q i 9 K J 9 I + o N I u Q 3 w m C v H 4 H e N G H F p b 4 V w c n g H + U j 1 l 2 4 w O B D C e X + c z c 5 N M x k 8 c V l m g r I S D k Y 2 5 Y f R T K Z U l C b M X h p 4 Y P + J 8 w w n y f n u y D n f v P F B P N E I i X y H v K Z S i e k T 8 f 2 I F z W s t B g 4 g 4 N 9 G R f + 4 / 9 9 G w N 9 / b j u H e s F k R T D E J s g b U w m J W s 3 R 3 1 F e 8 V Q g s 1 E B H Y k E E S S f h a h i B 6 K s 9 T b z H Z M y 5 W 3 w R T a y s N 9 B R c L s f H Y D j J N t T l J J l O w 0 p g y k Z Y z R 5 w Y j c 1 5 n y 8 o S m S M q g E G C w u m 3 A E V w M z J W / y U I 0 D m W Y O p 0 C H W b I x B T i + d o c F g D c f r i t Z g A G p z H 3 2 P o 8 i L J R c H i W Q l T L S j C Z b y D Q 1 + F x A M p Z D N n V B 4 9 8 J 2 v D Z o w l U D K U z P + N H W 6 i U / Y h w / P f A T 3 N T e h M P h C O 6 7 5 N O 5 r 5 Y i k N C h w Z q F E j 4 J h 6 c B 8 W g Y O l s p c X M p B 0 e M + q r s v M G M x E W L r O n q L U J k c J F f P t s 6 N n 8 Q / q i C 7 h 7 S W j n T j L U R a 6 g 8 s X A I 3 e B Y R U + v v T Z m h j C V 1 v w s 7 q 7 K J g C v + z z 2 8 E 7 x u 6 2 9 F X a b A + s v q W L v M N j P 4 b U 2 M g O X C 6 N q J e n v g t O d R S y b c 7 B r E C 2 j z W j C d I 0 t R J s 4 K d R a O T L K I X A m t C 7 b J a Q 9 j O J 5 O a f P a d Q i n Z x P Z y I T u R z M c J k U m W 8 k v M o h B B 6 Z m / W k I W X 9 r 0 D n 1 Q J b t c B + E v e k C I T m 8 M J v d u L Y s e N 4 1 7 v e Q d e S 0 L / R T o L F R L R S O g a x l B b q t h g 8 4 v P f N Q R D M a G z d t J 6 J Z D Z p q e B I 8 m U I Q 7 / x o 7 v I B D 3 k W 9 k w 1 9 c 8 2 c 0 Y D o c m j R i U 4 e m j T K x M d h s E l K x G S j W z Q u E X Q w O q f / w o R / g f e + 9 i 3 y O x R G b e J o Y q S g P 6 8 i 0 U b z u b 6 w c 7 C g G b 3 7 W 0 F C h n S 9 p C 4 V 8 L Z 0 8 j E y u j z h X m + p M D a S Z + B 5 Y c r N J O I e g L o I T + + Z x w d a V k M O 8 U 4 M P 7 X 1 W 0 V E o U r e t D r i D R x F y r 1 t g 1 G r I E P O x b 2 T I 9 5 7 I P b p N H Y A h t R N B I n b e o 7 g S G h X S Y I o M X 6 6 0 o h p U k u L N j s o B n P H Y T h F M 4 S A B t x 3 j Z N l 6 4 T 8 T h n e F Z q W w V m P T s b j 5 f z 1 Q g r t h 8 F y S e 1 U b 8 / J J H N w 5 i c E z Q 7 A S k 9 9 5 7 y 1 I E N N 0 + P b g s L w N A X 8 A A 5 u 0 + 8 k z U x 4 c T T T o r e d l H b B e S A H / t K o X f R Z Y w u j o v 1 J V y h 0 / s + Z V i A 6 b 4 e h N I J s c g c P d i P D M K R g a e N e E U u L h V m L c / e j Z 3 7 4 I f y C A 0 6 d P 4 / / 3 v / 8 W 6 R R J m x r 2 e T m W a v i f x / D I K P p 6 F 0 f g 6 o X K j B U / h K P D O u z e s x d 3 3 / s O J E h L V L P T q 6 E Z a c z B S K b W l J D + G W v t F X V m K I m k q y s T h 9 u 7 D h P h M W R J o i Z m G 2 B t C U I K D 6 K 7 + x q M z R 8 V + W 3 O 0 E n E y B z N W u r b 2 K z T 4 o S s l q 6 t T S X 2 I 5 W J w G 5 s P e s u Q q E z E t w r l j c 2 e a i B N 6 C S O a Y r M 8 s Z x S Z 5 O T j J l c e L 5 8 S s d M L n 9 9 P x U / C 6 T B g e n 8 H F 1 2 h r X F y q I S s h 8 X c x O G R v N d a w L s 4 j p F B g X p X T Y e w a 8 + K q / v J 1 F r Z B i c X i I 0 j 5 L 4 C l q 3 q 6 O 7 f J / f F P H s b 6 9 e t E K f 2 + N / d h 0 6 Z N 2 L R x H b F o m s h 2 c e S r 0 n Y n e X B m h o d M y K V A l s Z S C m E R f v q z X 5 B / E C N G H M C W L Z t J g x 2 j i X b R d P G q f E J E 7 5 Y L X c K H r D V H 7 E o C D p L c U V N l 4 v e Q n c + m Z E D v o J v X N G U B E h J z b l i b C 7 7 U c n 0 B S 3 w G 9 g b u e r v Y f z p X h E 4 T Q 6 0 8 O 4 b S J Y + T Q K i 8 T S k X j 3 I 7 7 E r I S l n R C O d X j / 4 a F 1 9 y M Z w O C 1 Z v 6 E U i M w e 9 E k M P R u C L m c g 6 G E A 8 p a 0 L l i P v V 7 3 V k H z z Y + r O E S e 2 l T E T Q 4 q 8 g Y y + g X y h t Q i P J e D q t l a O j h H Y r H v y q W d w 7 b X X w V b W d W c 4 s r 2 q 3 1 Q N n L t a b b 2 R M z J 4 u x X e 7 M p k r B L + L k I y l c a B / Q c x P + 8 T 6 2 e X X n Y Z P C 4 X / Q 3 I o V c R N l c p t a g T r U Q I M 0 X V x H l 0 2 d x k n R H z E E M E 4 + S j W h o Q S J J v 6 R g g 0 9 m A U 8 e m s G H 9 a o T S o 0 I C 5 8 F m c S b q J i 1 X 1 N 9 v K R B h t V q 9 i E U n S J O 1 i F z G t w J y L A 2 z f W k / q R K k 2 H 6 o 9 s 3 0 h 4 R T p 8 4 g G o t j y 2 b y d Y k / O Q B i q x D M Y J w 8 P S z a z g 2 s 7 q B D Z R E x r A R D O o 5 O + Q T C 5 O d N 2 L v A W 3 M G 4 h a 8 O b w d k 7 E U / v j K d + e O f O s g P b o r p N 6 w m m z 6 I n M s J Y / D R K p T F Z t U 6 x C Z i 8 H V U r 1 D K Y N L H 9 p c H O v i 9 P b l d 7 R Z C u F I F C 7 n 4 n u o p e U Y e i L 2 x x 5 7 A g c O H s I H P / D + x S l G 8 i H M 4 + y d V 3 N i B j J H B q u s P U k R Y h Z H J / 3 B 0 T k j n n 1 8 L 1 q a W 0 j K u h G M + n D R 5 X 2 k 3 R f 7 i r x Y b J E a 4 U s t X Y L Q 4 + p Y q M 9 y W t p g 0 3 G G e e 0 E 3 n O B H E 3 B 7 F j + m J n M w D e / 9 S N s 2 7 Z N Z F C 0 t r a g s 6 O V a E / r 3 W E w 1 t D C R F i + J I f M l 7 Z a G M 8 c 3 Q e n P o D + B g f Z R j o 8 c m I E 1 6 6 4 G h s 7 3 l p N p d + 2 s f 1 v e V u T t W t X Q 4 k O Q Z 8 e g d 5 K 9 j W p S D b 3 O D K W n n P C t I Q / 4 z Q X W o r x H 2 d R n b E I n B b D q / c M c w W t y C h e G O b 1 M z Y V 8 4 V m 3 F 7 a I G W w Y t U a X H v 1 F W I 3 k W L Y L R F M y W f X l I N h j U 8 i y b 5 S F W a y m 4 m w j d x 9 y Y u H v v 8 0 D r 0 5 K L Z T v e r m N f A 0 G 9 D W x W Z m Z Q J h Z 1 9 v M I j N v h L Z 6 o 1 F G D 9 7 + G X 0 9 a z E 8 Y P T + N X P n 8 H T z z y D 6 6 9 b O o p W C 7 U W O + N T M s y e + r Q U M 4 n B Z M J 3 v v c g t m 4 a Q C S e x d a L L k Q 7 M Z P T Y V + w d i s V Q p Y j r c Z p j u s T F K 8 O H k C T 1 Y D n h 6 f R 2 n A B P t h i g b O t / r S z s 4 W U T o 6 r S m I W 0 e k j k M j 5 5 Q V T Y 7 O W b j I e 3 U 1 m x H o k p n h T t f r S V x i z U R 1 a a m x 4 V g / G x s b J K V / + m k 6 9 M G V H M J m u r + 9 a J b Q R A U z n s t Y r g Y V R K w m D 8 b A V 3 / n P B / D p / 3 E f O c x R m A w O p M q 2 8 K w F J u r Y n B 2 W x g D R X k E T 8 w K p g X y 9 k V N + N H g 8 p I V / j e u v v w p N P b q S x o t n C 8 5 i q a Q w w i S w f v H d h / H h P 7 2 b L b e K 4 I z 0 r 3 / j 2 0 J 4 D A w M Y H p 6 W i x t 3 P u + d 5 C i r p 6 X t x R 4 5 8 d I e p L u y 0 r 3 t 3 S 9 k w 4 N J K 4 K 5 m G 7 f w + m z i J 1 b T l Y l M u n B P f D a M i S r b u F q Q L B w R Q 8 A 8 t T 7 + f D 5 O O o 4 1 J F i E u Z e 9 V g 1 c 9 i L L 5 0 f 7 Z a 0 M U m k b U X z E e T w U 7 3 Y s P e 1 4 / j w i 2 b 0 N h A / l J 0 H i n V j 0 y 2 P q k a l R 1 w m C s z m z H Z B Z M z K b I N u B / E 4 H E / d u 3 c i R t u v A F t 3 S 4 k 0 t P k M + j g M f W S V j 6 / v R + K M T Y y i d e e 3 Y t 7 P / 7 O 3 D u V E U v I 5 N 8 a x d 7 G A 3 0 9 S A c P w O C u n L W R x / E T p 7 B 2 T W 3 f j y N + 8 2 M Q D U t N n s q L 2 r X Q E 9 6 L U d f W 3 K v z i 8 B 8 o k I Y i M R S x n 4 h M u E D y E Z O w 2 z w C h u X M w 5 4 w X U p c D A h X 7 t y L q j H Y s w z E 7 c 8 q x d m 3 b k z U w M n b B I z G e C k 8 X F h 8 F g Q P / v B c 0 h G 9 N i w e S V G R o f g 4 z B 3 e h w x m R l q c c C H s 9 c z G V Y B 3 P 5 K Q z V m Y q Q t 4 y L 0 q 4 t 3 i 3 4 S 0 M u 4 4 w P b 4 G p P I q 7 M o o W H Q F X f U m Z i t D W 2 o a e z 8 p 6 4 x b B b z S S Y d e j v 7 R G R W I t j 6 e p l Z q Z 4 f L H m Y b d j Z G w C g 0 O j + O k P X s K K l b 1 4 8 Y V X c 5 9 q m A 7 W 5 x s x M 3 X 5 d 8 M e G o J E N 6 Y j X 9 M R O o G u 2 d c x g J P o i e x F R 3 g / J K 4 a W C a c 7 q J d 4 H l x l x f C O i U b J L v W R k p b e 5 L F b 2 t X A n p j K e F m 0 w p 0 d U T Z S s G s U l 2 r J B J J W O v I B l 8 u M h E i 8 M w c U s v Y A b w S O L A w d M Q P i 9 W G 4 e E x M r u M 2 H b l x V D T A b Q 0 e Z F K + j G T M y V 7 P X 2 Y n 9 o B v d 5 E P x Y E R H N H S X Q m t Z m X N l k q Q 0 I m 0 I i 2 D i / m E o W i S U a X 1 Y N k t v a C 7 7 l g L P Y 6 u u 3 b E B u 2 w N 6 3 P H N Z l z y F b G 7 z t 6 X A m m o d 7 9 Y / M 4 c n n 3 o a D Q 1 e Q R M j I y O 4 / o Z t 8 H b V I 2 6 X h i Q i q 6 Q s K i x J O H 1 H E f W u p 8 9 y b 9 S J B Q 4 R v d o 4 d y 2 j N b u M z S U w a i Z 1 Q y d 0 9 M u I j 5 l I 0 p Q y Q i V m U s g M q w a W N P / x 9 W / m X l U G D 9 z s X K k T H o u f f e C A o a a j R M y J c 2 Y m x o P f e A p 9 6 x t w 8 O B h X H 7 1 B T D b d U j q p i C b k x i L T C 4 w k z k y g p H g M G L W N o R N X r o + C S o 5 g E 5 H 2 z k w E 0 O F v m E e / u Q w r E o v G o y r F 9 J 9 Y v 5 l J N m e B X i L V C a B F 1 9 / O v f O M i D W 2 + r D + g 3 r 2 N v A 6 T N n k C C N 9 f Z b 3 o a b 3 3 Y T P v a x D 5 4 3 Z m K w i V y J m R i R x v X o U w 7 R X 8 u 7 3 o K G C s h j a L e Z k F C 8 9 D B G B I d k e P q L o j x 0 l G g 3 1 r s 8 Y n j s 8 S e x Y s V K v P L K K 2 I D M 4 7 a / d V n 7 8 9 9 W j + 4 s t Z S I T G 2 H o S 4 s Y r l 3 J m J 0 W o w I C T Z k U w v X p H P w 5 i O I V 1 h G 3 5 G u 8 m M q Z R W U l I O k + 8 g L C Y 7 r N 6 1 U F N h z B Z t 9 V k L r b Y N O H T k F L Z u 6 R N l 6 m 8 1 v v H l B / G J v 7 g v 9 6 o + m C Q / + Z O 1 s x U 4 q h m N x v F / v / J V / N E f f h y N X r f o / Z F v q P N W d T G q h Q E y t Q f J f 6 0 X g q G y 5 K i F z S 3 w m L X y j G o q P e 6 X y Y Z v Q U o 3 D V f H 4 s n m B i f 5 n g w z p G V e e 3 U 7 7 r r r P T h 0 + D B N 9 o V I V S G k S l h 2 V 1 I u x 8 6 F 2 B l q V o H D n i I t Q R 7 s + Y L K G p u v s Z h o 4 + k 5 2 H I l 5 8 b Y B N I i Y F G Z u E 2 B 4 8 i a H F D s u Y k i 0 8 M c O A L Z W 9 o f w p G Y Q t T K W w Q t D Y / a R 7 c X h 9 H l x v x M G C Y S P g 1 u p 8 j J P N 8 4 8 c Y M 1 l y x P N M y l f D B l M 8 k K Q N b L X / 6 J 3 + C t J I W i + 8 j I 8 O 4 4 r L K u X 6 8 A M 4 l H L 9 L 9 A Z 3 Y s R T X z G s N D / 0 o m p w b 8 B w 5 A 1 R 7 + P w r 4 N 7 i Y a P n D V h U J u Q l u b h 6 r Q I y T I 9 P Q e Z J M n k B P k V 9 P r E y Z N 4 7 5 2 3 w W Q 6 + z B p O c r b Q O f B Z k h W l i G Z D G I 1 3 u r p x n i U C w G X 6 9 / V A D m p D d k E A s Y K i b g 5 K E T Q h l x Y u M P i w m S y N F W L c 8 p E 8 x T y p 3 7 9 y C v 4 2 H 3 v x H h 4 A q 0 m a 0 m m R U L x i W Y s j C Z V x r x U W z M b Q L 6 u 2 g 4 l e Z g Y s L D 4 z Z n k j d Z + z E w H R e t h t 8 u x L A Y z G L R d S f g n v x m 2 S i b 9 t / 7 9 Q f z R Z z 6 Y O 6 p + Z G J D 0 N s X 9 5 Y 4 e u w k A s E g r r r y C p I t G S h I 0 j P V o k F V J M 3 + L u G d P 0 h W h w 0 R d 6 3 t S Y H / D 6 D e c x B c e 6 g E 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 N a m e = " E l e c t r i c a l   C o n d u c t i v i t y "   G u i d = " 7 3 7 4 b c d 6 - 9 6 e 0 - 4 6 f 4 - a 5 9 1 - d f 7 5 5 8 a 8 7 8 e 5 "   R e v = " 3 7 "   R e v G u i d = " 3 d 6 2 2 e 6 6 - 3 5 f 5 - 4 2 7 7 - a c 8 a - f 8 5 3 0 2 7 f e 9 4 2 " 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i c e s & g t ; & l t ; G e o F i e l d W e l l D e f i n i t i o n   T i m e C h u n k = " D a y " 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 N a m e = " E l e c t r i c a l   C o n d u c t i v i t y   ( M i c r o s ) "   V i s i b l e = " t r u e "   D a t a T y p e = " D o u b l e "   M o d e l Q u e r y N a m e = " ' A l l D a t a M a p ' [ E l e c t r i c a l   C o n d u c t i v i t y   ( M i c r o s ) ] " & g t ; & l t ; T a b l e   M o d e l N a m e = " A l l D a t a M a p "   N a m e I n S o u r c e = " A l l D a t a M a p "   V i s i b l e = " t r u e "   L a s t R e f r e s h = " 0 0 0 1 - 0 1 - 0 1 T 0 0 : 0 0 : 0 0 "   / & g t ; & l t ; / M e a s u r e & g t ; & l t ; / M e a s u r e s & g t ; & l t ; M e a s u r e A F s & g t ; & l t ; A g g r e g a t i o n F u n c t i o n & g t ; N o n e & l t ; / A g g r e g a t i o n F u n c t i o n & g t ; & l t ; / M e a s u r e A F s & g t ; & l t ; T i m e   N a m e = " D a t e "   V i s i b l e = " t r u e "   D a t a T y p e = " D a t e T i m e "   M o d e l Q u e r y N a m e = " ' A l l D a t a M a p ' [ D a t e ] " & g t ; & l t ; T a b l e   M o d e l N a m e = " A l l D a t a M a p "   N a m e I n S o u r c e = " A l l D a t a M a p "   V i s i b l e = " t r u e "   L a s t R e f r e s h = " 0 0 0 1 - 0 1 - 0 1 T 0 0 : 0 0 : 0 0 "   / & g t ; & l t ; / T i m e & g t ; & l t ; C o l o r A F & g t ; N o n e & l t ; / C o l o r A F & g t ; & l t ; C h o s e n F i e l d s   / & g t ; & l t ; C h u n k B y & g t ; D a y & l t ; / C h u n k B y & g t ; & l t ; C h o s e n G e o M a p p i n g s & g t ; & l t ; G e o M a p p i n g T y p e & g t ; L o n g i t u d e & l t ; / G e o M a p p i n g T y p e & g t ; & l t ; G e o M a p p i n g T y p e & g t ; L a t 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C a t V a l M s r ' A l l D a t a M a p ' [ E l e c t r i c a l   C o n d u c t i v i t y   ( M i c r o s ) ] M s r A F N o n e M s r V a l 0 M s r C a l c F n A n y M e a s F A L S E A n y C a t V a l F A L S E # X C o o r d X C o o r d V a l Y C o o r d Y C o o r d V a l # # C u s t R e g C u s t R e g V a l C u s t R e g S r c C u s t R e g S r c V a l # " & g t ; & l t ; C o l o r S e t & g t ; t r u e & l t ; / C o l o r S e t & g t ; & l t ; C o l o r & g t ; & l t ; R & g t ; 0 & l t ; / R & g t ; & l t ; G & g t ; 0 . 6 9 0 1 9 6 1 & l t ; / G & g t ; & l t ; B & g t ; 0 . 9 4 1 1 7 6 5 & 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4 2 8 & l t ; / W i d t h & g t ; & l t ; H e i g h t & g t ; 7 8 & l t ; / H e i g h t & g t ; & l t ; A c t u a l W i d t h & g t ; 4 2 8 & l t ; / A c t u a l W i d t h & g t ; & l t ; A c t u a l H e i g h t & g t ; 7 8 & 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7 3 7 4 b c d 6 - 9 6 e 0 - 4 6 f 4 - a 5 9 1 - d f 7 5 5 8 a 8 7 8 e 5 & l t ; / L a y e r I d & g t ; & l t ; R a w H e a t M a p M i n & g t ; 0 & l t ; / R a w H e a t M a p M i n & g t ; & l t ; R a w H e a t M a p M a x & g t ; 0 & l t ; / R a w H e a t M a p M a x & g t ; & l t ; M i n i m u m & g t ; 0 . 5 5 & l t ; / M i n i m u m & g t ; & l t ; M a x i m u m & g t ; 1 1 4 0 & l t ; / M a x i m u m & g t ; & l t ; / L e g e n d & g t ; & l t ; D o c k & g t ; T o p L e f t & l t ; / D o c k & g t ; & l t ; / D e c o r a t o r & g t ; & l t ; D e c o r a t o r & g t ; & l t ; X & g t ; 1 4 & l t ; / X & g t ; & l t ; Y & g t ; 8 9 & l t ; / Y & g t ; & l t ; D i s t a n c e T o N e a r e s t C o r n e r X & g t ; 1 4 & l t ; / D i s t a n c e T o N e a r e s t C o r n e r X & g t ; & l t ; D i s t a n c e T o N e a r e s t C o r n e r Y & g t ; 8 9 & l t ; / D i s t a n c e T o N e a r e s t C o r n e r Y & g t ; & l t ; Z O r d e r & g t ; 1 & l t ; / Z O r d e r & g t ; & l t ; W i d t h & g t ; 4 2 6 & l t ; / W i d t h & g t ; & l t ; H e i g h t & g t ; 7 7 . 5 8 3 3 3 3 3 3 3 3 3 3 3 4 3 & l t ; / H e i g h t & g t ; & l t ; A c t u a l W i d t h & g t ; 4 2 6 & l t ; / A c t u a l W i d t h & g t ; & l t ; A c t u a l H e i g h t & g t ; 7 7 . 5 8 3 3 3 3 3 3 3 3 3 3 3 4 3 & l t ; / A c t u a l H e i g h t & g t ; & l t ; I s V i s i b l e & g t ; t r u e & l t ; / I s V i s i b l e & g t ; & l t ; S e t F o c u s O n L o a d V i e w & g t ; f a l s e & l t ; / S e t F o c u s O n L o a d V i e w & g t ; & l t ; T i m e & g t ; & l t ; T e x t & g t ; & l t ; F o r m a t T y p e & g t ; S t a t i c & l t ; / F o r m a t T y p e & g t ; & l t ; T e x t & g t ; 0 3   A u g u s t   2 0 2 3 & l t ; / T e x t & g t ; & l t ; F o n t S i z e & g t ; 3 6 & l t ; / F o n t S i z e & g t ; & l t ; F o n t F a m i l y & g t ; S e g o e 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2 3 - 0 8 - 0 3 T 2 2 : 5 0 : 2 4 . 0 0 0 0 0 0 9 & l t ; / T i m e & g t ; & l t ; F o r m a t & g t ; D & l t ; / F o r m a t & g t ; & l t ; B a c k g r o u n d C o l o r 4 F & g t ; & l t ; R & g t ; 1 & l t ; / R & g t ; & l t ; G & g t ; 1 & l t ; / G & g t ; & l t ; B & g t ; 1 & l t ; / B & g t ; & l t ; A & g t ; 0 . 9 & l t ; / A & g t ; & l t ; / B a c k g r o u n d C o l o r 4 F & g t ; & l t ; / T i m e & g t ; & l t ; D o c k & g t ; T o p L e f t & l t ; / D o c k & g t ; & l t ; / D e c o r a t o r & g t ; & l t ; D e c o r a t o r & g t ; & l t ; X & g t ; 1 0 6 2 & l t ; / X & g t ; & l t ; Y & g t ; 2 4 . 5 & l t ; / Y & g t ; & l t ; D i s t a n c e T o N e a r e s t C o r n e r X & g t ; 1 9 & l t ; / D i s t a n c e T o N e a r e s t C o r n e r X & g t ; & l t ; D i s t a n c e T o N e a r e s t C o r n e r Y & g t ; 2 4 . 5 & l t ; / D i s t a n c e T o N e a r e s t C o r n e r Y & g t ; & l t ; Z O r d e r & g t ; 2 & 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N a m e = " E C "   C u s t o m M a p G u i d = " 0 0 0 0 0 0 0 0 - 0 0 0 0 - 0 0 0 0 - 0 0 0 0 - 0 0 0 0 0 0 0 0 0 0 0 0 "   C u s t o m M a p I d = " 0 0 0 0 0 0 0 0 - 0 0 0 0 - 0 0 0 0 - 0 0 0 0 - 0 0 0 0 0 0 0 0 0 0 0 0 "   S c e n e I d = " 8 1 4 0 f 0 e f - 6 d 3 1 - 4 1 b c - a 8 1 f - b 9 c 9 9 e 3 f b 7 a 4 " > < T r a n s i t i o n > M o v e T o < / T r a n s i t i o n > < E f f e c t > C i r c l e < / E f f e c t > < T h e m e > B i n g R o a d < / T h e m e > < T h e m e W i t h L a b e l > t r u e < / T h e m e W i t h L a b e l > < F l a t M o d e E n a b l e d > f a l s e < / F l a t M o d e E n a b l e d > < D u r a t i o n > 1 0 0 0 0 0 0 0 0 < / D u r a t i o n > < T r a n s i t i o n D u r a t i o n > 3 0 0 0 0 0 0 0 < / T r a n s i t i o n D u r a t i o n > < S p e e d > 0 . 5 < / S p e e d > < F r a m e > < C a m e r a > < L a t i t u d e > 5 2 . 1 3 8 8 4 5 8 4 6 8 8 1 2 5 3 < / L a t i t u d e > < L o n g i t u d e > - 1 . 6 6 8 6 7 0 7 6 4 8 3 4 2 5 5 8 < / L o n g i t u d e > < R o t a t i o n > 0 . 3 9 2 3 1 8 3 7 6 2 5 7 0 7 8 8 8 < / R o t a t i o n > < P i v o t A n g l e > - 0 . 7 9 2 3 5 1 5 7 2 0 4 3 7 6 8 < / P i v o t A n g l e > < D i s t a n c e > 0 . 0 0 5 7 6 4 6 0 7 5 2 3 0 3 4 2 3 5 4 < / D i s t a n c e > < / C a m e r a > < I m a g e > i V B O R w 0 K G g o A A A A N S U h E U g A A A N Q A A A B 1 C A Y A A A A 2 n s 9 T A A A A A X N S R 0 I A r s 4 c 6 Q A A A A R n Q U 1 B A A C x j w v 8 Y Q U A A A A J c E h Z c w A A A m I A A A J i A W y J d J c A A J m g S U R B V H h e z f 0 F g G T V l T + O f 8 p d 2 l 2 n x x 0 d h m F w h y A R S A h E I J 5 s C P G Q Z J P d Z G M b C G G T j R I I 7 h L c h 8 E Z x n 2 m p 9 2 l 3 O X 9 z 7 n v v a 5 X 1 V U t k 3 z 3 9 / 9 A T V c 9 f / c e v + e e q / v W N 7 8 l / f u n F 8 N g M i N t 6 4 C 9 9 l j 8 8 U 9 / w Q 0 3 f B 1 O p w N X f O Q K 7 N m 7 F z a b D T 6 f D + v W r Y M k Z f H 4 4 4 / j j D P O R E N D A 5 5 4 4 g m s X L m S j n f i U 5 / 6 J J 1 z J b 5 3 4 3 f x / e / / A E u W L E F v b 6 8 4 z m g 0 w m A w 4 L J L L 8 P n v / B 5 h E I + b N x 4 B g Y G B t D a 2 o b 6 u l r 0 9 v U i E A j i 1 / / 9 c 3 z z W 9 / F f f f d j y u v v A J n n n k m X n 7 5 Z U x O + n D j j T f i T 3 / 6 I 1 w u N y K R C L 7 x j W / Q v W 7 E C S e c g G O O O U Y 8 z 4 o V 8 v O c d t p p u O a a a 7 D 5 t U 3 0 T D f i 0 k s u x a u v b k I s F h X n n H H m W d i 0 6 V U c d + x x y C K D T E Y P g 6 S D z g j o U A o Z + v B e v f h V i K y U h l 6 n R 0 b K w K A z 0 B Y d J L F H E m d l M y l E f E e g y 4 S Q t S 5 A K p 5 G 3 / g + N E 4 e R q z s H G T i R k h J I / T U V p l s E g Y L P V f M h K w x A n u b F 7 r s Q V g N d m T 1 d e K q 5 k w f 3 c K J q K 4 K N l N W b E M m j b G 9 C Z g N I w i V e d B Y V y F v L 4 Z s g l 7 F o v w o B n p 6 6 n O I d 8 l h K N S H s X A T x s M W e m d 5 2 5 m L E r D 0 P o l k 4 1 l 0 T a u 8 k c D 7 9 Z o G H Y p t g 1 F n Q 4 V x E Y K 9 a a S p D b w L L B i J Z p C W b D D S r R o 8 3 M 4 y d K l R S K Z q 8 X 1 P x o 2 g Z B L f 0 6 k k 7 r 3 p p 3 j p / j u w 8 d I r s f / 9 t z H S 2 4 1 r / / 0 X e P H + O 3 H 8 W e f j j p / / E O 6 y C p z x 4 Y / h 4 9 / 8 E V 5 8 4 E 7 8 9 c f f Q l V D M / V F G u d e d R 0 2 P / E Q o k S P i 9 a c A K v d g f U X X o L f f f s r C P v 9 + O n 9 T + H G K y 6 k v 0 + j e c l y 6 s M s t Y g e H Y Y w q n T U d o R M N g W D 3 g R d Y H J M g h S H P x q F w 2 y B w 1 2 D b D a L V C o F h 8 N O B E E v S O 9 l N J r F i S B i S U v U 0 Z I e F o N E D 8 Q d q I d O z w 2 u R z K Z h F 6 v F + f r d D p Y L d R R 9 D f X J 0 x U 3 L I S X U M m M C Y + B j M q m J j p n o K i 6 c H 5 2 l k + j i + R o e 0 G H W 1 R O 1 Z + M b 6 W C r 4 2 P R X 9 m y N 2 e k E + m a 5 h p A 5 I 0 3 N I S G f T + O 2 t t + L B B x / E l v f e E 8 e l s j o Y 9 Q r R M w X Q b 3 F t + q O j + / K v 6 e B n Z O Q / h z i J G I + f L 0 v 3 1 h M x q l f I 0 r 3 D g X E 6 R S a K U H I E c X q u 1 p F 7 E G n / p t i m Q p f s w 8 g B P a K O N L J l W T R 7 m u k Z D d S + k 7 T T C x O 3 u 7 i v A R K 1 u z h H / E u X D x 6 G e e w l j D S e B 0 O g G s l J M w z O O D y N D u U I G b r k E C S z z J w C E v V d J k w 7 W K r w d e 1 I 0 m + z w a k c I G P / q B H 9 / h y T c R + d u T A B V 9 9 P E G r 6 v r I V d K 4 O o b g e F Q 6 Z Q X T 0 v p K 5 R n y f h u Q 4 A s M 2 Z C J m W K r S s F f Y 8 F a P G e t b k 8 o B + Q z 1 5 T O P R T I W g 7 u 8 H G 6 v F w E S + u N D Q / j k D 3 6 G l 4 l x v v S L W 3 H j R 8 5 H f U s b L v v 8 9 T j m 9 H P x g y v O x 9 r T z s G l n / 0 K r l 2 3 B F / 5 1 e / x y y 9 c j X O u + i x W n X w a b v 7 q p + E g Z b L u / E v w y k P 3 a B j q K W K o F e K + z F Q L D N E p h l K h C / h G p X f e 3 U Z a Y Q J n n 3 U 2 X J 4 y c T A T i C 4 b p c Z U G p 8 a G T q S k k T c z C y s a R K J B B x 2 G + 1 k w m a C k c + T i C F 1 S C C j o w 6 k D s l S O x I N i O N 4 f z Z D Z E Y E K p + n k h m R P d M w n 0 u E I T O Z c j 3 e y z x G z M g H M Z E K 0 u W f / I t 6 k p 6 K 7 m U i J u W / B m I Y v g Z f n 1 + e / z X Q b 2 K k h A S j R U 8 a K o a 7 7 r 5 L a M v K y k q + G p 0 r L k 8 E S 3 e m v 1 q J K v F 9 i c H 0 h j T 9 4 m d T d 2 o O E s / L v 9 V t 8 t 0 L w e 8 Y J m n I x 0 f j k 7 D r U z D 6 O h G w O p C x V p J 0 t s N u l D V K P J B A o C u J m p V 0 T 4 M D g T j g I c H P j A Z D G d 2 B C I s J n x q Y n 5 2 J m i W X s / + X e M N 0 D V r L q N 8 I Z r 0 b y W w I H k u z + B 2 b T C I 2 q o e n Q 0 / v G 6 d + p n 4 k K Q u 9 I j j n i E 2 d F q S o b 2 w m C S e 3 y U R v P / I r Y q g v I 0 6 C 2 q g v I 0 Z U n o v A 8 p f 7 S 5 8 a I K a q l z d O o X h 7 J a M p T B x K w E R W F B E l + u r K E X c y 3 U 2 H 6 L d M R P Q 9 3 z S l s 9 A 9 T f Q M T G k y 7 a g a J v 9 + m r 7 j z f S P L J a J Z l L 0 j T Y b m D D U F y F 0 6 H y o M v B 5 O e j 8 E w N 0 J 5 n b S a / A 6 a k V 3 8 U N M g n R 0 P I 1 p r + s T L w y E f M + l X k M i C J L R C E T M j 2 + Y C j 1 X P q h E C R v 1 x G R g z 6 6 K S 2 V E q / G 4 G 2 y N u L r S C T p D D D S X r 5 W m j m M Y K R 7 y o 1 R 2 E A M C X 4 y H 1 0 u l 2 D S T E I m L q O F V D P t y / K 1 x P H y v W V w o 8 t 6 L v 9 a v I f u Q x p U M L e x U G P x 8 + S k 9 f R n y S H H U M Q w a d L i R g m u w V 8 g V P 9 t s U 2 X G h O C L J O x Y G x P F L V r X b S V 7 k 5 t o y c h p U K X 7 E F M 3 y r O 1 y U H 6 c U q Y D t 4 C 2 I L P o s 0 M V 8 4 R d v 4 O G p H 1 v 4 u c w O d z 5 q f w B o 7 P U F N H 8 f Q Q R K U a Q v q 1 p T L + + a B c F I v i J W b l i 2 S e F q P S t K m D O u h P y C x 4 N P 0 L h o m l Z L 0 f q x d T W T C V V B b c F 9 C a F o 9 7 c u y 6 U m / N X S L 3 c M m r K g l u q D t L O S m N B Q L O d J + 3 C 9 6 6 g + G j j u H P t K U C U t 9 R i Z t M m u D m V 6 d r Q X u Y Y P a D n N A l h 5 Q v b 7 o e 6 W b 2 6 U Q Y r s 6 E S b B Z D N X I J 4 I Q j f a e V A y u d 1 0 k B 6 j k V 6 0 1 6 0 S k k 6 Y K H y N T J T o x C 5 f Q Y A J h T + 8 U 7 k J f T L U Y X q W 4 L o Y a S a T 6 D i Z L G U i 5 M Z W z 5 N J V v 4 u + x n E J v S g e t Z A Y j t D P i 7 L 1 + V n E d t V w i c J Q y a n j q U Q 7 V G f Q w V r Q N 4 U D A X J b H X A Z D Q h S i a t T W h T G X y G e j Z D / c t 3 4 X v S k 4 n 7 y v d k Z i l g O j p Q I n 9 L m L D a 3 i 8 K v l P u f C 1 D M e z 7 f 4 6 k f Q X S z R e J 3 4 F E F z z m Z k z s 0 6 F 8 K V s K M e o D m 3 i 2 S O Q A J E M d x m M + M q 3 J T L Q 5 S N L L Q t A Q 2 A s d m X n p x g v p h X L M H U r 0 0 x N w O 5 v h M F X S 8 8 o C l B F j h k 5 2 Q 2 d v Q X A o g u h I B j W r 3 d Q v s q b m v 2 k i W g s x r U A 2 j l i G n o X a K J 0 1 w G 3 l t i l 8 f w n m g c c h W e q R K l 9 B 5 m O M m K e M t m v b c D p 0 i U F x j o o A m Y k m M s H t Z u X e C n p S N q T I Q i p E l j S s j i y T T I r o h h i d L W o j d z n 1 j z m 8 C z H J i 7 6 J L L z e M q H t H I 7 i W q 4 U E g H q 9 3 Q a 1 g q 5 / a q J o d x T i o L 2 U 1 v q A q P 7 J c l Y j u h w F m a 3 H u U 1 d j y x t R N p q 2 I v q 8 Q S n M D l J 6 2 l L 0 w c Z F 7 Q X 1 k h M m F R U 9 H 7 6 U j V p u g t j N R x q v T P U m f I 5 p 4 g Q 8 F 4 B r q m 7 F e Q l C K p p E p d i R x E E g X K L T N 0 j N y Q M m G r j E g 7 e b / Y J S E S j c F C f p q R G j g t r s W m D 9 / b K B q W D A Y Y z K y R 2 O + T T + V 3 U P 0 2 R j 6 5 M x G l 5 y f B S H R K d H E D E 5 2 4 r t J m J c A M F a L 2 J J K E 3 r c P + s Q w U p V r y H g z Y p J 8 q V A q T P c n j T K + A s 6 2 M C K J J G k X C 4 J J I z z 6 A U y m m 1 B m D p E 0 J p P c V E V E R C Y b M 0 v / z Y g 0 f V 2 5 C 4 O e h / q E H C e 5 7 V h Q p I a J A R u U 3 e Q f p y M w S e E 8 8 2 u 4 O 0 K m C + B u N c L m 4 Y 6 d v S 2 E l U L X M 4 + / D 2 O 4 C 4 n 2 j y t 7 5 o 5 C X + 7 Q m B E L y Y 8 q R H f W g Y j w 4 + n V i j R 1 K h u h l i Q / j A 5 g O u R g W n k Z M x E z A m n m B L 0 c 0 V n W S I p k V m E o I 5 u W x W 8 2 Q V a S P Y k E 9 U V d O E y m b h o O N 7 s Y O v i i 1 M b + i X 5 J d I j B L Y I J T l c Z H t n T C 1 N t q 3 w l B a n h L l y + n O x v U p 9 Z y U I q l U 0 8 e Z 8 c 1 W J 9 y r Y 4 E 6 / q i G s 1 D 7 W 3 2 G 8 m 1 c 6 E J 3 e S T L x 8 I V X i y P a t y q T s u z B j p U k y c J S Q i S R D h r i J w 0 B 0 n v w I 8 r 8 s h f n e v D V N h r 3 R x J E 2 Z n y 6 O p k 2 J D f p o r J 0 Y f O B r x W P x e k 7 C R O z W W l w P p 7 P k J 9 Z v j Z / L y 1 d s 7 I c m B 3 0 / j p 6 X y k Z h D T 0 e 2 T G I m S e f U 6 0 R Z b a X 8 e a O B M Q f Z G I S L j 1 j / 8 j o q M f v f I K / P C H / 4 7 / / N H 3 R H s I i a P R Q L p U C I 7 e W x B e c C P / k j d q Q f c V 7 U v v z m / C k p T N R E a U 3 B 6 H 3 g / J 6 C V N J p t v q j b i e 0 3 u z 6 J i a e 5 e M 4 L u Y y M z L 7 b 4 e m V D P q b o Z A b o k s P 0 n E R f 9 L w h k g V u D m Q Q s / L z Q R G 8 2 q A E C z O 9 x t l l u m M I w c r v T b Q q m o Q E F L c v v Z T w h e l I Y Z X l Q X 5 t D Y i J N I J X B Q f e W C i W B w e x u t 6 D I G l S u 5 l Y N 0 z K 4 j v f / v q P m H p D 8 U 5 E M 3 4 4 7 d U 4 M B Y i o c Y q O o d s O I C l 1 V 7 8 6 D 9 + g s c f f w J D Q 4 N o b m 6 G 1 W q h F 6 J G o s Y a G h v H 4 c N H U F d b i 6 7 D + + F w u m g f m 4 5 M B H q 8 + N I m M h 9 S K P N W 4 l e / / h X 2 7 N 2 D 5 U u X w 2 B i 8 1 B 9 c N k c v O e + u + k 6 9 b C T m c b B K 6 P B S I 2 k w / P P P y 8 Y i 0 P i v K 3 z y B F 0 d n b S P j 3 c 5 C t x 6 3 H k 8 d 7 7 7 s U d d 9 y B R Q s X Y 8 + e v d i 6 n V R + P I n q m h p 6 H r L 1 4 z F i W A M s x E h m 0 m A c Z O n v 7 x e f 6 q p q P P z I o / j H P 5 5 E K B S m Z 7 D j 9 t v v I G H j p H 1 y A G N g k P w T e i 2 j g c z b a f 6 U j E A s A S u 9 2 4 s v v Y S 2 t j Z q A i I C E i h Z + v S l X P A b L K j 2 P c + 2 K V 7 f H 8 R D D z 1 M F y T f J x w j g W H B + v X H Y n J y E h 0 d C 3 D a q a e I 6 C o L P S Y w E c 4 h A t H H R m A e e R m x t s / T H X U I p 0 c w F t 8 L t 4 k 0 D m s n 0 o L g g A M T E x F Y h r Z Z y I x S B R q b V G x O M p i R o m Q q q Q z F 7 W Q l t 2 p i X w r 2 6 t m Z y j C x A 1 l n C 7 K 2 w m A D M B L b T V r D B F O e + z A d O t I u E p m l z F Q W o i 3 x 7 O Q P T g m Q b B R j c C K h C G C t h n n l 4 X v I T D X C X V l J 7 U P E z R u J R v g Y 2 U f n N q M / x I A 6 D R N O g T f R h 1 2 J k b 5 u 7 H 7 n D T R 1 L B b B N 2 a g L G k H A 7 W / g e i P a b D F b Y J D l x H t x Z c z W O i 6 O 3 s e l + q o 8 U 2 m c i I M J 5 z u S t J Q P a S h 2 u S b K E g N d w s N 9 e 1 v f 0 e 8 6 O J F i 9 H T 2 0 O d H 0 Z t b Q 1 a W l r g 9 X j R 0 9 O F H T t 3 Y / X q 1 e S 3 R M R f i 8 W K p 5 9 + C q 1 t r T j u u O M w N D i M m u o q L F m 6 G L f 8 9 l Z i B I 8 I H I y P j y O V S i J G W s N A 0 q O h o R H H 0 / G P P v Y Y 3 G 4 n N m 4 8 F f f f f z 8 W L G j H 8 P A o a u t q M E H n s H a J R G J Y u n Q J E v E 4 P v i h D + O e u + / C + M S k 2 N f V 1 Y V T T z 1 V / O W G O e + s D f j T X + 7 E w o 4 2 1 N Y 3 Y Z C Y g 4 + 9 7 t p r 8 e Z b b + G D l 1 + O u + + 5 R 3 Q E n 1 N d X S 3 e k z U Y + 2 L l 5 e V C e n N D x + i + w 6 P D Y p v H 4 8 H i x Y t x 4 M A B Y t g 4 O r t 7 0 F h X i 7 P O O h N N T U 2 o r y N C o 4 Y P E g P 5 J i d I K L j w + B N P 4 K w z T s F / / u S / c P N / / 4 Q 0 q g U T e 1 J w t Y A c 3 U F k L f R F Q Y z M j u H o N r T b W o V D z 3 C N / B q h G q 2 Z R 7 c g K a / 6 V Y W I J n X w O E 1 I 8 f A G P Q v r 4 3 v v f R C L F i 3 C M c e s R T g h w W V h 8 y Y f v p 4 A 0 s k s q h b m C 1 o t r A f + B 7 7 m a 6 E z 2 Y l x 2 P F X d s w X Z A X 5 E j a U 2 a Y / B 0 P V U O G A D 4 / / 6 V a s P u U 0 7 C H i Z 6 Z J x K I k N D K o r C p H M B C B q 7 w C o 8 Q c L U t W 4 O C 2 9 9 C 0 c A k y 6 T j a l q 9 F Y G I C h 7 Z v g c 3 h h J l o O h 6 L 4 e w r r k H X v l 3 Y / / 6 7 8 I + N 4 I K r P 4 N F x 5 y g 3 D k f 2 n E o F f o G 2 3 E w W R q J v V w Y i O w Q J l g p s L N f Q 8 z z i W u u J l 7 n r t D j j N N P F Y S f S U b h 8 X p J k B i E N D a S S R Y O k 4 Q k w n v u + e e E x P X 7 A s T h B q w h J n v q 6 W e w Z c t W e j k y D Y n r W W 2 3 t D Q T I x m F S o 1 E o n Q N P V 5 6 + S U i w A B d K w q r x Q 4 7 O e G s G V a v W o m h g U F i z B q U l V V g / b r 1 2 L T p N Z x 9 9 j l C 0 C S S c m i f 0 d 7 e T u f I n c M M w Z H L 1 v Y F M F o c J G 1 M M J M W W d z R j L 1 7 d 0 8 d x 8 z C W L h w o T h H N g c h t B U / p 7 p / 6 b K l O G 3 j a Y K Z m I l e e + 0 1 s Z 0 H t E 8 + Z S M s d g e d H x O m Z Y i Y k j m K B 6 N 7 e r t J 0 B j w o c s / g D K n D j f 9 4 g f U o h b E J l k a Z j C 6 b x z D v g Z 6 H D Z 5 + J O F T Z 9 G m 3 0 B m Y T s 3 1 L 7 h 4 8 Q A e U Y T k T 6 C M W Y K Z K S 2 8 J C 2 v S n / / V L v L 9 t F 2 6 + 5 X c k w C S E / G G k 0 i n q g y z c u j 7 q y 0 m 6 C I f A 6 R 6 p U f q e R l m L R z D T + O 4 k M V Y + j b D 5 3 E W n p K s 2 w p H q k 6 O O y r 5 i 4 H e K x u R r Z C R i n m S 3 + M 7 Q J 0 Z g 7 b 8 X d a E n Y B l 7 A R j 8 C w y D f 4 J 5 8 H 9 h D B 1 Q j p J h N J n R v H g p n v z b H + i 7 l Z 4 r C Y v N j t U n n 4 r R o V F h + Y T 9 P t S 3 d Y j j u a + r G p u Q T K Q w N t A n b 6 N + b V i w k N q c t H M w i I H O g + g / d I C Y s E c I T T 2 7 F v O A z j / W K W W y p M a I k A 1 S D I 7 y N j z 8 9 i 7 o y J e S Q T Y n N V j G P 4 6 P b F j D S p O 2 s Y n D Z g G b V + S 3 c E C A 7 F K W S L I m l c M H H O b l Y / K j e J r g Q h 5 4 s J X + 6 K h j S V n z M W q W g Q r W L s L k 4 e / 8 H z V C O s N B C E m Y o E 8 + 8 S i + 9 O U v C P P v L d I 0 6 0 9 a L 4 5 l R 5 S a T v 5 a B D z w y L 5 D V 3 c X E Q N Q R 5 p v x + 6 D x E y L B A P N B B G Q o I 8 Y o 9 A g Q k w Y S p K T T g 2 y Z + d 2 b D j 5 Z K H x G P w e 2 i i f C h 5 M D f m I 4 Q Z T q F 2 a R B Q 1 Y t w m O h K C P m o l Q o / Q d v I F T f K g q L P v 5 w g 3 f U d 8 1 6 X J 9 z J 6 6 O I J 0 r Z B Y d q + 9 M q r 6 O v l L J R W 0 p J n 4 b v f / S 5 + 9 r O f C G E 1 N D S M t t Y m v P T S q z j t t F P E N R i 6 9 C R d R w 6 f c 7 / T K x A T i p 9 I J y a R 1 F d R v 5 L v e S i J 8 Q o z F t V k c X j c i E V V a W L o C V h 6 H 0 C i 5 c O I Z f z U l t V E 9 W 7 5 5 C I 4 M m F E k 5 e D T 0 B Z / 8 2 I t k 7 3 v Y Z i O 5 k D U W 1 b I e i I o f W h j h b y G G u u b 9 l c D E 6 O 4 5 L P / J u y Z X Y U 0 1 C 6 h 9 8 J S m W 2 D I 6 p 4 z C s C T Z P N R E k E x 8 R P b 1 I N s s p M P L B v E 2 G z E 4 8 4 s 9 f W K J y G J K 3 Z V j S E X P y M U w + T E Q y M / G h H G D g c Q B 5 r 8 w w 8 i / O X G D 7 V 9 V 8 d F X 6 z g G G 6 e A g g k R M I h x c O j 2 d 4 K A C B z z U D A D B m e I b X 4 / u L r 7 l / D R 5 / 3 A w C q / d S g T D D C w f l Q c O w 5 I E l T i F p o Q z X S o g E S F t z v 4 X 8 1 C N x 0 V b + A 7 y X a Y Y i g S O C E I Y Z b + M N c H j 7 + z D J / 7 + A g I 3 f 4 T 8 a b I c N A i T j x 3 e G 4 a 1 I Q W H c T 9 c w R 7 E 2 6 5 E N h m G 2 V G G 3 / 7 2 9 + S O h f D t b 3 0 T u 3 b t x v B Q P w L B C C 4 8 / w z y / z w i m K P 1 O R i 6 1 L h s P i p a c C 4 D u w d H D 2 B R 9 W I M b / P D X k W + a z 2 1 O 3 W w a + D n C D X w W F q x X l N B b Z C J i b + T k T T K 3 S 5 Y h x 9 G v P b D 8 u 4 C 9 I R f R 5 1 9 D Q m m X J b G j o Q d U c X v K w T T B U d 0 V f C T c K s X Q h X r / w z q p G 6 4 s s P 0 T Y c K i 6 w F d Y + / F 5 B O X S B z G W s X p 7 s C H 3 / 4 P X T C R Y 2 v P o o O r S S 5 7 v r w S Y o G Y u 1 D z M b a i X + y d q O O 4 n C 1 P N 6 R k x 4 c I N B P R V N U o l J f h L / r i Z m o M 2 l T b p B W Z g O y b Z T 7 M V j L 8 A 8 O 1 e e u k 0 4 Q M 6 s i l K M 6 g i D k c D 4 f r b 2 b D J X B y F H 2 h 8 T + W i 8 T P O 2 h H 3 p O e x L 7 8 8 / i K + l 4 T E 6 9 I r U N M 3 A 2 T W w 6 x V C 8 j z 9 6 D M f o O v x e q c T U 9 V V o N V R v o F P 8 Z T S 6 W / D r B / + B n z 7 + H v b / 8 E u o X S y H t z n r g 6 N x H s M E + e h V 6 D z Q h / H J Q b x C J u 5 1 1 3 0 S D o e L N M 8 v 8 a l P f x L 7 9 u 3 H a 7 T 9 J / / 5 A 8 T T J C C V 3 D 4 e Q G Y L w E V S V e J B d 4 6 m 8 T t x g E N k T x S + b w 5 j Y Q M G g z x 4 S V K 5 g i N 1 k h g j 8 l h 5 P J C s h H g a a b J S r I Y k W S u 5 / L 3 p k G C d f B K 6 8 A i O W C 5 C X R U x s h J 1 l b J J u u Z B e G 1 L 6 F G U B h U R O 2 p P 5 T f n e C b i C Y x W t C P E G S I F z 6 z 0 j K B D M Z h N 7 c 9 B M d 5 e D P p s G F k N o 8 4 P E m m o y H Q f S m W m 0 Z F x 6 O J s y 2 Z x R O f C O + Y G v G 1 q V D 4 N 6 C Y z g N N 7 5 E e m n i E T z 0 g 2 q Z 4 T X m m T 4 H d 6 C S 0 z y Z C J N / d S / F t 9 d X k f 5 6 Y Z m S H F f 7 y N G I n 3 U s f x W A N / m N j V 4 9 U j 0 3 E p x 0 w M 0 i R S h k P E u a a W d a k W 6 h 7 A Y V W l s X w M C 2 8 O 1 2 o l F + 8 Z J i n P 2 y S D Q / g v 4 i 9 3 R F p l M B W 5 8 8 R 2 x T x l 8 D U S n B R Z A L N B H d E H + k n j x D L c H / R u 5 J M M R / r J O e / C b 3 5 z E 3 5 7 0 8 8 w N M m a 2 I Y / 3 v Y H H L / 2 Z P J F V 6 G c n G 7 2 A X / 0 3 U / B V h H C 8 p P c + N y 3 z 8 d w d C 9 p X r l v I w k 5 T O 7 k A V I y d U S r m O v E 2 J N k Y P O u 4 L m p f 9 m s C z I X E 6 q c G a y u T 2 F R J W d q y O / L z B S m 6 7 L G M 9 l M S P b q E e g u 0 G 6 0 r 6 u 7 H 1 v f e w P 3 3 v 8 w t m z d g X j 5 x Y g 1 X 4 e I n r S v w k w M H Q l C r 3 0 F f d H 0 J w t Y 9 T e Z w x 6 P m 3 M E x D 3 p X 3 m 7 B u o W O a J H f 2 d g J o b W 5 C s E m 9 o M 2 W 0 p h v z 7 c / Q 6 l P D D 8 J l P f + x H d j J 7 R I h b l 4 T J W o X b 9 k + g 3 5 B v + z Z m g 7 h u W S 1 + / K M f 4 7 H H n 8 D g 0 A C a m 5 p F W J t N K T b h R k Z G c O j w I d T V 1 q G z 8 5 C I Y n G 0 j j u J G + G F F 5 4 X H e X 1 l O G / f / 1 r k c W + Z O l S I g i 5 Y Z n 4 V d / q n n v v Q 0 1 t P Z w O u z A t O T T P e 5 5 9 9 m n R U F a j H U b q y C N H O k X Y n M O g c o o R X Y s 0 y R 1 3 3 Y M 7 7 7 x L B B U 4 P L 9 t + 3 Y x l l V R V c b 9 L K 7 F G R S R e B J O D s 8 S + v r 6 M U D O q h w 2 f w Q N 9 f X 4 5 a 9 + h V V r 1 8 J O x 3 D I N A 9 E B G w l U c M p T 8 3 g b 1 m 8 9 N p m V N J 1 O G O F r x + O x Z F I p c V 3 l u r J p M z 4 T j O P / x k w 1 h d B T X U 1 3 E k 9 7 n p 7 D 3 7 + 8 U Z 8 9 9 / / g s b a d s E 0 H D 4 / + + w z R V u c t x w Y 3 9 + L + u b l s N n J V E + P Y z K h R 4 I 0 W Y N z C Y J x u j Z J z m h 6 A o H Y J E Z C b m J o H W q s p B U 5 J K 1 B k M z l L p 9 N p A 7 5 Y g b S E E y C M q N Y T D n T K Q e Z R F M k 5 W w G Y t h 0 S D C p t T x D H y O e f e 4 F 7 N / b i T 3 7 9 m F s b A x r 1 q x C X X 0 T V q 5 Y J m Y T q C h 3 K B R L 4 A H c C s 3 v Y p B E / + v g J F p 1 E l N X k j a s k M j L N K b g k f y k D P p Q J o X R b D G g W p + Y 0 6 d K n 0 R d e C s q b Z 6 p b e U I o t a Q Q Q 2 9 G / + u M a S n 9 h V + X L q 0 E L + M 8 f g Y g s k A d C N j h y W L w j z h / i x q l 1 d g w y M H h V b S 4 s R k P z Z f t g D f + 9 7 3 R Q b 5 k s V L 0 N 3 D Y X N y l G t r 5 b C 5 1 4 O e n l 7 s 2 L E D q 0 l 6 c n R r 9 a p V s N m s I q r H z v E J x x + H v v 5 + V F V X i Q j Z r b / 9 H 7 h d b m I G p + g A T r z l a B n b U c 2 N D S L M / p g I m 7 u w c e N G 3 H / / A y J s P t g / i M b m R h F q 5 9 A 4 P 8 f y 5 c t E N O 3 y y y 8 V D D k 2 R k 6 y x U z P 2 Y 2 N p 5 y C r q 5 u Y W 6 d c 8 5 Z + P O f / 4 p F i z p g d Z U h E v B h f G w c n 7 m O w + Z v 4 o N 0 / t 3 3 3 I 9 V K 5 d j 0 2 u v o 7 K u A U M D / T A R 4 / A 4 F T 8 j B y s + + Y l P 4 K U X X 0 Y w H E R N T Q 1 6 e 3 t E W / l 8 f q w 7 / S x U k W B Z 3 N 4 m T L 5 h f 5 D 2 6 M R 3 N p f D Q R 8 m J n 1 4 6 K F H R W j + 4 o s v x s / 9 1 d j s X A T 8 4 Q Y 8 d O 2 5 u G D B J F J t H y K m T S O Z N c C M G J z d P 0 f E e w k O Z t b A 1 u 3 H R L k D x 7 p e g y E x g U x i C G + a v o 4 T G 8 k v 4 j 4 V k p o Y o + t + S F Y y O 0 0 u Y m Y i A W o D S 2 o 7 c w V p j H O R c S 4 U Z v u c w V J E 0 Q J s R r J Z n u L 0 p O w Y Y p I H s a 4 M y p c o p p 8 w w 2 c y A 2 X w d Q r i O n k Y i + 9 H m a U N k / E j 1 A 8 2 + i 4 n H g x F t 5 E p X k P m Y F g o v D L q z 0 p 7 l d g 3 F 1 g G H k O i 4 V L l 1 9 F D T m Q g y 0 q i B k h E s w g e I b O g n k w 4 x a w q B E s s n u 9 R W 1 O H T 3 z i k 3 Q B a i e S r G e c c Y Y Y z W f p 7 / V 4 a J t e h M 3 Z b + J c O j b N n n 3 u O R F G n 5 z g p E g d 1 q 5 Z i 2 e I w b Z q w u a s N T g c z W Z k M k l M F Y 3 Q d y N e f u l F B I N B w T B 2 m 0 2 J u u m w h r Q G R 6 p Y m / D 4 1 8 Z T N u C V V 1 4 V 0 S w e 8 O S w N o f d G W 2 t P K Y m 6 x A O g b N J I I f 2 z e L e f M + F i x Z h L 0 n V j B h F 1 4 n z X 3 j x J Z y 8 / i T s 2 L Y N 8 U Q S q 1 a t F P f / 6 E e v F A w 0 M E h M Z j G h 8 3 A n Q q E Q t U F G j L l d d t m l Y u D Z Z u N n l e R w O W k l R o y E R T Q S w 2 9 u + T 3 e 3 7 I d J r M R p 5 x y M o 5 d c g q + 0 E r O f e 8 + c V z r y t N g K R t E 5 7 g B u / b 1 w N N 1 E 8 I D u 7 H X f g P + + O h O t F c a E H A M Y 2 1 V D z I V x x B R X I J M 2 6 d w Q i t R p n w r 6 F M j S K b J 7 2 i 7 E s m 6 C 5 G s 3 I h U 1 c l I 1 5 y C S O N X E G m 7 H h n P U g 0 z k c E d 7 Y N l 4 k V Y f K / B M v a s v J m Y w h j Y D t v A 3 6 F L k W B Q m I l f y U T a i R m K B z f Z Z 7 G a y O x X L A 4 B l Z n Y d E o H h O l W D C o z H R g 1 I p a S + 4 r B 0 4 T C / g m E D v r I P L a h 2 r Z 0 i p n 4 e n X 2 t a h 1 1 W N x 4 y I s r F k k m I m F 5 l y g S 5 D A K j t e + a W C X o q f c y a w b 8 f v w T m W H G A h i 4 g z 3 J E J Q u e f H J W y q R h d x k D E Q e r U 5 c E 1 j + / A 4 U x + F I U z a + / 8 o H z z 3 O t O B z M Q J 7 w y W E W r k T x J G L 9 i s + Z 8 f v E Z x J I C p g / u L I 6 o 8 X d O K Z L t a P l 8 v u f g w C D u e + A R X H / 9 V 5 B M S X j j j T d x 6 v o T 6 Q T N T f n D V M D / 0 / d J 6 i y w 6 U X X r i D i 7 + 7 u g c V q Q m N T I 7 b v 3 E X m Y g e M V j s C E f I 7 6 J g a L 2 f Q 8 / M q 1 x S B E p 4 K E s c 9 9 9 x D A s e I q 6 + + R t D b 8 6 T Z V p + w j p z / G I w W G 9 J J M o / o 3 i 6 z Q W j s r V v f J 6 a s R f x I T P i h F Y u N e O r A I K 7 e S t d + + s / w 3 f t L 2 E f / j g N j T T j z j t 2 4 / q w T 8 f 6 D f 8 U D v z g d C c / Z u P b L P 8 J P f / p T M m d 3 Y u P J d B 8 i W B G N 5 M g h m X q S S T a v V M l Z G t y i 6 v s U x y T 5 c X x c u a V d 3 q B A j c g G y Z d y W + g 6 2 S R 8 c S s J K d o 3 G I e 3 f Z a I I T 2 b j h i e + 1 H O S D c S Y 2 U x 1 D e I 0 O Q 4 X O W V 8 N Y 0 k g V C W l U I J O U 5 m Z D F b z 4 / D M l W O q g i p h I V m u o K 9 O S j Z h 3 5 k d R p E N q Y r s 3 3 U w T J T B C Z E j z u U y a 1 w O W t E 7 l 8 h V D n L 6 X o 2 k T L s 4 M H h w v C z C I C S O f L P l U O 3 C w y s 5 A H R c c Y q P G Y W e T m 4 b 3 M N D J T l m o 0 F V N H q I f x B v 6 n R G M M R 0 l q c m M l y B b 3 u o U j y o + X F t M 8 6 D m o c 8 f 5 p f n c R A z V X t V f 5 G s x M x U S K m / j m + s R J a Y O c h C C r g 0 z p / 7 w N a J k 8 j n E / K G t B / 3 o 8 K Q x t i 8 A V + p N e M v 3 4 c 7 A G f j i f j L N n v k L u v / 0 A z x E 5 i 1 n R l 9 3 3 2 u k A u z w 3 / M z M j f J X L M Y M b I j A g / R k d l J v k W G T D w 9 5 7 p R P 6 W G k T U r g 7 1 z I I A 5 I z F I z z A 9 p Y g x 6 Q u I T J N 4 Q k L 7 w g V y 8 I O Q C B F z k / o y O 0 q b k 2 z l 9 O z d i s b F q z B y Z B + q 2 x a L b R M R o k p 6 f K + S L c F C M 0 X a 0 C w C C T P T A X h 6 i G l u U 1 H 0 U W I q + y x M V Y B k L C G a 1 s S T Z w u g l 8 I W N L p O E D N 1 V Z z 7 n V + i 6 V M 3 o v n T 8 q f 1 M 9 / H u d / 6 G b 0 g E 0 w x y C 8 9 h W n M J J G E l g k 7 T c Y y N w 7 / x x D k R w 1 o M J M 2 s + j p S n Q P o e H 4 w 3 t V o i 3 e i E J y E V P w 9 Y T S I v C 0 a H k m M Y O Y U 5 I D A I V w a q T D W D A s z A 6 + B E c O T f Q s b L b m Z C z d g Z x + n j a S J n t X y R T L A 2 t 5 N l E Y N o 3 V I 6 S c 8 r 4 c x R w e H M S q V h O + c P 2 X U L G S z O Q 1 5 + K L v x s i U 4 n H g 7 i d g M j Y Y b R 0 L M e H P n S 5 c q 4 E c + c d M J M D L k V 7 Y H W W y 9 P Y q O 2 E N u J w N Z k h n G 0 h e p s + s X Q E 3 Q H W L j O A J P x c I B J L C S + / s h k T v h D + f t e 9 O N L d h 7 / e R s 9 E 2 + s a 2 7 F w Q c M U M z E s L p N g J u 4 L N u 1 V T A 7 1 I T g x R o 9 u J i G b Q d O S 1 U K I 1 i 5 Y J m i B 4 b B k p 5 i J w S L W L M Y Z i 9 N B H h R m Y t o Y G u b h g d K w B x 9 V v s 0 d Z p u l K D M x 9 C 1 1 x y h f c w j R u w 8 k g X 6 y U t R P i J x Z i K w E Y h 8 i K B 4 k 5 I x u / p s l + 0 l 0 O e 3 k 3 6 l k h h h I H s B l Q u D G M l m I a c i P E n 4 N 7 c i I t A g + g v + y 6 S D L f h 6 L k j t P H W 8 q j U w m L T 4 M Y Q I q h 6 u + U Q 7 E y F K S i D 0 / B G r X R L H 4 n R j 8 L 8 c a G X w N T x 5 n 0 D 1 5 C j 1 p n 0 y c 3 5 G + 0 z s r p 4 q z 1 P w 1 V c f m Q 2 4 L T r K 9 / m v f R M p T g 0 t / / y h + + p P / R N u F H 0 X t S j K p u Y H p u M Z K B 9 Y e r 2 R 6 y J u Q b L 8 G r s D f x Y C v r m w Y I 8 n t 9 E 7 y + w u Y y B l n L Z I c p R d K w E Z M V W 2 v J q Y 6 g m i S E 2 W L g B N P u V 1 Y i I l 0 o + I Q U 9 b p X m e e s R G V 5 W 4 s a C c / m b T P 8 u X L M T A 2 j i 1 v b x Z z z 4 q B B V N 8 M t f 2 5 X V N c F e Q r 5 O Z f j 9 V D n L G i h a s s e Y L b m t O 1 J 4 C a 6 4 C R K o / q 3 z 7 1 0 A v D / D l Q / R p A T i 9 R q e X 8 O M f / w g 3 f P 0 G 3 H 7 H 7 f A H f M K E 4 y x w J p / R 0 V H s 3 L W D H G 1 S 4 / 3 d I g F T K 1 F e e P F F E V Z n p / G m m 3 6 N P / 7 p z 4 h G W X u o j c U 3 l o / n K N 3 E + I T 4 n g M H O J 5 F 5 5 F O J O j a n C 7 V 0 9 u L 9 9 5 7 F 0 O D Q 8 o x M u 6 8 6 y 5 8 / R v f w J G u I 9 j 8 x n t 4 6 h / P Y O / e v c p e G f k k L 6 F / o J + O 2 S O e g s P m v / j l L / H 8 c 8 8 J j f L X P / 2 R N F O W 3 o 2 F g x 4 m q w E H D s u 5 Z T z A n S L m S i X 4 w 4 J G Q + Q E D r C 8 / c b r 4 j v n 8 X H A 4 9 e / + h m e 7 p r A W 1 u 2 4 t 8 u v g o b H T r 0 7 s / l E k r W G l Q 6 s r i 5 j 5 l e 4 S h C L H s 8 + W U B O D 1 u O E a O F 2 b Q W G w / + s P v I K T 0 Z T / n x v G M V X L i 7 S Y H W j 3 t s J u J 2 N m R V r I U p s C C i F U d C z F l e g T X j 9 B C F + u W h R F Z H i x A + L N o 9 c m o q m v G u h O P w + J F C 3 D 6 a R u o H U j A a S 6 t h a P a S s I o g 3 i g N N N y M I I D H M X A Y f X B Q E 4 A l g L 7 s 2 p Q I k M C I s 1 R R h W q G a j 4 + A y e 2 W v v / b P y q z g 4 W 4 M h h P Y s E E E J X a x T S C q d 0 Q N n W S P W f / O X e H s w P 9 J x Y p 0 H b / 7 3 t / C d 7 3 y H b H i L S P 7 s 7 u 6 G n G 0 + Q 9 i c / n L F p K e e e l p E 1 o 4 / / j g R e u Y o 2 d K l y / C b m 2 + B y 2 W H 2 + N V s s 1 T o t 4 D J 7 Z y 9 J C P f / R R D p u 7 s X H j K U r Y f A G G h 4 d Q X 1 9 P 5 0 w o Y f O Q k J Z M r B x l u + f u e 8 m u H 4 e F z L r u 3 k G c I s L m c r b 5 u e e e g z 8 R M 7 c t 6 I C r s g b D / T 2 Y p O t c / + U v i m z z y y + / X A Q Z u A H 5 H K u 3 A p G A H 8 u W L U P v k U P w 0 L M y + D k 5 a j h M Z k V j Y 6 P I 2 O Y 2 Y U e Y s 9 + 7 h 4 Z Q V 1 O N 9 o 6 F R K Q S L j z / X P K h 3 O Q v x q H b 9 z 0 c 9 + s E t o 2 n 4 L / 7 Z 3 j 7 r U F s k 8 L 4 7 n 4 i 3 O f + h s n 7 f o V t / R a c u W k / c G Q 7 s P 9 d 8 q F + L u 7 L J l S 0 d 4 I E X A s s d S E Y u W i D F u z o z 5 B D l w f S Z P K s b G I 4 b d p R 2 k / X k N 9 z C u k A e P q 6 Z M u f i S A z q E x s W 7 f t F P 3 c 1 9 e H V S u X i W 2 F 8 H f F 4 W 3 L D 6 W H E h z A k m t T l K J b k l c I J 7 j Y i 6 L G N O C h F q t 1 9 v B 8 H r J J E k 5 D J L x a Y P T t Q r p s p b K D m Y d M 8 5 F R V F Z W Y N O m 1 9 H U 3 I T D h w 7 h w g v O I x r K M W Q h y C E I 0 w W b R I Z y W r K S h C V T r Z i K o p d k x m Z G 4 L J c f F E 2 i f L C 5 l 6 v 2 N b W 1 i p C 0 c x s j G e f f V Z k a / P g J G P N 6 j X E Y E 8 J z Z J R B m 3 5 P G Z K D n 4 k k n E h y T l s / t J L L y t h c 3 l e k p q s u m a N E j a v r h b 3 5 T E q D p u f e c a Z 9 K j 6 K Q 0 m k V T l 8 S 8 V z A A M 7 n S e 1 2 I i E 9 R i d 2 J B R 4 c Y a G Z L l P t T z S b n g W E u O c Y 2 8 5 u k Z c b I v G H w 8 z H 4 e X i s b N 2 6 E w U D 8 u D 2 v v 3 7 y a x z Y P U x x + L Y E 9 f l a c J U M k V t p U O o 6 T v Y u H b t l L I 4 7 8 7 7 8 L O H X q D f / A B 6 j P i D W N N A 0 p x / U / u w 2 b D j i R 7 0 7 B w Q / o i z r Q o v D Q V x 5 y t p B P p C 1 D c s + Z W L z Z W Z C K K 6 E U 9 P V 5 h J l 1 K S d v O Y S b 2 u R 2 Y m j i Q m x / D Y 4 0 / h V S K 2 n r 4 h T E z 6 y R r o F V N o r A 6 X a L e d u / f j y a e f k 8 / V g J n J 3 x l H d I K 1 p Q y 2 c X i q e z I + 3 T T l P u F p J 5 w U w 8 w 0 G s 4 3 / w a J D u b D T F J M z j Q X A / P E T I x 0 2 Q o R 9 V P B A T I j 0 S w H z M 4 4 f S P 5 h 6 1 Y f 8 Y S p D P x 4 v y h Q N d 7 4 L B 0 + P V x H H N Z u y B q j v J 9 7 X 9 u R 1 8 w P m W I M e o c J t z 8 5 U 8 L g v / n w N I l v 0 E y a c 7 W l q + r n X U 7 H w w M D u C R R x 7 F V 7 7 8 Z d H 9 b 7 3 1 p i b b X I Q s h A n A 0 / N V R I i 4 m X h D H M l L x j B E m r O 2 o g x 1 d X X Y s X M H F p J m 4 U y Q 4 Q g f R 8 9 D x 9 R 6 7 H Q t N W z P U P 6 y L 8 M S j 5 S F x F V H j A 4 5 i k g d E y P T u L O 3 H y u W L B L R R N Z g n M v 3 0 7 u f w K + e e h P + v 3 0 V 3 i v + E 3 q n F 9 n T r i T b + E 4 8 / Y P P 4 6 R l 7 S i 7 6 7 A 8 N r X n d f j v / a W 4 1 U 0 P R b G k 1 Y a n 3 / R j w 1 I r l i S 6 U d N R C b u h G p 6 F p T u 7 G P L q O K S J m Y y l 5 z s V g u m F i e u 1 z W + K m o h / v e 0 2 t D S 3 k J W R x C W X f I B a h v t 6 d v B s k M g R I u B m A 1 x W + f l 3 D p q w q p 7 a r w D s r 5 Y y C 4 t B F x 8 g p s k l K f T 5 y V Q f N Y F T 7 n j O l h b 6 0 G F k X X K S 6 9 F C m H z K d 2 q A J N n m d Y J E e K P 2 u f k 3 a y h h a s u b Z s F 0 x i H W o c 9 0 O 5 g 1 q D p N X o U 6 h V 6 G 9 j z 5 y W Q W I S Y h 4 u R O 5 Z o S D L k a k n w t o 3 I + Z x r o W M o X I E F a l W k / x L U n E j F R F a f C Q c 9 M P + m K d E t Z 6 v n i K Z B r J D M U M c R c M c z p 4 U R 0 f G 1 Y S b P S 3 y q P C z p 6 X i 7 y + d D m 7 f j M / 5 K v + P f / Q s W H v k z q z g N s u A z Y 9 A A 2 / e x 6 r G 5 v h P e O g 8 R Q 5 P v t I c a 7 T 2 a o 2 Z A l D d a / d w C B X j O y B h 8 6 T m q B z c X j Q / Q s B Z 2 n i / c I K a 1 L k O l j 0 d T m m w M G B k f w 7 n t b R C 7 h B W Q K y a G p 6 e A A H 8 s f D o O r G K G 2 q X H m a x X u x 8 h I A h M W p w h u O c g N r H F l S z K X i h T d Q J R E U C H K o e U H k w r B 0 4 2 4 B u M U 2 P R l G i t C J / O B T D 0 q O L m U H o b N O f k v z 5 3 P 0 I f H k A R F I R m R 5 9 P P 7 S N f i 6 + T J D u d o z r a / W n a n 6 H 9 m Q w f J + V 9 y F s U x 4 i P p E M g E E C S / K s x 8 n V 4 R i a b g f y X 6 Y O D I u q x f K 1 U O i l / x P 3 I U U 7 F c t f i d + N Q c W I M l s w I b L o U f Y y o 9 j j h d V B H w o 6 M z o 4 s a T I + P k D M p j O Z 0 R e K o 2 9 0 Q n O d g k 9 G n S a d + / T 5 w 6 T p E 3 T e u P x 3 b B L R e I z e O y G e e 2 V H E 1 M R 0 j z Z j v 6 K v u C / 9 H + k V 8 5 x Y w 0 3 t W 9 W S O i N v I X e + F v Q t / d j 5 Y V V W H X e E j i 8 d h F p U 5 m J C 4 5 M 9 g e w 5 5 k B H H g 7 g b A v j G y J G b 4 z o a G + B p d d c i H 5 F e f K z C S I c j q Y 1 r X M x C h k J g Z r f W e t F d 6 J O N o r s 4 K Z G M x M P T 4 N w z A S w 8 Q V P C h M F q v K T C x M O c t h y n o o j T x m Y p D 5 Z w y T N T A D x h M H q S v k Z y q F n I Z S n N D + 6 L u w 6 h a i 2 l G B e C Y A q 4 G k J o E n 4 b G q z Y Q T S P h M c L d o H p p e I p K K k G + Q B L 9 i n a O B 1 D 4 R q 2 Y + T z J D G k C Z w 6 I P 7 C T z i y R 2 c g L B 6 D H w t J a W J g a j W f h R p y y z w S F 1 0 c k W x C s v V v Z O h 2 G C / L L y 4 0 W j 6 q K D s A R f p 8 a X M F 7 7 U T i L T O 1 m h J J k a p h Z s 0 3 H J E n S l 3 r 8 + N F 2 8 p 0 2 P 4 L 3 f v t d s v U 1 z 5 s m m 5 / M u 0 K 8 O q F D P / k V P 3 u 7 B 3 j p L u C c T w B b X s T 6 1 g r 8 6 S t X 4 c S / v Y X 9 j m b g o Z u A L / 0 W e O V e 4 M B 7 w P p L g N c e w i s / / T c E 2 4 7 D h + / e j G Q 3 a a i 9 b 8 F / / 6 + U q 8 + A 5 A h g r k F P + E 0 4 T F W o t C x U d p S A c r y K F G n j 8 T 4 f J g 5 H h S n e t q 4 S 7 i q X s v f / D h x V D v a m i D Z k E 5 0 H w 5 l v d K k J 4 i B 5 + r 8 W r N 2 K R + G I v F m A c h 8 x w 4 k o J 4 G D M G J 4 J h 8 8 S z h R d b b y a / 6 Y Y i g W g h y 2 t D k T c F j l B + Y 6 b h L J b D a / + L s W / M I S V 5 L h H + S H S H Q M X 6 h U + S 0 d p 4 u w H O P S Y X S S P A m M r k E 0 X r R g B o G r M f F L 8 z k 5 U M O J K Q i 0 T c 3 I I D X N f k 0 p c H k z n g M k G 4 n F w U q x 8 D H Y 5 9 L T / W O c 9 S D M w i h c N i u 1 T 2 5 Q j + v 3 8 Y B u I b j 0 F 6 e 8 B J M Z l D t s m I y S 9 E 6 R Z q I X L i d b 5 u 9 v H c B n d 1 K b P P F 7 4 C I u s E L X f / Y 2 m a E 2 P 0 w m 3 1 e x I 2 r G 1 9 + f R K q H f C j B U P 8 t X 3 w m i I i d H L h h c E i f i 9 G U h M p Q f B 6 P Q x V G 9 g i s b S c H A u j f E o G j P o m F J + Z S k P g d b / v b 3 0 X B n l M 3 n k J E X 6 q F j w 5 x 8 u V T Z B 3 Y a t 1 0 7 d J 9 z O C o X F V l h Y g Q H x W I h n U p U i x M K 2 J a z c z 3 K w Y 9 E x K D m d t m l u v Z M f P w h w m q G D M x 9 0 k 6 O U e M B 2 G Z T N n f U Z m J q 3 d y c U M 9 o k T 8 s h n A d R z k m a / y 8 W I b M Y Q q V P T Z i C B 8 J j g V f H w + M z G I K f U 8 H 4 m Y n V + c / 0 6 9 u P I y h a B 7 8 n k z d X U x n u b 3 F o w v L i u J W c l 2 S 4 F g K X F V B x 1 n J 9 + i l p g n T a a q 6 G L 2 Y b j t y A T N h N U I H p 0 v S x U 6 Q E I 9 9 e P N 1 1 2 G V e 3 N g p C F p O P P U W J G Z i L o y B w X Y C b U M p N m E J Q H c C s b r F h z W S M x 0 w L E k n H c e f d 9 u O v u + 7 F 3 1 w F 8 6 E M f x J m n b / y n m C k l B O 5 0 W N 1 W B M l a i g z G 4 T 9 Y 3 I p Q U V t T L b c Z g e u S z B t E J 5 K 5 A m G J 6 D Y 2 q m y c H 7 Q l z Q T J W T Q h V y Y o / 0 Q Q Y 6 N 8 c Q m v v P I y X n 9 9 M / 7 n d 7 f K + o V M g u 6 u L h w 8 e B C H D + z A t q 1 b s X n z J p D X g g R s S G a J 2 A U x q 2 D y Y w 2 T F g y E L D G L w l F Z Z h K e u C c I 6 + j A C U E 8 I Y y 1 q h b M m O J + R w m 7 m R j D b k a l g x h M e V 4 O h o R J C 1 E T 0 i e f 4 I d p 8 3 A g L D 4 M f u d K O 1 3 D Z Z e j f M k E l n V w m h E z D B 0 g / s r f 9 3 5 2 P T 5 1 z g b R L B w N l L e T D l Q l z 2 z Q a C d G b + h N 5 V t x c I H M o j B x Z S f 5 6 6 Q / h M 2 v 7 y B D w C I y 8 G 1 k 8 l 5 9 1 Z X 4 + F V X Y O n y h X C R B p b I h z z 8 3 h F s f / K w k g U z N 0 w m j o i / P C W j E H 2 R t 4 X m b P B m 4 G m y w 7 3 Q g G C E / M T D K R y Z M I i F C s Y j e v h j e m w b k N + D h 2 e Y q X h s U o X K Z H O F w 1 g B y V Y r B t D n C 0 G 9 W 3 r N S K Z z H c Y E K Y 8 y J 3 D e + e f j p P U c f p Z w + + 2 3 i w H P G 2 / 8 A e 3 X I Z 6 K i y V i e A z o u s 9 9 V a x k c e R I t 5 D Z B n 0 K J o l N H G 1 0 R r C T 0 C r J j K W Y C f t P g b U J V 6 O V z c l 8 M M M K U 5 G 1 o J C G 8 5 H 6 8 r F a 4 T A W j C A s s j w Y c t v F k i l R 6 o s o i q Q 9 C Q u l I 2 2 k q V h Y c X V Z 5 h Q D 7 V r O f o l q H o z 2 0 s X 5 2 N w z s U / A A R R V Q 7 H 0 9 x M h z Q U c u V P R 7 F K H D o p D m + e Y o e f h A c 2 7 7 3 0 Q T z / z H M b G f T C Z b f C 6 3 T h l 4 z q k I i G c c c o G Z B J E H y x M 2 E x k k z E 5 C n 1 q D B 3 H t 2 P N R R 3 k 9 + p x 8 M 0 u j P c X Z r p M R 2 E G u x Z N 1 p V 5 A o K F v 9 u h Q 3 O H C e W + K B q J 0 T i b h H P + 1 v K Y H Y F b U E Q z N e C K T x z V Y 8 z E X L y 6 C 4 8 7 Z Z Q x S M f g X 3 m r + D 4 b 1 K 4 U d z 6 u O S m q i a p g g u S p 7 L 1 d / U i n U 2 h v a x N j P B x 9 4 z k / / F C c 0 c B S g B m M M w R u u e U 3 o o w Y T w b c u G E j T j h u H W o a 2 n H 6 W R e g o q J C M B t n V 3 A 2 w / Z t 7 x O 9 H V 1 4 k s 3 E o 4 W Y 8 k x a M K 1 j a U h m a k G K j R Z y A 6 m N m W s b h s i f E w z A R + S e J 2 9 G r 8 J 8 k x F i X j q W m U n e l I U x o Z T N I t N Y U U X y D V W V Q A i T 7 8 X + j 9 g n m A r w E i F F R m N I h I t H 0 1 R o 6 4 P P C u W e X J K L + 3 b n r r 1 i N Z I L z 1 i J 6 q o y p J J k u t N r C Q b S g p u E i Z 3 9 L 3 O 1 / B 7 M Y A o W r W 9 D Z W M F t j 3 e h W S s 4 N y 5 Q n O 9 Q n g 7 L P A f m k 4 L / F g s j L R w W U g g 6 S W h z b T M J i w A D b h 6 F 8 8 G N y i J r + H W r 8 E 4 X l r D s x L i u A P f T r X 0 9 I G u B I J H D K T m t A / H N 9 L h N 7 f c I i b 2 c Z X U B x 9 8 i N q M W I 0 c Q / 7 L E + n Y + V N p g i E q B N H V O S P 7 6 z f c I B j t B / / + f V G z 7 o 9 / + I O Y h M d Z B 0 e O k E S e B 9 i M 4 z r g R 8 d M + Y 3 L Y F O f G y G j r H d U z B z k 2 u J y 9 + R D T U Y 1 K 6 F a 1 j y y 3 s 3 A J H w I x a N T T m X B w / 4 R r y 8 l H 0 3 b n K u p g + k b M 5 G F i F I w k 9 y 5 H F l l u C x G W Z o K 4 u B 9 8 n s 4 q m 2 i h o O / q 7 j P A R H I K f Q 7 Z 4 J 8 X 8 7 Q t 5 B p u 3 L F E p x 7 9 u m 0 O Z + Y D e Q T G r R z d + T H m Y K o S a 5 q E 8 E I 8 g F r L 2 k D T 8 L c 8 c i I o A 1 u A y b q N A 8 A E m J p v 9 j O + Y j T Y J 5 5 5 q 1 3 I Q 8 r A I H D + Q / D 9 C n u J e 6 X A 2 u z h G b y Y u E 8 K V F H M g 9 0 r M Y U V a 0 4 N k K 4 n o b Z K E 1 L l d J 7 2 i x w t 2 d E h / s O R Z D 0 0 1 Y y 5 7 g Y I J c 9 / s t f / o x N r 7 6 K F 1 9 8 U Y w Z i Z t M t S b / 5 Q d X / u i U 6 J e 4 A R M Z 3 5 T r V E u 4 6 K I L 4 X Q 4 s G z Z c q x a J S 9 a N V e w G c f B E l 4 w j T + M 0 s U z C q F 5 W w 2 4 E X g P 0 z K b g 2 I b E Y J O K f K S H z X k F 5 Q R j C T I 3 I v D o U g x T p j l N + V I n 1 o c R O u X F v S p b G 6 q P c B M x P P P h B b i j z Q 1 T M F g 8 0 P d r n k E M a b k b b O R h C 6 4 O I E D O + I v 3 a O z q x c P P P Q Y E f B 0 E 5 j 3 s z b 6 x e + e w M H D m i k e i s C Q b B 3 U N h k E k v 0 I p 8 f I H 4 4 g w x k l C p j B p s A M p P V 9 B W O p 7 5 i G L j W I p t N t e P z x p 7 B v X y d 2 7 z 2 A W I J r z W e I k f Z i I t B L j D U 9 E 5 y h i 8 k + V k n Q b T w d O q R 9 3 Y i O 5 3 w e f r + p d t b A Q g y g t c a 0 4 B U 7 C 5 E u P 4 Z M P z l 5 V k 3 8 5 Q k T T p 5 Q W Q R 5 m R I M q 9 1 J j p 3 C G N p e V C Q Z d S d t Z h O G / t I D s y Q Q q W b 0 H x e D 1 0 Y E x S x S Y g Y + R k g N k k q 8 r t J 8 w I E G T k V S f 9 F V 5 a 9 z B j + 3 p r N L g N N k V C Z i p p L D p t P v x e / C 5 c e 8 5 I j 7 y Z x z 2 i x T R V 4 Y s R Q v a U l 2 O 7 d + X J b y t W W 5 Q A / P M E 1 K J t o V h v d P 2 4 D t r w D 1 C 4 C a F u C F v 8 P / w E 3 K k c D v N + / D H 4 9 E 4 Y h O 4 r l P n k T 3 U m c M 5 8 D S u W w x O e L k t 3 X 3 9 A u p G w q G s G 3 7 N l z x k Y / A T F p F E B c h G I 7 i s U c f x / D I s E g A b m l u g I m D A l z J a Z Y s i Q y n a T F j E / S k y V T h U T S J V g E f c / + D D y M R j + G S S y + D n T R V I h m F F O 3 H z s M R l J e V 4 5 F H H x F R w m X L l 8 q z m o s h O T a r t l I R O K S b S r / q 7 R 1 A M 7 3 j T B g N 6 V H t y g m K Y n A N 3 I Q j r q + g y j 2 7 5 p + B o U h + s D 1 H K B x b 4 h U k m N g 4 I i f s 0 C y Z f g Y e s 9 E e p + 1 4 + R Z 8 O b 4 m q 3 z V D + N M 9 E K w 9 p H D 8 Y z 8 6 8 g M Z h D H s O b K i r E i f t F S j F a M o d R X z j + H 5 + L k h j q I + e k 9 p 4 f t g W F f k A 6 k d y U i Z m K t U e r u S X S B O K k 8 v r o 6 b s X I Y y h 6 7 i T Z D I K h / v A + 0 L m d x B 0 R Z C 0 5 5 y / e C f + D O Y Z S M R D e S + 0 W o P c 0 o N E p 1 9 l + 7 I m n c O r G j e S z P g 6 X 2 4 2 B g X 7 c 8 K W r k D W W y X 2 i g N v x / g c e w v I V y 4 Q v W 1 t h R W f P h K h H f 6 S r m / y k C r z + x t s 4 5 / Q T 4 b Y m I V m L z 1 5 l Q Z I l p m K G 1 U / 5 v 8 X a t h h 0 I o F 1 e G h E J D C f c + 5 Z 6 O j o o O Z L k J D g d r d j 9 9 P D W H R m B b I m G x 5 + L Y 5 r z s 4 J q T k h O U 5 M J 1 d 0 C g 2 E 4 W q Y X m + P c / g W V x e 3 b L j v I 0 k d t U G O H d j E Y 7 O O Y R 1 5 D P G a S 8 F T W 1 J J C Q 6 b 3 O e s / Q 8 c O I S m p k b 0 D w 6 V Z i j t x D V u M i Y T m W G Y C N W G l L W S L m O a m q Q r j y 0 R g 9 F V u R M 4 C 1 1 1 B N U B N 0 4 V y r s p Q a y V J K J z M p H L g 6 q c J K t 2 3 n R w Q G C m / c w Q W d q v J 9 N C j t B l M R x Q i N w z t w K H s r b K T 5 M R D K U B M 4 w 8 X 0 y H K G d 6 0 v s V Y y g 2 K X n s L B Z P 4 K W I D Z f 8 + W n o S Y u Z w + O I V 7 W K j A r / g z e L Y x k H x 4 w I J k b 4 R d B a M Q l L p g n b t m 1 H k s 7 3 l n l x w g n H I e K n 8 6 0 G p K k D 2 H y 1 m 1 J 4 4 O F / Y M P J 6 1 F f Q d a B M g f o T 3 / + G + 3 P o q m x C f 5 A Q N T L O O G 4 Y 5 T k 2 J x 2 E p V k u R S z 1 o Q j q E G J P F N P 9 G I p Q Q b s 2 L W P m G h I 1 J k / e f 0 6 V J R 7 i C Z I I L I g J t o Y H x 1 A V Y 3 M w J x B v 7 X b D L f T g M c 2 + d A 9 m M D / f k 0 z j Z 1 T i r j U 9 D R Q u / O K j 8 q C 1 g z O A 0 w G f e T z u W F 2 y g K R q z L F i J e 0 D F M M P O e q X l k s W y Q 6 k I m o Q p d J w D L 0 K J L N H 8 P 7 W 3 e I Q j y P P P o o z j / / f P j 9 f q w h V 2 Y a Q / G U B + a 6 4 W g P E W I M W X L O u R J S N d d z E z W v 1 Y b O I j A W g c 1 u h J n M n 4 H x I 3 C K B E x 6 C E M 5 / T V h z + 7 9 a G 1 t h k u s h y o z U 6 g / C V e j Z o y A 7 s 4 f t k v n C l + y C 2 X m w j k 5 B c g m E M t Y 5 K n o X P B e a f A b / v c e j M S z u P t r 0 x c E u + q P j w v y u O t z l 8 g b G F l i 7 M S 4 W K J l j C T T 9 Y f p g s / 9 j a U F 2 Q L U H q F J 3 H 3 D N Q g O x O B u s O E f O 4 / A 5 n D h b 1 3 E T F u e 4 w b F 3 d + 8 V l z K M v I P J G o u R j e 5 C w 2 u B D m 2 w 7 j t t R 5 4 q p v w 1 T c G c E z v Z r z 0 s x s w H D K Q A 5 2 B C V H E 4 9 1 k t t W S m V U m B A z n J s b I d L O 5 X O j q 7 i V m r c Z 7 O 7 f i j T f f E C v f s 9 Z n A X b J R e d C n y G H X 1 O H j w V d M D l A 7 e J D t X W p v J H r 6 h l l a V s I X X I U k r l a v G q W p 8 P k M R O B A y A 8 W P / P Q r l O V i K K I y 3 h 4 F X v E w H s e G o S 7 S e X w V t D G l w 1 + 8 R A N B M 8 E Q x P o i w C n m T I h X A Y k V H W S F k 4 q u e u 8 X i q C E 8 l Y Y 3 l 0 E z p Z 0 H w / v v v w 2 u K Y j h s E l N G l v F 0 l a m C q X T M x M S A p K 3 2 m u 9 D 5 S B L e / Y y S L o I 6 U V e B z k L Y u 1 R a n F e 6 5 Q l K V O k b L L T S 7 P a E v v 4 c H k / S 3 H V l + L D e I C U H 1 Q + R 0 X O t P v n M d 0 s Y Q 1 T 7 r K T O s / X b q r m 0 Z p o / C w M f T Y q g h f D n M i a p k 7 i D 7 d T K i F q l 6 v p U 3 L K E R E u z 4 b L 0 D F k F t a W e x G I x u G 1 c 4 B G h 3 g i g V Q 8 P 2 T P V X v l W u Z K Q w i N O h 1 G u m c k z D X T J f K J Y u g 8 f B g 7 d + 7 E F R 8 6 H 9 J Y N Y K 1 7 8 J G g q / S t k g 5 g 8 D Z 1 0 y 0 R R h H R 0 w t W e T E 2 E K J r E I X 7 y 9 h C s 7 V 5 M s H W z X + Z C / 5 m S N o s J 1 A V 6 D r F D G t B V I T G C c l 3 f 9 u H K b y C J Z u 7 J i y e B g q 8 W v B w z t 5 G Q s E K T Q C / 6 g X Z Q s s Y v 9 9 9 z + E 0 b E x M Q e P E 3 w L 4 Y 8 Z U E F G D F s 2 r 7 z 8 K h o a G 9 D T 3 U X X N e K M U 4 4 V Y 6 n F + k i 3 o + d x q c V 1 k v K z N E M x O C q j J X J q l y l T T w t O P c r P k K B t y j 9 c i F K d c s H + E 4 / d q M 3 B Z h 4 H N U r 7 U P M B X 1 X b q L n f g n H o a + F U j B H a z k f l M 1 Q + B E P x Q W z O c c i b / t a I N Y p 5 b 1 a Y f D E y M 3 k N E U Q U 0 5 A j d S Q 0 1 O u m i A k 3 7 U v i x J Y 5 j M / Q e Y l E C r + 9 9 X 9 w 7 n k X 4 P F H H 8 Y 3 v / k N a j s z a a o Q T C Q U j F l i C q t c S s v X G S e i y W m N f L 9 Q A 2 Y y 7 j z S Q t H 0 M O y O l e j 1 6 e G 0 H o D T U g + z v r j W Y u i i h y D Z F 9 I 1 4 v A l R k W E 2 G t u U v Y e D Q r 7 a j q i m U n S W i P o C 6 9 E u z 2 C / e 8 c h i H c g I x 5 A C v O X D I 1 a 5 l 9 8 2 6 f G W 0 V 7 A 4 Q 9 Z B w e / f d L V h J 5 t h d d 9 8 r 1 i v r J t + R C 6 7 y R F i e n a C C o 3 / q Y n O M / v E k x g c O k u 9 Z K V Y q 4 Q K m L p c c C b T 3 / R n R p s + I 7 1 o Y f v 7 D 3 / 5 I + S 7 A A 3 x s 9 m n B i 5 y t W E H 2 Y S F x s 6 3 G W k d R L 8 8 9 + w w 5 m 9 T Q R A T P P f c c t m 7 d K h Y g U 9 d X e v j h h + m l 7 s Z J J 5 2 E H 3 z / B 2 J 6 M U 9 v f + W V V 8 g 0 b M M P f / D v a K E H r 6 q q U u 7 F H 3 7 B 2 R t 8 O g q P 5 9 / y d c L k g z A 4 Q q e F z U J G F m k Y L g 1 t K J B w K s I 8 C M G 7 W E N x N g R 1 i M v O K p 8 3 y v e I p 0 i b 8 6 3 4 G A K P T / F v 9 X 7 Z p B + 1 L p b u + e B j x N g e C Z v / / O k v R G m u w Y E h D A 0 P 4 e N X X Y n 6 u h q c s u E k u d A N E b L R y j O k 6 S R O E 6 L z h 2 M 7 o P d V w l 6 Z 6 z 9 + D V 6 y U k s o A i w B q N 8 G 4 7 s Q J k G 2 o 3 8 h 6 s r 2 k N a Y R I V l A R 8 g H 0 e Y C L 9 H v l k N b V L 6 f y r b m z V a G a x c 5 5 2 l q 4 g 6 k e b l a 3 O G d 4 Y F F 5 3 D A i X l R 1 z i o p j k b x c I W 7 4 O + 2 4 c b g + k + k Q a E g d g V C S y Q W L 6 c W S I O U z 6 I H r D V i z t C K F + Z T 1 q F 9 a I Y Q R u s + 7 d v e h / h y y C m j T s b h s e e u Q x 4 b 9 x + e 8 9 u / f i y i s + i L r a G q x c u Q J G 6 i O y K s n H y t 2 H m 5 W 1 t F q 7 x 2 0 3 o K q a T F 7 y x X j 9 Z w 4 A l Z d X i s X / D M F O p D 3 L 5 Q M 1 M H z n 2 9 8 U D M U l b V 2 m u j y G e v j h h / D 4 4 + R X U M O / / v r r u O + + + 4 h T W 3 H b b b e J / L 3 X 3 9 i M V z d t w o Y N G 8 S U 8 C e f e k o U Q u F A x K u v v o r 3 3 n s P H / j A B / D k k 0 + K D A m O 7 L A q / t r X r s f / k M T 9 3 z / 8 Q a x Z x H Z p Q 2 M t L r z o P D z 2 6 B N Y t 4 7 T Z T h w k a Y P / U c d I s q L 0 f e p c G 0 R c F Y H S y T B 5 z l 6 0 E A n 8 u z E T m q g Q o b i Y A k z W 5 K u w x n l z D u F f C U Y i s H M w q Z H N i M m 2 K l Z E v y X 6 0 c I + c j H 2 F 3 I G u k + q S R d k 4 m J r x G A X u K l V K n n a A N X a d r 8 + t s w m c 3 4 7 v e + L 8 b s T t u 4 g Y T R I i x Y 0 I b m Z n n e l E h F U s E 1 Q O K 9 R A X k q F O b 9 E b e E B r e n q y F 1 Z t v P r F Z Z D b K m f O F m E j 2 M D m L i q t G I z G 6 j f 2 w d J 5 Q t f M i 1 w X t z q M C U o R M I L M S w B A M S h 8 l A V p M z h R T J E z E E B F i 2 i C c p n p 6 3 e n P w N N 4 e B p + l H y 7 Z D Y s B r d T 9 D e S H i N / b 1 K M g a k w G j I I x R y w O m J i D S r 2 B 9 W P p S K L 1 m X 1 s L m t I m i Q G o + j 0 b U A E V c H 9 o 3 W k 7 D U o 6 W G 6 I r o y W S 3 C m Y K D c b J d U m J w X K G t p w 7 z 7 f b S Y z Y U F s h 6 o a M j o 9 j 9 T E n E F N n Y f a 9 h p S 3 s O o s v b 7 y V 5 S 0 L c Q 7 7 7 x L z H I y t m / f j j 1 7 9 u D H P / 4 x r r 3 2 W p x x + m k k K T e I I v 1 c Q 2 F o c F C U k O I a E H y c 3 + 8 T D 8 C Z E s x 8 Q 0 N y R a L + v j 5 i z D e w g L R Y O W m n a C S K t 9 9 9 g x o 9 S 9 s 6 8 J c / 3 y Y 6 M w f W U z z m I V N 1 f l h e L s y h R h K 5 5 g Q 7 o w y d j q d U T N c A A s R I g h H 4 q w g v y 5 J 7 P J G R m Y 3 A O W 0 M l l j K 1 y k Y + b r q N s V c 4 E m D a p Y 8 5 / L x e l M C / N j M V A o j J O n e P G y w 5 c 1 9 I p T N s 4 j Z H 7 j l l l t I i 0 f Q Q B r o 1 l t + T Y e T h q N n E 8 Y w v V 8 + K c s I J P s w m O 7 D U H w n e i J y V Z 4 q y x L o P D F R w k 0 L X n p G p J K F 3 h T t p U W r c 4 P I 9 6 t 3 m 1 B p X S z a m G f 8 l g L n c D I 4 8 c O g T P O Z D R a D h 0 z C / E X Q 8 2 C m 6 x C j M V O Y 1 d J i m S g s b J Y S b J k E D M w E 9 J s / z W V D 1 N 7 8 H t w 2 W d g N X q F V + T M 5 z p k J w L H H r M L 5 H z k X f 9 1 l Q V W 5 E W O B F O 5 + w Y c j / f n v 5 q q 3 w l Z m Q 6 i P z N d x 0 q A k 5 O 6 4 8 x 4 8 / c z z Y s C 7 z O O F 1 W J E S 3 M 9 P n j p R T A b Z P o 0 W I q P m U 1 p K B W q h m I i 5 b V n 3 3 r r b V G w h D u e 6 4 a / 9 N J L x C w j Y l T 5 0 K H D O O / c 8 7 D 2 m G N w 7 7 3 3 i j J i P L O W V 7 H g 9 H k 2 E x 9 4 4 D 5 8 + S t f J F X p w d e / / m 0 h b b l G O V d G 8 p Z 5 8 O g j j 4 s a D g F f A E 6 X F 0 E 6 f 7 1 I x p X p U V 4 5 n E w w a n B m L H 4 W / j D z 8 o f B Z h J P r e B q T A x m Q z n k M R 0 R j Y Z J 0 j v a l X P s x D 1 h D n m L 7 A Q e Z 7 C I K y i 8 L E A y n q S T j i Q o d S Y z k 0 K c f E m n E l X i e g o 8 V i O m z K t S n R m Y p a B I 1 c q Q e d u C L e 9 t w R L S Q K y H 2 Z 5 f 0 M 4 E l 0 / s U z c n z S M y B j Q T 6 z i j w g 0 b a b 1 2 I t Y W + j T T s 9 l h s d o R 7 j L B U p 6 7 F i e P d v q 3 0 7 1 c K L P O P k D K m p 4 L l B Q i l p J X i R f g i X o c 5 O D p O c U c 6 X m A N a u f N C W / P 5 t 1 j n Q M C Y M F G U W b p U n w S N Q W W f r N H / 6 u t g 0 H e b j m o o 3 e n Z / D 7 r A R 3 Q 6 J l V g Y Z 6 y 1 k q b R 4 f w T T L j 4 J B u Z 5 x L 6 9 4 z g 4 G t j c N a Z x f F c j f f p V 5 7 G r r 2 7 R Q 3 7 U 5 e f g R X H L 0 J l R T m 8 P D t A I 4 R G w w Y 5 S y I 4 g Y w 7 F / h h A c j 0 O U u m h I x S k + g Y p Q I T j A n f K G 6 + 6 T f 4 8 X / 8 S E h I v l I h t O f z g x Q e w Y G Q c I g L / O s E I 4 q p 3 J q j 1 C k S c x 1 X S p H K m S B t V C y L Q Q Q c W G s l 4 6 j z 8 l S S / H f m L A i + d Y C r 4 K a I k J j 5 m F n o b y 0 J B w b X q R B T 9 n k c i t + I N S L 7 W n Q / p g E O h C T p X B 7 Y X f v N W 9 A V y c D / + x v E u X P G V O Y A c + 1 0 / c U E E P c T k Z X l 9 y O D E 0 Q 5 p 0 1 g h s 5 L E x E a i X n E W 9 A / U 6 a v Z g D 1 X 4 m J R G 7 6 O Q s Z Z p T I p A H V N W U 4 t H + Q L K E x r F 1 f P O v B a a w l L S j 3 P 9 c Q l G w z a E M N t m 7 b h c r y C i R j K S x a 1 i Z o j M 0 8 A X p n f y c J 3 G a I p V W 5 7 u N J 6 0 5 E U / t i m a G 4 T k n S h 9 6 x F J q a c s n I e r Z R R + P 5 B S B z k B u + O D N x U 8 v 9 w W H w q Q d R w B k M r D l + 8 M M b F V O t k F U U s F O t m E t 8 h J q j x 1 K L w V F F l j Y 8 i C Z P l s u / j o 2 N X o 3 p N h t Y w w g w k R c D M w h B k 7 Y m w A O 3 4 j n F b e g f 1 c d Q / n L q E o O 1 E E M R o D J D a R + N 8 w U V E 3 C g i 4 g o M C 7 W j Z o X 1 D Q c 9 j 2 K Q G j y 8 V y k T 4 u 8 i q z q 5 M 8 i T c f M p G K K m b h v i j E T E b F g 8 q O E l p m 2 v 9 m L Z x / d g k 3 P 7 K O e d 2 D 7 + 4 f J 6 p n E u p N W k n a U I 2 z h Y B w e c x P K z Q v g H z S I E s 2 q F s k x E 7 F k f I D + l G 7 b Y 9 a u R H N L P T q W t J C 1 d Q T b n z 6 I v j 0 D o q 8 f f u w J V C 6 x i + 0 r l 6 / A V R + 9 E k u X L o a L X U O D C a 9 u f g c 6 0 q T N N f m Z P n o O j 1 Z b c w U J e a Z t D t O l X w 4 5 i u M x J R 6 f 0 t r e e p 0 Z X n c F L C Z y n g V F F e k 1 B j l 4 I i 9 Q g Z x G R A 8 t / m r P K a B w A Q k e u / x C n F 9 X C G b q Q r D Z J i 7 L k 5 I I s g y W t 8 t 2 u Q x f O C b 6 g g N X Y u o F E Z X V p K F G h f G I y 8 U f N U 2 L i U 9 c X v w i K M K C L 8 C X F 8 t x p i b h f c 2 M 5 J d + z w d g V N G y 8 4 F O a I p 8 8 + 3 Z C T 3 K v 3 Q z v F + 8 C Q Z y 2 o s h l t T c a y q R V v w p C n k X P z h r s x J C i I m Y N Q T P 8 u X x r n m C z V U V a 9 b L K + w f d 8 I y u C q T W L j K i 6 X H 1 C K h m y T t H 4 F T X 4 e W q h U w 6 s g k p w d f 0 C Z r F v 6 o 4 K E Z f n J R P k z V w J x z S D T E 1 W u 1 C I p 1 u 4 A F C 1 q x 8 t w F a F r e Q J a 6 D s v K V 2 L 7 M 5 1 I H T H B m D A g 7 b P g t t v v x K H O b k z 6 / G h o b k f U x K t A l s H V m 0 s X 0 / n H u k g B 5 b J s t Q + n 4 4 c g K S b q W h e C O 0 M 9 L 0 s 2 P h 0 X 7 P f C 1 Z r / w E X B 1 y U C F C l K R i 8 m O / 3 w t n n p G h F 6 Z X K g j Q r X s 1 r l V c l 5 v o 0 C J l Z 9 i p d r y f k T y 7 / y C / F 3 z 6 2 8 Y P L M e O S w D / + x Y x I p H q B 5 9 Q F c u G I l v n / + x X i B i I E X A f i P X Q H a f p 8 4 d u e t 3 w K v i a X F / b s H c X 9 P F A e C R G C v P S i X / d r 8 K P b 8 / l t y 5 9 E 7 3 b u j D 7 1 k y v 2 9 m 4 j 6 5 b u B s 6 8 G D m w h m 7 I L m 2 7 + C C r M C + G 5 9 U 2 i J H q v p / + M b T + 5 C i v M b 1 B b W J G w n Y A u I 7 0 z 3 a v F s Y H + Z u h a b 9 P 3 k + U H U E H S V 2 d r F E z 6 Y t Q F k 9 m C S 9 6 k Z + / b T 9 f 8 C y b u + A m 1 H z n t Z l 4 0 Y I J 8 x E q c 8 Y 1 f Y G v U h B v P P w H f v H i D K F Y p z T H p d F a w Q F F M Z D X D Y q 7 g d 5 1 U t B Q L N e E j a c A a w z e c w s K 2 4 p V o S 4 H X G W O J o K 6 Q q S I d G S E V X A 6 9 0 a C 4 E N P B 0 e T H / / E U L r z g A m K g S b z w / E s i k n 3 G k g s R n o z B 3 U S U 2 j Z I B t Z J q P f o Y C Y t n b X W E P V y 6 r 1 S X J 7 B q p M d L P 5 k 9 G 5 k j L y A V Q b Z V J h c h S R 9 5 A i U R O a G e h z n y 6 V J 7 a Y l H z m E w 7 n t 9 E m Q o / + n v / w t b 1 u W r p s 1 l I n r i 9 9 p H c L R f Q h n E p h M 9 u e O 4 8 c j Q u D v g S g 9 V z p K j U v P R e d K 8 a G p 4 x x m A / r G 5 O f h y F 0 y y s w d h e 9 g g j 4 S x v d F E B q J I R V P I x i J 4 Q v t V l H I k 8 / 5 A 9 n H z h Y J o V g C M X J I x X Y y N f p G J 6 k v y A l W 7 q F + g t E 4 T i R 3 q S 8 Y F W X B + g 4 f o L / j C M V p P / l O f A x n R T h J O 0 4 d E 4 i h L 6 k X Z c j K T R 3 i G M E J y t + s v Q 6 R x s 8 j W v t J Z D z L 0 E y M 1 K Z r h b P / J k j h 4 S l m 4 t X 1 t 7 2 / k 3 y w D A 7 3 J f D + 1 p 2 4 4 8 6 7 s e 3 l 5 9 B 7 Y I 9 c E F O Y 3 i Q j j X p E e n n 2 M v m e y i r z u 7 r 6 h Y k 5 M C q b Z 1 K J O g 5 a 6 G K a q R 0 z g W f u K h D M x O Y h v + M c 4 O d a 7 A o K m Y n L T l f a F s 6 b m R h m s y m P m T h Q x u X B D f Z q G E X m O y m C R H F T l U P r l 1 x 8 A f 5 2 + + 2 o q a r A V R / 7 M D 5 z 3 S d Q u 8 S B Z e f X w r 0 k j R b v S X A m / d j 6 b D f e 2 x Y h 2 u B 8 V J Z Q 3 A A l 8 q J k 0 E v y H B e S w K K M E 0 F d 8 p 9 D s g x u B k + L E 9 Z g j R j I 5 a k E 9 z / w i F C P a v S t F I y 6 M j j t 5 O x l o 6 g g Z u E 0 H F + U N B W Z Z V 1 0 H Z 6 K D V 0 f P W P O L 0 i j C r 5 D K W E 6 7 T / 3 e r F t / b d / I 5 7 D a D X B W W + F p 8 M E b 2 M 3 y h f b 4 K i y w E D S m h n S x D K R O 3 t B b q g g P s a 2 M x M 4 f V a d S l u K E w P 7 i h 6 2 I v h 8 / u x 5 W 2 z / F Z d R V p C I k Z / E 1 0 n E c M / t f 5 W P q + e K p P I 1 h Q U Q I x N V M Q c f f 3 u X + K s F r 1 k U b v o 6 9 M 4 G Z B J h s X D B z u 3 v w R 8 O i j a 1 O a z C B / j E 1 R + j y 5 N U F z 4 e f c R 1 5 W u 4 O 4 i 5 e 3 I m X i r N / o S E K z c o 7 6 2 x T E p h e h 3 z E i i s C c H m 4 R R z y O 9 Z C h z J 1 c K Z k g N G r P V s Z o 9 Y 9 f F f A Z 5 h L t a E p u e K h C M i 3 0 + y y B q a J 8 c W g t v 1 u k 9 / Q g h A 1 U d z V N p g l M I w D M m B i G G U 4 Z h z 6 7 F 2 w z I y F W 3 E U B p w n x Q F d z y P Z P N X j Y l w c I w I 1 s Z 5 U w Y 8 8 9 y L M J p t e G b r g 3 j g g U f R 1 N S E K z 5 y O X F 3 u S j o M d O A r E E d T L Y 2 Y s y X w j u 7 J / H O 6 8 / j R / / x E w Q D Q V T T N Z y m B k z s j 5 F 5 G B b E w 8 x R t p A k U D + Z O G R K M T H t 7 c 1 f g Y M h a l c L + 5 m Q G M L 5 H Z V 0 P r 0 P N 1 D b c v G X v 3 5 q 4 x p 6 f 4 m Y m 4 5 T / K I 4 z 7 Z V w Z 1 O 2 j w a C O T O Z z 9 K G T f 5 8 7 O b S T v K B B S P k D a n Y w w R P y Y H e k l / K w 2 r / N m U r s J n T 1 e W r q H P f z / y o r x D A x 6 m 6 O r u w 5 1 3 3 4 + / 3 / s Y r r 3 u s 1 i x c i 1 O P 3 U D 6 r w m L J H u J X d F 1 j D s B 7 J E F d e b 5 B U 4 J E T o O Q W S m u i n c r 9 1 i x X H X Z 0 Q W h I z M 0 I e C j L y + R l E F a v E J P S x E W q L X u j D R 0 g g 0 3 P N E C h g e M Z e J v O f j i E T M p E J w T b y I I w T 7 y h 7 / z V w F E w m F J N j l X G v m a C L 7 I W O / C Z 3 i w X B Q z o s r Z H w R r d T J A / b j J l 8 h p q K 5 m j B K S T M D J q s Z S Z + T l 2 t s f p J J d 6 F e + 5 7 E K e c f D L S y R g + e u W H c A 1 J z V B v C J z I y Y U q f / e / f 8 Z f b r t D O V v u V x W P P P o E + u N 7 8 P y L L + P 9 9 3 c I 8 3 H d i S f g l F P P x g 9 u / D Z a K l s x e Z g k P j 1 c x R I b y h c 4 x X c V 7 1 9 C D i 1 f k E s d l w I 7 z G y C W O p Q 7 Z A r w j p E F E u + z k N v b B X V R 5 l R L u Y 6 X g r h n f m 9 m + V s B A b 7 R 6 S l H S C f U m W o V j n 1 5 M u X n 4 e B u 3 5 B / p b 8 Y h e s b C N z w I 6 R b 5 2 P J B H 9 K V W c m s T 7 J L j G b k X P v t 1 Y Y W O T i A m W C K + I r O F n b G t p x D U f v x K f + u T H U V m e m 8 Q n m d 0 I N d x A C p u k b Z q Y i p 5 F S F C + X o z 6 i 7 4 7 P H I Y X 6 8 E X 3 7 b N / 0 m O t L z M 6 P I g 5 W E A Z a R p + A a v R W G E E e N d R B V r C z l y N r q k H E 0 0 1 9 O 4 + H M D i V Q w C D / 2 x o e R f n o F n h H t 6 N l 8 m k k 9 V 7 w q u 8 q J m p P w o i z A o b e v 4 r 3 V b X F v x y K v 8 w r y m u h i 3 a S Y B p D h v z W y U y Y r J Q k y Y Q 0 H M 0 J M W t 6 4 4 I E I l k r u D D o j C 0 m p 7 Z M H 9 / x s U a m d / K 4 H P j k J 6 7 C l a S J n G K K B h A i H + W W / / k d 0 o 4 M w p G o y E f 7 3 G e v w 7 W f I s d c A V s C 3 C Z c X v e 0 0 8 / A k i X t W L f g P L S 3 L E F F Z S V S 5 M 8 k u 9 N I k U 3 q r b e j b E G B O a F B E y 8 3 y R c 7 / a P 0 S 8 L H b / q 7 v I M h I k 6 0 T w Q L F F u a 5 y Q R s d 6 4 j J m M O 0 b C Z 3 5 7 l 9 j F 2 0 + u 4 O s R Y d J D 7 u k Z U Z J O c 7 i G N I v M U P R p J r u e r v G T j 5 6 r 7 J W x v L k W F 6 5 o F n U j U o k E m i z E N H T c 7 T d 8 A q G q r y C d I q Z k X 0 f c X 2 m M E i h F P J w B z p C U A I 7 M U P Q J y 6 t n G I L 7 4 e y W C 2 M + u n 8 Q P + y k r v 7 o d 8 U x o 2 R C 8 w q E r 7 y 5 B 5 t f f 0 s c M 1 / o o 8 O w 9 f 0 V 9 r 6 / Q B 8 Z o A 1 m J G o u R K j 6 K 8 i 4 S v g 7 L N g K i J X P i z u r M V l 9 H P z V a 9 B T f g H G a j c o O / M x W n M q x j M D c A 3 f K t y K / 1 f g 1 W g Y I i h H I l 6 y L x A R V a M u i 3 J L E w w Z H 3 3 I E q C u a 7 T / B s n D b y I 7 S P 7 / o H 8 G h i J 1 X U h M K t w W z l 6 Q O 3 r z 5 j d J E 1 m F J t q 2 f R f e e O M t X P 9 v X 4 E p Y 4 T V b E C Z x z m t A G K g L 4 J A J z H L R A j 6 M Q m + A 1 n Y m q i B E m n E e k x i n d 2 y x Q a Y 7 B p J N g P s b K E J g g K e f H c 3 S R P Z P J V 9 r t y 9 J + K H h Z Z h 8 0 i Y Y c w U Z W Q L K 0 Q r b G X B L P T b z R p Z 3 q 6 F x S Q X T 7 n 3 3 K X w f e l E + B / 6 j b K n A I p Z 8 9 l 1 H f j t + c v h + 8 L x + M C 6 N e B y V t F g Q F y D / u E D E V G S d e c D t d M Z P M V 8 6 r m H S J r S 9 4 x 7 C c K t 3 0 D n x D a 8 3 E N + V f 8 B 8 v 7 l 4 o 3 b t 2 z G R z 7 8 I Z x 2 0 l K R b F s U S t 1 w o 2 8 3 L E O P w z 7 0 F z j H f g f r w B 1 i 0 m X W X o t Y 0 7 W I N l 2 H r G P m a e Z 5 0 D y 3 j O l t P B N 0 k g G 9 Z R c j P t E F 0 9 j M N Q f / W X A E m o i I 3 B 0 f v X O Q t F A N a d w 6 Y q 4 a I j o S m M T c O q I H 8 4 K T U G 1 + F u G y 2 h k Y i u d 7 E N J E 5 M H e K A K H M w i Q e p s 4 E I K / O 4 Y A b Z s I d G H X 7 j 3 w H U m J i N q C i j a c f f p p 8 H f J K x t O 7 A / R 8 R E k Q j L B B I i e 0 4 k s P E 0 O e D u M 8 H T Y 4 V 3 o g n d B U p C 9 t 9 5 G 0 n v + D u j T V x w n E 5 M Y V K W / R Q Y f Q 6 l B R D K j t D e L 0 9 u r c g S 4 h g M Q 1 F G J Q R z n I S G i O v f H n i U u x d t V 8 L S F v c N G f G n j M p z f T q a n s r 0 o 1 B D y l G N O T U p f u Z x V N B T E V I k w E k T z p C k y 6 + S 6 e w 2 f + y 8 x 5 j Q 2 o l Q U G j h I A q I W t m y C B J w F z z 3 / E j r 7 j + D e H d 0 y 8 w 7 T X z r u z N P P J 8 F g I C J J w e D b C X v X 7 + E a u h n O 4 d / B 1 n U 7 b I f + S N r t V v J j k m L d p E T d J Y j W X Y d w 1 Z c Q b / j E t B n M U + D 3 m Q u U w f u Z M N I b h 0 P K z c G K R Z O k H R a g 3 N o m f 5 q W I 1 W 1 H p b B J + H o + x 1 d c w 7 D N f M G 9 R V Z S 3 s 7 x 5 G C R 8 w 7 0 6 6 U y Q E b Y b 1 S H y c b L 8 L q J G l r e Z c G 6 Q l i B H a q + U h y 0 i 1 G u J v t R P w G e B a S H 7 O Y G K D V B k + z D Q a b D l / 8 w m f g a s r A 3 a 6 D u 8 k p S k 0 5 G 4 x w V t n I 5 3 H R 8 Q 5 Y X L L z 6 + k g + r E U 4 W G y X X m K M k N L g H M B O / h + f l Y m K F 5 b i f 7 8 4 1 0 1 a p a j 1 J Q U I 2 K 2 E h P o Y b b t E h q i w q T c i 8 4 d T X h Q V b O a v m Z R I x 6 X 9 5 H 2 g M K c R K T v T S z H s t r Z / A 6 C W L Q s / z 3 i G S U w Q u B 8 P 7 m I J R G g h 6 7 P z z 4 P p D O T i K R G E R k m 8 y k w j v u 2 H J S v 9 / 4 L 4 n f M 7 M S P / + P H u P D C 8 / G h y y + R W 4 H v N c h j P R I M F h P 5 b X r S c t X I l K 1 C t O 2 L C N V 9 D e H a L y H W 9 g n E F n 4 O 4 Y 4 b 5 U l 0 8 8 E s w Y Y p q O Y 3 S 3 7 O s i i C m m b q K 3 I u K y w d 4 t N Y t o x a d D p t J O o v Q q T p S 3 R N F h A x M g d 5 k H X m 9 m T / p x g 4 N r B 3 3 0 H Y o 2 / i m X 8 8 i j / 9 + X Y 8 + t g T W N s Q R G p y P z Y c t w B 1 9 X X Q J w M w j m + B w b 8 X E e O Z c t s S I m V n E X W l f e R q H I E / 8 K 7 Y G O i q I E b g N B 9 + + O k v k A N P K p u e M 5 V I J G H i i X f z Q W o M 6 u J X B l F t a O 5 Y n R l C 7 4 G 9 c p h a p A F J u P r X d 6 A 3 + h Z 6 I m / I B x E 4 T a X e x g t 0 S 2 g x L a I 2 y O K r H V Y y F 3 V 4 7 e d f Q p X b I S q R M q N 9 m S f o M Z H T / x f 8 8 F a x X G U s Y 8 V x T d M z L 4 q C V w T U Y C D 6 H q y G X F C B F 7 4 W J p + 4 B 7 8 3 f d I R u E Z + A / 0 c a m q b L G 1 w T N V Q U M 7 X M C U X 1 f / y N 6 4 k b Z / E q 6 l K e W 4 X 7 4 + F 8 y o 0 F e 1 f j s I d L e b L g N R O M 4 X l 4 7 r c 2 N Z c I B l s C N V y X q S O z N Q n 4 S S t a x p / n Y R h v k b U F c z U Z p g H n 4 e t 9 7 f o 6 + 1 B z H k q z r r g U n z + c 9 f i 6 q u u Q N C 8 G r a q x U g b 5 H 6 V p C D S l c c h 4 1 2 G r G c 5 f v X r 3 + L m 3 / w O f Z M W Y i h j G W J G N 5 L k E / k O x + A g / 6 t k + H w G q L l 8 F l F 3 o L Q l W Q i e t 8 8 2 K W d J s M T K l D D 5 O O e w c L y C 4 S U N y l r l V 8 d w f T t 6 c C X k 3 W w / S W Q a C F + A C 5 1 M p S H p I J F J e P b S l f i 3 U 5 f h w K c a 0 N G q F A M h U 4 Q Z z S A I N I v / u O Y y P P H j b 4 j K o 8 W m h p e C m o f I 4 E y H e j u Z p A r Y N P P Y z b L J x 0 z F d S n 4 u Y 0 O h G q + K i J h T A z 2 w T / D 6 N 9 J + + R 2 n Q K 9 j 2 T K M S e j v t x N z E N t I 3 I E u U q q f k r Y T Q 4 P 4 t f n r 6 H N d K 9 U A l e c o l 3 1 v + C d e O W J g m v P G X M w 4 0 r B o a + E i x M I J n M M H g 0 m k J Y S 1 J Z H d 9 1 E 3 U U I k 9 Z N V R I N c P Q u k 4 B 5 9 C k 4 B 2 + F q / e / 4 e j / P W w D 9 8 A y / D T M f Y 8 g Y 2 9 C u O G L O P f c s + l d 0 i T g 5 U F 6 / l h 4 L V I N J I v s B / r i P R g I b c U 3 v 3 G 9 m P n w 1 7 / e l s s 2 5 / p u 4 1 X v o 9 W 1 h i T a d A 6 e C b y 6 x P R 0 f 7 5 s a Q 0 X J K m f S u t I C r 2 L B g P Z y k p d g 8 n 9 C V g a Q n C 4 O L W I z 5 / 5 O o z b t w 8 I Q v 3 a + 2 R q J Y g x N z 2 I H b d + F 6 2 e O J k 1 x W o h 5 B B P 6 W B V m Y W z R n g A u x R m f x S B v u j b a L K v U 3 7 l Y z C 2 F W W G l b j t 7 U M Y N 7 v w w 3 V N G A 6 Q O W 1 L I Z 7 O w G 6 J T h W 7 5 C n Z X E h T R 9 r L G 3 k P x m Q n o g 3 X i X 0 M 7 w c + D z j L 8 O F 1 K 7 F / 8 Z n Y 9 f d b 6 B k l r F / S i q d / + D k x r v b 3 H Y P C v P v q e x P A 8 3 9 D 7 2 0 / h d t R w g f 6 Z 8 B 5 f O o q 6 7 O A z X p + p p H e I x g 8 t B P L 1 p 2 J g 9 t e R 9 N x K 8 S q 9 i q 4 T / l Y N v l 4 5 i 1 r W s 4 Y S y X i s N p s R M S y 8 P z / E r p E H y S d g 5 R C u T B f h S r h w I O p L I 5 M c t 2 c m S m U k p f w D w S C R Z i J I D K h F U I t A j d J f V 6 A u N 6 6 f I q Z G A a j F Q Y x Z 0 e m X F 2 4 S I n e A l z Y 4 R W a R R T 7 M M t h 5 D V f + d m s z M R g Z h q L K B p V b 5 n K B J k C v 4 L 6 Y Z R + J R n J 0 Z L M x G C z k 1 e v 4 M D G v x M z 8 V v W e Y i R z H q U 2 0 3 Q S x 4 E Y v K 7 8 7 R 1 h 1 k H u 9 2 J Z N X p i N R f S 8 8 X h L P r F 7 B 2 q e N 6 E m K h E H b Z S G p + 6 i f i 9 1 W n H i v 2 q F n s v G S m 0 F D 0 7 C 6 7 Y v L N 5 O 8 k y O z U a k b O 2 p 4 N c 2 Q m B j P K U O c + V D e 2 Y u 0 Z l 8 K M M b h X e v K Y i c H M N N A j 5 z U y P Y R 8 s h / K U c 3 / f 2 A m h t B W P G u Z v 9 t a Z Y a K T x L H u y 2 o s F O j z x E u U 4 0 w w R y O E h K d z C p d 5 J D y o z Q 4 X U M L g 8 G M q K b + t O R c q k S 1 S j x b Y g B V T o d Q z f + x w s W 9 x T 0 h O m 2 u q K T 3 F t E 8 c m y 3 j J o x O v o a u g O d R I N z v 4 Y K 7 f p W R w N e 5 9 d j K 3 5 f J j C u b x B u + z b i b Z 9 Q t r K 5 T c z B e X y c M U I w 2 W Q G 2 N U z I k z L z k C C 2 o W f S 0 I y r J h Q n L / J K J Y d b i H / T I l S C q i L P k d L 5 P V x 7 Y h 5 o q a V / F j q I w 6 m c D Z L r X 0 V k k r 2 u x a V N S 6 R O B u W u p F 1 + 0 X 9 d a e n D K m C r P H / z y H K m / H A L v V d I k B f T H o 4 S i y Z W R w 6 8 D w n b U m n Q k g O T S k r L X h 9 1 B l Q Z t M 8 B 5 t h N l 7 6 X g 8 x v 0 W B i G r x I K F F 7 m z 2 o 8 w 8 N s a M d N I H x D Z O l E 2 I 6 e D T 7 T Q 2 9 b b z m k L k k / B e y c z j U U C F c x R R u u Z C r x 0 9 o R J 1 t Y v T u 4 D 0 T / g S 8 4 f 8 v n Y O N P B 7 K 5 9 T F p 4 h c i H 3 9 Q 9 R G 2 S w y 0 8 M p Q w H x H 1 p x H y 8 x q / y E p r 8 y F l h V w M I 1 D 9 K M r X Q d I b S V a L m A p 4 P l Y 4 d n p r v p I V R W + S B w M d K h g h M B d v / P 4 e I X B J P + A 4 n R H i b w Z P P e C 3 d + Y A Z a t e u 3 A R F f y K 3 N p H g W p G F r H S e C o 2 J p w V r h E R 8 A o f G O d A g L x a m H Q f i + S 0 8 5 Y C l r S h w o l x X R / c 4 d w m R C D G Q g T v b y h 0 j o f 6 q b y N D T j Z n a W s h p W O w p f Z i d R 1 J 5 w J i a H U v E J / D o c O o z M j Z C P O C Z s G 6 / + d Q m r U / q 0 Y l Z U H U F H 0 R Z a R 1 B 8 Y D Q k M d Y g 2 l 1 L / w N N t h 8 R j h 6 5 n / I t V T 4 H 5 V k 6 m F Z D 5 6 q J M L o 0 Y b D C K o k g 8 e z 0 z E 8 4 U U F 2 / h S k j / l + C E b R k F t M z g O Y R K o o O + b K F l a g k V x l T N g L k g H R B 5 T 0 s X E a G z 9 k i O w 6 u t 5 8 Z h V D G X S m F S k m q 6 q N y A x c B T L h z 1 Z r R X 8 F w p e b E w N V s j n g 5 j J L o b W T Y l S Z o x d E q n 8 n y t y J A c 8 v 7 B U m I m Q V y k C F M p 2 D O D 1 F H j 9 B k j e q M O o + 0 6 g 4 3 s 3 a V 0 j 9 L a l e s z 2 L 0 F c 5 C 0 K N F M Y l 3 g / w f Q j s 9 9 + I m 9 I s s e H Z w 1 L u G I n Z i D m Y n e n 9 8 9 3 X A Z X I M 3 i 1 X z s + k 0 J u L 0 3 r T v y o 3 H Y Y L 8 R V 4 b e T 4 m 8 T R o Z w r P F M Q p A Z 6 V H U g O 5 M 3 U Z X A 9 i W K w W H l V w v z n D a d G i a m m T y p l s P X C y a r / L H T k T q g z k S W r O k S k V T j y M + l E P E G m J d 3 O v s e k Z s f M q 9 z l Q U w s Z L 9 H v g A v 0 n W 0 D i I X N 9 l 0 2 I o z F 8 l E 6 D + Y R b L O m L 8 a A j F h l s w + H W k a n s 7 B 8 7 E M G T / + c t d T o m p q Y 2 M j v v i F z 2 J o Z B i P H B g X k a 0 b d 4 X x t Z V W / P D k l X m E W I j + 6 N s i L O s w 1 q D S U t w 8 N W U O I G n o o G Y 0 i B J X n N l t U Y V G k U v z / K E 5 T 3 m Y B c z w P P f p E L 2 n z W r D 2 N g o T j j + G N T d / D J i w 2 Q J N C 4 G 3 n g M d S e f i y E X m b 7 M J M / d B v 9 9 y m r x 6 S i O H H 4 a i 6 o X I V 2 + S m x i / 9 R u k s R 6 t d 5 F R 9 F v m o m E R 4 t C R p o L j u w b R v v S 4 l q V y 9 / x N P h 5 g 2 m Z T F Y x 0 Z L d C n 4 v z n K f 7 3 g a m 7 + K c M 8 r 0 j L p C 6 K q s l x 2 c g u g i 5 G T b u M C i P 8 E N D d m 9 P q M a C 7 L 3 c t H n V x W p J N 5 B H v H j u 2 4 6 5 7 7 c c w x x 4 h i g 6 F Q E J d d S r 4 S d b A v M Y a 9 g 1 6 c z A O v R e x w H h e a t v A 2 g d O Q I u k R 8 I L J w d Q A a S U b 6 m 2 5 M a N Z U Y x X W X p z W a y j x O D Q K N x u F 2 6 / 4 + 9 i J c H y 8 n L s 3 b M X N 9 z w b 8 J 8 Y 5 T 9 x 8 O Q m K G C d K 9 U H B / 8 3 P V 4 m O c 9 h S c F g 0 0 x l A Y G 3 w 7 Y A i + I / L 5 J 8 q + M Q x L c C + S u n y S t V a 4 W b p k N L L U V v 7 X s i z f B Z N R j 9 L f y f L S 5 Y i L R S f / m a x w t J O p T n s 3 t J I E Q N t o x O h x A d a 0 8 l D A T u A S 1 3 a B E G 8 k N E K v / c + 6 d m J u l N f v p 3 q z R t Y K B Z 0 A j p d F E c w G / A x F B k j S U K A S q g y 7 o n 5 C O d P f i g Q c e x K m n b s R J a x d A I n U q c T V Q N o k K p r 8 r l 5 g C m w 4 z a Y E p 8 E 3 N M 9 v t v I Y s L 3 t 5 6 + / + I H K m e K l + X o L l c G c n N m 7 Y g I X L V y G m 3 4 Y W N 2 l U z b i H P r 4 f W c s S 8 b 0 Y s u B 5 K q W l K m s p 1 l Y M T k 2 q s C x G K D 2 I W q s s 1 b O x f v g m 0 + j d v w P u y m q Y F k p o t i t a f Q 6 v P h N Y C z 3 w 0 C M 4 c O A g 2 t v b c e j g Q R x 3 / H E 4 6 4 z T Y b d b h R m r N c + 4 P F n N P 3 z A A 7 + U N 6 S T e O S O v + L y e 9 8 E R o j J t r 0 E / / 1 y l n k x u K J / Q s j 0 I Q R 7 q 4 m h Z G H m i + h Q 5 i h N 4 C p 0 c d K + V l n 7 3 v b s a 7 j h f + 8 D L 8 X j v / u / x L b 5 o J S W i q e D S H E K k U W m O 6 7 H l 5 Z 4 / C k 7 J 0 u I x 6 x m R G K I B M L M a 2 F J n B J V k O 1 S i I H w l q l B 5 2 Y X D 5 P I h G C w 2 Z 0 / 4 l T 4 z 3 3 m W l H q l 1 d M F / X f u O a a U p p J C y 3 9 j I 6 M F V 3 1 r R i 4 z k B h S o 6 K Y C i K 2 / 5 2 B 0 x e A x 5 4 8 G F R 4 a i m p h q f v P p q r F 6 7 C i e v P 5 G Y q x E m U w I V i p b k E l 9 i c W Z O X z F M T 4 b V Q j i x m S A s B h d 1 j r x y H n 8 4 S j k c J y Y x 1 Y v a d q y x a m 2 r y H y w C z O i e / e 7 M J B d b 7 N G Y C t b g L r 2 J S i v b Y L H p M m Y 1 j Y I R x 2 L L r l S A B J A P E / p d / / 7 R z H 3 6 6 2 3 3 s G C B Q t w 9 t l n 4 Y I L z k X H g j Z B P M X 8 n M r X S N r a q F + 2 P E + / a D 8 R 2 s k r F u O Z A T J f A u N i A e y v X n 4 8 x u J 7 6 R 1 y 5 a 0 E y L 9 L m k + E a / w P C C b W w U r y i J d 4 4 U o + c w K 1 n x C y h G t u v p O u Q S c b D P j O B 8 8 S 2 + Y D K 1 1 L 6 7 s z E j z 3 j t 6 Z h 2 N S m T g 1 L f 1 n k F f e H z 4 y D l f 5 7 L R m N z K N z S D l e K y r C F 1 r w T 5 2 N r w f u m I V n h S 4 z f V i d U f G e z 0 L 0 V 5 G 7 U / 0 N K 0 u 3 3 w Q C o f h I u L / Z 2 G 2 2 I U W q v S U Q w p Z k K G O 9 p j I X 9 G 8 + N 4 R E 5 b V K N E e k l o c n j a k + k k z E Y M p b z A + M Y F K 0 m g q m E F Y 4 z A 4 d c l M W l c s R l C g s d i X 4 y q x P Z H N a H G c I i K X T M w q Q W f j g 9 B b C 4 h T C 7 X / O I S c Z 1 r k w F F J X h f q q a e f x Q k n n o j J i X E E / P 7 S 0 y d K w P v f L w K 1 p C W e l p e p 5 D J l v / n e D b h + C 5 l / b z 8 p m M r / w K / l f d Q C P Z E 3 4 d T Z U G F f Q 7 / l t m A / w b 8 v C F 1 7 R c k x r z z w M I c m M u t 9 i o h n + A j w 1 J 9 g c 3 s x d P t / K n t m R q E 1 E 0 o N 5 Z V Z n g 0 T w + S S 1 D i R L R J M c h g r i E l n 1 i o C 8 / Q B J T I b d X M o F a D 2 / f Q n m w f m z E y z h F a T i S i a G + t g s e q R J p H J E / O 0 z M T Q r t P D h M I R P m Y m Q 6 o T / o A 8 g q 4 y 0 0 B Q l u 4 q M 4 U j p G H I t l b 9 q E L z j 5 l J i 0 I z a 0 Z m 0 m J a R + l E X Y 1 Q O C b q l v M y N 6 e f d i p a G u u x a s U M c 5 F K Y E / G z V T J D y j / F c 9 I j M / R S 9 4 W z m W 0 y 9 C h G g 5 i J s 7 f 0 7 y k n i S p u R w 1 I w p T z g K d J j f x a 8 / v A f 7 8 T T m z n R h 7 2 8 3 0 f Y 5 I S R H 4 N A V Z 2 A o o l k F e C h W 1 b s F M f a S t C j E n Z m J Q H x m S 7 M P N D Y K Z N L R Q E i x I i f l m Z C g O T R Z D L D Z 7 t Z w c q K P n E D X J J s d h M J n g b D Z M X + + H f q o D 4 4 n R V 0 S j q E j o W u H R 2 C y c / 9 b g Z q c 2 1 1 G 8 W L Y W w y P 5 7 9 X v 1 2 H A t x e x M Z d Y s o Q 1 b 2 G Y l r X U 7 C g k D g n 1 D f W i R H U q m Y T Z S L 6 K 1 w X t E i p z x R 9 e 2 o p x y Y L L j 1 l M l 6 U 2 p W v L T E X P x g l u C o N x k G A K 0 Q O w O V g z 5 c D z w h i p Z A T x 1 u t E h n s w T m a x M k 5 b D N q S Y H 9 7 n R i K 7 8 X m Z W B s x q V / C s E W Q l n B D A W e 4 z R f N L X n T D E b l w A g h N P F a b U Y D K Z 5 D G Y z q F u z k Z m r P + k 4 m 4 e Y T y + c t B J w m q o x O j Y h 6 p s F g r m B N F 7 X a U f 3 y + g O b R a F 6 r v 8 x a d R i 5 v M z L M C 2 c h h 9 A 7 E w K u M 5 y 3 d r 4 B n H 3 j 1 c o M Z C 2 p z s 6 9 h s + a o o X D Z l m B o + l h F L f l n W l S T M s y Y f V j S u g Z l Z V 6 h e d M F W l W n S y O d S E x 9 Q m n O Q p C Z n V c V 5 M z o Y p L s l J P X Y U F 7 C x 2 j S I S j R C g W R 8 / + 3 T i p g n w o Z i h x K / 6 H D F t V Y 5 H 5 J 8 Y X 2 a z h 3 3 Z i v g K w X x U k U 9 n d a k Z s I o Z Q z f W o 8 / 0 e j l z w d T q U 9 / r y P v r n r I / T R d g S o G 2 x u Z t r M 4 H 9 1 6 M B D / j G l B I A x l m y b 6 Z A r k J S N 4 8 Z x g I 6 P P D U V v Q P D F J T y G 2 h B U 8 8 F W F 3 g l 5 E P F J + c v D 7 a c c R E R 4 H Z y c o A 5 S 8 q D H X N / O 4 3 W I B A b 7 g / p F N 8 F a x C c M K m x c x L k 4 s 6 k 1 m g l n q h 2 + 0 D q 1 t T V P M 1 B + Y b u N W l p c j M r 4 d B v c K 8 Z t X 7 1 Y R S 7 r J h M 2 V y 4 q T l l L h V o r G 8 1 K Z p c A L E z c X F J K M J P O l W O G K e D x h U E o l M B B 9 F / 2 R 9 + U 8 N I 1 W 5 P E q j m T l P p 3 i 7 6 Q I G R 8 F 2 A z N y I P X g s D 5 I 7 7 z H 2 Y g + k 4 / l j W R 9 G Y N r n m W Q r h N j a K t 1 d G R S N 0 X 4 R r 7 H / l H M Y h x R w n 3 P E 3 + G 9 / r v E + L + 7 s 0 d Z 2 3 d J c W z L O h V N 3 7 2 c A D v i o i R j v G E w e h T x x Q t p Q A 3 c u U m V n b M K R s l N o 7 i T v v v g d H u n r x 8 S v O R 0 N 9 t W z 5 U F u b d a M Q a y Y T 7 6 T i P D 2 I 2 1 9 V H y Y v O D N b s r f L Y 0 0 W 8 h m U H C 9 d e C e G h u S J X j z n w 5 / q R k v l S v G b w Y 5 / s 2 0 e A 8 M a D A 8 P 4 p W 3 B l D e k j / a X i x b I 5 s M w F G Z M 1 + 0 g 7 9 c D M a Y z i X i W j V a a i g g d x Q v + D Y f l N n z n 4 G X 4 F Q x k t m F + I Q X 2 / f s Q 9 f 2 D K q t S 6 b G P 5 i x i j O O f D 4 z m h Y z M b o W z E j y h w i a G W n q O u x D M W P R b / r / s v V z G 0 f j M Z e s Z t m b U N W X 4 R j g 0 t A F 4 D l S Y o I e z w + i G 3 B t C j L 1 + H 7 v 3 P p D c Y j 3 6 h / g r F / e i 4 f e m 3 1 m Q D H I f l V + u 8 w d E m p M O p R n D S i X 7 M h I s n n P m T G G l F K x q g A p Q x s J 4 O J Z F r o Y m b Q E g 9 G F r p 5 B X H 3 V x 9 D e 1 k w W i J 1 o w I h s Y o Q U 8 z D 2 H A r i n a 3 7 S Z m 4 Y S z f Q C c y K 8 1 S 9 Y g h 2 R e h r i 4 3 F s W L R f P i A j x 5 j 6 c p O K Q m D M W 3 K 3 s L k d 9 I f X 0 D u P v e B / D 7 P / w F E y O H U F t b j 8 W t q 4 S m 4 7 W d 2 L T 0 x / R k g u W Y 5 b X N b + L t d 7 b g p d f e J V 9 k Q v h v W i J k I k t H Q s j Y 1 l L f T 3 + O O o / 8 D L 7 o / C Q g r 1 i j R d d g G j v 3 7 c f g 6 D i q T G t Q V 1 G O N c u X Y v 1 x x 5 C Z 6 U I f m Q O R 2 F 5 h C s 4 H B Y q v J E Q 6 D X 2 2 T L B p q T K Q / J C 8 4 g d v + 8 W n L 8 N X L z 1 T b J s N O q O F + C T / 5 p G 6 z 8 D S 9 w A C 1 A d T 4 A m H a j l q v h 8 z 7 1 t P 8 A / U V y i T E Y P s T 4 3 j r d 2 z a A c N O D T O m S e s u Y t N H J 0 N 6 t A H C / R 4 n K w l W x v p g E b o l C k 7 G X 0 V M q Z c k S E e W z J k c s n V Z l 0 u g G M z j p E 2 i l M T J k m h y K X h u K 3 b x R J D 1 F a C W X R 4 8 e X X 8 M 6 2 X o R j V i z s 6 B B Z K 1 x N O Q c 1 D D Y D x F h P A c R M W A K P 4 0 T p Q S 1 6 2 T F N 8 n K Q e c j v s F p i z K s + + h F R c m z n / l H s 2 X c Q F j e P O 2 R F F U / W I r y W k T 8 Q I u Y Z x u t v v I n 1 6 0 / A i a v r c P Z Z Z 6 O 6 u k L 4 b 6 q 2 Y c b y j 4 2 h r K Z W 9 H X G O t 1 n U M H L 6 U 9 E Z 3 1 d 4 R P J X 3 L S O x A M U a O a x X p O z U 0 N 9 F Y S A u E I C Q I 9 j B Y L J i b 8 a G q o h 3 2 2 l e k V s P Z K c h Y 9 w V B q F Z A C s B b i 4 M P L Q + S E T 2 k o + t C L f 3 X j M v i / e A I + d 8 F G c e y c Q F 2 T L Z Q a x D i J h s v Q M P Q L M T 7 F 6 2 4 z R i S r q N 0 h G J n v z Y v I k f / k / U d A z i k U h W Y k / P p T m t X z Z w B r a d Z K 8 p y 6 g m e Y A c w 8 K i O p q D G Z 4 T f k z 6 M q B h 6 o z R g U 3 y k b g 8 n u g d U w j n T o I G L 0 b j q D l f p z e v B s 9 5 7 9 x L A J 7 N i 1 G + e c d R p O W n c 8 q q q U b A x G g W k t K G z H Q O l O l Y o 4 t l o 0 l 6 1 B h b U D Y 5 G D Z K o 5 x V R 4 r i H N C E X y n V b 2 x X r 7 B 3 H N x 6 / C 6 a e e j B b b S r w z W I 6 d g 1 Y x 9 p N I Z U j N 9 p E 5 N w 6 d y 4 + T i J m M B i N J n e J O J D N W e Y 2 s P f m 9 r F Y b S Z 6 c F N K C u 2 2 2 + V 5 8 j K o x e C k e x p v d 1 G E Z L x o b G 1 D h l i N K f F / 2 K Z n I e U V 3 X p i L U T i 3 q x S Y o D g T g 0 1 D d X C Q w Q Q z H X S 0 J P t O H B 5 P 8 q C Z o q H + / a q L S p c x m w X s / U r p I g K G m C r c / k 3 U J P + X N C / 7 k s D f n 3 p F 7 P r m h i X y v e m Z T F y q 4 M B 7 w A C Z 2 q d 9 R G y b K z I R 2 a y a G 7 i 1 V C b K v 0 e D z Y W R l E x r k 9 G C e n 8 l k P V t w q u b 3 0 c 8 V U a + t w O u M g 1 z K O A x Q y 6 L 9 / w L L 2 P 5 s q W w W E x Y v X K 5 6 I N C 6 J R s C R W i 1 u m q B n n j Q M C A M N d 4 U G A g B 4 + d M J b + b 7 7 9 H g 4 c 6 k K c V / k j T E z 4 x L I j D A 5 W V C l z n 5 g Q u Y Y 0 w + V w T C 3 T y e D p G W 3 V s j Q J d x n g b E 2 g p S y N N Q 1 J v N l p E H X 8 O u r J F N C 3 i e U p D a Q B 8 8 y P O S C R d i n f 8 s H R Z H X x w k J I p N I H R 8 b w 0 i u b x P t q s b 4 1 i b Y K Z j Q y S 1 P l y P o 3 i S g f a z D W T l b 6 a C M / Z k 6 u n A c 4 c 0 M N X E w m j g j t N Z k 8 M r W N T a L J Z B e R v + x D 8 b w v o S X o l l + 6 6 D T l K k c B e k 0 u g c 3 E w 3 U V 6 6 7 / r S h J p i L o + A K c R 3 4 J h 1 E u K N O z b x d u O U R 9 x 5 q b 3 v f e X / 1 A / B X a 6 q 1 / w G U t k O 6 i l s c Q J u M H N e 8 i f w J G 2 T + 3 K u Y S s 0 w h m I H Y 1 N r 6 R h / e f u U I j L q c n 2 1 M + u B I B T H A d d w V Z E l L p Z V c x 0 J w w n S G t P H j / 3 g a B 8 c a c d p p G w X N c l 7 i 4 V 7 5 P l q w u Z d J J 3 H O 2 W f Q v u n P l o e C 8 V K d b 2 K 0 c M E D A Q 4 R b t + + C w c P H c K X v / h 5 Y p L i G Q C l w B 2 v P i h 3 S J D M p k Q i L p I 9 I 3 0 S v O 1 m w c A N n v x G y I T 2 w + C S 8 / I 4 L M 3 P N l c / Q 4 D e 3 6 I f R i I 7 P W + Q V / j m Y i t v k X D g x d t 6 e n u w e t U q p N 2 1 W F 4 z f T R 8 I K C n 5 y M f j T r K q G i s T P Q I u f O 1 s N q n T 1 v I k k 8 w n h w Q 6 U p z Q X f n O F o X z J w 2 p e J Q f w h b S Z P f 3 x f H Z U t N + P R y L 9 z m 2 a f 4 F 4 d O J B w f P n w E 7 2 7 Z I v z S 6 x / e T C J / I V z 0 6 H 2 3 3 o D B y D b U O 9 Z i / M h t + M u u h a h t a c f 1 7 0 + S Z H 2 c T I 9 J 1 J / 2 A Q y G i S F q y c 9 4 5 q / Y c t M 3 0 F F J H S W W G c p 1 G D P Q T G D z m Y f g e W y O l 5 Y x k E C K j S W w 8 8 A E N p x 6 P F L S G E z p M F x E S h m j H Z M l h C I j m c i g 3 j 2 9 a u 0 I + b 1 M d 2 K M j u i S F 0 1 4 5 d V X 0 d T c j u V L F w n 6 / F d h K v V o 2 4 4 9 w u z i M R o L a R i v 1 y U E U N e k E e 0 V 8 5 O 6 D C n W Q 4 5 i f t i 8 Z 4 T 8 r Y g D V S 3 y u j y p j F 4 Q e e 8 E s L J B f i k p k y B 7 V h 4 U e Z v M r X W k I e Y F R a B I J H 1 0 S l Y 0 g 8 s + t 5 T J z B s l r W l X 1 s R l D A R 5 M D g n i f r 8 B j R 5 5 W N 9 g b C o f q t F N j E O v U V h B J V 2 W H M o A o Q n W a b J F C g m q L R I k b Y 3 z V N Q F U J N B s 2 S W d g X f Q t V l u V K P t t 0 M B M d O H g I + w 9 w H b 8 s z j 3 7 H F h s F l E u u u p D X x Y F X y 4 4 d i n u u U E u m x 0 k c / T 2 Z / Z C c l b D 6 S 3 D 1 7 e S I / / 8 H b j 4 2 M X 4 B 8 j h r y S G Z h / w 2 d s Q + N s X y K G f 7 k O y 1 i 1 u y s p g T W T K m k l 4 2 r B j y z 5 4 y r x Y s L R y W n 2 J u a L C v I j a P b / h W b C z v z 0 0 P I r 9 + / e J g A K v X D g c 3 Y 1 a a i / 9 H P 3 Y Y u B S C a 2 e 3 O D 0 l K 5 b v m w x 2 Y l L U U O O v 9 e T k 9 Z H w 0 z 6 V O 8 U M 0 W i E b z 2 + p t 4 9 b X N s C Y t q G k z C b M w Q Y 7 e M G k A j z U 7 x U y M k Y h N 5 Q k c 3 z w / Z u o n R l A h F R R Q 1 L a x l p k Y W m Z i q M w U C E X z m I m d U 4 b e S s z E v k 8 J h v F a W s i v b F d + F U c w E P m n m Y m h a g C 9 z o B K I i a V m d i U 4 + I s v A g 5 r z b / 7 p Z t Y i 0 p H q N a s 2 Y N T j j + e C Q H i Z B I I 1 R 9 9 R Z x D p P 3 f 3 7 s f O U 7 J 4 A 2 I p D Q w + H 2 Y D x K p h 0 x Y Z 3 L i u u + 8 X 1 8 8 I T l z K H A n j f p N N I y R e e A s f a Z z k y F w Y W U P k k W T B S r 1 j W g e b F 9 i p k + / U e 5 V u R 8 M J E 8 q H z L Y d L v x 6 4 9 + 9 D S 3 I C z z z o D r S 0 N 6 A m 9 J V b 2 y O p L M / t c w U y l f q Y Y y m z K d W 4 6 K F d e Z S K M a X y q u Y B J 8 5 G n d + D + B x 7 G P 5 5 8 F m O j k 9 i 4 Y T 0 2 r m 1 F z L l z S n q w 1 G g u z z f 3 G L V u T m i V Q U p s X n A R c 6 r Q 8 2 x b 4 U D L q K f r z g e R W A I B / V a R M M t R S H 4 o K 0 n z q Y e z N N L l E + R g k w T m e V 4 F d j g H U N n x T 2 n G e q Z A j e R y y y b j 2 I h 2 K r e E c H p + x R 0 Z K l O p x S + N J H F f f e 1 1 v E w + 4 X / 9 7 J c 4 d L i T r A 4 L T j z x R C x c 0 I r G + h q y R C q J l y Q 8 / c 4 O w S j i x Y g x F t S Q k 8 5 V j 5 S I L Q d e O N D 0 a G + E K D + B T 1 5 2 I S Z H h n F a N Q k l P q 9 3 H 0 5 c N L d M h x w T 5 Q s w h r M 8 R V t z 2 z u u u B W v 7 R / D N + 4 u N S R T G r 0 T + e t t l X n c W L t 6 R c 6 0 I 6 H S 5 j 4 F r b Y 1 5 F v P l C I y M 6 T 0 d C 0 q q C C R D q A 7 v H n q d Y y e 1 c i G O c 8 E s B X k 1 c 2 E S D Q B K R X A p Z d c j C s + 8 k F c f N F 5 a G 1 t I q 4 c I 7 X Q i N a y X H k t u S B m E W i Y I B h X q T c f x X I M 2 T z 1 W O k f z S l m f Y 4 4 u a b 4 X M H R x v H s u 1 M d z K Y w 5 / g V g h N 0 D Y 5 2 S K H 3 6 f 7 T N T k v r G w y y 1 r z 0 H 5 5 k P H w P n o m e k Z V s F T V u N F 9 U E 7 2 5 M x r p z F / / l k p i O C E A i n u x O 9 + / y e 8 8 e a 7 Y i j i 4 O E u n L J h A 4 a H R / C N r 3 9 N M N G a 1 c u x Z H F H 3 n n 8 C D + 6 4 z E y C 7 q I G 5 W c P B Y M X P W I n W 2 e L U 3 H 8 z T 6 / c E k j h 3 b Q i Y 5 + c M T o x i j v h Z 9 R Z + n f / x F + d x p Y A 9 J Z i L + 9 E / O L e X n g 9 + 7 l 6 5 L j B c Y x x f P m N t Q x O H h n N l l d / K S R W l 4 L / 8 3 E W j 5 3 O 3 P K H v y o T O R W 6 O p W T J f 6 M i n a 7 F X o C 4 z C Z c y / i g Y y m L 0 o N V 5 i i B K 9 h / E D u d S p P z T V 9 a b C X b p M P S 8 / o 8 C l t z h L h O Z A 1 X k M + U z R z F m y f L y j B p J X y o Y w T m G H N A Y D + u R V N K M t C a d i q R U h / T k 6 8 q v O Y C u w Q 4 y j F H 6 t / C C 0 2 + g s q j e s 5 7 u b 4 Q + u k P M D m Z k k Y Y / m R u p r + + Q z c y O p d M Z p q Z B J m a x m v n U V f O R y S Y R z c i 1 H F I 8 5 U H z w n V V L T j v / P M w P j G O b V u 3 i p A + r 3 j y i a s / S m 1 I V 2 S T j D 4 Z j m x p c L s v h Y N X / p S k p h I Z Z Q L Q g g T t 5 8 8 / G Z / f s A T J 8 9 7 B b d 8 4 l g g 1 Q x o r j d / u J Q E j c p c k s i T y t b M / k T O 3 K y 2 5 Y Z f G 8 u J D G l p k J B 1 2 H F L y 8 u h 5 y r 3 5 5 n k p d N T m Z 6 Y c G i f a 5 S T k i S H c / 8 J m Z e t 0 6 C z 1 0 E W 2 K b / m C R K i Z k M A Z l s 1 K i o 2 C F 9 q q i W 4 7 B Q T s O o / M F x V p a c D M 0 F P R H R 5 V Z K y 2 o l + 8 R F k E k Y 4 2 8 g 5 V z a p 8 M V S 9 J E Z V 9 L U n Z a U R F 1 V e j s t x Y m L w d H B S m d W 5 O H N h F m n X v C t l I + e f A 0 J S Y R S A 1 O E r U s 5 R f Z 5 W V l O U K j h d z 6 t c z z n t 2 X t q 8 V E S l 9 S D n 9 r M d M 0 B Z t D 1 d Z 8 1 P T j E p k A E a 0 Z d o M 8 P c V E j K c e x 6 v m p 5 I J s d T l 5 Z d + A B + / 6 k p U l L s F 0 c + E x w 6 O 4 o d v K L X f P / x N Q b w O D n 0 n S W L H l V w 3 c z V q v S 5 x p 2 j j J 7 F g a K c w m 7 g 2 u 5 8 n F + 4 i Q i 1 k Q o L X k k 8 3 e R M y Z 8 D S 3 / d j 8 b s r g G / c R h r T g 4 U N n q K C c i 4 4 8 b o / y l + M R v j u + i l G f E G h r f j D w p w / P f 4 Q Y m m y q h x r k V V W N J k r j E n O C i G T X t 8 i x w u U h f k E Q 3 G 6 D 5 e d Y k I Z I 6 m v I j x Z e r C M C b r C I Y m 8 O z 7 f k D w E g 1 W W v u F e u h B 9 N 9 p k Y n u r W 7 Z T h 8 O D w n E L k O T u 9 c n 7 4 u G t 4 u / O n X v x 9 0 d 3 4 o 2 3 3 h X R m F L o m p i f I 6 + 3 t y M T I k L Q d r z o J P q t 6 S w e Q G Y z g Q m 0 0 r I E L a S x G c 1 l a 6 f N + 9 L O k F h Q m e 8 j 8 V S H Y v W 4 L b q Z 5 + v s 2 1 F a e l s M p W c B q y Z c X U 3 V r E y k x e e f 2 g 2 s 3 C h 8 I H m R N g n f v + w 4 4 t Z a 6 r s i Z p b J i f / a t U D c L 8 N j T + y P D H f j 0 e 9 / X j m g N L i C l G 0 O 8 5 V S T I A 7 X 5 O f i f r r 7 u + d T / 2 m 7 J w H f v e w u n y o D n a z S Q j o x Z / 8 t j w I H Q n A Z c m K z J k W E h Y 2 o 0 y b e m I K r X A v h U y k k w T / G N J m 0 r y a a U S w N s O Q 7 o X + 0 J i R L i o / N R N K l S a P z u h a R v 7 B 7 O q Q 0 4 U M Z q c 4 N t p r R 6 Q s P w x 5 U m t C M F K c 6 5 c R 6 h 1 N W F K d g g V 9 x N 1 L 8 d L L r 6 G t r Q W f + / h 6 M f 2 b p 4 T 3 D R Z n q r a j i T r a O 0 j 7 E P c w A 6 l M p B F 9 s X g a 6 S L E q D K V C l 4 S h 6 N D D G 1 E U Y V e l x X C Q g X 7 D S o 4 Z D 0 T l q 5 u w N j I d D + t E A F f l G g 5 R 2 X C P 1 G Y a j 6 I c 5 l m X p x N + E F 0 P f r / C x d f T O 2 i k R Y F u P a c k 1 B Z 1 4 g J s j A O f 3 I 1 / A / d j N N W z Z x J o 8 J h z J 8 y U 4 h X u s j B 5 + f w k B Z + 6 x 8 w K P 3 j z V s t Z G Y E o r L p f P O 9 r H n p W n Y X d v 7 h K t z w + 3 v k a x M M Z A Y W h t V V F A 7 w a m E 3 B 5 E O 7 i a f e Q G Z i f l T i F R k j M 3 Q L 6 x K Y 3 y G H D e d a y 1 J M N I i M 3 S a x T B J h l I d Y r 6 T Y W + O o s Y l E 9 I R 0 i Z q O J H B / k l W M u C t H i f K p I N I o A k x 8 g t O O O F 4 3 H b 7 3 / H H u 9 4 U K T 6 X X X o R y i p n d 8 7 T p V Y H V x l H + b D z q I v K Q Z Z C + P 1 h 2 D T T E F R M T M p L a 6 p I Z m M Y j c j X 4 B o V v P Q N J + v u 2 X M A o 2 O T e O 6 F l 2 H U + c h 3 y t d Y 8 4 H V W t p f y P A o N 8 F T Z p e F g w a c W c E h Y E F E c w Y d y 4 z J m i b B g o 6 + z 0 B Q j A q X A 1 8 g f + r G M 5 e j M U K a h J B S F u q e G 4 o f u 8 d w M q o 7 z p F p j L M d J g Z w 4 G + f Q r m d 1 4 h S D p o D P P Y g v v Q r O X E X d j c a K 2 T L 4 r Z n N 4 m / b E Z O 3 D V D Q R n W O J r g k h T v Q z Z E m p w Q T Z J f q k w d m g m i B f m Z S 6 X l C D i P o X d N E p M X I R b a l s x W 4 I 1 N W w Q z M d S c S x 7 D Y k d N / b R 5 2 t H u b c W p 7 V H S f v K A 5 I t P 7 Y D T Y c V X v / x 5 f O q a j 4 m V F R j O e U Q X S 4 E l T j q V R Y w k 6 k C g E r 1 9 w x g a m c T k Z I j M y g l i B D / M F r N i V u Q T U 0 V 5 z k T h b O i h y H Y x i Z D D 4 f E g j + 2 Y s H X 7 d q x c u U y s U n / c C e T X F I k k a r W U i g F f L Y 6 M t i A c z 8 / O M F t n E G z 6 / O t E O c q m w X j i Q N 7 0 8 l n B E p u z x P n v 5 o f 5 Q e e F e O W Z 0 M e G 5 1 U Y t V j t w x e 2 B f D O s 0 9 g 4 P A B G G u b S c K R Z a J o k 7 k g n c k X h s + 9 f X D q X V 7 9 9 U e w 6 C M 3 y b + t D l x 6 Y m 7 a U U n o j D C m e + C w R a G z N k H v m p 2 J V B g S u 2 U q q i d / S O s X F E M 4 Z S f e k R m G B R k P G t 5 9 z w M I R 2 P o P N y D k 0 / N z c M p C O j l w c e 5 e f T Q K j 7 8 w U u J 8 O k E + o z F y c Y t o U m 0 i E Y n p r R T J p 4 Q H w Y P G D O z q I m t b A o Z T X r Y b C b U 1 1 W R u T h I v k Y 5 j M 4 w 6 m o r i B G 8 c J A U 5 P E a Y h t x D p t m E 5 N B j I z 6 M D E R Q j g c I 6 c f J B D W E T P p 4 J E W i 9 q F b G + f d 8 6 Z J O A z m A y 9 B 8 n q h W 8 i V 5 K 6 F P o n 6 9 B Q N o z 2 6 h 4 4 r f n J w 5 x 0 6 5 s o z N i X E c 1 M k n D I M Z V d X U V D A Q d R u C J r s R m l h R B z g f g 4 r k H B W i E R 4 e a f N / T R f o Q T 8 z t R G / V j d A / J 6 w P z a v l c N J V T m 5 7 / 6 T V 4 6 q H 3 8 N S D 7 8 N S Z N F 0 R i Y r 9 7 H R I G u U B 8 b K 0 f G O w j A 2 J x 7 / 8 a V C q 8 s Z 9 f T R G 3 D 7 V 6 + S 9 8 8 C g 8 m C u H 9 u y b Y q M v 4 t y F h W F I j l E u A 6 D W L Q N D l B z G T E A / c 9 Q q Z S A B / 7 0 B m k X Z y o N e f y p 9 g E 4 C C F F r w C o G K x w G X I m W m F J l u l t U M k q k Z n G U z m E l R y P I z + I w b w R W J E E H p q w A y c H j d i y e n q t j + 0 F c N c A 5 z g M N Y R 8 e n x + p v v i A j e 2 W f m k k z Z s f f Q N W q q y 1 B R 4 R J T T X j B L Y n e q 9 l 1 E j E Q C 4 M c 0 f p C 7 y B r l m 3 3 q L U G r s S k + J 6 P 3 P G N 5 a X n S 7 E p V 0 Z m i s o U k b D c P i O D P u H U H 9 6 f P 8 1 b 6 0 v J T r 9 e m N A z 4 d V U B V 5 D u 8 x Q T q 9 s 8 t H 3 h X V z y y n U I l 1 x H N y Z A s K j r u P c x z e o b U u B m Y q L 5 v D z s 0 C q b G j G z g k y O 9 m P p W e J D g V x 8 Q d P x S k X n U a 0 J w s Y E 1 l B 7 7 z S j c N 7 Z a F u K N D Y 3 7 t 3 h / z l C z c L 4 b y 8 t R K L P 8 L V n + g 9 y d T b 8 5 d P y v t n A F c l t h k n M N C f J u Z Y T A p E 9 v l n g z F 1 C H q n P I + q J E P l u o o f X v 6 l M 3 q R T c d w x Z U f E g t g H e w Z I 0 2 V h M G T c 6 Z 5 K I + D F A y e U 8 N 9 z j P b 1 a w H H i Q V 2 d o E Y 4 H P w N V C u e Z 4 Y Z G W Q v D V R w N h m O w 2 6 E 0 G V F Z 4 q R / k e 7 I J U s w M M W U q k A h U Y H h 0 D O P j E y K A s G H 9 i S Q Q e F X 4 / O P F F A m C R i E o k F D m d R I R Z B E I x u i d Q s i Y 5 U l 2 q b T 8 T j b z 9 K T Z m X L Z i k F 1 m h 1 O u X 1 q 6 s t E x a Y l K / M H R v u P T G e e W K Z 4 Y E M s s k B 4 9 9 l / Y L j n C P 7 r 0 p O F J B c a i v D K z 7 4 m / h Y 0 x a z w J 2 3 i G h k y / T k 6 e 9 f d D 2 D f / o M 4 + e T S a 2 Q x H M Y q / O G J X t G W H D W 8 7 X C Q 7 P + 7 8 F / X b s S K E 6 q Q 1 U X J c r J h 0 z N 7 B S M x 1 p 2 x A B 3 L p r d v x 0 3 k o 3 M W f D f 5 O 3 f 8 E N v / 9 E l M U v + o R M y k x 4 t 0 J 4 t k N m j h s I Y R D v i I w e W k Y 1 G f r 8 T M X g F 6 7 2 x s E G n T Q u I N e e p O S Y b S 6 g g 2 B 1 k D b H 5 n H 3 z 0 o F y k k d N X V i 2 l G y f 1 s L h z J l z n u I k + 8 m + y t M T Y F i 9 q x u F u T o S N Z M x w u / P t f x X p y T d J O 5 V 6 J B 0 m f C G R V m M k v 6 e u p k J 0 R i m w S c q L D v c P D I v p C S 5 L n S j K W V t d J f I V Z 8 L Q i E x 8 M 6 2 Y 4 j K N Y o Q a s 9 K 6 E N F R L z w 2 e b x r L P 5 P r F E 7 T z R 3 F N c q G U 6 F I g S T v d A l 5 P l W k l m O T L F G 6 N 2 / B 0 6 u F q R o J 6 Y 8 M Q Z F m K / p 5 y 6 v p v a a w H N P P Y m a m i o x D r Z y + V L l u j O D 5 3 d 5 K q r F C p i n 1 9 l x 5 K 4 v 4 u O n r 4 M V d Q g N W 3 B g d z / O v v h 4 n H h 6 K 1 L 6 C b r k N A l H v j / d h 5 m J M / z j Z E L T f d f s P B Y n 7 D u B 9 t I + u x s H 7 5 B X f Q w W a l M N z J l O o k 8 v D A 6 y k j T h c 7 3 R V V J T S b G D 0 C v 9 r m K K e t m s K 8 T W 7 b t w 6 + / + S A 0 2 T s + Z x b K 1 J 6 N M v 5 8 a Q O 4 w r t c W G c p v O B b u C y p z k R L V L O F w N 0 + d s G W H E E 0 o a S 4 F c N e t k t f c 1 Y A D C j y X h V f 1 q y h z k Z 0 9 + 1 g B g y c b 8 q L D W X c P P S 9 n l 5 v h V R J d d V H F P C g B o 3 X 2 6 q 8 + x b Q a J 7 / P X u 1 H N D V B 7 + c m 7 S u r / k I U C 0 7 8 K 9 D T K a c t a e H z h Z F N j c B t b o Z k y Z / i w U L I Y r P J W R O s n b p 2 C S L k z I 6 w s i r l X J C m j u Z a 8 8 8 8 8 x z 5 o 1 W 4 4 K J L Y B t 5 W r 7 m H M A p j v / + 0 f P x h V N X 4 I s b l u D R D y w h M 7 A C S Q R w 6 P A h u G o T q O t g a y H f z 9 S i V 7 8 M N 2 7 m B F + 6 m K c C u h f + D s v x Z w P v P C U L i + P O w 7 X n y + W 0 V f A 0 o m m I b E H S k E t d 4 o A T g w N x D L F a S 8 G q M R b d M H T 2 6 e W / B U O l y a k 3 p O P i r w o u I H / s 2 l X 4 y p c + R 9 p A l o S c m a B z n 4 D E 6 G b x O 5 Y u g 6 l g P S R e y E y L w h C v u i J 3 s d Q j f 9 / 7 Z K 6 l k U p l x c I F r B V d L h s M B h 1 p g L l 1 l A q e I M b S u M m Z C 5 Z 0 B e V Q r y 8 6 f R B 1 Y j L n + 7 R U W 6 e 0 b D G Y p W 5 I p u n z p 2 K p I C z 2 T n j F a h 0 l l f + / F C 0 L K j E 6 7 B f O 9 8 i g H / Z U V B T 8 1 J t q p h W A 2 d s 3 Q m a q n D 0 u B m d Z i 3 T L 6 W V 6 G O H k Q d 0 5 w k h m y x U f v h z n n 3 s W 4 o k k w t E E B m x n w T T + q n J E c b A Z z T J W S X E k K y D X T k a l E G l T h y z 4 9 L P U c z Q n R n H N G e t w 5 S o 3 D n / C j n f v / h E S 9 C w k Q c l U 2 k 4 v / C a + + 7 F 8 0 z N p y c / d y 6 Y C k H h Z 2 i L g K f H 6 t E I r t n Z k k 5 P I x o d J Y 8 W R k I q 3 l V 7 L R E b N I B q b a V r f Q l E 0 A j p J t k X 7 A i Y y r f J N H K 1 2 K g S X X j I 6 Z I n J I 9 V a c N p P y M A p I A E 8 + 9 x z Q p K w v y N m V m o w G F G y j x P F K 9 p o A x r 8 / O y X q W h x y d W Z v J U X i I R W F X x c R X n + V O g G T Q q W F u n J d z C Y L G 6 y M i x 0 e 3 / m M G n i X I G Q H P L f + V + F 6 l p e V E 5 H v p Y X D k s u K q b W 3 l D R O T Q G Z 1 m F a F N e O 0 p I d n q X / 7 z 6 Y r F f J A E H Z l / I b H B 4 R C Q L q 9 e 3 k g n u t F t Q 6 b E g V X k a D G S 6 l w L n 6 h X K W B W B 1 P w i a 7 W m c S z P v I 6 f n N c g Z M O g v g O P f / c z 0 J f X 4 M B V J h y + q 3 g W h 9 Z V 0 J H Z x h q o F L L G B h j T R 9 A X f g 9 6 c z n 0 V m I k J d r 9 1 j v v Y f e e A 9 Q e s o v A 0 P X u 6 J O k t A n O x g y 4 c i v n 6 H G x y M p Z l j c J H I n D 3 W o h L t Y h 2 B c X 9 Q k 8 b f k S h V 9 S a 5 N n S a L o O Z N Z A 5 7 A x 1 M L D n c e R i Q c w b H H r B G 1 J 0 o R n 0 U / g k S E H G / b Y l H J x q Q L I G 0 s n X N Y C p y I q 1 d G v E e I c W v I t + L 0 J J 7 q z g 3 O x F U I A z H K C I d 2 N Q g r z j 6 9 K Z z m S t S Z r R h K K i F 9 f x U M 3 l x j M 3 i d q X 8 1 5 K C H B G d 8 B F Z P r l A L M w 6 X f t P i 9 5 v 3 i U 6 Z I H 6 6 6 l g f u t 8 D G l t q E I t G 4 f M H c P p p G 8 j U O T r G 5 5 U h s 2 Q a + d M N q N Y P I e N d L m g g Q N Z I O k s m O 6 9 l X I K Z e B y t F L J k 1 e j V y k s F i K R G p 6 a t J M i y s Z j 0 Z H 6 P w 2 4 q H b V k B V b r X E w X J m 0 m r l v i o T T g y k i i m A v 5 a l u 3 7 U B 9 X b 2 Y r H j G 6 R t F d F m F b m v 3 w 1 K r c z 1 i f U 5 Y 6 r k w u l 5 E 5 H h s o H P S j I 4 C j e O f z M B b T k T B p l v B S w Y H o t S g J v j K b d N S h I z J v U g r 4 f X + w T G E Q w E x c / S E 4 4 9 D U 2 M 9 P R R d T 3 k x T t T l 3 E I t 0 p N v k c 2 6 A A b r 9 B Q W m y W I W A m / b C Y Y k 3 v o m Y q r + 0 L E I u 8 h U m D e p j M J x D U L N j v J 8 a / V Z T A s 5 Z j G E K 1 H 1 j 5 E 5 C 4 T 6 V w Y K p g Y o W u R 2 a Y Z r y s G r V 9 W k f C R O T 5 z Z E 0 L X j O / p 6 c H j Z 5 W m E p o 4 0 K E Q m E y w Y u P C 6 X H X o K x 6 g z 6 N j t x q u C p I Z P J 2 R c 2 / 3 + B 6 I Q d C x t M R U 2 3 Q k W Q j i V g t F l w / w M P o a G x C S t X L I f H X b w d p q b A c 3 G W v c M m r K 1 L k s 8 i g Q f i M 0 O 8 O q E H 5 s o g j B Y 9 g t 0 S P A s U y c 3 F S M h M K 4 Z g J 0 n r V u o y Z Y Q 3 Q 2 a F g b Q Q n S A k 5 r P P v Y C z z z p N m F p a Z N N h u m T + g x q S h 5 E x z 7 L m D 4 E X D c i Y 5 l 4 n W w w G 6 1 I Y n Q y h r m 6 G 9 Y K k D B 2 2 n w T A M G L O f A e f o W o o Z i a G L k o 2 N i / R q U E 1 O a 8 R k p r 8 Y c z G V C H S n i 5 N v p h E / p F O a c u 8 / M C E H z W e Z i Q F U c x M y B y K 5 9 U Q b 7 7 l t 7 j 2 0 5 / C J P m M C x e 0 I d x t E c V y S o E r W H G f 8 f l q O D + e 9 s N q V G r y E d K x A 0 R w u Q F b 9 t 3 Y H N S T r 5 q 1 T 5 8 D N Z M 2 + r 9 E J Q + O 2 p c q v 0 r j n v s e E M s N n b i M T E P H 9 J o V M p i W q Y 1 4 w T W Z s C U M + P U i a 4 L B W v / t H j N O K N 8 F v a 2 R l F H O C U 9 n 4 0 h L S W I P G 5 4 / + B z W L z w N 5 Q o j q C l M m U g K s X H S Z m 1 W 9 P Y N o K W 5 c R o D F c K Y 6 U P a I K f 6 6 x P 7 k L X I L 8 v P U s r u 1 i I b 3 E o M S S 8 9 S y N N Z V a Q z 2 g 1 T i I S c c B g m Z 6 E y S b q p D S J Z M Y K s 1 E + p 0 a f x V g i g q z J J X 5 r Y U n 6 k V D G p Y o h 4 6 + G o z I x N V g 5 J 9 C 7 8 5 q 4 c o f J q C C G 6 0 e K N D O H b M k 8 F y k 9 x Y M g z A S P P v a k q I n Y 1 t a O 2 u q K v H 4 I H A Y 8 s 8 u r K X D f D 5 C 2 L r O 0 w 2 1 u I G E 5 R s K S z S u u j i V f V 2 U 8 h m P 8 Y U Q q P y i + c w r X 5 D x W v i g E 5 y v y G l / / S h R m b m j r i R S D z e R D L D U 9 c 5 5 X w e Q V M P P W h + K G i J J 6 c z l t Z H / n L r q 9 c x g r m y z U c P K F / r b l T q y u l L B v I o A u f w Q 3 n P p V G H R p 8 b I c f l c L 9 v s D U Z i 4 h H J V n W h s b U M z 2 L Y W s 2 w V 8 J R i k 2 6 M m G p u U 6 p L g 3 y h B G k 2 s t t 1 t u n U I h i K f K R 4 K g m H w y H u S 1 J D + I M q M u H D 8 B W p 2 c 6 N l s 4 m o I u P o s b d g H B 0 E m E y X S R i M A e Z X R H L 7 N M U z P A S O 4 R Y n t G T 5 t 5 f C 9 U v 4 h L z X B X b k I m j 3 G D A G P L N 7 H L q J 3 0 R q c k h 8 G e f e A d V 5 B u e t v H k k s I s 2 G V A w j k m i j f y E Y V y S 9 U 2 K o L J A c F I r C m 5 w l a W h I j e M v O 4 n t N 3 P w a c J 8 s T I w s w 4 H O g o Y w E l M T z 8 f L N / P 8 L l C F N w n R u Z r 8 K Q 6 q P r K H p c 7 w C X E u l 1 I J r A X 8 Y H q + s d f r 9 R k Q j 4 + i o I q f P U Y c f P P t j f O b 4 T 6 J R F 0 L G t V B M Z a h z k 0 M q W Q R D O S 1 Z + I M R e N 0 O b O v c h + f 6 n s J 3 T v u G u F Y p M A F b 7 X q k 9 H J x k 2 B y i D q u u C n G U 0 5 c x I i s s Q v L k B W C x 8 8 m x 3 b A 6 6 y A w V 4 s 8 k Z E F H 4 P a e M q o b E Y n B w 5 T A S s Y t s b f Y j H 4 h g f 9 2 H 9 S S e h q o W r 5 O X 7 i I 2 O c v R H i q U d F Q e b f V 6 0 I K E j / 0 / K Z b Y X G 6 9 y E / M G i / i O d V Y 3 U l J + G z H B c 8 c 2 O e S 1 p w K B I L V T F n a b D V Z 6 P / Z b e A x J r S E S I o Z y t e X f k 4 M y v O J + n T N / D I f B c 7 2 4 u D 8 v R J a N j 4 g S A D O B z T s W t J 5 U B M N x J / T 2 / C h i i q 7 D S 4 D a T B X T B O 7 / F T x h H 0 w V + f 4 n z 7 z u j 7 w j p v D w Y n 3 c X 1 Z D b n z S k D p E T L V Q + Z X D j C s Y c j K m 2 c I T 7 + R D x i a G U U Y d Y 7 T n D 3 z y H K E W 1 0 n Y P 2 L E o i r i e L L 3 W S I + u f u P 6 C f G m k h k c O P p 3 8 x f H J l 8 E 5 P U i 1 g o B K M n v + P C q T F y z P t R 7 1 y r b J H B k x K b l V J g a o 2 9 m c D r Q G m X r s m m / L D Z D Q g N v E / a l g j M X U P S y U P P a 0 K G O l x v t J L f Z 0 O P v 1 s 8 / 7 1 / e Q V X f + I j e O S h f + D D V 5 0 j a n H L m q M 4 T L 5 9 S J X N b p M z t H 5 U M S Z S 4 S Q N H z Y X H 2 i u t 3 o U / y k f g 9 H 3 S Y v G R G S M F + H m i k i l E D y S h r t d Z i 7 2 j Q x 6 i 9 D C s 4 E L 8 W t r h x d D I D Y q w v N 9 R 0 a J k S W c u m Q C P f p m P P X g F l z 4 Y X l 8 M M J L x R J Y W 9 s V P / T / H j y x i N d W z m X D Z y T y + 3 U 5 N 2 A o t k 2 M 0 7 m M G g E W 2 U 0 2 b X 4 2 u q 6 n + 6 D k c Z e 2 + 4 1 G M 4 a G R l F d X Y Y j 4 w a 0 m N 6 D 3 r 0 W p r E 3 k K q S l 4 A J J A a I 0 b h x O e S c k 9 y G 5 D 6 M 9 7 a i r M N G Z l W Q T E E / Y s E A D G 7 N 6 h 3 E E y y Y 7 r 3 / Y X L 8 2 r F 7 9 x 6 s X b s a a 1 f P n m r P m c 4 z T Z M / G h g S B / H 4 S 0 c w Q s z 4 0 W s u Q D Q 9 c 7 K p i v L 4 O C a t l a j S S x g j U 7 M Y 4 q k g r C Y 3 9 M S 8 N V Y X + W I h l L m P w X j s M M r J P w h G x 5 F y N p M p l Y Y t G U T U M r 1 M s B b l G T K T 7 D k p y R K V J W u j 4 0 S R + z c X B P o i 8 D R N H 6 S e C U a M k 3 7 O D 0 t z y L 3 M m 8 / 4 H A F N x j N I G k d h z d Z j z + 7 9 S C Y z O H h w P y 7 5 G I 8 J S l M M p Y V D s 8 D b v x p i S I A I r l A Z m o N H k H S 3 i / W z L H r Z T x u O 7 U C t b T V 8 i S O i G l W N b Q W M O h K 6 Y v m d 4 p h R Q 2 n R H z C i 3 h M l K W 8 g F Z 1 B i u f C 2 O v g s N s w H i F / I 9 K R V 8 O P V 0 7 X W a o R 6 g v C 3 V J 8 T O D Q 4 W 6 y z 4 1 4 / P E n s H r N G p x 5 + k Y k 0 z F h U q g I x v W i Y l G x h N k + 0 l h N i s b 6 Z 7 D / Y C d e 3 / w 6 V q x c g T U r 2 h A 2 j N F z m J D M D B L D z l F q c p 6 Z o g k a b E 4 M x A o C D 2 T W N F c s Q u 9 k N w x G + 1 S + H c M Q q 0 f G N r / q O 5 W 8 z I z z R O X X 0 Y O t j 2 n Z L E e B Y j 4 y N 8 f D D z + G u v o 6 h E N R u L w W L F p Z I 4 I T T b E 9 C K R t G N I M R K t w W R r o G B 5 G + b + B e H b 2 o z W B N 6 7 T 7 z Z y 0 G f m t n G Y J h F J 5 Q T f n B l q y 8 A 4 E b U O y 6 p k B 9 Q y + h w S 1 e e K 7 7 u G j F h Z p / E p y E 4 3 Y R g p X T 0 C h y V 4 O n T I J M n 2 F g O 2 O c Q T K Q S S F p T b 6 X j F K u E i h 1 y D 4 G j A t d Y t F o t Y F q e z d w R L O x o x F N S T f z f d T N u 5 e 5 8 I H f O g 8 r J l S + R x B W K K 8 e T M p Y O L o d Z s x b A y m K u i 2 m K H P u G j V i C z Q V H D 9 / 7 1 Z b j d H p x 2 2 j o 4 y D S m H f L B h M R E O S w V M / t g 1 v g E X I 5 q j J F A q z A v p E s W j + y V A g d A 2 L Q q R C K Y h M U 9 N 4 3 G + W 2 c k n P g 4 G E Y T S b 0 9 w / g 1 F P W C 7 + r 2 G D 4 X / 9 2 J z 5 y 9 T l I Z I p n w f N T 1 Y b 2 k v Z O 4 I l J K 5 y 6 M W w f 9 e H T J 1 2 q 7 P / X Q L W E S s G e G C O L Y O 4 m J 0 c H T d I A 0 X j + s M C c e m Q 4 a E C F a x + q N N k T G V O j a M A X N 2 8 n M y e X V G l M d 9 G T 6 + F P y 3 Y 5 V x F i F D I T w 2 o x o c b F x W F y b 3 o 0 z D Q 0 L N f f Y 2 Z i c K Y F M x O D m Y m D G J M F 0 / z H R s d w + q k b c N K 6 4 6 Y G 6 S y G u Z l 3 W l T q s 9 O Y i T E S C 5 B D H o U u 5 c I b L 3 Y i 7 n f i 2 O N W 4 S L y H R x V L H 3 z 5 R g z U 2 y s t O n N M O j J 2 C L C 3 f T 0 Q R J G + U G R u a A Y M z G S k d m v l e J a D H o D X n r p V T z + x N P U Z 1 l 0 L G g V z M R Q + 6 A Q 1 3 7 q a j J D p 7 d P D j q M u l f j v / f 3 Y J E 7 g j c G x n D + M l l Q / y s x E z M x B D N p 3 J X Z I G Z I Z 0 g L K B n w c g k C u s 9 c N F Q q o 4 P R k B U d Y j D o 8 c q m z V i 9 c g 2 2 b H 0 f G 9 c v h c d j I x M w Q F o o j L S + A X q T U 9 z A S K a b g W z O E v 3 4 T 4 P H t 3 i 9 p v m C x 8 o K Z y h L w f c w Y Z l f t k W 9 1 Y n B e P E x J W s k j O c 2 D S B K + 8 + / / F i 6 n 5 3 u m z 8 f J 0 V C x 2 T M 7 0 R / v x 3 e x t x x o g I t 2 U 7 Z i A t H O n u F r 3 L C q W 0 o M 8 2 t A O R c 8 O D f n s a H P 3 W B 8 i s f 2 3 f u R o o 0 / s T k B B q b W r G 4 K Q 2 T c 3 q W 9 e S k D + W a s g F a + F O 9 I k g y E y J J B 5 z m B I m Z N J w h 8 l l c M 0 c P 5 4 N E L A U L z y W a B Q 0 2 D 5 n q 8 5 t + Y 4 / 0 Q + 8 5 b i o C O C e G S m S M k N J x P P f 8 8 1 i 1 c i X q a 8 o w l N 4 F X a g S d T U N Z G / m t I o x s R t p L v r h P h 7 + w 0 l 4 O + Z m S h w N f D 5 y h D X 1 8 o 4 W x u Q + D E v z M 5 8 K U 6 + s x j K 8 + 8 Y + D A 4 M Y s W K F W h b 5 i G G m Z m I Z A N s e v N X 2 x c j k B g U Q u n e P 7 8 K s 9 W I y z 9 8 A S o M v Z g 0 e V F h I X N v b s b F r E j H J O x 7 t x c r T y 0 + 9 m c 0 G 8 F 1 O c S I G d t N 8 w U L U z o t l B j H Q / c 9 h Y u v n F t 6 l H d k J / w 1 0 8 P 2 R w O e / s O R 5 1 l B r g p b V / N F a / l i h J U h t j k x 1 F C Q K x k 5 w F V I H b E n M G H 6 A H x 0 A X m 5 z d y D h p O j i M c O w m B t Q p m l B Y F e D k X r 4 K o v M O M K D N q R k F 6 Y f v 9 f w G o c m 9 f 4 k Y o G R y W G Q s N I x j z w T 0 R x Y P 8 B n P u B U + C S I m Q C R m A J d G L M 7 I T T U k m v K n d S K m 0 i j S Q 7 2 5 G E H Q 5 L v s b S w m S w I h 0 k Z 9 e R y w N k W K O D c J a d r v z 6 5 z E 5 H M K W t 7 b h n M t m X / 0 w F T l I f v v 0 Q i s q e C 0 w X o m S I Q b J 6 b H f 3 7 Y T A w M D p N 3 q s W h 5 L W J p z Z i b x N G 2 m c m v N b U X G b 8 P R q 8 X 8 a E h B M q X I u a o R 0 t 8 B 7 p t u T W X Z 0 I i n o a l S G W r Q l S T d o x k 4 o g U r P k k w C R L L o 4 6 M z w f n K 0 i a + 0 5 B y U Y n F U 7 Q V o h o O / E A l s d A o a U W H O X M R Y 7 I G q O d 1 i q x X z 8 U J c R r r Y 0 M i T d w n 1 Z e J S x D o a U T k N X k A V d D H f e f T + u v u o K 5 V c + e H q H 2 / 3 P p a E E Q + 8 i W W K M Z y Z Y d B V I 6 0 K w Z s s w 6 Q / B X k 7 v K e Z 5 y U 1 Z S + 8 2 H A + S 0 2 O h L T r U G A 3 U P n 5 I R 3 G v M m s z 4 m E d E q Y B E R 1 r 9 r Y g G s s v H X C 0 k D W O h G c f e w 3 n X z b 7 4 m 1 p 3 / s w l h 2 r / C o O j v Q 9 9 c z z I p G W 5 6 N 9 8 P J L E Z F 6 x Y D w v x p V k 7 s w V j 6 H S k a E 2 a K Z u l Q E W Y N c z a r e 6 i J T P j c R M T S W R T I h Y X j I R w o i g 6 V r i 5 W 4 k 1 C R N c 9 u N / B i z 7 t H O 9 E 7 n k Y 8 2 Y d M e g g L y 4 8 T + X 0 q M z H M B h d a 9 B V I 8 U r c x E T O V r k B e f l + W 7 W E y H j O M Z 2 J m b b t 2 C W W H o n G k k j O M O + I m Y k J I q a Z z z U v p P Y d F T M x 3 I Y g d N R 4 E Y z A 4 o 0 S M 3 H g J S e X h h O k v o 2 k l c n 3 Y e 0 0 S i Z H Q 3 m x h D k J 9 l Q Y X u p n d 4 n a B b 5 4 L 2 L G H j H 5 z p x o p G v O b 8 x o J o g w d 5 b X B J t b d I s H w m d C L J 7 E v g O H c e H 5 5 x A j f Q A f v e J D M B i 5 3 s S / n p k Y E T J / r d H S V Y a 1 U J m p l N V a z g n A i g n P z O S K D p F F Z s S m Z / b j n T d 3 I x x K Y c f 2 7 S W Y i a G D L + O b X U N F E j o M h v t Q L f n g 9 r b B N X g 3 w s 2 f U / b m w F V j k 7 Z 2 s f B A 4 E i G N F L + 6 D y b f y Z S q u b a I N n l u X 0 8 z m a g l 3 3 n 3 f f F S n r t 7 e 1 w O O w o P w r f q N h Y C I N z 9 9 S 0 I p 6 6 P E D a g g 4 U v 4 8 G 2 f g k 9 N b 8 Q V e e A m 8 X q / e R u R Y b Q c o 2 v e F d Z K 6 F 7 D z S r i N p F s G E X m Y O 9 b k r y G e a m C H 5 0 w w n 7 F I l o s Z R 2 H W N Y l l W L s H M i 6 0 d L b i a 0 y t P b 8 Y Z F 8 k L k c + E b D I A f Y E Q 4 k g v 1 + D Y t G m T C J 1 f 9 b E r S O h O f x 5 O i j 2 a 1 d 5 n g 4 5 N M P p I J W Y + F I L H t 3 h g V q u x a n V Z j Q 9 N B J l 0 I U I M h I w B g 4 N D W H l c E + K 8 x O k M S G X I n C e L z f C t r 1 3 3 I 1 3 8 k E j J S f n 3 w + d / F x Y z E Q N x J 0 e X T H p + g H J 4 P d X E w W Z Y Y j u R V F K C e k P v g 0 i f C G k C n Y k x e C 3 N C P d I 8 L R N f z m r x w y T h x 6 S 3 j / U r R P O s I 8 I c 2 x s H N u 3 7 R A L g J m q B t F U u R Q 2 i 6 U o Y 8 w G P o c 7 d d q 5 1 H g 8 Q W w 4 M Y A Q V y f 6 J 5 j J F h 5 A x j 6 d W U y a w A w n s m Z Z Q y m w m T w Y 6 Y 9 j 6 y 4 f X N Y q t J J K C k R G k V E y 1 j m d i T V Z j N q 3 2 d O E Q K J 4 5 2 V 4 C C L w F h I W 8 i e y E 8 T U U V H F N i V F Y Z T c G J / w w + N x i T Y o B r P Z i h d e f B k L 2 t t E W W m W w N w U H r I s b O W z B 4 9 4 p f R C s D C w O 5 x Y I c b y y A T G V r H g X C F E 2 T B d G p x Y / C 8 F v w C 1 X W t s B / x z m M L P P l D 3 + A K U O + V o X n U 2 h h H W / n r y m + h a L z + 5 A 6 + 8 + A Y S s S h W H N M I r 5 u T t W e P E B q U h d t 0 / c N j k l q l l S V d s b y v y a g B 5 X Z Z 6 t h I O o Y C B v K D x u G q q E Q y S P a x d Q V 1 U B y p M S s s H i Y O c e i U V l D B q + o F Q x G 8 + O J L u P C C 8 z H p I 2 c z 6 o A 5 S 2 a i l I S 7 l a / L a 6 2 S q U R + x 9 G g q 7 s X b a 2 5 H L N 9 I y b y a Z 5 C m b 0 a 4 3 N c p b 0 o O F m W 2 6 Z g U m U p 2 F N B J P S t 2 L P z M L o O d + H i D 5 5 L T O Y n Y s 9 J 6 U Z X H f p D 0 + v 0 O b J e l H v t 6 A t O z 5 6 o 0 W U w o p n A W A w c A T T r 7 U i G S N J G w 6 T 5 k + T T + M X n 9 F N 5 E m A + w 0 V 6 b H C 0 T I 9 I 8 k R U p W b o v x S z z Y f i L B L O K Z w v W l N 7 0 G 2 a e + a 4 P j 6 B r L A 0 S E s / u R u J Z B q X X H Y 2 U v p J 0 j h R 8 Q x S J k n d P v d I 9 Z T J 1 x / e J k o N t 7 p m D m t m E j H 0 J b f T c X I 2 s 4 p o r w P W u g A 9 g M x 4 e l 7 1 o G D k / K a b b 8 U x x 6 6 l T u W 1 q G Q m n o j o U a E M G G d F A E M P n T k O V + P R O d 5 c p E N d z E 2 Y k / G D 6 M + Q B D I l Y E w Q Q Z v d o p j m f F E s G 6 I Y X n h 8 O x p b 6 r F n x w G c c 9 4 Z e P K J Z / C x z 5 y l 7 C 0 A a W g U m I 5 u q Y H Y w Y S A r h f u T B A B b c R J k 9 4 0 G 9 i n 1 S W d e P G F 1 9 D R 0 S F y I 0 c j B 1 B u y R / f 4 f l N R r 0 V q U g K J k e + s O D l i q y 0 y T F D n U R 1 T I + T Y M 0 m M q X o 0 B l 8 f 9 L G E i Y S 0 5 f t V M E a j D P Q O Z u / 0 r 4 I h 3 a P o m W J Y x 5 + m A S n v w t u o i E L E g i n L P B b 6 5 E i r V 6 I 1 P A k T L V y + z M D c T v I 1 g 3 X 4 E / T J 0 X b b P A k / Q j M M M 8 t B + D / B w 7 5 d h s L h 9 7 5 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 N a m e = " E l e c t r i c a l   C o n d u c t i v i t y "   G u i d = " 7 3 7 4 b c d 6 - 9 6 e 0 - 4 6 f 4 - a 5 9 1 - d f 7 5 5 8 a 8 7 8 e 5 "   R e v = " 4 4 "   R e v G u i d = " 8 1 f e 5 5 0 4 - e 2 9 9 - 4 f 1 d - 8 e a a - d 1 7 1 a 9 2 6 5 b b 6 " 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5 & l t ; / C o l o r I n d e x & g t ; & l t ; C o l o r I n d e x & g t ; 4 & l t ; / C o l o r I n d e x & g t ; & l t ; / C o l o r I n d i c e s & g t ; & l t ; G e o F i e l d W e l l D e f i n i t i o n   T i m e C h u n k = " N o n e "   A c c u m u l a t e = " f a l s e "   D e c a y = " N o n e "   D e c a y T i m e I s N u l l = " t r u e "   D e c a y T i m e T i c k s = " 0 "   V M T i m e A c c u m u l a t e = " f a l s e "   V M T i m e P e r s i s t = " f a l s e "   U s e r N o t M a p B y = " t r u e "   S e l T i m e S t g = " I n s t a n t "   C h o o s i n g G e o F i e l d s = " f a l s e " & g t ; & l t ; L a t L o n g   N a m e = " L a t L o n "   V i s i b l e = " f a l s e " & g t ; & l t ; G e o C o l u m n s & g t ; & l t ; G e o C o l u m n   N a m e = " L a t i t u d e "   V i s i b l e = " t r u e "   D a t a T y p e = " S t r i n g "   M o d e l Q u e r y N a m e = " ' A l l D a t a M a p ' [ L a t i t u d e ] " & g t ; & l t ; T a b l e   M o d e l N a m e = " A l l D a t a M a p "   N a m e I n S o u r c e = " A l l D a t a M a p "   V i s i b l e = " t r u e "   L a s t R e f r e s h = " 0 0 0 1 - 0 1 - 0 1 T 0 0 : 0 0 : 0 0 "   / & g t ; & l t ; / G e o C o l u m n & g t ; & l t ; G e o C o l u m n   N a m e = " L o n g i t u d e "   V i s i b l e = " t r u e "   D a t a T y p e = " S t r i n g "   M o d e l Q u e r y N a m e = " ' A l l D a t a M a p ' [ L o n g i t u d e ] " & g t ; & l t ; T a b l e   M o d e l N a m e = " A l l D a t a M a p "   N a m e I n S o u r c e = " A l l D a t a M a p "   V i s i b l e = " t r u e "   L a s t R e f r e s h = " 0 0 0 1 - 0 1 - 0 1 T 0 0 : 0 0 : 0 0 "   / & g t ; & l t ; / G e o C o l u m n & g t ; & l t ; / G e o C o l u m n s & g t ; & l t ; L a t i t u d e   N a m e = " L a t i t u d e "   V i s i b l e = " t r u e "   D a t a T y p e = " S t r i n g "   M o d e l Q u e r y N a m e = " ' A l l D a t a M a p ' [ L a t i t u d e ] " & g t ; & l t ; T a b l e   M o d e l N a m e = " A l l D a t a M a p "   N a m e I n S o u r c e = " A l l D a t a M a p "   V i s i b l e = " t r u e "   L a s t R e f r e s h = " 0 0 0 1 - 0 1 - 0 1 T 0 0 : 0 0 : 0 0 "   / & g t ; & l t ; / L a t i t u d e & g t ; & l t ; L o n g i t u d e   N a m e = " L o n g i t u d e "   V i s i b l e = " t r u e "   D a t a T y p e = " S t r i n g "   M o d e l Q u e r y N a m e = " ' A l l D a t a M a p ' [ L o n g i t u d e ] " & g t ; & l t ; T a b l e   M o d e l N a m e = " A l l D a t a M a p "   N a m e I n S o u r c e = " A l l D a t a M a p "   V i s i b l e = " t r u e "   L a s t R e f r e s h = " 0 0 0 1 - 0 1 - 0 1 T 0 0 : 0 0 : 0 0 "   / & g t ; & l t ; / L o n g i t u d e & g t ; & l t ; I s X Y C o o r d s & g t ; f a l s e & l t ; / I s X Y C o o r d s & g t ; & l t ; / L a t L o n g & g t ; & l t ; M e a s u r e s & g t ; & l t ; M e a s u r e   N a m e = " E l e c t r i c a l   C o n d u c t i v i t y   ( M i c r o s ) "   V i s i b l e = " t r u e "   D a t a T y p e = " D o u b l e "   M o d e l Q u e r y N a m e = " ' A l l D a t a M a p ' [ E l e c t r i c a l   C o n d u c t i v i t y   ( M i c r o s ) ] " & g t ; & l t ; T a b l e   M o d e l N a m e = " A l l D a t a M a p "   N a m e I n S o u r c e = " A l l D a t a M a p "   V i s i b l e = " t r u e "   L a s t R e f r e s h = " 0 0 0 1 - 0 1 - 0 1 T 0 0 : 0 0 : 0 0 "   / & g t ; & l t ; / M e a s u r e & g t ; & l t ; M e a s u r e   N a m e = " E l e c t r i c a l   C o n d u c t i v i t y   ( M i c r o s ) "   V i s i b l e = " t r u e "   D a t a T y p e = " D o u b l e "   M o d e l Q u e r y N a m e = " ' A l l D a t a M a p ' [ E l e c t r i c a l   C o n d u c t i v i t y   ( M i c r o s ) ] " & g t ; & l t ; T a b l e   M o d e l N a m e = " A l l D a t a M a p "   N a m e I n S o u r c e = " A l l D a t a M a p "   V i s i b l e = " t r u e "   L a s t R e f r e s h = " 0 0 0 1 - 0 1 - 0 1 T 0 0 : 0 0 : 0 0 "   / & g t ; & l t ; / M e a s u r e & g t ; & l t ; M e a s u r e   N a m e = " E l e c t r i c a l   C o n d u c t i v i t y   ( M i c r o s ) "   V i s i b l e = " t r u e "   D a t a T y p e = " D o u b l e "   M o d e l Q u e r y N a m e = " ' A l l D a t a M a p ' [ E l e c t r i c a l   C o n d u c t i v i t y   ( M i c r o s ) ] " & g t ; & l t ; T a b l e   M o d e l N a m e = " A l l D a t a M a p "   N a m e I n S o u r c e = " A l l D a t a M a p "   V i s i b l e = " t r u e "   L a s t R e f r e s h = " 0 0 0 1 - 0 1 - 0 1 T 0 0 : 0 0 : 0 0 "   / & g t ; & l t ; / M e a s u r e & g t ; & l t ; / M e a s u r e s & g t ; & l t ; M e a s u r e A F s & g t ; & l t ; A g g r e g a t i o n F u n c t i o n & g t ; M i n & l t ; / A g g r e g a t i o n F u n c t i o n & g t ; & l t ; A g g r e g a t i o n F u n c t i o n & g t ; A v e r a g e & l t ; / A g g r e g a t i o n F u n c t i o n & g t ; & l t ; A g g r e g a t i o n F u n c t i o n & g t ; M a x & l t ; / A g g r e g a t i o n F u n c t i o n & g t ; & l t ; / M e a s u r e A F s & g t ; & l t ; C o l o r A F & g t ; N o n e & l t ; / C o l o r A F & g t ; & l t ; C h o s e n F i e l d s   / & g t ; & l t ; C h u n k B y & g t ; N o n e & l t ; / C h u n k B y & g t ; & l t ; C h o s e n G e o M a p p i n g s & g t ; & l t ; G e o M a p p i n g T y p e & g t ; L a t i t u d e & l t ; / G e o M a p p i n g T y p e & g t ; & l t ; G e o M a p p i n g T y p e & g t ; L o n g i t u d e & l t ; / G e o M a p p i n g T y p e & g t ; & l t ; / C h o s e n G e o M a p p i n g s & g t ; & l t ; F i l t e r & g t ; & l t ; F C s & g t ; & l t ; C F C S t r   A F = " N o n e "   A l l S p e c i f i e d = " f a l s e "   B l a n k S p e c i f i e d = " f a l s e " & g t ; & l t ; M e a s u r e   N a m e = " D i s t r i c t "   V i s i b l e = " t r u e "   D a t a T y p e = " S t r i n g "   M o d e l Q u e r y N a m e = " ' A l l D a t a M a p ' [ D i s t r i c t ] " & g t ; & l t ; T a b l e   M o d e l N a m e = " A l l D a t a M a p "   N a m e I n S o u r c e = " A l l D a t a M a p "   V i s i b l e = " t r u e "   L a s t R e f r e s h = " 0 0 0 1 - 0 1 - 0 1 T 0 0 : 0 0 : 0 0 "   / & g t ; & l t ; / M e a s u r e & g t ; & l t ; I s & g t ; & l t ; I & g t ; S t r a t f o r d - o n - A v o n   D i s t r i c t & l t ; / I & g t ; & l t ; / I s & g t ; & l t ; / C F C S t r & g t ; & l t ; / F C s & g t ; & l t ; / F i l t e r & g t ; & l t ; / G e o F i e l d W e l l D e f i n i t i o n & g t ; & l t ; P r o p e r t i e s & g t ; & l t ; I n s t a n c e P r o p e r t y   I n s t a n c e I d = " L a t L a t V a l L o n L o n V a l A d d r A d d r V a l A d A d V a l A d 2 A d 2 V a l C o u n t r y C o u n t r y V a l L o c L o c V a l Z i p Z i p V a l F u l l A d d r F u l l A d d r V a l O l d O l d V a l C a t ' A l l D a t a M a p ' [ N i t r a t e   P o l l u t i o n   C a t e g o r y ] C a t V a l 3 .   H i g h   ( 1 - 2 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C a t V a l M s r ' A l l D a t a M a p ' [ E l e c t r i c a l   C o n d u c t i v i t y   ( M i c r o s ) ] M s r A F A v e r a g e M s r V a l M s r C a l c F n A n y M e a s F A L S E A n y C a t V a l F A L S E # X C o o r d X C o o r d V a l Y C o o r d Y C o o r d V a l # # C u s t R e g C u s t R e g V a l C u s t R e g S r c C u s t R e g S r c V a l # " & g t ; & l t ; C o l o r S e t & g t ; t r u e & l t ; / C o l o r S e t & g t ; & l t ; C o l o r & g t ; & l t ; R & g t ; 0 & l t ; / R & g t ; & l t ; G & g t ; 0 . 6 9 0 1 9 6 1 & l t ; / G & g t ; & l t ; B & g t ; 0 . 9 4 1 1 7 6 5 & l t ; / B & g t ; & l t ; A & g t ; 1 & l t ; / A & g t ; & l t ; / C o l o r & g t ; & l t ; / I n s t a n c e P r o p e r t y & g t ; & l t ; I n s t a n c e P r o p e r t y   I n s t a n c e I d = " L a t L a t V a l L o n L o n V a l A d d r A d d r V a l A d A d V a l A d 2 A d 2 V a l C o u n t r y C o u n t r y V a l L o c L o c V a l Z i p Z i p V a l F u l l A d d r F u l l A d d r V a l O l d O l d V a l C a t ' A l l D a t a M a p ' [ N i t r a t e   P o l l u t i o n   C a t e g o r y ] C a t V a l 4 .   V e r y   h i g h   ( & a m p ; g t ; 2 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 C a t e g o r y ] C a t V a l 4 .   V e r y   h i g h   ( & a m p ; g t ; 0 . 5 p p m ) 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A l l D a t a M a p ' [ P h o s p h a t e   P o l l u t i o n   C a t e g o r y ] C a t V a l 1 .   N o   E v i d e n c e   ( & a m p ; l t ; 0 . 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A l l D a t a M a p ' [ P h o s p h a t e   P o l l u t i o n   C a t e g o r y ] C a t V a l 2 .   S o m e   e v i d e n c e   ( 0 . 0 5 - 0 . 1 p p m ) M s r M s r A F M s r V a l M s r C a l c F n A n y M e a s F A L S E A n y C a t V a l F A L S E # X C o o r d X C o o r d V a l Y C o o r d Y C o o r d V a l # # C u s t R e g C u s t R e g V a l C u s t R e g S r c C u s t R e g S r c V a l # " & g t ; & l t ; C o l o r S e t & g t ; t r u e & l t ; / C o l o r S e t & g t ; & l t ; C o l o r & g t ; & l t ; R & g t ; 1 & l t ; / R & g t ; & l t ; G & g t ; 1 & l t ; / G & g t ; & l t ; B & g t ; 0 . 8 & l t ; / B & g t ; & l t ; A & g t ; 1 & l t ; / A & g t ; & l t ; / C o l o r & g t ; & l t ; / I n s t a n c e P r o p e r t y & g t ; & l t ; I n s t a n c e P r o p e r t y   I n s t a n c e I d = " L a t L a t V a l L o n L o n V a l A d d r A d d r V a l A d A d V a l A d 2 A d 2 V a l C o u n t r y C o u n t r y V a l L o c L o c V a l Z i p Z i p V a l F u l l A d d r F u l l A d d r V a l O l d O l d V a l C a t ' A l l D a t a M a p ' [ P h o s p h a t e   P o l l u t i o n   C a t e g o r y ] C a t V a l 3 .   H i g h   ( 0 . 1 - 0 . 5 p p m ) M s r M s r A F M s r V a l M s r C a l c F n A n y M e a s F A L S E A n y C a t V a l F A L S E # X C o o r d X C o o r d V a l Y C o o r d Y C o o r d V a l # # C u s t R e g C u s t R e g V a l C u s t R e g S r c C u s t R e g S r c V a l # " & g t ; & l t ; C o l o r S e t & g t ; t r u e & l t ; / C o l o r S e t & g t ; & l t ; C o l o r & g t ; & l t ; R & g t ; 1 & l t ; / R & g t ; & l t ; G & g t ; 0 . 7 5 2 9 4 1 2 & l t ; / G & g t ; & l t ; B & g t ; 0 & l t ; / B & g t ; & l t ; A & g t ; 1 & l t ; / A & g t ; & l t ; / C o l o r & g t ; & l t ; / I n s t a n c e P r o p e r t y & g t ; & l t ; I n s t a n c e P r o p e r t y   I n s t a n c e I d = " L a t L a t V a l L o n L o n V a l A d d r A d d r V a l A d A d V a l A d 2 A d 2 V a l C o u n t r y C o u n t r y V a l L o c L o c V a l Z i p Z i p V a l F u l l A d d r F u l l A d d r V a l O l d O l d V a l C a t C a t V a l M s r ' A l l D a t a M a p ' [ E l e c t r i c a l   C o n d u c t i v i t y   ( M i c r o s ) ] M s r A F M i n M s r V a l M s r C a l c F n A n y M e a s F A L S E A n y C a t V a l F A L S E # X C o o r d X C o o r d V a l Y C o o r d Y C o o r d V a l # # C u s t R e g C u s t R e g V a l C u s t R e g S r c C u s t R e g S r c V a l # " & g t ; & l t ; C o l o r S e t & g t ; t r u e & l t ; / C o l o r S e t & g t ; & l t ; C o l o r & g t ; & l t ; R & g t ; 0 . 6 9 4 1 1 7 6 6 5 & l t ; / R & g t ; & l t ; G & g t ; 0 . 9 1 8 4 3 1 4 & l t ; / G & g t ; & l t ; B & g t ; 1 & l t ; / B & g t ; & l t ; A & g t ; 1 & l t ; / A & g t ; & l t ; / C o l o r & g t ; & l t ; / I n s t a n c e P r o p e r t y & g t ; & l t ; I n s t a n c e P r o p e r t y   I n s t a n c e I d = " L a t L a t V a l L o n L o n V a l A d d r A d d r V a l A d A d V a l A d 2 A d 2 V a l C o u n t r y C o u n t r y V a l L o c L o c V a l Z i p Z i p V a l F u l l A d d r F u l l A d d r V a l O l d O l d V a l C a t ' A l l D a t a M a p ' [ N i t r a t e   P o l l u t i o n   C a t e g o r y ] C a t V a l 1 .   N o   e v i d e n c e   ( & a m p ; l t ; 0 . 5 p p m ) 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C a t V a l M s r ' A l l D a t a M a p ' [ E l e c t r i c a l   C o n d u c t i v i t y   ( M i c r o s ) ] M s r A F M a x M s r V a l M s r C a l c F n A n y M e a s F A L S E A n y C a t V a l F A L S E # X C o o r d X C o o r d V a l Y C o o r d Y C o o r d V a l # # C u s t R e g C u s t R e g V a l C u s t R e g S r c C u s t R e g S r c V a l # " & g t ; & l t ; C o l o r S e t & g t ; t r u e & l t ; / C o l o r S e t & g t ; & l t ; C o l o r & g t ; & l t ; R & g t ; 0 & l t ; / R & g t ; & l t ; G & g t ; 0 . 3 4 5 0 9 8 0 4 8 & l t ; / G & g t ; & l t ; B & g t ; 0 . 4 7 0 5 8 8 2 3 7 & l t ; / B & g t ; & l t ; A & g t ; 1 & l t ; / A & g t ; & l t ; / C o l o r & g t ; & l t ; / I n s t a n c e P r o p e r t y & g t ; & l t ; I n s t a n c e P r o p e r t y   I n s t a n c e I d = " L a t L a t V a l L o n L o n V a l A d d r A d d r V a l A d A d V a l A d 2 A d 2 V a l C o u n t r y C o u n t r y V a l L o c L o c V a l Z i p Z i p V a l F u l l A d d r F u l l A d d r V a l O l d O l d V a l C a t ' A l l D a t a M a p ' [ N i t r a t e   P o l l u t i o n   C a t e g o r y ] C a t V a l 2 .   S o m e   e v i d e n c e   ( 0 . 5 - 1 p p m ) M s r M s r A F M s r V a l M s r C a l c F n A n y M e a s F A L S E A n y C a t V a l F A L S E # X C o o r d X C o o r d V a l Y C o o r d Y C o o r d V a l # # C u s t R e g C u s t R e g V a l C u s t R e g S r c C u s t R e g S r c V a l # " & g t ; & l t ; C o l o r S e t & g t ; t r u e & l t ; / C o l o r S e t & g t ; & l t ; C o l o r & g t ; & l t ; R & g t ; 1 & l t ; / R & g t ; & l t ; G & g t ; 1 & l t ; / G & g t ; & l t ; B & g t ; 0 . 8 & 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0 . 7 8 1 4 2 0 7 6 5 0 2 7 3 2 2 1 6 & l t ; / D a t a S c a l e & g t ; & l t ; D a t a S c a l e & g t ; 1 & l t ; / D a t a S c a l e & g t ; & l t ; D a t a S c a l e & g t ; 4 . 9 8 9 0 7 1 0 3 8 2 5 1 3 6 3 & l t ; / D a t a S c a l e & g t ; & l t ; D a t a S c a l e & g t ; 0 & l t ; / D a t a S c a l e & g t ; & l t ; / D a t a S c a l e s & g t ; & l t ; D i m n S c a l e s & g t ; & l t ; D i m n S c a l e & g t ; 0 . 6 1 7 4 8 6 3 3 8 7 9 7 8 1 3 7 8 & l t ; / D i m n S c a l e & g t ; & l t ; D i m n S c a l e & g t ; 1 & l t ; / D i m n S c a l e & g t ; & l t ; D i m n S c a l e & g t ; 0 . 6 7 2 1 3 1 1 4 7 5 4 0 9 8 3 2 4 & l t ; / D i m n S c a l e & g t ; & l t ; D i m n S c a l e & g t ; 1 & l t ; / D i m n S c a l e & g t ; & l t ; / D i m n S c a l e s & g t ; & l t ; / G e o V i s & g t ; & l t ; / L a y e r D e f i n i t i o n & g t ; & l t ; / L a y e r D e f i n i t i o n s & g t ; & l t ; D e c o r a t o r s & g t ; & l t ; D e c o r a t o r & g t ; & l t ; X & g t ; 1 4 & l t ; / X & g t ; & l t ; Y & g t ; 1 5 & l t ; / Y & g t ; & l t ; D i s t a n c e T o N e a r e s t C o r n e r X & g t ; 1 4 & l t ; / D i s t a n c e T o N e a r e s t C o r n e r X & g t ; & l t ; D i s t a n c e T o N e a r e s t C o r n e r Y & g t ; 1 5 & l t ; / D i s t a n c e T o N e a r e s t C o r n e r Y & g t ; & l t ; Z O r d e r & g t ; 0 & l t ; / Z O r d e r & g t ; & l t ; W i d t h & g t ; 5 7 7 & l t ; / W i d t h & g t ; & l t ; H e i g h t & g t ; 2 2 3 & l t ; / H e i g h t & g t ; & l t ; A c t u a l W i d t h & g t ; 5 7 7 & l t ; / A c t u a l W i d t h & g t ; & l t ; A c t u a l H e i g h t & g t ; 2 2 3 & l t ; / A c t u a l H e i g h t & g t ; & l t ; I s V i s i b l e & g t ; t r u e & l t ; / I s V i s i b l e & g t ; & l t ; S e t F o c u s O n L o a d V i e w & g t ; f a l s e & l t ; / S e t F o c u s O n L o a d V i e w & g t ; & l t ; L e g e n d   D i s p l a y L e g e n d T i t l e = " t r u e " & g t ; & l t ; B a c k g r o u n d C o l o r & g t ; & l t ; R & g t ; 1 & l t ; / R & g t ; & l t ; G & g t ; 1 & l t ; / G & g t ; & l t ; B & g t ; 1 & l t ; / B & g t ; & l t ; A & g t ; 0 . 9 0 1 9 6 0 8 & l t ; / A & g t ; & l t ; / B a c k g r o u n d C o l o r & g t ; & l t ; L a y e r F o r m a t & g t ; & l t ; F o r m a t T y p e & g t ; S t a t i c & l t ; / F o r m a t T y p e & g t ; & l t ; F o n t S i z e & g t ; 3 6 & l t ; / F o n t S i z e & g t ; & l t ; F o n t F a m i l y & g t ; S e g o e   U I & l t ; / F o n t F a m i l y & g t ; & l t ; F o n t S t y l e & g t ; N o r m a l & l t ; / F o n t S t y l e & g t ; & l t ; F o n t W e i g h t & g t ; B o l d & 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2 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2 2 & l t ; / M i n M a x F o n t S i z e & g t ; & l t ; S w a t c h S i z e & g t ; 3 5 & l t ; / S w a t c h S i z e & g t ; & l t ; G r a d i e n t S w a t c h S i z e & g t ; 2 1 & l t ; / G r a d i e n t S w a t c h S i z e & g t ; & l t ; L a y e r I d & g t ; 7 3 7 4 b c d 6 - 9 6 e 0 - 4 6 f 4 - a 5 9 1 - d f 7 5 5 8 a 8 7 8 e 5 & l t ; / L a y e r I d & g t ; & l t ; R a w H e a t M a p M i n & g t ; 0 & l t ; / R a w H e a t M a p M i n & g t ; & l t ; R a w H e a t M a p M a x & g t ; 0 & l t ; / R a w H e a t M a p M a x & g t ; & l t ; M i n i m u m & g t ; 0 . 5 5 & l t ; / M i n i m u m & g t ; & l t ; M a x i m u m & g t ; 1 1 4 0 & l t ; / M a x i m u m & g t ; & l t ; / L e g e n d & g t ; & l t ; D o c k & g t ; T o p L e f t & l t ; / D o c k & g t ; & l t ; / D e c o r a t o r & g t ; & l t ; D e c o r a t o r & g t ; & l t ; X & g t ; 1 0 6 2 & l t ; / X & g t ; & l t ; Y & g t ; 2 4 . 5 & l t ; / Y & g t ; & l t ; D i s t a n c e T o N e a r e s t C o r n e r X & g t ; 1 9 & l t ; / D i s t a n c e T o N e a r e s t C o r n e r X & g t ; & l t ; D i s t a n c e T o N e a r e s t C o r n e r Y & g t ; 2 4 . 5 & l t ; / D i s t a n c e T o N e a r e s t C o r n e r Y & g t ; & l t ; Z O r d e r & g t ; 1 & l t ; / Z O r d e r & g t ; & l t ; W i d t h & g t ; 2 3 1 & l t ; / W i d t h & g t ; & l t ; H e i g h t & g t ; 1 3 5 & l t ; / H e i g h t & g t ; & l t ; A c t u a l W i d t h & g t ; 2 3 1 & l t ; / A c t u a l W i d t h & g t ; & l t ; A c t u a l H e i g h t & g t ; 1 3 5 & l t ; / A c t u a l H e i g h t & g t ; & l t ; I s V i s i b l e & g t ; t r u e & l t ; / I s V i s i b l e & g t ; & l t ; S e t F o c u s O n L o a d V i e w & g t ; f a l s e & l t ; / S e t F o c u s O n L o a d V i e w & g t ; & l t ; L a b e l & g t ; & l t ; B a c k g r o u n d C o l o r 4 F & g t ; & l t ; R & g t ; 0 . 6 9 4 1 1 7 6 6 5 & l t ; / R & g t ; & l t ; G & g t ; 0 . 9 1 8 4 3 1 4 & l t ; / G & g t ; & l t ; B & g t ; 1 & l t ; / B & g t ; & l t ; A & g t ; 0 . 9 & l t ; / A & g t ; & l t ; / B a c k g r o u n d C o l o r 4 F & g t ; & l t ; T i t l e & g t ; & l t ; F o r m a t T y p e & g t ; S t a t i c & l t ; / F o r m a t T y p e & g t ; & l t ; T e x t & g t ; S a f e   A v o n & l t ; / T e x t & g t ; & l t ; F o n t S i z e & g t ; 3 6 & l t ; / F o n t S i z e & g t ; & l t ; F o n t F a m i l y & g t ; S e g o e 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a f e a v o n . o r g . u k & l t ; / T e x t & g t ; & l t ; F o n t S i z e & g t ; 2 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7 & l t ; / X & g t ; & l t ; Y & g t ; 2 3 2 . 5 & l t ; / Y & g t ; & l t ; D i s t a n c e T o N e a r e s t C o r n e r X & g t ; 1 7 & l t ; / D i s t a n c e T o N e a r e s t C o r n e r X & g t ; & l t ; D i s t a n c e T o N e a r e s t C o r n e r Y & g t ; 2 3 2 . 5 & l t ; / D i s t a n c e T o N e a r e s t C o r n e r Y & g t ; & l t ; Z O r d e r & g t ; 2 & l t ; / Z O r d e r & g t ; & l t ; W i d t h & g t ; 5 7 2 & l t ; / W i d t h & g t ; & l t ; H e i g h t & g t ; 1 3 7 & l t ; / H e i g h t & g t ; & l t ; A c t u a l W i d t h & g t ; 5 7 2 & l t ; / A c t u a l W i d t h & g t ; & l t ; A c t u a l H e i g h t & g t ; 1 3 7 & l t ; / A c t u a l H e i g h t & g t ; & l t ; I s V i s i b l e & g t ; t r u e & l t ; / I s V i s i b l e & g t ; & l t ; S e t F o c u s O n L o a d V i e w & g t ; f a l s e & l t ; / S e t F o c u s O n L o a d V i e w & g t ; & l t ; L a b e l & g t ; & l t ; B a c k g r o u n d C o l o r 4 F & g t ; & l t ; R & g t ; 1 & l t ; / R & g t ; & l t ; G & g t ; 1 & l t ; / G & g t ; & l t ; B & g t ; 1 & l t ; / B & g t ; & l t ; A & g t ; 0 . 9 & l t ; / A & g t ; & l t ; / B a c k g r o u n d C o l o r 4 F & g t ; & l t ; T i t l e & g t ; & l t ; F o r m a t T y p e & g t ; S t a t i c & l t ; / F o r m a t T y p e & g t ; & l t ; T e x t & g t ; A l l   T i m e & l t ; / T e x t & g t ; & l t ; F o n t S i z e & g t ; 3 6 & l t ; / F o n t S i z e & g t ; & l t ; F o n t F a m i l y & g t ; S e g o e 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s i n c e   J u l y   2 0 2 3 & l t ; / T e x t & g t ; & l t ; F o n t S i z e & g t ; 2 8 & l t ; / F o n t S i z e & g t ; & l t ; F o n t F a m i l y & g t ; S e g o e 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s > < / T o u r > 
</file>

<file path=customXml/item4.xml>��< ? x m l   v e r s i o n = " 1 . 0 "   e n c o d i n g = " u t f - 1 6 " ? > < V i s u a l i z a t i o n L S t a t e   x m l n s : x s d = " h t t p : / / w w w . w 3 . o r g / 2 0 0 1 / X M L S c h e m a "   x m l n s : x s i = " h t t p : / / w w w . w 3 . o r g / 2 0 0 1 / X M L S c h e m a - i n s t a n c e "   x m l n s = " h t t p : / / m i c r o s o f t . d a t a . v i s u a l i z a t i o n . C l i e n t . E x c e l . L S t a t e / 1 . 0 " > < c g > H 4 s I A A A A A A A E A N 1 b 3 V L j N h h 9 F U 9 m 9 g 4 S S b Y k e w f Y g b R s m d I d Z m F L b 0 0 s s A f H o r Z D l r 5 a L / p I f Y V + j v 8 t a J U E Z + I O F 0 w i O 9 + x j 8 / 3 K / / 9 5 1 9 H n 7 7 P Q + N Z x E k g o + M R H q O R I a K Z 9 I L o 4 X i 0 S O 8 P 7 d G n k 6 M z + H j p p p c y m r o z X x h w U p R 8 / J 5 4 x y M / T Z 8 + T i b L 5 X K 8 N M c y f p g Q h P D k t 1 8 u r + H I u T u q D g 7 + + + D D I E p S N 5 q J 0 c n R R Z K f W Z 0 1 D 2 a x T O R 9 O v b c 1 B 0 / B 8 n C D Y M / 3 B S g j x + E N L 1 J h h / O N B 6 P R 5 9 + X 4 j 4 5 f h K y K d Q p D K C 7 3 9 1 w 4 U w / N n x K I 0 X m Y n P Q n 4 V i Q w X 2 U 8 k n c 9 G m B 6 P K B l j i k 3 k O H x k h H C H D s k Y O c g y b Q Y 3 C g 6 4 k k + L 0 E 2 F d x W 6 K 9 j n M p 6 7 K X x x 6 n m x S J K T C s G B c S v j m U h S u N t + E I s D 4 1 s U w I H G z 3 B 3 P T k / m i j n H h U / c h 6 I 0 A O A S R r D s c b 3 J P g Y B W F x H c a k X K h t H U 3 y Q 6 u V t m l l + c f o I X Q j r / v 9 2 5 a 6 0 E t z k w 7 i S e s e n x y 1 P 8 M l T V a s w P + L N n E 3 Y v k o k r t F / L I h c 3 j s O M S i F j U r 5 j D l l D N k 6 1 J X Y z g w P o d y 0 S 9 5 t b U u D S c d 4 8 r 6 / t E 3 9 R f x z P 9 A 0 C W 4 E 3 9 D C j P x O c y i G W M r 8 Q G n j N i m g 4 F T P f X l O I w V i h 0 I s G l O Y W l w G p z 6 I v M 3 m 3 t P P G Y 2 4 y Z H 4 C 0 L 7 4 k t j D g z 1 y C w x L A L D d Z X r L A 3 P A 3 e v s Q C F H g V e F 6 Y h b s N 4 x + h F g S 8 m k F E k W M S R n U l m M E w c h A 7 U G D D m k L h 4 A R 4 J m a P 9 z L 2 W u T d u 2 G i n b 0 g 7 N i M O V a l P 2 T a G A N / u u y V E H a h v t K W Q t z w t H c N q R 0 k e v d Z 4 t Z i b 5 3 U k 5 i M l b r L X K l D C G K Q i O q F v i Y E E J 4 b L 4 P Z Y 1 + Z Z 9 O Y Q l / T t r K 4 f 7 n L V 9 f b T n T Y I a a F b P C Q Z d Z i Q 9 7 C u D Z 1 B Y I d u M v C k s L K 4 F z l F R R b k K h A v D t z H 2 S 6 u e Z s h 3 P a 4 I 5 b 3 I Y 0 V J u 7 A o i x g t G 7 7 l r W V B Y b o l c W 9 0 9 4 Z 0 H i u / O n z f N N K B g Y w p B y N q p 1 z K F a x 9 r 0 1 R h 2 o L 7 a m M L O 4 A R 4 K 8 L M a x 7 K 6 P D 0 e Z t + C 7 B H L I Y r 5 8 l t C 7 P s s 1 7 Y 6 + D o X Y E d e y q R w 9 L g a f h c O N I p + N J m 5 N 7 c p S J m w l 9 d x D M K g r S 4 d g V R Y u q d y 9 L Q 0 E m 8 C U K R K D n M O q k n p o g w q P P q u g G + c B A u Z P h F B A / + n Y x 9 K b P 0 9 r z b 9 K w A H B g 3 f i x n j 3 M Z g 1 v f g U t t m l N p b D V g l e U 9 j I h u d t t a y l u j / M N j E + o F S l E d D m 3 m Y E r 1 i / e z F Y A D 4 w v w 5 x v X c g 7 N a 5 H 2 0 L r O D S m U t O 0 q y / v H 2 K U L r X S x e d O a I k S h 5 V k 6 S z S m l s 1 s Z G o K r z B / Y F x D v / r B r / 9 3 G / a K Z N e d N e Q G F E b e + H r / i L r 1 g 5 m / l Y 9 E y I H 6 3 C p 7 K x i o M g n i S D u u V R B 6 D 2 y V J Y W v Z o R X F v e P t c w f 5 F W e c B e z r F r Q c I 7 Z h O y t O V N d N 6 5 + 9 j q V i 7 j 1 k 2 t F T Y t z R s q g i c c c m Y R S S z t 3 L a s 5 G R k r I L 0 / F 1 2 D y h M w s M f j 9 G 7 7 k R M o m u K 6 7 e b Y p g k T X 2 1 R n 9 7 t b N p U m l J Z G 1 q e M / W D p y c Y N Q F 7 U 9 C 0 J 9 o 5 z z o a h P E E Y Y y U K Q + I E I o N j i m 4 a b 0 C s s R i F E h 2 0 f n u 2 l Q Y H V 4 H / C w W X i d 1 X Y t G E 0 H e 0 x z e Y 9 N h t q n f y F n Z 3 w V 5 + Z X + D y j 7 K W + + Z S 5 0 M d s 0 h S V j g j F 3 o M S v O j j Q + y a U a 4 9 8 C x h G B q L 3 C N g 0 p l A 4 s O j 3 R S z v Z O g B f + + R y 2 B G H K g 9 a h Y t i z v Q B N D 1 o w W a r C G 4 m 2 S m a 3 D o d F 5 D U M x m G t U d 3 D g v R a B A V K e l j G Q t c f 2 I q A D p X Z W K x a F z e b N 8 i f L 8 5 n M s O t n N G h 0 d 2 H 1 I b E z A u 1 a N O W x Z k O B o N + Z y H M Y K B T T n q l 1 2 u w i U t T W F z u H l N 7 d B G G 6 1 O Y q M I b 2 B x j h q N B A Y h R Y r 1 0 5 V a w w H x j R I X w x 5 b / w g 4 j s I m + / e 7 6 l t K e S 1 T C u r + 9 d E m I b B f d b 5 y a o N a C H c Q U 9 z Y 9 e K Y V z F G G 2 U G x g E a l K I m 5 r l R g H G K K H 0 7 l z L y 6 8 s K p Q N L O + 5 y n Z U y 3 i L P W 4 Y Q 9 W f 6 a 7 c 4 8 0 p c z g G L 6 t H Y o k A u G u V 3 j 3 o s D S l k t a y r C z v n w y h 5 Z + r 8 P 0 m j T B U R D i r E Y u N N w w h 6 M g 6 + r v d c k i 9 S 7 C 4 d I W k g Q n v I p x v G Q K R g 5 F j c y g q S s Y c B J t t s g 3 D e s q r I P T O W W V p 6 K z d r g b 8 r 2 7 U W C s V x Z C t m J T U 2 9 w 4 R 7 D r T b 9 V 2 g b S O 4 F t c 0 N n 8 T q N 3 T T z n 4 e L p 6 3 3 3 D i E w S 6 b 2 m + C A E 0 K g 0 h d F b 4 C p n c 6 X 7 E 5 d E 5 P k 5 l M 0 w / k 3 Q I i w v A H L 7 B V 7 p W a G P q o W L v C y B H 1 z m V u Z u j 0 f Y s e I 7 l s j y 5 e 9 6 j / N p G s R p y X Q e Q l n a 0 E r / / c G 6 8 u E m Y x G F 1 V 5 M O 0 m k F n V l f U O R C j g N H 7 M 9 A 2 N / R n A b y T S I v m 3 b l M V m 9 s b P Y C D r J g h s x 4 o x H L Y U s r v J K q y 6 M C Z R e 9 H s W o Q u g w W j 6 T i + w l 1 c 4 L 0 C f / A O c Y P 6 4 7 P 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V i s u a l i z a t i o n   x m l n s : x s d = " h t t p : / / w w w . w 3 . o r g / 2 0 0 1 / X M L S c h e m a "   x m l n s : x s i = " h t t p : / / w w w . w 3 . o r g / 2 0 0 1 / X M L S c h e m a - i n s t a n c e "   x m l n s = " h t t p : / / m i c r o s o f t . d a t a . v i s u a l i z a t i o n . C l i e n t . E x c e l / 1 . 0 " > < T o u r s > < T o u r   N a m e = " S a f e   A v o n   0 2 - 0 9 - 2 0 2 4 "   I d = " { 8 8 2 F D E 0 7 - D 5 C 1 - 4 2 A 9 - B 7 B B - 5 6 B 0 E F 1 C C 7 5 7 } "   T o u r I d = " 2 d 8 9 4 3 6 9 - 4 f 6 d - 4 6 4 e - b 8 8 f - 1 4 1 0 c e e 8 6 0 9 2 "   X m l V e r = " 6 "   M i n X m l V e r = " 3 " > < D e s c r i p t i o n > S o m e   d e s c r i p t i o n   f o r   t h e   t o u r   g o e s   h e r e < / D e s c r i p t i o n > < I m a g e > i V B O R w 0 K G g o A A A A N S U h E U g A A A N Q A A A B 1 C A Y A A A A 2 n s 9 T A A A A A X N S R 0 I A r s 4 c 6 Q A A A A R n Q U 1 B A A C x j w v 8 Y Q U A A A A J c E h Z c w A A A m I A A A J i A W y J d J c A A K V X S U R B V H h e t X 0 H g C R V t f b X O Y f p n p x n c 2 R Z c k Y l S Q Z B F B V R w Y S o P J / 6 9 D 0 D m B U F B B U R R S T n t O Q M u 7 C B z T n M T s 6 h c 4 7 / O b e q p q t 7 u m d n 0 f + D 3 u m u r q 6 6 d e / J 9 9 x z N V 0 j 6 / M g N H m W Q a c z A v x J I w 7 J 0 N B L H I R W o 0 U u l 6 e / d I w P M 6 S v p L + E T A 7 Q a 6 X 3 E q Q T + N 9 c P g W d h u 4 h H + X P W v r M P 8 / S e z X 4 v F w + T e f J F x b 3 N 0 z d V k H h W 0 Y e 2 Q y g 1 S v 3 o 7 b k Y n R t M 3 T U q D y o c a D G 0 f E 8 f 5 n X Q K P L Q 0 P P w + e L d o y s R m c + j k b z U v q a z p X b q 0 Z g v w b O e R l o t T r x m a + r y W c Q T w 3 j w K s 6 e D 8 6 Q f d M o t V x P P J 5 + i 4 9 g X j U h W w q h x Q 9 p s W p R X L U C l 1 r B A 5 D G m n o Y c z F k c o 4 E O r W U b u j i N X q 0 V a V p Q d w 0 D W y 1 E b p X r 7 d O X i W a O G P d C K c 1 a D V N V c c 1 9 C 9 B z K D 8 B j a Y T F 4 o M m G 4 D v g h n t u h P o t g 2 g 2 g V B m D I 1 a E 3 L m + d S m Q W x 7 K 4 L q + R 7 o 6 y J o G H 0 F 2 T l f F 9 f K J C a g N 9 e I 9 9 G U B j Y j 9 w 6 Q p u Y Y c 2 P I G 2 r F 5 3 w + j 5 G u L j S 0 1 1 D f 5 Z D X u a g D E 9 D k w v I 5 1 L f 0 X H n q G + p p e q 4 k 9 Q v 1 l t a I 4 F 4 D q h f S 2 O v 1 1 P Z e 5 P W N N D Q G W H r v R r z t y 9 B k g h j Z p U G y o w / t J j t y h n q i q w x C / n E E d D W o s W t h D g / A E n w G r 9 b + l q 4 j m n Q I y O N / C J S j 4 R y 1 m + m f H o W J i p 5 G i x p t E v M z + 5 A 3 N i I T T y H u j 0 H 3 7 e 9 + + U b + S T p q g s l k Q j K Z E i c L x i G C S S S S o u N 0 W j 2 y 2 R w y m Q z S 6 b Q g w n Q 6 Q 8 e y 0 O u l w W Y U e I 0 b r 6 H G 5 e g d v + e W c N O Y O O j 6 x C z K Z y 0 R C 7 / 4 v Y L C e x 4 K + o + J P q + l N j G j 0 P X o s 9 Q G I k c a l D S 1 S 6 f T U f t S x C x 8 L r E i c V e O i D V P A o I Z i K / D 7 U 8 k E j A Y D X K 7 q I u 1 / I 2 M 4 H 6 Y b E f T 9 W m E Z C J G j v o k P U R M Q 4 S V S 8 J c Y 0 J 4 M I 5 A d w L 2 e p P 0 W z r f o H d j c P c k F q 5 Y j F j G R + d q k O i t g s Y 6 D r P d D q P D D I v L A K M u C H O 1 A S Y D E V Q 2 D K 3 O g e h o G I G Y D / r 6 I a Q s N W h 1 h g B i D H F p Z m x C O p a B p Z b 6 Q J O D l Z r m N p h I 8 l j 4 D P T H O 1 F r X o S x i B U u k 4 4 I 0 g d z r Q m p Y B T + f g t c V V G Y d E 4 a R y M R r x 3 b X 0 p g 0 W k e V D f S P b I 6 G O s / A s P o 6 8 h a W h B M u 4 g p 8 1 i z Z h 0 W z W 8 n W i B B k C G q y A 1 D a 6 y n o Q x S p 5 n p v n n Y r V k E B v M w e 7 i t 1 B P E F N Q o e p H k E M K I 2 q 6 1 o C e 6 C Y G U n 5 7 Z B S u N i c 0 b R X w y i E C / C V F n E q b 4 O E Z j O z H h a I N T T w K B 6 M P W Y E f q Y B V q M / f C m N i E S G 4 O U u Y W u A z U T x o T M g Y r h o a O h a / a L W i B x a I m l 6 Z 2 x p A n w a G G J h u D R r R t a q S n w M P K h 5 V v i B w E W B g y + N p a W c n w I S 0 T I c F G N G r I 2 e i 7 L A l F I 6 w u M 6 Y 0 V K N n K f S s o V T Q Z p P U N 9 x x d I d s X D Q 4 Q w 3 V z S A O + G L a b J S k l Z X e s d w i y S X Y u g D W N C z V W f I e H o z i Y R V G y u W y x C D E k P S A z E A M H b 1 n Z k m l 0 o L Z + b j F b C E N R Z K f C Y N U h M K E / D I Y q J P 5 t 9 T h o D Y n k z E k E 3 F x r S L k E t R w 7 o s C + N q + 3 W l Y G 2 k g S d O F + h M w V W n Q t b 0 X K 8 5 a j l C X D u 7 5 W Y x G h p A k y a 3 V B e g 3 G d F H r Z Z l J O l s 0 o U I o 9 u D s C w M I J G Z g 1 q b 3 C 8 Z Y i q 9 U 3 p P y C Q z G O k Z g a M t T U T l J e I h Y W e o w X h 0 G M l M D C 1 W 0 h B E T B F N m 6 x V m C C k w f f 3 + 5 A O G F G z z I Y t z / X g q I s 7 q D 0 6 H D z Y L f q m s a E R 9 9 1 / P z 1 m C P 3 D A R h M B u p L H T 7 6 0 Y / i 2 O O P R z i y B 2 7 7 f H G t A q i d 1 I Z M 2 I d U u g o 2 p 5 + Y t Y 5 u y Y R L I E F E V E w v o h c e a 9 J Q G q H B g s i Z 2 u k E i X J 7 f T 2 o H e t E P P 9 R e B a T M E h 2 E 7 M 0 0 / 0 N G N 2 W Q N 1 y u h 6 1 J Z z o h Y M Y i s c r Q 9 o + 0 k s C q i G O f p s k e N T Q p g L Q R g 7 Q H Y j Y q 4 6 l P i e h T e 3 R R f a J 5 q R J + E B n I B q h P 8 T / T A J E V t O Q S U W Q D h m E 1 c P 3 t F S b i e Z C i J D Q c e u G s c B q l 8 + U o B k 5 + E w + Z m t A U 9 V i f O + 3 9 2 P t K A 3 y 1 J X J t N H E 8 N p t X x b E 2 N 3 d j Z a W F p j 0 Z I q R h J A 6 h I i J O k l h 6 5 x W I h L x i V U 9 d W L Q H 4 D d X U t S I 4 / J S R 9 q q + s x P D y M a C y K 9 o 4 2 B O j 7 K g 8 R Q x k o 5 0 t g 1 S t J C 2 q O Y E o e L 6 2 Q i E x A d F c 2 H U k z Z U H S g j / S P X k s m W i k F p a C L k R S D b J E q 8 h Q s w E N W C y S Q a R H i 9 o j z M Q c I Z i J I S Y T X T B q z P C n + l F n O h I T c Q u a X J L 0 e 3 2 / C R + b n 0 S o U w v r H B I Z O u m 4 A k 1 q i N p m J U J 1 0 6 B z W x M Y 2 5 Z C 3 V F u + p b 6 P u 2 j / g + S A H M i S / f S p c c x E G 9 G i 6 W P z i d B Y 2 q k P s u g y 7 c F N o s F 4 2 9 U 4 4 j z q + B L x u E x U 5 / L 2 g 9 k l s J Q T c R M h J g J Y F 9 s H u b V K F a F P J 4 y N H Q P Z u R S j G w L o X 5 F Q Q B I K P 2 1 D H q O H P V J h g S Z e / / v E V v y E 3 G Y T d W h X X E S 2 g 4 S d j Y a Q y 1 i x L B 8 H Y v D g z Q x v M V R D c e c B H a N G L G 0 P o W t a T I b 6 b 8 U E Y V Z Z y O r S A M D m / L i i g Q h 0 O m T Y n G o w K 3 T R 7 u I y U j 4 p r J k D j d Q X z M P E L 0 Q E + d Z C I d p X B x 5 J E N p m B y k C E j D a o g r q z R p 2 C M 7 4 H T O k y 5 G 0 F 3 3 v / 9 1 I 9 / Y b q 3 D y + s O Y F v Q j V j e N P X S E f F + + d w j c O t t t w m m e v b Z Z z F 3 3 m K s 3 7 A R 4 x M T e P C h h 2 G y O t H Z 1 Q c 7 P T B L 7 V Q m g V g s g U 2 b t 5 D k y u G v f / 8 n W t q a s f b 9 9 f j L n / + K i 8 4 / C 9 / 5 7 + 9 h w Y I F + O M f b 8 f C x Q t E h 7 z w w o v w + X x 4 7 L H H M W f u X L y 3 e h 2 s F i v S p F X e X 7 s W L 7 3 0 M s K h A D H h H G J U + g V 1 m s R M D K n 7 N C S h B S O R N m O p o 9 X R e Y L p J M L J Z d n 8 o / N Y A L D W I W 0 p R J a M b J Y 0 G 5 m F x e B u Z 0 j 3 U I M J g J k x S w 5 G 9 6 Y D G N r n g 8 t j h 4 3 M Q g O Z u R o i T i u Z W X y P S M Z P g z 2 J B q c i I M h s o K + M 1 M b d E x n U 2 9 L Q G U s G n c z B S G I A I z E / H E Y H d F k f D W w 1 L D U a 9 A W 7 y D x L w m k n T q Q 2 a t j E o u d x 6 S b J B G y D W z 9 J j O b A U H Q H q i w N i H W a 4 J l v g D 0 / Q S Z o I z H G i L i + I D i d J G k 1 + R A R V R M 8 N p L G X X 9 C p u q 4 6 U 9 N R M u a S d 1 v j G Q 0 B Z f / n 8 h 5 j p G P M K j / 0 6 N T 1 5 8 C / Z b H S U 8 + V p R M w g h d y k x C g / v S U W s l f 4 Q Y n J r m b a V r 1 k z C X k f G u 9 d K J q + B T C s f o k E S 9 m T e h k e D G P X W k Y F p R J a e n f Q f C X U 9 f d b R i 3 w w I v 4 k j U T h v a 7 o x e c l S J D E y S 9 L G O u Q p L Y o 5 y f I F A 4 k 6 B 0 N E n n 7 S J M 1 E 8 / x d 3 r 6 C 4 w P D 6 F 3 + 1 7 U N n l g I L N P Q + M s q E w h F 3 7 4 S g i F Q l i x 4 g j 8 8 A c / w F / v u g v b t m 3 D + v U b 6 B s N / v K X O 7 F 9 + w 7 c / 8 A D + P Y N N + B n N / 0 S 9 9 5 7 L 9 a u X Y f f / u 7 3 d I Y W O 7 f v I b M h I l 2 M 7 H 6 d 3 o C T j z t C a K k / 3 n Y H 7 r 7 7 7 9 i 1 a x d C A T o n p 8 O P / v c n W L Z s G W 6 + + f e 4 8 6 9 3 Y S 4 x m G T W S f 5 R J B Z B i k y g J D F b T v a 3 N L k o / d R B L z u p a P p M 5 h 8 z a o H p J A b T k h b I E Q 3 l Y V I 9 + 0 x g 5 i O / M T 1 J P 5 L u x d C k y E E n z b D p h S 2 Y G J r E v K O 8 W H p a O 6 q I C D T J f j q B T F t y z t l Z N 9 K g W X R u M u d W 0 O + I w A g D A S 1 G Q h o M R 9 f h y P k B R P r 0 x H B E q C W w G 2 v R Q m a N n p g 3 b 6 g j w S a d 0 2 Z 1 o M 1 O z j / 1 R y g z T m b I C M b i d n S F n G i 2 j p B Z 1 Y Y E C b R s e i U 6 X 5 6 A z e N A T b U J N t + D 9 C w T 5 E w 3 i O u w W B q L 7 Z b e y w E H x h r D d 2 D v / h V p L / K Z S q H 4 K F l p T A O 9 Y d i q j U j P / Z r 4 r P d v h 6 2 X x j 5 J Z i C 1 W Q g v F S J 0 T f b L b I N 3 w V h z K g m B g m a b 2 B d h C 4 + Y y I C e 8 K g w D z O 6 K v G d I T t C 1 h H 5 v 1 Y L H B 1 x e k 9 m L / n 2 w r o l B t D m e a z 5 A / D Q L b 9 G J i 0 F u / g Z Z 4 t c h u g j y 4 K Y f F X S 6 u z q r H 3 p O Y w P s t b P I x Y n D U p 2 Y n 1 t N b Z t 3 U Z C k e i N h Q x B + F B 8 q 2 b v U f j 2 z Q / i x f 5 i 0 6 t a F 8 b 6 P 3 4 W / 7 z 3 n + S k v k e E P U e Y Y Y M D A 7 j 0 E 5 / A x o 0 b 4 X K 5 s H P n T n z j G 9 f h I d J Y Y 6 O j + P F P f o z b b 7 8 D o W A Q S 5 Y u R X t 7 O 9 5 9 9 1 3 E Y z E 8 + u i j + N z n r k J H R w e M Z j 1 d a x g n n H C C Y N K q q i o y u 5 J 0 j 0 n 8 9 c 4 7 8 b W v f x 1 G I z l 8 V i t a W 1 t g s 9 l x 9 e c / R y 3 T I k u q R i M 7 i z o y L T P k 7 r L U k 7 q O D E L S R h o d M 5 U M O R A i t J L o d I 7 8 0 e G c r L X o W m n S r o d l 8 h G D b X 6 6 C 8 s u q s d 7 u 2 2 k 5 c N C M 9 I V Y T F p c d N n 2 U T l C B h L a J J i J J E 5 g p U n c y d P j H J g Y y 9 Z W 1 r E M x O o b q q F 3 q h F 0 D e A b K g Z i 8 + u g d 4 g a w G 6 j y b D D J 3 H 6 D 4 7 a p e T O c R M Q W Z e O D U C q 6 F B + B y M P a M G L K 4 j p i O i 1 e R C 6 N l L n g R 1 Q s f y F n p G I p S M F H m D w S E Y P 2 8 i v 0 R A F i / C X 7 Q I 0 0 l P J r O t 8 5 e I z v s / 6 T s 1 u N P o F Q v S + U T M 1 m o O k E y H L t o H y / A D i M z 7 X / E 5 S c 9 v o n Z b e v 6 G c N O X 6 R m 1 G I 1 t R 7 2 h E W P 7 b P A u J s s o 5 0 d C U 0 3 n y W 1 i U 1 5 Q K o F M j i T d T / l u b c Z L 8 i 6 L b W v f w u j Q M D x e D 3 p 2 7 S B z M o d E N E R W R w Y L j z o e + z a v x 6 K j T y D m e B a n X f J J v P P 0 o z j q I 2 f D 6 f F g b K A f T r c b + 7 Z s I g u j B n W t z Z g Y G U L z 3 I X 0 2 Y v X H n 2 A f H M j P v + 9 n 5 N g k n i k R h N H f b a X B F 4 N A j 0 x R O N k f g d 8 Y 6 J V d k f V j A y l h k S K E v j H p X q N i Y k 1 Q y V k S Q J w G L s U O W I J S Q t J 3 + l K b F 4 O u e q Y Y w T Y l m W G y E K b T S G j I a 1 H P 5 v W F n a C d e R P i U C J J E U k F F r O G k 5 D W i y X y S M 4 H E O a n G a L u z h K V A n d W 7 p R N 6 c O E X 8 U N z 2 r R 3 W V g S R Y F v V e A / b 3 J f D X G 6 q w + + 2 9 p J W q R d S U m T q S H E P H M c 1 w e u 2 I Z g 2 o 0 o 8 h k P M g 1 R 1 F 9 U K n Z I 4 S k r E k u j 7 o J 4 K V G N x C Z l h e Z 4 S J t H A q G y Z n 2 U Z M G U D z Y r q 2 3 g q 7 1 0 Y C i p i K B Q c L D X p m N s 9 2 v j C G Z e d 5 q Q 0 j C C A N Q 9 6 C 2 s j D i F T f I K 4 7 B e F L S k z J Y M H P f c r Q x o e g D + 5 G q v 5 M + o K D V W R e i i 6 k t p K 6 H 9 4 W R M N K r 3 S y g j T d n 0 0 F n d y X 5 G O a 9 / y Z f k q + Z t N n E S W / l p 4 A 4 b w R f v K N b F E y n c h s c t T S T b X k g 1 J z + H E Y w v r g s + l 2 k a Q W T j N T I R 0 n A b g u 5 y K B Y c b E 4 A h W r 3 o c o 3 3 d M J G r U N P U g k g w g A U r j s L B H V u R I M 2 S T q b g b W h A Y 8 d c r H n + K Z x 7 1 b X Y / c F a Q X e 1 T a 3 o 2 r U N b Q u X 0 3 l R E k S 7 0 b p g I e L R K P Z v 3 Q R n l Q d X f e 9 n s H v Y f y W G 0 i a x I L 0 P A W J w P W l s K 0 c n A 5 P D L M Y F Q 6 1 6 e w M G g 4 K / p q C n A f j K p a f J n w o o x 0 i V I b F g l g i W o d O X + 6 V y X 1 a w l R l y + h w B Q 2 G u D P 1 b b N f n y E L T a s l c 4 4 g Y M 6 q I P h Z a r x Y O j G S M f J Q 0 + Y H R N C b 3 R 0 j q k o 0 d y M B g 1 6 G q n Y h 9 i q G B o Q N j G N w 9 h G P P c R M T W I X G G d u W Q O 0 K M z W U P F k 9 O Q E y w s k Q T K S F j D b y d 0 T E i z Q E M U U + H S K a M 5 L v k k F g c B H G y I + a V 8 c + X P H z M z P k O W Q t Y 2 x b h O 5 T 8 E v 6 g g f R 6 p p D h J D B 9 l c 2 k / R u F H N y R v a 7 d A Y E g j 2 o m W M j L U X E Y H D D 2 P M E g r V n w m I h U 4 s I g g M 8 v s g W u K 0 r i Y l I q 6 a G k G N T T Y H s L z l 6 f 4 X d r 6 2 D 9 2 P f g 3 X O q e I Y Y 3 h T A I 0 r a B y I q H R 6 P f V 7 F g f + e i E W 1 e i Q P f k n y F c v I 6 1 C z J M Y R N v 4 f Y i 1 / 7 d g s D x P D X A 0 k B g p 0 m u A o a E P s U w j H G Z 2 / d N I 5 r Q Y D P e h z U L f a U j g k u b M 6 7 2 w 7 P 6 9 C N T s a z g a g 9 a z 5 F Z w r 2 l J L t B I k 9 Z T I O b I i k a 5 g B y Z x B z 4 0 J A b I C t c c i N i e P W h e 1 D b 3 I o T z 7 2 E f s 9 m P v c R 0 S b 1 q V Y v m f 3 V 2 g z m a S W T t y f 0 H h y G V m g 6 B 9 f k q y 0 L B E P t 3 7 0 Z w 3 1 d 9 H W B 4 M w W G 0 7 8 6 P n i P Y P n Q 5 m m i o d b g m A J + o c Z Q o D f M 8 X S G 5 0 Y j / I P x W B f i O f B I u R n s X 1 q N B r o L 8 9 9 Z c W L 5 4 / M Z j P i J G U 4 T M 6 f 7 X a 7 Y J R 4 k j U e O a J 0 D b v d R u c k i F A s i J J k 4 d A 4 h 9 J T 6 b T 4 f T K Z E C a Z l W x w / l v 8 H H n 6 P j 6 j y T e y P S D 8 M A 4 w 2 F 0 a 1 L a 3 k Z T k c D E R a j Y G 3 0 E N q u a T Y 5 u O w W w k s y w T E N / 1 h 7 r Q 4 u T g g Q K p c 3 L k L w r F R U d 8 u 9 L w L i 1 o C A X s 1 A s / R A X B A O T 2 e J d Q n 9 I o 5 9 J h j C X D q L e R D 0 T S X Z v s J t + j Q z 5 b Q j A 5 i H 0 v D p E G c G P x y f N h 7 n 8 Y i Z Y r h Z D i u R Q m m R Q 5 3 U Y d t 4 Y u y / 1 T M t D r / / h J N J J G n X v x t 5 F q u l S c 4 C e T s m o R k R s x I U 9 y 6 s l 5 / 7 8 f 3 Y h r m j a I u U q O l P H 0 x I F 5 3 8 V 7 7 6 / G t + t e E W M 6 e e Y D m E c u R F / f A J w O N 9 a T p t h O Z n 8 w F M a v f v Y j 8 n / 8 i O V r 4 D R E y S S e J B O a T V P y u 7 p + j e i c H 4 j 2 h V J 9 2 K V b I d r G V o Y C 9 q v Y 3 J 8 N m G E 4 r M 4 X Z C t F z P u R m V 7 8 e 2 J J 1 p I i i i 1 1 C m s o Z q g 0 m 8 b k L g i + K J h 8 b r x x 5 z d w c v w p c b K C / k w 9 F v 5 g u x Q 2 7 + l G T U 0 t P X x B 8 v K P 8 9 w I 0 j p 8 G y b 0 I P l N X m + J + i c w g X P H s k 9 U i g y J U y Z + n l D m e z G x R W N x w T T s U z G D 8 f V 5 7 o Q f K J d J i W g O a 6 v R 4 W H 4 g 2 H M n z 8 f 4 V A I D q e T r q W j A W H 1 p A O 9 F Q M b C A R Q X V 1 N / U Y M y D P 4 Z U z A 2 Y b N 9 7 x M 1 2 r h c K 0 e h q o Y E m M m 3 P H k H 6 Q J Y 2 r / e e e d K 0 y M l U c d h X f e e R s 2 e o 7 R k V G c f P K J O H D g I N x u E m D 7 9 t N z p 9 F P 9 v t F F 1 y E n g P d c F a 7 c R L 5 k 9 Q V U 1 C H q e P k N 1 k M 1 f Q u T 5 o z g e g o M e E 8 6 h v y I Z l x o y k t b P q Y Y C r p i a a D z Z v t L 3 V S y 1 3 Q O c O Y e 3 Q r D K Q B 1 O j x 6 c n X S W F h D V N J 4 S r v 3 3 w B m t x a t H 3 5 O R I g C f K P + j H Y X Y P 6 F a S l 5 X Z y m H 5 i 1 1 t I r L 0 d 6 b a z Y e h 7 H Z b m o 1 B 3 3 k 3 i 3 n 1 3 X y i u t e i s M x F t + z Z C f T m 4 2 p i I S b / Q e D E N a W i M N K T R S 8 P z 9 r 7 f I 9 J K 2 o 2 f j C e Y 9 S 7 s z 0 r h d w O N p z Q J L r W X t U 8 m n o b R y R P o H N E l D S P P J W p Y K 1 I 7 p f n S A j L k P s Q z M d g M P G G r R 3 g i g h T H y c j 6 q b L 7 o K 9 q l k x Y u o W N z M 3 x t T u p D 7 y k E A K w 1 2 m h + 8 H 3 / 1 t k S h h N V n R v f A G t m T 3 i w g p C O T u q T / k 6 f n f z z U T U r E H C + N G P f o w z z j w T a 1 a / R 2 f k 8 e L L L 2 E B E f O 1 X / 4 y / H 6 S 1 t Q Z A w M D Y g I 1 m U h i 9 Z o 1 9 F s 9 f v 6 L X 8 J b 7 U V L s + Q E v / X 2 W 4 K 5 E q R R 3 n j r d Z J W 8 4 V 2 Y g 3 0 8 i u v 4 q Y b b 8 Q l F 1 8 s z g 2 H I 9 i / d w 9 8 E 6 N C 0 7 z x 1 j t o a W o i A j b h x z / 5 K T p a 6 v G b 3 / 0 B R x 2 1 k h g 3 g j f f f A u b N 2 / B 7 t 0 7 U U X O 5 o Y P P i A N a I R B b x D X v v e + h 9 D e U g O P m O N i N S p J o / J h 8 2 K k 4 i k M H + z D v O O 0 s D Z U w W w 3 w 1 5 v g M f e g H P O O w M r V i x D a 1 U t t T k D X c a M F U c v w s J 5 7 T A 5 a l B b U 4 e x s W E R w W x e m I e H j l 1 w / g V C m P C x 0 Q E / O u Y 1 C s K b g o r x D V M E Q K x s 0 i E + Z o C 1 j g S U T C h C u 7 B 5 R u Y k h 3 G Z w U o j 8 W y 2 1 s / 3 o n a + D S 2 5 x 5 C t P g 6 9 u 4 f R s 9 4 P / 8 g k X H V W e J 1 a m E l a G e i 3 2 s y o M E k 1 u Q S y e 5 7 h C 8 B 9 9 J X 0 h R 5 j + 2 1 i s p g z G z i Q w e F 0 D f k T W / 9 1 A x w m D U b 6 D t J f o O G K O 8 W 9 N 9 9 9 L a w I I Z b W w B v u x W j 8 J C Q j G t h r U 6 Q d T R I j k b Q P E b 2 b t W Q S 0 n O x q D b 3 3 Q 9 N f B S J p q v 4 C c S 1 + J l 5 2 s J L N O M C m c C k U T z Z C X j 4 r 4 Z 8 J T 0 J m / w E 9 K M J N J B v 6 9 H m x H H x 0 m b p v D y q E I e X T D f l e L U u i 6 4 B n v 8 0 I B r K I h I 3 o M G t w Q n J O + F u + S i q 6 B q a g X G k 9 w / D 7 d R g T 9 9 e n H r h U W h c U o N X 3 3 u d G O o H 3 7 + R O 8 h o s l R k K C 8 x V L X H i 7 / + 9 a 8 I B o J i r q i t r V V E 7 Y 5 c e S R W r V q F 4 Z E R 9 P b 2 E j G t g M v l F C H z 5 5 5 7 j g j 7 T X z h 6 q t x 9 9 / / Q d q t h g h a j x d e f J H u Z 8 S G D R / g i S e e x J t v v Y k q c v g O d n X h 5 Z d f J j P T j M c f f w I O 0 o S 1 N d W 4 k + 6 7 a / t m b N u 5 h 0 y G t X j / / X U i G v j G G 2 / g l J N P x u u v v 4 5 P X / l Z v P 7 q y 9 i 6 b Q f e e + 9 9 0 l Q R 0 l Q 2 w a D 3 / P O f u P a a a 4 i h f 4 G 9 e / f i j I 9 9 V D D b U U c u I 4 b i M H F B t R + K o Q b 2 D K J n y z B W n r + E C I y I S G e h v x F M 7 N Z g z g o X r I Y k u W l 5 2 J x e N D T X w O U l 0 3 M k j s i A A U 3 z 7 D C S J m 9 r b Y H R o I e d z L i E p R f h T D 8 N G g s T I g R i / h z 5 W 5 r 8 G L W K 7 H o N p z a R D 8 g M k v V T C 6 i t S g o N j V t 0 P A x b j R k R M r c 0 4 O w G W b W J s D a N K x E A n 1 c J 5 u G n k a 4 5 A + 5 a B + o X u l D V 6 i H m 1 m L X W 3 s x v G s E 7 j Y d D O Y a u n e M t E U V / B s f g q l m P h y L z x G / 1 + q D 0 J l N w m T k e 3 J f c M p R a s e j 4 r Y p 6 k q r g U z C o 6 8 g j T O K 7 r f u g 5 O 0 4 V i E L B H i f U v H 1 a h Z r s f w z h Q x o g 9 m m 4 X 6 g / x F c J p S P T 0 B m X j 7 f 4 l 4 x 3 X Q e Z c K N y B P v p R B b x b v t a R J 9 P k g D C Y v / Y 1 Q E 7 z i e C J r I J N b h 7 T W C U e V G a k Q u Q w O 6 T d F L x K w p c f C a S u c V h 3 s Z h 0 W N w C t X g 1 M 2 j H k H H R / o l + 7 x w Z v a x W d q 8 O u 3 X v w 0 k u v Y o T o v 7 a 2 D l q e k B S o 1 O d C 9 U a w a + c m t L c 2 Y G J 8 C D a L E U H f K K q I Y D l s z v Y w a w 2 + A Z t n H O L e v X u 3 C H 2 z 5 G X z j 8 3 A t e + / j / q G B n z 3 v / 8 b 7 W 3 t + I C 0 B u f V s Z r 3 e q u F t u L v 5 s 6 Z C 5 v N h i u u + K T Q b t 1 d B / C 5 q 7 + E n p 4 e j A y P i P v U 1 t b S g H H C p W R K / v Z 3 v 4 P T L e W A c R p N X 3 8 v h o a G M T 4 + I c K d H N p n h M N h 3 H X X 3 4 R Z 1 t 8 / R E c K z H Q o T P R N I D Z O Z t x 5 S 6 h f 0 k R g H m Q S Z E p 2 e 1 C 9 z E g D b U S A C N 9 q q M V I T B J M n a N a O J v s 8 C z W I n h Q M n V J w Q l M J P Y J 8 6 j J c g x 1 v 9 S O 6 E A C O b M V Y z E 7 O b o c H o 5 h P L 5 T m H N 5 Q w O G k n v Z K J h C n u P h B D v 5 L g a R J l Y C N o F 4 D i 3 Z j x w J C z l g O I V Y z o z + 6 P v y J w K P t 1 a D Z R 9 b j K a P r c D B N 8 i 0 J n 8 k n P N i 8 4 5 e c e u G i 3 8 n n U v Q W p y S 3 8 E R R Q a b n v S H E w J 0 Z j e 8 N m o f M z l p T W 5 / D U n 1 F J l V V g 4 S k h b O g s 2 x C B p W V J F m b M T Y r i z 5 I x a 4 8 w Z o E w e R j w 0 h X v 8 p 8 R x m i 1 2 8 7 D b P 1 H t + m R x t M J k d 9 L c Z J v m Y 1 2 U j P 9 q K K v p r J c H s r v P Q O b a p 7 8 X v z I X 3 6 t e K V r I q 6 H X s H C P q P W Q B k G z K N 3 + 2 6 B y + j t F s x K U f X 4 5 v f + t r O H n R a T j p u G O h + c c / / p E / 5 e R T i d D r 8 N 4 9 N + C 0 F N n G K i g + V D l k 5 Y H V i U x x y e 5 l z i z 2 T c q h Y G K V g i / J J M K B D c 4 J z L F d X M T t h d 9 y 0 L A 4 Y C j 9 m p N i R e 6 W r u j L q W s L y J G l U l T y o R K R B H a 8 2 k 3 M N B + B r j T 0 t h R J b 5 6 M L L k H 3 W Q 4 r C d b n K S v I Y s a O 9 + 1 g N B A F I l J H R q O J k L k 2 e V 0 g N o S I 6 E V R t r Y I S J s o U E 9 i D Z E l o m Z H F + N n k w p F h 5 p 8 l k i B 2 E K v C N y 0 S K e I x D e Z y V m l h i J E 4 5 1 6 U k i X N K 6 w p c o j 2 h q m H y E W h i G X 0 C 6 4 X x M J j v h N S + U v 2 V I P b W 5 3 4 C j 6 / r w w a o I F p z l w p Y H r k M 1 O e b L v n o v 3 a N O m g c z e D G 2 I 4 R a M v u U S O D W + 6 6 H M 9 6 L k G U e X P F O t H z 2 H 9 D b a 7 H v + Z u h 7 X + D G C o P E w 0 c Z 2 / X n P 0 W H B 3 k 8 6 n 6 0 b + P N P U c 0 l J 5 C 0 y j z y P Z c i U 4 m 9 5 e s 5 S + L e 7 v Y q j p q j D a P C Z C S d M b j v r q l L k t Q r n o n / K t c i c O R m Q 1 0 h y n + v 6 J e A S Z S B f y x i Y x I c + h c 8 2 u H V v y r a 1 t i J L Y T E 3 2 I O n v E x q H p b / I q t U Z M f c 4 y Y m s B G 4 A N 1 q e P i G 1 T 9 K K D k i M V W h A O f B v l T M 4 c s W Z 5 F o i D L b D s / R Z V x I G V 6 D + H Y O T c D m 9 i O e U O D O C Q / T l w / M y S P J L I f R i l G M o l q R b n + 1 G 0 5 x 6 6 D r 8 8 D q a B E O S X K Z 2 T o / K H Q p s V v z r 3 g e F S T o Z 8 A s f j 7 V z M B i m P t e g r 6 8 P i x Y s w M j Y G J m u Y V x 5 5 e X Y t 7 8 T S x c v I 8 3 s o f Y d J J O 5 H R M 7 0 0 I z K t n o a g g T j f 0 a c t o r w d H z M 4 T b p R w 6 B f l 0 D J n 7 z 4 D + s k c B V + t U H 4 9 1 j 2 H n P Z 8 h s 9 2 I e V 9 / h P w g K T F X y v r I Y X S v G 7 V H S B O 7 L 9 9 4 B t p I s k 8 m 9 G h 0 k S n 8 1 V X i + B o O a N D n 7 v E E 2 q r 1 W E C m 6 l j H 3 Y h 1 k B a 3 x u A w N I t M c R 6 X v u 2 9 2 L j 3 D X z i i i 9 N T R k 4 X F 4 e D K K R P H 5 H F g l b M d / 8 5 j f F t S c m J v D d 7 3 4 X T e R X / / S n P 0 U 8 H s M P f v B D 4 W b c S L 7 4 b 3 7 z G 7 x H 1 g 7 T 6 b n n n T v 1 u 2 I w V T G m 0 4 2 W t C h n 4 K j B l l E u w 7 R S O F / 3 q 1 / + / E a e U X d 7 G r B 7 y w R 6 9 5 o x O e b C x J g T 4 6 M O + C Y t m L 9 S C i J U m h / i I x L 3 S l q L n W F J + t M H k s I i O 4 C 0 G L / E 2 U Q A z H Q i h Y R M H v p C / k u O N s / S y 4 y o 5 N + p o T A S T z o q D M z g 2 S v + l 3 / F 7 z j 7 g Y l T g a Q 7 V W A i L E O I p T 5 U I p z A p m f 2 Y s 6 S + R i v y R K h y N F L j Q 7 R y C i R F Z k a 5 X m + I r i v 5 s z r I I 1 D p q 7 D i + O O P h 5 9 w 3 0 4 8 s j F S M X j O P 0 j H y F T q Y E c 8 i S O P f Z 4 J M g R O b p + A N l U l M w Y 8 g u N t f S U a c Q m D L D V l U Q c C D r / Z u g D u 5 B 1 L S M t M i b 3 p w Q 2 I T n 7 3 W k i J g 6 s Q 8 p 9 i v y N h K 6 3 / o 7 I 5 B D c J 1 x D 3 a M T 0 T 6 3 J Q d b l Q 2 Z / Y 8 j G a M 7 W 0 / A p H k u P B Y a W 7 J M W D P Z q W / C k w G E e g y k + R 7 H B J n 7 H o e R B I U Z A 8 Y j k U i m o N 3 / N N E U M S C Z f D Y S d o P + B N x k W u 3 q y 8 J u 8 p C f / U + 8 v 2 4 z w p E Y F h y x B O m s D g 8 8 8 D D s 7 i b 8 4 Z b b 8 P G P f 1 w I t y 7 y t a + 6 6 i r h R 1 9 6 6 a V C A V x + + W U i c P U + u R X s y 3 M 6 H P 9 9 + + 2 3 h b B a Q 8 z E g o p / u 5 C E 1 c c + 9 j H 5 i d V g C u E X U 4 t M T y Q 4 t R w R 1 p L w V Y h c R o 6 e I 5 m Y I A F Z y B A p y p S 4 7 Y Y H M f l y i U S r D u O X 7 3 8 W v X 2 9 w t 9 h / 4 S D B a V g f 4 l 9 J b 4 Y E 7 s 0 + S o 1 i v 0 n / o 2 y j m Q K Z N v n a N D Y k t Y R I T O R T u W I l U G W J a 6 4 J j + b n I h Y B i K V i D U d + V r i M 7 2 K u 4 L A J h + b K C V M p d Z Q 2 9 / a T U 6 9 g T R I A + q W W x F I k u C x V J E f o o X L T I Q k p G l J 0 q c K E X K u j R o b j J y A W g H c z j x J 4 M g g X S 7 T A o 1 h k J j K B P d c B z z B O 5 B K N t P w G t B d 1 Y x m u 5 x 0 S o J p d E c Q 1 Y s 8 U j I t R + A 4 K 4 G I L W 9 k 0 0 v S m v a D N y E y 9 6 f i v W S e V Y s J Y E a r q w O O v l + h s + Z C V J u W k K k p / W b L H Z e S p s i g / c u r M B H V o 9 5 Z E C 7 7 7 7 w Q 8 7 7 0 M F k e F u x + e Q I d p 9 j R F X M T M + S p P 7 K o s u Y x s X c 1 g u / 8 D q Y j r k L 8 g / v h P u Y 7 a D j 1 T P z p / 7 6 I j z e P k Q Z k 0 Z d F M t A D R 9 1 c z L / s a q S 8 l w u t w 8 + l Z U F M U n / y g A m e h e z P 0 R g J 0 9 9 E f r p b R G p 5 V u U H P / g f 8 o / H c M 8 9 / 5 R b R 7 4 p C a P j j z 8 e l 1 1 2 G W 4 k L c X B r + u v / w Z p r B t J U 1 U L P / q z n / 0 c 7 r r z L p x z r h R U q Q T 2 6 z i 4 k i / j F i g Q J l 9 0 m P r V g 0 g y T / 2 g e M I z Q i L g U Z I s d 9 z x J z F 5 + v w L L w g m 4 Q f g v y y N / u 9 H P 4 L P N y H m X l 5 + c R V J 1 R Q 2 b t q E d 1 e / S 9 L l D / j 7 P + 4 W I X c O C j D z 8 f K N F 1 5 6 B f 7 R A a R j M Z H K P x M z c T u U L I W y D K J C P k 8 P J j N T s W a S A z A M 7 i g 5 y b Q U U Z L q k Z Q W S f J 1 W p c 0 o o 4 z E k g Y M D M l s x q 4 S G I L R p y B m R i p T F D M j c y E / l A 3 B o i B n X M a 4 V 6 Q h b M + B 5 O x D q G D W o R r / w v J 5 k 8 g 3 X Q + E Z E 8 V C S E M r E I T C 6 j x E w M d v i N L u R J 6 y j M x I j M / Q m s u 3 4 J + 9 7 / g 3 3 w T j g m b s O i o Y e n V v l m 8 n b U W V Z M M R P D o s u I i d 6 h U D E z 9 a z + h 5 i X C t P 9 e S n M 8 g v q h F O e 2 b A H s c 3 b S a O S R U A d v e e 5 m 5 m v 0 b 3 m A T G c T a e f h Q F / H o v 1 g y J j q T + S o b H J w F J N g o I c G m P i A M b C P E Y k A P v f h n 3 k z 9 C G d y M e m o A 2 2 U V U 2 4 c 4 W y 9 5 L f T U T P 5 N Q V F I b / i 3 j O 9 8 5 z t C 6 H / r W 9 8 S N L J 1 6 1 b S X j n U 1 9 f h v P P O p / M 0 4 v u T T z 1 Z B F I q Q Z k C m I m Z F I h M D w I L F f b z d D / 4 n + / J 8 1 A W r H t 5 B + K d J Z E i a w p n X H M E P U Q e O 3 f t w q b N m 4 Q t u m f v X q x 6 / n k 8 8 v D D 6 O n p w k D / g A h p h 6 N x r F r 1 H P b s 2 Y P X X n u d 6 J B M o 2 h M T A i z N G F G e u S R R 0 T I + 4 t f u B q / u f k 2 Y r r 3 c d L J J 5 M 0 T 1 L X M O O U s 6 G 4 2 / h b D k Q Y h W m p N v k Y / B 1 L f I b C f I z C O 0 V + 8 J n U v X k a 4 Z J O Y 5 P P F 7 a i e e g m j I c / h k b V + p 5 Q Q j u 1 H F y B J j l E D S q v g S z 6 a j G I a v S F N 5 A G 4 A i l x A z B 9 D 6 k y a S o Y j O Y r q P V 0 l M 6 4 8 g G r U j Z u 2 H m A a N z 3 c S Y Q 9 H d i O w 2 I h U j U 3 G e l E 8 2 M z R I 1 5 6 G V P U Z Z N q d j h S Z a u m a 0 + g h W Z D k Y Z p 8 D x l b B 4 w D r 8 E S X A V T f g v 6 1 q + j r 5 J Y 4 d k v 7 s s L H P P 0 d 8 s j N 8 J u 1 K L l 5 G u k S x O Y s R p I S 9 b O r c G u F y d R O 9 8 K 3 w c P k h D R i H M Z t 7 9 4 E F d c c i 7 8 m / 6 J Q H A C D V 4 r o i R U Y 3 H y / z 7 y L V i b j y Q B 6 4 P d a s K z a / p Q v / R y Z D S N 2 L z 3 A 8 x v 1 M P S / Q A s Z M K a U + + T t X S m Y C b 2 t d 9 4 / U 3 E S B B f f P H F 9 J Q 5 3 H f f A 7 j t t t v w 6 i s v o a W 1 D Q 8 + + C A u O P 9 8 E Y X u 7 e 0 T 5 / 3 t b v L X Y l F 8 9 S t f J n l I v + L o Z C k R E S Q T b 3 r E l O + r H k 9 e H c 4 p V h L o u N Z G / j 8 R Y H 9 A T y p X P l 4 J w j T S w G q 1 w V 3 l w c U X X S g y z j k T o K a m D i 5 y r J c v X 4 7 h w X 6 R e n L E E U d g z p w 5 w n Z l 7 c Z z V s 3 N z V i z e r V I L 5 L C 6 d U 4 / / z z M E b O t 8 1 K N q r e D h 1 J B / b V G K V N 4 g C F n t r B x 8 v F G 8 Q h 0 k 7 q H / K x 6 Y 8 m / Z h 9 O C m 4 w N I 6 Q 0 z K K 3 x z a B 3 4 J X r 0 X 0 f a z m H 1 A u w m i V n V 4 A V 8 h 4 N W x 3 H E N A W N 0 O o 4 E X P d x 4 u I F y N P g z I + R t I 8 E y U z q h 1 h X g Y i j p v Q 6 F g J e x V p z K X T s 1 C K w T 3 I / x W 3 1 5 / o R C j Z Q x 1 J q o M E S T x r R B i N S L V / A p G 2 7 y N c d T 1 a r t + A J f / 1 H q I r f o 1 0 3 U e R M 9 O 9 6 H w n m T O 6 T A j W g z d D k + G o X D G W n O v B j l X D s N J 5 l s U X E O H n M O 4 P i T n I 7 9 / w d d h J m 2 n 1 5 E / 1 D y I d m Y D H n s X d L + 3 B H / + 5 A S 0 b / g f + 1 2 + G b 2 I Y R n 0 O f 7 j 9 D z D a D c h a G x F d / H 2 M z f 0 K I v X f I k 2 q E 4 J I J y w L H r U 8 L r n k E v y W h P L v f / 9 7 k Q l z x I q V u O a a L 4 m l Q A s W L i R h v V p M v z D e f / 8 9 n H L K q f Q r i Z Y 5 t U h k 5 r D Z T W q V e U B D w o Y j y 3 z 1 U p 4 o F Y 6 l Y A 2 l G R 7 b m 7 f o P c K H + v V 1 d 2 P 4 V d m M k K H 1 x H H 7 x n I R E Q Y P m C L 1 C 0 j T Y f a h Z r 4 9 t 1 Y j F i 4 u W b I E Z 5 3 9 M b q S r J k 4 M M H S U W W + T I E u y g 8 6 / a 4 y q E O y O T K H x E / 5 H n J D 1 J 0 j P v M B k l B 5 u h c Z 5 X m h F T V 4 5 r 0 Y 3 t k S x F E L r H h x b R B 3 f 7 e a v s 4 R Y e v g M K l M R h W 0 i S 4 i P H W e 3 s z I s d l G g 2 h U s r A J O W J m i a k 0 G N 7 q R 9 6 r Q W 2 j E 7 / 4 1 a 9 x 2 a W f I C G l I / / B g s c f e 4 I k f Q B n n n E m l i 5 Z Q E K q l Z 4 i K w I p G Z K s s c w k m a s R 2 A 1 m 0 h I t d M 3 i 8 V T D d u D n i M 7 / M Z l y W p i I k P 1 x H Z m p e d Q 5 p g u O 3 X + 6 E O 4 l Z 6 H x Y 9 8 S n 8 0 j T 0 O f P I C 0 p l 4 2 f b X Y + N p z S A 8 P I W L 0 o M 7 k x 8 K v P 0 V m W w C r b 7 k U D c 4 8 e v w e d H h 4 9 a 0 0 J i M X b E L + i X P Q 4 k i g / d K b R M Y G T 3 c M b 5 t E 4 5 H E y K S O N C l y L k X + H P k o X l 4 Z y 2 M g P R N 7 Y 5 / 8 5 G W 4 9 o t X 4 + z z O K O G m Y L M f R X h s f b K k L m s D L / y H S 9 f 4 U l w E Q t T G U T a b J g Y y i H R m H x u + Y R s y Y d K p w p u g y b Z V x y U m B Y 0 m B H 8 M 1 X L y 0 D d K A b L z A K X l 2 f G A k i 9 c u h X O Y f D 6 N R Z n K 8 Y D E k a z k w O a i K Z F H 9 T K b b N d S I T g T M J e J U v f 0 6 n S S 0 T Q / D 5 J q M J I T I 3 b H Y H 0 p w k K z 8 D R 4 H Y p O X B f G 6 1 H 2 9 v D s B C J k v v a A q / / E o N + Q c F u z 1 B T r X Z I L q s A A 6 p k o n A u V / / N u j S E w e C y L r T e J S Y 5 9 Q T T 4 T L 6 c b a D S T J W 5 v Q 3 z u I Y C Q A p 8 N J f s E 5 + N O f 7 8 R P f v R D 8 v t G k c + 6 S B M U T J U 0 O f M z + X A 6 / 0 7 E n e 0 w E M E O + b V o 8 p Q 8 F 6 E / u g 7 1 m i X Y f 8 9 n s f Q b z y L U v x O e j V K g g x w h Z M 6 9 W 3 p P l s W 7 v 7 s I N T Y t h o I Z M m H p 6 1 P / h C U n e L H x z 5 + H 0 6 x B K k E m a O g g b N W t m H / l H 4 G q B d h + + 4 X 0 n R Z z P 3 E j M d R K j G 2 P w z s / T k q R p z S I X n h 5 v 9 a K J A m h 6 u o F 4 p i a 7 t i n F + P H W o u 4 o / w c K N M d j 2 9 5 e l M S a T k 0 z r / n s 6 X f K P 8 W o K b p a Q z F 2 S p q h r r l t f u x I d s r v l R g S + v x z 4 v / V 5 h p 7 I R y I I L X K X G y J 6 t J U V K M E I 2 G Y T C Y x M M p K G U o h m S G q B b 9 f Q j w M n c R x i w D s V y j j F A W w 8 D i i A a G 3 i A N M x G S 0 s E 5 Y l a e m C Z G T M v Z 5 q Q x D o 5 l M b e G z + e J 1 R m Y n 7 M E W J s y Q 8 1 0 3 i w x u i O C u u U k 9 U U k k n p K 1 t T h g Q Q c z Q W G 4 R J f O p 0 f Z p 0 b 8 Y w P o c w Q 6 s z L p O 8 y 4 7 D p p 9 d 9 K E A i z E B M C 2 f w b W g b p i / R U d C 3 c R W C a / + G 5 d 9 c h b W / v w C N d q m E m n 3 J e a g 6 5 R v y W c A u 0 m I a N g 2 o j 0 3 V c z D 3 U 3 9 E P O D H / j u v Q I Y I l p k 9 5 u + C 2 d W K x T e 8 g N V v v 4 r 6 v T e T E L S h 7 d p n x D U 4 o X k 4 Q c K D T G F B z s n h K b P a 4 e I A w K E o h 3 5 D z F X O B 5 J Q E O R S D 9 D w k V Y 2 a G N y J n k 5 F A t / T i 7 i H M c B / 0 a 4 t K q M / t Q 4 M 9 Q o X Z e c S G K o L z 1 4 E + 5 z 7 5 S / l d A c t q D v M w / g u 9 / / H k 4 4 / g R s 2 r R R L I / g x F V O A e K o 3 f Y d O 9 D d 3 S X m A d h m 5 h A 7 z w 3 M m T s P b p d L r N r l F K L z z j 0 X P b 0 9 6 O v r J 5 P l D P k O 5 X A o 7 a V 0 h Q T 1 J 1 6 l W y l D g v 9 y Z 0 j B M e U e P H 3 M 7 7 Q k Q b O Y T A z D p r F i L E w m l 4 O M K f p S l y e G m U H S T 0 d x + 9 S I p i f g S 3 e i x X q C f G Q 6 g r 0 x j K W H q Z + T 2 L l r N 2 p r a 0 R K F 6 d b c b Z 8 b 0 8 P I t E Y z v 3 4 O a S x + V 4 S + m P r 6 b r H y 5 + A 4 f h W M r 2 W Y T y 1 d 4 r R 1 E h m N G L V a 5 x k h m f g H s Q 7 v i R / U w L 2 L 9 K c I p b B 2 t u u h D v Z C 1 t t B 1 q u e Y r k h 6 S V E 8 F R d N 5 / L f L N p 0 A 3 s A a N 1 9 w B t 6 U d b / 3 2 Q t T Z N d S f O T T Z k 4 h F j D A 6 d I h c + D K S j 5 6 N J q c G H V 9 5 l r p L C + P E u 4 j Z T 4 L e r E d f + H 3 y L 0 8 i o c z Z H 7 x c v x 5 R M s / d Z r K k F H N B D R Z q p W O U I X O e / L Z S + M i P r D K 2 k / Y r V J X K k p + i U 6 2 h K g v V P f w x c g E M C V i H b y U t 5 U X G N B f m + B p o / J O j Z E h l Y H f W E E P 9 r C J D 3 X f / f e T U r R V m I c 8 + c + i b l 1 b w G q Z r r 7 1 G F F j h y B p P n n F w g h N m j z y S I z i T I v 7 P y 9 0 5 8 t f f 3 w + P p 0 q E N l t b W u W 7 f A j k y Z R T z U W x 3 8 b 9 U W x W S q T N K B 0 C M b H M 2 d F T 3 3 B p s i z 6 J 8 f J 6 S W T x S Z N 1 r G r p R X L C H j J x G E i N U H c O / 1 3 Y u a f y 4 A J Q p H q O m S S K e j J d G U M 7 Q i i c X n l D I d A T x T u d m l g g 6 l + u M h X k p 6 0 8 J Q Z I j 6 9 x o x A q g 9 u Y 0 k / s 3 k k N G q B g I Z D O s y b / A O i H d I q 3 g Q x m 5 l T d F h L i i C K d O 3 e u y 9 C f L w b l p o O a Q m H j D d + d x l q L S m M E O M 0 O r V Y e r 2 U H b H 2 5 g v g o o F J c / W p 4 C D 0 9 g Y s v W E V 0 Y o W O + + 4 U O T 0 1 V 3 x K I b 3 T 2 D e 8 a 0 i S J A h w W a 0 F s z n W G Q 7 r P Y j i N 4 c S J H l Y J x F O L s Y R B N c D k B D w l P r h D Y X Q k 7 v J U H K l F I w 6 r J p E q B c b I X e c 2 T a Z D K I N D Y 7 + c 6 C r t i k p H 7 j w j d c x i C R z C G d L z b z t V z I M i v m O A q D U Q q + 2 L H H H i s K t b C U X L x 4 s a h Y x B O 5 v F z j z 3 / + i 8 h A 5 8 / M c K t X r x Y T u Z / 8 5 O U 4 c O A A l i 5 d i l d f f X V q L R R 3 z L 8 N Z q Z c g j o l O 8 V M o r C G / B x s j j L 4 E 5 u e a v B H 9 p c k 8 B n S T A Y T U W e f e Y q Z G C w M S 4 s m q p E h G z o a 9 B F D J J A m U 5 G L g m T T 8 v y N 0 U s E 3 Y v B 2 E a k O A u b I c L 6 3 F h e r V p Y N K g w U y 4 V R O 1 c 6 n G 5 / R L y C G e G 5 f e Y Y i a G n k w b v v Z I v D j f k p m J M Y 2 Z G M R Q 0 X S x X d z g z A p m M o 2 / L N p I r C h 9 I Y h X 6 t N 4 a I T 6 k i w A G u M 8 2 9 Y q n P H 9 J 4 V J 6 L Y Q U R L R M / J k p R z r 6 s c 8 a y 9 4 u V U 2 S 3 6 t k H o a 7 H z 6 t + J Y 7 R n f g 6 3 K i r o V c / D e H g 1 e 2 U L d x s z E 2 i D t o 7 8 x w U w M D S / / 1 1 t I D t A o c 8 R v l i 8 h d U 1 e E l 6 1 Z J W b k a N x Y b + A 8 y b J y 6 a v E + I 8 n g Y w G Z l G T S I L w 2 q 1 w + Z w 0 + / o f B K M a U O 9 G F N u B 0 w 1 J N C L + 4 B R 5 E P N Z P K V 4 r + + 8 x 1 c d 9 3 X M X 9 e a f F D N S E o C U F q y A T 1 n w B L W p n Y x V 3 p H 7 4 6 g + / M M + r s J r G J w A Q 6 1 T K O q C n L H F R I k 2 T M a Z L T c v k E S s N B / y b Y / 5 m a 0 x J a o F j q B n t i c L V L f m J v d I 3 4 6 z E s h 8 M o a a 7 R / W O I 1 v a j 1 t Y s l o F M J g / A a y o d i 5 k h q j Y R k S l Q o l m a p I + k M F G 7 n i Q x J 9 v q 3 e g N 9 a L 3 X 9 9 D o y l K f a u F o / 1 k 1 H 7 s O p J k U j U i B d t J 6 3 R c / H M i u m Z s f v Q G u L W T a L Q m M J m x I 0 a m J W e A 1 5 / x I L Y 9 c Y n I 8 5 v / N U m T q d G / f Y y 0 Q Q 7 N K 4 i A O e I r + 0 M i l 6 8 I C i 0 x Y b O A K E 9 b U y t y Z 8 R 0 S j 0 U p o I S K l O w a G L 3 r Y 3 v I + W P o j 5 k K r w i J l x 9 / E X T b v X x c 8 6 B V 8 l r K w K f q b y k f w t N 5 X f T H 5 g j d b x E n a U f + 1 4 c l W P z k Y / x Z / Y f + D M f 5 w o 2 W f r L V W e 1 q r A z E w O X S m Y 1 z k Q h / S V J x i q G w H / 5 p U W c p F F 5 j c P V Q f n 6 / k h 2 e n 6 e M I 9 4 w K T r / b s o W v S n C m 2 z G c i 3 s N g i i B J f s 0 Z 3 6 6 o R z I y Q S V V g m G z A j I b G J v K D n M I P C q U H B G P 1 R t 8 j r S Q t F S 8 H k Q M p 1 x I s 9 T k 4 g C R Y n L S A f e B O p F z k 5 3 E C M T 2 7 R e P E 0 J r 7 o Q / 1 w W S r Q t P l t 4 q J a B Z O s Y c v g + X A o 0 h t f w Q t b h 0 x + t d R h 0 e w b 8 t W N F X p k d G Y E K c x Z I G 0 9 L q n k L X p k N v + I F 1 b C + 8 x V 4 p 7 q + G q s 8 F Z T w w 4 t A s 9 2 y P w t k p 0 Z j J L A u b Z Z 5 / B D d / + N m L k y 7 P l 8 9 p r r 2 H H j p 3 4 6 U 9 + S u 3 P 4 6 W X X i R 3 Y 6 W Y 3 F 2 5 c i X 9 Q o u H H 3 5 Y W E 7 s e j z + + O O C F v 7 + 9 7 8 L l 4 W z e 5 5 6 5 l k 8 8 v A j e O r p p 5 D J p E W 1 4 d W r 3 8 V N N 9 0 k s o F 4 P t X r 8 c B D V p j o Q + q r q Y l d l T C U q J s l J O H 2 a 3 + E z d f d W / R 6 + 1 t 3 / 1 s k V M z 3 p V d i A g X M 9 F B c / 8 x E x M M v I 5 m G b F Y o n 3 n S l x c m G o h T j A b p e 7 3 e K J i I r 8 8 v y Z / U y H 9 p r M o 1 m r V M k S l V A B c 3 U c x F p 7 n 8 O V y O + n C g i e 6 S 3 x 0 K U j 8 w 2 F d L Z L m a U S 3 8 n W H p I B F 1 m + 1 k y S e T Y a m X f m M z S n 9 5 c 4 W h G B G w 9 T j 6 N P 3 h N c k R 8 Z c 1 t s h T q 4 B Q Q v p t p L W k I h K h w c X z O a z 7 u a i J b B a T M J i I Z n F g K I 3 B Y B b d k 1 m 4 5 x A D t X 4 J Z g N b B p y C R a b n M Z f i i G 9 J 2 m j D b R e R L 6 N F x + f u E Z / L I R f v x Z j T j / k n t o g i o g f W c a 0 T C R d f f A k u v O g i s c j 1 s k 9 c j O u / c b 3 w y / n Y W W e e B Q f 5 9 q + 8 8 r L I i p C Q R 3 t 7 m 3 B P r B a j i F h v 2 L A B T q c L m z d v x K O P P Q a 7 z S r m + j g u E A g E x T J 8 r v P P b s q i h Q v F b 7 3 V k j / M U z e V o B U d f d h O 3 q H B 2 o R R G N o C 0 R Q w Q 8 v K Q j 6 f z Q B C J p 0 U Y X x + e N 4 s I J 6 M C q d W C s 3 L E P a 8 / J k k J G c i l C K d z M J g k r Q E L x m v C N k 3 m B U y I e R t v H 5 H e j 8 z C v c 8 0 N m N o H 8 c 6 z d s g r 5 O J 6 T w p C + I V 1 9 / S 9 j x A n Q 9 j Y X s J w J L y n B 6 h L R T P f T R N q x 5 d y N p b g O 2 b N 2 J P 9 x 6 O / Y d 6 M b u v Q e Q M 0 k V k 3 g 8 Z s r u c K m E i W P g F v k d h 4 l 5 W Y w c + J F P C R 2 k 6 x H h 8 8 c c a U l h D Z A 2 0 0 9 u w p b H f i G 0 M H / H 1 Y 6 a T p J 2 9 l C S Y L k d G n 2 x u a i G V u 9 E u / 0 U 9 M Q 3 Q U e M O f / 4 N n E 8 k y i M 7 f J l y / H K q 2 + Q V n k a S 5 d I f f 3 s c 8 / h 6 G O O E Q t c O Y / v Y G f n l N X D q 7 P / d d + D q K u t F S l w r I k 4 y 0 d J 9 u a l H 7 / 7 7 e / g 9 X p E / R R 2 E 6 6 6 6 n N i d f m i R Y u w c e M H 4 r y Z M O V D 6 X k n C N k 8 E g 4 x v c 2 k R m A w N p A m k J x / Y 8 U 4 f Q H h e E 6 Y I E Y O 1 C v g u R 9 V u k 0 5 8 A K 7 P J 9 T c f 6 A C D 8 r 1 a w 2 T z 6 P h P c C + a g E T Y J r c 1 v I 9 r c i P s r R G A 2 M D g 3 s w e e Q q J P q U k h m G 0 H V n q F 9 E 2 h c S I R K / h g Z e m Q 2 c p U l O a h w u M g G x X V 6 U / v F R 6 e h W Y R n B Z g Z 2 d a W w 7 Q M s S O I I E L p c z D B W e w 8 H N J x H o f h / e S D U P u K g x Q S I s M h W J w R s e 5 L R A 1 Z M N J 9 U j k 9 E b N 8 P i 9 g N E h 5 f 1 I 2 h m p c O A m 0 J B t F z B 3 m I q I f x P d 5 A 2 l L F / a u + j 0 M g + / Q t W N w N h 0 L 1 / E 3 i Z 1 H t j / 0 H T g i n R g K k s / j 1 m L B W e c i 2 f 5 1 v P n r 8 z H H K 9 0 r m I h i x b e k h Y V J M h n 7 H 7 o e J k 8 r P E f f i q o F F Y R 5 c p R s P C l o w 5 E 2 j U 4 v + 1 A c b e N d Y E h T s F k + Q y Z I Z X D f y J 1 e B m J c W F L N A A 5 j 8 Z q r v t E Y v A 4 5 o Y D / V x j K Y r X T I L J K p 4 c m w j B r 7 f T t 4 T n h S r S t G C x R W K z x J O U s N S G Z Z l n o y 5 t t B F 2 0 h + x w m V A V 5 B M i p G r O x B H R W A R B m n V m k U q j S 1 G n 6 3 L Q m 6 X G 6 Z O d i O n n I z Y W h b W W l 1 d w G 6 W b p Z K s 8 S T p P 1 v 0 + b V o r S p I T k a S / B T e P q Y c e s P v w z V y H N z z i / s 3 N k b X y G n I n N N i 5 8 7 d 1 C T 2 + X R I p h K I x m I 4 9 e T C H F M q l I D R a c J Q O I 5 G B / k W a T 9 1 f h m J n y M z V U w P l M f B V 2 7 H w u h b y H z i a f m I z F R T f c 9 t y u K d m y + F O 9 U P a 0 0 r 6 i 5 4 F M 5 m K 8 a i I 9 h 5 + 1 X o 8 J g x G u G U J S 0 W X v I t p G r P l B c T a o W / 4 V h x G e p O v F p c 7 b V f n V 8 U V j 8 c T A 9 K s N A n S m G i Y 8 F 0 C H C m O f t M y n Z M D K 6 O V b p A k 2 W J w q d s 7 Y h t l O h 0 / o W a F d m k Z C u J L 8 V m N J d A 0 L L 2 6 Q u v F a t I u W A F + y Y 2 U w 2 p W a n + + O G 8 j N S 4 6 c d N 0 l + D r e T 4 D C + 6 N / t J 5 b 7 T 0 k v j 7 B D v W a N J x 6 n t B g c s J E l z F i 8 s J h d s Z h d 1 N P t m J p h o A E 1 2 o 3 h G T g / K W x a C p 1 i 8 L S 4 6 l 5 + b v p O v z / X Q i z A L v 4 m Z i S d J B T i o Q C j P T E J 2 w d K z D P 3 O 6 f X C r b V a h N 2 7 a M D y a D E v x P K l i 9 B a 2 4 S j V i 4 v Y i b G p p 0 7 R a S y w S r t 2 8 X L C N I 5 o g J e i S z f R 2 A G Z m J M 7 H 4 L 3 T 4 2 Z e X f k D 9 d L J z J X 6 I + q C N t L 7 Y P S u Q F M z G c 1 M / s V 3 F u I k / e a s n H Y 2 b a / v R v x f d E i U h w b q D M T A y P l Z + u g G C n / G Y a p L P 6 w + v E 3 z w v V E 2 r f T / p e z 3 b l U T R X P s v y 3 U H K o A f y S K n Z R k M 0 j Z G n I 5 W d r W z S u m x S F P 6 Q 2 k 3 / + U X p 6 s d n N A J 6 4 G z L H i O S s v z G J z x z H M Z v K M g I x a N 4 v r r r 8 f l l 1 2 G d e v W i m P l o O 5 3 N p M K u Y D K r W d G d 1 e X q K R 0 O O B 7 s t b 5 n / / 5 H 1 x / 3 d e E 1 M m Q B O f P V 1 3 1 e Q z 2 k 5 m q z e O 2 W / 8 g V n X 2 9 3 H R f u 4 h j V i z N e m b E K 1 j B / T Q o D N V q z F n w l Q N 7 g o T w J L F J v W Y 0 W L D k p r y 5 y k Z D e 5 5 U l / a P R b 4 9 x c 0 Z q B H I q o T T z o G S d 8 Q P Z q J N C R J W T q m 1 x J B i W X 9 6 p E p I M n V b E t Q Z c 4 I j c S / U f x p r o 3 O 1 g Y / f 4 7 G l T d o 0 6 S l 6 K n O x K Z o V t S h 8 E 1 s F X c a j j B R 5 e A 4 9 q s 4 M K H H 3 F M + R Y w j t b / U U u W l H e 2 X / k r + R D 4 b 5 7 u q z g l 0 b 4 T + 1 W 9 A t / F 2 8 b n F I W W U r L / l E i R e / T 6 S L 3 y D 6 D O E W G h M + s u v S I D M r w i S 5 E P 7 x 8 f F a + o 7 + R U V r z C 6 D n Y i O N G L a C Q k 5 k j H R k f g m 5 w U n 9 X n T 3 T G i z 4 r L 5 6 L V d 5 n S N P N r V b 6 T 8 I U e x r J x J P W I e X w h S 9 + E Q s X L s Q P / / e H 5 N x J 1 X u U I W L G Y Y 4 U X C k H H h j / / d / f x e 2 3 3 y 4 k B Z / N x S / F r g i l P a r C p G 9 S L A K r j O L f C r u e 8 I t f / I L e p 8 V E M i 8 q + / O f b s c Q O Z n n n X c e v v z l a / H Y E 4 + L U m N n n X U W r q X P f J 1 9 e / f g n X f e g d V m E 2 H 6 L E k 8 D m j w i 5 1 W r g / A 6 2 v 6 B 9 R L N s o T Z i k m E 5 3 i p U Y 6 E o d v D y + n z 2 H f i A 6 J F D 0 L 9 c X 4 z j A x C 0 8 q V u 4 X t b + k I Q K s W l D w c 9 z t n N l N 5 5 D P u C / e h M D + P N w h j m a R 3 S + + m Y 5 4 I I l w l w 7 x X q l + u x o s V 0 S g g J A 3 1 U P / 1 K V Y 6 r t / K m q q J a 2 + 9 / m n y d U i v 9 h u h 6 3 1 W K I T H b y m e d j 7 r 5 8 J k y 6 R 5 i U w W n i O v x o 2 O m / z v d 8 k c z s P P y n 3 m m O u E K P I R B f g l c 5 X / w g + p x J 9 A 6 I P X Q L 9 P 4 + E / m l p i c X e J 3 8 K R E h Q 9 L 0 t P j N Y O / E 1 D u 7 d h t j S L 1 O f U r / m S T P z X 3 7 R + G U z K f F e r w 2 L D R c 2 P t Z Z + H 7 q l U J t D Z e K N p G g S K O h j q w Z s 0 E s J u X P 6 n N N N T E E + 8 N T n y f D X L 0 4 j V R a 2 s G T j y l r 7 9 7 v L k z D T D E U g 9 U b H + K 4 P I c P F y 1 c h C 9 9 S c r v + u r X v o b 6 + n p c e O G F 1 K E a Q b w n n X y S y J z Y s n m L K C z J 5 b n o S 5 x z z j l o a G 7 A 9 d / 6 p v h 8 8 s k n i y h J Y 2 M j r v j k J w U j 3 H / / / Y J w e G 6 g o a E B n / r U p 8 R 9 P v 7 x c 8 R 9 e C c P b t F J J 0 m / v f r q q 0 m l S l r l x p t u w m 9 / y y t D 8 y K t q a e 3 D 8 c c f T S u v P J K w e S f v P x T Y q 6 B 1 b r N K g V S f v L T G 0 U R j 8 m x S V g s Z v L P D K J c M 7 8 4 J 5 E L f n D 5 s 5 b m w 1 v f F C f J P e o v z A 9 N 7 o m h d z Q P g 9 0 C z 2 I 2 I 8 m v q M + i N z O C 7 d E + 1 C y T I k q V E M / 6 R f 8 e C h p z N Z Y 1 Z O B e Q F p m j m S C V Q J v f O C Y k 4 V 7 r l X M t S l I x a N c / J U 0 U A v 5 Z M Q U Z N K x + T c 2 2 C 2 + T 8 d S y C S z G N 5 1 D 0 K j 3 c g b a z B n 5 Z H i O 4 b b J J k 7 j U 6 L I H h G k 6 l X W A j 8 + a g b V q H + x K u g y Y T E R n A u 3 Q h I w S E f r s E r r 7 2 J v / / 1 z 9 j Q F c G W C S s 6 R 0 L Y s + + g I N a d R M h b e 4 J 4 / s V X x T X X / u E S 4 Y 8 x 3 + u r W s h x U s x l f h Y N e v s G i N C l w k L g k t i E l Z 9 o I 1 r I o G f r 8 F R / s r C U t H D x P G S V V W I M F g 5 q 2 B v M C H S R P 0 / q m u t q R I N + Y Y k o J i A H y T g 3 9 O S O Q s Y 5 c Z D S F Q X c d d d d 2 L x 5 M 0 4 5 9 V R i j r P F M f 7 8 z t t v E 0 d b s Z 5 X d d L v X n / t d V F R Z v W a 1 f j o R z + C r 3 z l y 9 i x Y 7 u Y O 3 r 3 3 X e w a d M m 0 U H s C H I Y 8 + y z z s a n P 3 2 l 2 L T t v f e 4 6 i z E N j Y c w p y c n M B m O p / n m a T f b h b h c A v 5 Q P z b f / 3 r X 3 Q 2 P z F P 2 e b x 3 t r 1 e O b p p / D T n / x E D K o E G k h Z / 4 7 Q N X / 8 4 x / h 1 l t v h d / n w 0 F S 9 T X e K n z x 2 i / Q t 9 Q j c q f 8 O w g P k J b r S q B V E 6 G 2 W h G Y S M P R q k e 9 t 0 h O C f x o 5 0 O 4 b h v P u 0 z v b z U s 8 j 5 I U 1 D N P a n B O x c y 1 N p s V k g O E + V I G k J P 4 w T 6 v / V T P x f l i k d 3 v E Z E l Y f n l G 8 g H a d n S b 0 D e + R V W H W S y S k C V o 0 X w R + M I J z U 0 H G S 2 v S V n r R R 2 l a F o e g 2 p F G F a l u x n y R W / R I z a o y 1 q H c c j 7 b G u T j 7 t B V Y n n g N D d p R W D m q S F r D / 9 z 1 a K s x k x V h x b L v v I k L z p N o T 4 F t 4 Z n S G z l S u m f v f o T D U c n 3 5 d x O I o 8 d u 3 a T G 5 D E w a 4 e + k s a a W E V 9 u w 6 g P V r N 4 m 5 p I l Y 5 S g y z y + V d q d 7 D v v n E p v Y X c V j w x F n 1 v D M r z u H J S t C e + C D 1 d i 1 5 h U k o v R Q f I T U m M 1 h w R 9 v v w W b N m / A 2 N g 4 0 i l S e W R n c t E L 1 k o d 7 V L K u n R v y f y T 3 u W Q I n N q e G Q Y z z / / A j 5 J 2 o g D B u w E M l x u F z z V X l E + m X 8 j W 3 A C P H / E E 2 l c g X b q t 6 Q 5 2 H E s g F u o R T A Y w n X X X Y f n X 3 i R T A n e K I D 3 P c 0 I s 4 1 b w k z 8 + a s / L / y z t v Y 2 / P J X v w K X h P 7 h / / 4 Y e / b s l U 3 V k p 4 7 D A Q 7 q e H 0 c 0 e z H p 6 F J t j r b e S U N 8 J d z X l g Y Z i 0 J L E y U i 7 c v g M H M T I 6 j i 9 M L M U V W x q w d t 0 H 2 L p t J / X r p P i + H C Z 9 X C F W R p n k 2 r H 4 b q G t N c R s s t V x a L B U 5 / k 7 U w P 9 l X z l 3 v c e F a a Y X t 6 j 9 u A b f x M E p T U 7 R a 3 z h P s s J L z n w m E 1 C W J L k T q L 0 3 M 1 B R / B 2 P t 3 I R S N Y 8 C X x g B J / t G 2 r + C + P 7 2 O 5 3 5 + s b j m q s E 2 o X F Y c 6 x e s w 5 3 3 X 2 P q N 7 0 z 3 8 9 g K 6 e f j z 7 8 j o E A w E R U O E x 5 H n E J G + g R + P E j e A 6 6 Q F i 3 D d + f i a q j E m x g c D m 9 B F 4 6 J H H S Z j y R n / A 4 k X z 4 X C Q V e G O E E 1 x 3 b w 8 l s 6 f C w N R e H t T I 0 x k r l p 1 A S x a M g / H n 3 g 0 s j 0 G e K t m L h 1 Q y T g I d m c x E J j u d 8 v y G z Z 5 N b d 2 / r G n Y e k p 5 8 B s s w s S y + e 0 u P i i T 2 D p 4 i O w b O k K k Q T L B f C X L 1 s m t M T d d 9 + N K n n H 7 w s u O B + / + c 1 v c d p p p 2 I e P c j f / / 4 P H H 3 0 M Y I 5 7 r v v P r z 8 8 k v U N x q 6 a a G V m R S Z E Z x A y n Y v c R S n j b C W 4 s m 1 F U e u E M e V 3 7 K q 5 g E W a X S y Z u K y T r / 4 2 U + E Q 3 n S S S e K K j a f v v L T + O M f b 8 P y 5 U f g u O O O E 2 k m 7 7 6 7 W m z q d j S Z g t / 7 / n f w 2 K O P 4 d s 3 f F t s / M b B E / Z N 8 l y Y o g x C Z P E E O o M I d + v g 3 5 d B b I K k H / l C s t w g R 5 r F k v S + F C J q x P N B s u m x k P q l v o 7 r l 3 8 c 3 / r a l T j x h O N w 5 A q u r 6 e E g K e 3 w c v 7 D / H k Z 2 K A R m x 6 C L / W Q E y h d 5 H U r 0 a E T E 7 l G m m u w l Q K + j 3 7 R Z p E h D l F H E p w H m M u i Z 6 1 j 8 s E I T 0 M b 3 a p E I i C w C D 5 0 H R M b 6 / B / M t v g 4 W 0 Q 5 b u 7 d x x J 5 Z U h d B G 2 r i x z o 2 P n H 4 q f v A / / w 2 P Q 7 r H f / 3 8 T 1 j S R g K G R P i p p 5 y A r 3 7 5 S 8 J U + u L V n 8 O c 9 h a c u s i J G l M S R j K J e e 3 U s F + H 5 m r y 0 8 i a a f v 8 X 8 E 1 / 9 w u X h P G q W c p 7 N U c g c 4 D n a i t 9 t A 1 Z Z N N l s h 5 q 1 R 0 h q F l r a u G s g U Q n b v y w g V 0 u Z z Y y + t w 4 Z q j Q 4 O 1 M B a c S M 1 Q z L 8 O j 9 Q W V X I s 7 3 E 0 n Q P L g a 9 x N v l J b L q x t G f C 5 x p 4 Q r o R s X K p J 9 7 t g n 0 Y 1 h z M J G w G l o y V G D y l Q e W g 7 O o h L k z 3 k L K Y 8 + T / E E H Q e 2 Y y n r / X k Y Q T k 8 I E D v G S o y B C m F O g 3 4 t N 3 u T I n g i c 8 G 5 4 J N H o R G I u b p n U k A d 6 3 8 Q 7 E z t x y 7 z i T e a C m T h c f I o c 9 V P W E k 1 D m U T X w w F r V + 6 3 U v B C O 0 a e N Y y M 2 G Q c Z o 9 l h j 7 k p R B R D N 7 / G d R + + k + w O F r R F 3 0 f V n 0 1 q k 0 L y D c 5 E y 6 z B U u + I c 0 J 7 b v z A j L 5 E l h 6 z T 8 l f 9 V Y h z d u v h y 2 8 A H Y a 9 u w 7 J v P 0 1 k 8 H q R R / n Y k X V 2 D r m Q N c a I d R 5 F 5 F q z 5 L L r / x b t L A g u + X j L P p J q o Z b x 3 8 w W o S p G / x b f x t p P 0 z 4 u J Y e 5 R 1 2 e f F 3 7 N e 3 + 4 G I 1 i T V o S 8 7 7 2 i v R D B a y a S 0 L e f d F 1 a N I f J X / i i K R q H J I k n E z N 8 g c S m h M h O K v L z x N W A p u 8 S n p a J R S 1 S I m i H Q r 8 0 K x V e O A t V i P M Z B 4 Y T X q Y z G T e G W X n k U w 1 N u v Y b O M E z w L p S e 9 4 b Q n v 5 s 7 n K l D e M i P x J 8 F M D F k P a 3 K q h 6 E B Z 6 b h B P y c / H 2 W p D r X j B P H i b A V f 4 o n / x R m E t c V G o o u w Z Q o T i l c d 3 u w F x u G 9 s q f J P x f 1 2 M 4 f 9 v N 2 D D S I x / h U s L S t b m T i y B P P V Q E Z x / M A B Y + 5 c C M p G Y m R i Z g R z w l 9 0 1 K y t U r h g Z x / 6 C w G J i Z G K 2 2 k w Q z c Q a 7 W c 9 a l 9 r P W p D N Q R I u V Y s v R N 5 M j j + n J 1 E n 6 a m 9 / I x c l 4 G 3 C G U k 4 1 H 0 o w 1 r R s l S I Q H W + L l b E G u 7 D u / d c R X 1 e R a N 5 / 5 Y n F c E Y i a u k c / g c / L g + x E B O u o x R g x l 0 E n 7 d r V 8 9 l 9 T Q Q K x R I R o s m q p n O m i 7 m t m J l 5 t o M I U M 9 G 4 F p h J t o k V Z m J z h 2 A i M 7 a S / 8 l r y H h x Z i m Y m f w H p H n J A 2 P U F 3 x / t g p 4 7 o / e s 9 A r Y i g p i l a 4 S Y H M q B N J 7 b L 0 V I 7 9 5 C c / F s z C g 8 B n J n j Z p 4 B 0 B m s P f h j O F O d w I 2 s y K e 9 O y h 5 P p s n f I t + M F 3 0 p U K 4 t M V K J Y 0 v g K K T Q T m z + U U d z 2 J K t N q X s G D 8 w M x V D 1 F S T + 5 K 3 f S l A u Y s E S T s V M B d E J K E U u n y F 8 P k r E z v Q G R 7 G D 1 6 9 S z q Q G C Z N t l u 6 d 8 n 1 R M E S 2 X 9 S g / c D 5 s I s S q q P o n G 4 J o I y s O w D 8 q Y L h w I v B m Q Y q + O w y E t A x O 6 G a o E o M 2 7 3 6 g d F O 3 l 5 t h q a 1 O k k + e 3 Q t 5 6 G d N 6 I q G + c x i i L + t O l n D s F H g u Z Y R Y n G k 7 4 j J i H C i c 0 2 P j Q j 0 X 4 O K u 3 I k c m o N M x R z y D l p d J E A 3 V a T f K v y 4 G z 2 c x 3 v / D h a h K j o h 9 u 3 Q G M 5 I H u + E h P 5 i b q b N K j v / 7 t 1 0 h V v O y z P e e e h 3 9 m B h B 9 v 1 4 K x w B r Y m e Q 9 o A X G g s A j O S T t b w w m Q u J n E 6 q B f L V p i h D r w n V Z Q q B a 8 h a 7 A U o p k M T t t i a B v y C B 7 M Y X 4 t t Z a j h V o r N 1 q 8 Z 4 E 3 d b d E I i b W d y R I + k h / I x g b H 8 X o y B C G h w f p + y g i 4 R A 2 b t o o J N T I W A + G x z s x G e w n p 7 s X s c w w H U / Q K y 5 + y 3 l O C X r l S f p x e k Y 6 O s r k T u 9 J E q V D 5 J P w / E + S z o l j s i u A Y V 8 P E j H p v s q r f y y G g f E Y h i Z j G P V F 0 b l t L b q 3 v 4 + e X Z u x a / 1 b G O r c T d c N 0 j 2 D G O 3 t x M C + X U j H k u j f t x 1 7 1 r 2 F 0 K Q P g d F J + l 5 5 t j I v e q 5 4 N D z 1 + f L W E 7 n 3 c P W T h c l H x 2 Q W 8 6 J O h F i K E 4 Z h x J 3 j T 0 5 L j V L 8 j 5 T W j l P k Q i Y c B m d c s O 1 W n L r 2 Z + I 9 Q 9 E 2 x 2 7 6 E Q 2 y e I u h 8 E 4 E w l L 0 r h j y h W W I x Y C j a Z h d x i l z b y J + A I P R z a Q F i J m Z m Y h x R 4 M H 4 B / Y j B Q n v h m L 6 0 u 0 V m W x 7 P p V W H j R 9 0 W 0 a t v z f y H 5 o y M B Q 4 I o E 8 R Y R C e y + Z d d / y y O / t / 3 U X e 8 t M y C t + o 8 4 b M 3 Q r f w E j Q 4 2 A + V / D b W J j V 2 y T q J t v K U B 1 m C Q 3 d i P F G 8 P R K D W Y + f i F / 6 Z i k D h N 2 6 u n M k z T Y Z 1 S K Z 4 H 3 G M L X t a C 7 t x 0 B s K y Z j C V j y 4 x i M b R b H 8 2 S W c i i c t X C R i U d X z 5 s L J p 4 a 9 z z 8 K t a u / w D j 2 h G 8 + 9 o G b N q y A 7 v 3 S v m X l c A b V z B c d i s S t X r y r c t b I l M + l A I N S T I O c c 4 E j u b 5 u K p n C b Q k J X K k i r X U E 2 5 d L Q 0 O c 3 B B 4 p a 7 9 s T + O C J 1 g 2 g X U + a H R i q S R m x Y I / L g e n 2 8 p C O P R l s E 4 X 4 b z H X k f 1 g K 2 m j P u 5 1 Y c h y Z g O Y m + Y g E L m g S S P e T F J K 2 k g w c y N H 1 S L Z Q u 9 P Z B D 7 6 / E 8 A X w J r v n S H + H 4 o 5 s M V b / 4 W q d E Q N l w j b R x W D k y A L M U Z B y a 2 Y 3 6 1 t N J U f b w U G 4 a 3 4 7 i G I 4 g Z M + i P r S M G 0 S M 8 Y M W S B d J v R e p T S b Y G T 7 a u e W c 9 v L V V W L 9 h P S 6 9 5 G J k S V C 5 P d U Y H e o n 6 e t E l d u J h x 9 9 A k v H / k 4 C J Y 3 6 z 9 y P 5 q Z i k 1 E B a 8 v N T 9 x O g 7 E T 2 U + 8 g q O a S 9 O P i q E h f y h P J h w v J p x 7 2 W / g c N n x x l + + g z p r C r U n X Y v q l Y q J R k 2 P 7 E f G P l + W G R r s W 3 U z M j s f E v U X T d 4 O D I U 0 a H R K p v 8 c e b H h j s d v B E b f I 1 / P j L n y s f H 4 X l G P g x v m 1 D f D Y + b s c y Z d u a G q R X 6 z B U c W e U + u 3 i 0 D 6 D i q F f 2 R 9 d Q O 9 s 0 1 c p G Y m R G Z T C B l s c I j m 6 g M a Z h V 6 2 P K M Z M / U C w 1 / Q m p P n Y p m J m k v x r 4 c m R i l G S O l 1 4 7 P B J E 9 Q L L r J g p m 2 Q T L 4 / u m A X m D j 3 2 9 B N T k e a Y I C 3 G B O d o z w l m 0 k R 2 i P O 3 P L M X i 0 + b N 4 2 Z G F y H U G E m X i D G z M T b R 7 K v Z t B b O C 2 X 9 H 6 h 7 Y 1 W M g P p 3 j x H N h k j b U j S u x T d x N x Z 8 j G Y M B g K M z F G Z B O N o X w f T k p 9 9 b P R l 3 D K J k l z t d l O o Q H R F p i J U S b 1 i d O B T j z 5 a L T U t e L q K 8 4 g k 0 s q P t o b f A / 1 N X a Y b C 7 S d g M 4 4 Z w j S U C Q / 2 S z T z E T S / + u S b 2 I U v V z y l J 0 r 9 C W K z / 7 a 6 z 8 9 i o c 0 z I z M 9 H d B T M x j v j m K m h r l s H o e w u 8 5 S b 7 r G p m Y m I P 6 z u w e 9 c e Y Z l M T A b R / c G L 5 N N K v g 8 H w U S R S X p v 7 S h U X f J 1 b a Q x M s P S J I 0 R m 9 A 1 l k V o d 5 6 C d v v J c O m U M Z U b y q a d m p l m W O / 1 + J P P Y M 1 7 6 0 k r b U d 3 d x 9 e f f U t P P n W 0 + g f G M a r j + 7 H j t V h O I y l N C M P W g m y A d M U M / G 4 9 g e o P 0 s 1 V D m M j o 2 J N S Q M 1 j I T + U J i p 5 4 4 O i N 8 r 2 I w l 3 t M h X C m g I h / 6 0 X H c 1 + U z Q i Q W x P o C 0 G X 8 9 B H s l 3 1 E T i b p Q 5 T S 3 s + V e z o o T G i k 4 i k 1 U 1 t o d O 7 X h / F s v P k p d 3 C C a U f Z a J k w 7 v I N 5 L M p B Z 3 p k h r p P w 9 M L h b q U 1 a 9 E X G 8 Z l X f 4 s l + V r 8 7 f L v i + 9 P W S X 9 N Y 9 n 8 P q X b h E E K Y q Y y C h a 0 i 6 D b X g 2 O 7 a T u 7 S o h k P E x T P 0 j M t f / i W C y S h e u 1 g y M X l 2 / 1 D 1 / b i g Y s h H z + c h Q W K S 7 s m D 2 U L P L 8 C m q Y g 0 q h 5 w B v S E O s l 8 J U 1 h b x U Z J A L l m I q D F 6 p l O G y p s F / L w 7 n n j r O E A C 3 N I u d y Y + z r s j D k Q N G 7 v 7 9 U R P e s t X M Q t C y A K 7 p P n O c 5 9 x G 4 2 2 z o W / s 4 w p v u o 7 4 i o V R m e T y D / f F C 3 m g B m s S g x O z U f 8 O x 7 W i w q g T T D B g d 6 i O z P 4 j 2 u f O w 5 f l h r L y o p G g p + 0 9 l a J y R j m d I k B f G q 0 K P F x N G n Z e k p O y U s Z b h P C 4 F o a g 8 i C p w J 0 9 j J k L w o H Q 7 U W S j A j N F R i U / x d 3 q J K 2 T g b O d s 5 s L 0 i d G h K v 4 K p z 2 o 4 9 I E b l 5 3 o x Y A 2 T J 9 W P B R 1 W T d 9 w R x H B h Y k 5 m l n k O U u + e Y m Z i G O 0 W 8 r + k Z 2 l 1 k C a l m + w e l V J w G F b 2 L Y g o Y i R p G c G k 9 F e B m p k 4 Z 4 2 h 2 P B O y 0 E M R Q a E N C 7 F E x / / v y l m Y k S j c f j 8 f j G R y W X Z S s F O + H h v P R y c F k P 3 C Z O w H w 5 r U G u n a 2 f V y a 8 V h l Z G X 6 y w a 2 G 7 c x 5 M 5 F h r F W Z i F J O A Q D x R 8 D N 4 z k t K V Q P e v f X T 4 D p 4 j a d / R X x W g w M d S t D l 3 V u u g D P Z S / c h E 4 / 6 N z x E 2 p G O a 8 0 O 2 G o k Y d P 1 z r 9 E K F 1 r d k v j n P Y h l S 1 o f k Z a 2 T h B R j S p E X X n h T V C d J o m v 0 4 w E / d 3 a k w + q z L q G l v R 3 t F C N 7 X g x U g t X t + W x 8 u b V G N V g Z k Y a m Z i l O / 1 k s 6 M p e h H 8 k U T u Y D I N F Z g t a s d Q Q k 8 + 6 0 g G U o h P i k 5 c K 7 2 6 d n O j A l 5 o E L d e d j r Z o p y E X O R U 8 w a x k / E x J 2 c c S y X v 5 O w + z U b j B Z q k x z V 0 t A A M j j L n w d m O E m d n l F l I i j Q u W C 0 G R A a j I n r v n X Z 7 / D 7 z 3 w H V + y U / K j H z v w h a U M y Z c l h 7 w w O 4 u I d P 8 f w w T 3 o 2 f E B d q 1 5 G V 1 b C 1 n 5 n P f V G 3 l P b P m p R l 9 Q Y t D B o D x A N P i j 4 e I h 4 A l u T 1 U V X E 4 H v Z e i Y l M g v 8 P X 7 y Q z 2 Y g U a U g m O L E h t C M P v Y Y 0 s b x t D u e X H Q o t 1 h P R G 1 t D P S q N l c P E m 0 P P D I t V X o F M M G i t m E h K z 5 e M h U W f e R a e T m 0 s I R 4 V e K E g 0 x b X O I 8 Z 6 1 F l C A l S q / / k 3 d C b u Q T z K 6 L C L G P u F + 4 X 4 w y D R w h K t f z l e h / q u 9 h I S z v 1 7 J a Q x q T x m d r Y m 1 0 Q V R E a s X I 6 P T 1 D R W y T J G 9 M 9 3 + f c a D F q 4 E 9 N k 7 0 U p m R 1 A j 2 F J b 4 a A V x 8 S I 0 A o c T B e Q 1 P Q q 4 3 o O U r k M m j 9 Z N Z l e x d C 6 F M j 8 c 6 g v C 5 D T C 4 m U C H x W N 1 s S n + 1 / 6 f k m b O T t K h l Q O / R Z Q + J 5 N P 3 v e R 2 0 m e 0 r O E O D 1 M I s + L h E V R 7 W 4 N C 7 k c l p i F T E N T L 2 D q K 3 c 0 m v Z 3 + O 1 P j m 6 T s q f x o 9 6 H s d Q 0 k 8 E m o H b a J N 8 B E M V O p w N W H P 8 z 1 D X v g A t C 1 a g 4 4 i T M e d I y Y l l X 4 r R R r Z + d d E 2 m 6 Q J 3 H P h i 1 G X K w R P Q q p c H f E p p D j s K 4 X T u X h L M p q H r o H G g q i p c 0 K D t q o C 5 7 D U Z 4 3 N M B i k Z x m W m Z W n O 3 h + i 5 m H 6 / U x + m N r x Y p i 1 l T J X E T k E I r + q o Q y k r 7 a J D 2 f W B N F b c o b e a K U i D 8 1 X W D 1 v v c Q X J l B Y R n o X Y 3 w j Q / D b C U i p j E 2 2 2 z w 7 Y 9 i 7 4 u 3 g + W z w S F n N 8 g R x H I Q T 6 p e + y U y U 0 j I q h m o F H o n 0 o p P q l r n J s x c J f x O 1 1 t I h s U p p 9 Z h Z E + f f G x m u N o t C A 9 I b p B W E J e 8 C G 2 q M W U c Y b X N a i 2 T X 6 a G r k + y Q Z 2 t S r F G G n i j v J z Z U m w K x s a T c M 8 n D l S L H I a w W 9 U m S I F 4 W A j W 2 H L Q R X u p z Y 3 E U C T 5 c k n s f S U M v V J P j s B 7 z U r z M 8 y Y M u H G J G 0 4 Q K c N J b b Q t e h 4 y b w R T w L b v G Y 8 Z i O / a S i C K x 6 R a 3 l z G 6 s t u P r R X 4 t d Q H i C m O f Y k o k o o m S m M d i c L A U z E r 8 Y r L 3 a 5 D S V m a B J k 6 A w S i a j z U r m 3 Y B d L J I k y x S R R B p L R J E W p m K 6 F g k 4 r u D K g Y E p 0 P E G Y l Z p n k 4 r 5 g z Z R F P q 9 d U Z T y Y N 0 Y 4 G 8 w q Y e H U 2 Q d o w o Q J m 2 A u L g x M r 5 A I s E S 4 K a q y C f f z P 4 r O C n j U P U p N 4 k p h Y w e I V B S 4 Z 8 7 7 2 k v i b i Y d g 4 a I u 9 L 7 j c 3 K 9 d E X T l A W d W W n t 1 w w 1 P F i z C p T Q O P t 3 p W h d 1 o Q U T 8 P s U E x / a n 2 C L B 6 e x E 1 N i P d Z 9 i u J I C 1 e y S 0 p t j c U H K K o i E N X T x K x j D r s k S R L t r W L B l C P v t 2 b c H D b e k z 0 U y O I c L U 6 L S a H u r F 3 / R s Y 7 d 2 H o f 2 7 0 d v 5 L n i X 9 m l Q X 5 8 1 o v x Z 2 N V y H x o S b I P T A Z I 8 4 U A a S 8 / n n d J V z C 7 / J p 3 j 6 0 u P q t F L D 9 5 M A q 3 R v F I Q m 5 J 3 V w r P A i I w o s i R S S n K u Z i X D t D 9 e v y S 5 t g 9 a o A / 6 y R L q x E 2 M t P K Q b R X B T Z j p k w + R g k z C 4 u J m C H P + X o y w r 1 W u D o k R t g 3 n C a f z C C b s n Q x f k Z Z u 5 r N J h r g H E K T Z O 5 m p e v y X B k v 8 2 Y N x Y s x F U T i a c S z Q R i 1 s k Y n S J P x F T A j c R d g 5 w 2 z C Z G a b y C Z I R N + m E z m 2 A G 4 y V T n B F t j d T s G h i f g I t O O n / X J Z 1 Z h w h f E u s e v h C 4 T x c h E C C + / 8 g b 2 H + j G 2 H i Z O b m p j J A y j K R A Z K O X d P w h E C V R z K 6 M 2 p 1 h R P X D q J 6 X w e Y X 9 5 O F Q A L B 3 E b + o o m E R r V 4 L z a r I 3 s 0 k U 0 i 7 k t X j v K x 8 y t p r P I N 5 8 L 0 7 P x p e 5 u R a 5 M I T A 1 t x I U q r x Q m D 5 N Z 5 m C i l T U h J 5 p G h s K y B u N B p H u I j I u Z E U n x R l 6 F 5 m p E 5 E 5 i k J 3 v 7 M S y 0 6 f X 7 2 Y w U Q t 7 v B I y N H B 6 D z 0 z F 6 Y v n q s 5 5 a n v i r 8 v n f B T p A 0 5 X P T u z z E 6 P o Y D X 7 t P L G F Q o m w z g c 1 T v n / F N n C Y V 6 0 B 5 E v 6 9 2 d h q c / C T G b z R F Q L k y 4 H O f c U w Q S d l N c K / 6 H S H J c a H C q f 4 y 3 W n o F 0 H 9 y G V s R i c V i t N D Z M r E o y K U N p b + n x w 8 S 7 v z g R j i x Z D 9 R O U 8 1 c D A U y a C Q z c d 4 1 j 5 J U N J K o 0 + G d 3 1 6 A W g c d + + q z M I 2 / h 7 x 7 D l k z 0 6 c 8 D g l 2 V w 6 j b H Y k M 4 Y U l + U m I a Z j Q c Z i h Y W s C v 6 I G 4 m U E c s a n N j x 4 h C W n k M K h a W D j M H B Y T Q 1 N Y A T b y s O B c 9 A l 2 O m c D / 5 F 8 S p h p B X U K q a m V h h h w O S 3 a s w E 5 K D x E w e O p f U Z N q H w P 4 U C V U N n E 1 s z h F R s D a U m Y n n S D i K p 0 T J S s H M N C T 7 B d p o 3 x Q z D e 4 b L G I m n u V H u p B q M x x W a Q S 1 f 6 h k Z 8 v F Y 0 q Z i X F 5 x 8 n U x j y s X h M 8 N S Q A S M X X p q 0 I d m W Q H y U z o Q I / j c S 3 y e + I V 6 n J 5 Z i J G Y 0 R T K u S N F P j C A / H k U l m U L V A J 5 i J U U 0 m r s J M D J b w L s v s m I n R X s Y U Z W Z i p D T S B m M a 9 q X L R C L / H W Z i 5 G j 8 + f q m q k Y M k a v R 4 J Q C S l o j R x b 1 e P 3 X F 6 D a q o H R 0 y Z q L + Y a T h X M p A v u h 2 H i X e k i D J F K d A g o J h 1 j y i + q D C 6 m w 8 z E M J D r o G Y m I 5 t z h C p 7 A A 2 e M d J e B 7 H 8 v E b B T F u f 7 h V x h R F 6 H m Y m B h 8 v O x z Z Z F K s / w h 1 p Z B L + U S h w c B B y Y l z t O h g s O o Q s / V P o x J e p u F w S w + U 5 9 3 H G S Y O Z e Y R G n B S x 1 b B 1 h 4 g W z + E a G w 3 f U m / V 5 l b X i I a K z E N + x k S y l C r z H x 5 6 v i B i B R Z G 9 t b C F 5 w n l e t n T r I U E M a V D 5 X f R k D C Q K F a J T O l x l K o G R S 8 I a V l 2 L N F X 8 Q a S 3 2 3 l v J p C L m r C U C b D C S h m V 1 T + M c S A h t w q t b e d 6 F U W 9 a J P 4 y w v 1 p M t s S S I a S y K b S x J N S e x V m c J n l 9 t D A h s Z c c D R Y i N j 0 W N d n F H N E y o s f I 5 E r z A F W Q r d P F i C q I E M l 7 T g 0 M i r 6 m 7 / O 6 5 y i L r t U J 5 3 u x j f k M m S H g h y C E + Z z C Y a 2 v g I H + R p s e r K p p E l I O Y w t F / 1 C / F W Q p X G b e + W f x H t R P Z e Q d S 1 A u v o 0 I c T 0 k d 3 Q k / D V B z b A N n Q X t H F i l j J + T 5 F p y k p B T h k q B + E u y N i 1 c R S h h I P M N g t S Y T K p i d F T q j k 3 U 5 b v l R d M x a + W 8 0 i g k j u w e 8 N q 9 A + M C B + 1 t 2 9 Q K s W c C K Q Q H d R B m + u m 9 r j A l Y X M V W R i V H F u F w 0 u c Z 6 Z y 2 Q J p z U P X 2 p 6 2 h F D C W 2 y p s p k 4 z A R 8 Q Y O 5 G G u N s D k l u a e d D o b m V a T M N g k g t N k J o u l S h E K V H B w U k c D L 4 X N B U P w m h x 5 1 4 m h / U N o X C j Z 7 r v I r 6 l 3 s D S m e 8 n j q 1 S C D S c 6 Y d J 7 6 f 5 c u I W + 5 O R G h i i 1 R U z F t 2 P N J m z w A m w 9 d y D t P h 5 b M x 5 0 + p L o 9 X V h S c i G t e s 2 i g W U k 6 E A 2 h b X 4 o 4 7 / w q T 2 Y L O g 7 3 Y t X s / j C Q r B k M 1 a G 7 S Y E v Q i g a v F t H u C E y k 7 T i g w X X 4 1 J P D b H r G x i w Y y B O z U p s 5 i u c 2 e c R L k z H D b D S A 9 x c W 0 S 1 q L 5 u c 0 0 p G E 6 q o n w R U u 8 + P k G b n j Z U V J I l x O n s G 0 d F a W P K / Z c d + a r 8 Z g w N j q K 2 q Q 3 9 s A 9 2 7 m f p F I q w N G z f j 3 n v v F 2 W 7 t + / Y i a f J / z n l 5 J O E E H n o k c c w O j Z B / S F V k H r w o Y f x w Q e b k N 9 + L x E j + W p 2 D / w 5 N 2 p I z W r T k 0 g d 9 0 0 S J C b S T h e S x q K x M l e j 5 p h L x H 3 U T C G W r B t c y B l r p J e 5 C W n H M e R j 2 q F b d R V 0 e x 9 D b p F U j 0 L 4 o 9 z W f I a E d g z W w f v J o X C Q D K b n l h N z 1 f A R Y z A 0 J H E b a u m 6 6 R z 0 b E I b t E i G j d C b C w y b l Q W l 1 9 A C K w l r K 2 l d 5 o u 5 8 z v w 2 I N P o q r a g 2 S K r K / Z Z E p o y G z L k 6 a J Z S f E i s 2 Z U J o 5 U Z 1 J I W 9 b I n 1 g i V K 0 V o h u z f X k 2 C Q s i 5 y Y C + B w 9 7 Z h A + a S D 8 A F V j I g K U I 8 w w m e m u Q A N r 0 5 g a P O L c 4 O l s C P J j H l W E Q r T X 4 W g W V U D v n Y f u L p x c q p Q i I q G Q G n b / 4 F e B 3 W g / O + g m i i B U v q i k 0 n n g 8 y E l N E S c J y g Z L Z I N S l h 6 G V / C M 1 M 5 F m 5 G K f q V w N D G a 9 m E t i 0 5 U z M v i 5 8 + T 0 c m 4 k m x l 5 6 l O d U W X / E X h e r m p K s x 8 a c T I p 9 + 7 d Q w J O i 8 7 O g 5 i 3 c B m W z a 8 h 6 5 Y E Q l c 3 M c N G X P 2 5 K 6 f 6 R G Q 6 q C e D Z g F O m F 3 z 6 7 P h y I z C V N 0 h i m G y 7 2 S p X Y C O C 3 9 I T n 0 1 X v v l + S L s 3 n L x Y 3 C 1 s B 9 H A k 2 k q M m 0 I e + y X o r x 3 W 9 i + P V b c V S z H p k L H 6 D z y P x n 0 0 0 d z F L B M P o O s o 4 5 y F l Z C J N 7 U R J 8 m A a 6 / c R o B H X O d v K f k j C 4 2 Q c 0 w 2 V o h p a T c U 3 1 o k / 4 9 d J G Y M V 8 C 3 p H k p V 9 K A W a 9 I h g J k Y 5 Z s r E 9 R j s j M v q X k O c T I S Y s Y C 3 o j T 0 z y c b c a k Y F C 7 S X y i u Q e C x Y c I t x 0 z C p q U B J E k 2 G Z O a u L A m I 3 y o W s 2 I m E t i Z m I k 9 C 1 F e w k V T 9 x J B M B R t S J m m v K j O E G K N D N L Y Z Z q P K f F f 4 l l e V m S f m w 1 8 p E J p M M J 7 J j Q T j H T m M o n Y 2 Y S u 8 O X Y a Z K E 6 y 6 5 q z w F 1 l 7 M / r I R M v n d R g / 4 C S p K D 0 L Z w s 0 u b K o o 2 f l d U g a S N K S p y + G 0 7 u m R Q 8 r M R P P L R V F F Q m h J B E 1 q b a V K 5 b j i G V L 8 Y l L L s I R i + e Q W c j 5 i n o s W T h f H G N i U S J f v h S b O t J 7 3 q J n N n j z N x f B L P s x x j m n S 9 n o 9 L 7 9 k 3 + g T j B j c n R Q H M u Q a c 7 M F D h I 5 p l g J g a N n W A m o g M S 6 K V z k g d e u A V V 5 H e J m o L M T I w K z M R I 1 5 0 u M x P 5 w z 2 3 S g f L g L O A x M s 8 D w v b j o S 7 y o 3 6 u j p x z J q X 2 i b K W h M v S A t r t T j / O B L W z g w 6 6 p T c k R m Q N z A n 5 i p y t H 8 8 h Z a W d q x 6 9 H 2 M d K f w / G P r Y C T T 5 M 9 / e A A H Q p t x 1 1 3 3 k A n U g 7 / 8 7 U H 8 4 c 8 P Y e / + T t z 0 8 1 9 j 5 + 5 9 J J V L w / N M F N T l o m P I c D R U w 2 v l T Y c L e X O a d H G 2 h Y m 0 1 9 w l b C L Q 9 2 y u s Y + k Q L 6 + U / F R O J r H 5 6 m i Q J z U I e U D 6 i E 2 P 6 O / o 5 N k r p L P F H G f h P a R a q R H w / i f x / 8 L 6 z / Y j G e e f R 6 1 P D m s Q i l x K 9 h M d F A O n K b U T M z i m k d E Q 1 r J H e c i J R Z U L 7 U g H U m T Z C 9 c k I W I X k u N V J l v z e Y F Z X 2 i L J k c p c j r X I I x 1 X C W 2 c 1 e g H y o S F T y O b h 4 f m W N d E i y E R A / p 5 f R 2 4 H u L W 8 L n 1 F Z u 8 Y m m 7 e 2 A U d + 8 X Y c + W 1 l 4 7 b p u Y 5 8 A S H Q y Z R T k g L W / / l z Q u B w N 9 n 1 Z K Y 9 d S l d c P q z l 4 c G / Q 0 X i n f m 2 A h a R w v 5 g i 3 j b z N 1 V A T X Q m G M j 5 P Q Z t 9 f 5 I l K M O q y a P Q Q 8 1 c 0 + V S h 0 t m Y e r w e h Z f B K 8 i T f V / t l C Y z B 8 J r h Q n V o q 2 m j m S C 5 1 v S S z i V 9 B v W a h x s y C e p 1 Y q E k s C z / 7 x Z t d 2 Y E x 1 o H H 8 P m d q T 5 W 8 L C E + G 4 P C S 7 y P m 0 M g U p A 4 W D y Z v a s Z F P 7 h O g Q D 7 Y K R R Q 9 R G p + J X F J p O 3 2 e h i x w k E 2 E B P V c G r f d / E c a x F A 5 + 9 1 G J S M q A h P m 0 7 9 b 1 m H B C e / G q 0 l L s G 9 N j Y a 0 0 M B r S 2 L y U P 8 3 z H S S U 4 m T u q Y v 3 z w Q 1 M + n K z e u V w U F f F F 7 7 B B F l P R G 7 T M w c T J L n k g J c R M V a n D X D M J D p w 1 k W v H b O b J G 1 Q w m 6 V j + E 8 d d + J e r 7 W e o W Y N C f F N E 9 T p 4 d I N + s W e w S I o O e O 5 H l z d S k c g o z g i y Q N b d d T Q J J i 9 7 u g 2 I J S J M z i 5 p z f w 5 z y z H y S e X A / a h B P L I D M U P x p K 4 a r b 6 3 4 P d e L V a Z z w R e K M v z e w I i G V k y w c u L G l 6 q r A q V H o q Z G M x M O j k 9 i a E d k m x V T m 1 q s B 2 N Z h s 5 k r y 0 W u 8 Q O 6 a L 3 C k m c N Y W J E U T k D / L O D j J H Z u H h U y p H p + U 2 s L 8 m v E e J Q i + F A f X y N p O 7 8 R E 0 o u s v o 5 4 h u 4 j p 0 l N M R N D j k Y J Z l J J G Y a 1 9 0 / o n D Q J Z m J w u e P T a 4 7 H p 4 8 6 n Q i + J G L E j E n E 0 D W p m 2 I m D v l z f t 7 e M c M h m Y n B z M T + E Y O Z i Q t m T m T M S A z H 4 C a T R p P 1 T Y X X l S h a I j t 9 2 H T E g N J r d s z E s F j 3 I 5 j p L 2 S Y M 5 i Z + L n I / H W 7 S Q o T o Z c i T X 3 K F k s l Z m I c X P 2 g I G F j V T P G 0 3 b B T A q Y m Q b j G 0 l Q 0 n N T / x s m 1 i M x E M W 2 2 y + G / u G P Q v / 4 e f K Z 0 7 H 6 1 q t R Z y c h T 5 r U 4 O k Q P h m X P J i Z m R j S A M 3 E T I w + z 0 d h S R 0 6 5 U h h J t 7 D j J k p E 5 X M k a m n 1 M R 7 6 O F k K a e K i F Q y 9 c q B d 7 x g G O I Z W B Z G p d / q q 6 T Z Z O 5 e 2 c b V q g I T X L q X I e 3 n W s i v m u v l 4 S C C S g 9 j W T 0 v a S A t R B q F U 0 Z 0 o Q P S S V M g 5 5 C k O a P L p x e p / 3 w + m z u K 5 K g I 2 Q R h G P r u R a z t e s y r L m a y B 8 + 7 H r 8 6 4 z p s H Q u L J e C 9 k T V S T p y I F B o w x 1 t g 8 K p 8 p 8 j P W 1 R b b P P P h H g + C p 1 P m g J w m 1 q F m e t s s Y I 3 r X 7 x 9 c 3 Y v G U L g u E Y 7 r z r b u i N Z m z b s h F 9 A 0 P Y t H W H K O X F L + 4 r 6 V V A T F F a 7 B u W A W e K 1 G i O m m L U K f B n e e 9 f r 7 W V e 1 e 8 L w W P b z n 6 4 H k d W 2 J A a C f o D E i G J 8 U V l n 7 j W f E 9 C 7 k m y z H E y K Q V q f / T t a d A m 3 M g k p Q k h y Z S P q c w N i k t W e e t P C e C M T T J R V 1 a V X v 9 z o S 8 M P m L I V Z O y F M x D M 4 A I l k o 8 h 9 n A 6 7 B z 9 D b y C x N B y S G 0 s S 7 k L f w b h Z M X I X O S 2 Q P r Z k U s A N r I G l t 5 6 X t U S s N p h Q c C M X 3 I p / g j i g 0 m m f 9 l U T O + U y 8 y t x P m c L 2 e T k F h 6 N 0 Z m o 7 Z 4 z n 7 K q d N 4 S f p I G l N i L a M M e T E T 7 C k G p R X 0 W o N K 9 t 4 A 6 E G 7 8 o / L X y y O H I h n q Y j B G 0 2 U + Z y o k r R d 6 q W k v D k p 7 A 4 V m u p a c G E 3 G G H L i h o E 6 E Y C e C k j D Z 2 G c X g Q 5 G Z t i G c 8 8 5 E 8 c d v R I u h x V f + 8 o 1 o o 7 7 8 c c c h d b m R h x 9 5 H I 4 b R Y 4 L T S M Z S Y x O V 8 u w t M S a r 9 S h U g k C q t F C l G P x n d h Q g 4 A j V J f T 4 H 6 l E M i X D V K Q X 8 3 M Q j b u D I U x u I X + 9 t v / O Y S M r l p X I k 4 5 3 / m L 6 g n S 5 z z + B T L Q C 3 k o p k x 4 T P u f v x Y t H q 0 2 N c 3 g a 6 s N O F c i o 1 3 f w W N T g 3 6 e n q g s 3 m 5 a a j + y H f k b y u D r Q w 9 a e / u n f t h j F d R 3 x d o g 5 / D a 5 4 7 F Y y o M n a I v / a J Z + Q z Z o 8 c + a A 0 q k F i J p k I x A M T Q X H s n x D N T L e f K 4 F t X 3 0 6 h d j A P K Q 9 S f h i U h Z C m p M 2 z c U d x L P + X P u a o e G M 6 h k S L x X w y k g u 8 c u v Y M Y i N v U S Y G e d z K R F p y 7 E r r c K y y V K S 3 w N E O F O 7 Z C h g B 1 L 0 o r 2 w T s Q b f 4 m P U O e p K S U Y 6 a i F x n U N 9 n Y r P b I m o J M Q L w 2 r E 7 L T m x B k 4 X C U b L D c 0 j 6 e u k 0 I 1 5 a N 4 5 9 + 7 t w R H 0 M 2 3 b s o o 6 b Q C J G D E 9 W g 4 b 8 m l S S B A d b E E y o s i X B z y T A / g 9 P Y s q a i I W P A r u e m E k 9 c a 2 C 3 S 4 9 C 9 d 9 4 I y B a n n 1 a Z 0 c E Y 2 T u T m Z k g I B e b l 6 L K O l w 4 u M t J v A N P A c Z S o b F 1 r E W N 0 B k 6 c F y 7 7 + N J Z / W 0 q C L Y V N X 0 t W c 5 a I s R q + Q R L s 1 O 9 N V z 8 m f 1 v A p n u + R s J M J 8 J W e k + b 2 J + X N a d t / k e k E 2 Y A + 8 G Z V B r O h R 6 k L F y r Q h q H D N 2 3 k s + W b P g k t D G i T V V W + q H A E T + t s g 6 k C K Z 6 c j i L 1 / K U w 3 1 3 v Q R D 3 g U H a T a P x o a g h o h b T 0 x F j T f p T P B H 6 5 D O 6 E W I W C X g B D i j Q a x p k j O q y 0 G T L k h d J a u A 6 Z x 9 H 3 1 a K e l F H W I m t U 3 n Z o O F E D y b T T m u E y y D C 5 G o l m l N w T z 6 P C J N 3 x T v u T i S y B q g S / J r 6 2 A J I f K E I 2 l h T i o 9 X P C u g S L 8 y 8 i E 4 b B k Y T b p 4 W 1 o h X 3 y d h z 7 k d O x c M E c E c 4 + k g a e f U s 9 E z g x A 2 f N j 8 S q y G K Q T K Q I E T / P 1 n O k s A h s p u X T 0 + b b c i g 2 Y d k f 5 f k s Z S 1 W j X k x q s 2 S z 6 g g T 8 w Z I 4 Z S k C 7 x H 9 k p Z 3 A e X C l a W x t h X 3 w q l n 9 D k v I a P f d j e c J l v H f z p W J y l 7 c 3 N X j n k B W t 0 v 4 8 i U 1 c F h 4 b Q J W F z O 2 u b v G X G a / j K 7 M z 9 b h Q D m v P 0 q 2 K u F I X W w n J V E a 8 S p G z E m 2 S i 2 E a e V E + c m i U j f J x y S R / q r B a t R y Y s 9 M h J 9 5 / f y 3 a O 9 r w / H M v i Z h 9 M 5 k i / f 2 D o l r q O e d 9 F B m d X 6 j Q c W I q X n L B H d H D V U K d 1 H k 6 G p S 0 j 8 y D R F n G 4 q X e e f I p 2 F z K p J e T h i l U 6 L T 3 3 o Z I W / E + s K O d 5 L + 0 c n i Z T t R z E I L O L T E j O R t b R x 3 L i b W G y f V I 1 X 1 s p r E W T O h L j C C a i p L k 9 o q I J + d 4 O S y L 5 T M O A 3 J 0 c S D y A Z r t x 4 p D v H S + b v x W Y m r p W X h R I q 8 z C n Z F 4 Z p T r A 1 5 L Z W 6 I A i D 1 1 + x s J j G X C X Q J P u p L 1 s w O e k T W 1 7 2 0 O / K 5 f f l 0 y P w 5 Y v T r 8 q B F 5 H y p P B M 8 B j n V t Q A C t h E X P O b C 1 C L f s F I 8 7 9 b s u 0 m + S V v / v 6 z I q g R 9 P u Q M l a J 8 m L 2 + a e j 7 g w p c b k c y v l 2 t n Q c 0 T J B C Q / R Z 4 o Y i g N r B i V y V w L 7 + N 8 Q q Z m + I r k U 0 x i K b d r E t P m h 6 T C S T Z z i r f d V 4 M C A Q U f q V W W j M r y 8 H D 4 x h H u v 4 Y R V D Z L 1 / f j q 7 y 8 g 8 a b M i h d D k u T E f E Q A f Z G 1 q L c e h e 1 D D h z T X A g N O y b + j A H 7 9 S J 9 x x + J Y 0 W z p E 2 2 P D m I l Z d J E 9 F T Y C d 5 4 C / I k 9 O b q j 4 N G d c R J H F J 0 h M x V + n H q A 0 z Z y d P 0 O A Q C w o T Q w E X c n G Z p B r v 5 a A O h 0 + h Q m U e + 8 H f I N j 8 H W j 1 e i R y f m R 9 V t h r L Q h 3 m + B Q 7 e w w E / Z P 6 L F A H U x h 7 S 5 P G T A 4 r K 4 l B 5 o J n J d y B J O G a c w Z I C G a Z S F E M J B p m V Y F b G Y H 7 h + p n 9 j v Y r A w D a b 6 4 R J p Y t P x 7 q / P R 3 O V B i l f D y w N y z D / / G v F p m 0 C m R B C B 9 Z h 4 z N / F N G 8 k U A K z R 5 p n O d V q D e h I J t L i W z 6 2 Y K Z K p f l w q w z C A D S B u b B R 5 F o / r T 8 k a 2 Z Y q F S 9 I m d Z 2 a m S R + Z S l k b 1 m / j z a n S J B l y i E W Z S e h m O Q P S S T O G 5 c L p 4 + M Z + A M 5 s v f N S P j d 8 I V 0 S C V M 8 v k K N A g F m G i l x g 5 2 T S I T 7 S / L T A y e y G N m 4 o B D q / 1 E x F O W I m Z i Z B N G M U f T a h s T z M Q T v t a e O 3 H U i X s R H z 5 A v p k P O v 9 O c e 5 Q 2 I B o y z c R 6 / g C 1 k e O o 2 b o h F Q X 2 Q V k W i k B k n e 7 5 L k Y A p t F r E 1 H 4 9 2 i 1 a W R r g w R H k t B v 6 r O g h r T m I l / X 8 J M S u W j a N v 1 I v l W o y V y D p p h I Q J j M D M F e g o m F Q d z K q G 9 q v h + e f J N B g e l q B g z E 4 f U F W 3 B i Z y l z D R C z 6 k w E 4 N L X B 8 + p O s r z G T V 1 m H H 7 r 0 k e F q F z 8 h a Q H x L 7 e A X 7 8 n E t f S T k z 1 i Y r v t i 4 8 g 7 V y J U E J 6 l v f / e B W M 7 3 w P p 1 U P k q n X B T 0 J B B 6 F Q z E T I 5 2 X V x L M A H V g h Q N w M z I T g 9 r M z K R J + m A e f n I a M z G 0 v E 5 G S Z G R i E a D a p I C W v K F j l 8 x H + 4 a E 6 r o s 0 2 2 y 3 X a N I z m N G o 4 w Z M u W F d r h t d l g N W W h q U m A r d b B 5 M p R 5 9 V J g i Z E V a P H v 7 0 s H g x f n b V m + L v j M h M C M L m J R 2 l y M q l p C z j L w j m y R s c i L V / H f n G M 7 B / v Z 1 M S A 9 y N m n R X y O Z l w I 6 F 1 Y 2 q c K h c g o S z 3 U x T p u T F G k 6 4 / E + M n k 5 3 a a T f L e Z T S l O 9 4 9 H J c Z V s H 9 c k u x s L q a m f j 7 9 G R z U T 9 E E E O x 1 I j Q Q B g f C L A 7 S + l x 3 X Q Z X A g r I N Q s 4 m F M J 6 U Q U 4 U h Y V K J l M M E 2 N b W I s g A x O s b b v p S G z / P Z M P z J / Z i k 5 2 T z O 8 2 l h W W U r g n 6 M L C Z 3 O g 6 2 C V 2 3 2 C H / c W X X h F b 0 K x 6 4 W U 8 9 / z L e P m m s 6 E j T c p P Z Z t z k v h N 3 u x F 4 8 g d J E S p D b k s R n V t 6 E w 0 i F z A W r s G e r s 0 6 V w J o j 4 E w a x z i 7 8 M D k o w b Y e T h W X 8 I T + n y x X G J H Y Y A b i 8 y Y N E w 2 X i v W X 8 M W g j v b D 3 3 w L T + E s F k y + c G a L B L 3 C 1 O Z t C g i v 9 E D K k I d 7 d t A 4 O m x 3 B a A j z 2 x a K O m t j / k l y 5 p I 4 / e j l M I 7 M R b q p / J w V B 9 x c 5 n l 4 4 d a t 2 L 9 W i i D 6 q S P 5 e W 5 6 8 m r c + z l p 7 V B P Y h t u f O L z 4 r 2 A v P C O / S 8 h z e k 6 Y p E c q X P H 0 B 0 I N / + 3 C G 5 w k q m q b 4 T k 2 b e 2 E 4 u P T C E v F x b J p s e Q 1 n q o o / V i f V Q D p w 8 p W Q H T a b 2 s D R 5 J k i l m K i / 5 z C T R b a Y 5 8 g Q 0 k Q i Z T L t H D F h S P U n v 6 X O Z W g e 8 l a c r E I e r Q w 5 + U L t 5 e U e 5 y d n A w S Q s t R q Y H N O / Y x N O l M V W g Y X k V D l 3 B S J C m K Q / Q f j A x W h Y U 0 j C h B H i g v 4 E F 7 V V m V O c C R z Y i I Y T c L i s w l X g i J 0 a b O 5 V Q m h o H z b e 8 1 / k O / X B 5 G 3 H / K / z R g S s K Y K w R Y b w x p 3 f Q 4 t Y o Q A c H J h E a 4 M U + l 9 4 3 a G 1 k 4 J y Y 8 i 0 Y S A X Y N y f R J W 8 b F 0 B a 9 Z y 1 b o O B 0 I M c Q B C z U w M h Z k Y T q 0 f H z t x B Y 4 9 Y i 7 O P H E l 2 h q t m N v m w Y l H L s D 5 R 8 1 F f s B T k Z k Y H K 1 m 0 + i C 6 x t l w s / D Q u Y P a 9 w / 3 S B P 9 h E 4 f W n r 2 6 o i L n I 4 n T c G X p B b i 2 X Z e 2 E e e Z x a b U T A c b n 4 z k r a h e s m q M G S J 5 3 I g j e n V q A j x s m R u c r n 1 i j a U 0 6 x K Y U / p U Q Q i 1 G O m Z J p K S K V E H K W m U n 8 S 4 0 w Y k k D f e B M E C J Q T Z L 9 x w I 4 G C F O z R T 6 m Q M M m g q Z D s 4 5 J s F M k / u m B w x Y + p d C Y a a i O S X 2 i b Q 2 w U z i o 4 q Z e J W A 0 1 Q n X k x w a u w 8 6 M d X 7 / J h U G x u X Q D f l 5 l J I F 1 u e U T 5 Z T 6 M z f d 9 B y 5 t X N B A x 9 X 3 S w d T E y T w X B h a + 0 c S T N K 4 d v c O g e u d 8 3 k L v l 6 g l Q 8 L p o 2 M V l + U u a G A t Z i 6 z W q T c L b Q M h c r h d A V K C s V F c T 0 5 S c x b Z k 4 I u M N 0 L a p M 7 z L o 8 o 8 R 4 R / 3 f o G Z I b s S K S D i I a i G O s d I 2 0 1 R E R M 9 j 5 J 0 K f + + J b 8 C w K r Y d J G K 7 z r k f A c i 4 3 5 L 2 C 8 6 l N C c 9 m j a + h 8 y b z h b O V S L P / Y I m x 7 R m 6 X X E q M m Y / n o p Q Q P C P M U S 3 y H b k f l B e X R Z 4 t T I Z C n Q a x W 0 Q F 5 E 0 q f 5 H 6 l x N k W z h j X m Z S X q b R 4 S X P R X 4 U Z j g 1 l O P e h X a E u o u D Q Y r p w l t j l k K Z U 1 L g T 5 V m m U j g Q B K H E 6 z Z J F J E c G r 8 7 l / b q c v H M e Y r P G s p b P I E s R q i S G k Z R C d 6 h d I 2 Z M e F d t L L G w S I 4 F B y C D s 3 b E G 9 g y e + 6 Z i 9 H t W O F D Q m 3 g O a B k 6 9 4 n o G 8 B z a T E h w t C 9 a z t o o M J E 2 U V k g V I L W q a + D X V e H 1 G C S G q y D P m y B N l V D 4 + x C 9 5 u b i A G a k R s y Q N f b h l y P H b l J I / T 9 8 0 V E L 0 s D q W k I w J D w o 2 3 s G V j C k h P M j a o b e w v N I 8 9 D S w N U D e 5 s a Z D Y h z L W D L F 4 I 2 n k I O f e A B 8 v E Y E O V W I x m x 4 / u f S f E p P r q 8 l R N 8 B G 2 p N 3 D + f l E + x 3 s O b S Z M j e l y c s z Q Y V 0 R C T Z Z J + + p v E X X 2 k y c h M u + E f h Q W D z F T v q j Y Z z m c D d O / D l 0 Q K x k K F C O E k a T Z F w j F j B m R G n g a R i i X B J v N Z 0 U J D Q m k V W j W c 7 c U C T 0 F b a 2 H q o V i 6 k i C J 7 R K + k r Q 2 t z w 4 N s d j W g q t 3 k T j n c L K e d M j l D O j / L 3 W / + 0 6 k M c r t M 6 8 a 8 n i k H c i E T A 1 Y t G S Z e Q D u 8 i f z Q h N o o c J i z 7 7 S + l 7 1 U o B R Q A G O B u H l / r I n / k V K 5 N m N A 0 2 K y y k F B i c c s Q m q t r k m 6 r Q x b S o L B 8 R f m a x k F J D G 8 q M I p I d h b G J 9 8 v J I u O I I 2 E M I D 1 u Q 9 s R p y K Q G Y C 2 M Y 1 s W y + 0 7 R F o v S m M W 8 g X G p 9 D Z q F E m A m D F 5 2 e y x F 3 K K F R D U Z r P 4 q B + g u I S V q h J X / L N v o 3 W A Y e x v f u r E H O 4 I L b 0 E C q n I h / k J i S x J W f l 2 s T 8 3 n I J N H m I n j n v t f o I T J k q h H T e E 6 n a x Y T m E i w n Y J q 4 I j J 9 C a S e B o T b r i i G i P j Q X z 6 h A I D M U 4 r 3 m T 4 3 0 K t s y A x 2 Y T i B Y t d f s n 5 J T d f / C 0 F l 0 1 m 8 G b I O p P 0 H F x G W B q s 8 l A i k Q L 0 N j R Y e Q a f t V u W + i 4 W Z y Y 6 I L I d I m X K Q J e C x + E L d 0 f w z b 8 X 6 u o F w k n i f w t p l G I i U v y t c k g X I j H T M L z j d R i 0 5 C e m x 2 H 0 t J D 1 T p q i p J Z H 0 + X / Q P a I k 6 l B U q 7 e o q 8 9 W c j m k a F s W 8 T I k k b 1 5 Q p t P h z E u Y Z 6 N g G X o X x Y X 4 C n g b h U H U N k 5 R P V T N W w p P u K y W d m u p I i L S w x c j 4 a Y D q a a x u C t r q c S p R I e 2 F D w d f R 6 X I w 6 D P 0 k I X L 8 e C I e m + k h b L 2 O Y j W f Q X x p i u R 8 R y N Y y + R 5 m + q j E 3 g a s X B f m o M a a x Y M o M c a x 9 9 F d 5 8 d o Q u o k c m n Q Y X 9 F c E r v I 3 0 f w Z 2 A d v k z 5 U w I K G L B b X D E L f J Q V C y i H 9 H 4 h m l c J l l e b x K j n l X I M 8 l 8 k j O h S b m r 0 X Z Y S V J R Q 0 O O o s E Q Y H X 9 R w N l k Q 7 C m Y Y G J x J C + u T A 0 i m 9 u D v p B f 7 O x I 3 0 g n z A C b n F 7 z 9 u Y R Z E I j M B K z m G S z / y d / W k d 9 n s F n z m y g K x W u x b 6 W g D w e a h i 4 T C 8 d r z L S u M v r q x T s X H U r 8 j E O 1 A C L r 6 + c g R B 8 9 w l h 9 m V J P 7 G G L A V v i l Y O X G g l o 6 5 P e A h w C l V c Z 0 Y y X t 4 U n k J p r U o l y G Q g 4 c 0 Z N M x 0 R E t T 1 G S M U Q d m 6 I D n 0 I 1 x V U k X L / U 1 d B z d I u h J 0 x i 0 L t g N J d V y e D z o d f K V 8 2 A w s / T J w 0 7 M 4 2 o 1 I j Q Z R U I v p f Q 4 O P + M u v L H n + C t K a X f K C 9 R w U h + H 2 m + A f a R 2 4 u + 7 x k c k 5 b J 8 w / p / 7 y 5 H a 1 H G U Q k T H 2 e e J E 2 + U + E h w s o U N d M a z f 9 n U l i q B S c b R V y G L n A P u f m c f t 5 i U P W D 0 u e z S I a I 1 X 7 u V a f b 3 8 C 8 U C S f L Q G 9 E V r M I k 4 Y u R T O v V h 0 k r T s w J K Y S Q f N U 6 M z P 7 T G + v 6 h G n 3 w y v b k J T N 0 h s + f x Q J C B 3 O P L a W z u D x L e E g a g d v X 8 Q v K x E y E 3 S V x k r C p I P M K C 1 s t o K Z 2 P X e o y J t y I o k L E 1 c Q p s f p D x O / f 4 b W H b t v Z j 3 1 f J J q q J / u S k l L 5 6 M 5 q X q W t K o 3 K Z y 5 y g v r i V R a 5 O S Y s 2 8 X I m 1 T T n M Y D m U Q n N w + P 2 8 d q A F u W b F / 5 k d J s J O Y i g N v L Y Q a S h u o Q T u U K e l U P F n J t x y h Z Q w y S H 0 P E l g j f C F 8 m Q O S o w Y o O M 1 z W 5 8 6 4 5 L x e e + w V G 8 + 8 7 b u O y y T + D t t 9 / B h g 0 f Y O H C h W j y 5 r B 1 7 6 S o B V 5 f V 4 9 l b U c j Z Y 5 g 3 9 7 d Y j J w N L E S D p s O F o c V Z x + t E / N E C 2 o 4 h J w l c 2 j m F K t K 2 P D W Q R x 7 8 g p k U j l R 7 a j K 6 0 C a B A k H R w 0 a B 1 L p O E x 6 G x x 2 N 5 l 2 p H l J W + j 1 B g w N T u D t d 9 / A B R d d O j X / N V t w 1 I s r O b G / l e c l 2 C U F O i f i B 5 E f J G G k z W D c r k e d q 2 C O p k m g G F S h d d Y 2 i e E o z D Y n Y t E Q M r E Y f v 7 E f o z F d P j j 5 + a Q s C W z M Z W m 0 c i j Z m m 7 y D x Q w J o v W 0 Y Q M V N y x g G / K 4 d 3 / n g V z J N b i V 7 0 O O a n W + S j l a E 7 e D + y c 6 + S P x W D 5 5 s q + q h l I B h + a n m Q B h F Z 4 z j 1 X L p M H e T h M V G 1 n 0 0 5 1 j 4 z g P f X U k r Q a V K 7 f 5 Z P J g w Y a 2 A / p R h c M k t X M r E 5 3 B 9 A Q 0 v x Q K r h o d 9 o L J V T c k q h Z q r E g A 4 m n n h N 6 1 F l k 5 z P Q H o E N z 3 5 R W w e N O G 4 9 r x Y o s 0 p I r z A i 5 e p i 5 A x P X Q u t B e + d D 2 e + g b 5 e s j g / F v a o U 2 Z U N O Y x Q u b 7 Q j G M h h 6 e R B H e v O w X L 4 Y p 8 w h q U N E M n k Y 6 S k K g u M Z W I x u U d W n s a k e / X 1 D 8 P t 8 O P f 8 s + C o 0 u J f d z + L L 1 / 7 Z f z 9 7 3 / H a R 8 5 D S 6 n C 6 0 t T U g H 8 t h y Y A u G h o Z w y d k r 0 R d v F m u n u A g N Y + + Y D o t q s y K L X M n N 2 z Z o Q J 1 + Q N Q 1 m A 5 5 8 O U N m d k Z V 5 A d M 0 N X K 1 k b E 6 N h a B 1 6 W I i h L F O 7 / O V h J l 8 2 n Y n B a H C Q m R Q X e 2 N l S S A a y Q R C K k H 6 0 E n m R h j J N G 8 G c G j m d 2 j m k E a y I p M h v 4 v u x f s / K X t B 8 T j x v F X f 8 7 + A r q o V z a d c j c c e f x q f / v Q n B f l m e S M B g v o + t r 5 b E W 3 9 L / n T d I j n P X S z Z o Q 5 X w + b p Y y l k A n T s 3 N e 6 O F B a C i x w X N R N a L K K F 3 q X o q Z J v P K g d f C 3 P J p i a l 8 q V H E h 3 K w N W n g 0 t e K c D B r K c Y n b v 8 q V r a w y c O l y P T I y p n k f A 4 P g j a 4 F z n X I m L Q l 8 k P N C E V o e s c H c K 3 / y x p t 4 1 P 7 s e u Z 6 R N w T o z O / G L R 6 V d 3 n 3 J A z Q m l Z / n w 0 L d D 6 H + G O x N Z I b I / h K D d 4 n g / a r K Y S w C 1 F a w B i u C p G 8 w M 0 G m b l L 4 R F G S w N m Q A T q n 1 E 8 D v T 4 S L g 5 Y S B C Z a b x j z D R l Y C E t G 5 e D T b O F h U w i v a k d e o 0 N q 5 5 / E d F I F D X V X u w 7 0 I l L L 7 k I 6 9 Z / g C s + y a W + s t i 7 e y + q y Y r w u J 0 Y G B p G K B Q S 2 8 h O i K R d L 1 Y e W S h Y q q 4 M X A o O S g g / q g J D + e K S / + 8 p E 8 5 X I x k 2 o 7 F m e m L 2 F D h a W L E q l w r s c 5 K Z r P v 2 d 6 + 5 k V W a P h 1 D r i T Z t R Q 8 K 2 7 i V X 4 E g 8 a O N 1 / c h A U L O + A f y + D l V a t x y p H H k A P J E 7 a z F x v M E E z O / b t 9 M G k t y N v j C P u o L a Y k z D q 7 e C V z U b x 1 5 + s 4 5 9 q T 8 f D D j 6 C 1 r Q 0 H u 3 r w 6 G N P k M a K Y / W a 9 7 H 8 2 I 9 g I m Y k 8 0 6 P w I Y Q S c c 8 / K k R n P G Z l e I + e m s W Y 6 M + D J P Z G E v 5 c c a n p R 3 D z d R Z y j 6 4 a q f 7 3 w U v G m T 4 9 6 X h n m M W z 8 k I J a R a e h o O B B D R D 4 2 H Y L c a p 7 5 n 2 G T Z x r X I e T d 9 B d y r 5 V r I / c 3 h / 2 Q u R D 6 n F n o y y X j y U m / I I B v R Q 2 P K w + m 2 Q E 9 a g z M g e I 1 a J f D 3 f A 0 F D i L q F A l b j o T x N c v B Z V 5 E / j M / A 7 B o 4 X w s X 7 4 U c + d 2 4 L h j j 4 a T z P C F C + Z h b G w U J j K / D c F q u B u Z h q h N D h s x n g f 1 9 X W Y M 6 c d D f X s 6 B e e M k f X d E z 8 B S m b l J m v B o e 5 K 8 0 1 h Z L U 1 q w e d i P R t V x P r x K i s R C q H H W 4 5 d Y 7 0 N 4 x B x 9 s 3 I z u n j 7 B 4 J u 3 b E M 0 k S e B s A G L F x X v p C J B D v q k m e k k C S g x F K F x + A W E n D P 7 P k Z V V c X 7 / / 4 C j j 7 q a O z a v h 8 f b N i G j 3 3 s T J J S D r z 6 6 u t Y Q B 1 4 O G h Z 6 s W 6 J w / w a I q t V Q w 0 g B r y E x L 0 P j x A 9 j p J 2 l g 2 h I P 7 A j j 6 0 5 / G 3 F r O I a x B a 0 M r b B k r 3 M l m R P 0 R j M d G Y G h o Q d f 6 H c T 8 A U z 6 x 7 H z / R 6 c e u l y 2 N w 2 N C 6 2 Y e P z X d Q P F p x 0 6 T z o E C T G s 5 B Z y 8 X 0 o 7 C a 6 5 C J W j D Y G 8 T Y Q A S v v 7 Q e K 4 5 c h H 1 b 6 T p b e j D Y E 0 B t F U n i v A P / / N s T W D j n S H z w / m 5 U 2 Z t I C G S x 6 q m 3 o O O d 1 W G D p 8 q D w e E 0 a t v 1 6 C c m 1 l L f c P d N d S E T J x G F w 2 a C P x C A x T I 9 g K A w 0 3 B I K 2 q o 8 8 Z i v L w / E M 2 S E y 0 R f Z 4 n O k m K + n I x w Q w M h f D 5 c y 5 q g N a c h S 6 W 5 7 z m I s Y t B z U z M Z i Z G H x N H W + e V v K 9 l 7 P I D 5 G V z p q Z g x P 8 N z Y Z h s V b r A F F C l O E T E 9 h j h b a x 0 0 N Y R H 0 c r W h U r D Q i i Z H U P P K d 6 E P D S D Z K A l J E / W b d R b M x N D q u D 5 9 N U 4 8 8 X h i c A f a 2 1 o w p 6 M N L d U Z L J g / F 4 3 N 7 Z g 3 b 1 4 F q 0 w + x v 4 Y z 6 W R i S h M P u k o M O i v x X G p e z F Y N 7 1 I h j X S B 3 e q E 0 O e j 4 n P m 9 / v F R L v 6 O M X 4 o 2 X N u E T n 7 i I R o M k 5 S y 0 U + e E X t R t 4 C K R n P W t j P H v r 3 h B / A 2 S m R c j f 8 r S T M 4 8 + c L Z c S s x V J A k U h j X 3 f h p e D q 0 a F 5 U R z S p F d U 7 G b w 0 3 j b 2 F t L 1 p y I f G 8 I P P / o e m Q V 0 D 2 s A f 3 z n e k S j M a x 9 c Q s S o y b s e K s X P 3 z y M o w n 9 q N G R 0 6 8 v E S c i S 2 a H U e C z T H V c / A M P X / W E 3 G l y V H X y p O w W l L x P H e n Z J p k i W L 1 2 o x U R 4 9 c B 5 e + B U n 6 z 2 E v Y 7 + p n F 1 O o k 2 T r x E K h + g v m W O J F O a T h J 8 J w W A I Y w e 3 o m X h c p g d T i S S Y c Q R Q K Q r I C q 7 R g I T c C + W / C 5 D / w I k j H 0 w J p u Q q t s N n a k 8 g b I W 4 h B y J Z i 0 D m j T 4 1 P n 2 D X 1 M B o t R F a H J t x y 4 G i s W d U W X o Z f Z y l s 6 s b b x e T 1 b p h H n k S i + U v y 0 Q I 4 g X b z 3 6 / F K X X D Q q 8 N n / M X s S z H Z q w 8 R 1 c K H u Z q y 3 Q F 0 B d e S 2 N p R a N N 3 u d 3 l i h i K I 7 a c b H D p v 5 V Z C b o S L K R i R C I o L / 1 M r F c W 8 8 5 O 9 Q C z / g 2 / O s t c l r T a W H 3 e j x e n H 3 W W S T l 0 1 O + z U z g y k C F + u U S O F K S M z X g D 1 d I S Z J q p s q Q T 5 S N a u H P D A k l + 6 t 3 f 4 B 6 Z x a x W A x W q 2 I j 8 2 M U p M g t n 1 + F 0 b 1 h c q z J p 2 j J 4 + d P f g k 7 n v F h + S U l 9 j B P y q l K / 4 b S Q 7 A b S F P l 6 P m y E d K S h T q A f S + G s O n x D M b M u / H V O 0 + R j 0 5 H f N Q B c 0 1 Y D F S C u o O r I i 2 p L w 7 u q H G 4 V V 8 Z y e h 2 R M i 8 z m Q y I k C j o O A D c V 9 M D a 1 A O k l t m H T C U B 8 l a S A f l M H h c 0 U b z R a W D D G g S E v T k s 9 Y s i 9 t G f g P x l A 1 d 2 a f h t u c z 3 C d Q o e Y 6 o i R f 1 U V 3 4 5 M z U m S 4 C F h x W U Q l L W N n O 7 l 2 7 6 K b E 1 m R G n 8 m a k M J N j K I R S 3 w 2 7 m u T G m d a n P u a j l d B T T 0 2 x R x F C V U L o 6 k / 2 t j E H q G M X 5 l q T 4 o Y l i 6 5 A B R z Z O Z z p N r A d 5 a z s y q S x u / c z L w g f i g M R Y n x / u O g c w I U n 5 8 e Q Q q p o 8 u O X F a 4 S p V M W l r g j 2 7 t 8 g 0 v E D 8 V 7 B b z / 1 H L Q 5 L T n r I 7 j p 8 S 9 h 6 6 v b c P R 5 k k 8 1 B S I k X 7 o f e 4 f n 4 I Q 2 r q 5 U 3 o / k O Z i J L h / u / / 5 q + L K T + D / S c E n S Z K w F 1 d D 3 z U W m V Z r 0 z m T 0 s O j b y Q S J k b Q z I J I e R k a e 4 e d M b 4 + p j Q Y / L n w f D q u 7 K y z C K 0 U i v h t R F f E P 9 f v R 2 F J + f 6 q y 4 B H v J U e 8 X c r 9 4 0 L 4 S V U y 9 E x g 3 0 S v y 9 B v S P e W B C 8 8 p g 4 i w c r a K r C f n n F B C S c r y C W R T / Z A I y c 0 j 4 y O o b 5 O l b x M v h w q B C i i X H 8 j O 3 N B o a S f a O m x m 7 C y W Y + J 8 2 + X j 9 L x D P l p h r a p b Y m 4 V I M 6 1 / N w w E p h V j / 1 j R d n O D M z t U 4 8 D 7 s q M 2 I 2 z M Q o x 0 w M Z i a G n m z f j 1 y 9 S N j V 2 Z A O N U 1 u c c z Q J G U m e w 2 N C A 5 N I h F L w u 0 q R M l i N V L U T o 3 v P 0 p m K F G P S 1 + H H 1 / + D x q w M s x C h M n 5 W y f S 7 S s x E 4 M n E m v m V C N H j O H U V c O s q S I G K F R f y v X U w p h I T j E T Q 6 / P k I b s R I Q 0 a 1 9 4 g 2 A m r r E x H q o T U x K c 1 R 7 J j C K a 4 i y T 2 U 0 e R m L F z M R g Z h o Z L O + g l w U L X m I m T X 8 j D W b + k M z E p q A C N m m 5 u l U p M z F 8 y W 4 E K m T q 8 z g 4 O m a Q 3 T y 5 L D M T m 9 c K M 6 X z U W p i A r a B v y F M g l G d r 6 e 8 e N / n m R C f G M L e e 2 8 U S 1 o O T u R Q / c K 3 x I t h 0 q e m m I m h Z i Y u j j p b 5 J K j Y i 6 q L E N x y a j A Z C H t K F e i P V c 9 u g 5 D 3 v P g i u 0 A l 4 t 6 + t l V Y s c F E b G j V 3 4 W f M q L x 8 q h c 1 0 v D K S K 2 T / y k D n J b g b P T z E 0 T l 4 U x k F u L b 5 + 0 m 0 I J 6 X j 9 3 5 m I + 7 5 q g / R Y G H g h 0 b G B N 2 c / 3 + n C O 3 C A x p T t n k p w d p 1 H 2 B s f B I + f x B h c o 5 9 g S C G h k f I 3 E i Q n 1 c Q F G v + 1 i / 8 p V A 4 g j W r N 5 D Z Q d + l 9 M j 3 k m / R P o a U u b x v I k E y w W I p D o I k h Z R n 5 E i D G v W S k K m 0 b G Q K r M 1 K i D 9 O 2 p J R T 1 p b Q b k s b 5 7 u K E W + Z Y j M X Q 0 y A w U f j z W n P + o W a 7 8 U s M + k r E D g T c n S J F R M m u I d S h S w x m Y i L 4 W / M y 6 2 W i 2 P 4 r a p A y d a G B B M D W D M c R T 5 y d O X r s w G e x 7 + P U w k K 2 0 m D X r 9 W Q w E Z i f 8 i 3 b D n A E Z G p e + R A Q 9 w Y M F y l c 7 4 T o i Z r d X 6 l D e l a 2 u u d B 5 x m w d I p E I O v c k s D t 4 F A b 2 v I R l y 5 b j 1 l t v x 8 b N 2 / H k 0 8 / h X / + S 1 7 d U Q D Q 1 Q c T T T a Z k Y f a 9 8 4 N O 9 O 3 o x 7 w T 2 n D k B f P x 3 U c u E P 3 M 2 s X S k k W U r B O 9 k w 6 Q K e g m H 4 f Z 9 k c f l 3 L 5 o o l + k v Q + / O Y L j 4 j P D A 7 B p j M a L D 6 S 1 9 K k 4 D L U 4 K n 7 3 x D P y X 6 H A s 6 l a 2 l p J l + w G p s 2 b c b B g 1 3 Y v H k L 3 n 5 n N d x u D 9 5 6 q 7 C c p G d t A J Z U N U n N J P l v Y d z / 0 F P Q m U m I t J X f 3 Z 7 B z C w l k u Y F o T o t E R r Y g r B K Z g p a k V O 5 m B i Z g B j j 6 r V M h M n 0 I J L p Y q a 1 c F B F B U 5 i T e d i 0 0 x R L p l V F k S 7 u q Y I s n F Z a J H A q r I F p t Z + K e l l e v p r I 7 N L 2 d Y l m T 9 U 3 Z E S B u a K T W W Q F 3 1 T Y K B S c D i e k b A 3 o d U v B a 2 4 T e F Z b K a m Y M n n f g C 7 x Y R + f 4 b G H 4 i k 8 h g 5 o X K B l w I q t 0 s N r j e i Q P P u u h f y T W 2 S / T 0 S 9 K D e V W w 6 x C I p W H l r b h l p s q E b H X N F w u o U S G o 5 h u 9 A M t W I n L 0 N W X p 4 k e x Z p k F c a l i B 4 g x u f 3 0 n j j h z G d m g v N N H P e 7 9 r L S C N 9 s + D N 9 + i e k C m T F E Q 3 F Y H W a k B t k R z p P v M 4 T r b / 0 E + j a E 0 b V x B H 4 6 h 5 e Q X / f X z 4 H 3 f R s O U l u N B 8 k k a M S t V 6 / C k L 8 X t 7 9 R P P M e i 9 I 1 b d N D 1 s M j o 8 S U d c L 0 1 B v 0 + N v f 7 s F X v n I N 4 l F i E L 8 f z 7 / 6 P C 6 / 7 D J U e Z z C l 0 v p i p e X q 5 H K h E k L T Z 9 1 5 x S e D P k c T M T l o S E f V V p C M B m l f p s 5 O i 1 g z C R J a Z p I w I z A o q 0 m b a g X 9 R U i P m K U k h W q a u Q S R B a 8 8 r l k G c m H R 6 H t j P B B H R x z K z D 1 I a D W e O 0 T z 2 K H 8 3 j x n m u s m 9 X p V 4 d o + g e / / x o a X T r U X f F T 6 F 0 F / 6 x 8 U E K C 2 C a 2 a G K X + i g T I O 1 F g m z K R e A b E 6 2 T f 6 + F s z B h V c p M D G Y m t b l Q R + q / i J k Y Z J e F G 2 9 A q v 0 K Z K q P J 2 b i m W e Z m V S a r x w + e H K v Y C Y G M 5 M a v b t H 8 V 8 P n i + a a 9 b a Y X U S I 9 H 1 j I 3 k T 9 E x T d 6 A O 2 5 4 E p f 8 z 9 H g g q 8 u Q y 2 Z q h G Y 5 G T G B h d J J E s b T D Y D j j y 7 F R 8 7 m x M y i z H F T C U 7 3 T E z M b j s W D y Z F X + 7 O v v g D 4 1 j 9 b o 1 O O X k U 7 B l y 2 a E Q z E 8 8 v D j 4 t x K K M d M D D 3 Z 0 m p m G v Z L 9 + S i k x J I q y U P Y j z e N S t m E p C z M R I h L e K 5 C a G t y A M V W d U z Q W v O I R e u 7 E O W Q q n d U I o w b z I h U D z u G n t B K x 8 O W D C o 0 V N 9 M T w k 1 I 2 Z N D 3 b 7 L P K G c d + 9 6 9 o + v K f i 5 h p O n n m o E m Q f x n b j 3 i M a I J d E 1 4 F M P U y I 8 + J t E X + t k z r X H t x N l E + B W 5 D M w a H J t H a 3 E T a R K r z d i g Y R 1 4 h U a x F q u Y s 8 X k y Q X a m R k 9 q O 4 3 e 5 4 0 4 6 v L p Z X f v v e F d + I e i 8 K f H a F j y W L x s H g b 2 T o J T a 9 j 0 s z T R Q 4 a N S I U 0 m E y R V C C i v G f r / + L m K 1 Y h k o i S j R / G r 5 6 5 l q 6 k E b l / Z j K g 9 6 / u w 5 L T 2 6 h D i o m G r 9 9 z Y B d s D i d q 6 8 u X A G b 4 D y R R N V 8 y W 0 b G R l F f W 5 x b V 8 5 v O B R K 0 3 x 8 E T c 8 9 g B i 6 U l Y S 8 o n K 9 G 1 Q 4 F N 4 U I q l R A 7 0 l s Z z G D p P G l l Y S p O / z 4 3 6 I S 2 6 d B l 5 N R I c T 6 g X n I R 1 K W 1 j D o b H P o G u U 4 G S 4 T i e 4 F L d P M G E j L Y H F f 7 T 7 y S m p + m H C J k 8 j U H B x C o O V o + Q p g 1 J R e Q T K Z J a y 2 m 3 1 L f c v K s a t s g C d P 7 q B w 0 i T 5 S J K 0 F H + p Q 8 B r n E l + Y B T M x S p l p O F 4 + e z h V f 7 Z g J n P / g 9 D 7 N 4 k 6 0 l 0 v p a D f + h 5 O O + 4 J a d t 9 B e R b M b 5 w 2 2 l E + B p i Y J Y k e e z Z u R 9 a P e f 3 e W E l Z o o P 0 A M 6 k q K z P c Y G M R f x 4 r 1 r c c n 3 j i H / x E I W a A o / u v w f 4 l o m c o T Z r 4 i N k + 0 v M x O H N x k j w w N k w i V Q 1 z g X s Z A P Q 8 O S X a 7 V 0 e D T w C b J l A t 2 J d D f P Q H P 3 A x 6 u / a I l B T O a C / F T D m M 4 X h 5 D c X M p F 5 D x s z E Y G a a D B e H w S s x U z p s h k n j J f P H R i Y k L x M 3 g D e 7 C 9 A j m g w u v P z U R h i V D c k I B q 1 V C D P 2 7 T j U r F 6 o x 2 B m 0 v S X z 2 1 T V r c q i G f 8 Q i N x 2 D 8 j W w U K M z F S s t Y P D 7 E 2 K y F K J m A V M z G 4 Q p M a M x V M s R v r E F P X u P + Q M B K j s 0 Y S 2 R 4 l z K Q p q c l f F p x 2 x L m w r L X o r z Y n 1 4 Z T I 5 s o m A e c 3 y a I R Z Y c 7 F O U 2 8 j Y o i r b x B j t 7 c e W 5 / Z g 2 7 N D 2 P x E P 9 Z t P R 7 b t r g x t q 8 T x 5 x X A 9 c J V y P S + h 1 E G r 4 J a 8 9 f 6 R c k C V Q F J / / r k Y + L Q X f r P K L m X i S 6 m y R Y F i 6 t E 7 Z a H 5 L B C Z j r 6 G F I q j k M 1 X j s 1 j d R t 7 Q G i V g c 2 k g V U v G U z C B 5 6 L K T a D j S S G Y P P T h J U A 5 v s u / k d H q R J X N u p K c b z c 3 z 8 N b b 7 + D + B x / B h g 0 b y S 8 K 4 8 D Q C K o 6 d J i z s B H 3 P 7 I K 7 f O X 4 9 n n n s e / 7 n t A J L f y S 9 0 X l Z j K Y S k O W g x M k q a U w W H 0 c m i x V P b J 1 E i T z z T Y N 4 n X X 1 y P 0 Y E I H r j 7 J U S p W 8 b H / H j m 0 T d h s V r I s S / W y j a 9 N H G d Q 7 Z s y D l b V f 7 e c d X 6 K g 4 K K E z E Y O Y q h 1 Q u r C S E T C H P A q 0 k X Y n n n d h X L c V M g i p l 8 a J 1 8 G l B A w K H V i T T I K L S w k W Z D t 5 + q d S s Z M u s C L z L I k 9 j y C 9 N 9 4 a + f C r K J W h t m O g L w d W o h X Z O P 3 0 n t a 7 0 g W 5 + P I I l H X Y E Q m m s m G N A Q 3 Y f B g / G k Q m 7 Y N J V Q e e d w L w T 2 s t 2 z o z I p W H p u 5 e Y y o S U / T j k b B 3 I k w T / / R X P E 0 v k R e b E + d e c i H f + J R W W D P I S Z D L 1 u H Z i b s R E 3 w / i l 8 9 8 D Q 0 d 1 e j c F 8 E 7 f 1 u L q 3 9 z O k n t B I a 7 I n B X u 5 C O E 4 v G D N Q 2 O 8 a T 6 9 E + d y 4 9 p z y X x f N o J X l q D F 1 g N x H Y U t W g U b + U G t 7 M V I Z i g c J t V j Z F L o U 9 6 0 V E J 4 W 7 A z E H 3 N Z i h u N 5 H g 5 N / 7 s w k c R M 0 i B z + W g l W s f M V R o Z L A d d 7 x x k 2 6 Y X K a l K h + A 3 O O U 5 t S j R s E 7 M E 7 H w c 6 j 2 F F N D 1 z c P 7 v k 0 T t S G f C 4 K n a 5 8 l n 0 p K p n R L F j V O 2 g w d O k o 6 s b f w l D D B f K R 2 W P G o A S Z c r C 0 Q p M N I 6 e V N J h g w l I a k K E Z 6 u n J W 5 2 F O Y f I a A z W a j P 2 r N m H 0 E i c a I z n l r R k c p j h a r X i L + s d S K S Y X P K 4 7 S s 2 m K w F H + D f A k m 7 4 X E / q p x u m C 2 F f L J E I o k 7 r n p V J M p G a T C v + / U n 8 N B P V 2 M s N o 7 M u B a 2 p h y s e T f 5 7 E n 8 7 6 o v w L L / 9 8 i S W Z m q P w N 5 v R 2 9 4 b X w v d I K 5 0 f b Y d H n 0 K D f D 4 2 t g i n B 2 9 u o o k a W v b / F Q M d l s B l q i D G N Z E p N j w a q k S X J q 5 M X m i l g s 0 q 9 i 4 n H 2 C z W e C k E n k i Z Y D Y W T + o W + 0 H / O S S y f j G W J m 0 x Q b P j z 7 s Y l s K 4 L 4 q Y p Q G 6 Z t I y W o m A e D 4 q N U t m 5 x g m l 1 j R 9 n n J / y y f y c F b 6 i i 7 g K g R z / h I E E w P k h 0 K h r g f a X P 5 e 8 W j K V j k V H 6 p h 6 U + 5 r 8 e o h n G H X / 6 K 7 7 8 l W v x 9 N P P 4 M g j V 2 D N m v f x l W u / g J d f f Q M j I 6 O w W i w 4 9 b R T 8 c 4 7 7 2 D F i h V 4 9 9 1 3 6 f s v i t 8 y y m 4 W w J s p s 0 T h W x W D G h H v R d L Y D l N a c s L + I 6 B r + p O u q T S i U n R t H s V D N 6 3 G S K i f n P M U F i 9 Y h u 5 9 f d C 7 c k g O 6 W F t z 8 C 0 f B J H H 3 M s w s F J f P J T V 4 K 3 + p + Y m B A r e 5 d 7 l 2 P Z m f L u E i T d p t k g C k i i C 9 V N s A / d h l 6 v J O 3 y u Q x i O d + 0 Q o 4 M t Q b f N 6 b D w q p x u j 7 b 4 3 b 6 W 9 B 4 w f Q A n I Z G a H n + h P y m J B F o i u z v B P k 0 G k 3 B P + K J T J P O O T V h O 1 u w F r L q p k 9 E 8 v x R i J i a i b s c 0 y h g E 5 B 9 o e J n z M O Q D J K 2 z C J L z 5 M d d s O G Z t L 0 U e i r R 5 B x 5 k Q C a T 6 t R 9 b A W l Y i J Z 4 7 k q K A 9 J l z 7 8 D z b 5 J W Z M G e J r N C W b m Q T K b E Q t F S z B T k Y b + t k j b s i L 6 E b u u 5 8 q c C S g M e C k Y G A 6 h v c k s B F C 4 c p O e A W Y a 0 q F H 4 3 p z y l O O 9 w O i 3 / H t + Z T M k K H g p D H 1 f q q n K M 1 R f F O 7 W E q n B E Z D S D d H Y o Z U n 3 j 4 0 i I g P d g 9 h 7 t y Z H c w H f v Q u B v f 5 M J k Y R j K r Q 6 O 9 B t k s r 3 k a x N d u v U S s h q i t c c G i T S C Q M K G q q k o k V + Y 5 r Y f + m u 0 F r V c J v D G c h u x m 8 9 D D G P Q W r 8 F R S z Q 1 1 A z F B T n n V h P D l u s r G X 3 R 9 8 W y g 2 r T I h o o A + 7 5 x 9 8 x M D C I i y 6 6 A I O D Q 7 j w / I + T C c V b r E S x 9 v 3 N m J y Y R E t r I x Y e W W n W P k / n J 0 s 2 g M u L l C Z u r 1 v r m Z X 5 q I S n z d o q Y p K C 1 W G K j i I m 6 u a R c V f i i z G / b H 5 v A M 1 N 1 G d k q j / x 9 J M i W Z l L E V x y / i W 4 8 R c 3 4 d e / / A U + 2 L Q B D Q 3 N G B k Y x s D o E D x u j 1 g l s H f f H q w 4 Y g V O O O E E s o C K y X A m h o q m x 4 X V U A n 6 V A Q Z M u v V G B 8 N o 4 Z z Q k u g p b 5 W 6 o r w c / O m B r 3 R N f S s J j R b p 6 / D O h Q 0 D z x w f / 4 j p 5 8 K B 6 n d 5 1 a 9 R A N 7 P u L + G P Q O g 3 D O T z 5 u C Q 2 Y T Q Q j e C 6 G Q 9 D / O X A n z t 6 0 + d 2 n n g F n b v h S 4 / j 1 U 9 e i c x M 5 x t k I l p 7 E 2 i c v Q v K l 9 v C m V T t x 9 I X S P B d H b c Q + v z M h 0 U t U 1 T a r M L i O t J n b U N D S f X 4 t W q t I q v H u I b x z e S l I 8 v F / C v E r W f e K T Z 7 O k X 7 i d C Z C O E d m Y T Y t R + T I l M k m q a f y w i d S g x n H r l e H 8 K U + l Z J u g + J e 6 j r f H w Y N 4 6 + j y 7 O y r O 8 l T Y G Q R C d m 4 y C H l n w q T s / i B Y C c r c F 1 g D i V z W A 0 i l J d / K w D k Y 1 o s B 9 B Z 0 o l D D L p D D a v 2 Y O j T + M t g g r 0 8 G G m I h j u y e 1 I k Z 8 X c x Q L 6 V g 0 C a u t 2 E W x Z u O I l Z j y D m M j j H I 0 l P M 7 Z 0 U 3 M r R e j x d / u / s f 2 L h p q 3 j Y V I o G M W P C 3 X f f g x 0 7 d m D M l 8 Y 4 S c n x S d I O P l U k R y 4 9 p Y D N h c N C N i Y 0 z O H g + 4 9 e Q r Y 1 Y N M 5 M J Y Y w Y L j G g Q z c a G U B 7 6 + G b v e n F 5 o x p Q v + D S z 6 R T L 5 G o i S Y m o D w U 1 M + 0 a 0 U v M x K D B K A d N a q x I k 7 j k J R u K 2 S C Y S d R 7 Y 3 O Q p C z 5 l Z y F z p F J 9 l t K m Y l R z E w 8 D h G h b Z i Z 2 M T j g E H p 5 O j h Y r j m T C z y v y 9 / K o b i C 7 K J x + 0 U f 5 m 1 Z J O P m c t j b S W m l t L X + F l Z 6 G n z v J Y s L 6 w H 9 t O X H z 9 P 0 E O o c 3 p g 6 H A R 8 B w h m K l p 8 m V o e Q c G G W p m Y u F k p v 4 t Z S Z G O D U k M n r 8 y T 4 5 i l s w y W c C k 7 M w + T i x V V n H x P U a J v Z F U D W v 2 E R K Z 1 I w i J 3 o Z K j 8 j c O F J t Y N X 7 w K V d 7 Z S 0 4 u 3 s i b A v S F p c i Z g Q i s y S E R 9 N q 7 d m P v O 0 l U L X s H l / x v 8 S Z s e 9 b s x e J T Z l e F i W E d u A c D N R + Z J V O x N O V K P z M v W 5 g C l 6 n i O m 6 H A B c 5 C W a n C w f G T A G L y Y g b X n k u S 2 2 i R k m L c a j 8 3 4 X d v x + R q u K d D h k z + T S M 6 a F v S Y u q w R a Q U n M j H U 8 j z O U i 2 m d f 1 a g I J X K 6 I / 0 a R q y X I 5 4 O o v / A E F r m N 8 r f c L k B D 9 G W D y Z e f 8 W a F i Z y K Q I w a j x I 5 X 3 U 9 j Z q 6 u y t M v E E 6 k W B X H 1 G V 7 J 3 E E P N T J p c 7 E M z E w c F e i f 0 h 8 V M H / Q b R W l i u b 8 F G u 0 F b X P S 1 V 5 8 + b c D U 8 w U o w 5 i T A 5 P S s w k S 9 F Z g e 4 x W w 2 l j F x p I m p F l O m z 0 g K W j E r M x G A 2 M Z P 5 V w 4 K M z H U F o O R C 4 6 W A T 9 n a W a 6 o n H K I S t n Q 5 R i J m b K x c o J m u n P r C 5 g k z c l B T P F D 5 A f n y k v P G Z E y U + 6 D W d h 0 / p O 7 N l w E H Z H C 1 5 + e h O e f P B d 8 r c 9 + P m N t y M w r M P z T 6 3 B I / 9 6 B Y m w F s 8 + 8 j 7 p C / I J 7 3 9 X L F c 5 H J Q N S g R 7 4 n C 1 z x w i / r A I h c N i 7 f 5 s w U v b l T J b a k z G x u G 1 y o 4 p L y 0 o 4 3 h v e W I I K y 9 h T U v f V c i n K 4 V t 4 E 7 0 y W l S s 4 V Z 7 y I z t L K T P I U K O z Y K Z M M 0 G k b h I I / F B + G L V K H O N f v 1 O L G k B V Z T s R l e Q L F G 4 H k c n t B V 8 v E s u i o R 3 m c t l i U z S K c K S p S i P f o y e m w f l z 8 d G j n e C t Z z 6 N W 8 p V D 8 p 0 Q 0 A 9 N E I z R t c u n j C u B s + m A g A Z f b D D 0 v E 6 F H 1 t H z 9 f W F 0 d T m Q T z n g 1 s / F / m c H 9 p Y R o T W 2 Z z W 6 J M w a y 3 U F + T 7 a V L k M 2 m R T G T w 3 J N v 4 u J P n 0 J 9 w 5 W i Z j G 2 M l Q y v 4 C c a g 1 Q W c g 2 f y p Z a Q A r 4 3 C Y i V G p K Q o z 2 c b + U Z a Z O N K W z v O 8 k m f W z M R g 7 c u O N o P 3 P J o N L F r y D 3 I J 8 p F G o e E a e X T v T C 6 K e K p X E E Y s t h M B 3 k S g H D O R R h j i g r k 0 c M H s G P z 0 G 0 4 z O h x m Y l R m J k a x y O Z J U X W A g a s + s Y n I 2 i m Z j / I 7 + R v + b p J M o M I m 3 c x M p r F N 4 n y O t h 0 S u b I k N m u Y b X r B T L r e m f 1 f Z i K n w k y E f D q F L J l q z E w M 1 k Y x 6 l 9 O t E p Y 9 a i d e B p 5 X V Q 8 c 4 y E W Z I E T J r 8 + m Q m Q h d L 4 K J P n S R 8 Q q 5 j c k j Q e Y b x t + E Y v K U 8 Q z n b L E g R F 1 c E z + U Q u B g I O 5 a K U 8 2 Y m J g s + s z Q y I X l O U p 4 O F j T Z R K 7 Z c y E l K a w e T Q T N I 0 g R q P D 6 A 4 M Y s U F l X P B K k F D v 6 8 y t o u J R W V O R h 1 G L o c Q O f 2 T 6 Q F M 5 M O Y Q E K s W w q m h x G T N Q A v 0 M v K R J p X 7 6 K X o O 4 n 5 m 1 w S d u L T u X D i X / / M + B K v p X A A Q 1 m L h Y g H M D g v 1 a d p 2 j 8 T F q 3 S K Z V Q 2 u V 6 p z P F L p W U E I K A m X W O k 6 D q I t P S M o E n W 3 r R 9 + m m Q W 4 Q e R t k m t A B E 6 c J R 8 t Q D 3 t M V x 7 J t q D 0 v o q h r J C o R S e k k l w N e w D f 4 R p 8 G l o y A R P k 9 8 d b v p O e Y b S G U j t j R Q H J d T Q 5 I L o 7 J T S U p T J L g X V 1 V 7 p M w c t 6 M H G x s b R O S B 1 B O + + P l v w j u e i u u s M 0 J C T m a 6 R t p K M R I N S P X B 6 p H g m h v H N Q Z g s M z N C O e T l B X T N t u O E M 8 0 v D v c 6 D X X w G g o 5 X x w c 0 B G x 8 k Z l W X k 1 6 6 G Q J c 2 l M R U m T p 2 6 C U w k e A u c D 1 c O e j b I q C a X p 4 O Y g k z V 0 g l h D n k z W H r z U J Z O C M f t j b B E e G P x W Y D X 1 Z S g U p 1 U j i Y r 4 L r 4 3 P c m V c J q 6 9 E W j G y r 7 L s z 8 1 o 5 R 5 G f W c s b t h U L E 8 X y U L D X c Q o J 4 Q j a / S 9 U L l B T k v U v w G l y P f 9 A p P n b S D Z d i r w q x 7 F i b z v m p B H k U n n l p E l i G P P m z W A X Z 0 J I s 6 1 G D 1 Z b W 3 P I S d t S v N 1 p m r a p c j n w F j k K 7 D Y X N H F p C X m 1 x Q 1 9 4 M N F t V h D q c G Z I b y r h V 5 r E 1 p I A Q c H e B u V 0 h 3 v Z 0 J U r s U t w r G E Q H a C C P b w n N 5 S c M F 7 R t l x I p T W 0 T s c x M j c S 5 d M j y j Q c a n i 2 S B b / v 7 h x H S u 4 m q z p d Z N a Y S w f k U K I 1 v l D y W I T E 5 O J f B y m Q R d C Q O p w b m I Z t I + e a M d P V X n o 2 V M q r a l R u n G g 6 w g 7 A N k 1 q U C i L d f I x 8 s x g y 9 r Y F r P m m K f W H B W L z D Q y Z B 0 j h D x o t N q p 0 m E g d V B K h J D k l v u A Z B n q S N y N S t M N J l w G W i J q I 6 f G T e z J p p C n K l W 5 4 Q Z e Q t x L h k 1 9 u N 3 i k p e 7 j I c w B D B V 6 g y F J q p u 0 t Z w u l Y m s 0 P Y r + o K 9 s w f 3 D B R e z N J A k T q R N Y k f J / y S k O a 7 y 4 x d x L 0 L 7 5 H P i P a e D V U Q F h n K Y y 1 + X r R t m K q 7 e K m H 6 e f V H 0 m V H y C R U y T 5 D J g E H M e R s o S / J 8 B n 3 n o 0 a 3 z r 5 k w T 1 G Q b / Z h h G 3 i a t 9 B 3 k z J V N X a 2 f T K u Z 4 F 3 k E I x l c Z u g N + s Q 6 C T n W z b x p F w + L T E S p / u T L 2 W S 4 / v U 2 D x n C o h N 0 c g k 5 H U x J W n w p e j x 6 8 k k 5 J 3 O i 8 O 4 R a D 7 a B L E t J z E S t B 6 p P Q o J b t A Q L b r k 2 Q O f j i o 7 i / 7 Q O X A V Y p 4 5 / A M T y E c B j i 6 1 m w / F j Z T I W H 2 3 w V v 4 V K l C 2 E 8 K 8 1 x 8 Y b j / y k Y S 9 Y I q d H j v R C G 6 C E C N 8 R Q 7 B + W y 3 q I J M v b f k x f z U 0 N x F j s W 5 b P 2 N f V R 8 j y 0 k H f 1 4 F M M o d 0 u W 1 r K 5 i W a n C O I 5 d 0 5 h q M k 8 4 V R Z r e J C 9 9 t w 3 8 C W n n U q Q b p C K v M 0 F b N Q v T q g i 5 6 W p U 2 s q j c u v z O i J 8 Z i 4 5 m F E O 7 V U V T B 9 R 6 U Z + S r p P 3 k x M y x n h p H 4 j m e L w r b o z j C V L r v k 7 / l r 9 U s A Z 6 Y O R b f B F i a P l X S A E 5 A m 9 c p t 7 8 U Q u p / T w o s v Z l g B j 5 O I D C M X 2 F J l i p U s R P g y k 3 S S l M e A N x 7 l u H j v n / L K R T 8 l z V 7 w J 3 n 8 W G t T H P o B + p j J k u c K z l T K V 3 U R + T o U m 5 X U J + F K S V Z B K Z p B M c C a G e t T o 7 s Y s 4 v U H U R X Y C 1 3 / X B j 9 h / 9 8 n A 1 v 0 X m Q I a s m R + Z i k + 8 N + R s C W S a O / l s Q b b 6 e O H h 2 / r i W q / 7 w Q k n O l j g U t u / c D V 9 u H G O j k 4 j R A 4 Z D U c Q T h y E N B e E U d w p j x 3 C Z e 3 N Q g 8 F Z 2 2 W Y 1 T z w O J m e x a F U V p w j Y b 3 o e F t t 8 c Q x f 8 d X U b 8 U t N i P Q Z N 9 B T w 2 n u h U d Z z s P 5 S b 6 G U H l 1 + S r T 6 9 s 1 9 7 b g v + d t s z 5 E 6 6 8 d 5 r + 2 D R 1 i I X 8 W L v g Q x e W L U L L z / 9 A d a 9 e Q C b 3 u v G P X 9 6 F m 5 r C 0 a 6 / z 3 N o v A L V 3 T l u n n s n P O L 0 5 a Y 4 U r 9 K W Y 2 E 5 m J m r S P N O 3 h 1 W d Q M G o 7 T n 5 X H h X r z 8 h Q 1 U 8 t Q p j M Y m W U O D O d N 6 k Q l p H q e v x x f u h 5 h O u W I N t y E E F H E L n e e m g P N e 0 z A 4 a 8 Z 6 B 1 / H n Y J 3 b B M L 4 W 4 Z b v y N / M D r p z z v n 4 j S + 8 8 A K S y a S o T f f K q 6 8 i E o l j 4 6 b N W L Z s S Z F U e O S R x + H 2 O L B j 9 y 6 s X L E c G 7 d s F a W Y z W X S 7 y u C z T X e Z Y M u + + Y B M 7 p 9 e p z Q V o a Q D i G 1 L a k 3 k L K d I H 8 q w G 4 i p s i R + Z n o h s 0 r m 6 B M L B z x 4 b 9 l o j l 9 k Q 8 w c D A K h 0 W H k U w H e v p H 0 N D A q f x m s e q 3 c 1 8 / G h s a e X 2 r / I t D 4 8 j l R 4 l C L j k S D D w 3 M j 4 W F P X L 9 + 3 b h 1 S K C D 6 Z R m 1 t N Y 5 a e R Q 2 b d q C t u Y O + I K T 8 N R + + A n 1 R M Y C l z a M R I n 5 k 6 v Q l + x / Z X k O T 2 e Z i o B Z i R l n 2 p 2 j F F m D D e b I I J z + P Y j b p 6 9 8 z Q X p 2 q 5 C v y m 7 k h w K 8 S y b 9 W W 4 U S U J N b k M I v p G 0 i z S 8 / J a r 6 R t E H H e c K J 7 L j T e 4 s I 7 s 0 U s c C G S s V a Y 2 q V p F y 4 T M F u f X G R K R O M 8 6 B Y Y d D l S 3 z p R F o s X f e n K x D c D P V G 4 2 6 c v C D s c M D N p u L K P v n y x x E M j T 3 6 b j 0 z N 8 k 5 o N B A V i y C 9 M 2 y y l C e / T s O m K C G b j m P d x u 3 Y v n 0 b X C 4 3 r r 7 q c t x 1 9 w P 4 0 p e + g H f f X Y O T T j o e Y x N D M L k q m 3 Z a G l w j S f w U E a O y H E A N L t P F l Y U Y S l Y D 1 2 h Q N M l / A n Y y 7 S b z b p g M 0 w U U h / c P J y J 5 q I 0 D y q F u 9 C 2 M 1 n 1 U / i T B O L g Y q a Y 9 8 i e 6 r r 5 K L h B T A J t 9 5 T R V O b 9 L j f b Q i + h x T t / Y Q s l 2 j w 3 l 4 M Z S p B o K 9 5 8 R R J f 6 g b l w z Z f o n o N x H D 8 I p c l M T w + h 2 T q z N m Y U p R 7 l c m T A y C s z K y H Q H 4 G 7 g e 9 8 e B k P a n z Q Z 8 S x r f K g l 6 b j s N 1 C B J Y h m z + Y l n L a S p d k 2 I f / j E j D N + R P J c g E s e f 9 M S w 6 Z Z 7 I Y j 4 U x M Z n 5 K c Z f H u Q a z l H Z D 8 r g l G r 1 y F H 9 n A + O Y S A J i X m Z U p R b o M y L Q 0 o a w W u u 2 f O p h H U W E l Q S f 5 j l J j J V i a r Q W E u 1 h q V k l 8 P B d 5 o 2 p d 2 l r 3 + T E m 1 M + F w l + M 3 j 7 + M g Z q C b 5 s Z s k D f W N y e 6 c m y p F 3 T G p h L J v E 5 s l o p r 7 L d t w o 9 n g v l T z N D 3 z c P m R a J O V m L v f b c Z t T V 1 a J j T h 2 q G 6 p E 1 S Y 9 a I z 8 t b A 2 S j v P 5 z k L n s Y i c I C Y c r 7 E 7 Q O x D Y d k q i K 5 c C h m Y u h z E / 8 W M z G m m I m h M J M S U a M H F j W y m Z l 4 / O m V U 7 a L z J H k i f Z X Z i b e K 0 n v Q n i I S I e Y i T P U S z E Q 2 S S / k y B 2 E T Q 1 Y e O A F c l M i H z C B O 5 / 4 G E 8 / + L L 5 A g n c d + D D 0 J v r h P Z E 6 V g J i i 3 2 5 9 i Y m X p b 5 S + V 5 i p Z 6 J J E H u m T G C H 5 0 9 Y U 1 U i e o 5 4 K W D W K A f e a J q v z + W U S 8 H X 5 e D E 4 U J h J i U h V 9 q g W g p 2 8 E u N V D a G g 5 4 T h a Z S U G 4 T d N Y 8 4 c w o P S 8 9 k z z G Z m O e + k V 6 r 7 w 8 5 v J b + r S O P z d r Z m K E m z Z A 1 z 9 H X J P 7 7 u P n n o F k K o W x s Q j u / 8 c q 3 H P n c 3 A Z W / H P Z + 5 G J B T H Y 4 8 9 B d 9 k E M G e J N E R 0 e N e r o V B f r m + R j D V T C i b H D s T Y u N x W G s + v J 3 P m y 7 z n l C V w A / c F x y C 3 R y H Q 9 t Q V A K L Y e 2 + E 8 m q U 5 B 1 l x S t T E + K q A y X B R v v G k f r 8 t k t C F N g G n 0 N g 7 p j U V P r R C K R Q 1 9 f P 5 m 9 D i S S M X Q 0 e x D K k Q / E K 3 F l 2 D N R s Z 1 M J S i L 0 z 4 s T J k k k v o C s 3 L 2 u E n r n L a 2 q T S L g X 2 g W L k Q 8 v 9 H W E m w x F T Z A l J 0 R F A v c R R z x 8 z g 0 n I S F 9 F P 6 D c c b G C o q w x L y K N 5 + A U c q D l Z P l t P / m g W T m v l l Q v R p J W E T E w w u z l p h m Z i A T F J H q n 8 J M y 6 e i S N I 8 j o E w h G w q h p N s F j m o N 4 M o F s R g O 7 v H 5 q I N w F Q 9 Y E w 4 Q T n n k O a k U W E 8 n 9 c O q b 5 E w O j b B e B s g X P 2 z j X W c m B z u i R a y M 9 J 8 N N v Q W i I z X 5 A f l r A E G S y 6 u F N R i J 4 1 g m D u N m c z 9 9 y H W 8 X V k n Y v J B 1 N J W y 7 n J a e I H H g 1 P I 2 Z R k K H f s x U 1 X F o T r 5 O b d L C Z N R j / r w O N N R X o 6 O t V Q y e u m Q W Y y Z m Y i Q q J F X G E r M T R s x M a o 3 C z M R E U Y p S b c X M x L / L V k h K Z Q 3 z n 0 Y R M z F I 0 z Z N v A 5 j t K B V Z w K v t P Y l l F Q 2 8 W c a O O T f 1 L s K A w 0 X C D / M L F 4 O w U y D / Z W T d J U 6 8 k a d F T m r F t n W T m S a D y J h j U H b Q H 6 8 J Q + r w 4 6 D e / f B g i b s 3 d + J Z 5 5 5 b o q Z G L y j Z l q X F M w U 6 S G m h A 4 1 p s W i 9 k c s 4 x P + F T M T Q / R 6 M F 7 8 F E F y o L s m y j i w x I U 8 u V t j z 8 F K K v r D 4 K Q 5 B X O P 1 a n L V F j 1 q u T O c a H J o i 0 Y 6 b 7 G k d e Q a P m 8 9 J k c f 9 s w 1 / I j i E p F U g L j 5 m f 2 Y f n F 0 w M V b u u h 2 5 o 3 u p C s L i w s 7 A u v F 3 8 F 0 j 5 U 8 a b M M y S a K s i T Z m L t p E S z + H p J 1 a 4 R V t K 8 h 4 L S B m m F L s v D t L h G q q h A P 9 d 4 M I p K R q W I 6 q 3 k g 5 a P 1 P 3 n 5 6 K K o Z i G y b Q Z q f D s L R l + Z t Z I G d F / 9 H v S E N U a L + r 7 X 0 Z 7 6 H l 4 R 9 Z h s I 2 3 J y p G O D 2 C p p Y a U Q r g c O C o z s P M D J b N 4 a k n n k P H g g X Y u m U t 9 h J j e T 3 V 5 F c V I o R 1 N i l 6 y Z r K 3 p 6 A f 3 + C f C y J p q x 6 z s r h X R P Z d S H D u m d w I l + 6 m 2 A l 5 N K 8 f q Q 4 G f b D g D v L N M u i 9 L r g P i K C J D L u I + Q j M r g A / 8 j b S D V f i O 3 9 e s R i K f z z h Q D u + s 7 0 s O x k V A u v 7 d D P a B l 4 E L H m z x C p F j + f q C m g M 2 O S z L 5 D I Z E N E l F I T M M V j F i D m H R 2 p H J R G D R m k n a V N R s X W 1 E Y R D H l t L k 0 I r n J C q 4 5 S W D e L b + M o c H L u x M V s u T t a T J X S 7 T / f x q c B 5 f r c i I z 7 9 A C R A E z u 3 N i O 1 y a f v h 0 i x G p k o I X h Z 0 S J R T K n v E 4 f T j B r s C e j l F f F B Z O 1 o e H k P Y c S / 3 N 9 S 5 0 Z O b H a M x Y M B T T R C q S Q S q U g r 2 R f y s J v W w u h f 8 H R v a o D 5 / 2 N W k A A A A A S U V O R K 5 C Y I I = < / I m a g e > < / T o u r > < T o u r   N a m e = " S a f e   A v o n   S t a t i c "   I d = " { E E 6 F E 4 4 0 - 0 1 9 D - 4 7 E 5 - B 3 C 9 - A 8 0 E 5 A 5 B E 5 D D } "   T o u r I d = " 0 2 1 7 c 6 c 5 - 0 3 e 5 - 4 8 4 5 - a 2 6 0 - 5 c 2 e 6 e 2 d 7 6 f c "   X m l V e r = " 6 "   M i n X m l V e r = " 3 " > < D e s c r i p t i o n > S o m e   d e s c r i p t i o n   f o r   t h e   t o u r   g o e s   h e r e < / D e s c r i p t i o n > < I m a g e > i V B O R w 0 K G g o A A A A N S U h E U g A A A N Q A A A B 1 C A Y A A A A 2 n s 9 T A A A A A X N S R 0 I A r s 4 c 6 Q A A A A R n Q U 1 B A A C x j w v 8 Y Q U A A A A J c E h Z c w A A A m I A A A J i A W y J d J c A A I L 3 S U R B V H h e 1 b 0 F o F z V t T 7 + n X G f 6 + 5 x I w m Q A C G 4 F S j S I i 0 t U P e W e v t e l b 5 X o y 6 0 l C J t c W / x Q H H i C X G X 6 2 7 j L u e / 1 j 4 z d 3 z u 3 C T 0 9 / 4 f T O 7 M m T P n 7 L P 3 8 r 3 2 2 p J z r F O G y o R w 3 A d / R I + m 2 h r c 9 d e 7 s W v n L v z 8 t t t w y i m n 4 M I L L s B L L 7 + M 2 2 / / I 7 7 0 p V v w w R u u x 4 M P P I y 3 3 n o T 1 1 x z L Q w G A 8 b H x / H U U 0 / i v P P O x + c + 9 z k 8 + O C D a G t t x e 9 / / 3 v M n z 8 f d / 7 1 r 3 j 8 8 c f x 8 s s v Y W h w E G e d f Q 7 s d h u a G p s Q D I V w x h l n 4 P 7 7 7 8 e t t 9 6 K b 3 z j G 6 i r q 8 X Z d E 5 N T Q 2 e e e Y Z L F 6 8 G B a L B b 2 9 P e j r 6 4 f L 5 c T N N 3 8 E 6 9 e v w 7 X X X o M n n n i S r v 1 v x O N x X H n l l d i w Y Q O q q q r Q 3 t 4 G t 9 u D o a E h 3 H n n n f j o R z + K n / 7 0 J 7 j t t l + I 7 z 7 y k Y / i h z / 8 I U w m E w Y G B u j 5 v o h 7 7 / 0 b G N / 5 z n / T e b f h 4 f v v x Y o V K 3 D x p V e J Z 3 3 m m X / R t y q 6 l w z X o B t q a 1 S c r w r 1 I K 5 v h R Q e B C Q d Z E 0 F / V W J 7 z I h 0 / / 8 i t C P 9 P R W R r + 7 G 9 X G O k Q R h k V n h x R x Y K x L h b A n g o b l Z j r P m P i t g m g c 0 M p e j B 6 M I W r x o a K 2 D B h 5 B z / 9 2 1 v 0 T D d R / z + M y c k J / P x n P 8 P 3 v v d 9 / P L X P 8 Z Q / z i M 5 f U w a + P Q q m W 4 g x J s B h l y a A A q D d 2 D m 6 S x U f t H 6 H 4 m y G o b t V 9 K 3 L E 4 A h E J A y 4 N a q 0 e W P U G R G M S p F g U r q M S K u b T N e g 6 l o H f w 9 v 4 5 c Q v p o c U 9 U P t 3 w d N k N o X c y F Q f S W 1 z 4 6 9 M T v c s l a c E 4 2 E 8 f B v f o J X H 7 s f Z 1 9 1 P Q 6 8 s x E j v d 3 4 x A 9 / g V c e v Q 8 r L r w U / / j 5 D 2 A r r 8 T 5 1 3 0 Y N 3 7 z h 3 i F z r 3 n R 9 9 C T V M r Y t E I 3 n P j J / D 2 M 0 / C 6 3 J g 3 r I V 0 B u N W H X 5 1 f j z f 3 8 Z X q c T P 3 n 0 e X z 3 A 5 f T 3 x f Q O m 8 e Z E k j 7 j 1 b 7 U W 1 F B L v k 5 A O 9 2 2 X L f o q G D U 6 G i Q / K i p a I B N R y j J 1 i E q i v z G o B F F Q x x M R 0 R H + m f h x E v E Y 9 b 8 6 8 Q E 0 0 u L 7 z H P 4 1 3 T F q U / K 9 3 w u g 4 i T D t H t E u D j C i H y 7 + T E N W O h O D R 6 d e I q y u 9 j N G h q t U 4 c U a B c O 7 O V q e s p S L + / h E c e e w I j w 0 N 4 4 I E H s G n j R q h U u U y w e c t m I U y Y 2 a + 7 9 l o i F i / i k g G u o Q D U h j H q Z D p J T Y w Q 6 o e s r R L f 8 9 9 S 0 e s 6 m n i n g P u q m R 7 L P b g Q t q a j G A r p o N a M o 7 F s K c I h P 7 a 8 s x t 9 v b 1 Y t 2 4 9 / v C b 2 / G R T 9 6 M L 3 3 + U 5 i 3 Y A k O H T 6 A Z S c t o T 6 V s W n z W t R U 1 5 H w m E V X V C E U l R C h 8 b L o u Q 8 U S F E H d U U I s q 6 W P y n H i M l k X T 0 9 h 5 u 6 K 0 z d R 4 2 R 9 P Q N j Y d k x O 5 h P e Z U R 2 D Q p K 6 T D r 6 H N k E T j k M x V O r u R b z t U x g O 7 E K d 8 S T l i w T 4 C i p i O M d I J 7 r 7 R 7 D s 5 N O V L w p g b 8 w 2 x V B f v O A U h A M B 2 C o q Y C 2 v g m d y H O P D g / j Y 9 3 5 K T P Y A v n D b H / G d 6 y 9 F Q 2 s 7 3 v f Z r + D k 8 y 7 B 9 z 9 w K Z a f e z G u / v Q t + P h p c / H F 2 / 6 E X 3 3 x I 7 j 8 I 5 / B k l V n 4 9 d f + g S M Z j N O J w H 6 + h M P p T H U 8 2 i Z v x g q U j 5 x l T k / Q z k n R 0 W P e A J H Y D f N g c l S T p + I d Q R N 8 T / E X P Q 3 R Z w M h R C T n R + P 0 i X U M e 5 q C H J P c H A K M m L E M W q + q E z S f E p q J / 4 S 0 8 b o l 2 p x O W W A m P 2 U 9 8 o 9 I s E I d A a l E z N B 1 4 6 R p J f o 9 y m u z k C M N Q F B J W n p a u l t V x j t 0 c c e h 8 M x i R s / / G G h B f N h 7 b q 1 8 H i 8 u P Q 9 7 0 k c o e u S m n A P s 4 Y i 6 i F I 8 Q B k 0 i Q s 4 R X i p K c g I S V T 5 0 + H K P X L i H e Q u i J O j B p D / 4 F J n H / u O R j b F 4 d D t w d H D g 9 g z Z o 1 W L n y D K H x m f F H x 0 b x v e / + F 8 K D + z H S V 4 2 m R e N 0 J R I / u h Z 6 L D 1 p 0 B h C s S A 1 L A R v Z J z u E Y K O G M O k q a G / J t I q W o T C Y Y z 4 z G S d a B C h 7 j B p Z b R X R G F R T 0 C l Z V p Q 4 A q q M O 5 T o d I U J 6 0 W p 1 7 j c a R x 5 v E k 4 S H R G M r a y s T Z Q J g 0 l I 6 0 Y D q Y S X 1 O E t 4 1 O g S i N P Y h B 1 k O f f D R t S 1 W C z r I Y h C a O w 3 U H Y I K W M B r 6 H o 8 a u k M V R z K + M Z i p B R I W k t Z 1 k K m k J 8 J F L p M M l Q 4 5 q d n N a L f v 4 U Y a v Q Q 8 Y s V w 0 c n U N c S h K 1 m O Q + J u F G U n k a j z k + k U x A M o i E t J R 6 b N B X / V X 4 T m 9 J u f P t E w + k Y E 3 8 S f H a Y L S a S U H o V X y v t f o l z I 6 E o t P o U k 5 J e E n + l x H 0 Y r P o 1 W m a Y Q h 2 k d N 8 U + N p 8 N h 1 i k 0 v p 7 O z f K g N S G D H S U C z Z / W Q y k f w P d Z H J 1 0 4 M N U B X I s b Q N S k P K C 5 b q F 1 J E A H q 9 f j i l 7 6 C 2 / / 4 O 7 h G X P j H o w / g U 5 / 8 B L Z v e h M T 3 h j K b F a c c e b p 8 H k j M K m H 6 L 6 N M B 3 + H a K q a k w Y z 4 F n 0 I z G J S 4 M h L y o t y 6 G x r s X J t / z N I 6 k 3 a K k Z f i Z y f o g u U I m / h y 6 p 5 q 0 D Y t A O q 5 i z W N G p P 4 C E g C k j W I B + l o x M 1 m r 6 Q t o o m w E o p P w R S d Q Z Z i j 8 A Y 9 d v L J h R V C j L 1 l R y 9 O W 7 G Q B L G f 1 B g z 7 X R 9 k 8 K Y V 4 V R o 6 U o Q 8 V Y o y a g F k K U x 1 5 F 7 a F n p 3 F m u l Q G R o E 6 R w F M D 9 Z S H S R 8 c j R U z 7 6 j s q 3 W h D 7 v V m I e U u N 1 F y Q 0 R T q 4 Q U y O T F z J h t A w U M N U f I y o k n 8 i z i L J l F Q U c f o + R k y p 1 W j E w w i C l v j 3 d B 5 J n L i s g Z Y G k s H 8 q B b f T X U / v R R i j g T p G o Z i h E 0 g k 4 V E K r 3 J P C / V 2 l y I l t A / P N B q f g x x V G G 0 7 O v k R w z u M R 8 G 9 w y i 4 e R q M o 8 c 5 H e k p D p D i n n o 4 i b R N j a l t T q d 0 A q h Y A h 7 9 u x H Z W U l 5 s 6 d S 3 7 d T 7 F 4 y R K c S 3 7 j I 4 8 8 h u v f e w k s V e Q X q T Q w b v u B U A a B h b e Q D 0 H m Z G Q S 5 u 7 b 4 Q 9 V 4 A 3 H K T h 1 8 U p o N H o c 2 L M J q 6 r X k J o x w 2 d c j Q O x d j R a S f p r S G u S 1 p O h I W I f g 5 k Z v Q g k 0 m r 6 k e d I l p F l E n c h o m l D z E Y M o C W f k P u Y x j K f b y j F Q j A P / h V B + 3 n Q B 7 c h o u 1 A R N 8 I r f c I 1 J E x 0 h J u G l U 9 + p 3 v R + U C e + J X C c R Z k 9 J D l k D c g 3 E j R k O a D L M 1 H X G y S I L k c 5 k 0 l a T h w u T K B G E g y 0 E I i i w E i a m l m B p 6 E m Y z g c 6 3 H W X m u b B J x L z 0 3 D x O U B k g d W 7 s l 7 X t Z A 4 w Q Z L U a q 2 z 4 + a n f 4 w j s b H E T 1 P 4 Y u U F + M D Z l 0 0 R K U M z 1 Q E x E n 7 E T G n + B 5 + n m F j K s T i b C f R e M G E O l L M V K O / 5 3 x g Z 4 6 z 9 J G Z a + p r H k Z k g O a Y S a d A w m Z w R e t m M 9 E V C 0 / B v + T r 8 W 0 U y 8 b W T 1 0 + B m U l D E o S / Z w G g I o m t / F a B k N 6 i v b m / 5 S c K R y I Y 2 j d I W s k C b V k Q 5 k p 6 R n b m C X z N 3 v 5 h u F 1 O d H f 3 4 L 3 v f S 9 p o C / h r r / + B b f 9 7 F f 4 x r e + g u e f f x G X X X a Z 0 L D O I y R 0 N B O w t V S i x 6 G B T e N G t Y X u H 5 m A e e x R B N u + i S N 7 N m K e r Q c 7 3 a d i 1 9 5 d u P j U a v z z t c P Y u m 0 3 r r n m / V h 9 2 h L o S I I r n R Q i j U D + H b V n y p + j v g j L A T L 5 p j d D p 4 N + / C V E z I v g I s a z k p U D D b 0 S 8 E Z G Y d Z W w x 9 W E Q O n 9 6 g C 9 6 g T l g o b 0 W E + W k i A T X X W l O K 6 q f 7 v j p P A k N U i E M L D y n 5 c M E g W C g n n U M A H o 4 W v S 3 S Z e 9 t p w e a h e j q r j C B R u x p J t t g l x Z 1 I Q q U 2 R G H V N t C r H Z V m J n 4 I Z t q o 7 c 9 5 j b o m h X r c s 3 s P n n n 6 W W I m v r G M 7 T u 2 4 9 n n X i R n O Y Z 7 / 6 Z E y B g p Z l K u q y I J y c z 0 y K O P E K E T e x G z 3 H 3 X v a S B Y g i T F o r Q 7 / k Y C X L R F 9 y F G i 2 Z Q g Y 1 m X x q a H R q v P z q y 3 R M + e y n D n 3 9 r X X 4 x t d u g U E X x 9 G u H n z 4 x h v x 7 L P P i N + y 3 l T R Y K u p c 7 m T + L 3 4 T K 8 I E f D z L z x P k p 1 M A O K q c C i C e J g c d m F / J o e P / D M i Q H b u 4 8 z B A v y X W 6 c w m h T z o b z N i r K 5 K p i q j P C P e z G 6 x 4 G x P U G M 7 P M g 7 r R j 4 6 Z t O G / V h d i 9 / Q B + + t X f Y W R 3 A D d e / C k 6 x 4 / V i y 7 C 0 P Y x O A + p y A 7 v o v 4 9 B F P 3 b 7 H I e w / 5 K 6 S V q G 1 r 3 x n A 3 W s b q b 2 v Y N a S s / H Z X 7 1 D P o c R + / b u x 2 s 7 i O n q m v H N L 3 x P + F w 6 A z E K 2 3 Q k j S X y 6 e K G D o w Q c f v D w 9 R s 9 j X p P i e A m R i h q k s w S U Q c I c Z N Z y a G R V s j + j / J T O x T i T E l X / 3 A i A Y h c w U m g h q 4 O p X + z g t + D g 0 L p x Q z M Z i Z H P Q o Q R q T E D 2 P O 0 7 + n 5 6 Y T G s h T V o L L 2 k j d 1 w r z M L C L 0 3 i p U 4 7 p o W P t A z / d Z L W S j + e / f K Q u R w W t J 0 J 9 Z c / 8 o 1 b B 0 g N V x E z s U T V 6 Y 2 4 Z / 8 a 9 K v d i V N S u A R z s W L 2 E j J V 9 m D 9 + v W 4 4 I I L x f G 9 e / f g v v v u x + r V Z + K p p 5 7 C w Y M H 8 e S T T + G s M 8 8 W t P f H 2 2 8 X Y f e J i X G 6 v g 5 P P P k k 5 s y Z h V / 9 + t c k 4 U M Y m x j F g w 8 / C K / f i 0 c f e w T D w 8 M Y H B z E n / 7 8 Z x H y v u / + + 3 H e u e f S e z d 2 7 d q N k 0 5 a I u 6 5 f d t m v P H a v / H 1 r 3 8 V d 9 1 1 l w h p L 1 q 0 G B d f e A F + / N O f 4 Y U X X i B B L V P b 7 s O W r V u x c + d O E Y I f H h n B A w 8 + K J 7 3 l J N P J i Y j Z t U Q w 5 G k 4 2 N R Y m y O X L I J y 4 w o 3 E P x i T U Y a 2 S F S P h v P B Z F L E j a n N U 9 D a 7 W Y s W o x g J z r R a V 9 V q U 1 W h w 8 v I l Z L J K q K k r h 7 5 M h t E 6 D G t z J X T l M n w I Y N O + d W j v a M C + v g F 0 j v j Q s O x a X P f 5 3 + L G m z + K r Z u 3 Y 9 u O n X j P p V d g 0 + a N U M t O f O i S F l Q 1 n 4 p z z l q F B f P m Y F Z 7 B z B p g Y G 0 o z o y q D R N p R e m I W s k s 6 E F W j V p L R K A I 7 4 h W H S Z x J 8 f g v y V t 0 V g 0 N h h 1 G S a u Q L U j + F o D J u 3 b M P r b 7 x F 4 x B D Q 0 M D W X R W V F F T m N H 4 Z S g n g R a J w 9 0 V g a E i V z N w n 0 Z D A X g m R 0 m r D Z H A o / e m a k T I 9 O R x 4 / H i e z F e f f w h 8 Y z 2 K j K / x a F i z 8 D H k 6 8 k U u e P 9 n V j 9 4 a 3 0 T x 7 n v i c A 6 K D C l U E Z j K l 0 6 H + + p e / f K t a 1 Q + j y U K S J g C T w V 6 E o e Z h 1 Y K T U V Z W h g 0 b N u L 8 8 8 8 X x N f V 1 Y 3 T T l + J B x 9 6 C D 0 9 3 V i 2 d D n e e / n l e G v d 2 y I y 9 + p r r 5 F K D m L / / g O C Q f r 7 + 9 H Z 2 Y k f / / h / s X b t O m z f v g N 1 d X V 4 6 6 2 3 8 L G P f Q w P P f S w u N 8 3 v / E N / O U v f x H f c X i 8 f 2 A A H R 0 d x B T P 0 r X 2 4 3 1 X X 4 l X X 3 0 N F x A D v f 7 6 G 7 j 5 p p t E 5 O u O v 9 w p m O 9 / f v Q j / P D W H 2 L V q l W o r q 7 G 4 4 8 / h t / / 4 f f Y s m W L s J m 1 W i 2 5 G y b U 1 d a K A Z f Y Q a e R U J P W U m t I v p L 5 G o + S h q I B l + L 8 X r A Q H V e T x q K B j p O W J K 1 G d h p 1 s I R 9 I 1 r U W O I o J 9 P T w A E W M T 7 K A P F 1 X 3 v 9 T b i 9 f t T X V e P z X / w W P c f z u O n G G / D X O + / C V d d c j l / 8 5 j f 4 4 A c / g E 9 9 + r P 4 I 7 V z z b O P 4 K o 5 W z D 3 r K 9 g O F y O 8 8 + c h 8 b G O V B b 6 T X w K s z x l x A 2 n o a w J w w 5 r I e q L E D j X A l E y W / T k H o T 8 0 i k q X h e K a F B I u S w D / u G 4 Q w 5 o C I / 1 q A 1 i O O 5 S C e 0 0 v H C m n / j 3 6 + 8 h r H x C W F 1 n r x s C Q m w U R g N R j h d b h w 6 3 I W W 5 s b E 2 Q p U Z H I z M 3 H U N B Y m k y t p B l K f D X f v I w Z p g C t u R 0 1 t B Q x k z o 3 J e o R I Q / C 8 0 R O 3 / 4 r G g y y V J x 9 C 0 O t B 1 9 4 d 2 P H W q + g 7 t B / v v P Y S u g / s x d p n H s f k y B D W P H A 3 h n u 6 s H / r B j I N / T i 0 f a u Y q z q w d S M O k n D e 9 u Y r q G 5 q w d 5 N b 2 P j S 8 / h 6 K 5 3 U F F b R 4 I x s 7 0 K J N Q 6 N 8 F A z J 0 O 9 Q 9 / 8 p 1 b t Z I J 7 i M W 9 O 0 a Q / 3 c C t x 7 Y A 0 G 1 D Q o W b g o O o c 0 1 E k I h o J i 4 l R H p l f H r A 5 0 9 / a g q q p S h J w 3 b t q I S Y c D h 4 8 c J g f 7 X D Q 3 N w u G u p w Y r K m p i X y J b g T 8 A X F + F 5 l o B w 4 c g N l s x h J y y E 0 m g 3 D Q t 5 I 2 Y Y b w + f 1 w 0 L X 4 u / d c f D E 9 g 4 o Y t g c f u P 5 6 W G 1 W b N q 0 h Q b J J Y 7 N m T O H t N c u + O k 3 / N q 1 a y e 1 Y 1 I w c g / 5 L 3 y O i h j h i i u u E P c M B A K k M S d E G J w 1 G 0 t C D h u n B 2 T 4 L f u E a q G 9 F E b j w R N + H Z 3 M k w k T X e P Y + d I u j B 4 d h z n k h t q o o k 4 m I q X r J Z k p C Z 5 I t l q t + M r X v o N a Y u J f / e L H e O a 5 N U K o n H v p S b h s 1 f V Q x f 3 4 2 C n 9 q C o 7 g D k t p 0 A T P A q 5 6 k x U m 2 V 4 Q n r i 0 S g m / F r s D 8 x F Z e 0 p U D t 3 Q 1 3 W C H 0 F f d 8 7 g T H N H u h 1 d e R P G M X 9 O e I 2 H O 6 C n S f K y H w y E q N V q I j p S Z g E 6 W o 6 N W k y b m s + s J m b f A b i D o n 9 M Z L M L H h E 7 3 C E l 4 M J M S 9 1 n B F S a B B z 5 i / D i l N P I T d g t 5 j s r 6 H n X L J o P p q b G o U g r m t o p r Y p l 8 w G h 7 b Z B Q + S P a c 1 K t r K U q Y Q r D k t A J F k q B j 5 B j 7 y T 3 l S t 6 a x l d w G 8 g 1 p L B e u O A N H d + 8 g X 9 I k 5 q i q G 5 t p 7 D R w j o + h Y 8 l S Y q 5 h e j S y P j R a u C b G 0 D J 3 A T G n E x 6 i F 6 u 9 D L 0 H 9 6 H / y C F i d A 3 m n 7 K S m K q B 7 s q m f u Z 4 l u v 0 M F G b 0 8 d Z c k y M y C w 9 f T 0 m W N u D Z J u X Y 9 V T X x Y + U z Z + I 1 + B r 1 z 5 0 c S n 6 c F d w H N U T I y Z T V G Q U r C F w A / B Y U 6 F 0 N l h / C u Z d p / 5 7 G f F t 8 n f Z l 8 j 4 B 3 D d 3 7 w M / y W J D 7 7 S V 6 v T z B h E n x f j r j 9 5 c 4 7 8 f n P f U 4 5 S B D H 6 R / u o / z I b T G b r E E y V R m c p X F o 4 y F E J s s R C A 9 h x f u X 0 t m 5 F 9 N q d Z i Y d K L M G I T k 7 o I p 9 A p C v l q 4 y t + P 4 L g F 1 j Y Z g + F 3 0 G J d A e v g r + B p + K b 4 3 b g v C q + 8 F b W G + c Q Y Z e I Y + 0 X G v v s Q a P 4 o n I d V 5 M v l b 7 z X t w s W c + a E a i b o 2 W I c 8 f J B V p O P x a 9 p R o h N S l l o P p 6 Y j x I z c B S N f 6 O C N 6 R G j 4 O E E T H I / J q U 4 8 6 B B K O W z y k O T 1 8 I l k b S r n k G o 9 R 5 q P T J 5 e n A G s 4 9 O Y 6 r P n V L 4 k j + Z + e 4 A I f g G T w P 1 T T w C E J N 7 x O f G d L k 8 E F Z p S u H Z y g A e 6 N Z M N R D b z 6 L U d d E 4 p Q U z l + 0 E i f N W k j v 2 G 7 M b C k Z R n S b / K J H p s 6 O x 1 j S K 9 8 X H 6 Y T g F g A D n c Q 5 e X l Q k O x H 2 U 0 Z q b u J K G w L P 2 E G p U 7 X c A g M 0 Q E J E h 6 k i T P Z p B 0 h k q H e 8 K F w 2 9 O I B o L o q L F i M Y F N e T L R C H 5 B 6 H z v A N N p J + s M Q n e 6 k 9 C 1 q c m R L m t r q P 9 s L b U i M / e H j U M 7 V o x q T k R 2 o c a A / e / g o g / Q g x I G p N M J Z 2 N z d U 4 w g 7 y B 2 1 h m G v S T D k 2 A X l O a S o i O z N I k f G p K K H k O w T Z 2 E y d x t f P 6 j A a Z 8 l / B L J 5 f u J A E t x r 5 M K T d n y d z N 5 Q K I x K M s G Z 2 Z Y u W Z Q 4 J x f B y Q F 6 r n r 6 X S Z d 7 S G G 8 p T A U E l w J D e b L z n y K 9 q V Z U W U D h m z p Q l U c 4 Q 4 R P 2 j U 9 L M R K a E p 0 t P 2 i l E p E M O H a m 8 n p 7 9 4 g f Z 0 J C z 3 U T q M 6 c j S 0 C M N J X E k 5 / 0 n t 1 7 d v B 5 Y j a f B D 9 e S H G S s m m R r F I Y O B q X R N g 1 F 2 T e 8 a / F o G Q O L K M Q Q 0 m + A e i H / g m N P Q 7 / q B U H X e f A N R q A R r I R c + g Q M c a g l X 0 o a z B D r S V z 0 x 8 l u 1 6 Z k C y z V 0 F v 8 p J c q E H Z P M W v 2 7 g / B P N h E n I G P 2 o 6 b D D Y D P C 7 Q v C O B h H S 2 / B q r x b l V g 3 G X V F 8 7 V o T a a s 4 y u a k t V d E + E o n w r w g P 5 O d / t I g Y 8 e u f d i 4 c Q P q y Q f h 1 K 7 P f e 4 z I n e O 4 f Y G y Z f d j O X L l q G L 3 I C m h j o y g x U h k o 0 Y + e m e X j L 7 G u P Q m r R F N R Q z D 1 s Z z K y c Z c F / k 8 c z m Y r H u j T a Y 6 0 U I 5 O Z z 0 5 n w G S m B E P l 6 0 P c 3 E Q m 3 / i I 7 O 4 P w k 5 S l P 0 F 1 l A 9 v W + i r U 2 Z S 0 n H 6 6 8 P Y / W Z F + H W H 9 2 K + f M X i F Q d h s f j w X e + + 1 0 s X b o U n / w E m 4 S 5 n Z 4 0 / R j 5 H u W 1 1 1 / D w g U L R Q C C Q + 8 f / 9 j H E t 9 M j 4 O H D 6 K r s w v / + t f T I h B R V W 7 A V 7 / 5 A 5 R X 2 P H 9 7 3 + X N I 8 O g 0 O D e O m l l / G x j 2 a a r B z O 5 U T R 9 P a 8 8 O I L O P v M 0 2 G l w Z s a E W 6 0 8 s / U A 8 j E h P H J f Y h 1 P g O N n r S A i W x 2 T z l C s 2 6 k H i b z h y U 2 + R h S u B 9 x w x z 6 z X T E K C M w N k n + W R A a c z X 0 9 t y J y H y 4 Z 0 0 I 2 w 7 6 8 c V r q j C n P o q j G z v h H S F z R 2 V F V Z M d p u Y A b N U 2 M b 7 H j K i T J G r C z J w B O L D D + O e / n h U C i d t w 9 f u u R n d X F w 4 c P I T l p 5 2 H S n N m p C w d / n A c J l 1 m u 5 m h X B H t l M L N p 4 G O F y K V K s 9 4 s R n J S Q k 6 D W m o N I Z S u 4 8 g Z p 2 l a K j x f V 4 Y a 1 S w 1 l i m Z a h z z 7 k U 0 W g U X / n q V 3 H 7 H / 8 o j v + B / p 5 7 z t k 4 6 a S T 6 P 3 t I m t 7 5 c q V I p r G w Y J 9 + / b h i 5 / / E n 7 7 + 9 / g q q u u x A X n n 4 v H H n 9 K f L 9 4 8 S J c d + 1 1 + P 4 P f o D P f / 5 z + M c / / o G h o W F 8 6 5 v f w G 9 / 9 z u c c 8 6 5 2 L 1 7 N 2 w 2 m w h s c N T v 4 o s v x o s v v o h b b v k S Z s + d j T / / 6 Q 4 R 7 G B m + v n P b 8 N 3 v 3 0 L f n f 7 P S J K q O E J P s L W d 7 b i r r v u F r / l 9 r S 3 N m J g c A A u p w s X U n t e f e 0 N k Z H s 8 f h E V J C f 4 V O f / K T 4 b T H k a C i W 4 p w d I e Z P p i d g Z 4 D 8 H i O b H 0 Q 8 4 2 F E y E 8 y N Z k F k 7 s 6 A z Q u W u g s y j P 0 O z V o K i s y b 1 M A U T k I d d R H C q o S 0 V A U R z Z 3 k a l o R F z r R u 3 s S t i r z e T A 6 0 g o a B S m O 4 H E e e B Q p w j + n L n q N J Z A p L k P k k m Y P x Q d J P 8 q R A K O f a x k H q A r I M H O E / Z p 8 M s a R E l T s L Y L T s S g r j T C w O e n t f v I m A a z q 6 f p K 1 Z l S Y 3 D U V 4 O u u j q l M 8 l w E j W i 1 Y 4 D T T c k z s Q r V i q j H h 5 m w / + 4 Z T j O B 2 e e P I J n H v u O Y l P c X z p i 1 / E s 8 8 / h 6 9 + 7 W v C b / n Y x z 6 K e + + 9 B z d 8 6 A Y 4 n Z M 4 / 7 z z 8 N G P f 0 Q Q 6 p o 1 L x H R + v H K K 6 + I c 5 9 8 8 k k 8 8 + y z w q H n c P k V V 1 y J 2 b N n 4 / d / + C N W r z 5 L L A O Z N 2 + u C L M / + u g j I p z 8 6 q u v 4 q y z z h J z X R w x N J N m 8 P v I o S Y J 6 P N 5 x V K M a 6 + 9 F p / + z G d w 2 y 9 u w 5 / + 9 A e s W L 6 Q p F g c B / f t w g e u v w 4 O l w 8 7 d + 3 H T 3 7 6 C z z 6 5 L O w 2 C t R U 1 O H r 5 G g 4 L m q U E i R P C V B z O g H l f c s 1 Y Q k L 8 x M v F S G w f 5 S k p m 8 X V r S S F r Y y F J g Z m L Y O 4 y C m V y H J R w a 0 x 4 T M 3 H b X O E B 9 I T 2 o 9 u 7 l n y 6 I 6 h f V o / l l x t w 8 u V z 0 D i / F p Z K C 3 S k j V V s 8 s o B R M M R H N 7 Y i + 1 P 9 a J z 3 W 4 4 h 1 0 i s n k s m D + 3 A 2 e e s Y K u q z y n r M 8 X g l Z g I E a y G 8 g f T D w / I 5 u Z G C Y p C h s i K C c 5 U 1 + r h n H I B T N p d T 6 W f J 1 c T X 7 0 Z D z j m D 3 c l / F 5 r P N I 6 r P s h 5 X o x 0 Z j k 3 5 O s V e S m R j R i m U w 9 9 4 O F Z s 8 U e L K i r l W u L u U Q S 4 E z h a Y m J z E Y 4 8 9 h v 7 + A T z 7 3 H N 0 V I U 3 3 n o T W o 2 O B k S N N 9 9 8 E / / 4 2 z 1 i r o F z u w w 6 t e h L D p 9 z O P u 6 6 6 4 V c 0 A c P p 4 1 a x Z + 9 a t f 4 f n n n 0 d j Y y M a G u r x 7 5 f X Y M P 6 d U K D x G M R X H r p p d D p l D w r t V q D B x 5 8 S N i x P C 9 1 w w e u g Z m s s k g k I j T h Y 4 8 8 i B W n L M M b b 6 z F p k 0 b x X 2 + / a 1 v 4 w t f u I V 8 K h M Z V N Q W M s W e + u e / R O j c 5 f a I d V o 8 H 8 X g v z M z i 0 j i i m x u N g 0 L z e f k g y I V k / a 4 t 1 O H e F M 3 + V K Z T j I z E c M + O 4 5 a r x d S o F t 8 n h G o b V W y H m 2 W 1 b B q 6 x D T k U a y m k k S V y n t n g L d l 4 W B y g i N T o s 5 p 7 c Q w 2 n Q c e Y S l N X Z q W 2 K + c P h Z s + E B 9 3 b B r D 9 6 a P o 3 j F I Y 5 E i r G n B 6 6 5 O M K z N R q i J z l z d Y T F J n M S k n 8 a S J 7 d j C Q G W p X 1 m z W p L v C N w k I U T d X P y / b L 4 I e q i a 9 I r y v O 0 m d / 5 W r 6 U W r 7 B 6 T 6 B q I T a y n L 0 9 r 2 J 9 v a s 5 E W C Y v L x 8 o X U o C s g w i K z g h S 1 G B S O + C k B B 7 p v l C f q l P d 5 w a q W 1 + I I g s w i Z j o u 8 V w H S Q 7 R S P K F 8 v k h d 9 9 D 2 v C D H x T z W Q L k t 8 T o P C l B M O l X / c l P f 4 o P f + h D a G 5 t w x f I x L z j j j t y 2 v b y K y + h t q 4 W S x c v S x z J B 5 b Y n A n v Q y C Y 0 E 5 F w K n 9 j C b T C k y E j q B S P 1 t 8 d h 8 h q T i L r p X G S O w T 9 D r U a K t I a Q V v S D G F P E d J q 8 0 p 2 J v 5 w Q Q l w u A p 8 L R B 0 r + Z F n H S w P G A G C s l O z w X n L L V t X k A f j K 1 r C 1 R z D q l N f E N E C K N d 9 / 9 D w k B V 1 F R j v d e d k n i m 3 c H z q M h + H U B N D S X 5 v M d P t K J q s o K s p h m 7 i N m Y 4 q h G N 7 B M G r n V 2 P / v r d I g + Q S 7 h h 1 1 q k n s y 1 M z r Y q L v p X Z F J n I R n B Y 3 B I V 4 T L m X G Y 6 W R 6 r 2 a N U + J g F k C M 2 l A 0 7 Z 6 J Q G S f c 3 v o Q c U 7 k K n n I g l t F Z q I b X v O 9 j 4 e F I r y l Q L H o T A x B z n X a c y U x J B / B 5 k + N p R r W 4 X m T 4 e j K 4 C y N s 4 g T x y Y D m L i N f 8 6 r 6 L g A c 4 j w A R E d n 8 q Q 1 s s r N R z F j s n G U f w 5 z v u J R O 6 G h 6 y A h r q m r H y 1 O W o r C G C j Y w T U 5 a + 8 D I f O E Z c L D r M m j x u b I N / h A S r z w R b O 2 m L a f p q Z G Q M t b X K J H J P b x 9 Z W E 1 5 x 2 U 6 p D E U G U R x N 8 z l r W L O i B v A k 2 o c 7 Y j F Y 1 C p t e J B x J y S T K Y T M Y Z a F R E R t E z Q 5 Z h 5 q M P j H N o k U 3 D m z Z o e 3 O i 4 H K a H Z u 2 X O z 8 k G I o P Z Y W K 0 5 l r Z h D S Q 3 m b B o W h O K t k Z l d 1 H p L R b P 8 d P L V f T R z J x G T o K C r 0 s x K f F M S i U U w G 1 K i 2 S n A d I W d 9 d m L o S k E 8 s e q W E I k F M B E 8 j L q i E 7 2 E N K G U A 7 b j E 9 M I L r c P D z 3 8 M I L B E K q r q 1 B m s + O 9 7 7 2 Y v s k V m k F v A P v f 6 I W W f K X F F y y Y U b f x M o w Y 0 Z V e k 2 s 9 M U I x l z j H r O X F n Q r Y g + H 1 X O E e 6 t M K X p l A o 0 j N s u j j 5 L M B e 4 e 0 W N W u + M t c 0 o C z N d L B x 5 i v S m U u y T F 6 S F a F h h B V t U C n D U F n b 8 O e Z 6 5 A m W q v u A i / 2 K / i v 3 2 G 7 + L 0 i z 5 G r W Q S 5 j W 2 U S J Q a t W U 3 Z k c Y J J S x I S c 8 z Y z M j v B i P F q W W o b E Z O k 0 l C z j 4 W 5 2 S Y v r E 2 n N J S Q 5 n x e 8 T t w r p q 7 J 4 5 y 0 k z W v l / B 0 / y N x D e F w b 3 a 7 d m A d u s Z y o E E H A d j K J 9 X Q I N k Q 5 j O R T R 6 P o Q G A T 2 n 3 d B P E 3 T A u m H r 1 u 2 w l 5 W h t b V F + M K D A / 2 o J W 0 U C V B / Z / G 4 W s 2 p S X 5 6 Y 1 Q Y l C d A 0 / r z 4 L p O G E w 6 t C 4 v v k b r R M A 7 5 I e x U k f + V v 5 + 6 O 0 b I 8 2 U m Z v n C a k Q o G Z z j i Z j f G w C V d W F r R p V g A j m j a 2 T u P P v D 2 L j z l 4 E A k G U G V 3 o q B x E e 8 U A 2 s r 7 p / 5 G w z 6 o S L r 9 4 r Z f k k R 6 H F G W / k S o e / f t R V 9 / n 0 j x + Z / / / T G 2 b X + H B p C 1 B n D H X / 6 C / Q d 4 o l g B h 9 w 5 t 4 / n n d Z v W J 8 4 C v z w 1 l t x z 7 3 3 J j 4 x G Z M m F F o h F 4 8 + 9 l j i X T F Q B 7 A 5 y r l n 9 D d G / h 0 v I O D U m m L g I I 0 C p Q O z m Y n 9 Q 1 6 u H h P t o x c T C U O Y R i S A g g P K 5 y z I x N T O w 2 Q F k P N c 3 u p U j u U 4 w P n h i 0 z k M B O D m c l x K F R a B E 4 w 0 w w 0 G i M R m e N g U P / g C J 7 6 1 3 N 4 + d + v i u U 6 8 5 o 0 0 G t V C A d 9 5 H + U E 2 0 E c p h J y B e e P t D X 0 V / S K r o q 6 p 9 E N n w C 8 8 7 s E M z U u b U H + 9 / q T B x 9 d 2 C p N 5 H C p T 4 7 m B i z L G Q z E 8 N K m o y Z a c z H K 3 6 R w U w 8 x Z I N y T E 5 I T u d D p T b j F D L L p g r 5 q H n p T P R Z t q Y O C W F 1 9 2 / w T m X 3 0 I d L e P W / 7 k V P / j B 9 8 j k U 4 s 5 n O q q a j Q 0 N o q K R 7 d 8 6 R b R 6 Z z g 6 n Q 6 R Q 7 e q a e e K o I B v B T j o g s v F J n p H P l L 5 t h x p O 6 r X / s q F i 5 c I J J r l 5 5 0 E r Z t 2 0 6 N 9 u K y y y 7 F i y + u Q X t 7 u 1 g a 8 r 7 3 X Y 3 B w S F 8 6 I Y b x G / T I c x S I n W F D V L S m 8 e a 0 4 u U u W V i r I K 1 H v j M / F q G V y g n a U a S W F a T g C B i n v K h O M W H W E 2 K u i E b W p R j B O f h C K z t 6 q n U K 4 a l / 0 / w N n 0 h 8 S k T v N C x z 7 8 B r e b V i S N 8 j J i d T B c O L W c j G o z B N x y B v a 1 I p P E Y M i W k Q C d k Y 0 f i U x b S T M h 0 x C K k C T n C l Y B a n 3 Z O m p k o / P C I Q 4 k 2 p v V 3 3 5 5 B e M j 3 W X h B 6 r 4 8 H a K k C t H P i P Z Y W z p C P S j X p w I f U y j R X + R o p a s z j r L Z J W r 4 B A Y d G j S U 5 0 5 f 8 L Q P t 0 3 V 4 z q E u I 4 4 j W 3 l H H 8 o G z S Y 9 C M O m 4 + O j D N Z C i L j C T Z e X / S n 2 2 / H 5 O Q k 3 n z r T T H H x C X I v F 4 v b r z x w 3 j 7 7 b f F F Z j J 6 u v r s W A B 2 c + E / / 7 O d / D Q I w / i + R d e w M q V p 2 H X r j 3 4 9 j e / j e 3 b d w q m u e 3 n P 8 d f / 3 q n y E L n v L x f / f K X e P z x J + B y u c T v s 8 G + F H l 3 4 j 0 T Y R I 8 Z I l E D Z F m l G Q m i c 0 R z p i e Q j Y z s f R X L q S m g V V e 6 s Q 9 y D b n A U y C E 0 U 1 Z Y K Z Y m S s c w m t o C s i A g / p z M Q I q Z X n z w c V X T + d m R h s 2 j M z 9 T l z z R W N Q S 2 Y y X 2 0 g E k X H q O m p j O T h H 8 + / Z w g z E J g I t 6 w a x y H j 2 a F 6 j k Y w e Y t M R N H K z P A I j y N m V S 6 L A Z O M h O D N K a s Y 4 2 Q a A O H t y N O N C + u J 2 a a h c H e U f z p j r v w w E O P i f V U z 7 3 w E n r J 7 O 3 z b q C / 6 + E J 5 7 c E B D O R R p 8 O H B 9 g Z u J o p 5 v G K R 8 G h 0 Y S 7 1 J g Z g q S Y M s G B 7 n E I t b a W B O k A T s 8 n R q S c r V i / U / h u S g i o H A E e o O S a L p + 7 Q Y R l O A 0 e G a a z 3 9 O k b i 8 9 m j b t m 1 i g p S R n O f J h 5 / 9 9 K e 4 / t o P 4 J 5 7 7 s b Y 2 J j Q a P + 4 7 z 6 M j o 6 K G n x s M l Z W K q p Y p 1 M Y n q V B 8 f k i 1 i T 0 c A X o J Z 2 2 Z Y 5 U i U R P e r r E h G s m F M Z h K D o p e V F m X T W 0 v E w i H S R J J w 7 4 h J 1 u n y X D Y M / / 7 O k J s T N B c 5 H J X d u s K C Y P 0 T O k C x I e a P J l d Q Y T 1 q 7 b B K e b z H a N D t e 8 7 y p B / 0 l o t D o c O d K F 3 / / x z y I H 7 7 4 H H s L p p y z A n F l t p K m 6 i C l H x b O J y J 4 w b z E V + m f 4 I m M Y 9 O 9 I f K J T W I O n M 2 w R U 5 v H 8 s X X t k F n r c c j j z 2 F h x 9 9 H L 1 D P f j i F z 6 D O b P b s K B 5 L h Z X n 4 7 1 L w z i 7 7 9 / E 2 u f G 8 C e t W w N F I C 2 k k z L n s S H 4 u D + K a s / I L S 8 u 5 e Y O g 0 N 9 a n g R j r S S 6 c d G c 8 c 3 6 k o n + T Z D s k 8 C 5 b y d j L 5 V p H J t 0 m c k A 4 2 + c 6 9 n A s V 8 k + U z u L g Q z K s y w m w n K 8 X D o W w e c s W k R 7 0 u c 9 9 F s 1 N n F C r 4 G j n U e z b t x + X X f 4 e Y k Y N a T i + F o f A l Y Z 9 l k z G O + 7 4 s 1 D J X 7 r l F q H 1 2 I h j s E / F Z P z Q g 4 + I d U y 5 I e 9 U u 1 L v 0 q F c h 7 9 h 8 4 + / 5 z H P O I + 1 l T B l c h k 2 + e s k + H c Z Y X N 6 F q 4 L U T Z H 6 Y 9 C Y W d V Y B i y 1 g J Z c w y h b A J n s A / 6 t 6 P B f D I J B y V 0 z U T p I R / W Y j E j M B 5 H 3 2 S X K A 6 6 Y e N G H D l 8 m E z r a z I E 5 d / + 8 Q C u u e Y a M U Y s W f 3 + A D 5 8 w / U i C 5 6 L d W p J I L z 5 5 l o M D Q / j 0 k s u g d l s g B Q a I k F Q n 7 h C N m T E Q i n f J M P U Y + 3 D B V 6 m Q T L w w R i f d M J m t e L J J / 8 J g 9 F I w l R L 7 b g A K l m H H W s O w 2 C T M f + s V B S U h R 3 7 y B k o 0 P + 5 Y K 2 q j L e j M 4 C y d l 4 f p 1 D F 6 O g 4 a m q m D / P z J H K M L B 9 p b L x X 1 r K E p p t z a J x z + b Z v f Q X E a H Q f u g l L m o S o n 7 t o J e o a 2 u j W v P 6 F t A T b t v w o d H M O N n D Y l H P n + P P o 6 B g N r g n l Z a m J Q C 7 v x E v I 2 S g T n g 5 H n g h K v T w F 6 X N D b D 5 W V F S I c 7 m 2 H m v D D O I v C O 4 g P j N 5 N n d 0 / l + m u j I d d F T 4 C L k + S X L I + G r 8 P h B y C u n G c J E F Z E 8 J b f S 4 O 9 F q o s E Q e X 0 p m L v + A F + 7 s u 7 G F y b m p t s Z S Z 4 k U 4 4 K g Q v p 9 H v J F H Y s R k v l Q e j J b K 0 v W y b 6 n l O 9 b F Y b 2 j t m Y W x k G G e e f T 6 s J h p g / y F i A v L n R E m w R K u 5 8 A n 5 k O G Y j u 4 b x u h k G B X V j S K o N E K W w e b N W x A n v / f K q 9 6 L c r t N + M A M K U y C o E i u W y y k Z M t n + k 2 l + W 5 O l 4 f M / h f J A g r j 9 N N P F 5 k v 6 9 e t w / z Z L Q g F P K R h r T D b 7 M T Y F o X Y w x N Y e 7 g c L 2 7 0 4 o r V d v h D M l 7 c 4 M I v P 5 M Z U p e C v R n + b A 4 S f l 0 w R n 4 v j b t R X U Z u m A M B r w W G K k 7 m l d D d 3 Q c P a W O u S 3 h K M 5 n w i X S x f F A 0 l F g y b Y U q O g p j x W w c / d s / o J 1 w 8 X 0 I T M 4 0 C P R / + I x V m H f m m f A H A t B T p 3 E p L C 5 g o i O T j s t j s V b h Z 0 1 y N 4 N v z Z + U o V T k C I M n Z v m 8 p L O Z 1 F D p E M v N 8 5 B 7 f s S p L d Q B 4 v J 8 z V J / x 2 3 h + y c + T I G f m Y m h s F / J z 8 N V X E P k 2 3 m O a m G d p U h o b 8 S N c X + q a l S b 0 U T 2 q i L Z p S C v n b F T W y U y k + g 3 B r o P Y c j j I g Y p R 0 W i U E 4 6 O A V p b n W E m I k I P S G E 9 N Q z 6 1 4 Z x X X X X w e 3 g 4 S X k X y S m I f k n w z P Y B s s T Y O I x A 1 4 8 u k 1 4 v w l S x Z j 6 b x q P P z P t 3 D d N V e J Y w o k / P q 3 v 8 c 3 v v 5 V k f 0 9 f + 7 s D E 1 W E L y s X s f L L Z I d p 2 g o F W f F k M a b K d j 0 m u R F l 2 V l d M X C B J s J C f 9 9 t x O T 7 h h W L j B g h Y n 8 8 3 Y N q l t S G k V U w O V S A M I a S A 0 y l 8 u W t S Q c 0 v 2 6 L L i 6 Q y S H Z F h q c w X r u i 4 d z m x X B E g 6 M j I l 2 G w w m e z o P W s 1 2 j f l M f l + 8 2 u c / a U v C 4 n F S a 3 X X 3 c d a T W V C E j c + O E P o q u r V w Q r T j t 9 R e I X C v g G / C j f + v a 3 8 Y v b b h M R P c 4 D 5 G g d M 9 g r r 7 4 K n 8 + H q 6 6 8 U p z P 4 K I u l / C y 9 w Q 4 o 5 2 D E t / 6 p r J 6 N R M K A 3 E Q g h m K a 6 x f e e V V U 5 n m 0 y H Z v l z Q N 5 y r l y j 4 m A 9 s 8 n m J E F g 6 6 + 2 Z W S P d r q M o 1 5 f D b i B z J z R M A k Q F i + M R e G q T q 0 J T S B c e P Z M a m L T k L I d U m F X F 0 T B e G V t W c P C d Y 6 Q 5 6 L f l 1 T X 4 7 v d / J F K w b r r h Z j z 7 w t O 4 m f 6 + v f F N r D p v A e z 6 Z p H R L S K F 1 B 4 R z k 6 D W H U r w u s z A D O 4 8 K 1 0 5 H + T l U M M 9 Z 9 B g V G L T M D j 1 q H z b S + a V x h R U U N t y 2 N u H h n X Y D b 1 b T 6 w Q E l X C j x 3 6 O v X w t a R y + g 8 8 c u + f T S x z k v 9 0 S 9 e e K t F T S Y W M R M P u F Z r h P v v f 0 N Z f + 4 S + O 5 L 3 o P 2 M 0 7 D I 4 8 + K p Z U X H S R U v V o 0 6 b N R O w R U T z F 6 / W I e a L d e / a I L H J W 4 U N D g z D o D X i B 7 P U d O 3 a I T G 4 2 7 Q 4 f P o J / P f 0 v 9 P b 2 4 p 1 3 3 s H + A w d w J m n A b d u 3 C c 3 F j L Z g / n w R 1 O C I I f t l X F V p 0 + b N g g F 5 d p 4 r G 3 G Q g p f G c 0 b 6 / Q / c j / P O O 0 + E 2 U 8 + + W T R v u k Q i U l T y 5 5 S U J h U R D / Z / B M m Y K 4 W 5 S y S i Q N B W B o V X 8 Y T G Y Z e b Y E n P E Q M H U Z c C s C k q U C M m N J N A 6 N 3 j y F W l l p 1 y 8 p A a H X W L o F e M f F Z R l K R a y h U m B I D K F b b Z h K P 8 F v p 2 H 3 3 P w w / X X f u / I V i J S w X z / n O t 7 6 K M s M Y V q y 6 A P F A D D V V V j K 9 l Y l T p n e e a 1 O T D 5 e E u C / 5 G l J G g q 8 s I m p 2 X c r / f b t T j 9 Z y x f y b I j p m c u G n E E t H O C r G R M p t S z C W 8 G P y C 4 J S w c J m O L B T J P d O I U j 0 m S 9 j Q m 2 C 3 q R H 3 X w r j A Y H m d 2 1 c B z s x u A W N X o P d M J a a Y T e r E v 1 b R a Y N r M F M S s N f T k z M L k h R z y I k E C 6 5 2 9 / x 4 E D h 7 C V 6 L a 3 p 0 8 s Q 2 I 6 V P / 4 + 7 + 5 l X 5 B p 5 K u o A 7 S a A z E U P c W Y K i L E S w v F x W H m F F 4 x w w u 1 T x 7 z m z S U g 8 Q l 4 Z x 6 N A h c u J q i d C f x z 1 3 3 4 2 n n 3 l G V D m 6 m J j x x R d f w P e + + 1 3 c / q f b 0 d f X J / r 5 I x / 5 C J 5 7 7 n m s X r 1 a F F n h Y p B P E t P w G i l e z f m / P / 6 x S D 4 d G x 8 T U U B e p 8 S R w f s f e E D 4 W L w G 6 t Z b f 4 Q L L r x Q f P 7 y L b f g 7 n v u h p H M L F 6 T V Q q m m C l j 8 N M I m I m D m Y l 9 D 2 a 0 N C n u n w h D V 8 m 5 j b y W x y M q l v p j E 4 g h A g 1 v J k D + F V c Y c p O v N c f 3 G A J N H x e / Y y e W b f I y + Z C I S o n o m Y 5 9 x 0 z G S Y I L h n D F 2 b / 9 4 3 4 8 / s Q / 0 d n V j U W L l 2 D V G a e j p a U R E c d R M j 9 l 6 o f z R c R O X I u E k o a d s 7 C e f C J l o w U G P 2 + U H o O Z W Z j I W i L M n D k l C X Z Z g 6 B E x O z f B U 1 c j T r b O H S c Z B s P E P M 4 S A j w 1 A V d Q A R G 6 C 9 P G 4 j i M M p 9 J P 9 B a g d H a O P w k E b k M L s 1 Y f q W B k U L 8 X 8 Z z E S Q O F l 3 u v k m t R V x T S f 0 1 T E y x z 0 w N 1 S i s k r x 6 X 0 u H / a / 0 Y P x v W o M k W X F 1 Z M 5 o 3 7 P n g O o r 6 / F m F e N g F 8 N E 5 n k 9 / 7 9 f k S o w w 4 f 7 s T S V U u x Z e s W s T 7 v 0 g s u w 8 r T l g M V C 6 F T x a C l f k 1 S z x S Y n g r b 0 P R g 5 P j y W i T m Z F 7 T x M R u p 4 v z d j F L l p w k b j S X G I x X 3 3 I 1 I T 4 v v Z 5 D U s h r t R p R e + / v f / + H + J w M i b N f w v X b O P O C w + e f + t Q n R U 2 + P / 3 p z + J a / X T 8 b 3 / / u w i v d 5 F G u o u Y t r J K s Z m T 1 + D Q f v I 9 c U H i 7 / T g F Z r 5 5 V Y C r C m Y e D i l i Z i P q 9 L q y 7 k i k t K N e h r A C n 0 H y j S t I q Q c 4 w K Q C X S M v 4 z B 8 l T e X o X e h e a y G G Q T 1 x j P x e D w m M I Y N C A c x m a N 9 N O f 3 i b q E l 5 9 1 Z X 4 1 C c + I j I V Q k E f 8 U 0 M u v J 2 2 K 1 h a O i 5 p W C f u I a H f O I e 3 z q M G b b A O 5 C K w D G 4 y Y q / W Q w y M d N u Y Q q u 7 2 3 D e K Q H 3 b 6 N m K T r y v p a e j U q T E Q Q O 3 i w X x W e o J 8 p 9 5 J N i Y W E 5 K N b q e 8 a 1 e R z c f i d z + P 5 L J 4 D D N F 7 I a i I 5 t i X p + 9 i Y m 4 w h G D g E M K B H j o 2 S Z + T c 4 X K C I n g C G s p g i v S J 5 h V q U y c g j t C f l L C R x / 1 V E F r d m E k 0 E X n H i W L a R R L 3 z M H i 6 8 q w 9 J L 5 0 J v 0 S A Q c c I a s m B o p w 9 H d 2 3 E E 4 / + B W + v 2 4 i P f / x j m D d v H s 4 9 Z z U i 5 D O f c d q p u P D 8 s 2 G w 8 D x j E L U e r 6 g x K B R 2 t g 9 l t t j R c 2 Z + H + p l 8 n / O / 9 r X w J V X h f A o A h p j o g U Z P / j h D / F 1 + o 3 F x t E Z M g u I a E U m I P l h X H K M T c d Z s z q E Z E 1 G D o P + M B 5 + 5 B F 8 4 u O K N E 8 H h 9 X / 8 p c 7 i K F c + B F p p 9 / 8 5 j d 0 v U z 8 m x i d 6 x O c R A x e O h R p y O A h 4 H f 8 S j 1 m K q D C y / l Z S X H J r 1 C E y w C n G C c b / o g X s u c Q + n 0 d m J d Y T u A J T p J R p C E C 3 Q d D c K 7 Y C 4 s H n g X B d 7 7 7 f d z 6 w x + I v b M + f O P N + M f f 7 h K / U Q I 4 i p m l y L v 8 A y C K q J j n i v c 9 v r X i L 2 t K 6 + B K 2 G b n i o s x b x z V R B j J Z 0 9 H P N C J / u g w 9 U c c V f p T Y d B w 3 Q 2 d S E 8 r V P Q m H d 4 g u x E y j L F u h H R c E L O 0 5 R G + 6 A h M a i 5 W m S P v U 2 A N J e l E W W k 2 s 0 t F 5 2 g L O m r I x K X n N U U D 8 G s y n 8 M o 1 5 N W M o l + H h w c h u + o B K d e j 4 f f k X H D h Z V 4 9 J V J / P K z u a Y m 1 6 f 0 9 p E f 7 J w c k S X i d N n Q r A Q l z G U 4 d N v P Y R g l S Z J G Z A z v Z Z d h 8 U U X J T 7 l h 8 h O o J 9 Q P 4 r s a J f X g b I y O x E B d y 7 Z m G l R M y 5 K y X Y n 1 6 h j K c j a i Z 1 i D s u n g y O J T H A 8 V 8 K a i c P q / M D B Q A D 2 c h t 9 F 8 u 4 7 n T g + 4 h 7 Z d x H a X j 6 E + e b q 1 K Y K c l a J D w j I a i O 3 E 5 2 9 T x E q k 6 j E 7 O J g L R Y 3 2 M I N n 1 A X J t 3 b e j 1 j R F x a n D b D / + E D 1 x / L U 4 / Y x U J g V d F 7 b q F s + s R V 5 l E v w j O E T e i f 1 h 6 M x c X C Z D 0 + T f C T o L M Q e a H 8 j x A r X 4 J j a s G 3 i M q V M z N / e 2 W X h 1 O b Q q g z 7 c J T Z a V o v + T 4 G U Q s j F t E V 4 C 0 Q i Z s 0 U m 6 5 k G e C o g W c J L o a 9 3 J / k 1 m a 3 B I 6 c i G j H G Q o J J O M T D x w x R E n Y 8 g H w O f R + n 8 Y n R K 0 r P K d N h D T X U n t S k B M e k E + U V K c b n o M P 3 / u b G z Z d W 4 Y 6 n x h A M x 3 H F C g v e s 1 I l S g Z k I 1 d D E U O x o z 1 d h I z n h Z g o G a L p s j Y j A 4 H B x C e r I / Q 8 y t w T I 0 m I S f B k L V + H J T a D Q / J G M h U 5 E s i F D D k g w W 3 h e R G x R J v O Z E J n c y X 7 W s c G v m b q S p m f M p F K 5 e f n 5 y e K I x I O w e d 2 Q J 1 Y V W z q u Q O B h g + Q 7 V 4 h z j u 4 Z y M 6 5 p + G B x 9 + B G e u O k M s 1 x 8 Z H c a W z V v x 0 Y 9 + h P y 9 e / G p T 3 4 c 2 p l E x 6 j v l X J d u e l L h Z i A 4 T g Q R f n 8 3 H E 9 7 N i B G m M F 7 F n z N Z w h I R v b E 5 9 S Y O u i W E H 9 1 D Q E v R F + K Y 1 / 4 C h d K 3 M 5 y v G A 6 c Y Z 6 q U 7 p E x 6 Z h i 5 m F Y r g D J d C 9 R s p i b S 0 d g S G O M J 3 c T 6 K E Y g o o F R m z I p 2 Z o 4 s P Y I o p N W L H l v P Y w W I / U L + d L p D M V z A U a D R W T Z q w 1 5 1 h g l E I p n p n 3 o V Z k x / i R 4 X o q X J C e d Y Z Z a u d E 0 G R F S 3 w F f T F R P 4 v k t N v s q K i u U 8 a A z U l f m z p s B 4 c 0 I d C c R y W O C y 7 0 H q 3 S 1 j v p E 5 k y K l K S P k I Y K e c h n E a F Z p a X W g V 8 j q F 4 K d X w c 9 7 w W Q m f v K L 5 y y + c w M e H A t n c 2 4 / S L O 9 B k O 5 U Y V C G G G A k P d R G J X w q K F T 9 J I j A Z h E S U b r A r z J + N I b c K 9 b Y 0 s z B I p l G R S d H 0 s Q l y B J N U k q I M S P C I 9 m T V 5 2 P f j i y h E 4 X s X E I 1 M R R r H 6 1 k J T q T E A l o s H H j F r j d X l z w 3 q W J s 3 J R p m 2 n 8 x N j z r 6 g M E 1 z 6 b k Q f O S i s N Z + 6 K F H F I Z i 8 y I e i Z L 6 6 4 X G v p B G m A h 8 n L d n C U N r y J R o 4 8 G D 9 G + S B 1 W o M i j 2 e i E E R t Q w 1 i Y I h 8 a K C 6 W w s 8 h 7 9 w R j D r H z B 0 N R 0 H T d C D 2 Q t l x k E C R 3 b k i H y F A u s A z 7 3 Y J 3 K A B z t Z 7 M N c 6 O V r I 4 J L K / V c E u a D 3 b q e / G E A u a E K k 4 E z H b b F h H f q s s H C T p v P 2 I A w t a 7 K g e + R 1 8 l T f A 6 H 2 e / G 0 t g o 1 k A m Y t S z 8 h m C b N x 3 1 U r S y 5 z 4 N J H w m y 9 I l l D i D o a s g X k m B J T E D n A 2 9 Z Y 9 I l f s f B h k Q 6 V D 5 I o W E R 0 J g J w e Z D g G j H H 0 0 l w X r H t I g E f e g b G k F H 2 3 z U 1 V d i 0 8 a t O H L k M K 5 6 3 3 u h N 0 c Q S i Q y c 4 1 6 5 w j Q Q O M y N j m K 1 u q F J A h y 2 y P a y l k u e V a l F 0 K G h m J Y r G W k q R R u l U l 3 s + + S O V l H 0 k c h f e G 7 s D l X r H N 4 i 0 v + O r N + A f + a f 5 O 8 d f L 3 y e P 5 w A P G 3 / G L 3 8 9 c t Z c M 9 t m S d E W m n S S F 6 J V o m 4 p X L i f v T d q V T L 7 D o 6 / R 9 y r y Q U 6 l Y x K s w 7 + D p + 4 r 4 o y D k 3 t J M P g x a 2 I X Q q 0 c Z E k 9 H 2 d N W B w P I K g 5 D Z H q 3 P V O M 0 b E S c x U 3 P G P B m I I k 0 Q 1 V e b 3 x d j / Y X O a g y 2 G 2 B D 5 P o r A K w k i D z I 3 q y A v T s B S + H Q N x T m N z z 6 + j t w C C f M X z k b r v G Q / J G m M L Q E Z 1 e b Z e Z k n C d 5 A f Z I s i Y a G z D C 9 A A s r n v t K z r H l Q Y q h E o U 8 0 h m K I S c i W u m E k B / M a M m 6 z 5 n n C j O a L i l 8 b E G Y / E o R p X J + 8 m 8 2 S m W e 1 H W U r I P C D y 1 A l M P t E b 8 R P 6 X 2 i 6 b z N U p n W D b 5 g j 4 X / Y 7 M H a E 9 e e N q N z T j G y F p d X C E R m E 3 d k A m Q u N s d p 1 M G j 4 Y R s h 6 N m J l a S Y R 2 d m G k S e g I i k a L D 8 f c V O H a A t H s C b D R 1 G j m 0 8 2 v K I d W T o b s 3 Z K T G q T J J R o o H j A H D i 7 f Y h U W V F m 8 k C b Z 0 2 Y J 6 i C 1 U B 9 U A K D J i H 5 D x e c A s h B w g o R 4 L C 5 0 F g z h z c 6 P K V 1 i o H r m l S Z 2 k l Q z M y s 5 s w c n v r J h z i N a z h s h o E r S N F n v 8 8 n M l S I o Y Z k i b 4 U c y v 0 Y J a y R i I s x c z j h M X R o U G 0 t r U R 4 Y R F 9 V X O H D e S Y 5 3 E o U M H R T B j 9 u x C n U m E G y P f Q 8 1 E m o 9 h k o x A 0 j M a F X t C 8 e Q s H 1 e c z M K M w d V H + d 4 t r a 3 w k v 8 1 N D y E t r Z 2 k Q L D W + z w B D O v y 2 I t 2 9 3 T j e a W Z h H k K I 5 U e 0 q B Y C h n N x H z 9 N L W 5 v 4 z 3 L b P c 4 + Q 2 T s g 1 l J V G 7 L r g K c g R b x Q O 9 f C E N o H j 4 r M k o b 3 Y C i w A 9 X 6 B V N Z 5 k n G E V K X h O L Q e E D s D H / K y U v R 1 p r f / 3 F 3 q k Q a D f u u O c t P E h C a i o m 1 p I z 4 J O O W 3 m 8 Z Y H P g G I I J 2 T 5 U z t j R R 6 7 L U U w j z Q T K / K Z W 5 L D q D S m z l r c L C q M C W v p O 0 V B c a y y R x p H U U O x X 8 W 7 j y 5 c v F 6 t S e Z 5 o + / b t o t r r z p 0 7 h H T n r A Y G 1 x V 4 + G F l T 6 c c 0 I n 3 3 / 8 A E X Q X v v / 9 H 4 i B Y o J S o k D K g / K 1 + J k 5 n Y h L M X N w I h M J j U E n C l O M z l + / Y Q M e f u Q h s T M 6 1 / b 7 1 r e / h Z O X c + Z 1 D C t W r h S b t n G + I a c 1 c Q 3 t 8 8 4 7 H 2 v X v o 1 l y 5 a L K 5 4 Q k O q N c P V S f / 6 1 P r x 3 l G n K D 4 z D M v A 7 e B u / l v h 8 b D B 3 / Z F u q 8 E + 7 R W i r t z X v / F t 1 F T X 4 F O f / h T q y s n 3 j S p a b D q 4 e i K w t x Y X L p H Q O L T 6 E s w y n o i d g Z 8 B n q w 1 5 l l t S 5 C C 3 W R m s i A o z m A c 3 Z s M d S U + K d D H Q g i J i l o p p K / Z e j f B / M L C X W l 1 W k 4 U r 2 Z l j I 2 O C m l + 7 7 3 3 4 s D B / S L N i E s Y L 1 y 4 U H A q g 5 m A U 4 i + T c T 8 + 9 / / n o h 1 m d j L 6 Q c / + I F Y l b t o 0 S J 8 8 I M f x N / + / j c 8 + u h j + K / / Y q J f i m U n n U T n / F D s F 8 U r c U 8 + e b k o d H n 7 n / 4 o w u W c z 9 f S 0 o I 1 L 6 z B v L n z 6 D p L x P X L K y p w P j E 2 z w O d e d Y q / P z n P x P M u Y M Y n N t 6 z z 3 c 1 o P U n m / j o o s u E p L b 5 / X i l l u + L F Y I F z K B S k e C m 5 N g 7 S m W v S v g y 3 v J Q Z 8 g 5 5 4 h m I n t X Q E V v H W f h q n z j s T n m U E U + X z o M Q R n f x V / X m 8 X O Z M 8 z / e L n / 8 E 3 7 l p u c j / C w c 8 p J 3 z J 3 w y u H 3 c B / F w G I Y 6 r g F R v D + 0 u h K C P 1 z w c S b M x C g S 6 Z M N H P K n / p u m 9 g c v t 8 g G M 5 P J 0 4 / W 4 W f Q P L E G L S M v K Y V I C Y N D Q + L v u w V m J s a U D 8 V B g / E J J z F C g 1 C R v F S d U 4 x 4 6 0 8 u o b x j + w 6 8 9 N J L + P w X P i 9 y 8 5 K 4 8 8 4 7 8 Z 3 v f E c w B C 9 3 5 9 9 y / f D B g Q F 8 6 Z Y v 4 c t f / g p u v u l m u v Y 4 N m / e D G X j M 5 V y z u A Q 3 W O 1 S E H i j d V M R h P u u / 8 + k Z P H 2 p E z K P b u 3 S d m 5 a + 6 6 i p x / 7 1 7 9 4 r 7 D l A b V l P 7 / v d / / 1 c k J t 5 w w 4 f E + h k + 9 r W v f Q W / / O W v 8 T K d z 7 m A v I H b y M g I b r r p J t x 2 2 2 3 i 9 6 U j o R 0 L w O k N w + 3 x k Z 8 U n x J G 4 1 7 F B + E o Z c g 7 B o O F t E Y 8 R v x H J g H 5 S q a j v 4 N v T m 7 W P B N 4 j D S s R p s Z W W V w L h 9 v P 5 q E o u l 5 j V h K y 0 g R D / S u 9 Q h W T V 9 I M h B 1 I j 5 h F l u X H h e 4 K I 2 h c H n l / M j s U 1 V w D L r R l 6 G R B 8 j v 1 A q / H X q d U q h J J B 6 G 6 G H V i G m q E d U 2 I 6 5 v Q F B n h F v m y W 4 V N G E P o m K b U x n 1 w 6 9 g q C 4 z + c D s 7 o J N 0 s B l P r 2 k D I / j g X i q 4 Z F x a G j A e G t M F m P M F J W k D T g f j p n q 6 q u v F j l 1 T J y 8 v J 0 H n p N j L 7 n k E t x + + + 0 i f + / m m 2 8 W p h 8 z A m / b + f b a t f j 8 5 7 + A C y + 8 E D W 1 N S J L f O X K F b D b 7 a I Q C y + E E 9 F C o g x 1 w m d j b c M a i r U h 7 4 b 4 9 a 9 / X f x d S N q F c 6 n S w Z u l c b L s N 7 7 x D b H V q G j r 2 W e L D Q U 4 7 4 + / O / u c c / D z n / 1 M 1 E R v J T / r 4 o u L Z 3 k w e B E k 1 / v j 1 i g o x E x M F M r O e u U m T p k i N 0 q t F L l v s M d g p e O q u B d G K + + E z p n c C u H K K q 1 g J u v g r 0 V f J + E k Y c b 9 n o + Z G O n M x O D 7 Z a 8 h 4 x S h Q s y k 8 R 6 C y f t m 4 h N Z X F z 7 o r A y E + A o 7 r T I W g I y L c h m 1 4 5 v h a X v D z D 1 3 0 v M N I q 4 o R r B l g / D 2 / o t e B q + C m / L 1 + C t / S J 8 j V + k v 5 + F t 4 m O N d + C Q P 0 N i F S t R s z a A R U H N R J + V 1 x j I H 8 v D G 3 Q n c N M D J + t H U P W Z u i c a 6 A d W 4 e h P L U i T h S E h m I z x a y N 0 4 B m h s 0 Z L H P D R O S s V T h o w L P k Z j O n x h D B 0 A 9 S J J H C L 3 / 5 S 1 G U h b e X 4 T C m k D j 0 8 K K K H 1 + a C E m O S c J i O l Y / N h d M 4 H y x f B f k A A d v T 5 K f W D M R I 4 Y q X I + C w e W h I 7 J G Z I a I o E S h y r H R T K e e + 4 q X i i S L 4 R t 6 H k a w 9 Q Y h o O K R M M Z j B 8 m J n g 2 t a o Y m V A I 6 k v B h a X p t o f U d g D 6 0 F 4 O O i 2 C b l V p N z K H / z V u 3 Y e W K U 4 j u e d t T F x F u b t 5 a B q Z b 3 h 4 n 8 3 L k X 9 B i C A H t S k Q r T i F p o A N v H y o n a v 5 N i 0 Q E O h 3 x e B S O y D H U e i d U j a w n 8 3 A O d I 0 n Y K o i C 6 m w e Q K + Q I T M v j q x H J p 3 s e A C / 8 x M J p O R I 7 u J E H p h M P O w y e Y j R 7 2 p U S l n y 4 w T I X N I w 4 x E / 2 X v S H c 8 K L S P j 0 K + / E q / F 5 l U c r 5 q t 6 V D I o Y L x T R T T F G M o S R y v u U 8 z j d v i 8 m L / L j t h s E X 4 K 5 6 D 7 b v 3 I V T T 1 o M d S J 6 N O z f i T p T 4 d n 9 E 4 H A m I T X t 7 4 k F G U 4 H M I H T / M h V H M V E a 9 i F s X 8 P e Q e 5 Q 8 e p K C Y b 9 p + N t l G q G / H y W y T E H d H 4 G / 4 A G R z g U w L 9 r 2 y S g M U g + T v h M x T C Q n k C 0 q U A k 4 g 0 E Y r c f R o H 1 Z X v E H a 7 4 v i 6 I m C 1 L N l j A Q k G Q v E L Z z R s P v w Q T Q T I z R V t x L z x K D W s 7 k i I e I N Q O K w o E y d x R s 2 6 1 T g n f d Y r Y W c I Z J o K h g q c u 1 x U a O O O s 7 l p + 9 F o i J Z C d b j t N s Z z N 1 5 F v w J 8 P M Q l f h i w z B r a j L m H z y R A b K n u U A K S d 4 Y P R M d Y y Y X G x a k Z 2 A k w 4 k J Z p W i H k y E 7 D l L 1 L m E G k / u 5 q B A x g B r e N Y E j z 3 + J F r b O z B v z i x U l N t h D b 4 M j y G 1 Q n m m 0 J D G i e o L b 6 + Z D 6 F w F O F B H a x t q W f q 8 2 5 G g 2 a p Y G z J s x W + q B l 3 7 X 0 Z p z X Y 8 O + u Y f x o 1 Q 3 E i Z O I m 9 t g n v w b 8 Y U B g X n 5 6 w s W B e f O z X B e K D 0 a z c g N m y t w j o f R W j M H R w d 2 o 6 p e Y V q O V F e Z 2 3 O F K d G J Z e D P i E g V C N V f W 5 i m S s S U h o r E f W K O o 8 V 8 p v g i C T n s R t A b R M i h h 7 3 D J j S O 8 g X 5 O 4 G o Y D h e 0 V g Q Z B 7 F y D z i U 9 z 9 p O 1 I M l t q j y / l R i K T J X c f 1 x Q i c T / 9 q 8 K 4 2 J N 2 E f r 9 W + m z o l E 4 p b V V 1 T C V Q L p j Q I t q S x y N n K a d D 4 k s 7 7 1 j N i y q U 6 K b x 4 o X 1 7 w i o p e L F 8 1 H l H y i 3 t 4 B O J x O + I M + r D 7 j T A R C I V g j n Y g m l l / E y E 9 V T 6 3 r K g 6 z w Y d D E / v R a O Z s j U K Q 0 e N d K + a e G k y p 8 1 x d M d j b c 7 V 8 x L k T 2 r K l 8 I Z 9 s O i y x m w m W R E F w W M y M + 0 g h U Y S I x n H B A p H A k 1 y I 4 y J c n c z A W / t a X I + A X / 5 t Y i b S s s 7 j I f C J D u V c Z p i q J H A L t Q a 8 6 8 f 6 u 0 Z Q E s j F 7 r g S M o M E R 5 D X F s t f B L / 6 D g i f h P s b c f m I 0 y B 1 8 K k T U g O + L c I U 6 7 R e C o x r v J g 7 K C n L 8 / g t U E 1 s G P A t w R R Y v B 5 t d G M o X y n T 4 d T m n O L b n j D P H E q i Z K 8 p U I X J 1 9 G l e v L c M D j / v s e x 4 I F 8 3 H 6 a S v o u h w Z p G 7 N k k c 6 9 x a S p E E E r F z s s j S C M 6 r H E I j l l h L O B m 9 C Y F C X i V z K d I g C O 1 m O o x w l D Z 6 1 X o g h + 3 Z D M i 9 J f P p / B 7 9 / L w J Z 8 0 7 p O N 4 5 K J W 3 m 5 j r n w g Z T k O k 8 n Q a i i K K I 4 E c H y o d B w 4 e x v x 5 i Q w I l t T H w l A E O d C H s L Y F A W 8 Y 8 k g c 5 f P y d w I n y 7 o i g 6 g l r V I I q W 1 T U h g P H q D O m y t M q S m w e c C y L L G o b U O 3 D q e 1 c h k z u k / E A Q P b 7 8 K E o O 8 T v 9 s / o k V 7 Z R S e o I R d Z A q d T u e b Z 8 B I S a h C e x D X L x b v W V t y k I E 1 g y 5 + D u p t m Z q Q y 5 K 7 g i o y R + L w R o Z h E U u 9 U 5 L b O P o s A t W X 0 c d 8 f m I a R I y 5 l K B L f n i p f y x t i k A Z 9 u 8 g / 2 0 Z W d U e s i g y x z z i 3 E F a q 9 i + W S V C Z P Y f u y 8 r E C M z P D o i + i w c c y M s L B M F X l c Q R o s e N a W m Q 5 U C c l / 0 I 6 9 C J 3 U h I j c g V H W h C J b I G t b U y n j l Z a j h 4 R G x i j Q D M 2 S o T T 0 6 1 N g c a C 8 3 T 9 V z k 9 1 H 4 R p q R 9 m 8 B O H n i d 5 M D y b I Q k E I R m G J 3 j 2 p E c G A W i t r p 0 Q H R C b I d y o t u 6 B U a O V B s s l z I 1 g D v s 1 k k q 0 k 0 / o d E Q i o N S y Z 0 q h B s i Z 5 e x X G g G 8 n a T M v W i x p 5 j f P X w 0 + B X W t H f E J N 2 m v M 8 m P a S R t s Z e 0 x c x 8 p 3 z w 9 u h h a c 3 0 B Z W c y P x S + c 0 j e p w z O 4 / v W C K O Z 3 0 U C 0 6 u I c k b + f U f 2 o X h z v 3 w T I 5 j 2 Z X v F T U 9 O G o 6 O e p D Z a 2 F t L G d / O i U 5 o 7 G l M r I M 1 p / N i 1 o M N n n j m e s h + I / U v H F Y z N w J H k m e y S 4 C y 1 k h k k J W 5 s f x H E w A H + 9 F U 0 J n 0 U U Y j Q V X w K S R L H i 9 Z J 3 D 2 S L o h V K A U + M J i 2 c 9 G X j e Z H o I Y E s f s 1 X e i v q 3 Q a 1 Z S k x R U w s 5 + Y l K k o t 9 B M H n u r g c q H m c B + g t 5 F Q K D 1 i l g / J / L 5 i i L s 2 Q 2 U l U 0 8 8 L z 1 P 0 i I Q 4 V / 6 O 4 M g A + 9 S I s 9 w Q p j p c t u r T 6 N 5 3 l L S P h Z 4 J y d Q 3 T Z L L O P g i e p 8 4 O I 0 V c a 5 Y h d F l m L J V Q 8 + 1 y R s F V X Q F P P / j w G C o T z R I R h U Z Q U T J a f A j i j 7 L 5 o S U l I Y W V G Z k C c M d 6 8 H 9 n l V Y l t 6 g a l F f d M 9 G A 9 2 v n O o k 8 L k q B a p a J o P v O J W z Z n v U + F b e k / H J s O j q E j L 2 s 5 B Y Q X 4 r i C d 8 f O B z U X e 6 H n M q 0 K l I Q C L 6 3 n 4 K 6 6 m d s 6 M U F j Y s Z B V 5 V b 8 F F B H j s I h 6 2 D T N V N P F d Z c J Z V d n m H I P B 2 c M c I L M p P + H p e H H o g q p d t I d Y l j 6 e g 8 O I o 5 8 x t h 1 7 U g H O b C O h G h 3 Y I e F + z H u X t l P o h e s W r q p 8 K J n D 5 U E K x p e L J y O r A 9 z x I j j Z k Y n g E v D G X G F D M x 2 O R h y S E 2 Z E 4 7 n g 6 R 1 5 U 1 g G Q / O 9 1 7 0 e 0 i r T V D Z h p 0 q a G W S T A w B d H A r u u O 4 v B o F 3 q c B + A O e u A L l / C M / y E U Y y Y G M x O D I 5 U q j R 6 + i v d P M Z P B u w 5 6 j 7 K 3 b 3 L f q x 7 P B v E 3 G x y 9 F S u s Q 0 k t R U x D / q o 6 P k o + M J m g 2 g 4 Y N R X k 8 / k F M / m i X H M k D x L M p F R e S l 4 r H T T G x + i L M z h j J D 1 4 w r X W 6 0 1 L S P D k j 9 I y R X H A i o M x X r k b f t U A N N o 4 L O U V Y t q A B c m J x B S V q h J O 7 5 G j 0 0 y W F U l s l H j b F P G G N E 6 e C j e S b I a l 3 i g 2 Y J 4 C a z 2 6 t x L G p u N p W 5 G I d B t e J p 7 m Z 0 V 9 R 0 R F 1 m 7 v K J x y e t h W Q o A c E d 4 J J B 9 4 n e P O Q Z 1 Y C V w j 7 a T T + b f 0 + N S f T e W 9 0 O p J Q q u 0 a L f q M B b k 0 G y B j p 6 m / 2 O + m U 8 2 n k i w k E 7 m F A b J B x v T n g Y / 9 Y v Z s U 4 c a 7 W e I b R e P v C 8 I s 8 v B h 1 h y C T J O f g T U 9 V g j H e p p P 7 l t V N a t Y m I M C 7 m 9 4 q B i / 4 o 5 E U 3 S 9 + E j t d t 8 T i f I H B J M F e o E 1 y I J h + q a n K X n z j D v X B H u 6 H X K X X 4 T y S y x D 6 w 9 K T F G T Q T J k 2 Q g 1 h + Z 1 T Z 7 6 c w 9 E Y 7 2 b o q O A J c N j m K E f 9 u k o J p n c 3 g r U i 8 e 8 W A i g z e t D Q o X i Y w G F M r x w l G r Q m R c R W e e f Z F D A y N k B S t x P 4 D h 8 R 3 S Q g B R C + Z G H F 5 + R a Y t T I J y E x f q 9 X W g T b b L P H q 9 v U T U 6 l p y I + t o 0 / 0 A B 0 L N K K Y j Q I b a T C T Q Y t I 1 S o Y h 5 4 W x 4 o 1 k b 8 z l O v g 6 A 7 j r 5 v u F c d q j K l K t z x u G d H U a U E X 1 C Q E I k 9 2 Z 1 k t x w 4 5 M b F L W j X R H g 2 v b c + C v d y E g D 9 3 O o Q 1 W q G J 4 e N B T s / 4 / K z S G d T Q 8 D C C / g N E 4 L v F 5 y m k x / 5 D I y L F R t T K L o K A I 4 Q I 2 d e 8 p M F u 4 D x A D W p J V W d 3 M G + m J V s W Q e J C M I m O Y g Y T I O k 4 1 h n A P b 9 5 C G W o w b 8 e f I G a J U N r M K O x v g Y W t R t z Z 7 U S 4 w W J 2 R y I e j q n 2 E J j m Y 2 4 Y f p U n m r j P E R j 0 / g A 6 R I n C 1 K R e Z F S k a H B T y A C 9 c o m A b b w 8 + I v m 4 F c I T U d r q A a L + 2 7 E 0 d V T 2 H M N 0 F u Z W Z b Z l z 7 X O Q z J q w V z h w 5 7 s l g D n g 5 h W b K R p S 0 l D n K R T M z Y T Q p 7 g w H 3 L J R C l P F o 7 k M W Q i S c 3 i v r J T L P X Z I U Z e S y p M G 3 p O U C 9 N z d V S G 6 5 A M c 7 s M R 4 g z E 9 I e L D S I u K 4 G A 9 6 t q D Y t h I F 3 S m C w K c j 7 I I 2 H s W 7 9 e l x x x R X Y 9 s 4 7 o m b 5 V / 7 r c z T Q M n o d B t S Y K t B S Q c z q G 4 P a U N y X Y m e 6 1 7 c O D c Z T i w Z g 3 J F + V O n U 8 E T N 5 O w W c J 4 L 0 L w c T U w F k F m U W U f j x I G 1 R D j u E y F h B c z h M 2 N C w 9 C z C J e f R k I m v + n m H Q 7 g 4 e c f R U d H O 9 r a 2 t D d f Q Q X n H c B + W B v o 8 W 6 m u 5 W 4 v 3 8 Z A K b c k u R H Q s C s U n 4 o 5 O J T 8 X B 9 f m C a h 3 1 T K q d E g d e C q h n 9 g v L 9 e 0 5 z x V P B E A k d W m C J G M e y u f 1 w W y Z 4 b w Q O 4 N Z k 4 6 c U c 2 F 5 c + f o y z u Y s e P d 0 g 0 t 8 d E C l I O O D g Q H k J Q q o P V Y k I 4 6 M Z P f v Y 7 f O / 7 3 8 P R I 0 e x Y M F c U a a p 0 6 G Y c 8 O T 9 T i 5 d g I a j S 1 v N j Q n T u a r K c H M x E y V j n r j c u h E G b R j Q N b Y x I K h q e T W / w T Y l 2 H z i w M E 0 / k 0 x a B z b Y M m N g J / x a X 0 T B K e f 3 4 N e B + m j l k d s F c 1 k P B h 8 5 p I c x o e Y n P 3 l V f f E N v S X H c t a 8 M k a U 3 z w x J x b C a a I m y S K 2 p L g U 3 L z 5 y e z V O a w O J a i R k M N T Q 8 g v r s C d 3 p M E 3 Z K I Z r w E 8 M I a O y z S w 6 n X H w 0 B E s X D C f W q H C b b f 9 U q z w / f C H r 0 d n V z + M 5 T 4 0 W p t J 6 1 n R O U 4 M G p W g 1 8 R h V w / D Z j I S / 1 p E S p A l T 5 k x B m d c G L K L m G S B J w B 5 n o z B A R m z p h b l u g 7 q t r S O i / s R o f Z y K W M + P j n c h 4 q 6 t K B M n j 6 W O e G 2 S H X X / 9 O I k 9 8 a H i e t V Q 8 d h h B G Z m F / D u x k C 0 T e o O 0 f / 3 g Q K 0 8 7 j Z x 8 L Z a c t A i W R M 2 R G M 9 b 2 V d k 9 u l x g o N F H L E r B n / E C V O i u I w t 4 o N b a 0 b A F 4 b R P J P M D A m V + j w T z y z 8 m c F 4 T j b C 8 Q X 6 T O / F 2 j 5 D c y Z D z R g c U O C C 8 d P A 2 z d K p l 4 c L X M a 8 P S z z 2 N i Y h I f / c h N g p l + 8 + v f I B g K 4 n v f + W / s G V b B Y n w T d a a T i I E s 0 K M f I S h p R t p Y J y K q A j u S E z y R Q T G B y q a Q L k 8 l n 3 Q k N Z V J U 0 U m B H E s o d l 0 u k g T 0 k + Z U W x 7 G x A M h D A 5 1 A t L e R W 0 e q P 4 3 d Q c T B 4 6 i Y c d U C W W j i f T j v 7 / h F g k B m P g b Y R t 5 y L i j 0 F r U j S 9 h / w 6 X j R Z K o x a N w K R 4 5 t s L g S O 0 n F e Z D Y 4 P M 5 j E 4 2 H y U o i O i D T m 3 f n 1 M f J R C b / y j H p R V l l 6 S H 7 C l 2 J B V 7 I b U F i b d c U Q + 3 d d x C L F h a v P J q N 6 b a I 1 G i 0 e P K f z 2 B i f B y H D h 8 W N c x 5 6 f u p p 5 5 C Z p 2 P l J t D L O 0 o B o N q B M E 4 r y R O H J g G I 8 H d p L I b Y V R X k C k 0 j v E Q 5 / n N g Y U 0 U B K T 4 S P U W U r i p D 8 2 L j Q Q m 3 3 c e X v X r R H O 6 7 L z r k Q k M E 4 m Z W 7 4 P w N p / R 1 z 7 4 H a V n q 2 x v 8 r c O R W p 8 4 l L H W 4 E z H S 0 g w p 6 s V 4 F 1 k V c 0 o n w C R k n q z n a O B M a 0 3 M A P n N P x m h S I i E q k s w F u + G o h V 5 d i n I 4 T C k E j P 4 e Q u d k t y B t A q 7 Q t R y e s Z M m Y l N v e k m V J l A e Q N r t 8 e D T 9 3 0 W X z i 6 k + j o X U O g o 7 D g m j T m e n N o 5 k P z j P z D L 8 7 k V K S R r g j Y 2 P C L 0 u i x / d 2 4 p 2 S H y e R C c f S y k w a q M W 8 K o O Z G E l m Y o w F 9 9 O / q Y s v X H U J l p x 1 m S i A w s w k c 1 p N i T D Z S w j u U J / s 3 L 1 P z P i / 2 2 A T L R + S z D T g U y Z 9 o + 5 t Y n f 4 J 9 f s o + Y p 2 l f t H 4 R R V 1 u q H E v B u 5 c M D 1 0 O M 3 E w 4 0 S C t w 3 K B b k G W g N p 0 l p Y 9 N U 5 z M R g Z u r e P w R V o g x 2 P r C F w 5 n q J f v W g p m U n j o 2 k + 8 Y 1 s L E o 0 H S j J W I 1 f r p Y X N v e W R M g 9 n V y j x C 3 N 8 J V d r q T D 0 G y f R r E I y f 7 l h y p j b n O D I 7 K C u M j X A 4 X a i s K O 4 / p f s C z I w t 5 s J R K 5 3 c i 7 B U Y N V p E o m f S o H 9 k I 2 Z B f y H f L t R Z z 4 J A w P D 2 L N n D 8 4 7 9 2 z o 9 a X n v L 2 b m H C M Y P v 2 / a I i l M s 5 g Y 6 5 D W J p R x L e n g k E y 8 t Q Z V O L D c d e X P M S 2 t v a U V 1 d i b q 0 Q v o Z C J A g P I G b A i Q x F N g u V h S k m / N s 9 r H 5 d 6 z o 7 5 5 E Y 6 M N k j Z T u J X p W p F v z + d i i A d 6 o D K 2 Q n J M j M g l 2 Y l J l J K r l Q V V + C g 5 u G 3 g n R G 0 2 v z 3 W t e l x 5 n t y o R x 3 N 9 N D J W 5 g 4 T M E R R j S r N w J H G 6 X d O T i J C 2 4 b u q N R q x w b T X F 4 D F b B J F C / s C 6 9 B q P k s 5 M Q 8 0 0 c O I a q Z Z A p B 4 p K h z O z R l y 0 n K S z h 4 8 I h Y 9 7 R h 8 3 r M 7 p g r V u X + X 8 H j T z 4 t d p 6 8 5 t I l i O u V J e 6 + y A j M 2 p Q m 5 2 f Y s X M f n C 4 H V i x t x Z 5 D o 2 K L 1 T D J v F S t w V z E g s P T T l + c S H B w y R d N b R B + L B g g w T G 7 0 a y s r U r w w s z X U s m I + X o h 9 Y 5 s k 7 m C 6 G i f H 9 X N R h z a N Y 5 V K 1 Y l T s o C Z 0 3 k s b 0 L Q U 4 s L f C N h K G x k n 0 b i + D w h A E L G 7 U i D J s O L l C p I X W j D h 1 C j C R R E q x 5 L B Y z 4 r 4 D x G S 5 q 3 S L R f s Y h c K l m / r d q C / f g 2 b z G Q W 1 E 0 N 2 r Q N s q 8 T q 2 S R 8 m B B R p K m A A / 2 c T S U u T H P 4 a D d u u O F 6 G L k M V p p Z + m 4 h F H M X n i s r g J h n D x k Y D S S Z 8 w l G C R s 3 r c f i J S c j F P K j w l Z G 5 h v 1 8 d i j 8 F Z / I H F O Y f y n G Y r B v j J P 9 p 4 I q O W Y 2 M X D q J 8 F 3 l y u V K h D B 4 l u 5 0 H a 2 f f U 1 K i b 1 D U k q U b R J l a K Z o E T X q e Z J W c T L L n J V j w 0 A Z W + E v 5 e E 0 w t y s K v H o d 6 a t P j b I y P T 6 K q q g K y l + x 4 S y r V J Q M h k k T T T E L z l j G V l e U Y H R t H T X V u 1 V N + 2 M L s Q w w a k s i U I B 4 i s 5 S F V W z y D U h l Z 4 s J v i Q G o 1 t F q Q A O g I S i P u G v l c k n w a b z Q 2 3 M D D V z i g u H 5 S N B L z R 6 3 h l P B c 7 u Z 6 c 5 2 7 e b K Y b 8 2 1 B l W E C M X X q Y n g W E Z M 8 s c 1 A M Q W c I h r L E t E g J N M B Q k V C M p w n F / w S 8 1 K e h a Y p j F g P L P p m F b 9 q 8 g I 0 U g N a U u w d X P s S J N l X k t 2 W I b j U N d m V e Z 4 / A 8 0 3 T I M l M H K t X 6 S v g 6 z F O M R O D m Y m X m u c D M 9 N 4 / 7 Y p Z g r l p m U h H M q U Q p 0 T m Z O 3 z C z M T K w Z 8 j E T o x g z c f Y x + 3 e c G p W 0 g i V d j e j o F H g m J I 5 B / z v E 3 x W Y 6 N T C r m t E u d 1 G / Z d K e + F s h n G S W h x R 5 L 8 u a Q A T 4 c P i P W u V f B I 1 G i k t x S U Z M u b s b z V K k 6 I y z y / x k v Y S m G n X z p 2 C 8 R n R q e x z A j N T 1 A s 3 u d D 3 b 3 s Q w a w 9 b Z O I x P / z U w W 8 S e D x g M c 7 3 Z L h 5 A A X M R e P F 3 z 7 E k c L g 5 m J l U E G Q x 3 Y P g 6 r r k C t t A L p 8 U k k / b D B o R F M O t 1 Y 8 9 J r M L d m 5 l W 5 g 6 q 8 d R s Y R o 0 D F Q 2 p u u P Z u y 3 y v q 6 y v o X 8 q 9 S k X k d l Z p u S z D I j n z A N f Z 4 8 U S H e v i Y t B 8 w P J / p 2 6 V C l W 4 Y 3 3 3 o b J y 1 c B g v 7 H j J p N q 4 / S F A Y S W l n d m Z G M Q R 8 K e F T D M m l N i I N J 4 P Z c 8 E T z V q 5 j w R D F V R 5 6 k M k s X v v f l E 5 e M 1 L r 8 L l p X G T l O v G w s o z M e 7 Z c h / u f e c u d A 7 / A 5 P + I T y x / Y n E N w q 0 U X p m E i R q 4 7 u z / W c h c G A i y h v h H S d k e m Z L a B g V m m Z U k f m W f M G c s p j Y l 0 f g E P V r 7 l i x M p i K 8 g U j X o y E d 6 D Z d M b U U o 5 0 x I N D Z H f n b o n / 3 A s v Q a / X w + 3 2 4 L I L T 4 H R W i / U 5 9 3 3 3 i d 2 K u f N p T n 6 t u 5 Q C O c t z v S / O F h w / w M P 4 + q r r 8 L O n b u w e t X p w o / i q r R 8 z S T Y v / J 5 3 L C X l 5 O i H I F K V 9 x U 4 s I n X F i l 1 K A F o 3 9 g E H X 1 D T k F U 3 g W X K U x Y M O m L R g Z H s E l F 5 5 P B J 3 4 L g G u T D R G J m u t Z Q R j R b b K z A Z P L J v U q U V u v K M h 7 / Z + o j A 1 h 1 c A b 7 y 1 T m y 3 + u 9 / / x s f + u A N m D 2 n g x 6 X z T o J G p 0 i 0 d x d U d j a l f c s q P 6 5 9 1 l c v f C 9 0 D k 2 I G w / m X S U P r f P / g M I x 7 1 i 4 j x f j f O Z Q b E 4 k r B F X N B Z V i Y + T Q + e c 9 P E h x F T k x A h r T 7 F U F 3 d P Z C q e t F m U S J e 2 f l w M m e d Z w U F W E W y e c W v + x 9 4 A B d c e D F e e + 1 1 f O C 9 N 0 E 2 U c P S J G J y 5 S n X A d + w g Q Z S a 8 B 5 q 5 d S Y 8 Y Q I 4 l Q K E u b S z M 7 J y Z Q X a c 4 u l y I v 7 n C B X + w c H A k G J W E L 8 S F T 0 p B M o z O z 5 G u 3 f o H h + C h 9 r Y 1 m Y i p K g W T 8 w 4 h D o c L t W S i R u l 8 r p X N 5 z U 1 K M J m P E j m Q a l M Q X 1 S a Z g j / K l S 4 A x 3 g 7 f A q T L O o 1 8 U D + v G v Q e g s h Q u t c Z w u b 0 o I 1 O V c w I L I b 1 4 S z 4 Y R l + B u 5 L L H 3 M Z a u X Y u w 1 m p p n s / J 4 P T N / Z E B s L x K O Q t R Z F M 8 0 Q c i y k M B Q T b f q + S Q O + r V P 1 3 X x k h n i J i L i e Q 0 3 r a e J Y O l 5 7 4 2 2 x O / s F 5 5 1 D x K V H y B O B z q z B 6 0 e N m F 8 T Q U N Z D B s O R 2 H w H Y C W p O G 8 N h 1 U R l 5 G H S P J N v 1 c l p h r I n q b o v M S l A 6 f U o r R 1 z m p Q T v 5 d c o m c J n w h m Q M e b S Y R w I + G u Y l L V z s P y U g k r U 3 s m t w a F W D G A r m W U O W R J H 2 m 7 S Z G i s f + r z r x S V a L J m R W E e o C 0 3 2 W r h H j k B t W 4 i X X 3 k T F 1 9 0 Q e L b Y 4 f r C G n N 1 l F Y t b n W S R J m 7 Q R 8 k R O / n L w Q f O E + B O X p f f p s 5 G O i d B i 8 P Q h a l G m E e N C I G v s 0 8 4 8 Z I G H s 3 c r z U K M Z G e 0 e r x c W 3 o k t / S B B L w 2 S D 6 R I 6 W w Y N V w k o x L x m I y A I w h z l R G v H j b g g j l B M i V l G B J z T 8 l I S I 9 n H V q t p U e a c k A U Z V A P k 7 o / 9 v A s P 9 / O P f u w a O F C P P X U P 3 H d N V c n v s l E U n u p I 4 c R 0 8 4 h 5 i J p z T Y t Q U N 9 k d y E K w l N e A + G 0 7 V H E Q b K B y 6 J x e X E G G w h V B q U + R D W T L x J W z a 8 4 T H Y 2 O 8 l 9 b / p t S N k N s o o K 7 P j 7 L N W 5 V 3 / M 1 M 4 e 4 I o a z W g 1 7 N W L N t I Q t k O N i V I r I H n 4 D E q + 4 W N e l R i T 1 5 T 1 t T I T B A h / z A W d Z B f 5 k N M p Q F 7 S G Y y r 5 y k P Z J Q k W a N J 4 I n h c E m n Y z J o S i 6 O w e x Y O F 8 k X y d A X q W G h K K o 1 m K 2 j u u R V t j 4 f z R J L Q 6 c g k 2 v E W K J a P q U X H o p W G E 5 D p h g q V r M 6 H m y F z j / X g 9 g 2 H Y m v U Y 9 q h R Z 1 U G M 0 l w 2 u g h R D S p U C r T J C 9 H z 5 c 1 M S 3 o J z J H H a l D C 2 V 2 p 7 c h i b 7 B Y W z Z s l V o S g 0 9 w + W X X k x C o D D R a b U 6 e t 4 0 c 8 e z E V H d c j h c b l T X p M L 3 b C q O j I 6 h t q Y G e r k T g 2 k h 9 n c L v N B v 5 5 Z e + L x + 1 N c 3 o r + v F 5 d e c q l 4 r t I M y N I Q c k W g t x c 3 L 5 P Q j 7 2 C U P W F i U / A k E u N + k I V e d M g c 0 J x + C g N K w l r i 1 J A U z D B N F n l D J 4 3 i h F j B 0 I + G P X J L A r F L 5 L C 5 Q i Q 9 a T V 6 D E 5 6 U F L e x U J 4 T H x L R O g k U v j h d 0 I m A s H U Q q b f h J Z Z 2 + J X W q q q q r Q U G t T U q 5 K Y i i O 8 O U J V M h k c x 4 c 1 Z J J p k V 1 0 A d 7 q x G H R i X M r V E u u a P T h 2 U d y k N q 4 g O I J q q p c o U e 3 g L m m J 3 Z R I u l 4 A H I e b b U d P O K V z q H Z / S 1 a n 7 w t 9 E / 0 I 9 T T j 4 Z C + f P x X B g H 2 x k w p j y V G / i I p d W E T a X q I N U O Q w 3 N r A D 1 Y 1 5 C j 3 S L W P e g 1 B b 5 m G M 2 j W T J Q v R S B x D A y 4 0 t 5 V Y T S q B k e 4 o W m a X I Z R V O I e 1 W r r / q 2 S 9 s + A p v U 0 + f 4 g s F Q N p C Z 4 Y p 9 8 V + W m c N M d I 4 A D q z S f B P P o U f D X v F 8 f z Z b N k r w a Q P d s g W U 9 O f M p E q e u f T N E A / O S v q w J 9 I g K q U t m x d k M f z j h n O T a u 3 Y H L z 5 1 P 5 K t B I D B O p r w P U W P p m 2 W z f 8 v J 1 Y X A d M I C l T H p c J f G U H H v X n J w s 4 o p 0 o V 6 e 4 / A b G 2 D z k d + B P k i R p N e N I B L W / V M S F h Q F 5 / q U N m 3 D 1 I i / D j k V o v A Q X t F / n m M a Z H W Y g 4 J R 6 T M w j F 9 T v X U S u F 8 4 C U Z B v L 3 i o G 3 9 O E t X f J B D h 6 F l J W v F v X 1 Q C N 2 m l A o r 3 / 0 M A y 2 / M 5 + K O 6 B X p U K q v B 4 B A M R 6 r / S N E E p 4 D m q 9 A K P P d 6 3 6 V 8 J r Z Y 8 k / Y J c E r W W 2 + v x b K l S 8 V + s b X V Z c Q s 5 D 3 6 R 6 A 2 8 Q L G w l z l C P W i X N 8 C w + i / 4 a 6 8 e G p 3 k n R E 4 0 G x q 0 i N a b F g K g 4 9 x 4 O j U J s z 0 8 y S U J a 5 F y d P J U I n Q x 2 z Q a 2 P Y f v G H g w P D e O i K 5 e J u c A T A Y u q i d y W l B B I g m c s X v 7 3 K 2 J n T T a v m x p q p m c o k 9 4 D f 8 h K / K M i z g e e e O p Z s Z l Z Y 0 M d z j 7 z b J I w K t i a l O A C X 3 Q y o E U F a Z + 0 C W e B 4 Q k / a i s 4 U 0 D 5 H C a G y i g n N h O k / S z m 3 A R 1 W W a w h D U g l 9 U q h P T k 2 G w o z 6 k U / M x B k p 7 Y z A h N Q J 1 Y P i 7 e 6 3 O d 8 k N H O l H R l G v + x T k U n 5 Z 8 y e l R Q i M m O y c P 2 E x h r c f L w H l p S i n g 8 y s N i p l d K E V p a H g M j z 3 2 O A k Y c s L J j L 3 m / V e S V k 7 1 X Y g Y 3 T 8 R Q n k T + S 4 c D a Q 2 6 l U T d L 1 K 8 Z F 9 S m 2 a c D J O / B O B y v c l P i n 9 y a 1 / 4 c W X c N b Z 5 2 D D + v W 4 6 M L z E C M B J O n K 8 q 6 4 T q K Q h k o y U T Y i A Q 2 1 5 c Q w U T b s 6 l n C V U g H j 8 l 9 9 z 2 M a 6 9 5 H 8 x m x f U o z F D U c V F P F z q H i E k c T s y Z M 4 f U q Y T 1 G z f g s v d c D C k y j q H B A G p a G n B g x I C F x 7 k z R a n w h F R K 4 f 6 0 V s e D w 1 C d g P w x 3 s d 2 0 L e D 7 O a 5 6 P d v U p J m C 9 I 4 2 e C a c f j D v I 6 K C K q A c z z O E 9 G q w o M c D k W h S 8 x i R 8 I x 0 g y Z p j U v g O T 5 q m M F M 2 7 2 U o d 7 7 r 0 P i x Y v E j v l f + D 6 6 0 T G P j N 1 P g z 3 j a P 7 U D 9 O v y D X z O V w u y Z 0 G G E / a Z k K Z b p F O / w m e k 3 n o Z 6 0 M z N T O B o j A T x E A r i J G F C 5 h 1 4 e E K s H m M a K Y S x 4 k N q f 6 o / p o n T v N k o J p e d l q J / 8 7 J d Y t m w p 7 H Y r V p 9 5 R g b x M m K u v Q i E 2 2 G p V l J M u j j 8 P E P z j T c d y 0 6 Q n R H S f q q J H k R U o z w s 0 e Q x z Y f w Y s h O 9 5 t 0 3 T h d m t x j t R V 1 x m V i H s p q z V X 3 S U S 9 P d S L L j L 3 8 u 9 c w p E 5 j t B 5 P U F Y r A b S M O O k Y V I M w u Z e O l 2 N D L p R 2 6 B o k p n W i m D J z S 8 V M i V p l S G T E H j y m P m f 9 / O d D h 6 n D 5 v f 2 o M L r s y d M m E E o g 5 q 5 w Q R W z v i g a M 0 D h 2 Y n O w j j f Q W P v 3 R 9 5 J p T 4 K K / l M R 4 0 m k j W a S 4 8 c M l d 4 3 c Z k c i j x T H O 8 W D g 3 N w d z 6 w 4 l P C q Z j q s I a y r + X 7 L 1 F O D K u x e w q R f v w 8 m 7 / Q D W c Z T K a 0 p J c + Q K 8 n m l O Y j 1 T N m L B X j K P S o / p s 5 O t F 7 X c i k i w r F b H n B v J 9 D s 9 h 0 B L Q T i s a A n e I S P 9 w i 3 k b 5 Q a X O C J V P C 2 P W T 6 s a n C 6 f + c r + e N Z O 7 n y i u E T W k M V Q y l m H c R O Q C t l I p 0 8 l K G d N + J J 4 4 Z 3 J Z S T c V s P P P w K 7 j y h l T 0 L g k 2 U S e I i Y I O I z G p H j 6 / R y y L q S X T U T f y K o 4 a l s N i c M M d 7 k O r t f A S m X R w c r Z Z m x I i I p f u O M A B A 2 c w J O i i 3 G i Y M W 1 k w + c J o 7 W q 8 F Y + e e 0 U o 2 Z M M B M j y U y h S Q / C P g s s 7 V F R q D 4 d 3 M Y B V 5 Z 9 6 T 8 C v T Q E b b y P J H N h C Z 8 P j g B L 6 J k 9 e S x R O 6 3 k D u P z 6 O X z B w U z c R a C L r k c Q 4 B Z K R X B y Q Z n f i R d D T 6 F s x L Y J 4 B / 3 9 R a G m 8 0 d 3 P k Y l k J S S R v O R 0 D M M N l b y y d z U w c J O L X s T I T I z 3 j h R E M R U T a 0 q E j X X j y w b d R U 2 l F T V k U s 9 p b Y C h T J l z D t R f A G t 0 H R 7 A P O n k 1 S l C G A u n M x C g W Y S s F j o D C T M r 7 4 8 / 3 M 1 t 1 m H A U L m U m O M P h l 8 g X S F G i P 5 j q w L j / I H w 9 B u g r r D C U K 4 7 0 / N p M f 6 n X 3 U 1 + T R T 9 T s X W i v u O Q j L N R k i u R 0 T V j L B 3 F C O j 4 4 L a f b 5 g T n H F d P Q 6 N K i z T k 9 0 2 d B V n Y 2 o 8 5 3 E p w J I M J F 4 E Z w u H z m T S k B F F J O P p y b 8 a j W n i q X 7 2 Y G C 3 s Q z c i S Z A x t c L H L q F H q j N 9 l F f l k h y V p K d k g p Q o H N U q 7 L V 2 y Z d s H 6 4 z M A E 6 P d k l l X w 6 D X o r + v D 3 P q I / j k R 6 6 B R m e B R 2 T a S 9 S P q T m d s o o z 0 G F Z i T q b T P 5 p H B 7 S 1 i O e m d n j S t h 6 p o v 9 3 l 3 I p s I L G g V D l Z t k M W f j D E h i g Z i U 2 L l c i g T h H W + B u T X F 2 Z w B k Y S o M U 4 v X v N T a T u I p k S o 2 k m S k 8 G 5 Y m v X b 8 K 2 g w E 8 8 u h j 1 D m S I O C M Q p d Z a C k v 0 R f L Q 3 R y h B 4 0 X a P w O e m v N E x M u F F m T 2 l O H r h W y 1 n i V a N f B o P B A J s 1 F d p O o i U r H J 8 e H u Z r c C i Y 1 + Z M I e u + e l V p i w E H e o o v m F P 0 Z y 5 x 8 p x T E l H e 0 / g 4 w c w 9 f 3 a u l r j 5 2 u U i C Z l p h Z n b r s u z u b W k J o 8 u B t 3 w W 6 J v r N p a 1 F p j G H L n N Y w K g p + T A 0 X / l 1 B I Y G b 4 U N p o D 9 F j F G q d G c O H j S j r s G N L n w 4 r W z O T I 3 v d X c R E K S 3 C E 7 t 6 t K O a O i v q 2 o n X t 0 6 I L P M b b r g B o Y B X 5 L p x m s q r r 7 0 h F v 7 d f O O H y W / J L Z k 7 Y 6 T x T h I S z 7 j n q 6 e W B j l O x J h W / z s d 2 Q m y S S R 3 r e B i + + n 1 L 9 L B z y j 7 d m B c n b V G K f + t T j h i Z I O q S W 1 y Y I I J m J E d k G D w G E s z K K n s 6 g r D 3 p 5 6 J l l s 8 K A V z 8 t I L q I s B i k 4 A Y P j b Q T q 8 6 d 4 l Y K J 0 G H x b D O B J x g m I a P 8 R q 9 R w 5 y W J l Y K e L K C 6 U W l S t 3 X E 7 B A o 4 7 B o P W j O i u x I G 9 Q w t u t h a U t 0 6 w L R S U M + f L P C 1 T q 6 9 E / 6 s S C F k 6 g l O A M d Z M D O A s b 1 m / E w c O H U F 1 d K + Z 2 z j v n b J E a U 2 g O K B u F i H s K y Z a n n c L B A V n b D n W e n E M G R 7 h 4 m U Q + F L p f v / e d q U V 9 T K g t V i X i J c 4 l Q u r u 7 s H L / / 4 3 b v 7 Q + x D X x X N N r W N k q G L P L 3 w x + m 7 z N g P m t I 6 h o l L R f D x B b D B m E g 0 z F a 8 q T i 8 8 w u W m b d r S 1 i 2 5 O q O w d y g M K L u 3 i w 3 y V M k N A A g c 6 T O W u G e Y 2 n 0 U M d s s j P t 4 N Y D S M b y z Z F s J U W I W B B O J d W b / C U x 4 K 1 B p m b 7 0 c 3 r k b 4 q h O H j A / o 6 n U w t r R 4 q Z O A z N + 8 3 y V p p 6 s o N 5 g H k H C 5 s x L s z E 5 H C z k 8 5 L J u x G S c n 3 0 x l I Y t J 1 i H g l / 3 Z I V i V 7 n b d a S d 8 d o h i i Q c X U 1 J D 5 N R P E v f u h 4 s V e g h i V e z E j u V x e W C y F r x W J R K H V Z k r u H s 9 G t J A f E J a 9 8 E c c C D m N I s d v 1 6 7 d Q i P w B P C F F 5 4 H T e S w E B Z D h V b d l v b I G Q g F Y 9 A b i k v + i T E v y q r 0 G c x S C E l t x a X T q g 0 L a M x y d 1 / M B 9 d R M u l m S Y g H e k k x V Z O Z l x m k m A l M / Q / A 3 3 S j 8 D 3 z Z V M U A + + l z E L k P 4 F g 2 A C D r r Q g h k 3 d M h W 4 E Q y l i k / g o c f f g M l k w t V X 8 0 y 5 w l C F d k a f H i l C Z s S d G 6 E q O z 3 x a X o M + / e i z r R I M B R r G l H P g T g 2 u 2 5 4 m B h g e H g C t b V V M B m 4 M D z 9 R 7 e N + / b C p T H R g F l h S o t u M Y P x Z C N n Z D P z j I 1 N i i X z R q O u o N Y a 8 e 8 D V 9 Z Z 9 3 w v G h o a M W / e f L y z d S u u u O J y M g W U 3 x g 0 4 + j 3 T U A d 9 S N G 9 8 2 L P L Q z 5 K p F v T 0 3 E l g q u O S 0 f 1 K H i u r i U V Q u w s M V V J V 0 p N L n t Z J w H o 2 g s m W A n o 3 8 p B N A 0 K b R J + C v u T b x a e a Y S S i d h U Y w Y k O l i Q S p J C N A Q n E 6 + E N G 6 L R h E v z 5 a S I f k l p K 6 u 0 + I E 9 M + t B c 2 0 g E H B V 7 A 5 W K S T / b b h I q T I V v 3 O V + G 2 3 G k 8 S k H h P 7 d O M R i 0 Y g J 2 K s 7 H Z P g X 6 o N R r R N z C C l q Z 6 R f s V A J t K K p L C c t q + R g x e E L l r 9 z 6 8 / f Z a f O 6 z n 0 w c V a C k H K k F o / H v h 4 Z G B Y N G I z G 0 t N T B F e 1 C B S + l 4 I d I g 1 H r R J 8 3 j S l 4 O 5 V C E j z t p 7 G 4 m k z f 0 g c s H 6 J y C B q x H L 5 4 p 7 I J y r l z v G F a u k / F y 8 a 5 2 C U H Y v J B E + l F V F U L z 7 A M a + P M r I R i k G I B y M d Z / 9 0 R 6 a Y + n C 7 o I m G w k 6 w m m 1 F E J U 8 6 e Q 5 C c m p D v 2 z 4 Q y a Y 9 K W V I c h G h W 4 O a X s V p I n B b b L a 0 I R A n x X G 5 t T C u H G f S v h N j W n p 9 0 x L v C y i 3 p Y 6 x t n Y q s Q C O y Z E R r b d L / s P Q y p x e 3 t R r o v t x w T 4 W m M u H x o b a h A l Z k v i 4 K g G 8 2 p y 7 e 5 A 1 C U m G 2 u i Y e j K T y c m 0 e D V 1 1 / H x K Q D N 3 7 o Q 4 i E g 8 S M u b 9 z E h + U F R l j 3 t J k / 4 E u L J w / a 0 q b s Z k 3 n J W y o / e P I G Q q s O w 8 k x d n h F h M h t 8 b g t V u E L l 2 H n c I g U A Y B g O Z 6 H Y y + d I W O R b z v R g a l R F l u t R E O 2 / z y T s T J h E d f w u S Z R 5 Z B M p z h H n R q H V m z v x 0 s H m e Q K f q + p x V 1 V x 1 a H L S h c N H j m L F K X m y + r P g j i q Z K C x 8 W Q A a 1 X V Y v 3 Y r u j v 7 U F Z W J i o X X / J + 5 T q T v n J U m B 3 i 3 I j P j E P 7 u 0 U F 3 + U r 2 0 h z H X 8 Z M t Z S 0 v e + + 1 3 5 W 9 / 8 C t x D f l h q U x S 1 t U + L U 5 t T B J x M F R p w q T O Z L E F Q x f Z C 0 k S 6 4 J I 7 Y C 5 S P y 8 d r K E m i I l q a z i L t 8 Q w e g L 9 n m 0 w x h u x e e M u X H L x + X j 6 m T V 4 3 1 W X J 7 4 t j E P E o H O J Q b s m F A e 5 E D 0 y o f b 1 j 6 K l s R K j I d 5 e R z k x E g 2 m S v 9 G v O S U F p g f O g 6 m O l E w k x + U b 6 J X j n q h i v Z B J v 8 q H b x w l K W p K m u 9 T T 6 f s 1 S 4 g x J q 3 M 8 j W H O Z s B z 8 A T 9 2 7 N w L p 9 M p B M b l l 1 0 8 J a B n A i 6 O 8 8 o z O 1 F T X 4 Z l K z v I Z 0 9 p s Z G u C D Z v f g d 6 v V H U O T n 3 o l M R l Y 6 3 J k U K X J Z A + F C T R z y o m G 1 N H F Y U B G s n Z i B + z 5 O Y 6 e h z q N F c H o P b H 4 P N p I Z B P U b 2 f P 5 6 e V z E g h d e T Q c m V F 4 E V l n J S w Z m x k Q c v j 3 a 2 Y X t O 3 a i r r Y G r W 1 t q K 6 q h E 5 2 Q t K n 0 n x 4 U t G o j c N m S A 0 U P y d n v n N 1 I J t Z 8 d G 4 b k X l N P U o P K 5 1 0 B t P R z A Y g t b q h y + c M i X M w T H 4 D P n 7 4 / 8 l Q 0 V l 8 g v I R O R V w T w p z C Y f 1 2 e w R Y c R k c s h G Q r v p O L q D 8 K e W F V w o s B B n L / + 9 U 6 0 t M 5 C R U U F l i x e K A r 0 m I n Y Z w r u V g 6 K c d D L b g g R Y / H u l R K C b h 1 G h s a x e 9 d B G I i R 6 h q r s P i U O q h l 6 w l l p i Q E Q / l 6 j T C 3 F J 8 X 6 v G s R 6 t 1 l U g x q r V G y W x Q j k s R k m j a / B t Z O 4 N 9 q M Q E A t r l e S M 6 S S Y q r 7 B T j x y b P / G r 3 / w B p 6 0 8 D V 6 f G 5 d f e g k x Y y Y j y L 6 D k M y 5 c z H Z 2 N c X x M L m 0 g i G l 7 T 0 u g c T n 1 j g a F B u a M P w o B P 1 D X b 4 H R v h f 5 c Z i g M l n M C b n G / K B 1 E L P s 8 c B f t R 7 K z L w Z 1 Q a e d D S g u B F 4 K 3 S w t L e 6 7 f m h 2 O n w 4 b N 2 9 D K B j A y a e c g i e e e B I f / M B 1 M K n I b 6 F + k f X T 7 H S S B z z c v N U O F 2 l K T 7 b m a Q W u i a i K l s N B N G Y r 1 0 G l C 9 J z H x u d l Q r B U O 7 + E G x N e j H W X D s v u V V / 9 r q d H N C g s K I T q c t 5 I Y t i + 0 G 0 T m k 5 V u 8 T Z C O X l / E 6 m O J a o B Q w U 7 J p 0 O V + C 7 W m x T B p M k 0 Z X b w L Y V V p W 1 L y w s d 0 / z A f e O n 9 B D n E h S A C K f 4 a q M h W z 7 e H k c A J Y C p O b 5 r a P r U I u g 6 P o 3 2 O o q W Z i V i b a 3 x H S U u 1 Q 2 s r U K E 3 D 1 y d I d g 7 8 s / t z R R 3 / O V u f O Y z n x B 5 l N b E O i I V a X i Z t K e s T V l K 0 2 H C T 5 a E q T A N H W 9 i b S G E q e 9 1 B f p e 5 R p 1 w N q g m G R M 8 0 l m Y h R l J o a f G l y Q m R g S P D 4 N h l w y X O 4 A w p G 4 I H 7 O R h b L q m e I P U O 5 7 U n a 2 e 2 2 s 6 e Y i Z 1 T Z V Y 9 h s O + P k R 9 X e J 4 O t K X L i S v U V M k J U q A p F u Y T L 1 I r H C / 8 L 3 t 6 t 2 o t c w l n 3 F m S 9 q L g a / L / y Y x X W Z C E s x M P F 8 2 1 O 8 U v 9 H 6 B l F e e f k U M 3 F t x F J g q q X 7 n Q B B w O A I K 4 9 + k p k Y u z v d c I R 0 U L t K W / b O b l 0 x Z o r K J y A T J w 8 4 G 7 4 Q M z F U K l 8 N i / n E R w W c o 8 V 7 5 B a D O r C H n I W s Z f F Z Y H P E E 7 a i u U J D R K s M 3 B N P P U 1 + B 6 n e P P M + v Z 6 N i X d M u 7 m T a o v r F Z M j L Q h I Z k 3 u d V h L c J Y y 5 4 C 1 W s + G t S z X l F B r 1 B g e U Z I c k x E x t o 7 4 2 Q t B F d w N j 6 k R W n X h k D 0 j R M 8 2 6 N k D X Y w 0 V b 6 J 0 5 n L E v F M 6 T / U q y z k A p d h 5 8 b C 9 e m i c Y W o O B 2 p v o n 7 Q E J j c 2 o J P B c Q z V 6 F W g h a s w Y h b + q 5 u c / 8 A X L 4 Z / A s X L / w a G c 3 + v o H p / o 8 i U X z 2 1 F m 0 S N m n 4 3 Y 0 N t E L 4 k v 8 o D r f m Q X G 8 3 G 8 W x z U w z Z 2 f D Z U K l t X n g H g 3 B 3 c m K n 8 h T s H 6 V r K o Y z k K m J Q v H 8 d j e b d A 6 n h 4 S Z G n + / 7 z 5 4 v R 6 8 8 O L L o q C i T q v C N e + 7 k s 5 J n J y F G p U O 2 n g v Y p 7 d w j T h Y A e X H s t G u n J L h u y L I R A p Q 9 S j b H j N Y I n N y L f H U b 7 C M T F q g 8 + 9 A a N Z R f m 5 h B e / O C A R T i v N G 9 A p m t I R O 4 i Y u 6 p k b V I M G p V e E K F R U 4 l n H t m E M k M 7 1 r 2 5 A 2 e s z r 8 2 h 8 0 7 D o 9 P g f p M F R q H 1 5 O i V K 7 S W 6 q G 4 p o U g Y A E j V a D 1 9 5 c J z a N 4 4 T n g c H S C 0 5 y M d B Z H W 1 o b s p f 7 j s e 7 K f O 2 4 c R z I F h + H l x T A Q a i C 5 5 G x 3 G M J n l X E S n G K Y z 9 Q K 8 J d M 0 Y F + L t V E 2 s i 2 F b E y l H j F 8 o 2 H I f i t M T Q G s 6 z F i d U d o q t R X 5 4 S y K p e j Y v r o X j i x W K w H 4 n m E 5 K R o b 9 8 A / H 4 / H n v 8 c V x 4 w f k 4 8 4 y T q D M U 8 4 h 5 t a B U i Y d h 1 P v o Q X N N p H i M i 2 w e h W T J v y K 2 V H D d 7 Y g m N 2 m W o 3 S j Y x N o a S 5 Q 0 9 2 / H + N 5 H P t g 1 E M a I F O L W s T O I P S g H K V U p c x C f b g Z k t E l / J 4 M F B 6 X B C S M D w V R 3 1 i O f b v 6 s W P b P s y a 3 Y L q y l o 0 z y t u Q Y i F h t q U w G g w W E g I 1 o u x S g c z B N c H K Q b + j d v r x c S A C / O W d m D d u g 1 Y e e r J O Q G g Q u A I 7 K y O 4 n 6 s 7 C O L R 9 + B E P 1 n E H m B M j T O f Y i W F b e C 0 h F F G M 5 Q r n n / n 0 Q G Q y X h G Q n S A 5 p h 6 0 j z M + j F / B C b e A v q y r P F M Z a Y 7 B f 9 5 S 9 3 4 u q r r 0 Z / f x 9 W n c G r Z p X f m Q 1 + + I K F d 2 K I e o 9 C E y c p Y D s j c a Q A 6 H q a y B F E d d N H 6 / K B 5 8 r i 4 Q h U 8 Q F I a T s j T o e Y f w A O t V e 8 D 0 d 1 0 G k y g w z s e / k i y q b X v N m 1 l r P M Y 3 S O i s y o L M K 1 y B 3 Q G W V M B t M G f B q G 0 s S r M T Y y T v 2 u g c 4 c g c a s b M R c F F l C S y K f x E 4 E q q n I v + d X c l + u Q j h w 6 A i 6 u 3 u x e v U q x I d N R B O l M V E S L G A N R p 0 w f c N x r s B L w i 1 j I S c 9 Z 6 Q f 0 a x E X e 5 b F Q s s + i s X S u c i + G O T 8 B / n h m s n E n k Z i n F 4 R I 3 G o B 7 G F t I Q a f Z u P D g O t b F O 2 O X R a J j + a g p O v v I u 7 o E 4 Z 5 p n O v G R s T f g D h t R 2 Z i / T k E h R C a 3 Q l u h J N n O B D H S Q v Q Q U I X 3 I a a Z D 4 1 x + v C 4 2 e h D j 6 M P F W E H 3 B E v o p b c J f y B i E t E 8 s z a q q k + a j J X i r y + f O D F d 0 G v G i F d j 3 J g W g 1 F v E n M m W 9 e L j Q e h 7 4 q w b R Z T K S K R 9 B U 1 o a B k e 1 o r D s 1 Y 8 F o M b C 5 / t b a D e j u 6 s a C h Q s w P j a G S y 5 O l X N 2 H o m g b H b h g E w x 8 B L 8 9 O 1 G k + C s D E 0 V p z 6 l H o K Z e P 5 c Z V G h K j C M O N F b N j j t i l d Z / 1 + D 2 n q W + d a 9 4 4 e w v D 5 l U n E 9 c V 9 E j e r 6 E B x H Q p A l c l 6 N G n T 3 D K C q t k k M c D K o I J Y R J M C z 3 + n b 0 M R g Q 3 z 8 F a j M S u d w q k 4 0 r o b G O h 8 m W 5 O 4 T x 5 r q i D U x g Z x j Z i v E 5 K u X j D J d B D M R O D N i n 1 R K / Q y l y s u I y V S w B m n 5 4 k F d m A 4 H E A k r k V Y q 0 d c Z + c L o d l W D 4 + f p G F i o l q r N g i N k R I 4 M t w B B 3 2 f / 9 p c y i u m d q H W v A C a W A U Z N 9 P b 8 u n 9 m w 2 V j u 6 b 1 g U q / z A q y P A Z l / 0 k t W O Q t W b Y 9 R b q 5 8 I T 6 9 x 2 f g U C E d x 1 z 7 2 4 6 q o r y Z S P 4 7 S V p 6 K j P X P R Y N i h g T 4 3 w U L g w K i 2 4 O Y M v I a J V y p z O W d X u F c k 6 b J P G I + R 9 q f n U 6 V N v j O q K l M 3 4 c L 9 u v G 3 E T M 2 T 4 0 3 l x b w R k v 1 3 Z K 2 V W H w u H B 7 T g S k H z 7 9 T X l x 4 6 m 4 q O O 8 x C H S Q t S G d M d / 4 p A P 5 c 2 T o s h / M c T i E j F I p t g 1 k W 8 U j / r J 5 6 i k u 8 2 A e 6 Y B Z z b o p T E E f S 6 o r I v p S J 5 O I 3 M h F l L M N B U v L K M B i Y y s g a 7 u U n F c r c 8 i N B p c j 2 s 9 Q s b 8 k 7 K c s R 0 h M 8 R I h G s x 2 E l C k u b S 2 i A n d g 6 p o 8 c b n o F F V K m f J 0 o C B N U J j V U K 8 j x m D R G E O 0 L X S d Q J T K K K 9 0 w y L E 1 8 y o T Y C i b u w m s v b i d m C n B X i a 1 M i c o T Z + Q i 5 A l D b 8 3 s M z b N 0 i 0 Y x k H S M P M S G k Z Z f K h C I O Y Q 5 j E z V j K P k N d W S b b U n m D F o B t 8 B e H 6 C 8 S m d U p g I B d D T j J t 6 V 7 V 9 n Q L Y X q G O p E Q J t + I W w 0 / 3 k C 7 7 S x R d Z X 3 r O V S y c o Z a r F 8 I j j p R N i u Q Z k + f w x + c 4 8 W K 1 v z h J P d G 8 l H K n 3 p B o M D I Z z 3 x 9 n s X D S T w Q M X Z y b I W s L B i I c n o d W T K e W l A T N n B h 7 Y f + I 8 w 0 F y v h s S z j d v f O A P V E I i 3 y G p q W R i + o B / B / x p B S s N G s 7 g Y F / G h t v / d B c 6 2 t p x 7 u U L B Z G k Q + M b I G 1 M J i V r N 0 t p i / b S E X V W E x G Y E Y A T Q X r l I I 0 e 0 r P U 6 / R m D I f y b 4 M p t F U Z 1 x X M F W L 9 v o 1 k m i p j E g y G Y a Q + Z S L N Z g 4 / M R q b 8 x M T T r F E R i t r o D G w Y E q c k A f M n L z F T z Y c Z J 6 V 6 1 I V Y v V a H 0 K R 6 T M 0 G K z h e F 7 R 6 H R A r m 6 j 3 3 E U O V d y c Z A o F H U T 7 S i C J X t D g / 8 E B E N F y e Y O R H n 3 w n q s 7 d R h d U c Y w y O T q K u t I D + i H 4 / u f A g X 1 l d h j 9 u D m 1 d 8 O f H T T D g C K p Q b 4 4 i 6 D 8 F S V g 6 / 1 w 2 V K Z O 4 e S k H R 4 z a C u y 8 w Y z E i x Z Z 0 5 W 6 C J H B i / y S 2 d a + 8 V 2 Y 9 E b R 3 E J a K 2 G a s T Z i D Z U k F g 6 h a y x z 6 O m V z 9 p Y F 4 Y i i p / F 1 V X Z B O B 5 n 6 c f 2 S T + 1 t X X w m y y Y O G K A v Y O g / 0 c n m s j M 3 C m 0 M p G k v 4 2 W O 1 x + O I J B 7 s I 0 T L q t D o M F 9 l C t I q T Q o 3 5 I 6 M c A m d C a z K t I O 2 h F c / L O X 1 W r R L p 5 H w 6 H Z n I 2 W C G i 4 X J f C P h l Q 0 h 8 M j c L C U N K T 7 5 F l Q V S m C r G N h P 4 p o U D t c Y X n t p E / b v P 4 A r r 7 y c 7 i W h f b G Z B I u O a C W z D 3 x h J d R t 0 J S J 7 / / T E A z F h M 7 a S a m V Q G a b m j q O J F O M O P y O j X f D 4 Z 8 g 3 8 i E r 5 9 9 C 3 W Y C r s H t V j S o G i j m K 8 P J p O E s G 8 E U e O y K c J O B 4 f U 7 3 / 4 7 7 j u 2 m v I 5 8 i N 2 P g j x E h p e V h 7 h 7 X i c 3 t l / m B H O n j z s / L y P O V 8 S V t E y d d S h b o R S 9 Q R 5 9 W m K l 0 5 a S Z u A 0 t u N g n H 4 F R 5 c H D 7 O E 4 6 Z T Z C b t 6 p Y Q L 1 b U Z R U c h T s q 0 O 2 J 3 7 4 L I v m G L U Q o g R 8 7 F v p E n W n k g 8 u k n u g C a 8 C U 4 i d t 6 j O B 8 q o 6 T B o i F M J J Z W F I J M U r z a k j + A 0 + / b J I I p H C T g s m O c L F s q J o + 6 U T F L s V J Y q 7 H p m F 7 8 v x R E n V u g K V u R + F Q c 4 6 F D 2 L V p E J 1 H u 2 A k J n / f D Z c g Q E z T M L E V e 0 K r 4 J h 0 o G O J 0 p 4 k M y X B 0 U S N 2 n h C 5 g F L h e S Y H J b V o s 4 C S x g V / Z e p S r n i Z 1 w / B 9 5 u P S y t A c S D P b D Y K + E e O Q x N O e + a k E k 8 X E q M q x + 9 / O / X M e l w 4 M i R I / j f / 7 k V k T B J m y L 2 e T a m K / i f R H d P L 9 p a c y N w p U J m x v L v x r 5 u F b Z s f Q f X 3 3 A 5 A q Q l C t n p h V C N C M a g J V N r S E j / m L H 4 j D o z l E T S 1 R b z w 1 6 x A A P u P s R J o g Z G y 2 G s c U J y d 6 K 5 + W z 0 j e 8 T + W 1 W 1 y H 4 y B y N G 0 r b 2 K z R Y E V I z p x b G w r s Q D j m g V l b e 8 x V h F x H J d h n z a x v k p A d G y C T O a b K M s s Z 6 S Z 5 N j j J l f u L x 0 Q f b c T E 5 C S d P 4 Q K m w 7 d / S M 4 9 W x l j o u X a o S i L v E + H R y y N 2 q L W B c n E J L L M S 6 H I m 5 s 7 q v A 6 v b s e R a 2 Q Y n F / D 0 I T 5 4 E Q 1 P h d H c u k / v g Q 4 9 g 4 c I F Y i n 9 9 m 3 b s W T J E i x Z v I B Y N E J k m x v 5 y r f d S R K c m V F G J u R 0 I E t j O o W Q g 0 c f e 5 L 8 A x 8 x Y g e W L 1 9 G G m w / D b S N h o t n 5 Q M i e j d T q A I T i B s T x B 4 N w E K S 2 6 v L T / x l Z O e z K e l Q W 6 j x i q Z M Q U J g z A 5 j d c q X m q k v Y P C P w F z O V W 9 z / a f j h e s I M d T s Y 2 M o V f A A C Y T 8 2 5 T y 4 l E u h 5 0 P c S k u C u H 8 6 5 / P 4 d Q V p 8 J q M W D u o l Y E Y m N Q R 3 1 o Q Q 8 m f D q y D j r g D y v z g t l I + l X v N q S J 8 T 5 5 U 4 8 V q 7 K Y i S F 5 N i C m L i d f a D 7 c f Q H Y m o 3 5 o 2 M E N u u e f 2 E N z j n n X J i y q u 5 0 e 9 Y V 9 J s K g X N X C 8 0 3 c k Y G b 7 f C m 1 3 p t A X C 3 2 k I h i P Y u W M X x s c n x P z Z y t N O Q 5 n N R u + B k O t t u P U F l l q U i F o i h J G 0 1 c R J N J n s Z J 0 R 8 x B D O P 3 k o x r K 4 Q i S b 2 n p I N N Z g 8 P 7 h 7 B o 4 V y 4 I r 1 C A i f B Z n H M a y c t l 1 b f b z o Q Y d U a K + D z D p A m q x G 5 j O 8 G Q r 4 I 9 O b p / a R 8 k H w 7 I J u X 0 R s J h w 8 f h d f n x / J l 5 O s S f 3 I A x J Q n m M E 4 d K R b l J 3 r m N t A p 4 Z E x D A f N B E / G k M H 4 S Y / b 8 D c B N 6 a 0 + E 3 Y F v 3 O g z 6 w v j s m V c l z n z 3 I P 1 z s 0 s + f y 7 Z 9 G n m W D j U D x 2 p T l l s U q 2 C Z 8 w H W 0 3 h C q U M X v p Q Z + N Y F 6 e 3 z 7 y i z X R w e 7 y w W X P b U E z L M d R E 7 E 8 / / S x 2 7 t q N m 2 7 8 c G 6 K U W g 3 x n H s z q s + M I I Q R w Y L z D 1 J H m I W S y O 9 4 e i c F i 8 / 8 w 5 q q m t I y t r h 9 E 7 g 5 N P b S L v n + o o 8 W W y Q K j E R n n 4 J Q o u t Y W p 9 l t V Q B 5 O K M 8 y L J / A e D 0 L e M P S W m f e Z T g / c + d c H s G r V K p F B U V t b g 8 a G W q I 9 p X a H R l t E C x N h T Q Q 5 Z D 6 9 1 c J Y s 2 8 7 r G o H 2 s s t Z B u p 8 P j B H p w z 6 y w s b n h 3 N Z V 6 1 e L 6 W 3 l b k / n z 5 y L q 7 Y I 6 0 g O 1 k e x r U p F s 7 n F k L D J m h W 4 a f 8 a q T 5 U U 4 z f H s D o j B 5 w W w 7 P 3 D H 0 e r c h I n x j m + T M 2 F Z M L z b i 8 t E a K Y d a c e T j n r D P E b i L p M B s 8 G A o d W 1 E O h t E / i C D 7 S g W Y y a w n w t Z y 9 a U K P P y 3 F 7 F 7 W 6 f Y T n X 1 x f N Q V q 1 B X R O b m f k J h J 1 9 t U Y j N v s K x A s X F m E 8 9 s i b a G u Z j Q O 7 h v G v J 9 b g x T V r c N 6 5 0 0 f R i q H Y Z K d / K A R 9 W W l a i p l E o 9 P h 7 n v v w y l L O u D x x 3 H K y U t R T 8 x k t Z i n r N 1 8 C y G z E Z H 9 N M a l C Y q 3 O 3 e i y q j B q 9 3 D q C 0 / C T f V G G C t K z 3 t 7 F g h R Y L 9 c j Q w C u / w X k j k / P K E q b Z a S T f p 9 2 4 h M 2 I h A k O 8 q V p p 6 S u M U a 8 K N U U 2 P C s F f X 3 9 5 J T P f E 6 n V O j i P R i M l F Z 3 L R / q i A C G E 1 n r + c D C q J a E Q b / b i L v / 8 g 9 8 + d s 3 k 8 P s h U 5 j Q T h r C 8 9 i Y K L 2 j Z l h q H Q Q 7 a U 0 M U + Q a s j X 6 z k 8 i f K y M t L C z + G 8 8 1 a j q k W V U X j x W M F Z L P k U h p s E 1 p P 3 P I K P f u F 6 t t z y g j P S / 3 z H X U J 4 d H R 0 Y H h 4 W E x t 3 H D d 5 a S o C + f l T Q f e + d E T G a R 2 G a l 9 0 6 9 3 U q G c x F X K P K y f 3 I q h Y 0 h d m w l y c v m i z h 3 Q a u J k 6 y 5 n q o C z M 4 y y j p m p 9 x N h 8 n H U c b p F i N O Z e 4 V g V I + i z z 9 9 f b Z i U P k G E T e n z E e d x k x t M e G d 9 Q e w d P k S V J a T v + Q d R 1 i e R C x e m l T 1 h i y w 6 P M z m z b Y B J 0 1 K L I N u B 5 E 5 4 F J b N 6 0 C e d f c D 7 q m m 0 I R I b J Z 1 C h T N d K W v n E 1 n 5 I R 1 / P I N a + / A 5 u + N Q V i S P 5 4 Q u E y L / V i r 2 N O 9 p a E H H u h M a e P 2 s j i Q M H D 2 P + v O K + H 0 f 8 x v s g C p b q y v J P a h d D i / s d 9 N p O S X w 6 s X C M B / K E g U g s x c x L E X P v R N x z B H p N h b B x O e O A J 1 y n A w c T k m t X j g e l W I x J Z u K S Z 6 V C r z p + Z i r n h E 1 i J g 2 s 1 D 8 2 d O 5 3 4 r G / v 4 K g R 4 1 F y 2 a j p 7 c L E x z m j v T D F 2 K G y g 3 4 c P Z 6 L M Y q g M t f K S j E T I y I o V + E f l X + Z l F P A u o Q r r 5 x F W z 1 Q f i j o 6 j h L p D l d 5 W Z G H W V d W h p z L 8 n b j r M R j 0 J Z h X a W 1 t E J N Z g m X 7 1 M j O T 3 5 + r e d j t 6 O k b Q G d X L x 7 9 + x u Y N b s V r 7 / 2 d u J b B c P O 0 n w j Z q a m y S 0 w u 7 o g U c N U 5 G t a X A f R N L o e H T i E F s 8 7 a H D v g M S r B m Y I q z 1 t F 3 i e 3 O W J s E b J B M m s l J F S 5 p 5 C 4 q + x K Q C 1 N p N w 4 5 E o V C V E 2 T L B r F J Y q w Q C Q R h L y A a f K W I e I v D Y G M I z 2 A E 8 H z i w 0 L V 3 E g a j C d 3 d f W R 2 a b H q z F M h R x y o q a p A O D i J k Y Q p 2 V r W h v G h j V C r d f Q y w C G K O 0 q i M q l J P 7 3 J k h 8 S Y o 5 K 1 D V U Y C y Q W j T J a D K W I R g v P u F 7 P O j z r U e z e R V 8 3 Q a Y 2 2 Z m L q u C h x F P b P 4 2 H V h T L e D d + k f G 8 P w L L 6 K 8 v E L Q R E 9 P D 8 4 7 f x U q m k o R t 9 N D E p F V U h Z 5 p i S s E / v g r V h I 3 y U O l I g p D h G 1 2 j h 3 L a Y U u / S N B d C r J 3 V D F 7 S 0 h + D v 0 5 G k y W S E f M w U J T O s E F j S 3 P 7 n O x O f 8 o M 7 b n Q s 0 w n 3 + Y 8 9 c M C Q I 1 4 i 5 s B x M x P j v j t e Q N v C c u z a t Q e n n 3 U S 9 G Y V g q o h h P R B 9 H k G p 5 h J 7 + l B j 7 M b P m M d 3 L o K u j 8 J q p A D j Z a 6 4 2 A m h g x 1 + T g m g 9 0 w R l t R r p 0 7 l e 7 j m 5 x B k u 0 x g L d I Z R J 4 f f 2 L i S M z g J h v K w 0 L F y 1 g b w N H j h 5 F g D T W e y 6 5 C B d f d C E + + c m b T h g z M d h E z s d M D E / l Q r R F d 9 O 7 m d 1 v S k M 5 Q n 2 o N + k Q i F b Q w 2 j h 7 A q h r D 0 t y k N n i X J j r T M j h q e f e R 6 z Z s 3 G W 2 + 9 J T Y w 4 6 j d t 7 7 x l c S 3 p Y N X 1 h r y J M a W A h c X V j E c P z M x a j U a u C Q z g p H c G f k k t B E f I n m 2 4 W f U 6 / Q Y C i t L S r K h m 9 g F g 8 4 M Y 8 V 8 y G E 3 R t O 2 + i y G W t M i 7 N 5 7 G K c s b x P L 1 N 9 t 3 P H r + / C 5 r 9 + c + F Q a d N I k + Z P F s x U 4 q u n 1 + v H b 3 / 0 B n / n 0 p 1 B Z Y R e 1 P 5 I F d d 6 t K k b F 0 E G m d i f 5 r 6 V C M F S c H D W 3 v g Z l e m V 5 R i G V 7 p 8 M k Q 1 f g 7 B q G L a G 3 M H m A i f J m g w j p G X W v r 0 O 1 1 z z f u z e s 4 c G e y n C B Q g p H 2 Z c l Z S X Y y d C 7 A w 5 H o X F H C Y t Q R 7 s i Y L M G p v v k U u 0 / s g Y T I k l 5 1 r f A C I i Y J G f u H W O A 4 j r L I i a E w N F p o f e s R e h i s z 6 E J b A E L x G 3 i J o e p T J b d Q 8 P 7 Q 2 O 8 Z H 3 N C R 8 C m 3 W 0 V O 5 o n G w Q 0 j m H f G z E z L c G A C u m Q m S R b Y a v n C 5 z + P S D Q i J t 9 7 e r p x x m n 5 c / 1 4 A p y X c P w n 0 e r c h J 6 y 0 h b D S u N d r 8 s a + y J 0 e z a I 9 T 6 W y Q W w T 1 P w k b M m N H I V I t I 4 b I 0 G I V m G h 8 c Q I k k y O E B + B X 0 + e O g Q r n 3 f Z d D p j j 1 M m o 3 s M t B J s B k S D 4 U g 6 T R i N t 5 Y 1 o x + L y 8 E n K l / V w T k p J b H A 3 B o 8 y T i J h A l g t Y k w s I N B h s G g 5 m p W p x T J o q n k D / 1 3 O N v 4 Z M 3 X 4 F + 9 w B q d c a M T I t A d E I U Y 2 F U y S G M S 8 U 1 s w b k 6 8 r 1 i A b 3 E A O m J r 8 5 k 7 z S 2 I 6 R Y a c o P W y 3 W W b E Y B q N s i s J v 5 K b Y c t k 0 v / 1 9 / f h M 1 + 7 K X F W 6 Y j 5 u q A 2 5 9 a W 2 L f / E B x O J 1 a f e Q b J l h i i C N I z F a N B W S T N / i d R M b 6 L r A 4 T P P Z i 2 5 M C / x / f q z I m 2 y X 5 9 w A A A A B J R U 5 E r k J g g g = = < / I m a g e > < / T o u r > < / T o u r s > < C o l o r s / > < / V i s u a l i z a t i o n > 
</file>

<file path=customXml/itemProps1.xml><?xml version="1.0" encoding="utf-8"?>
<ds:datastoreItem xmlns:ds="http://schemas.openxmlformats.org/officeDocument/2006/customXml" ds:itemID="{882FDE07-D5C1-42A9-B7BB-56B0EF1CC757}">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D15A3C2-8E9E-4819-8A0E-7A081D690CFB}">
  <ds:schemaRefs>
    <ds:schemaRef ds:uri="http://www.w3.org/2001/XMLSchema"/>
    <ds:schemaRef ds:uri="http://microsoft.data.visualization.Client.Excel.CustomMapList/1.0"/>
  </ds:schemaRefs>
</ds:datastoreItem>
</file>

<file path=customXml/itemProps3.xml><?xml version="1.0" encoding="utf-8"?>
<ds:datastoreItem xmlns:ds="http://schemas.openxmlformats.org/officeDocument/2006/customXml" ds:itemID="{EE6FE440-019D-47E5-B3C9-A80E5A5BE5DD}">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4BA38C73-9C7E-40A4-BECB-ADE67688AF92}">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0DF114B9-A9ED-4C4F-9A3B-9FD91D5F65C2}">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All Data</vt:lpstr>
      <vt:lpstr>Sites</vt:lpstr>
      <vt:lpstr>Tables</vt:lpstr>
      <vt:lpstr>Code for MapCustomiser</vt:lpstr>
      <vt:lpstr>Charts</vt:lpstr>
      <vt:lpstr>Map</vt:lpstr>
      <vt:lpstr>Data for Excel 3D Map</vt:lpstr>
      <vt:lpstr>Excluded or Anomalous Readings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Wetherill</dc:creator>
  <cp:keywords/>
  <dc:description/>
  <cp:lastModifiedBy>Geoff Sallis</cp:lastModifiedBy>
  <cp:revision/>
  <dcterms:created xsi:type="dcterms:W3CDTF">2015-06-05T18:17:20Z</dcterms:created>
  <dcterms:modified xsi:type="dcterms:W3CDTF">2025-05-06T09:52:43Z</dcterms:modified>
  <cp:category/>
  <cp:contentStatus/>
</cp:coreProperties>
</file>